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pivotTables/pivotTable10.xml" ContentType="application/vnd.openxmlformats-officedocument.spreadsheetml.pivot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P:\Account shares\BusiProd\Biotech\PILI\2025\2 - Valorisation des Dépenses\"/>
    </mc:Choice>
  </mc:AlternateContent>
  <xr:revisionPtr revIDLastSave="0" documentId="13_ncr:1_{61404DD6-639F-446A-8D8C-A7D4CB1E719F}" xr6:coauthVersionLast="47" xr6:coauthVersionMax="47" xr10:uidLastSave="{00000000-0000-0000-0000-000000000000}"/>
  <bookViews>
    <workbookView xWindow="-120" yWindow="-120" windowWidth="29040" windowHeight="15720" tabRatio="655" firstSheet="4" activeTab="5" xr2:uid="{22969CCF-8B4A-46E5-A6CE-F56328881429}"/>
  </bookViews>
  <sheets>
    <sheet name="suivi évolution" sheetId="18" r:id="rId1"/>
    <sheet name="parametrage" sheetId="3" state="hidden" r:id="rId2"/>
    <sheet name="2069 A" sheetId="11" r:id="rId3"/>
    <sheet name="2069-A2-SD" sheetId="13" r:id="rId4"/>
    <sheet name="2069-A3-SD" sheetId="38" r:id="rId5"/>
    <sheet name="parametres chiffrage" sheetId="2" r:id="rId6"/>
    <sheet name="Verif VS 24" sheetId="14" r:id="rId7"/>
    <sheet name="SYNTHESE" sheetId="1" r:id="rId8"/>
    <sheet name="SYNTHESE final" sheetId="29" state="hidden" r:id="rId9"/>
    <sheet name="SYNTHESE_TS" sheetId="21" r:id="rId10"/>
    <sheet name="REP cout" sheetId="4" r:id="rId11"/>
    <sheet name="REP_cout_TS" sheetId="22" r:id="rId12"/>
    <sheet name="VALO_AMO" sheetId="6" r:id="rId13"/>
    <sheet name="AMO_TS" sheetId="23" r:id="rId14"/>
    <sheet name="VALO_PERSO" sheetId="8" r:id="rId15"/>
    <sheet name="Comparatif perso" sheetId="36" r:id="rId16"/>
    <sheet name="MAD" sheetId="35" r:id="rId17"/>
    <sheet name="HRECH BIOPIG SUB" sheetId="34" r:id="rId18"/>
    <sheet name="HRECH Phoenix SUB" sheetId="37" r:id="rId19"/>
    <sheet name="HRECH" sheetId="32" r:id="rId20"/>
    <sheet name="Fichier pour valo" sheetId="31" r:id="rId21"/>
    <sheet name="PERSO_TS" sheetId="24" r:id="rId22"/>
    <sheet name="HTRAV 2023" sheetId="15" r:id="rId23"/>
    <sheet name="FF" sheetId="33" r:id="rId24"/>
    <sheet name="Calcul FF" sheetId="16" r:id="rId25"/>
    <sheet name="VALO_BREVET" sheetId="9" r:id="rId26"/>
    <sheet name="BREVET_TS" sheetId="25" r:id="rId27"/>
    <sheet name="VALO_ST" sheetId="10" r:id="rId28"/>
    <sheet name="Sous-traitance_TS" sheetId="26" r:id="rId29"/>
    <sheet name="VALO-autres dépenses CIR" sheetId="12" r:id="rId30"/>
    <sheet name="VEILLE_TS" sheetId="30" r:id="rId31"/>
    <sheet name="VALO_SUBV" sheetId="17" r:id="rId32"/>
    <sheet name="PPT" sheetId="20" r:id="rId33"/>
    <sheet name="check list" sheetId="7" r:id="rId34"/>
    <sheet name="Amélioration Matrice" sheetId="27" r:id="rId35"/>
    <sheet name="JEI" sheetId="19" r:id="rId36"/>
    <sheet name="JEI Jules" sheetId="28" r:id="rId37"/>
  </sheets>
  <externalReferences>
    <externalReference r:id="rId38"/>
    <externalReference r:id="rId39"/>
    <externalReference r:id="rId40"/>
    <externalReference r:id="rId41"/>
  </externalReferences>
  <definedNames>
    <definedName name="_xlnm._FilterDatabase" localSheetId="15" hidden="1">'Comparatif perso'!$A$1:$Q$46</definedName>
    <definedName name="_xlnm._FilterDatabase" localSheetId="12" hidden="1">VALO_AMO!$A$3:$AV$70</definedName>
    <definedName name="_xlnm._FilterDatabase" localSheetId="14" hidden="1">VALO_PERSO!$A$4:$BM$50</definedName>
    <definedName name="_xlnm._FilterDatabase" localSheetId="27" hidden="1">VALO_ST!$A$4:$AE$40</definedName>
    <definedName name="_xlnm._FilterDatabase" localSheetId="6" hidden="1">'Verif VS 24'!$A$4:$W$45</definedName>
    <definedName name="_xleta.AND" hidden="1" xlm="1">#NAME?</definedName>
    <definedName name="_xleta.IF" hidden="1" xlm="1">#NAME?</definedName>
    <definedName name="_xleta.IFS" hidden="1" xlm="1">#NAME?</definedName>
    <definedName name="_xleta.N" hidden="1" xlm="1">#NAME?</definedName>
    <definedName name="_xleta.NO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ListActiPrim">'[1]Données Listes'!$G$2:$G$18</definedName>
    <definedName name="ListActiSec">'[1]Données Listes'!$H$2:$H$18</definedName>
    <definedName name="ListActiTechno">'[1]Données Listes'!$E$2:$E$32</definedName>
    <definedName name="ListCloture">'[1]Données Listes'!$B$2:$B$16</definedName>
    <definedName name="ListEffortRD">'[1]Données Listes'!$D$2:$D$7</definedName>
    <definedName name="ListFormeJuridique">'[1]Données Listes'!$C$2:$C$20</definedName>
    <definedName name="ListGestionCIR">'[1]Données Listes'!$F$2:$F$10</definedName>
    <definedName name="TypeSource">'[1]Données Listes'!$I$2:$I$9</definedName>
  </definedNames>
  <calcPr calcId="191028" iterate="1" iterateDelta="1" calcOnSave="0"/>
  <pivotCaches>
    <pivotCache cacheId="0" r:id="rId42"/>
    <pivotCache cacheId="1" r:id="rId43"/>
    <pivotCache cacheId="2" r:id="rId44"/>
    <pivotCache cacheId="3" r:id="rId4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38" l="1"/>
  <c r="C6" i="38"/>
  <c r="C5" i="38"/>
  <c r="C4" i="38"/>
  <c r="C3" i="38"/>
  <c r="D2" i="38"/>
  <c r="C2" i="38"/>
  <c r="C49" i="1" l="1"/>
  <c r="C50" i="1"/>
  <c r="C51" i="1"/>
  <c r="C52" i="1"/>
  <c r="B6" i="26"/>
  <c r="C6" i="26"/>
  <c r="D6" i="26"/>
  <c r="E6" i="26"/>
  <c r="F6" i="26"/>
  <c r="G6" i="26"/>
  <c r="H6" i="26"/>
  <c r="I6" i="26"/>
  <c r="B7" i="26"/>
  <c r="C7" i="26"/>
  <c r="D7" i="26"/>
  <c r="E7" i="26"/>
  <c r="F7" i="26"/>
  <c r="G7" i="26"/>
  <c r="H7" i="26"/>
  <c r="I7" i="26"/>
  <c r="B8" i="26"/>
  <c r="C8" i="26"/>
  <c r="D8" i="26"/>
  <c r="E8" i="26"/>
  <c r="F8" i="26"/>
  <c r="G8" i="26"/>
  <c r="H8" i="26"/>
  <c r="I8" i="26"/>
  <c r="B9" i="26"/>
  <c r="C9" i="26"/>
  <c r="D9" i="26"/>
  <c r="E9" i="26"/>
  <c r="F9" i="26"/>
  <c r="G9" i="26"/>
  <c r="H9" i="26"/>
  <c r="I9" i="26"/>
  <c r="B10" i="26"/>
  <c r="C10" i="26"/>
  <c r="D10" i="26"/>
  <c r="E10" i="26"/>
  <c r="F10" i="26"/>
  <c r="G10" i="26"/>
  <c r="H10" i="26"/>
  <c r="I10" i="26"/>
  <c r="B11" i="26"/>
  <c r="C11" i="26"/>
  <c r="D11" i="26"/>
  <c r="E11" i="26"/>
  <c r="F11" i="26"/>
  <c r="G11" i="26"/>
  <c r="H11" i="26"/>
  <c r="I11" i="26"/>
  <c r="B12" i="26"/>
  <c r="C12" i="26"/>
  <c r="D12" i="26"/>
  <c r="E12" i="26"/>
  <c r="F12" i="26"/>
  <c r="G12" i="26"/>
  <c r="H12" i="26"/>
  <c r="I12" i="26"/>
  <c r="B13" i="26"/>
  <c r="C13" i="26"/>
  <c r="D13" i="26"/>
  <c r="E13" i="26"/>
  <c r="F13" i="26"/>
  <c r="G13" i="26"/>
  <c r="H13" i="26"/>
  <c r="I13" i="26"/>
  <c r="B14" i="26"/>
  <c r="C14" i="26"/>
  <c r="D14" i="26"/>
  <c r="E14" i="26"/>
  <c r="F14" i="26"/>
  <c r="G14" i="26"/>
  <c r="H14" i="26"/>
  <c r="I14" i="26"/>
  <c r="B15" i="26"/>
  <c r="C15" i="26"/>
  <c r="D15" i="26"/>
  <c r="E15" i="26"/>
  <c r="F15" i="26"/>
  <c r="G15" i="26"/>
  <c r="H15" i="26"/>
  <c r="I15" i="26"/>
  <c r="B16" i="26"/>
  <c r="C16" i="26"/>
  <c r="D16" i="26"/>
  <c r="E16" i="26"/>
  <c r="F16" i="26"/>
  <c r="G16" i="26"/>
  <c r="H16" i="26"/>
  <c r="I16" i="26"/>
  <c r="B17" i="26"/>
  <c r="C17" i="26"/>
  <c r="D17" i="26"/>
  <c r="E17" i="26"/>
  <c r="F17" i="26"/>
  <c r="G17" i="26"/>
  <c r="H17" i="26"/>
  <c r="I17" i="26"/>
  <c r="B18" i="26"/>
  <c r="C18" i="26"/>
  <c r="D18" i="26"/>
  <c r="E18" i="26"/>
  <c r="F18" i="26"/>
  <c r="G18" i="26"/>
  <c r="H18" i="26"/>
  <c r="I18" i="26"/>
  <c r="B19" i="26"/>
  <c r="C19" i="26"/>
  <c r="D19" i="26"/>
  <c r="E19" i="26"/>
  <c r="F19" i="26"/>
  <c r="G19" i="26"/>
  <c r="H19" i="26"/>
  <c r="I19" i="26"/>
  <c r="B20" i="26"/>
  <c r="C20" i="26"/>
  <c r="D20" i="26"/>
  <c r="E20" i="26"/>
  <c r="F20" i="26"/>
  <c r="G20" i="26"/>
  <c r="H20" i="26"/>
  <c r="I20" i="26"/>
  <c r="B21" i="26"/>
  <c r="C21" i="26"/>
  <c r="D21" i="26"/>
  <c r="E21" i="26"/>
  <c r="F21" i="26"/>
  <c r="G21" i="26"/>
  <c r="H21" i="26"/>
  <c r="I21" i="26"/>
  <c r="B22" i="26"/>
  <c r="C22" i="26"/>
  <c r="D22" i="26"/>
  <c r="E22" i="26"/>
  <c r="F22" i="26"/>
  <c r="G22" i="26"/>
  <c r="H22" i="26"/>
  <c r="I22" i="26"/>
  <c r="B23" i="26"/>
  <c r="C23" i="26"/>
  <c r="D23" i="26"/>
  <c r="E23" i="26"/>
  <c r="F23" i="26"/>
  <c r="G23" i="26"/>
  <c r="H23" i="26"/>
  <c r="I23" i="26"/>
  <c r="B24" i="26"/>
  <c r="C24" i="26"/>
  <c r="D24" i="26"/>
  <c r="E24" i="26"/>
  <c r="F24" i="26"/>
  <c r="G24" i="26"/>
  <c r="H24" i="26"/>
  <c r="I24" i="26"/>
  <c r="B25" i="26"/>
  <c r="C25" i="26"/>
  <c r="D25" i="26"/>
  <c r="E25" i="26"/>
  <c r="F25" i="26"/>
  <c r="G25" i="26"/>
  <c r="H25" i="26"/>
  <c r="I25" i="26"/>
  <c r="B26" i="26"/>
  <c r="C26" i="26"/>
  <c r="D26" i="26"/>
  <c r="E26" i="26"/>
  <c r="F26" i="26"/>
  <c r="G26" i="26"/>
  <c r="H26" i="26"/>
  <c r="I26" i="26"/>
  <c r="B27" i="26"/>
  <c r="C27" i="26"/>
  <c r="D27" i="26"/>
  <c r="E27" i="26"/>
  <c r="F27" i="26"/>
  <c r="G27" i="26"/>
  <c r="H27" i="26"/>
  <c r="I27" i="26"/>
  <c r="B28" i="26"/>
  <c r="C28" i="26"/>
  <c r="D28" i="26"/>
  <c r="E28" i="26"/>
  <c r="F28" i="26"/>
  <c r="G28" i="26"/>
  <c r="H28" i="26"/>
  <c r="I28" i="26"/>
  <c r="B29" i="26"/>
  <c r="C29" i="26"/>
  <c r="D29" i="26"/>
  <c r="E29" i="26"/>
  <c r="F29" i="26"/>
  <c r="G29" i="26"/>
  <c r="H29" i="26"/>
  <c r="I29" i="26"/>
  <c r="B30" i="26"/>
  <c r="C30" i="26"/>
  <c r="D30" i="26"/>
  <c r="E30" i="26"/>
  <c r="F30" i="26"/>
  <c r="G30" i="26"/>
  <c r="H30" i="26"/>
  <c r="I30" i="26"/>
  <c r="B31" i="26"/>
  <c r="C31" i="26"/>
  <c r="D31" i="26"/>
  <c r="E31" i="26"/>
  <c r="F31" i="26"/>
  <c r="G31" i="26"/>
  <c r="H31" i="26"/>
  <c r="I31" i="26"/>
  <c r="B4" i="24"/>
  <c r="C4" i="24"/>
  <c r="D4" i="24"/>
  <c r="E4" i="24"/>
  <c r="V4" i="24"/>
  <c r="Z4" i="24"/>
  <c r="B5" i="24"/>
  <c r="C5" i="24"/>
  <c r="D5" i="24"/>
  <c r="E5" i="24"/>
  <c r="V5" i="24"/>
  <c r="Z5" i="24"/>
  <c r="B6" i="24"/>
  <c r="C6" i="24"/>
  <c r="D6" i="24"/>
  <c r="E6" i="24"/>
  <c r="N6" i="24"/>
  <c r="O6" i="24"/>
  <c r="P6" i="24"/>
  <c r="Q6" i="24"/>
  <c r="R6" i="24"/>
  <c r="S6" i="24"/>
  <c r="V6" i="24"/>
  <c r="Z6" i="24"/>
  <c r="B7" i="24"/>
  <c r="C7" i="24"/>
  <c r="D7" i="24"/>
  <c r="E7" i="24"/>
  <c r="V7" i="24"/>
  <c r="Z7" i="24"/>
  <c r="B8" i="24"/>
  <c r="C8" i="24"/>
  <c r="D8" i="24"/>
  <c r="E8" i="24"/>
  <c r="V8" i="24"/>
  <c r="Z8" i="24"/>
  <c r="B9" i="24"/>
  <c r="C9" i="24"/>
  <c r="D9" i="24"/>
  <c r="E9" i="24"/>
  <c r="V9" i="24"/>
  <c r="Z9" i="24"/>
  <c r="B10" i="24"/>
  <c r="C10" i="24"/>
  <c r="D10" i="24"/>
  <c r="E10" i="24"/>
  <c r="V10" i="24"/>
  <c r="Z10" i="24"/>
  <c r="B11" i="24"/>
  <c r="C11" i="24"/>
  <c r="D11" i="24"/>
  <c r="E11" i="24"/>
  <c r="V11" i="24"/>
  <c r="Z11" i="24"/>
  <c r="B12" i="24"/>
  <c r="C12" i="24"/>
  <c r="D12" i="24"/>
  <c r="E12" i="24"/>
  <c r="V12" i="24"/>
  <c r="Z12" i="24"/>
  <c r="B13" i="24"/>
  <c r="C13" i="24"/>
  <c r="D13" i="24"/>
  <c r="E13" i="24"/>
  <c r="V13" i="24"/>
  <c r="Z13" i="24"/>
  <c r="B14" i="24"/>
  <c r="C14" i="24"/>
  <c r="D14" i="24"/>
  <c r="E14" i="24"/>
  <c r="V14" i="24"/>
  <c r="Z14" i="24"/>
  <c r="B15" i="24"/>
  <c r="C15" i="24"/>
  <c r="D15" i="24"/>
  <c r="E15" i="24"/>
  <c r="V15" i="24"/>
  <c r="Z15" i="24"/>
  <c r="B16" i="24"/>
  <c r="C16" i="24"/>
  <c r="D16" i="24"/>
  <c r="E16" i="24"/>
  <c r="V16" i="24"/>
  <c r="Z16" i="24"/>
  <c r="B17" i="24"/>
  <c r="C17" i="24"/>
  <c r="D17" i="24"/>
  <c r="E17" i="24"/>
  <c r="V17" i="24"/>
  <c r="Z17" i="24"/>
  <c r="B18" i="24"/>
  <c r="C18" i="24"/>
  <c r="D18" i="24"/>
  <c r="E18" i="24"/>
  <c r="V18" i="24"/>
  <c r="Z18" i="24"/>
  <c r="B19" i="24"/>
  <c r="C19" i="24"/>
  <c r="D19" i="24"/>
  <c r="E19" i="24"/>
  <c r="V19" i="24"/>
  <c r="Z19" i="24"/>
  <c r="B20" i="24"/>
  <c r="C20" i="24"/>
  <c r="D20" i="24"/>
  <c r="E20" i="24"/>
  <c r="V20" i="24"/>
  <c r="Z20" i="24"/>
  <c r="B21" i="24"/>
  <c r="C21" i="24"/>
  <c r="D21" i="24"/>
  <c r="E21" i="24"/>
  <c r="V21" i="24"/>
  <c r="Z21" i="24"/>
  <c r="B22" i="24"/>
  <c r="C22" i="24"/>
  <c r="D22" i="24"/>
  <c r="E22" i="24"/>
  <c r="V22" i="24"/>
  <c r="Z22" i="24"/>
  <c r="B23" i="24"/>
  <c r="C23" i="24"/>
  <c r="D23" i="24"/>
  <c r="E23" i="24"/>
  <c r="V23" i="24"/>
  <c r="Z23" i="24"/>
  <c r="B24" i="24"/>
  <c r="C24" i="24"/>
  <c r="D24" i="24"/>
  <c r="E24" i="24"/>
  <c r="V24" i="24"/>
  <c r="Z24" i="24"/>
  <c r="B25" i="24"/>
  <c r="C25" i="24"/>
  <c r="D25" i="24"/>
  <c r="E25" i="24"/>
  <c r="V25" i="24"/>
  <c r="Z25" i="24"/>
  <c r="B26" i="24"/>
  <c r="C26" i="24"/>
  <c r="D26" i="24"/>
  <c r="E26" i="24"/>
  <c r="V26" i="24"/>
  <c r="Z26" i="24"/>
  <c r="B27" i="24"/>
  <c r="C27" i="24"/>
  <c r="D27" i="24"/>
  <c r="E27" i="24"/>
  <c r="F27" i="24"/>
  <c r="G27" i="24"/>
  <c r="N27" i="24"/>
  <c r="O27" i="24"/>
  <c r="P27" i="24"/>
  <c r="Q27" i="24"/>
  <c r="R27" i="24"/>
  <c r="S27" i="24"/>
  <c r="V27" i="24"/>
  <c r="Z27" i="24"/>
  <c r="B28" i="24"/>
  <c r="C28" i="24"/>
  <c r="D28" i="24"/>
  <c r="E28" i="24"/>
  <c r="V28" i="24"/>
  <c r="Z28" i="24"/>
  <c r="B29" i="24"/>
  <c r="C29" i="24"/>
  <c r="D29" i="24"/>
  <c r="E29" i="24"/>
  <c r="V29" i="24"/>
  <c r="Z29" i="24"/>
  <c r="B30" i="24"/>
  <c r="C30" i="24"/>
  <c r="D30" i="24"/>
  <c r="E30" i="24"/>
  <c r="V30" i="24"/>
  <c r="Z30" i="24"/>
  <c r="B31" i="24"/>
  <c r="C31" i="24"/>
  <c r="D31" i="24"/>
  <c r="E31" i="24"/>
  <c r="V31" i="24"/>
  <c r="Z31" i="24"/>
  <c r="B32" i="24"/>
  <c r="C32" i="24"/>
  <c r="D32" i="24"/>
  <c r="E32" i="24"/>
  <c r="N32" i="24"/>
  <c r="O32" i="24"/>
  <c r="P32" i="24"/>
  <c r="Q32" i="24"/>
  <c r="R32" i="24"/>
  <c r="S32" i="24"/>
  <c r="V32" i="24"/>
  <c r="Z32" i="24"/>
  <c r="B33" i="24"/>
  <c r="C33" i="24"/>
  <c r="D33" i="24"/>
  <c r="E33" i="24"/>
  <c r="V33" i="24"/>
  <c r="Z33" i="24"/>
  <c r="B34" i="24"/>
  <c r="C34" i="24"/>
  <c r="D34" i="24"/>
  <c r="E34" i="24"/>
  <c r="V34" i="24"/>
  <c r="Z34" i="24"/>
  <c r="B35" i="24"/>
  <c r="C35" i="24"/>
  <c r="D35" i="24"/>
  <c r="E35" i="24"/>
  <c r="V35" i="24"/>
  <c r="Z35" i="24"/>
  <c r="B36" i="24"/>
  <c r="C36" i="24"/>
  <c r="D36" i="24"/>
  <c r="E36" i="24"/>
  <c r="V36" i="24"/>
  <c r="Z36" i="24"/>
  <c r="B37" i="24"/>
  <c r="C37" i="24"/>
  <c r="D37" i="24"/>
  <c r="E37" i="24"/>
  <c r="N37" i="24"/>
  <c r="O37" i="24"/>
  <c r="P37" i="24"/>
  <c r="Q37" i="24"/>
  <c r="R37" i="24"/>
  <c r="S37" i="24"/>
  <c r="V37" i="24"/>
  <c r="Z37" i="24"/>
  <c r="B38" i="24"/>
  <c r="C38" i="24"/>
  <c r="D38" i="24"/>
  <c r="E38" i="24"/>
  <c r="V38" i="24"/>
  <c r="Z38" i="24"/>
  <c r="B39" i="24"/>
  <c r="C39" i="24"/>
  <c r="D39" i="24"/>
  <c r="E39" i="24"/>
  <c r="V39" i="24"/>
  <c r="Z39" i="24"/>
  <c r="B40" i="24"/>
  <c r="C40" i="24"/>
  <c r="D40" i="24"/>
  <c r="E40" i="24"/>
  <c r="F40" i="24"/>
  <c r="G40" i="24"/>
  <c r="V40" i="24"/>
  <c r="Z40" i="24"/>
  <c r="B41" i="24"/>
  <c r="C41" i="24"/>
  <c r="D41" i="24"/>
  <c r="E41" i="24"/>
  <c r="V41" i="24"/>
  <c r="Z41" i="24"/>
  <c r="B42" i="24"/>
  <c r="C42" i="24"/>
  <c r="D42" i="24"/>
  <c r="E42" i="24"/>
  <c r="V42" i="24"/>
  <c r="Z42" i="24"/>
  <c r="B43" i="24"/>
  <c r="C43" i="24"/>
  <c r="D43" i="24"/>
  <c r="E43" i="24"/>
  <c r="F43" i="24"/>
  <c r="G43" i="24"/>
  <c r="V43" i="24"/>
  <c r="Z43" i="24"/>
  <c r="B44" i="24"/>
  <c r="C44" i="24"/>
  <c r="D44" i="24"/>
  <c r="E44" i="24"/>
  <c r="F44" i="24"/>
  <c r="G44" i="24"/>
  <c r="V44" i="24"/>
  <c r="Z44" i="24"/>
  <c r="B45" i="24"/>
  <c r="C45" i="24"/>
  <c r="D45" i="24"/>
  <c r="E45" i="24"/>
  <c r="F45" i="24"/>
  <c r="G45" i="24"/>
  <c r="V45" i="24"/>
  <c r="Z45" i="24"/>
  <c r="B46" i="24"/>
  <c r="C46" i="24"/>
  <c r="D46" i="24"/>
  <c r="E46" i="24"/>
  <c r="F46" i="24"/>
  <c r="G46" i="24"/>
  <c r="V46" i="24"/>
  <c r="Z46" i="24"/>
  <c r="B47" i="24"/>
  <c r="C47" i="24"/>
  <c r="D47" i="24"/>
  <c r="E47" i="24"/>
  <c r="F47" i="24"/>
  <c r="G47" i="24"/>
  <c r="V47" i="24"/>
  <c r="Z47" i="24"/>
  <c r="C22" i="22"/>
  <c r="D22" i="22"/>
  <c r="E22" i="22"/>
  <c r="F22" i="22"/>
  <c r="G22" i="22"/>
  <c r="H22" i="22"/>
  <c r="I22" i="22"/>
  <c r="C23" i="22"/>
  <c r="D23" i="22"/>
  <c r="E23" i="22"/>
  <c r="F23" i="22"/>
  <c r="G23" i="22"/>
  <c r="H23" i="22"/>
  <c r="I23" i="22"/>
  <c r="C24" i="22"/>
  <c r="D24" i="22"/>
  <c r="E24" i="22"/>
  <c r="F24" i="22"/>
  <c r="G24" i="22"/>
  <c r="H24" i="22"/>
  <c r="D21" i="22"/>
  <c r="E21" i="22"/>
  <c r="F21" i="22"/>
  <c r="G21" i="22"/>
  <c r="H21" i="22"/>
  <c r="I21" i="22"/>
  <c r="C21" i="22"/>
  <c r="J49" i="1" l="1"/>
  <c r="Z34" i="8" l="1"/>
  <c r="AA34" i="8"/>
  <c r="AB34" i="8"/>
  <c r="AC34" i="8"/>
  <c r="AD34" i="8"/>
  <c r="Y34" i="8"/>
  <c r="Z39" i="8"/>
  <c r="AA39" i="8"/>
  <c r="AB39" i="8"/>
  <c r="AC39" i="8"/>
  <c r="AD39" i="8"/>
  <c r="Y39" i="8"/>
  <c r="D7" i="16"/>
  <c r="E7" i="16"/>
  <c r="G7" i="16" s="1"/>
  <c r="F7" i="16"/>
  <c r="H7" i="16" s="1"/>
  <c r="AK9" i="33"/>
  <c r="AL9" i="33"/>
  <c r="AK39" i="33"/>
  <c r="G60" i="16" s="1"/>
  <c r="AL39" i="33"/>
  <c r="H60" i="16" s="1"/>
  <c r="G24" i="16"/>
  <c r="H24" i="16"/>
  <c r="Z29" i="8" l="1"/>
  <c r="Z8" i="8"/>
  <c r="AA8" i="8"/>
  <c r="AB8" i="8"/>
  <c r="AC8" i="8"/>
  <c r="AD8" i="8"/>
  <c r="Y8" i="8"/>
  <c r="D21" i="4" l="1"/>
  <c r="AW34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8" i="34"/>
  <c r="CL8" i="37"/>
  <c r="CL35" i="37"/>
  <c r="CL36" i="37"/>
  <c r="CL37" i="37"/>
  <c r="Q52" i="37"/>
  <c r="P52" i="37"/>
  <c r="Q51" i="37"/>
  <c r="P51" i="37"/>
  <c r="Q50" i="37"/>
  <c r="P50" i="37"/>
  <c r="Q49" i="37"/>
  <c r="P49" i="37"/>
  <c r="Q48" i="37"/>
  <c r="P48" i="37"/>
  <c r="Q47" i="37"/>
  <c r="P47" i="37"/>
  <c r="Q46" i="37"/>
  <c r="P46" i="37"/>
  <c r="Q45" i="37"/>
  <c r="P45" i="37"/>
  <c r="Q44" i="37"/>
  <c r="P44" i="37"/>
  <c r="Q43" i="37"/>
  <c r="P43" i="37"/>
  <c r="Q42" i="37"/>
  <c r="P42" i="37"/>
  <c r="Q41" i="37"/>
  <c r="P41" i="37"/>
  <c r="Q40" i="37"/>
  <c r="P40" i="37"/>
  <c r="Q39" i="37"/>
  <c r="P39" i="37"/>
  <c r="CL34" i="37"/>
  <c r="CL33" i="37"/>
  <c r="CL32" i="37"/>
  <c r="CL31" i="37"/>
  <c r="CL30" i="37"/>
  <c r="CL29" i="37"/>
  <c r="CL28" i="37"/>
  <c r="CL27" i="37"/>
  <c r="CL26" i="37"/>
  <c r="CL25" i="37"/>
  <c r="CL24" i="37"/>
  <c r="CL23" i="37"/>
  <c r="CL22" i="37"/>
  <c r="CL21" i="37"/>
  <c r="CL20" i="37"/>
  <c r="CL19" i="37"/>
  <c r="CL18" i="37"/>
  <c r="CL17" i="37"/>
  <c r="CL16" i="37"/>
  <c r="CL15" i="37"/>
  <c r="CL14" i="37"/>
  <c r="CL13" i="37"/>
  <c r="CL12" i="37"/>
  <c r="CL11" i="37"/>
  <c r="CL10" i="37"/>
  <c r="CL9" i="37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4" i="6"/>
  <c r="D54" i="1"/>
  <c r="E54" i="1"/>
  <c r="F54" i="1"/>
  <c r="G54" i="1"/>
  <c r="H54" i="1"/>
  <c r="I54" i="1"/>
  <c r="C53" i="1"/>
  <c r="J45" i="1"/>
  <c r="J44" i="1"/>
  <c r="J42" i="1"/>
  <c r="J37" i="1"/>
  <c r="J81" i="6" l="1"/>
  <c r="K81" i="6"/>
  <c r="K84" i="6" s="1"/>
  <c r="J83" i="6"/>
  <c r="K82" i="6"/>
  <c r="K83" i="6"/>
  <c r="I81" i="6"/>
  <c r="J82" i="6"/>
  <c r="I83" i="6"/>
  <c r="I82" i="6"/>
  <c r="C5" i="23"/>
  <c r="D5" i="23"/>
  <c r="E5" i="23"/>
  <c r="F5" i="23"/>
  <c r="G5" i="23"/>
  <c r="C6" i="23"/>
  <c r="D6" i="23"/>
  <c r="E6" i="23"/>
  <c r="F6" i="23"/>
  <c r="G6" i="23"/>
  <c r="C7" i="23"/>
  <c r="D7" i="23"/>
  <c r="E7" i="23"/>
  <c r="F7" i="23"/>
  <c r="G7" i="23"/>
  <c r="C8" i="23"/>
  <c r="D8" i="23"/>
  <c r="E8" i="23"/>
  <c r="F8" i="23"/>
  <c r="G8" i="23"/>
  <c r="C9" i="23"/>
  <c r="D9" i="23"/>
  <c r="E9" i="23"/>
  <c r="F9" i="23"/>
  <c r="G9" i="23"/>
  <c r="C10" i="23"/>
  <c r="D10" i="23"/>
  <c r="E10" i="23"/>
  <c r="F10" i="23"/>
  <c r="G10" i="23"/>
  <c r="C11" i="23"/>
  <c r="D11" i="23"/>
  <c r="E11" i="23"/>
  <c r="F11" i="23"/>
  <c r="G11" i="23"/>
  <c r="C12" i="23"/>
  <c r="D12" i="23"/>
  <c r="E12" i="23"/>
  <c r="F12" i="23"/>
  <c r="G12" i="23"/>
  <c r="C13" i="23"/>
  <c r="D13" i="23"/>
  <c r="E13" i="23"/>
  <c r="F13" i="23"/>
  <c r="G13" i="23"/>
  <c r="H13" i="23"/>
  <c r="C14" i="23"/>
  <c r="D14" i="23"/>
  <c r="E14" i="23"/>
  <c r="F14" i="23"/>
  <c r="G14" i="23"/>
  <c r="H14" i="23"/>
  <c r="C15" i="23"/>
  <c r="D15" i="23"/>
  <c r="E15" i="23"/>
  <c r="F15" i="23"/>
  <c r="G15" i="23"/>
  <c r="H15" i="23"/>
  <c r="C16" i="23"/>
  <c r="D16" i="23"/>
  <c r="E16" i="23"/>
  <c r="F16" i="23"/>
  <c r="G16" i="23"/>
  <c r="C17" i="23"/>
  <c r="D17" i="23"/>
  <c r="E17" i="23"/>
  <c r="F17" i="23"/>
  <c r="G17" i="23"/>
  <c r="H17" i="23"/>
  <c r="C18" i="23"/>
  <c r="D18" i="23"/>
  <c r="E18" i="23"/>
  <c r="F18" i="23"/>
  <c r="G18" i="23"/>
  <c r="H18" i="23"/>
  <c r="C19" i="23"/>
  <c r="D19" i="23"/>
  <c r="E19" i="23"/>
  <c r="F19" i="23"/>
  <c r="G19" i="23"/>
  <c r="H19" i="23"/>
  <c r="C20" i="23"/>
  <c r="D20" i="23"/>
  <c r="E20" i="23"/>
  <c r="F20" i="23"/>
  <c r="G20" i="23"/>
  <c r="H20" i="23"/>
  <c r="C21" i="23"/>
  <c r="D21" i="23"/>
  <c r="E21" i="23"/>
  <c r="F21" i="23"/>
  <c r="G21" i="23"/>
  <c r="H21" i="23"/>
  <c r="U21" i="23"/>
  <c r="V21" i="23"/>
  <c r="W21" i="23"/>
  <c r="C22" i="23"/>
  <c r="D22" i="23"/>
  <c r="E22" i="23"/>
  <c r="F22" i="23"/>
  <c r="G22" i="23"/>
  <c r="H22" i="23"/>
  <c r="U22" i="23"/>
  <c r="V22" i="23"/>
  <c r="W22" i="23"/>
  <c r="C23" i="23"/>
  <c r="D23" i="23"/>
  <c r="E23" i="23"/>
  <c r="F23" i="23"/>
  <c r="G23" i="23"/>
  <c r="H23" i="23"/>
  <c r="U23" i="23"/>
  <c r="V23" i="23"/>
  <c r="W23" i="23"/>
  <c r="C24" i="23"/>
  <c r="D24" i="23"/>
  <c r="E24" i="23"/>
  <c r="F24" i="23"/>
  <c r="G24" i="23"/>
  <c r="H24" i="23"/>
  <c r="U24" i="23"/>
  <c r="V24" i="23"/>
  <c r="W24" i="23"/>
  <c r="C25" i="23"/>
  <c r="D25" i="23"/>
  <c r="E25" i="23"/>
  <c r="F25" i="23"/>
  <c r="G25" i="23"/>
  <c r="H25" i="23"/>
  <c r="U25" i="23"/>
  <c r="V25" i="23"/>
  <c r="W25" i="23"/>
  <c r="C26" i="23"/>
  <c r="D26" i="23"/>
  <c r="E26" i="23"/>
  <c r="F26" i="23"/>
  <c r="G26" i="23"/>
  <c r="H26" i="23"/>
  <c r="U26" i="23"/>
  <c r="V26" i="23"/>
  <c r="W26" i="23"/>
  <c r="C27" i="23"/>
  <c r="D27" i="23"/>
  <c r="E27" i="23"/>
  <c r="F27" i="23"/>
  <c r="G27" i="23"/>
  <c r="H27" i="23"/>
  <c r="U27" i="23"/>
  <c r="V27" i="23"/>
  <c r="W27" i="23"/>
  <c r="C28" i="23"/>
  <c r="D28" i="23"/>
  <c r="E28" i="23"/>
  <c r="F28" i="23"/>
  <c r="G28" i="23"/>
  <c r="H28" i="23"/>
  <c r="U28" i="23"/>
  <c r="V28" i="23"/>
  <c r="W28" i="23"/>
  <c r="C29" i="23"/>
  <c r="D29" i="23"/>
  <c r="E29" i="23"/>
  <c r="F29" i="23"/>
  <c r="G29" i="23"/>
  <c r="H29" i="23"/>
  <c r="U29" i="23"/>
  <c r="V29" i="23"/>
  <c r="W29" i="23"/>
  <c r="C30" i="23"/>
  <c r="D30" i="23"/>
  <c r="E30" i="23"/>
  <c r="F30" i="23"/>
  <c r="G30" i="23"/>
  <c r="H30" i="23"/>
  <c r="C31" i="23"/>
  <c r="D31" i="23"/>
  <c r="E31" i="23"/>
  <c r="F31" i="23"/>
  <c r="G31" i="23"/>
  <c r="H31" i="23"/>
  <c r="C32" i="23"/>
  <c r="D32" i="23"/>
  <c r="E32" i="23"/>
  <c r="F32" i="23"/>
  <c r="G32" i="23"/>
  <c r="H32" i="23"/>
  <c r="C33" i="23"/>
  <c r="D33" i="23"/>
  <c r="E33" i="23"/>
  <c r="F33" i="23"/>
  <c r="G33" i="23"/>
  <c r="H33" i="23"/>
  <c r="C34" i="23"/>
  <c r="D34" i="23"/>
  <c r="E34" i="23"/>
  <c r="F34" i="23"/>
  <c r="G34" i="23"/>
  <c r="H34" i="23"/>
  <c r="C35" i="23"/>
  <c r="D35" i="23"/>
  <c r="E35" i="23"/>
  <c r="F35" i="23"/>
  <c r="G35" i="23"/>
  <c r="H35" i="23"/>
  <c r="C36" i="23"/>
  <c r="D36" i="23"/>
  <c r="E36" i="23"/>
  <c r="F36" i="23"/>
  <c r="G36" i="23"/>
  <c r="H36" i="23"/>
  <c r="C37" i="23"/>
  <c r="D37" i="23"/>
  <c r="E37" i="23"/>
  <c r="F37" i="23"/>
  <c r="G37" i="23"/>
  <c r="H37" i="23"/>
  <c r="C38" i="23"/>
  <c r="D38" i="23"/>
  <c r="E38" i="23"/>
  <c r="F38" i="23"/>
  <c r="G38" i="23"/>
  <c r="H38" i="23"/>
  <c r="C39" i="23"/>
  <c r="D39" i="23"/>
  <c r="E39" i="23"/>
  <c r="F39" i="23"/>
  <c r="G39" i="23"/>
  <c r="H39" i="23"/>
  <c r="C40" i="23"/>
  <c r="D40" i="23"/>
  <c r="E40" i="23"/>
  <c r="F40" i="23"/>
  <c r="G40" i="23"/>
  <c r="H40" i="23"/>
  <c r="C41" i="23"/>
  <c r="D41" i="23"/>
  <c r="E41" i="23"/>
  <c r="F41" i="23"/>
  <c r="G41" i="23"/>
  <c r="H41" i="23"/>
  <c r="C42" i="23"/>
  <c r="D42" i="23"/>
  <c r="E42" i="23"/>
  <c r="F42" i="23"/>
  <c r="G42" i="23"/>
  <c r="H42" i="23"/>
  <c r="C43" i="23"/>
  <c r="D43" i="23"/>
  <c r="E43" i="23"/>
  <c r="F43" i="23"/>
  <c r="G43" i="23"/>
  <c r="H43" i="23"/>
  <c r="C44" i="23"/>
  <c r="D44" i="23"/>
  <c r="E44" i="23"/>
  <c r="F44" i="23"/>
  <c r="G44" i="23"/>
  <c r="H44" i="23"/>
  <c r="C45" i="23"/>
  <c r="D45" i="23"/>
  <c r="E45" i="23"/>
  <c r="F45" i="23"/>
  <c r="G45" i="23"/>
  <c r="H45" i="23"/>
  <c r="C46" i="23"/>
  <c r="D46" i="23"/>
  <c r="E46" i="23"/>
  <c r="F46" i="23"/>
  <c r="G46" i="23"/>
  <c r="H46" i="23"/>
  <c r="C47" i="23"/>
  <c r="D47" i="23"/>
  <c r="E47" i="23"/>
  <c r="F47" i="23"/>
  <c r="G47" i="23"/>
  <c r="H47" i="23"/>
  <c r="C48" i="23"/>
  <c r="D48" i="23"/>
  <c r="E48" i="23"/>
  <c r="F48" i="23"/>
  <c r="G48" i="23"/>
  <c r="H48" i="23"/>
  <c r="C49" i="23"/>
  <c r="D49" i="23"/>
  <c r="E49" i="23"/>
  <c r="F49" i="23"/>
  <c r="G49" i="23"/>
  <c r="H49" i="23"/>
  <c r="C50" i="23"/>
  <c r="D50" i="23"/>
  <c r="E50" i="23"/>
  <c r="F50" i="23"/>
  <c r="G50" i="23"/>
  <c r="H50" i="23"/>
  <c r="C51" i="23"/>
  <c r="D51" i="23"/>
  <c r="E51" i="23"/>
  <c r="F51" i="23"/>
  <c r="G51" i="23"/>
  <c r="H51" i="23"/>
  <c r="C52" i="23"/>
  <c r="D52" i="23"/>
  <c r="E52" i="23"/>
  <c r="F52" i="23"/>
  <c r="G52" i="23"/>
  <c r="H52" i="23"/>
  <c r="G7" i="36"/>
  <c r="G8" i="36"/>
  <c r="G40" i="36"/>
  <c r="G41" i="36"/>
  <c r="G9" i="36"/>
  <c r="G42" i="36"/>
  <c r="G10" i="36"/>
  <c r="G11" i="36"/>
  <c r="G43" i="36"/>
  <c r="G44" i="36"/>
  <c r="G45" i="36"/>
  <c r="G46" i="36"/>
  <c r="G26" i="36"/>
  <c r="G33" i="36"/>
  <c r="G30" i="36"/>
  <c r="G27" i="36"/>
  <c r="G37" i="36"/>
  <c r="G3" i="36"/>
  <c r="G18" i="36"/>
  <c r="G32" i="36"/>
  <c r="G20" i="36"/>
  <c r="G28" i="36"/>
  <c r="G36" i="36"/>
  <c r="G5" i="36"/>
  <c r="G25" i="36"/>
  <c r="G29" i="36"/>
  <c r="G24" i="36"/>
  <c r="G39" i="36"/>
  <c r="G35" i="36"/>
  <c r="G4" i="36"/>
  <c r="G17" i="36"/>
  <c r="G2" i="36"/>
  <c r="G19" i="36"/>
  <c r="G21" i="36"/>
  <c r="G22" i="36"/>
  <c r="G23" i="36"/>
  <c r="G31" i="36"/>
  <c r="G34" i="36"/>
  <c r="G38" i="36"/>
  <c r="G6" i="36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5" i="14"/>
  <c r="I84" i="6" l="1"/>
  <c r="J84" i="6"/>
  <c r="Y51" i="6"/>
  <c r="Q51" i="23" s="1"/>
  <c r="Z51" i="6"/>
  <c r="R51" i="23" s="1"/>
  <c r="Y52" i="6"/>
  <c r="Q52" i="23" s="1"/>
  <c r="Z52" i="6"/>
  <c r="R52" i="23" s="1"/>
  <c r="Y53" i="6"/>
  <c r="Z53" i="6"/>
  <c r="Y54" i="6"/>
  <c r="Z54" i="6"/>
  <c r="Y55" i="6"/>
  <c r="Z55" i="6"/>
  <c r="Y56" i="6"/>
  <c r="Z56" i="6"/>
  <c r="Y57" i="6"/>
  <c r="Z57" i="6"/>
  <c r="Y58" i="6"/>
  <c r="Z58" i="6"/>
  <c r="Y59" i="6"/>
  <c r="Z59" i="6"/>
  <c r="Y60" i="6"/>
  <c r="Z60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5" i="6"/>
  <c r="AC6" i="6"/>
  <c r="AC7" i="6"/>
  <c r="AC8" i="6"/>
  <c r="AC9" i="6"/>
  <c r="AC10" i="6"/>
  <c r="AC11" i="6"/>
  <c r="AC12" i="6"/>
  <c r="AC13" i="6"/>
  <c r="AC14" i="6"/>
  <c r="AC15" i="6"/>
  <c r="AC16" i="6"/>
  <c r="AC4" i="6"/>
  <c r="C22" i="1"/>
  <c r="H22" i="4"/>
  <c r="B21" i="4"/>
  <c r="K21" i="8" l="1"/>
  <c r="G19" i="24" s="1"/>
  <c r="K35" i="8"/>
  <c r="G33" i="24" s="1"/>
  <c r="K27" i="8"/>
  <c r="G25" i="24" s="1"/>
  <c r="K44" i="8"/>
  <c r="G42" i="24" s="1"/>
  <c r="K32" i="8"/>
  <c r="G30" i="24" s="1"/>
  <c r="K15" i="8"/>
  <c r="G13" i="24" s="1"/>
  <c r="K40" i="8"/>
  <c r="G38" i="24" s="1"/>
  <c r="K39" i="8"/>
  <c r="G37" i="24" s="1"/>
  <c r="K20" i="8"/>
  <c r="G18" i="24" s="1"/>
  <c r="K16" i="8"/>
  <c r="G14" i="24" s="1"/>
  <c r="K28" i="8"/>
  <c r="G26" i="24" s="1"/>
  <c r="K26" i="8"/>
  <c r="G24" i="24" s="1"/>
  <c r="K19" i="8"/>
  <c r="G17" i="24" s="1"/>
  <c r="K11" i="8"/>
  <c r="G9" i="24" s="1"/>
  <c r="K24" i="8"/>
  <c r="G22" i="24" s="1"/>
  <c r="K38" i="8"/>
  <c r="G36" i="24" s="1"/>
  <c r="K14" i="8"/>
  <c r="G12" i="24" s="1"/>
  <c r="K31" i="8"/>
  <c r="G29" i="24" s="1"/>
  <c r="K43" i="8"/>
  <c r="G41" i="24" s="1"/>
  <c r="K13" i="8"/>
  <c r="G11" i="24" s="1"/>
  <c r="K23" i="8"/>
  <c r="G21" i="24" s="1"/>
  <c r="K7" i="8"/>
  <c r="G5" i="24" s="1"/>
  <c r="K9" i="8"/>
  <c r="G7" i="24" s="1"/>
  <c r="K30" i="8"/>
  <c r="G28" i="24" s="1"/>
  <c r="K18" i="8"/>
  <c r="G16" i="24" s="1"/>
  <c r="K22" i="8"/>
  <c r="G20" i="24" s="1"/>
  <c r="K37" i="8"/>
  <c r="G35" i="24" s="1"/>
  <c r="K33" i="8"/>
  <c r="G31" i="24" s="1"/>
  <c r="K25" i="8"/>
  <c r="G23" i="24" s="1"/>
  <c r="K8" i="8"/>
  <c r="G6" i="24" s="1"/>
  <c r="K10" i="8"/>
  <c r="G8" i="24" s="1"/>
  <c r="K12" i="8"/>
  <c r="G10" i="24" s="1"/>
  <c r="K17" i="8"/>
  <c r="G15" i="24" s="1"/>
  <c r="K34" i="8"/>
  <c r="G32" i="24" s="1"/>
  <c r="K36" i="8"/>
  <c r="G34" i="24" s="1"/>
  <c r="K41" i="8"/>
  <c r="G39" i="24" s="1"/>
  <c r="K6" i="8"/>
  <c r="G4" i="24" s="1"/>
  <c r="J21" i="8"/>
  <c r="F19" i="24" s="1"/>
  <c r="J35" i="8"/>
  <c r="F33" i="24" s="1"/>
  <c r="J27" i="8"/>
  <c r="F25" i="24" s="1"/>
  <c r="J44" i="8"/>
  <c r="F42" i="24" s="1"/>
  <c r="J32" i="8"/>
  <c r="F30" i="24" s="1"/>
  <c r="J15" i="8"/>
  <c r="F13" i="24" s="1"/>
  <c r="J40" i="8"/>
  <c r="F38" i="24" s="1"/>
  <c r="J39" i="8"/>
  <c r="F37" i="24" s="1"/>
  <c r="J20" i="8"/>
  <c r="F18" i="24" s="1"/>
  <c r="J16" i="8"/>
  <c r="F14" i="24" s="1"/>
  <c r="J28" i="8"/>
  <c r="F26" i="24" s="1"/>
  <c r="J26" i="8"/>
  <c r="F24" i="24" s="1"/>
  <c r="J19" i="8"/>
  <c r="F17" i="24" s="1"/>
  <c r="J11" i="8"/>
  <c r="F9" i="24" s="1"/>
  <c r="J24" i="8"/>
  <c r="F22" i="24" s="1"/>
  <c r="J38" i="8"/>
  <c r="F36" i="24" s="1"/>
  <c r="J14" i="8"/>
  <c r="F12" i="24" s="1"/>
  <c r="J31" i="8"/>
  <c r="F29" i="24" s="1"/>
  <c r="J43" i="8"/>
  <c r="F41" i="24" s="1"/>
  <c r="J13" i="8"/>
  <c r="F11" i="24" s="1"/>
  <c r="J23" i="8"/>
  <c r="F21" i="24" s="1"/>
  <c r="J7" i="8"/>
  <c r="F5" i="24" s="1"/>
  <c r="J9" i="8"/>
  <c r="F7" i="24" s="1"/>
  <c r="J30" i="8"/>
  <c r="F28" i="24" s="1"/>
  <c r="J18" i="8"/>
  <c r="F16" i="24" s="1"/>
  <c r="J22" i="8"/>
  <c r="F20" i="24" s="1"/>
  <c r="J37" i="8"/>
  <c r="F35" i="24" s="1"/>
  <c r="J33" i="8"/>
  <c r="F31" i="24" s="1"/>
  <c r="J25" i="8"/>
  <c r="F23" i="24" s="1"/>
  <c r="J8" i="8"/>
  <c r="F6" i="24" s="1"/>
  <c r="J10" i="8"/>
  <c r="F8" i="24" s="1"/>
  <c r="J12" i="8"/>
  <c r="F10" i="24" s="1"/>
  <c r="J17" i="8"/>
  <c r="F15" i="24" s="1"/>
  <c r="J34" i="8"/>
  <c r="F32" i="24" s="1"/>
  <c r="J36" i="8"/>
  <c r="F34" i="24" s="1"/>
  <c r="J41" i="8"/>
  <c r="F39" i="24" s="1"/>
  <c r="J6" i="8"/>
  <c r="F4" i="24" s="1"/>
  <c r="O21" i="8"/>
  <c r="O35" i="8"/>
  <c r="O46" i="8"/>
  <c r="O27" i="8"/>
  <c r="O44" i="8"/>
  <c r="O32" i="8"/>
  <c r="O15" i="8"/>
  <c r="O40" i="8"/>
  <c r="O39" i="8"/>
  <c r="O20" i="8"/>
  <c r="O16" i="8"/>
  <c r="O45" i="8"/>
  <c r="O28" i="8"/>
  <c r="O49" i="8"/>
  <c r="O26" i="8"/>
  <c r="O19" i="8"/>
  <c r="O42" i="8"/>
  <c r="O11" i="8"/>
  <c r="O24" i="8"/>
  <c r="O5" i="8"/>
  <c r="O38" i="8"/>
  <c r="O14" i="8"/>
  <c r="O31" i="8"/>
  <c r="O43" i="8"/>
  <c r="O13" i="8"/>
  <c r="O23" i="8"/>
  <c r="O7" i="8"/>
  <c r="O9" i="8"/>
  <c r="O30" i="8"/>
  <c r="O48" i="8"/>
  <c r="O18" i="8"/>
  <c r="O22" i="8"/>
  <c r="O37" i="8"/>
  <c r="O33" i="8"/>
  <c r="O25" i="8"/>
  <c r="O8" i="8"/>
  <c r="O10" i="8"/>
  <c r="O12" i="8"/>
  <c r="O17" i="8"/>
  <c r="O34" i="8"/>
  <c r="O36" i="8"/>
  <c r="O41" i="8"/>
  <c r="O6" i="8"/>
  <c r="Z5" i="8" l="1"/>
  <c r="AA5" i="8"/>
  <c r="W5" i="8"/>
  <c r="S5" i="8"/>
  <c r="R5" i="8"/>
  <c r="P5" i="8"/>
  <c r="E15" i="35"/>
  <c r="D15" i="35"/>
  <c r="C15" i="35"/>
  <c r="B15" i="35"/>
  <c r="Y5" i="8"/>
  <c r="AB5" i="8"/>
  <c r="AC5" i="8"/>
  <c r="AD5" i="8"/>
  <c r="AK5" i="8"/>
  <c r="BL5" i="8" s="1"/>
  <c r="AP5" i="8"/>
  <c r="BM5" i="8" s="1"/>
  <c r="C12" i="35"/>
  <c r="B12" i="35"/>
  <c r="P5" i="9"/>
  <c r="L7" i="12"/>
  <c r="L8" i="12"/>
  <c r="L9" i="12"/>
  <c r="L10" i="12"/>
  <c r="L11" i="12"/>
  <c r="L12" i="12"/>
  <c r="L13" i="12"/>
  <c r="L6" i="12"/>
  <c r="T5" i="8" l="1"/>
  <c r="AL5" i="8"/>
  <c r="V5" i="8"/>
  <c r="AX5" i="8" s="1"/>
  <c r="AQ5" i="8"/>
  <c r="U5" i="8"/>
  <c r="AF5" i="8"/>
  <c r="S37" i="20" s="1"/>
  <c r="AT5" i="8" l="1"/>
  <c r="AV5" i="8"/>
  <c r="AW5" i="8"/>
  <c r="AU5" i="8"/>
  <c r="BF5" i="8"/>
  <c r="BH5" i="8" s="1"/>
  <c r="BB5" i="8"/>
  <c r="BD5" i="8" s="1"/>
  <c r="X5" i="8"/>
  <c r="AS5" i="8"/>
  <c r="BK5" i="8"/>
  <c r="AG5" i="8"/>
  <c r="BJ5" i="8"/>
  <c r="AZ5" i="8" l="1"/>
  <c r="Q52" i="34"/>
  <c r="P52" i="34"/>
  <c r="Q51" i="34"/>
  <c r="P51" i="34"/>
  <c r="Q50" i="34"/>
  <c r="P50" i="34"/>
  <c r="Q49" i="34"/>
  <c r="P49" i="34"/>
  <c r="Q48" i="34"/>
  <c r="P48" i="34"/>
  <c r="Q47" i="34"/>
  <c r="P47" i="34"/>
  <c r="Q46" i="34"/>
  <c r="P46" i="34"/>
  <c r="Q45" i="34"/>
  <c r="P45" i="34"/>
  <c r="Q44" i="34"/>
  <c r="P44" i="34"/>
  <c r="Q43" i="34"/>
  <c r="P43" i="34"/>
  <c r="Q42" i="34"/>
  <c r="P42" i="34"/>
  <c r="Q41" i="34"/>
  <c r="P41" i="34"/>
  <c r="Q40" i="34"/>
  <c r="P40" i="34"/>
  <c r="Q39" i="34"/>
  <c r="P39" i="34"/>
  <c r="Q38" i="34"/>
  <c r="P38" i="34"/>
  <c r="Q37" i="34"/>
  <c r="P37" i="34"/>
  <c r="Q36" i="34"/>
  <c r="P36" i="34"/>
  <c r="T37" i="20" l="1"/>
  <c r="I7" i="16"/>
  <c r="K7" i="16" s="1"/>
  <c r="J7" i="16"/>
  <c r="L7" i="16" s="1"/>
  <c r="R51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36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8" i="32"/>
  <c r="AA7" i="8"/>
  <c r="P5" i="24" s="1"/>
  <c r="AA9" i="8"/>
  <c r="P7" i="24" s="1"/>
  <c r="AA10" i="8"/>
  <c r="P8" i="24" s="1"/>
  <c r="AA11" i="8"/>
  <c r="P9" i="24" s="1"/>
  <c r="AA12" i="8"/>
  <c r="P10" i="24" s="1"/>
  <c r="AA13" i="8"/>
  <c r="P11" i="24" s="1"/>
  <c r="AA14" i="8"/>
  <c r="P12" i="24" s="1"/>
  <c r="AA15" i="8"/>
  <c r="P13" i="24" s="1"/>
  <c r="AA16" i="8"/>
  <c r="P14" i="24" s="1"/>
  <c r="AA17" i="8"/>
  <c r="P15" i="24" s="1"/>
  <c r="AA18" i="8"/>
  <c r="P16" i="24" s="1"/>
  <c r="AA19" i="8"/>
  <c r="P17" i="24" s="1"/>
  <c r="AA20" i="8"/>
  <c r="P18" i="24" s="1"/>
  <c r="AA21" i="8"/>
  <c r="P19" i="24" s="1"/>
  <c r="AA22" i="8"/>
  <c r="P20" i="24" s="1"/>
  <c r="AA23" i="8"/>
  <c r="P21" i="24" s="1"/>
  <c r="AA24" i="8"/>
  <c r="P22" i="24" s="1"/>
  <c r="AA25" i="8"/>
  <c r="P23" i="24" s="1"/>
  <c r="AA26" i="8"/>
  <c r="P24" i="24" s="1"/>
  <c r="AA27" i="8"/>
  <c r="P25" i="24" s="1"/>
  <c r="AA28" i="8"/>
  <c r="P26" i="24" s="1"/>
  <c r="AA30" i="8"/>
  <c r="P28" i="24" s="1"/>
  <c r="AA31" i="8"/>
  <c r="P29" i="24" s="1"/>
  <c r="AA32" i="8"/>
  <c r="P30" i="24" s="1"/>
  <c r="AA33" i="8"/>
  <c r="P31" i="24" s="1"/>
  <c r="AA35" i="8"/>
  <c r="P33" i="24" s="1"/>
  <c r="AA36" i="8"/>
  <c r="P34" i="24" s="1"/>
  <c r="AA37" i="8"/>
  <c r="P35" i="24" s="1"/>
  <c r="AA38" i="8"/>
  <c r="P36" i="24" s="1"/>
  <c r="AA40" i="8"/>
  <c r="P38" i="24" s="1"/>
  <c r="AA41" i="8"/>
  <c r="P39" i="24" s="1"/>
  <c r="AA42" i="8"/>
  <c r="P40" i="24" s="1"/>
  <c r="AA43" i="8"/>
  <c r="P41" i="24" s="1"/>
  <c r="AA44" i="8"/>
  <c r="P42" i="24" s="1"/>
  <c r="AA45" i="8"/>
  <c r="P43" i="24" s="1"/>
  <c r="AA46" i="8"/>
  <c r="P44" i="24" s="1"/>
  <c r="AA47" i="8"/>
  <c r="P45" i="24" s="1"/>
  <c r="AA48" i="8"/>
  <c r="P46" i="24" s="1"/>
  <c r="AA49" i="8"/>
  <c r="P47" i="24" s="1"/>
  <c r="AA6" i="8"/>
  <c r="P4" i="24" s="1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Q52" i="32"/>
  <c r="Q8" i="32"/>
  <c r="P49" i="32"/>
  <c r="P50" i="32"/>
  <c r="P51" i="32"/>
  <c r="P52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P30" i="32"/>
  <c r="P31" i="32"/>
  <c r="P32" i="32"/>
  <c r="P33" i="32"/>
  <c r="P34" i="32"/>
  <c r="P35" i="32"/>
  <c r="P36" i="32"/>
  <c r="P37" i="32"/>
  <c r="P38" i="32"/>
  <c r="P39" i="32"/>
  <c r="P40" i="32"/>
  <c r="P41" i="32"/>
  <c r="P42" i="32"/>
  <c r="P43" i="32"/>
  <c r="P44" i="32"/>
  <c r="P45" i="32"/>
  <c r="P46" i="32"/>
  <c r="P47" i="32"/>
  <c r="P48" i="32"/>
  <c r="P8" i="32"/>
  <c r="AD26" i="10" l="1"/>
  <c r="AB26" i="10"/>
  <c r="P25" i="26" s="1"/>
  <c r="Z26" i="10"/>
  <c r="N25" i="26" s="1"/>
  <c r="X26" i="10"/>
  <c r="L25" i="26" s="1"/>
  <c r="V26" i="10"/>
  <c r="J25" i="26" s="1"/>
  <c r="AD27" i="10"/>
  <c r="AB27" i="10"/>
  <c r="P26" i="26" s="1"/>
  <c r="Z27" i="10"/>
  <c r="N26" i="26" s="1"/>
  <c r="X27" i="10"/>
  <c r="L26" i="26" s="1"/>
  <c r="V27" i="10"/>
  <c r="J26" i="26" s="1"/>
  <c r="AD28" i="10"/>
  <c r="AB28" i="10"/>
  <c r="P27" i="26" s="1"/>
  <c r="Z28" i="10"/>
  <c r="N27" i="26" s="1"/>
  <c r="X28" i="10"/>
  <c r="L27" i="26" s="1"/>
  <c r="V28" i="10"/>
  <c r="J27" i="26" s="1"/>
  <c r="AD29" i="10"/>
  <c r="AB29" i="10"/>
  <c r="P28" i="26" s="1"/>
  <c r="Z29" i="10"/>
  <c r="N28" i="26" s="1"/>
  <c r="X29" i="10"/>
  <c r="L28" i="26" s="1"/>
  <c r="V29" i="10"/>
  <c r="J28" i="26" s="1"/>
  <c r="AD30" i="10"/>
  <c r="AB30" i="10"/>
  <c r="P29" i="26" s="1"/>
  <c r="Z30" i="10"/>
  <c r="N29" i="26" s="1"/>
  <c r="X30" i="10"/>
  <c r="L29" i="26" s="1"/>
  <c r="V30" i="10"/>
  <c r="J29" i="26" s="1"/>
  <c r="AD31" i="10"/>
  <c r="AB31" i="10"/>
  <c r="P30" i="26" s="1"/>
  <c r="Z31" i="10"/>
  <c r="N30" i="26" s="1"/>
  <c r="X31" i="10"/>
  <c r="L30" i="26" s="1"/>
  <c r="V31" i="10"/>
  <c r="J30" i="26" s="1"/>
  <c r="AD32" i="10"/>
  <c r="AB32" i="10"/>
  <c r="P31" i="26" s="1"/>
  <c r="Z32" i="10"/>
  <c r="N31" i="26" s="1"/>
  <c r="X32" i="10"/>
  <c r="L31" i="26" s="1"/>
  <c r="V32" i="10"/>
  <c r="J31" i="26" s="1"/>
  <c r="AD33" i="10"/>
  <c r="AB33" i="10"/>
  <c r="Z33" i="10"/>
  <c r="X33" i="10"/>
  <c r="V33" i="10"/>
  <c r="AD34" i="10"/>
  <c r="AB34" i="10"/>
  <c r="Z34" i="10"/>
  <c r="X34" i="10"/>
  <c r="V34" i="10"/>
  <c r="AD35" i="10"/>
  <c r="AB35" i="10"/>
  <c r="Z35" i="10"/>
  <c r="X35" i="10"/>
  <c r="V35" i="10"/>
  <c r="AD36" i="10"/>
  <c r="AB36" i="10"/>
  <c r="Z36" i="10"/>
  <c r="X36" i="10"/>
  <c r="V36" i="10"/>
  <c r="AD37" i="10"/>
  <c r="AB37" i="10"/>
  <c r="Z37" i="10"/>
  <c r="X37" i="10"/>
  <c r="V37" i="10"/>
  <c r="AD38" i="10"/>
  <c r="AB38" i="10"/>
  <c r="Z38" i="10"/>
  <c r="X38" i="10"/>
  <c r="V38" i="10"/>
  <c r="V23" i="10"/>
  <c r="J22" i="26" s="1"/>
  <c r="B29" i="10" l="1"/>
  <c r="B27" i="10"/>
  <c r="AE26" i="10"/>
  <c r="AE27" i="10"/>
  <c r="B26" i="10"/>
  <c r="AE28" i="10"/>
  <c r="AE29" i="10"/>
  <c r="B28" i="10"/>
  <c r="AE36" i="10"/>
  <c r="AE30" i="10"/>
  <c r="AE34" i="10"/>
  <c r="B30" i="10"/>
  <c r="AE38" i="10"/>
  <c r="AE31" i="10"/>
  <c r="AE33" i="10"/>
  <c r="B31" i="10"/>
  <c r="B36" i="10"/>
  <c r="AE32" i="10"/>
  <c r="AE35" i="10"/>
  <c r="B32" i="10"/>
  <c r="B33" i="10"/>
  <c r="B34" i="10"/>
  <c r="B35" i="10"/>
  <c r="AE37" i="10"/>
  <c r="B37" i="10"/>
  <c r="B38" i="10"/>
  <c r="Y61" i="6" l="1"/>
  <c r="Z61" i="6"/>
  <c r="AB61" i="6" s="1"/>
  <c r="Y62" i="6"/>
  <c r="Z62" i="6"/>
  <c r="AB62" i="6" s="1"/>
  <c r="D22" i="16" l="1"/>
  <c r="E22" i="16"/>
  <c r="F22" i="16"/>
  <c r="D23" i="16"/>
  <c r="E23" i="16"/>
  <c r="F23" i="16"/>
  <c r="D24" i="16"/>
  <c r="E24" i="16"/>
  <c r="F24" i="16"/>
  <c r="D25" i="16"/>
  <c r="E25" i="16"/>
  <c r="F25" i="16"/>
  <c r="D26" i="16"/>
  <c r="E26" i="16"/>
  <c r="F26" i="16"/>
  <c r="D27" i="16"/>
  <c r="E27" i="16"/>
  <c r="F27" i="16"/>
  <c r="D28" i="16"/>
  <c r="E28" i="16"/>
  <c r="F28" i="16"/>
  <c r="D29" i="16"/>
  <c r="E29" i="16"/>
  <c r="F29" i="16"/>
  <c r="D30" i="16"/>
  <c r="E30" i="16"/>
  <c r="F30" i="16"/>
  <c r="D31" i="16"/>
  <c r="E31" i="16"/>
  <c r="F31" i="16"/>
  <c r="D32" i="16"/>
  <c r="E32" i="16"/>
  <c r="F32" i="16"/>
  <c r="D33" i="16"/>
  <c r="E33" i="16"/>
  <c r="F33" i="16"/>
  <c r="D34" i="16"/>
  <c r="E34" i="16"/>
  <c r="F34" i="16"/>
  <c r="D35" i="16"/>
  <c r="E35" i="16"/>
  <c r="F35" i="16"/>
  <c r="D36" i="16"/>
  <c r="E36" i="16"/>
  <c r="F36" i="16"/>
  <c r="D37" i="16"/>
  <c r="E37" i="16"/>
  <c r="F37" i="16"/>
  <c r="D38" i="16"/>
  <c r="E38" i="16"/>
  <c r="F38" i="16"/>
  <c r="D39" i="16"/>
  <c r="E39" i="16"/>
  <c r="F39" i="16"/>
  <c r="D40" i="16"/>
  <c r="E40" i="16"/>
  <c r="F40" i="16"/>
  <c r="D41" i="16"/>
  <c r="E41" i="16"/>
  <c r="F41" i="16"/>
  <c r="D42" i="16"/>
  <c r="E42" i="16"/>
  <c r="F42" i="16"/>
  <c r="D43" i="16"/>
  <c r="E43" i="16"/>
  <c r="F43" i="16"/>
  <c r="D44" i="16"/>
  <c r="E44" i="16"/>
  <c r="F44" i="16"/>
  <c r="D45" i="16"/>
  <c r="E45" i="16"/>
  <c r="F45" i="16"/>
  <c r="D46" i="16"/>
  <c r="E46" i="16"/>
  <c r="F46" i="16"/>
  <c r="D47" i="16"/>
  <c r="E47" i="16"/>
  <c r="F47" i="16"/>
  <c r="D48" i="16"/>
  <c r="E48" i="16"/>
  <c r="F48" i="16"/>
  <c r="D49" i="16"/>
  <c r="E49" i="16"/>
  <c r="F49" i="16"/>
  <c r="D50" i="16"/>
  <c r="E50" i="16"/>
  <c r="F50" i="16"/>
  <c r="D51" i="16"/>
  <c r="E51" i="16"/>
  <c r="F51" i="16"/>
  <c r="D52" i="16"/>
  <c r="E52" i="16"/>
  <c r="F52" i="16"/>
  <c r="D53" i="16"/>
  <c r="E53" i="16"/>
  <c r="F53" i="16"/>
  <c r="D54" i="16"/>
  <c r="E54" i="16"/>
  <c r="F54" i="16"/>
  <c r="D55" i="16"/>
  <c r="E55" i="16"/>
  <c r="F55" i="16"/>
  <c r="D56" i="16"/>
  <c r="E56" i="16"/>
  <c r="F56" i="16"/>
  <c r="D57" i="16"/>
  <c r="E57" i="16"/>
  <c r="F57" i="16"/>
  <c r="D58" i="16"/>
  <c r="E58" i="16"/>
  <c r="F58" i="16"/>
  <c r="D59" i="16"/>
  <c r="E59" i="16"/>
  <c r="F59" i="16"/>
  <c r="D60" i="16"/>
  <c r="E60" i="16"/>
  <c r="F60" i="16"/>
  <c r="D61" i="16"/>
  <c r="E61" i="16"/>
  <c r="F61" i="16"/>
  <c r="D62" i="16"/>
  <c r="E62" i="16"/>
  <c r="F62" i="16"/>
  <c r="D63" i="16"/>
  <c r="E63" i="16"/>
  <c r="F63" i="16"/>
  <c r="D64" i="16"/>
  <c r="E64" i="16"/>
  <c r="F64" i="16"/>
  <c r="D65" i="16"/>
  <c r="E65" i="16"/>
  <c r="F65" i="16"/>
  <c r="D66" i="16"/>
  <c r="E66" i="16"/>
  <c r="F66" i="16"/>
  <c r="D67" i="16"/>
  <c r="E67" i="16"/>
  <c r="F67" i="16"/>
  <c r="D68" i="16"/>
  <c r="E68" i="16"/>
  <c r="F68" i="16"/>
  <c r="D69" i="16"/>
  <c r="E69" i="16"/>
  <c r="F69" i="16"/>
  <c r="D70" i="16"/>
  <c r="E70" i="16"/>
  <c r="F70" i="16"/>
  <c r="D71" i="16"/>
  <c r="E71" i="16"/>
  <c r="F71" i="16"/>
  <c r="D72" i="16"/>
  <c r="E72" i="16"/>
  <c r="F72" i="16"/>
  <c r="D73" i="16"/>
  <c r="E73" i="16"/>
  <c r="F73" i="16"/>
  <c r="AL50" i="33"/>
  <c r="AK50" i="33"/>
  <c r="AL49" i="33"/>
  <c r="H73" i="16" s="1"/>
  <c r="AK49" i="33"/>
  <c r="G73" i="16" s="1"/>
  <c r="AL48" i="33"/>
  <c r="H72" i="16" s="1"/>
  <c r="AK48" i="33"/>
  <c r="G72" i="16" s="1"/>
  <c r="AL47" i="33"/>
  <c r="H71" i="16" s="1"/>
  <c r="AK47" i="33"/>
  <c r="G71" i="16" s="1"/>
  <c r="AL46" i="33"/>
  <c r="H70" i="16" s="1"/>
  <c r="AK46" i="33"/>
  <c r="G70" i="16" s="1"/>
  <c r="AL45" i="33"/>
  <c r="H68" i="16" s="1"/>
  <c r="AK45" i="33"/>
  <c r="G68" i="16" s="1"/>
  <c r="AL44" i="33"/>
  <c r="H65" i="16" s="1"/>
  <c r="AK44" i="33"/>
  <c r="G65" i="16" s="1"/>
  <c r="AL43" i="33"/>
  <c r="H64" i="16" s="1"/>
  <c r="AK43" i="33"/>
  <c r="G64" i="16" s="1"/>
  <c r="AL42" i="33"/>
  <c r="H63" i="16" s="1"/>
  <c r="AK42" i="33"/>
  <c r="G63" i="16" s="1"/>
  <c r="AL41" i="33"/>
  <c r="H62" i="16" s="1"/>
  <c r="AK41" i="33"/>
  <c r="G62" i="16" s="1"/>
  <c r="AL40" i="33"/>
  <c r="H61" i="16" s="1"/>
  <c r="AK40" i="33"/>
  <c r="G61" i="16" s="1"/>
  <c r="AL38" i="33"/>
  <c r="H59" i="16" s="1"/>
  <c r="AK38" i="33"/>
  <c r="G59" i="16" s="1"/>
  <c r="AL37" i="33"/>
  <c r="H58" i="16" s="1"/>
  <c r="AK37" i="33"/>
  <c r="G58" i="16" s="1"/>
  <c r="AL36" i="33"/>
  <c r="H56" i="16" s="1"/>
  <c r="AK36" i="33"/>
  <c r="G56" i="16" s="1"/>
  <c r="AL35" i="33"/>
  <c r="H55" i="16" s="1"/>
  <c r="AK35" i="33"/>
  <c r="G55" i="16" s="1"/>
  <c r="AL34" i="33"/>
  <c r="H54" i="16" s="1"/>
  <c r="AK34" i="33"/>
  <c r="G54" i="16" s="1"/>
  <c r="AL33" i="33"/>
  <c r="H53" i="16" s="1"/>
  <c r="AK33" i="33"/>
  <c r="G53" i="16" s="1"/>
  <c r="AL32" i="33"/>
  <c r="H52" i="16" s="1"/>
  <c r="AK32" i="33"/>
  <c r="G52" i="16" s="1"/>
  <c r="AL31" i="33"/>
  <c r="H50" i="16" s="1"/>
  <c r="AK31" i="33"/>
  <c r="G50" i="16" s="1"/>
  <c r="AL30" i="33"/>
  <c r="H49" i="16" s="1"/>
  <c r="AK30" i="33"/>
  <c r="G49" i="16" s="1"/>
  <c r="AL29" i="33"/>
  <c r="H48" i="16" s="1"/>
  <c r="AK29" i="33"/>
  <c r="G48" i="16" s="1"/>
  <c r="AL28" i="33"/>
  <c r="H47" i="16" s="1"/>
  <c r="AK28" i="33"/>
  <c r="G47" i="16" s="1"/>
  <c r="AL27" i="33"/>
  <c r="H46" i="16" s="1"/>
  <c r="AK27" i="33"/>
  <c r="G46" i="16" s="1"/>
  <c r="AL26" i="33"/>
  <c r="H45" i="16" s="1"/>
  <c r="AK26" i="33"/>
  <c r="G45" i="16" s="1"/>
  <c r="AL25" i="33"/>
  <c r="H44" i="16" s="1"/>
  <c r="AK25" i="33"/>
  <c r="G44" i="16" s="1"/>
  <c r="AL24" i="33"/>
  <c r="H40" i="16" s="1"/>
  <c r="AK24" i="33"/>
  <c r="G40" i="16" s="1"/>
  <c r="AL23" i="33"/>
  <c r="H39" i="16" s="1"/>
  <c r="AK23" i="33"/>
  <c r="G39" i="16" s="1"/>
  <c r="AL22" i="33"/>
  <c r="H38" i="16" s="1"/>
  <c r="AK22" i="33"/>
  <c r="G38" i="16" s="1"/>
  <c r="AL21" i="33"/>
  <c r="H37" i="16" s="1"/>
  <c r="AK21" i="33"/>
  <c r="G37" i="16" s="1"/>
  <c r="AL20" i="33"/>
  <c r="H36" i="16" s="1"/>
  <c r="AK20" i="33"/>
  <c r="G36" i="16" s="1"/>
  <c r="AL19" i="33"/>
  <c r="H35" i="16" s="1"/>
  <c r="AK19" i="33"/>
  <c r="G35" i="16" s="1"/>
  <c r="AL18" i="33"/>
  <c r="H34" i="16" s="1"/>
  <c r="AK18" i="33"/>
  <c r="G34" i="16" s="1"/>
  <c r="AL17" i="33"/>
  <c r="H32" i="16" s="1"/>
  <c r="AK17" i="33"/>
  <c r="G32" i="16" s="1"/>
  <c r="AL16" i="33"/>
  <c r="H31" i="16" s="1"/>
  <c r="AK16" i="33"/>
  <c r="G31" i="16" s="1"/>
  <c r="AL15" i="33"/>
  <c r="H30" i="16" s="1"/>
  <c r="AK15" i="33"/>
  <c r="G30" i="16" s="1"/>
  <c r="AL14" i="33"/>
  <c r="H29" i="16" s="1"/>
  <c r="AK14" i="33"/>
  <c r="G29" i="16" s="1"/>
  <c r="AL13" i="33"/>
  <c r="H28" i="16" s="1"/>
  <c r="AK13" i="33"/>
  <c r="G28" i="16" s="1"/>
  <c r="AL12" i="33"/>
  <c r="H27" i="16" s="1"/>
  <c r="AK12" i="33"/>
  <c r="G27" i="16" s="1"/>
  <c r="AL11" i="33"/>
  <c r="H26" i="16" s="1"/>
  <c r="AK11" i="33"/>
  <c r="G26" i="16" s="1"/>
  <c r="AL10" i="33"/>
  <c r="H25" i="16" s="1"/>
  <c r="AK10" i="33"/>
  <c r="G25" i="16" s="1"/>
  <c r="AL8" i="33"/>
  <c r="H23" i="16" s="1"/>
  <c r="AK8" i="33"/>
  <c r="G23" i="16" s="1"/>
  <c r="AL7" i="33"/>
  <c r="H21" i="16" s="1"/>
  <c r="AK7" i="33"/>
  <c r="G21" i="16" s="1"/>
  <c r="AL6" i="33"/>
  <c r="AK6" i="33"/>
  <c r="AD7" i="8"/>
  <c r="S5" i="24" s="1"/>
  <c r="AD9" i="8"/>
  <c r="S7" i="24" s="1"/>
  <c r="AD10" i="8"/>
  <c r="S8" i="24" s="1"/>
  <c r="AD11" i="8"/>
  <c r="S9" i="24" s="1"/>
  <c r="AD12" i="8"/>
  <c r="S10" i="24" s="1"/>
  <c r="AD13" i="8"/>
  <c r="S11" i="24" s="1"/>
  <c r="AD14" i="8"/>
  <c r="S12" i="24" s="1"/>
  <c r="AD15" i="8"/>
  <c r="S13" i="24" s="1"/>
  <c r="AD16" i="8"/>
  <c r="S14" i="24" s="1"/>
  <c r="AD17" i="8"/>
  <c r="S15" i="24" s="1"/>
  <c r="AD18" i="8"/>
  <c r="S16" i="24" s="1"/>
  <c r="AD19" i="8"/>
  <c r="S17" i="24" s="1"/>
  <c r="AD20" i="8"/>
  <c r="S18" i="24" s="1"/>
  <c r="AD21" i="8"/>
  <c r="S19" i="24" s="1"/>
  <c r="AD22" i="8"/>
  <c r="S20" i="24" s="1"/>
  <c r="AD23" i="8"/>
  <c r="S21" i="24" s="1"/>
  <c r="AD24" i="8"/>
  <c r="S22" i="24" s="1"/>
  <c r="AD25" i="8"/>
  <c r="S23" i="24" s="1"/>
  <c r="AD26" i="8"/>
  <c r="S24" i="24" s="1"/>
  <c r="AD27" i="8"/>
  <c r="S25" i="24" s="1"/>
  <c r="AD28" i="8"/>
  <c r="S26" i="24" s="1"/>
  <c r="AF29" i="8"/>
  <c r="T27" i="24" s="1"/>
  <c r="AD30" i="8"/>
  <c r="S28" i="24" s="1"/>
  <c r="AD31" i="8"/>
  <c r="S29" i="24" s="1"/>
  <c r="AD32" i="8"/>
  <c r="S30" i="24" s="1"/>
  <c r="AD33" i="8"/>
  <c r="S31" i="24" s="1"/>
  <c r="AD35" i="8"/>
  <c r="S33" i="24" s="1"/>
  <c r="AD36" i="8"/>
  <c r="S34" i="24" s="1"/>
  <c r="AD37" i="8"/>
  <c r="S35" i="24" s="1"/>
  <c r="AD38" i="8"/>
  <c r="S36" i="24" s="1"/>
  <c r="AD40" i="8"/>
  <c r="S38" i="24" s="1"/>
  <c r="AD41" i="8"/>
  <c r="S39" i="24" s="1"/>
  <c r="AD42" i="8"/>
  <c r="S40" i="24" s="1"/>
  <c r="AD43" i="8"/>
  <c r="S41" i="24" s="1"/>
  <c r="AD44" i="8"/>
  <c r="S42" i="24" s="1"/>
  <c r="AD45" i="8"/>
  <c r="S43" i="24" s="1"/>
  <c r="AD6" i="8"/>
  <c r="S4" i="24" s="1"/>
  <c r="Z9" i="8"/>
  <c r="O7" i="24" s="1"/>
  <c r="AD46" i="8"/>
  <c r="S44" i="24" s="1"/>
  <c r="AD47" i="8"/>
  <c r="S45" i="24" s="1"/>
  <c r="AD48" i="8"/>
  <c r="S46" i="24" s="1"/>
  <c r="AD49" i="8"/>
  <c r="S47" i="24" s="1"/>
  <c r="T8" i="32"/>
  <c r="Z7" i="8"/>
  <c r="O5" i="24" s="1"/>
  <c r="Z10" i="8"/>
  <c r="O8" i="24" s="1"/>
  <c r="Z11" i="8"/>
  <c r="O9" i="24" s="1"/>
  <c r="Z12" i="8"/>
  <c r="O10" i="24" s="1"/>
  <c r="Z13" i="8"/>
  <c r="O11" i="24" s="1"/>
  <c r="Z14" i="8"/>
  <c r="O12" i="24" s="1"/>
  <c r="Z15" i="8"/>
  <c r="O13" i="24" s="1"/>
  <c r="Z16" i="8"/>
  <c r="O14" i="24" s="1"/>
  <c r="Z17" i="8"/>
  <c r="O15" i="24" s="1"/>
  <c r="Z21" i="8"/>
  <c r="O19" i="24" s="1"/>
  <c r="Z22" i="8"/>
  <c r="O20" i="24" s="1"/>
  <c r="Z23" i="8"/>
  <c r="O21" i="24" s="1"/>
  <c r="Z24" i="8"/>
  <c r="O22" i="24" s="1"/>
  <c r="Z25" i="8"/>
  <c r="O23" i="24" s="1"/>
  <c r="Z26" i="8"/>
  <c r="O24" i="24" s="1"/>
  <c r="Z27" i="8"/>
  <c r="O25" i="24" s="1"/>
  <c r="Z28" i="8"/>
  <c r="O26" i="24" s="1"/>
  <c r="Z30" i="8"/>
  <c r="O28" i="24" s="1"/>
  <c r="Z31" i="8"/>
  <c r="O29" i="24" s="1"/>
  <c r="Z33" i="8"/>
  <c r="O31" i="24" s="1"/>
  <c r="Z35" i="8"/>
  <c r="O33" i="24" s="1"/>
  <c r="Z36" i="8"/>
  <c r="O34" i="24" s="1"/>
  <c r="Z37" i="8"/>
  <c r="O35" i="24" s="1"/>
  <c r="Z38" i="8"/>
  <c r="O36" i="24" s="1"/>
  <c r="Z40" i="8"/>
  <c r="O38" i="24" s="1"/>
  <c r="Z41" i="8"/>
  <c r="O39" i="24" s="1"/>
  <c r="Z42" i="8"/>
  <c r="O40" i="24" s="1"/>
  <c r="Z45" i="8"/>
  <c r="O43" i="24" s="1"/>
  <c r="Z46" i="8"/>
  <c r="O44" i="24" s="1"/>
  <c r="Z47" i="8"/>
  <c r="O45" i="24" s="1"/>
  <c r="Z48" i="8"/>
  <c r="O46" i="24" s="1"/>
  <c r="Z49" i="8"/>
  <c r="O47" i="24" s="1"/>
  <c r="Y7" i="8"/>
  <c r="N5" i="24" s="1"/>
  <c r="AB7" i="8"/>
  <c r="Q5" i="24" s="1"/>
  <c r="AC7" i="8"/>
  <c r="R5" i="24" s="1"/>
  <c r="Y9" i="8"/>
  <c r="N7" i="24" s="1"/>
  <c r="AB9" i="8"/>
  <c r="Q7" i="24" s="1"/>
  <c r="AC9" i="8"/>
  <c r="R7" i="24" s="1"/>
  <c r="Y10" i="8"/>
  <c r="N8" i="24" s="1"/>
  <c r="AB10" i="8"/>
  <c r="Q8" i="24" s="1"/>
  <c r="AC10" i="8"/>
  <c r="R8" i="24" s="1"/>
  <c r="Y11" i="8"/>
  <c r="N9" i="24" s="1"/>
  <c r="AB11" i="8"/>
  <c r="Q9" i="24" s="1"/>
  <c r="AC11" i="8"/>
  <c r="R9" i="24" s="1"/>
  <c r="Y12" i="8"/>
  <c r="N10" i="24" s="1"/>
  <c r="AB12" i="8"/>
  <c r="Q10" i="24" s="1"/>
  <c r="AC12" i="8"/>
  <c r="R10" i="24" s="1"/>
  <c r="Y13" i="8"/>
  <c r="N11" i="24" s="1"/>
  <c r="AB13" i="8"/>
  <c r="Q11" i="24" s="1"/>
  <c r="AC13" i="8"/>
  <c r="R11" i="24" s="1"/>
  <c r="Y14" i="8"/>
  <c r="N12" i="24" s="1"/>
  <c r="AB14" i="8"/>
  <c r="Q12" i="24" s="1"/>
  <c r="AC14" i="8"/>
  <c r="R12" i="24" s="1"/>
  <c r="Y15" i="8"/>
  <c r="N13" i="24" s="1"/>
  <c r="AB15" i="8"/>
  <c r="Q13" i="24" s="1"/>
  <c r="AC15" i="8"/>
  <c r="R13" i="24" s="1"/>
  <c r="Y16" i="8"/>
  <c r="N14" i="24" s="1"/>
  <c r="AB16" i="8"/>
  <c r="Q14" i="24" s="1"/>
  <c r="AC16" i="8"/>
  <c r="R14" i="24" s="1"/>
  <c r="X17" i="20"/>
  <c r="Y17" i="8"/>
  <c r="N15" i="24" s="1"/>
  <c r="AB17" i="8"/>
  <c r="Q15" i="24" s="1"/>
  <c r="AC17" i="8"/>
  <c r="R15" i="24" s="1"/>
  <c r="Y18" i="8"/>
  <c r="N16" i="24" s="1"/>
  <c r="AB18" i="8"/>
  <c r="Q16" i="24" s="1"/>
  <c r="AC18" i="8"/>
  <c r="R16" i="24" s="1"/>
  <c r="Y19" i="8"/>
  <c r="N17" i="24" s="1"/>
  <c r="AB19" i="8"/>
  <c r="Q17" i="24" s="1"/>
  <c r="AC19" i="8"/>
  <c r="R17" i="24" s="1"/>
  <c r="Y20" i="8"/>
  <c r="N18" i="24" s="1"/>
  <c r="AB20" i="8"/>
  <c r="Q18" i="24" s="1"/>
  <c r="AC20" i="8"/>
  <c r="R18" i="24" s="1"/>
  <c r="Y21" i="8"/>
  <c r="N19" i="24" s="1"/>
  <c r="AB21" i="8"/>
  <c r="Q19" i="24" s="1"/>
  <c r="AC21" i="8"/>
  <c r="R19" i="24" s="1"/>
  <c r="Y22" i="8"/>
  <c r="N20" i="24" s="1"/>
  <c r="AB22" i="8"/>
  <c r="Q20" i="24" s="1"/>
  <c r="AC22" i="8"/>
  <c r="R20" i="24" s="1"/>
  <c r="Y23" i="8"/>
  <c r="N21" i="24" s="1"/>
  <c r="AB23" i="8"/>
  <c r="Q21" i="24" s="1"/>
  <c r="AC23" i="8"/>
  <c r="R21" i="24" s="1"/>
  <c r="Y24" i="8"/>
  <c r="N22" i="24" s="1"/>
  <c r="AB24" i="8"/>
  <c r="Q22" i="24" s="1"/>
  <c r="AC24" i="8"/>
  <c r="R22" i="24" s="1"/>
  <c r="Y25" i="8"/>
  <c r="N23" i="24" s="1"/>
  <c r="AB25" i="8"/>
  <c r="Q23" i="24" s="1"/>
  <c r="AC25" i="8"/>
  <c r="R23" i="24" s="1"/>
  <c r="Y26" i="8"/>
  <c r="N24" i="24" s="1"/>
  <c r="AB26" i="8"/>
  <c r="Q24" i="24" s="1"/>
  <c r="AC26" i="8"/>
  <c r="R24" i="24" s="1"/>
  <c r="Y27" i="8"/>
  <c r="N25" i="24" s="1"/>
  <c r="AB27" i="8"/>
  <c r="Q25" i="24" s="1"/>
  <c r="AC27" i="8"/>
  <c r="R25" i="24" s="1"/>
  <c r="Y28" i="8"/>
  <c r="N26" i="24" s="1"/>
  <c r="AB28" i="8"/>
  <c r="Q26" i="24" s="1"/>
  <c r="AC28" i="8"/>
  <c r="R26" i="24" s="1"/>
  <c r="Y30" i="8"/>
  <c r="N28" i="24" s="1"/>
  <c r="AB30" i="8"/>
  <c r="Q28" i="24" s="1"/>
  <c r="AC30" i="8"/>
  <c r="R28" i="24" s="1"/>
  <c r="Y31" i="8"/>
  <c r="N29" i="24" s="1"/>
  <c r="AB31" i="8"/>
  <c r="Q29" i="24" s="1"/>
  <c r="AC31" i="8"/>
  <c r="R29" i="24" s="1"/>
  <c r="Y32" i="8"/>
  <c r="N30" i="24" s="1"/>
  <c r="AB32" i="8"/>
  <c r="Q30" i="24" s="1"/>
  <c r="AC32" i="8"/>
  <c r="R30" i="24" s="1"/>
  <c r="Y33" i="8"/>
  <c r="N31" i="24" s="1"/>
  <c r="AB33" i="8"/>
  <c r="Q31" i="24" s="1"/>
  <c r="AC33" i="8"/>
  <c r="R31" i="24" s="1"/>
  <c r="Y35" i="8"/>
  <c r="N33" i="24" s="1"/>
  <c r="AB35" i="8"/>
  <c r="Q33" i="24" s="1"/>
  <c r="AC35" i="8"/>
  <c r="R33" i="24" s="1"/>
  <c r="Y36" i="8"/>
  <c r="N34" i="24" s="1"/>
  <c r="AB36" i="8"/>
  <c r="Q34" i="24" s="1"/>
  <c r="AC36" i="8"/>
  <c r="R34" i="24" s="1"/>
  <c r="Y37" i="8"/>
  <c r="N35" i="24" s="1"/>
  <c r="AB37" i="8"/>
  <c r="Q35" i="24" s="1"/>
  <c r="AC37" i="8"/>
  <c r="R35" i="24" s="1"/>
  <c r="Y38" i="8"/>
  <c r="N36" i="24" s="1"/>
  <c r="AB38" i="8"/>
  <c r="Q36" i="24" s="1"/>
  <c r="AC38" i="8"/>
  <c r="R36" i="24" s="1"/>
  <c r="Y40" i="8"/>
  <c r="N38" i="24" s="1"/>
  <c r="AB40" i="8"/>
  <c r="Q38" i="24" s="1"/>
  <c r="AC40" i="8"/>
  <c r="R38" i="24" s="1"/>
  <c r="Y41" i="8"/>
  <c r="N39" i="24" s="1"/>
  <c r="AB41" i="8"/>
  <c r="Q39" i="24" s="1"/>
  <c r="AC41" i="8"/>
  <c r="R39" i="24" s="1"/>
  <c r="Y42" i="8"/>
  <c r="N40" i="24" s="1"/>
  <c r="AB42" i="8"/>
  <c r="Q40" i="24" s="1"/>
  <c r="AC42" i="8"/>
  <c r="R40" i="24" s="1"/>
  <c r="Y43" i="8"/>
  <c r="N41" i="24" s="1"/>
  <c r="AB43" i="8"/>
  <c r="Q41" i="24" s="1"/>
  <c r="AC43" i="8"/>
  <c r="R41" i="24" s="1"/>
  <c r="Y44" i="8"/>
  <c r="N42" i="24" s="1"/>
  <c r="AB44" i="8"/>
  <c r="Q42" i="24" s="1"/>
  <c r="AC44" i="8"/>
  <c r="R42" i="24" s="1"/>
  <c r="Y45" i="8"/>
  <c r="N43" i="24" s="1"/>
  <c r="AB45" i="8"/>
  <c r="Q43" i="24" s="1"/>
  <c r="AC45" i="8"/>
  <c r="R43" i="24" s="1"/>
  <c r="Y46" i="8"/>
  <c r="N44" i="24" s="1"/>
  <c r="AB46" i="8"/>
  <c r="Q44" i="24" s="1"/>
  <c r="AC46" i="8"/>
  <c r="R44" i="24" s="1"/>
  <c r="Y47" i="8"/>
  <c r="N45" i="24" s="1"/>
  <c r="AB47" i="8"/>
  <c r="Q45" i="24" s="1"/>
  <c r="AC47" i="8"/>
  <c r="R45" i="24" s="1"/>
  <c r="Y48" i="8"/>
  <c r="N46" i="24" s="1"/>
  <c r="AB48" i="8"/>
  <c r="Q46" i="24" s="1"/>
  <c r="AC48" i="8"/>
  <c r="R46" i="24" s="1"/>
  <c r="Y49" i="8"/>
  <c r="N47" i="24" s="1"/>
  <c r="AB49" i="8"/>
  <c r="Q47" i="24" s="1"/>
  <c r="AC49" i="8"/>
  <c r="R47" i="24" s="1"/>
  <c r="AC6" i="8"/>
  <c r="R4" i="24" s="1"/>
  <c r="AB6" i="8"/>
  <c r="Q4" i="24" s="1"/>
  <c r="Y6" i="8"/>
  <c r="N4" i="24" s="1"/>
  <c r="N3" i="23"/>
  <c r="M3" i="23"/>
  <c r="L3" i="23"/>
  <c r="K3" i="23"/>
  <c r="J3" i="23"/>
  <c r="S2" i="24"/>
  <c r="R2" i="24"/>
  <c r="Q2" i="24"/>
  <c r="P2" i="24"/>
  <c r="O2" i="24"/>
  <c r="AI2" i="24"/>
  <c r="AH2" i="24"/>
  <c r="AG2" i="24"/>
  <c r="AF2" i="24"/>
  <c r="AE2" i="24"/>
  <c r="AA24" i="20"/>
  <c r="AA23" i="20"/>
  <c r="AA22" i="20"/>
  <c r="AA6" i="20"/>
  <c r="Z24" i="20"/>
  <c r="Z23" i="20"/>
  <c r="Z22" i="20"/>
  <c r="Z6" i="20"/>
  <c r="Y24" i="20"/>
  <c r="Y23" i="20"/>
  <c r="Y22" i="20"/>
  <c r="Y6" i="20"/>
  <c r="X24" i="20"/>
  <c r="X23" i="20"/>
  <c r="X22" i="20"/>
  <c r="X6" i="20"/>
  <c r="W24" i="20"/>
  <c r="W23" i="20"/>
  <c r="W22" i="20"/>
  <c r="W6" i="20"/>
  <c r="AP24" i="20"/>
  <c r="AP22" i="20"/>
  <c r="AP6" i="20"/>
  <c r="AO24" i="20"/>
  <c r="AO22" i="20"/>
  <c r="AO6" i="20"/>
  <c r="AN24" i="20"/>
  <c r="AN22" i="20"/>
  <c r="AN6" i="20"/>
  <c r="AM24" i="20"/>
  <c r="AM22" i="20"/>
  <c r="AM6" i="20"/>
  <c r="AL24" i="20"/>
  <c r="AL22" i="20"/>
  <c r="AL6" i="20"/>
  <c r="H14" i="22"/>
  <c r="H13" i="22"/>
  <c r="H12" i="22"/>
  <c r="H11" i="22"/>
  <c r="H10" i="22"/>
  <c r="H9" i="22"/>
  <c r="H4" i="22"/>
  <c r="G14" i="22"/>
  <c r="G13" i="22"/>
  <c r="G12" i="22"/>
  <c r="G11" i="22"/>
  <c r="G10" i="22"/>
  <c r="G9" i="22"/>
  <c r="G4" i="22"/>
  <c r="F14" i="22"/>
  <c r="F13" i="22"/>
  <c r="F12" i="22"/>
  <c r="F11" i="22"/>
  <c r="F10" i="22"/>
  <c r="F9" i="22"/>
  <c r="F4" i="22"/>
  <c r="E14" i="22"/>
  <c r="E13" i="22"/>
  <c r="E12" i="22"/>
  <c r="E11" i="22"/>
  <c r="E10" i="22"/>
  <c r="E9" i="22"/>
  <c r="E4" i="22"/>
  <c r="D14" i="22"/>
  <c r="D13" i="22"/>
  <c r="D12" i="22"/>
  <c r="D11" i="22"/>
  <c r="D10" i="22"/>
  <c r="D9" i="22"/>
  <c r="D4" i="22"/>
  <c r="AD4" i="8"/>
  <c r="AC4" i="8"/>
  <c r="AB4" i="8"/>
  <c r="AA4" i="8"/>
  <c r="Z4" i="8"/>
  <c r="AX4" i="8"/>
  <c r="AW4" i="8"/>
  <c r="AV4" i="8"/>
  <c r="AU52" i="8"/>
  <c r="AU4" i="8"/>
  <c r="AT52" i="8"/>
  <c r="AT4" i="8"/>
  <c r="U3" i="6"/>
  <c r="T3" i="6"/>
  <c r="S3" i="6"/>
  <c r="R3" i="6"/>
  <c r="Q3" i="6"/>
  <c r="P7" i="8"/>
  <c r="H5" i="24" s="1"/>
  <c r="Q7" i="8"/>
  <c r="R7" i="8"/>
  <c r="I5" i="24" s="1"/>
  <c r="S7" i="8"/>
  <c r="J5" i="24" s="1"/>
  <c r="P8" i="8"/>
  <c r="H6" i="24" s="1"/>
  <c r="Q8" i="8"/>
  <c r="R8" i="8"/>
  <c r="I6" i="24" s="1"/>
  <c r="S8" i="8"/>
  <c r="J6" i="24" s="1"/>
  <c r="P9" i="8"/>
  <c r="H7" i="24" s="1"/>
  <c r="Q9" i="8"/>
  <c r="R9" i="8"/>
  <c r="I7" i="24" s="1"/>
  <c r="S9" i="8"/>
  <c r="J7" i="24" s="1"/>
  <c r="P10" i="8"/>
  <c r="H8" i="24" s="1"/>
  <c r="Q10" i="8"/>
  <c r="R10" i="8"/>
  <c r="I8" i="24" s="1"/>
  <c r="S10" i="8"/>
  <c r="J8" i="24" s="1"/>
  <c r="P11" i="8"/>
  <c r="H9" i="24" s="1"/>
  <c r="Q11" i="8"/>
  <c r="R11" i="8"/>
  <c r="I9" i="24" s="1"/>
  <c r="S11" i="8"/>
  <c r="J9" i="24" s="1"/>
  <c r="P12" i="8"/>
  <c r="H10" i="24" s="1"/>
  <c r="Q12" i="8"/>
  <c r="R12" i="8"/>
  <c r="I10" i="24" s="1"/>
  <c r="S12" i="8"/>
  <c r="J10" i="24" s="1"/>
  <c r="P13" i="8"/>
  <c r="H11" i="24" s="1"/>
  <c r="Q13" i="8"/>
  <c r="R13" i="8"/>
  <c r="I11" i="24" s="1"/>
  <c r="S13" i="8"/>
  <c r="J11" i="24" s="1"/>
  <c r="P14" i="8"/>
  <c r="H12" i="24" s="1"/>
  <c r="Q14" i="8"/>
  <c r="R14" i="8"/>
  <c r="I12" i="24" s="1"/>
  <c r="S14" i="8"/>
  <c r="J12" i="24" s="1"/>
  <c r="P15" i="8"/>
  <c r="H13" i="24" s="1"/>
  <c r="Q15" i="8"/>
  <c r="R15" i="8"/>
  <c r="I13" i="24" s="1"/>
  <c r="S15" i="8"/>
  <c r="J13" i="24" s="1"/>
  <c r="P16" i="8"/>
  <c r="H14" i="24" s="1"/>
  <c r="Q16" i="8"/>
  <c r="R16" i="8"/>
  <c r="I14" i="24" s="1"/>
  <c r="S16" i="8"/>
  <c r="J14" i="24" s="1"/>
  <c r="P17" i="8"/>
  <c r="H15" i="24" s="1"/>
  <c r="Q17" i="8"/>
  <c r="R17" i="8"/>
  <c r="I15" i="24" s="1"/>
  <c r="S17" i="8"/>
  <c r="J15" i="24" s="1"/>
  <c r="P18" i="8"/>
  <c r="H16" i="24" s="1"/>
  <c r="Q18" i="8"/>
  <c r="R18" i="8"/>
  <c r="I16" i="24" s="1"/>
  <c r="S18" i="8"/>
  <c r="J16" i="24" s="1"/>
  <c r="P19" i="8"/>
  <c r="H17" i="24" s="1"/>
  <c r="Q19" i="8"/>
  <c r="R19" i="8"/>
  <c r="I17" i="24" s="1"/>
  <c r="S19" i="8"/>
  <c r="J17" i="24" s="1"/>
  <c r="P20" i="8"/>
  <c r="H18" i="24" s="1"/>
  <c r="Q20" i="8"/>
  <c r="R20" i="8"/>
  <c r="I18" i="24" s="1"/>
  <c r="S20" i="8"/>
  <c r="J18" i="24" s="1"/>
  <c r="P21" i="8"/>
  <c r="H19" i="24" s="1"/>
  <c r="Q21" i="8"/>
  <c r="R21" i="8"/>
  <c r="I19" i="24" s="1"/>
  <c r="S21" i="8"/>
  <c r="J19" i="24" s="1"/>
  <c r="P22" i="8"/>
  <c r="H20" i="24" s="1"/>
  <c r="Q22" i="8"/>
  <c r="R22" i="8"/>
  <c r="I20" i="24" s="1"/>
  <c r="S22" i="8"/>
  <c r="J20" i="24" s="1"/>
  <c r="P23" i="8"/>
  <c r="H21" i="24" s="1"/>
  <c r="Q23" i="8"/>
  <c r="R23" i="8"/>
  <c r="I21" i="24" s="1"/>
  <c r="S23" i="8"/>
  <c r="J21" i="24" s="1"/>
  <c r="P24" i="8"/>
  <c r="H22" i="24" s="1"/>
  <c r="Q24" i="8"/>
  <c r="R24" i="8"/>
  <c r="I22" i="24" s="1"/>
  <c r="S24" i="8"/>
  <c r="J22" i="24" s="1"/>
  <c r="P25" i="8"/>
  <c r="H23" i="24" s="1"/>
  <c r="Q25" i="8"/>
  <c r="R25" i="8"/>
  <c r="I23" i="24" s="1"/>
  <c r="S25" i="8"/>
  <c r="J23" i="24" s="1"/>
  <c r="P26" i="8"/>
  <c r="H24" i="24" s="1"/>
  <c r="Q26" i="8"/>
  <c r="R26" i="8"/>
  <c r="I24" i="24" s="1"/>
  <c r="S26" i="8"/>
  <c r="J24" i="24" s="1"/>
  <c r="P27" i="8"/>
  <c r="H25" i="24" s="1"/>
  <c r="Q27" i="8"/>
  <c r="R27" i="8"/>
  <c r="I25" i="24" s="1"/>
  <c r="S27" i="8"/>
  <c r="J25" i="24" s="1"/>
  <c r="P28" i="8"/>
  <c r="H26" i="24" s="1"/>
  <c r="Q28" i="8"/>
  <c r="R28" i="8"/>
  <c r="I26" i="24" s="1"/>
  <c r="S28" i="8"/>
  <c r="J26" i="24" s="1"/>
  <c r="P29" i="8"/>
  <c r="H27" i="24" s="1"/>
  <c r="Q29" i="8"/>
  <c r="R29" i="8"/>
  <c r="I27" i="24" s="1"/>
  <c r="S29" i="8"/>
  <c r="J27" i="24" s="1"/>
  <c r="P30" i="8"/>
  <c r="H28" i="24" s="1"/>
  <c r="Q30" i="8"/>
  <c r="R30" i="8"/>
  <c r="I28" i="24" s="1"/>
  <c r="S30" i="8"/>
  <c r="J28" i="24" s="1"/>
  <c r="P31" i="8"/>
  <c r="H29" i="24" s="1"/>
  <c r="Q31" i="8"/>
  <c r="R31" i="8"/>
  <c r="I29" i="24" s="1"/>
  <c r="S31" i="8"/>
  <c r="J29" i="24" s="1"/>
  <c r="P32" i="8"/>
  <c r="H30" i="24" s="1"/>
  <c r="Q32" i="8"/>
  <c r="R32" i="8"/>
  <c r="I30" i="24" s="1"/>
  <c r="S32" i="8"/>
  <c r="J30" i="24" s="1"/>
  <c r="P33" i="8"/>
  <c r="H31" i="24" s="1"/>
  <c r="Q33" i="8"/>
  <c r="R33" i="8"/>
  <c r="I31" i="24" s="1"/>
  <c r="S33" i="8"/>
  <c r="J31" i="24" s="1"/>
  <c r="P34" i="8"/>
  <c r="H32" i="24" s="1"/>
  <c r="Q34" i="8"/>
  <c r="R34" i="8"/>
  <c r="I32" i="24" s="1"/>
  <c r="S34" i="8"/>
  <c r="J32" i="24" s="1"/>
  <c r="P35" i="8"/>
  <c r="H33" i="24" s="1"/>
  <c r="Q35" i="8"/>
  <c r="R35" i="8"/>
  <c r="I33" i="24" s="1"/>
  <c r="S35" i="8"/>
  <c r="J33" i="24" s="1"/>
  <c r="P36" i="8"/>
  <c r="H34" i="24" s="1"/>
  <c r="Q36" i="8"/>
  <c r="R36" i="8"/>
  <c r="I34" i="24" s="1"/>
  <c r="S36" i="8"/>
  <c r="J34" i="24" s="1"/>
  <c r="P37" i="8"/>
  <c r="H35" i="24" s="1"/>
  <c r="Q37" i="8"/>
  <c r="R37" i="8"/>
  <c r="I35" i="24" s="1"/>
  <c r="S37" i="8"/>
  <c r="J35" i="24" s="1"/>
  <c r="P38" i="8"/>
  <c r="H36" i="24" s="1"/>
  <c r="Q38" i="8"/>
  <c r="R38" i="8"/>
  <c r="I36" i="24" s="1"/>
  <c r="S38" i="8"/>
  <c r="J36" i="24" s="1"/>
  <c r="P39" i="8"/>
  <c r="H37" i="24" s="1"/>
  <c r="Q39" i="8"/>
  <c r="R39" i="8"/>
  <c r="I37" i="24" s="1"/>
  <c r="S39" i="8"/>
  <c r="J37" i="24" s="1"/>
  <c r="P40" i="8"/>
  <c r="H38" i="24" s="1"/>
  <c r="Q40" i="8"/>
  <c r="R40" i="8"/>
  <c r="I38" i="24" s="1"/>
  <c r="S40" i="8"/>
  <c r="J38" i="24" s="1"/>
  <c r="P41" i="8"/>
  <c r="H39" i="24" s="1"/>
  <c r="Q41" i="8"/>
  <c r="R41" i="8"/>
  <c r="I39" i="24" s="1"/>
  <c r="S41" i="8"/>
  <c r="J39" i="24" s="1"/>
  <c r="P42" i="8"/>
  <c r="H40" i="24" s="1"/>
  <c r="Q42" i="8"/>
  <c r="R42" i="8"/>
  <c r="I40" i="24" s="1"/>
  <c r="S42" i="8"/>
  <c r="J40" i="24" s="1"/>
  <c r="P43" i="8"/>
  <c r="H41" i="24" s="1"/>
  <c r="Q43" i="8"/>
  <c r="R43" i="8"/>
  <c r="I41" i="24" s="1"/>
  <c r="S43" i="8"/>
  <c r="J41" i="24" s="1"/>
  <c r="P44" i="8"/>
  <c r="H42" i="24" s="1"/>
  <c r="Q44" i="8"/>
  <c r="R44" i="8"/>
  <c r="I42" i="24" s="1"/>
  <c r="S44" i="8"/>
  <c r="J42" i="24" s="1"/>
  <c r="P45" i="8"/>
  <c r="H43" i="24" s="1"/>
  <c r="Q45" i="8"/>
  <c r="R45" i="8"/>
  <c r="I43" i="24" s="1"/>
  <c r="S45" i="8"/>
  <c r="J43" i="24" s="1"/>
  <c r="P46" i="8"/>
  <c r="H44" i="24" s="1"/>
  <c r="Q46" i="8"/>
  <c r="R46" i="8"/>
  <c r="I44" i="24" s="1"/>
  <c r="S46" i="8"/>
  <c r="J44" i="24" s="1"/>
  <c r="P47" i="8"/>
  <c r="H45" i="24" s="1"/>
  <c r="Q47" i="8"/>
  <c r="R47" i="8"/>
  <c r="I45" i="24" s="1"/>
  <c r="S47" i="8"/>
  <c r="J45" i="24" s="1"/>
  <c r="P48" i="8"/>
  <c r="H46" i="24" s="1"/>
  <c r="Q48" i="8"/>
  <c r="R48" i="8"/>
  <c r="I46" i="24" s="1"/>
  <c r="S48" i="8"/>
  <c r="J46" i="24" s="1"/>
  <c r="P49" i="8"/>
  <c r="H47" i="24" s="1"/>
  <c r="Q49" i="8"/>
  <c r="R49" i="8"/>
  <c r="I47" i="24" s="1"/>
  <c r="S49" i="8"/>
  <c r="J47" i="24" s="1"/>
  <c r="R6" i="8"/>
  <c r="I4" i="24" s="1"/>
  <c r="S6" i="8"/>
  <c r="J4" i="24" s="1"/>
  <c r="P6" i="8"/>
  <c r="H4" i="24" s="1"/>
  <c r="Q6" i="8"/>
  <c r="AP19" i="8"/>
  <c r="AK19" i="8"/>
  <c r="X17" i="24" s="1"/>
  <c r="AP20" i="8"/>
  <c r="AK20" i="8"/>
  <c r="X18" i="24" s="1"/>
  <c r="AP21" i="8"/>
  <c r="AK21" i="8"/>
  <c r="X19" i="24" s="1"/>
  <c r="AP22" i="8"/>
  <c r="AK22" i="8"/>
  <c r="X20" i="24" s="1"/>
  <c r="AP23" i="8"/>
  <c r="AK23" i="8"/>
  <c r="X21" i="24" s="1"/>
  <c r="AP24" i="8"/>
  <c r="AK24" i="8"/>
  <c r="AP25" i="8"/>
  <c r="AK25" i="8"/>
  <c r="X23" i="24" s="1"/>
  <c r="AP26" i="8"/>
  <c r="AK26" i="8"/>
  <c r="X24" i="24" s="1"/>
  <c r="AP27" i="8"/>
  <c r="AK27" i="8"/>
  <c r="X25" i="24" s="1"/>
  <c r="AP28" i="8"/>
  <c r="AK28" i="8"/>
  <c r="X26" i="24" s="1"/>
  <c r="AP29" i="8"/>
  <c r="AB27" i="24" s="1"/>
  <c r="AK29" i="8"/>
  <c r="X27" i="24" s="1"/>
  <c r="O29" i="8"/>
  <c r="AP30" i="8"/>
  <c r="AK30" i="8"/>
  <c r="X28" i="24" s="1"/>
  <c r="AP31" i="8"/>
  <c r="AK31" i="8"/>
  <c r="X29" i="24" s="1"/>
  <c r="AP32" i="8"/>
  <c r="AK32" i="8"/>
  <c r="X30" i="24" s="1"/>
  <c r="AP33" i="8"/>
  <c r="AK33" i="8"/>
  <c r="X31" i="24" s="1"/>
  <c r="AP34" i="8"/>
  <c r="AK34" i="8"/>
  <c r="X32" i="24" s="1"/>
  <c r="AP35" i="8"/>
  <c r="AK35" i="8"/>
  <c r="X33" i="24" s="1"/>
  <c r="AP36" i="8"/>
  <c r="AK36" i="8"/>
  <c r="X34" i="24" s="1"/>
  <c r="AP37" i="8"/>
  <c r="AK37" i="8"/>
  <c r="X35" i="24" s="1"/>
  <c r="AP38" i="8"/>
  <c r="AK38" i="8"/>
  <c r="X36" i="24" s="1"/>
  <c r="AP39" i="8"/>
  <c r="AK39" i="8"/>
  <c r="X37" i="24" s="1"/>
  <c r="AP40" i="8"/>
  <c r="AK40" i="8"/>
  <c r="X38" i="24" s="1"/>
  <c r="AP41" i="8"/>
  <c r="AK41" i="8"/>
  <c r="X39" i="24" s="1"/>
  <c r="AP42" i="8"/>
  <c r="AK42" i="8"/>
  <c r="X40" i="24" s="1"/>
  <c r="AP43" i="8"/>
  <c r="AK43" i="8"/>
  <c r="X41" i="24" s="1"/>
  <c r="AP44" i="8"/>
  <c r="AK44" i="8"/>
  <c r="X42" i="24" s="1"/>
  <c r="AP45" i="8"/>
  <c r="AK45" i="8"/>
  <c r="X43" i="24" s="1"/>
  <c r="AP46" i="8"/>
  <c r="AK46" i="8"/>
  <c r="X44" i="24" s="1"/>
  <c r="AP47" i="8"/>
  <c r="AK47" i="8"/>
  <c r="O47" i="8"/>
  <c r="AP48" i="8"/>
  <c r="AK48" i="8"/>
  <c r="X46" i="24" s="1"/>
  <c r="T57" i="31"/>
  <c r="I58" i="31" s="1"/>
  <c r="W49" i="8" s="1"/>
  <c r="L47" i="24" s="1"/>
  <c r="T56" i="31"/>
  <c r="I57" i="31" s="1"/>
  <c r="W48" i="8" s="1"/>
  <c r="L46" i="24" s="1"/>
  <c r="T55" i="31"/>
  <c r="I56" i="31" s="1"/>
  <c r="W47" i="8" s="1"/>
  <c r="L45" i="24" s="1"/>
  <c r="T54" i="31"/>
  <c r="I55" i="31" s="1"/>
  <c r="W46" i="8" s="1"/>
  <c r="L44" i="24" s="1"/>
  <c r="T53" i="31"/>
  <c r="I54" i="31" s="1"/>
  <c r="T52" i="31"/>
  <c r="I53" i="31" s="1"/>
  <c r="W45" i="8" s="1"/>
  <c r="L43" i="24" s="1"/>
  <c r="T51" i="31"/>
  <c r="I52" i="31" s="1"/>
  <c r="T50" i="31"/>
  <c r="I51" i="31" s="1"/>
  <c r="T49" i="31"/>
  <c r="I50" i="31" s="1"/>
  <c r="W44" i="8" s="1"/>
  <c r="L42" i="24" s="1"/>
  <c r="T48" i="31"/>
  <c r="I49" i="31" s="1"/>
  <c r="W43" i="8" s="1"/>
  <c r="T47" i="31"/>
  <c r="I48" i="31" s="1"/>
  <c r="W42" i="8" s="1"/>
  <c r="L40" i="24" s="1"/>
  <c r="T46" i="31"/>
  <c r="I47" i="31" s="1"/>
  <c r="W41" i="8" s="1"/>
  <c r="L39" i="24" s="1"/>
  <c r="T45" i="31"/>
  <c r="I46" i="31" s="1"/>
  <c r="W40" i="8" s="1"/>
  <c r="T44" i="31"/>
  <c r="I45" i="31" s="1"/>
  <c r="W39" i="8" s="1"/>
  <c r="L37" i="24" s="1"/>
  <c r="T43" i="31"/>
  <c r="I44" i="31" s="1"/>
  <c r="W38" i="8" s="1"/>
  <c r="L36" i="24" s="1"/>
  <c r="T42" i="31"/>
  <c r="I43" i="31" s="1"/>
  <c r="W37" i="8" s="1"/>
  <c r="T41" i="31"/>
  <c r="I42" i="31" s="1"/>
  <c r="T40" i="31"/>
  <c r="I41" i="31" s="1"/>
  <c r="W36" i="8" s="1"/>
  <c r="T39" i="31"/>
  <c r="I40" i="31" s="1"/>
  <c r="W35" i="8" s="1"/>
  <c r="L33" i="24" s="1"/>
  <c r="T38" i="31"/>
  <c r="I39" i="31" s="1"/>
  <c r="W34" i="8" s="1"/>
  <c r="L32" i="24" s="1"/>
  <c r="T37" i="31"/>
  <c r="I38" i="31" s="1"/>
  <c r="W33" i="8" s="1"/>
  <c r="T36" i="31"/>
  <c r="I37" i="31" s="1"/>
  <c r="W32" i="8" s="1"/>
  <c r="T35" i="31"/>
  <c r="I36" i="31" s="1"/>
  <c r="T34" i="31"/>
  <c r="I35" i="31" s="1"/>
  <c r="W31" i="8" s="1"/>
  <c r="T33" i="31"/>
  <c r="I34" i="31" s="1"/>
  <c r="W30" i="8" s="1"/>
  <c r="T32" i="31"/>
  <c r="I33" i="31" s="1"/>
  <c r="W29" i="8" s="1"/>
  <c r="L27" i="24" s="1"/>
  <c r="T31" i="31"/>
  <c r="I32" i="31" s="1"/>
  <c r="W28" i="8" s="1"/>
  <c r="T30" i="31"/>
  <c r="I31" i="31" s="1"/>
  <c r="W27" i="8" s="1"/>
  <c r="T29" i="31"/>
  <c r="I30" i="31" s="1"/>
  <c r="W26" i="8" s="1"/>
  <c r="T28" i="31"/>
  <c r="I29" i="31" s="1"/>
  <c r="W25" i="8" s="1"/>
  <c r="T27" i="31"/>
  <c r="I28" i="31" s="1"/>
  <c r="W24" i="8" s="1"/>
  <c r="T26" i="31"/>
  <c r="I27" i="31" s="1"/>
  <c r="T25" i="31"/>
  <c r="I26" i="31" s="1"/>
  <c r="T24" i="31"/>
  <c r="I25" i="31" s="1"/>
  <c r="T23" i="31"/>
  <c r="I24" i="31" s="1"/>
  <c r="W23" i="8" s="1"/>
  <c r="T22" i="31"/>
  <c r="I23" i="31" s="1"/>
  <c r="W22" i="8" s="1"/>
  <c r="T21" i="31"/>
  <c r="I22" i="31" s="1"/>
  <c r="W21" i="8" s="1"/>
  <c r="L19" i="24" s="1"/>
  <c r="T20" i="31"/>
  <c r="I21" i="31" s="1"/>
  <c r="W20" i="8" s="1"/>
  <c r="T19" i="31"/>
  <c r="I20" i="31" s="1"/>
  <c r="W19" i="8" s="1"/>
  <c r="T18" i="31"/>
  <c r="I19" i="31" s="1"/>
  <c r="W18" i="8" s="1"/>
  <c r="T17" i="31"/>
  <c r="I18" i="31" s="1"/>
  <c r="W17" i="8" s="1"/>
  <c r="T16" i="31"/>
  <c r="I17" i="31" s="1"/>
  <c r="T15" i="31"/>
  <c r="I16" i="31" s="1"/>
  <c r="W16" i="8" s="1"/>
  <c r="L14" i="24" s="1"/>
  <c r="T14" i="31"/>
  <c r="I15" i="31" s="1"/>
  <c r="W15" i="8" s="1"/>
  <c r="T13" i="31"/>
  <c r="I14" i="31" s="1"/>
  <c r="W14" i="8" s="1"/>
  <c r="T12" i="31"/>
  <c r="I13" i="31" s="1"/>
  <c r="W13" i="8" s="1"/>
  <c r="T11" i="31"/>
  <c r="I12" i="31" s="1"/>
  <c r="W12" i="8" s="1"/>
  <c r="T10" i="31"/>
  <c r="I11" i="31" s="1"/>
  <c r="W11" i="8" s="1"/>
  <c r="T9" i="31"/>
  <c r="I10" i="31" s="1"/>
  <c r="W10" i="8" s="1"/>
  <c r="L8" i="24" s="1"/>
  <c r="T8" i="31"/>
  <c r="I9" i="31" s="1"/>
  <c r="W9" i="8" s="1"/>
  <c r="T7" i="31"/>
  <c r="I8" i="31" s="1"/>
  <c r="W8" i="8" s="1"/>
  <c r="T6" i="31"/>
  <c r="I7" i="31" s="1"/>
  <c r="W7" i="8" s="1"/>
  <c r="T5" i="31"/>
  <c r="I5" i="31" s="1"/>
  <c r="W6" i="8" s="1"/>
  <c r="CO11" i="37" l="1"/>
  <c r="L7" i="24"/>
  <c r="CO20" i="37"/>
  <c r="L18" i="24"/>
  <c r="BM44" i="8"/>
  <c r="AW42" i="24" s="1"/>
  <c r="AB42" i="24"/>
  <c r="BM38" i="8"/>
  <c r="AW36" i="24" s="1"/>
  <c r="AB36" i="24"/>
  <c r="BM32" i="8"/>
  <c r="AW30" i="24" s="1"/>
  <c r="AB30" i="24"/>
  <c r="CO28" i="37"/>
  <c r="L28" i="24"/>
  <c r="CO36" i="37"/>
  <c r="L38" i="24"/>
  <c r="BM26" i="8"/>
  <c r="AW24" i="24" s="1"/>
  <c r="AB24" i="24"/>
  <c r="BM20" i="8"/>
  <c r="AW18" i="24" s="1"/>
  <c r="AB18" i="24"/>
  <c r="CO12" i="37"/>
  <c r="L9" i="24"/>
  <c r="CO21" i="37"/>
  <c r="L20" i="24"/>
  <c r="CO29" i="37"/>
  <c r="L29" i="24"/>
  <c r="BM43" i="8"/>
  <c r="AW41" i="24" s="1"/>
  <c r="AB41" i="24"/>
  <c r="BM37" i="8"/>
  <c r="AW35" i="24" s="1"/>
  <c r="AB35" i="24"/>
  <c r="BM31" i="8"/>
  <c r="AW29" i="24" s="1"/>
  <c r="AB29" i="24"/>
  <c r="CO13" i="37"/>
  <c r="L10" i="24"/>
  <c r="CO22" i="37"/>
  <c r="L21" i="24"/>
  <c r="BM48" i="8"/>
  <c r="AW46" i="24" s="1"/>
  <c r="AB46" i="24"/>
  <c r="BM25" i="8"/>
  <c r="AW23" i="24" s="1"/>
  <c r="AB23" i="24"/>
  <c r="BM19" i="8"/>
  <c r="AW17" i="24" s="1"/>
  <c r="AB17" i="24"/>
  <c r="CO14" i="37"/>
  <c r="L11" i="24"/>
  <c r="CO30" i="37"/>
  <c r="L30" i="24"/>
  <c r="CO37" i="37"/>
  <c r="L41" i="24"/>
  <c r="BM42" i="8"/>
  <c r="AW40" i="24" s="1"/>
  <c r="AB40" i="24"/>
  <c r="BM36" i="8"/>
  <c r="AW34" i="24" s="1"/>
  <c r="AB34" i="24"/>
  <c r="BM30" i="8"/>
  <c r="AW28" i="24" s="1"/>
  <c r="AB28" i="24"/>
  <c r="BL24" i="8"/>
  <c r="AV22" i="24" s="1"/>
  <c r="X22" i="24"/>
  <c r="CO15" i="37"/>
  <c r="L12" i="24"/>
  <c r="CO31" i="37"/>
  <c r="L31" i="24"/>
  <c r="BL47" i="8"/>
  <c r="AV45" i="24" s="1"/>
  <c r="X45" i="24"/>
  <c r="BM24" i="8"/>
  <c r="AW22" i="24" s="1"/>
  <c r="AB22" i="24"/>
  <c r="CO16" i="37"/>
  <c r="L13" i="24"/>
  <c r="BM47" i="8"/>
  <c r="AW45" i="24" s="1"/>
  <c r="AB45" i="24"/>
  <c r="BM41" i="8"/>
  <c r="AW39" i="24" s="1"/>
  <c r="AB39" i="24"/>
  <c r="BM35" i="8"/>
  <c r="AW33" i="24" s="1"/>
  <c r="AB33" i="24"/>
  <c r="CO23" i="37"/>
  <c r="L22" i="24"/>
  <c r="BM23" i="8"/>
  <c r="AW21" i="24" s="1"/>
  <c r="AB21" i="24"/>
  <c r="CO24" i="37"/>
  <c r="L23" i="24"/>
  <c r="CO33" i="37"/>
  <c r="L34" i="24"/>
  <c r="BM46" i="8"/>
  <c r="AW44" i="24" s="1"/>
  <c r="AB44" i="24"/>
  <c r="BM40" i="8"/>
  <c r="AW38" i="24" s="1"/>
  <c r="AB38" i="24"/>
  <c r="BM34" i="8"/>
  <c r="AW32" i="24" s="1"/>
  <c r="AB32" i="24"/>
  <c r="CO8" i="37"/>
  <c r="L4" i="24"/>
  <c r="CO17" i="37"/>
  <c r="L15" i="24"/>
  <c r="CO25" i="37"/>
  <c r="L24" i="24"/>
  <c r="BM28" i="8"/>
  <c r="AW26" i="24" s="1"/>
  <c r="AB26" i="24"/>
  <c r="BM22" i="8"/>
  <c r="AW20" i="24" s="1"/>
  <c r="AB20" i="24"/>
  <c r="CO9" i="37"/>
  <c r="L5" i="24"/>
  <c r="CO18" i="37"/>
  <c r="L16" i="24"/>
  <c r="CO26" i="37"/>
  <c r="L25" i="24"/>
  <c r="CO34" i="37"/>
  <c r="L35" i="24"/>
  <c r="BM45" i="8"/>
  <c r="AW43" i="24" s="1"/>
  <c r="AB43" i="24"/>
  <c r="BM39" i="8"/>
  <c r="AW37" i="24" s="1"/>
  <c r="AB37" i="24"/>
  <c r="BM33" i="8"/>
  <c r="AW31" i="24" s="1"/>
  <c r="AB31" i="24"/>
  <c r="CO10" i="37"/>
  <c r="L6" i="24"/>
  <c r="CO19" i="37"/>
  <c r="L17" i="24"/>
  <c r="CO27" i="37"/>
  <c r="L26" i="24"/>
  <c r="BM27" i="8"/>
  <c r="AW25" i="24" s="1"/>
  <c r="AB25" i="24"/>
  <c r="BM21" i="8"/>
  <c r="AW19" i="24" s="1"/>
  <c r="AB19" i="24"/>
  <c r="CO35" i="37"/>
  <c r="AF62" i="8"/>
  <c r="AA18" i="20"/>
  <c r="CO32" i="37"/>
  <c r="AF64" i="8"/>
  <c r="Y8" i="20"/>
  <c r="AV24" i="8"/>
  <c r="AG22" i="24" s="1"/>
  <c r="Z8" i="20"/>
  <c r="BM29" i="8"/>
  <c r="AW27" i="24" s="1"/>
  <c r="AZ31" i="34"/>
  <c r="AZ32" i="34"/>
  <c r="AZ25" i="34"/>
  <c r="AZ12" i="34"/>
  <c r="AZ19" i="34"/>
  <c r="AZ26" i="34"/>
  <c r="AZ23" i="34"/>
  <c r="AZ10" i="34"/>
  <c r="AZ11" i="34"/>
  <c r="AZ33" i="34"/>
  <c r="AZ9" i="34"/>
  <c r="AZ17" i="34"/>
  <c r="AZ24" i="34"/>
  <c r="AZ18" i="34"/>
  <c r="AZ13" i="34"/>
  <c r="AZ27" i="34"/>
  <c r="AZ34" i="34"/>
  <c r="AZ14" i="34"/>
  <c r="AZ29" i="34"/>
  <c r="AZ20" i="34"/>
  <c r="AZ21" i="34"/>
  <c r="AZ30" i="34"/>
  <c r="AZ16" i="34"/>
  <c r="AZ28" i="34"/>
  <c r="AZ8" i="34"/>
  <c r="AZ15" i="34"/>
  <c r="AZ22" i="34"/>
  <c r="AA17" i="20"/>
  <c r="Z17" i="20"/>
  <c r="AL23" i="20"/>
  <c r="C7" i="4"/>
  <c r="D7" i="22" s="1"/>
  <c r="AM23" i="20"/>
  <c r="D7" i="4"/>
  <c r="W17" i="20"/>
  <c r="BK29" i="8"/>
  <c r="AU27" i="24" s="1"/>
  <c r="AA11" i="20"/>
  <c r="Y10" i="20"/>
  <c r="Z18" i="20"/>
  <c r="Y18" i="20"/>
  <c r="Y13" i="20"/>
  <c r="T6" i="8"/>
  <c r="V8" i="32"/>
  <c r="S8" i="32"/>
  <c r="AA16" i="20"/>
  <c r="Z6" i="8"/>
  <c r="O4" i="24" s="1"/>
  <c r="Z19" i="8"/>
  <c r="O17" i="24" s="1"/>
  <c r="Z20" i="8"/>
  <c r="O18" i="24" s="1"/>
  <c r="Z32" i="8"/>
  <c r="O30" i="24" s="1"/>
  <c r="Z43" i="8"/>
  <c r="O41" i="24" s="1"/>
  <c r="Z18" i="8"/>
  <c r="O16" i="24" s="1"/>
  <c r="Z44" i="8"/>
  <c r="O42" i="24" s="1"/>
  <c r="Z11" i="20"/>
  <c r="Y12" i="20"/>
  <c r="P3" i="24"/>
  <c r="AA14" i="20"/>
  <c r="Y9" i="20"/>
  <c r="AA19" i="20"/>
  <c r="Y14" i="20"/>
  <c r="X19" i="20"/>
  <c r="X14" i="20"/>
  <c r="Y11" i="20"/>
  <c r="AA13" i="20"/>
  <c r="Y16" i="20"/>
  <c r="Z13" i="20"/>
  <c r="X16" i="20"/>
  <c r="Z9" i="20"/>
  <c r="X15" i="20"/>
  <c r="Z14" i="20"/>
  <c r="Z16" i="20"/>
  <c r="X9" i="20"/>
  <c r="X11" i="20"/>
  <c r="Z19" i="20"/>
  <c r="AA9" i="20"/>
  <c r="AF47" i="8"/>
  <c r="AF25" i="8"/>
  <c r="T23" i="24" s="1"/>
  <c r="AF38" i="8"/>
  <c r="W14" i="20"/>
  <c r="AF27" i="8"/>
  <c r="T25" i="24" s="1"/>
  <c r="AF40" i="8"/>
  <c r="AA12" i="20"/>
  <c r="Z20" i="20"/>
  <c r="Z10" i="20"/>
  <c r="X13" i="20"/>
  <c r="X18" i="20"/>
  <c r="W11" i="20"/>
  <c r="Z15" i="20"/>
  <c r="W12" i="20"/>
  <c r="AA15" i="20"/>
  <c r="AF48" i="8"/>
  <c r="W13" i="20"/>
  <c r="W15" i="20"/>
  <c r="AF28" i="8"/>
  <c r="X20" i="20"/>
  <c r="AA10" i="20"/>
  <c r="AF30" i="8"/>
  <c r="AA8" i="20"/>
  <c r="X10" i="20"/>
  <c r="Z7" i="20"/>
  <c r="AA7" i="20"/>
  <c r="S3" i="24"/>
  <c r="AA20" i="20"/>
  <c r="AF37" i="8"/>
  <c r="AF36" i="8"/>
  <c r="AF26" i="8"/>
  <c r="T24" i="24" s="1"/>
  <c r="AF31" i="8"/>
  <c r="T29" i="24" s="1"/>
  <c r="Y15" i="20"/>
  <c r="Y20" i="20"/>
  <c r="Y17" i="20"/>
  <c r="X8" i="20"/>
  <c r="Y19" i="20"/>
  <c r="Z12" i="20"/>
  <c r="AF41" i="8"/>
  <c r="AF21" i="8"/>
  <c r="AF22" i="8"/>
  <c r="T20" i="24" s="1"/>
  <c r="AF33" i="8"/>
  <c r="T31" i="24" s="1"/>
  <c r="AF23" i="8"/>
  <c r="T21" i="24" s="1"/>
  <c r="AF35" i="8"/>
  <c r="X12" i="20"/>
  <c r="AF24" i="8"/>
  <c r="T22" i="24" s="1"/>
  <c r="W16" i="20"/>
  <c r="AF46" i="8"/>
  <c r="W18" i="20"/>
  <c r="Y7" i="20"/>
  <c r="Q3" i="24"/>
  <c r="AF45" i="8"/>
  <c r="X7" i="20"/>
  <c r="R3" i="24"/>
  <c r="W10" i="20"/>
  <c r="AF42" i="8"/>
  <c r="AF34" i="8"/>
  <c r="W20" i="20"/>
  <c r="AF50" i="24"/>
  <c r="AE50" i="24"/>
  <c r="AX52" i="8"/>
  <c r="AW52" i="8"/>
  <c r="U48" i="8"/>
  <c r="V42" i="8"/>
  <c r="U39" i="8"/>
  <c r="V34" i="8"/>
  <c r="K32" i="24" s="1"/>
  <c r="U29" i="8"/>
  <c r="V26" i="8"/>
  <c r="U23" i="8"/>
  <c r="U20" i="8"/>
  <c r="T47" i="8"/>
  <c r="T45" i="8"/>
  <c r="T44" i="8"/>
  <c r="T41" i="8"/>
  <c r="T38" i="8"/>
  <c r="T36" i="8"/>
  <c r="T33" i="8"/>
  <c r="T31" i="8"/>
  <c r="T28" i="8"/>
  <c r="T25" i="8"/>
  <c r="T22" i="8"/>
  <c r="T48" i="8"/>
  <c r="T42" i="8"/>
  <c r="T39" i="8"/>
  <c r="T34" i="8"/>
  <c r="T29" i="8"/>
  <c r="T26" i="8"/>
  <c r="T23" i="8"/>
  <c r="V20" i="8"/>
  <c r="T20" i="8"/>
  <c r="AL41" i="8"/>
  <c r="V48" i="8"/>
  <c r="V39" i="8"/>
  <c r="K37" i="24" s="1"/>
  <c r="V37" i="8"/>
  <c r="AL37" i="8"/>
  <c r="U47" i="8"/>
  <c r="U45" i="8"/>
  <c r="U44" i="8"/>
  <c r="U41" i="8"/>
  <c r="U38" i="8"/>
  <c r="U36" i="8"/>
  <c r="U33" i="8"/>
  <c r="U31" i="8"/>
  <c r="U28" i="8"/>
  <c r="U25" i="8"/>
  <c r="U22" i="8"/>
  <c r="U26" i="8"/>
  <c r="T46" i="8"/>
  <c r="T40" i="8"/>
  <c r="T32" i="8"/>
  <c r="T24" i="8"/>
  <c r="AL38" i="8"/>
  <c r="AL36" i="8"/>
  <c r="V24" i="8"/>
  <c r="V46" i="8"/>
  <c r="AT46" i="8" s="1"/>
  <c r="AE44" i="24" s="1"/>
  <c r="V40" i="8"/>
  <c r="V32" i="8"/>
  <c r="V30" i="8"/>
  <c r="AL28" i="8"/>
  <c r="AL25" i="8"/>
  <c r="AL22" i="8"/>
  <c r="AL30" i="8"/>
  <c r="AL39" i="8"/>
  <c r="AL19" i="8"/>
  <c r="AL44" i="8"/>
  <c r="T43" i="8"/>
  <c r="U43" i="8"/>
  <c r="T37" i="8"/>
  <c r="U37" i="8"/>
  <c r="V27" i="8"/>
  <c r="T35" i="8"/>
  <c r="U35" i="8"/>
  <c r="T30" i="8"/>
  <c r="U30" i="8"/>
  <c r="T27" i="8"/>
  <c r="U27" i="8"/>
  <c r="T21" i="8"/>
  <c r="U21" i="8"/>
  <c r="U24" i="8"/>
  <c r="V43" i="8"/>
  <c r="AX43" i="8" s="1"/>
  <c r="AI41" i="24" s="1"/>
  <c r="V35" i="8"/>
  <c r="V21" i="8"/>
  <c r="U32" i="8"/>
  <c r="U40" i="8"/>
  <c r="U34" i="8"/>
  <c r="V29" i="8"/>
  <c r="K27" i="24" s="1"/>
  <c r="V23" i="8"/>
  <c r="K21" i="24" s="1"/>
  <c r="U46" i="8"/>
  <c r="U42" i="8"/>
  <c r="AL33" i="8"/>
  <c r="AL48" i="8"/>
  <c r="AL40" i="8"/>
  <c r="AL20" i="8"/>
  <c r="AL42" i="8"/>
  <c r="AL32" i="8"/>
  <c r="AL45" i="8"/>
  <c r="AL31" i="8"/>
  <c r="V47" i="8"/>
  <c r="V45" i="8"/>
  <c r="V44" i="8"/>
  <c r="V41" i="8"/>
  <c r="V38" i="8"/>
  <c r="V36" i="8"/>
  <c r="V33" i="8"/>
  <c r="AV33" i="8" s="1"/>
  <c r="AG31" i="24" s="1"/>
  <c r="V31" i="8"/>
  <c r="V28" i="8"/>
  <c r="V25" i="8"/>
  <c r="V22" i="8"/>
  <c r="AX22" i="8" s="1"/>
  <c r="AI20" i="24" s="1"/>
  <c r="AL46" i="8"/>
  <c r="AL34" i="8"/>
  <c r="AL26" i="8"/>
  <c r="AL43" i="8"/>
  <c r="AL35" i="8"/>
  <c r="AL29" i="8"/>
  <c r="AL27" i="8"/>
  <c r="AL23" i="8"/>
  <c r="AL21" i="8"/>
  <c r="U19" i="8"/>
  <c r="V19" i="8"/>
  <c r="T19" i="8"/>
  <c r="BL19" i="8"/>
  <c r="AV17" i="24" s="1"/>
  <c r="AQ19" i="8"/>
  <c r="BL20" i="8"/>
  <c r="AV18" i="24" s="1"/>
  <c r="AQ20" i="8"/>
  <c r="AQ21" i="8"/>
  <c r="BL21" i="8"/>
  <c r="AV19" i="24" s="1"/>
  <c r="AQ22" i="8"/>
  <c r="BL22" i="8"/>
  <c r="AV20" i="24" s="1"/>
  <c r="BL23" i="8"/>
  <c r="AV21" i="24" s="1"/>
  <c r="AQ23" i="8"/>
  <c r="AL24" i="8"/>
  <c r="AQ24" i="8"/>
  <c r="AQ25" i="8"/>
  <c r="BL25" i="8"/>
  <c r="AV23" i="24" s="1"/>
  <c r="BL26" i="8"/>
  <c r="AV24" i="24" s="1"/>
  <c r="AQ26" i="8"/>
  <c r="AQ27" i="8"/>
  <c r="BL27" i="8"/>
  <c r="AV25" i="24" s="1"/>
  <c r="AQ28" i="8"/>
  <c r="BL28" i="8"/>
  <c r="AV26" i="24" s="1"/>
  <c r="BJ29" i="8"/>
  <c r="AT27" i="24" s="1"/>
  <c r="AQ29" i="8"/>
  <c r="AG29" i="8"/>
  <c r="BL29" i="8"/>
  <c r="AV27" i="24" s="1"/>
  <c r="AQ30" i="8"/>
  <c r="BL30" i="8"/>
  <c r="AV28" i="24" s="1"/>
  <c r="AQ31" i="8"/>
  <c r="BL31" i="8"/>
  <c r="AV29" i="24" s="1"/>
  <c r="AQ32" i="8"/>
  <c r="BL32" i="8"/>
  <c r="AV30" i="24" s="1"/>
  <c r="BL33" i="8"/>
  <c r="AV31" i="24" s="1"/>
  <c r="AQ33" i="8"/>
  <c r="AQ34" i="8"/>
  <c r="BL34" i="8"/>
  <c r="AV32" i="24" s="1"/>
  <c r="AQ35" i="8"/>
  <c r="BL35" i="8"/>
  <c r="AV33" i="24" s="1"/>
  <c r="AQ36" i="8"/>
  <c r="BL36" i="8"/>
  <c r="AV34" i="24" s="1"/>
  <c r="AQ37" i="8"/>
  <c r="BL37" i="8"/>
  <c r="AV35" i="24" s="1"/>
  <c r="AQ38" i="8"/>
  <c r="BL38" i="8"/>
  <c r="AV36" i="24" s="1"/>
  <c r="AQ39" i="8"/>
  <c r="BL39" i="8"/>
  <c r="AV37" i="24" s="1"/>
  <c r="AQ40" i="8"/>
  <c r="BL40" i="8"/>
  <c r="AV38" i="24" s="1"/>
  <c r="BL41" i="8"/>
  <c r="AV39" i="24" s="1"/>
  <c r="AQ41" i="8"/>
  <c r="AQ42" i="8"/>
  <c r="BL42" i="8"/>
  <c r="AV40" i="24" s="1"/>
  <c r="AQ43" i="8"/>
  <c r="BL43" i="8"/>
  <c r="AV41" i="24" s="1"/>
  <c r="BL44" i="8"/>
  <c r="AV42" i="24" s="1"/>
  <c r="AQ44" i="8"/>
  <c r="AQ45" i="8"/>
  <c r="BL45" i="8"/>
  <c r="AV43" i="24" s="1"/>
  <c r="AQ46" i="8"/>
  <c r="AL47" i="8"/>
  <c r="BL46" i="8"/>
  <c r="AV44" i="24" s="1"/>
  <c r="AQ47" i="8"/>
  <c r="AQ48" i="8"/>
  <c r="BL48" i="8"/>
  <c r="AV46" i="24" s="1"/>
  <c r="T58" i="31"/>
  <c r="I59" i="31" s="1"/>
  <c r="AU38" i="8" l="1"/>
  <c r="AF36" i="24" s="1"/>
  <c r="K36" i="24"/>
  <c r="AX24" i="8"/>
  <c r="AI22" i="24" s="1"/>
  <c r="K22" i="24"/>
  <c r="F40" i="36"/>
  <c r="T34" i="24"/>
  <c r="F11" i="36"/>
  <c r="T38" i="24"/>
  <c r="AU41" i="8"/>
  <c r="AF39" i="24" s="1"/>
  <c r="K39" i="24"/>
  <c r="AX20" i="8"/>
  <c r="AI18" i="24" s="1"/>
  <c r="K18" i="24"/>
  <c r="F41" i="36"/>
  <c r="T35" i="24"/>
  <c r="AU44" i="8"/>
  <c r="AF42" i="24" s="1"/>
  <c r="K42" i="24"/>
  <c r="AU42" i="8"/>
  <c r="AF40" i="24" s="1"/>
  <c r="K40" i="24"/>
  <c r="F12" i="36"/>
  <c r="T43" i="24"/>
  <c r="S35" i="20"/>
  <c r="T19" i="24"/>
  <c r="F15" i="36"/>
  <c r="T46" i="24"/>
  <c r="AU45" i="8"/>
  <c r="AF43" i="24" s="1"/>
  <c r="K43" i="24"/>
  <c r="F43" i="36"/>
  <c r="T39" i="24"/>
  <c r="F42" i="36"/>
  <c r="T36" i="24"/>
  <c r="AX31" i="8"/>
  <c r="AI29" i="24" s="1"/>
  <c r="K29" i="24"/>
  <c r="AU35" i="8"/>
  <c r="AF33" i="24" s="1"/>
  <c r="K33" i="24"/>
  <c r="AS32" i="8"/>
  <c r="AD30" i="24" s="1"/>
  <c r="K30" i="24"/>
  <c r="F7" i="36"/>
  <c r="T32" i="24"/>
  <c r="AW33" i="8"/>
  <c r="AH31" i="24" s="1"/>
  <c r="K31" i="24"/>
  <c r="AW43" i="8"/>
  <c r="AH41" i="24" s="1"/>
  <c r="K41" i="24"/>
  <c r="AS40" i="8"/>
  <c r="AD38" i="24" s="1"/>
  <c r="K38" i="24"/>
  <c r="AU48" i="8"/>
  <c r="AF46" i="24" s="1"/>
  <c r="K46" i="24"/>
  <c r="AV26" i="8"/>
  <c r="AG24" i="24" s="1"/>
  <c r="K24" i="24"/>
  <c r="F44" i="36"/>
  <c r="T40" i="24"/>
  <c r="F8" i="36"/>
  <c r="T33" i="24"/>
  <c r="AT36" i="8"/>
  <c r="AE34" i="24" s="1"/>
  <c r="K34" i="24"/>
  <c r="AU46" i="8"/>
  <c r="AF44" i="24" s="1"/>
  <c r="K44" i="24"/>
  <c r="F36" i="36"/>
  <c r="T26" i="24"/>
  <c r="AU47" i="8"/>
  <c r="AF45" i="24" s="1"/>
  <c r="K45" i="24"/>
  <c r="F14" i="36"/>
  <c r="T45" i="24"/>
  <c r="AW22" i="8"/>
  <c r="AH20" i="24" s="1"/>
  <c r="K20" i="24"/>
  <c r="F13" i="36"/>
  <c r="T44" i="24"/>
  <c r="AT33" i="8"/>
  <c r="AE31" i="24" s="1"/>
  <c r="AS19" i="8"/>
  <c r="AD17" i="24" s="1"/>
  <c r="K17" i="24"/>
  <c r="AW25" i="8"/>
  <c r="AH23" i="24" s="1"/>
  <c r="K23" i="24"/>
  <c r="AW28" i="8"/>
  <c r="AH26" i="24" s="1"/>
  <c r="K26" i="24"/>
  <c r="AU21" i="8"/>
  <c r="AF19" i="24" s="1"/>
  <c r="K19" i="24"/>
  <c r="AV27" i="8"/>
  <c r="AG25" i="24" s="1"/>
  <c r="K25" i="24"/>
  <c r="AX30" i="8"/>
  <c r="AI28" i="24" s="1"/>
  <c r="K28" i="24"/>
  <c r="AW37" i="8"/>
  <c r="AH35" i="24" s="1"/>
  <c r="K35" i="24"/>
  <c r="F5" i="36"/>
  <c r="T28" i="24"/>
  <c r="AS43" i="8"/>
  <c r="AD41" i="24" s="1"/>
  <c r="AX33" i="8"/>
  <c r="AI31" i="24" s="1"/>
  <c r="AX28" i="8"/>
  <c r="AI26" i="24" s="1"/>
  <c r="AT26" i="8"/>
  <c r="AE24" i="24" s="1"/>
  <c r="AS21" i="8"/>
  <c r="AD19" i="24" s="1"/>
  <c r="AV21" i="8"/>
  <c r="AG19" i="24" s="1"/>
  <c r="AS28" i="8"/>
  <c r="AD26" i="24" s="1"/>
  <c r="AV35" i="8"/>
  <c r="AG33" i="24" s="1"/>
  <c r="AW21" i="8"/>
  <c r="AH19" i="24" s="1"/>
  <c r="AS20" i="8"/>
  <c r="AD18" i="24" s="1"/>
  <c r="AS25" i="8"/>
  <c r="AD23" i="24" s="1"/>
  <c r="AX35" i="8"/>
  <c r="AI33" i="24" s="1"/>
  <c r="AS24" i="8"/>
  <c r="AD22" i="24" s="1"/>
  <c r="AX36" i="8"/>
  <c r="AI34" i="24" s="1"/>
  <c r="AS33" i="8"/>
  <c r="AD31" i="24" s="1"/>
  <c r="AV44" i="8"/>
  <c r="AG42" i="24" s="1"/>
  <c r="AS26" i="8"/>
  <c r="AD24" i="24" s="1"/>
  <c r="AS22" i="8"/>
  <c r="AD20" i="24" s="1"/>
  <c r="AS45" i="8"/>
  <c r="AD43" i="24" s="1"/>
  <c r="AS36" i="8"/>
  <c r="AD34" i="24" s="1"/>
  <c r="AW31" i="8"/>
  <c r="AH29" i="24" s="1"/>
  <c r="AW36" i="8"/>
  <c r="AH34" i="24" s="1"/>
  <c r="AX37" i="8"/>
  <c r="AI35" i="24" s="1"/>
  <c r="AT35" i="8"/>
  <c r="AE33" i="24" s="1"/>
  <c r="AW24" i="8"/>
  <c r="AH22" i="24" s="1"/>
  <c r="AT21" i="8"/>
  <c r="AE19" i="24" s="1"/>
  <c r="AT22" i="8"/>
  <c r="AE20" i="24" s="1"/>
  <c r="AS37" i="8"/>
  <c r="AD35" i="24" s="1"/>
  <c r="AS31" i="8"/>
  <c r="AD29" i="24" s="1"/>
  <c r="AT31" i="8"/>
  <c r="AE29" i="24" s="1"/>
  <c r="AV47" i="8"/>
  <c r="AG45" i="24" s="1"/>
  <c r="AT37" i="8"/>
  <c r="AE35" i="24" s="1"/>
  <c r="AS46" i="8"/>
  <c r="AD44" i="24" s="1"/>
  <c r="AV46" i="8"/>
  <c r="AG44" i="24" s="1"/>
  <c r="AX32" i="8"/>
  <c r="AI30" i="24" s="1"/>
  <c r="AT24" i="8"/>
  <c r="AE22" i="24" s="1"/>
  <c r="CP32" i="37"/>
  <c r="CN22" i="37"/>
  <c r="CP22" i="37" s="1"/>
  <c r="AU23" i="8"/>
  <c r="AF21" i="24" s="1"/>
  <c r="AF44" i="8"/>
  <c r="AT44" i="8"/>
  <c r="AE42" i="24" s="1"/>
  <c r="AT48" i="8"/>
  <c r="AE46" i="24" s="1"/>
  <c r="AS41" i="8"/>
  <c r="AD39" i="24" s="1"/>
  <c r="CN20" i="37"/>
  <c r="AU20" i="8"/>
  <c r="AF18" i="24" s="1"/>
  <c r="CN28" i="37"/>
  <c r="CP28" i="37" s="1"/>
  <c r="AU30" i="8"/>
  <c r="AF28" i="24" s="1"/>
  <c r="AW47" i="8"/>
  <c r="AH45" i="24" s="1"/>
  <c r="AS27" i="8"/>
  <c r="AD25" i="24" s="1"/>
  <c r="AS47" i="8"/>
  <c r="AD45" i="24" s="1"/>
  <c r="AV42" i="8"/>
  <c r="AG40" i="24" s="1"/>
  <c r="AT27" i="8"/>
  <c r="AE25" i="24" s="1"/>
  <c r="AS35" i="8"/>
  <c r="AD33" i="24" s="1"/>
  <c r="AX40" i="8"/>
  <c r="AI38" i="24" s="1"/>
  <c r="AX47" i="8"/>
  <c r="AI45" i="24" s="1"/>
  <c r="CN24" i="37"/>
  <c r="CP24" i="37" s="1"/>
  <c r="AU25" i="8"/>
  <c r="AF23" i="24" s="1"/>
  <c r="CN25" i="37"/>
  <c r="CP25" i="37" s="1"/>
  <c r="AU26" i="8"/>
  <c r="AF24" i="24" s="1"/>
  <c r="AX41" i="8"/>
  <c r="AI39" i="24" s="1"/>
  <c r="AT45" i="8"/>
  <c r="AE43" i="24" s="1"/>
  <c r="AX21" i="8"/>
  <c r="AI19" i="24" s="1"/>
  <c r="AT38" i="8"/>
  <c r="AE36" i="24" s="1"/>
  <c r="AT30" i="8"/>
  <c r="AE28" i="24" s="1"/>
  <c r="AX26" i="8"/>
  <c r="AI24" i="24" s="1"/>
  <c r="AW30" i="8"/>
  <c r="AH28" i="24" s="1"/>
  <c r="AW41" i="8"/>
  <c r="AH39" i="24" s="1"/>
  <c r="W19" i="20"/>
  <c r="CN19" i="37"/>
  <c r="CP19" i="37" s="1"/>
  <c r="AU19" i="8"/>
  <c r="AF17" i="24" s="1"/>
  <c r="AF43" i="8"/>
  <c r="AT43" i="8"/>
  <c r="AE41" i="24" s="1"/>
  <c r="AW38" i="8"/>
  <c r="AH36" i="24" s="1"/>
  <c r="AF32" i="8"/>
  <c r="AT32" i="8"/>
  <c r="AE30" i="24" s="1"/>
  <c r="AX44" i="8"/>
  <c r="AI42" i="24" s="1"/>
  <c r="CN21" i="37"/>
  <c r="CP21" i="37" s="1"/>
  <c r="AU22" i="8"/>
  <c r="AF20" i="24" s="1"/>
  <c r="CN30" i="37"/>
  <c r="CP30" i="37" s="1"/>
  <c r="AU32" i="8"/>
  <c r="AF30" i="24" s="1"/>
  <c r="AF20" i="8"/>
  <c r="AT20" i="8"/>
  <c r="AE18" i="24" s="1"/>
  <c r="AS30" i="8"/>
  <c r="AD28" i="24" s="1"/>
  <c r="AS42" i="8"/>
  <c r="AD40" i="24" s="1"/>
  <c r="AW23" i="8"/>
  <c r="AH21" i="24" s="1"/>
  <c r="AV32" i="8"/>
  <c r="AG30" i="24" s="1"/>
  <c r="CN36" i="37"/>
  <c r="CP36" i="37" s="1"/>
  <c r="AU40" i="8"/>
  <c r="AF38" i="24" s="1"/>
  <c r="AT19" i="8"/>
  <c r="AE17" i="24" s="1"/>
  <c r="AX42" i="8"/>
  <c r="AI40" i="24" s="1"/>
  <c r="AV31" i="8"/>
  <c r="AG29" i="24" s="1"/>
  <c r="AV20" i="8"/>
  <c r="AG18" i="24" s="1"/>
  <c r="AW42" i="8"/>
  <c r="AH40" i="24" s="1"/>
  <c r="AV45" i="8"/>
  <c r="AG43" i="24" s="1"/>
  <c r="CN27" i="37"/>
  <c r="CP27" i="37" s="1"/>
  <c r="AU28" i="8"/>
  <c r="AF26" i="24" s="1"/>
  <c r="CN23" i="37"/>
  <c r="CP23" i="37" s="1"/>
  <c r="AU24" i="8"/>
  <c r="AF22" i="24" s="1"/>
  <c r="CN34" i="37"/>
  <c r="CP34" i="37" s="1"/>
  <c r="AU37" i="8"/>
  <c r="AF35" i="24" s="1"/>
  <c r="AT25" i="8"/>
  <c r="AE23" i="24" s="1"/>
  <c r="AV25" i="8"/>
  <c r="AG23" i="24" s="1"/>
  <c r="AX48" i="8"/>
  <c r="AI46" i="24" s="1"/>
  <c r="AW19" i="8"/>
  <c r="AH17" i="24" s="1"/>
  <c r="AV28" i="8"/>
  <c r="AG26" i="24" s="1"/>
  <c r="AS44" i="8"/>
  <c r="AD42" i="24" s="1"/>
  <c r="AV36" i="8"/>
  <c r="AG34" i="24" s="1"/>
  <c r="AT47" i="8"/>
  <c r="AE45" i="24" s="1"/>
  <c r="AV22" i="8"/>
  <c r="AG20" i="24" s="1"/>
  <c r="AT23" i="8"/>
  <c r="AE21" i="24" s="1"/>
  <c r="AX23" i="8"/>
  <c r="AI21" i="24" s="1"/>
  <c r="AW35" i="8"/>
  <c r="AH33" i="24" s="1"/>
  <c r="AT40" i="8"/>
  <c r="AE38" i="24" s="1"/>
  <c r="CN26" i="37"/>
  <c r="AU27" i="8"/>
  <c r="AF25" i="24" s="1"/>
  <c r="AX29" i="8"/>
  <c r="AI27" i="24" s="1"/>
  <c r="AW29" i="8"/>
  <c r="AH27" i="24" s="1"/>
  <c r="AV29" i="8"/>
  <c r="AG27" i="24" s="1"/>
  <c r="AU29" i="8"/>
  <c r="AF27" i="24" s="1"/>
  <c r="AT29" i="8"/>
  <c r="AE27" i="24" s="1"/>
  <c r="AS29" i="8"/>
  <c r="AD27" i="24" s="1"/>
  <c r="AX38" i="8"/>
  <c r="AI36" i="24" s="1"/>
  <c r="AT42" i="8"/>
  <c r="AE40" i="24" s="1"/>
  <c r="AS38" i="8"/>
  <c r="AD36" i="24" s="1"/>
  <c r="AS23" i="8"/>
  <c r="AD21" i="24" s="1"/>
  <c r="AV19" i="8"/>
  <c r="AG17" i="24" s="1"/>
  <c r="CN29" i="37"/>
  <c r="CP29" i="37" s="1"/>
  <c r="AU31" i="8"/>
  <c r="AF29" i="24" s="1"/>
  <c r="AT41" i="8"/>
  <c r="AE39" i="24" s="1"/>
  <c r="AV40" i="8"/>
  <c r="AG38" i="24" s="1"/>
  <c r="AW32" i="8"/>
  <c r="AH30" i="24" s="1"/>
  <c r="AX45" i="8"/>
  <c r="AI43" i="24" s="1"/>
  <c r="AS48" i="8"/>
  <c r="AD46" i="24" s="1"/>
  <c r="AV41" i="8"/>
  <c r="AG39" i="24" s="1"/>
  <c r="AW40" i="8"/>
  <c r="AH38" i="24" s="1"/>
  <c r="AW27" i="8"/>
  <c r="AH25" i="24" s="1"/>
  <c r="CN31" i="37"/>
  <c r="CP31" i="37" s="1"/>
  <c r="AU33" i="8"/>
  <c r="AF31" i="24" s="1"/>
  <c r="CN37" i="37"/>
  <c r="CP37" i="37" s="1"/>
  <c r="AU43" i="8"/>
  <c r="AF41" i="24" s="1"/>
  <c r="AX39" i="8"/>
  <c r="AI37" i="24" s="1"/>
  <c r="AW39" i="8"/>
  <c r="AH37" i="24" s="1"/>
  <c r="AV39" i="8"/>
  <c r="AG37" i="24" s="1"/>
  <c r="AU39" i="8"/>
  <c r="AF37" i="24" s="1"/>
  <c r="AT39" i="8"/>
  <c r="AE37" i="24" s="1"/>
  <c r="CN35" i="37"/>
  <c r="CP35" i="37" s="1"/>
  <c r="AS39" i="8"/>
  <c r="AD37" i="24" s="1"/>
  <c r="AX34" i="8"/>
  <c r="AI32" i="24" s="1"/>
  <c r="AW34" i="8"/>
  <c r="AH32" i="24" s="1"/>
  <c r="AV34" i="8"/>
  <c r="AG32" i="24" s="1"/>
  <c r="AU34" i="8"/>
  <c r="AF32" i="24" s="1"/>
  <c r="AT34" i="8"/>
  <c r="AE32" i="24" s="1"/>
  <c r="AS34" i="8"/>
  <c r="AD32" i="24" s="1"/>
  <c r="CN32" i="37"/>
  <c r="AV48" i="8"/>
  <c r="AG46" i="24" s="1"/>
  <c r="AW26" i="8"/>
  <c r="AH24" i="24" s="1"/>
  <c r="AV38" i="8"/>
  <c r="AG36" i="24" s="1"/>
  <c r="AV23" i="8"/>
  <c r="AG21" i="24" s="1"/>
  <c r="AW44" i="8"/>
  <c r="AH42" i="24" s="1"/>
  <c r="AW46" i="8"/>
  <c r="AH44" i="24" s="1"/>
  <c r="CN33" i="37"/>
  <c r="CP33" i="37" s="1"/>
  <c r="AU36" i="8"/>
  <c r="AF34" i="24" s="1"/>
  <c r="AX46" i="8"/>
  <c r="AI44" i="24" s="1"/>
  <c r="AW45" i="8"/>
  <c r="AH43" i="24" s="1"/>
  <c r="AX19" i="8"/>
  <c r="AI17" i="24" s="1"/>
  <c r="AV43" i="8"/>
  <c r="AG41" i="24" s="1"/>
  <c r="AW20" i="8"/>
  <c r="AH18" i="24" s="1"/>
  <c r="AT28" i="8"/>
  <c r="AE26" i="24" s="1"/>
  <c r="AV30" i="8"/>
  <c r="AG28" i="24" s="1"/>
  <c r="AX27" i="8"/>
  <c r="AI25" i="24" s="1"/>
  <c r="AV37" i="8"/>
  <c r="AG35" i="24" s="1"/>
  <c r="AW48" i="8"/>
  <c r="AH46" i="24" s="1"/>
  <c r="AX25" i="8"/>
  <c r="AI23" i="24" s="1"/>
  <c r="AY17" i="34"/>
  <c r="BA17" i="34" s="1"/>
  <c r="AY18" i="34"/>
  <c r="BA18" i="34" s="1"/>
  <c r="AY27" i="34"/>
  <c r="BA27" i="34" s="1"/>
  <c r="AY33" i="34"/>
  <c r="BA33" i="34" s="1"/>
  <c r="CP20" i="37"/>
  <c r="AY26" i="34"/>
  <c r="BA26" i="34" s="1"/>
  <c r="CP26" i="37"/>
  <c r="AY34" i="34"/>
  <c r="BA34" i="34" s="1"/>
  <c r="AY29" i="34"/>
  <c r="BA29" i="34" s="1"/>
  <c r="AY22" i="34"/>
  <c r="BA22" i="34" s="1"/>
  <c r="AY32" i="34"/>
  <c r="BA32" i="34" s="1"/>
  <c r="AY30" i="34"/>
  <c r="BA30" i="34" s="1"/>
  <c r="W7" i="20"/>
  <c r="W8" i="20"/>
  <c r="F30" i="36"/>
  <c r="F32" i="36"/>
  <c r="G7" i="4"/>
  <c r="H7" i="22" s="1"/>
  <c r="F7" i="4"/>
  <c r="G7" i="22" s="1"/>
  <c r="F34" i="36"/>
  <c r="F37" i="36"/>
  <c r="F33" i="36"/>
  <c r="F35" i="36"/>
  <c r="F6" i="36"/>
  <c r="F31" i="36"/>
  <c r="F4" i="36"/>
  <c r="F38" i="36"/>
  <c r="AY28" i="34"/>
  <c r="BA28" i="34" s="1"/>
  <c r="AY19" i="34"/>
  <c r="BA19" i="34" s="1"/>
  <c r="AY21" i="34"/>
  <c r="BA21" i="34" s="1"/>
  <c r="AY23" i="34"/>
  <c r="BA23" i="34" s="1"/>
  <c r="AY25" i="34"/>
  <c r="BA25" i="34" s="1"/>
  <c r="AY24" i="34"/>
  <c r="BA24" i="34" s="1"/>
  <c r="AY20" i="34"/>
  <c r="BA20" i="34" s="1"/>
  <c r="AY31" i="34"/>
  <c r="BA31" i="34" s="1"/>
  <c r="W9" i="20"/>
  <c r="AF19" i="8"/>
  <c r="BJ33" i="8"/>
  <c r="AT31" i="24" s="1"/>
  <c r="T35" i="32"/>
  <c r="S35" i="32" s="1"/>
  <c r="AG34" i="8"/>
  <c r="H7" i="36" s="1"/>
  <c r="I7" i="36" s="1"/>
  <c r="T36" i="32"/>
  <c r="S36" i="32" s="1"/>
  <c r="BK41" i="8"/>
  <c r="AU39" i="24" s="1"/>
  <c r="T43" i="32"/>
  <c r="S43" i="32" s="1"/>
  <c r="BK48" i="8"/>
  <c r="AU46" i="24" s="1"/>
  <c r="T50" i="32"/>
  <c r="S50" i="32" s="1"/>
  <c r="BK28" i="8"/>
  <c r="AU26" i="24" s="1"/>
  <c r="T31" i="32"/>
  <c r="S31" i="32" s="1"/>
  <c r="BK46" i="8"/>
  <c r="AU44" i="24" s="1"/>
  <c r="T48" i="32"/>
  <c r="S48" i="32" s="1"/>
  <c r="BK37" i="8"/>
  <c r="AU35" i="24" s="1"/>
  <c r="T39" i="32"/>
  <c r="S39" i="32" s="1"/>
  <c r="BK40" i="8"/>
  <c r="AU38" i="24" s="1"/>
  <c r="T42" i="32"/>
  <c r="S42" i="32" s="1"/>
  <c r="BJ27" i="8"/>
  <c r="AT25" i="24" s="1"/>
  <c r="T30" i="32"/>
  <c r="S30" i="32" s="1"/>
  <c r="BJ21" i="8"/>
  <c r="AT19" i="24" s="1"/>
  <c r="T24" i="32"/>
  <c r="S24" i="32" s="1"/>
  <c r="BJ42" i="8"/>
  <c r="AT40" i="24" s="1"/>
  <c r="T44" i="32"/>
  <c r="S44" i="32" s="1"/>
  <c r="BK45" i="8"/>
  <c r="AU43" i="24" s="1"/>
  <c r="T47" i="32"/>
  <c r="S47" i="32" s="1"/>
  <c r="BK38" i="8"/>
  <c r="AU36" i="24" s="1"/>
  <c r="T40" i="32"/>
  <c r="S40" i="32" s="1"/>
  <c r="BK30" i="8"/>
  <c r="AU28" i="24" s="1"/>
  <c r="T32" i="32"/>
  <c r="S32" i="32" s="1"/>
  <c r="BK25" i="8"/>
  <c r="AU23" i="24" s="1"/>
  <c r="T28" i="32"/>
  <c r="S28" i="32" s="1"/>
  <c r="BK36" i="8"/>
  <c r="AU34" i="24" s="1"/>
  <c r="T38" i="32"/>
  <c r="S38" i="32" s="1"/>
  <c r="BK22" i="8"/>
  <c r="AU20" i="24" s="1"/>
  <c r="T25" i="32"/>
  <c r="S25" i="32" s="1"/>
  <c r="BK31" i="8"/>
  <c r="AU29" i="24" s="1"/>
  <c r="T33" i="32"/>
  <c r="S33" i="32" s="1"/>
  <c r="BK26" i="8"/>
  <c r="AU24" i="24" s="1"/>
  <c r="T29" i="32"/>
  <c r="S29" i="32" s="1"/>
  <c r="BK47" i="8"/>
  <c r="AU45" i="24" s="1"/>
  <c r="T49" i="32"/>
  <c r="S49" i="32" s="1"/>
  <c r="BJ24" i="8"/>
  <c r="AT22" i="24" s="1"/>
  <c r="T27" i="32"/>
  <c r="S27" i="32" s="1"/>
  <c r="AG35" i="8"/>
  <c r="H8" i="36" s="1"/>
  <c r="I8" i="36" s="1"/>
  <c r="T37" i="32"/>
  <c r="S37" i="32" s="1"/>
  <c r="O3" i="24"/>
  <c r="BJ23" i="8"/>
  <c r="AT21" i="24" s="1"/>
  <c r="T26" i="32"/>
  <c r="S26" i="32" s="1"/>
  <c r="AG22" i="8"/>
  <c r="AG38" i="8"/>
  <c r="H42" i="36" s="1"/>
  <c r="I42" i="36" s="1"/>
  <c r="AG40" i="8"/>
  <c r="H11" i="36" s="1"/>
  <c r="I11" i="36" s="1"/>
  <c r="AG45" i="8"/>
  <c r="AG23" i="8"/>
  <c r="BJ40" i="8"/>
  <c r="AT38" i="24" s="1"/>
  <c r="AG30" i="8"/>
  <c r="AG47" i="8"/>
  <c r="BJ47" i="8"/>
  <c r="AT45" i="24" s="1"/>
  <c r="BJ30" i="8"/>
  <c r="AT28" i="24" s="1"/>
  <c r="BJ25" i="8"/>
  <c r="AT23" i="24" s="1"/>
  <c r="BK21" i="8"/>
  <c r="AU19" i="24" s="1"/>
  <c r="BJ38" i="8"/>
  <c r="AT36" i="24" s="1"/>
  <c r="AG27" i="8"/>
  <c r="AG46" i="8"/>
  <c r="AG21" i="8"/>
  <c r="AG25" i="8"/>
  <c r="BK27" i="8"/>
  <c r="AU25" i="24" s="1"/>
  <c r="P48" i="24"/>
  <c r="S48" i="24"/>
  <c r="BJ22" i="8"/>
  <c r="AT20" i="24" s="1"/>
  <c r="R48" i="24"/>
  <c r="BJ37" i="8"/>
  <c r="AT35" i="24" s="1"/>
  <c r="BK24" i="8"/>
  <c r="AU22" i="24" s="1"/>
  <c r="BJ35" i="8"/>
  <c r="AT33" i="24" s="1"/>
  <c r="BJ48" i="8"/>
  <c r="AT46" i="24" s="1"/>
  <c r="AG48" i="8"/>
  <c r="BK23" i="8"/>
  <c r="AU21" i="24" s="1"/>
  <c r="Q48" i="24"/>
  <c r="AG42" i="8"/>
  <c r="BK34" i="8"/>
  <c r="AU32" i="24" s="1"/>
  <c r="BK35" i="8"/>
  <c r="AU33" i="24" s="1"/>
  <c r="BJ34" i="8"/>
  <c r="AT32" i="24" s="1"/>
  <c r="BJ26" i="8"/>
  <c r="AT24" i="24" s="1"/>
  <c r="AG26" i="8"/>
  <c r="AG24" i="8"/>
  <c r="BK42" i="8"/>
  <c r="AU40" i="24" s="1"/>
  <c r="BJ36" i="8"/>
  <c r="AT34" i="24" s="1"/>
  <c r="BJ45" i="8"/>
  <c r="AT43" i="24" s="1"/>
  <c r="AG36" i="8"/>
  <c r="H40" i="36" s="1"/>
  <c r="I40" i="36" s="1"/>
  <c r="BK33" i="8"/>
  <c r="AU31" i="24" s="1"/>
  <c r="AG31" i="8"/>
  <c r="BJ46" i="8"/>
  <c r="AT44" i="24" s="1"/>
  <c r="AG41" i="8"/>
  <c r="H43" i="36" s="1"/>
  <c r="I43" i="36" s="1"/>
  <c r="AG33" i="8"/>
  <c r="BJ31" i="8"/>
  <c r="AT29" i="24" s="1"/>
  <c r="BJ41" i="8"/>
  <c r="AT39" i="24" s="1"/>
  <c r="AG28" i="8"/>
  <c r="H36" i="36" s="1"/>
  <c r="I36" i="36" s="1"/>
  <c r="AG37" i="8"/>
  <c r="H41" i="36" s="1"/>
  <c r="I41" i="36" s="1"/>
  <c r="BJ28" i="8"/>
  <c r="AT26" i="24" s="1"/>
  <c r="AP23" i="20"/>
  <c r="AI50" i="24"/>
  <c r="AO23" i="20"/>
  <c r="AH50" i="24"/>
  <c r="X42" i="8"/>
  <c r="M40" i="24" s="1"/>
  <c r="BF30" i="8"/>
  <c r="BF32" i="8"/>
  <c r="BF41" i="8"/>
  <c r="BB21" i="8"/>
  <c r="BF40" i="8"/>
  <c r="BF19" i="8"/>
  <c r="AP17" i="24" s="1"/>
  <c r="BF44" i="8"/>
  <c r="BF35" i="8"/>
  <c r="BF46" i="8"/>
  <c r="BF23" i="8"/>
  <c r="BF27" i="8"/>
  <c r="BF25" i="8"/>
  <c r="BF29" i="8"/>
  <c r="BF20" i="8"/>
  <c r="BF45" i="8"/>
  <c r="BF43" i="8"/>
  <c r="BF24" i="8"/>
  <c r="BF37" i="8"/>
  <c r="BF47" i="8"/>
  <c r="BF39" i="8"/>
  <c r="BB34" i="8"/>
  <c r="X20" i="8"/>
  <c r="M18" i="24" s="1"/>
  <c r="BB20" i="8"/>
  <c r="BF48" i="8"/>
  <c r="BB42" i="8"/>
  <c r="BF42" i="8"/>
  <c r="BF34" i="8"/>
  <c r="X34" i="8"/>
  <c r="M32" i="24" s="1"/>
  <c r="BB26" i="8"/>
  <c r="X26" i="8"/>
  <c r="M24" i="24" s="1"/>
  <c r="BF26" i="8"/>
  <c r="X39" i="8"/>
  <c r="M37" i="24" s="1"/>
  <c r="BB39" i="8"/>
  <c r="BB37" i="8"/>
  <c r="BB28" i="8"/>
  <c r="BB40" i="8"/>
  <c r="X23" i="8"/>
  <c r="M21" i="24" s="1"/>
  <c r="X46" i="8"/>
  <c r="M44" i="24" s="1"/>
  <c r="BB24" i="8"/>
  <c r="X37" i="8"/>
  <c r="M35" i="24" s="1"/>
  <c r="X35" i="8"/>
  <c r="M33" i="24" s="1"/>
  <c r="X48" i="8"/>
  <c r="M46" i="24" s="1"/>
  <c r="BB48" i="8"/>
  <c r="X19" i="8"/>
  <c r="M17" i="24" s="1"/>
  <c r="BB22" i="8"/>
  <c r="BF21" i="8"/>
  <c r="X30" i="8"/>
  <c r="M28" i="24" s="1"/>
  <c r="X32" i="8"/>
  <c r="M30" i="24" s="1"/>
  <c r="X24" i="8"/>
  <c r="M22" i="24" s="1"/>
  <c r="BB35" i="8"/>
  <c r="BB27" i="8"/>
  <c r="BB29" i="8"/>
  <c r="X25" i="8"/>
  <c r="M23" i="24" s="1"/>
  <c r="BB30" i="8"/>
  <c r="BB23" i="8"/>
  <c r="BB47" i="8"/>
  <c r="BB32" i="8"/>
  <c r="X47" i="8"/>
  <c r="M45" i="24" s="1"/>
  <c r="X40" i="8"/>
  <c r="M38" i="24" s="1"/>
  <c r="BB46" i="8"/>
  <c r="X21" i="8"/>
  <c r="M19" i="24" s="1"/>
  <c r="BF33" i="8"/>
  <c r="X33" i="8"/>
  <c r="M31" i="24" s="1"/>
  <c r="BF36" i="8"/>
  <c r="X36" i="8"/>
  <c r="M34" i="24" s="1"/>
  <c r="BB36" i="8"/>
  <c r="BB33" i="8"/>
  <c r="BF38" i="8"/>
  <c r="X38" i="8"/>
  <c r="M36" i="24" s="1"/>
  <c r="BB38" i="8"/>
  <c r="BF31" i="8"/>
  <c r="X31" i="8"/>
  <c r="M29" i="24" s="1"/>
  <c r="BB31" i="8"/>
  <c r="X29" i="8"/>
  <c r="M27" i="24" s="1"/>
  <c r="X27" i="8"/>
  <c r="M25" i="24" s="1"/>
  <c r="X45" i="8"/>
  <c r="M43" i="24" s="1"/>
  <c r="X44" i="8"/>
  <c r="M42" i="24" s="1"/>
  <c r="BB45" i="8"/>
  <c r="BB19" i="8"/>
  <c r="AL17" i="24" s="1"/>
  <c r="BF22" i="8"/>
  <c r="X22" i="8"/>
  <c r="M20" i="24" s="1"/>
  <c r="X43" i="8"/>
  <c r="M41" i="24" s="1"/>
  <c r="X41" i="8"/>
  <c r="M39" i="24" s="1"/>
  <c r="BB44" i="8"/>
  <c r="BB43" i="8"/>
  <c r="BB41" i="8"/>
  <c r="BB25" i="8"/>
  <c r="BF28" i="8"/>
  <c r="X28" i="8"/>
  <c r="M26" i="24" s="1"/>
  <c r="B29" i="8"/>
  <c r="AZ2" i="8"/>
  <c r="P43" i="22"/>
  <c r="P46" i="22" s="1"/>
  <c r="P42" i="22"/>
  <c r="P41" i="22"/>
  <c r="P40" i="22"/>
  <c r="P39" i="22"/>
  <c r="P36" i="22"/>
  <c r="P35" i="22"/>
  <c r="P34" i="22"/>
  <c r="P33" i="22"/>
  <c r="P32" i="22"/>
  <c r="P37" i="22" s="1"/>
  <c r="P31" i="22"/>
  <c r="O43" i="22"/>
  <c r="O46" i="22" s="1"/>
  <c r="O42" i="22"/>
  <c r="O41" i="22"/>
  <c r="O40" i="22"/>
  <c r="O39" i="22"/>
  <c r="O36" i="22"/>
  <c r="O35" i="22"/>
  <c r="O34" i="22"/>
  <c r="O33" i="22"/>
  <c r="O32" i="22"/>
  <c r="O31" i="22"/>
  <c r="N43" i="22"/>
  <c r="N46" i="22" s="1"/>
  <c r="N42" i="22"/>
  <c r="N41" i="22"/>
  <c r="N40" i="22"/>
  <c r="N39" i="22"/>
  <c r="N36" i="22"/>
  <c r="N35" i="22"/>
  <c r="N34" i="22"/>
  <c r="N33" i="22"/>
  <c r="N32" i="22"/>
  <c r="N31" i="22"/>
  <c r="G24" i="1"/>
  <c r="D68" i="11" s="1"/>
  <c r="D24" i="1"/>
  <c r="C24" i="1"/>
  <c r="E3" i="30"/>
  <c r="E4" i="30"/>
  <c r="E5" i="30"/>
  <c r="E6" i="30"/>
  <c r="E7" i="30"/>
  <c r="E8" i="30"/>
  <c r="E9" i="30"/>
  <c r="E10" i="30"/>
  <c r="E11" i="30"/>
  <c r="E12" i="30"/>
  <c r="E2" i="30"/>
  <c r="D3" i="30"/>
  <c r="D4" i="30"/>
  <c r="D5" i="30"/>
  <c r="D6" i="30"/>
  <c r="D7" i="30"/>
  <c r="D8" i="30"/>
  <c r="D9" i="30"/>
  <c r="D10" i="30"/>
  <c r="D11" i="30"/>
  <c r="D12" i="30"/>
  <c r="D2" i="30"/>
  <c r="C3" i="30"/>
  <c r="C4" i="30"/>
  <c r="C5" i="30"/>
  <c r="C6" i="30"/>
  <c r="C7" i="30"/>
  <c r="C8" i="30"/>
  <c r="C9" i="30"/>
  <c r="C10" i="30"/>
  <c r="C11" i="30"/>
  <c r="C12" i="30"/>
  <c r="C2" i="30"/>
  <c r="E44" i="28"/>
  <c r="D44" i="28"/>
  <c r="C44" i="28"/>
  <c r="B44" i="28"/>
  <c r="E46" i="28"/>
  <c r="D46" i="28"/>
  <c r="C46" i="28"/>
  <c r="B46" i="28"/>
  <c r="E48" i="28"/>
  <c r="D48" i="28"/>
  <c r="C48" i="28"/>
  <c r="B48" i="28"/>
  <c r="E50" i="28"/>
  <c r="D50" i="28"/>
  <c r="C50" i="28"/>
  <c r="B50" i="28"/>
  <c r="E52" i="28"/>
  <c r="D52" i="28"/>
  <c r="C52" i="28"/>
  <c r="B52" i="28"/>
  <c r="E54" i="28"/>
  <c r="D54" i="28"/>
  <c r="C54" i="28"/>
  <c r="B54" i="28"/>
  <c r="E56" i="28"/>
  <c r="D56" i="28"/>
  <c r="C56" i="28"/>
  <c r="B56" i="28"/>
  <c r="E58" i="28"/>
  <c r="D58" i="28"/>
  <c r="C58" i="28"/>
  <c r="B58" i="28"/>
  <c r="E60" i="28"/>
  <c r="D60" i="28"/>
  <c r="C60" i="28"/>
  <c r="B60" i="28"/>
  <c r="E62" i="28"/>
  <c r="D62" i="28"/>
  <c r="C62" i="28"/>
  <c r="B62" i="28"/>
  <c r="E64" i="28"/>
  <c r="D64" i="28"/>
  <c r="C64" i="28"/>
  <c r="B64" i="28"/>
  <c r="E66" i="28"/>
  <c r="D66" i="28"/>
  <c r="C66" i="28"/>
  <c r="B66" i="28"/>
  <c r="E68" i="28"/>
  <c r="D68" i="28"/>
  <c r="C68" i="28"/>
  <c r="B68" i="28"/>
  <c r="E70" i="28"/>
  <c r="D70" i="28"/>
  <c r="C70" i="28"/>
  <c r="B70" i="28"/>
  <c r="E72" i="28"/>
  <c r="D72" i="28"/>
  <c r="C72" i="28"/>
  <c r="B72" i="28"/>
  <c r="E74" i="28"/>
  <c r="D74" i="28"/>
  <c r="C74" i="28"/>
  <c r="B74" i="28"/>
  <c r="E76" i="28"/>
  <c r="D76" i="28"/>
  <c r="C76" i="28"/>
  <c r="B76" i="28"/>
  <c r="E78" i="28"/>
  <c r="D78" i="28"/>
  <c r="C78" i="28"/>
  <c r="B78" i="28"/>
  <c r="E80" i="28"/>
  <c r="D80" i="28"/>
  <c r="C80" i="28"/>
  <c r="B80" i="28"/>
  <c r="E82" i="28"/>
  <c r="D82" i="28"/>
  <c r="C82" i="28"/>
  <c r="B82" i="28"/>
  <c r="E84" i="28"/>
  <c r="D84" i="28"/>
  <c r="C84" i="28"/>
  <c r="B84" i="28"/>
  <c r="E86" i="28"/>
  <c r="D86" i="28"/>
  <c r="C86" i="28"/>
  <c r="B86" i="28"/>
  <c r="E106" i="28"/>
  <c r="D106" i="28"/>
  <c r="B106" i="28"/>
  <c r="E108" i="28"/>
  <c r="D108" i="28"/>
  <c r="B108" i="28"/>
  <c r="F110" i="28"/>
  <c r="E110" i="28"/>
  <c r="D110" i="28"/>
  <c r="B110" i="28"/>
  <c r="F112" i="28"/>
  <c r="E112" i="28"/>
  <c r="D112" i="28"/>
  <c r="B112" i="28"/>
  <c r="F114" i="28"/>
  <c r="E114" i="28"/>
  <c r="D114" i="28"/>
  <c r="B114" i="28"/>
  <c r="F116" i="28"/>
  <c r="E116" i="28"/>
  <c r="D116" i="28"/>
  <c r="B116" i="28"/>
  <c r="F118" i="28"/>
  <c r="E118" i="28"/>
  <c r="D118" i="28"/>
  <c r="B118" i="28"/>
  <c r="F120" i="28"/>
  <c r="E120" i="28"/>
  <c r="D120" i="28"/>
  <c r="B120" i="28"/>
  <c r="F122" i="28"/>
  <c r="E122" i="28"/>
  <c r="D122" i="28"/>
  <c r="B122" i="28"/>
  <c r="F124" i="28"/>
  <c r="E124" i="28"/>
  <c r="D124" i="28"/>
  <c r="B124" i="28"/>
  <c r="F126" i="28"/>
  <c r="E126" i="28"/>
  <c r="D126" i="28"/>
  <c r="B126" i="28"/>
  <c r="F128" i="28"/>
  <c r="E128" i="28"/>
  <c r="D128" i="28"/>
  <c r="B128" i="28"/>
  <c r="F130" i="28"/>
  <c r="E130" i="28"/>
  <c r="D130" i="28"/>
  <c r="B130" i="28"/>
  <c r="F132" i="28"/>
  <c r="E132" i="28"/>
  <c r="D132" i="28"/>
  <c r="B132" i="28"/>
  <c r="F134" i="28"/>
  <c r="E134" i="28"/>
  <c r="D134" i="28"/>
  <c r="B134" i="28"/>
  <c r="F136" i="28"/>
  <c r="E136" i="28"/>
  <c r="D136" i="28"/>
  <c r="B136" i="28"/>
  <c r="F138" i="28"/>
  <c r="E138" i="28"/>
  <c r="D138" i="28"/>
  <c r="B138" i="28"/>
  <c r="F140" i="28"/>
  <c r="E140" i="28"/>
  <c r="D140" i="28"/>
  <c r="B140" i="28"/>
  <c r="F142" i="28"/>
  <c r="E142" i="28"/>
  <c r="D142" i="28"/>
  <c r="B142" i="28"/>
  <c r="F144" i="28"/>
  <c r="E144" i="28"/>
  <c r="D144" i="28"/>
  <c r="B144" i="28"/>
  <c r="F146" i="28"/>
  <c r="E146" i="28"/>
  <c r="D146" i="28"/>
  <c r="B146" i="28"/>
  <c r="F148" i="28"/>
  <c r="E148" i="28"/>
  <c r="D148" i="28"/>
  <c r="B148" i="28"/>
  <c r="E169" i="28"/>
  <c r="D169" i="28"/>
  <c r="B169" i="28"/>
  <c r="E171" i="28"/>
  <c r="D171" i="28"/>
  <c r="B171" i="28"/>
  <c r="F173" i="28"/>
  <c r="E173" i="28"/>
  <c r="D173" i="28"/>
  <c r="B173" i="28"/>
  <c r="F175" i="28"/>
  <c r="E175" i="28"/>
  <c r="D175" i="28"/>
  <c r="B175" i="28"/>
  <c r="F177" i="28"/>
  <c r="E177" i="28"/>
  <c r="D177" i="28"/>
  <c r="B177" i="28"/>
  <c r="F179" i="28"/>
  <c r="E179" i="28"/>
  <c r="D179" i="28"/>
  <c r="B179" i="28"/>
  <c r="F181" i="28"/>
  <c r="E181" i="28"/>
  <c r="D181" i="28"/>
  <c r="B181" i="28"/>
  <c r="F183" i="28"/>
  <c r="E183" i="28"/>
  <c r="D183" i="28"/>
  <c r="B183" i="28"/>
  <c r="F185" i="28"/>
  <c r="E185" i="28"/>
  <c r="D185" i="28"/>
  <c r="B185" i="28"/>
  <c r="F187" i="28"/>
  <c r="E187" i="28"/>
  <c r="D187" i="28"/>
  <c r="B187" i="28"/>
  <c r="F189" i="28"/>
  <c r="E189" i="28"/>
  <c r="D189" i="28"/>
  <c r="B189" i="28"/>
  <c r="F191" i="28"/>
  <c r="E191" i="28"/>
  <c r="D191" i="28"/>
  <c r="B191" i="28"/>
  <c r="F193" i="28"/>
  <c r="E193" i="28"/>
  <c r="D193" i="28"/>
  <c r="B193" i="28"/>
  <c r="F195" i="28"/>
  <c r="E195" i="28"/>
  <c r="D195" i="28"/>
  <c r="B195" i="28"/>
  <c r="F197" i="28"/>
  <c r="E197" i="28"/>
  <c r="D197" i="28"/>
  <c r="B197" i="28"/>
  <c r="F199" i="28"/>
  <c r="E199" i="28"/>
  <c r="D199" i="28"/>
  <c r="B199" i="28"/>
  <c r="F201" i="28"/>
  <c r="E201" i="28"/>
  <c r="D201" i="28"/>
  <c r="B201" i="28"/>
  <c r="F203" i="28"/>
  <c r="E203" i="28"/>
  <c r="D203" i="28"/>
  <c r="B203" i="28"/>
  <c r="F205" i="28"/>
  <c r="E205" i="28"/>
  <c r="D205" i="28"/>
  <c r="B205" i="28"/>
  <c r="F207" i="28"/>
  <c r="E207" i="28"/>
  <c r="D207" i="28"/>
  <c r="B207" i="28"/>
  <c r="F209" i="28"/>
  <c r="E209" i="28"/>
  <c r="D209" i="28"/>
  <c r="B209" i="28"/>
  <c r="F211" i="28"/>
  <c r="E211" i="28"/>
  <c r="D211" i="28"/>
  <c r="B211" i="28"/>
  <c r="P231" i="28"/>
  <c r="O231" i="28" s="1"/>
  <c r="M231" i="28"/>
  <c r="H231" i="28"/>
  <c r="I231" i="28" s="1"/>
  <c r="F231" i="28"/>
  <c r="G231" i="28" s="1"/>
  <c r="E231" i="28"/>
  <c r="D231" i="28"/>
  <c r="B231" i="28"/>
  <c r="P233" i="28"/>
  <c r="O233" i="28" s="1"/>
  <c r="M233" i="28"/>
  <c r="H233" i="28"/>
  <c r="I233" i="28" s="1"/>
  <c r="F233" i="28"/>
  <c r="G233" i="28" s="1"/>
  <c r="E233" i="28"/>
  <c r="D233" i="28"/>
  <c r="B233" i="28"/>
  <c r="S235" i="28"/>
  <c r="R235" i="28"/>
  <c r="Q235" i="28"/>
  <c r="P235" i="28"/>
  <c r="O235" i="28" s="1"/>
  <c r="M235" i="28"/>
  <c r="H235" i="28"/>
  <c r="I235" i="28" s="1"/>
  <c r="F235" i="28"/>
  <c r="G235" i="28" s="1"/>
  <c r="E235" i="28"/>
  <c r="D235" i="28"/>
  <c r="B235" i="28"/>
  <c r="S237" i="28"/>
  <c r="R237" i="28"/>
  <c r="Q237" i="28"/>
  <c r="P237" i="28"/>
  <c r="O237" i="28" s="1"/>
  <c r="M237" i="28"/>
  <c r="H237" i="28"/>
  <c r="I237" i="28" s="1"/>
  <c r="F237" i="28"/>
  <c r="G237" i="28" s="1"/>
  <c r="E237" i="28"/>
  <c r="D237" i="28"/>
  <c r="B237" i="28"/>
  <c r="S239" i="28"/>
  <c r="R239" i="28"/>
  <c r="Q239" i="28"/>
  <c r="P239" i="28"/>
  <c r="O239" i="28" s="1"/>
  <c r="M239" i="28"/>
  <c r="H239" i="28"/>
  <c r="I239" i="28" s="1"/>
  <c r="F239" i="28"/>
  <c r="G239" i="28" s="1"/>
  <c r="E239" i="28"/>
  <c r="D239" i="28"/>
  <c r="B239" i="28"/>
  <c r="S241" i="28"/>
  <c r="R241" i="28"/>
  <c r="Q241" i="28"/>
  <c r="P241" i="28"/>
  <c r="O241" i="28" s="1"/>
  <c r="M241" i="28"/>
  <c r="H241" i="28"/>
  <c r="I241" i="28" s="1"/>
  <c r="F241" i="28"/>
  <c r="G241" i="28" s="1"/>
  <c r="E241" i="28"/>
  <c r="D241" i="28"/>
  <c r="B241" i="28"/>
  <c r="S243" i="28"/>
  <c r="R243" i="28"/>
  <c r="Q243" i="28"/>
  <c r="P243" i="28"/>
  <c r="O243" i="28" s="1"/>
  <c r="M243" i="28"/>
  <c r="H243" i="28"/>
  <c r="I243" i="28" s="1"/>
  <c r="F243" i="28"/>
  <c r="G243" i="28" s="1"/>
  <c r="E243" i="28"/>
  <c r="D243" i="28"/>
  <c r="B243" i="28"/>
  <c r="S245" i="28"/>
  <c r="R245" i="28"/>
  <c r="Q245" i="28"/>
  <c r="P245" i="28"/>
  <c r="O245" i="28" s="1"/>
  <c r="M245" i="28"/>
  <c r="H245" i="28"/>
  <c r="I245" i="28" s="1"/>
  <c r="F245" i="28"/>
  <c r="G245" i="28" s="1"/>
  <c r="E245" i="28"/>
  <c r="D245" i="28"/>
  <c r="B245" i="28"/>
  <c r="S247" i="28"/>
  <c r="R247" i="28"/>
  <c r="Q247" i="28"/>
  <c r="P247" i="28"/>
  <c r="O247" i="28" s="1"/>
  <c r="M247" i="28"/>
  <c r="H247" i="28"/>
  <c r="I247" i="28" s="1"/>
  <c r="F247" i="28"/>
  <c r="G247" i="28" s="1"/>
  <c r="E247" i="28"/>
  <c r="D247" i="28"/>
  <c r="B247" i="28"/>
  <c r="S249" i="28"/>
  <c r="R249" i="28"/>
  <c r="Q249" i="28"/>
  <c r="P249" i="28"/>
  <c r="O249" i="28" s="1"/>
  <c r="M249" i="28"/>
  <c r="H249" i="28"/>
  <c r="I249" i="28" s="1"/>
  <c r="F249" i="28"/>
  <c r="G249" i="28" s="1"/>
  <c r="E249" i="28"/>
  <c r="D249" i="28"/>
  <c r="B249" i="28"/>
  <c r="S251" i="28"/>
  <c r="R251" i="28"/>
  <c r="Q251" i="28"/>
  <c r="P251" i="28"/>
  <c r="O251" i="28" s="1"/>
  <c r="M251" i="28"/>
  <c r="H251" i="28"/>
  <c r="I251" i="28" s="1"/>
  <c r="F251" i="28"/>
  <c r="G251" i="28" s="1"/>
  <c r="E251" i="28"/>
  <c r="D251" i="28"/>
  <c r="B251" i="28"/>
  <c r="S253" i="28"/>
  <c r="R253" i="28"/>
  <c r="Q253" i="28"/>
  <c r="P253" i="28"/>
  <c r="O253" i="28" s="1"/>
  <c r="M253" i="28"/>
  <c r="H253" i="28"/>
  <c r="I253" i="28" s="1"/>
  <c r="F253" i="28"/>
  <c r="G253" i="28" s="1"/>
  <c r="E253" i="28"/>
  <c r="D253" i="28"/>
  <c r="B253" i="28"/>
  <c r="S255" i="28"/>
  <c r="R255" i="28"/>
  <c r="Q255" i="28"/>
  <c r="P255" i="28"/>
  <c r="O255" i="28" s="1"/>
  <c r="M255" i="28"/>
  <c r="H255" i="28"/>
  <c r="I255" i="28" s="1"/>
  <c r="F255" i="28"/>
  <c r="G255" i="28" s="1"/>
  <c r="E255" i="28"/>
  <c r="D255" i="28"/>
  <c r="B255" i="28"/>
  <c r="S257" i="28"/>
  <c r="R257" i="28"/>
  <c r="Q257" i="28"/>
  <c r="P257" i="28"/>
  <c r="O257" i="28" s="1"/>
  <c r="M257" i="28"/>
  <c r="H257" i="28"/>
  <c r="I257" i="28" s="1"/>
  <c r="F257" i="28"/>
  <c r="G257" i="28" s="1"/>
  <c r="E257" i="28"/>
  <c r="D257" i="28"/>
  <c r="B257" i="28"/>
  <c r="S259" i="28"/>
  <c r="R259" i="28"/>
  <c r="Q259" i="28"/>
  <c r="P259" i="28"/>
  <c r="O259" i="28" s="1"/>
  <c r="M259" i="28"/>
  <c r="H259" i="28"/>
  <c r="I259" i="28" s="1"/>
  <c r="F259" i="28"/>
  <c r="G259" i="28" s="1"/>
  <c r="E259" i="28"/>
  <c r="D259" i="28"/>
  <c r="B259" i="28"/>
  <c r="S261" i="28"/>
  <c r="R261" i="28"/>
  <c r="Q261" i="28"/>
  <c r="P261" i="28"/>
  <c r="O261" i="28" s="1"/>
  <c r="M261" i="28"/>
  <c r="H261" i="28"/>
  <c r="I261" i="28" s="1"/>
  <c r="F261" i="28"/>
  <c r="G261" i="28" s="1"/>
  <c r="E261" i="28"/>
  <c r="D261" i="28"/>
  <c r="B261" i="28"/>
  <c r="S263" i="28"/>
  <c r="R263" i="28"/>
  <c r="Q263" i="28"/>
  <c r="P263" i="28"/>
  <c r="O263" i="28" s="1"/>
  <c r="M263" i="28"/>
  <c r="H263" i="28"/>
  <c r="I263" i="28" s="1"/>
  <c r="F263" i="28"/>
  <c r="G263" i="28" s="1"/>
  <c r="E263" i="28"/>
  <c r="D263" i="28"/>
  <c r="B263" i="28"/>
  <c r="S265" i="28"/>
  <c r="R265" i="28"/>
  <c r="Q265" i="28"/>
  <c r="P265" i="28"/>
  <c r="O265" i="28" s="1"/>
  <c r="M265" i="28"/>
  <c r="H265" i="28"/>
  <c r="I265" i="28" s="1"/>
  <c r="F265" i="28"/>
  <c r="G265" i="28" s="1"/>
  <c r="E265" i="28"/>
  <c r="D265" i="28"/>
  <c r="B265" i="28"/>
  <c r="S267" i="28"/>
  <c r="R267" i="28"/>
  <c r="Q267" i="28"/>
  <c r="P267" i="28"/>
  <c r="O267" i="28" s="1"/>
  <c r="M267" i="28"/>
  <c r="H267" i="28"/>
  <c r="I267" i="28" s="1"/>
  <c r="F267" i="28"/>
  <c r="G267" i="28" s="1"/>
  <c r="E267" i="28"/>
  <c r="D267" i="28"/>
  <c r="B267" i="28"/>
  <c r="S269" i="28"/>
  <c r="R269" i="28"/>
  <c r="Q269" i="28"/>
  <c r="P269" i="28"/>
  <c r="O269" i="28" s="1"/>
  <c r="M269" i="28"/>
  <c r="H269" i="28"/>
  <c r="I269" i="28" s="1"/>
  <c r="F269" i="28"/>
  <c r="G269" i="28" s="1"/>
  <c r="E269" i="28"/>
  <c r="D269" i="28"/>
  <c r="B269" i="28"/>
  <c r="S271" i="28"/>
  <c r="R271" i="28"/>
  <c r="Q271" i="28"/>
  <c r="P271" i="28"/>
  <c r="O271" i="28" s="1"/>
  <c r="M271" i="28"/>
  <c r="H271" i="28"/>
  <c r="I271" i="28" s="1"/>
  <c r="F271" i="28"/>
  <c r="G271" i="28" s="1"/>
  <c r="E271" i="28"/>
  <c r="D271" i="28"/>
  <c r="B271" i="28"/>
  <c r="S273" i="28"/>
  <c r="R273" i="28"/>
  <c r="Q273" i="28"/>
  <c r="P273" i="28"/>
  <c r="O273" i="28" s="1"/>
  <c r="M273" i="28"/>
  <c r="H273" i="28"/>
  <c r="I273" i="28" s="1"/>
  <c r="F273" i="28"/>
  <c r="G273" i="28" s="1"/>
  <c r="E273" i="28"/>
  <c r="D273" i="28"/>
  <c r="B273" i="28"/>
  <c r="E45" i="28"/>
  <c r="D45" i="28"/>
  <c r="I294" i="28" s="1"/>
  <c r="C45" i="28"/>
  <c r="H294" i="28" s="1"/>
  <c r="B45" i="28"/>
  <c r="E49" i="28"/>
  <c r="D49" i="28"/>
  <c r="I296" i="28" s="1"/>
  <c r="C49" i="28"/>
  <c r="H296" i="28" s="1"/>
  <c r="B49" i="28"/>
  <c r="E53" i="28"/>
  <c r="D53" i="28"/>
  <c r="C53" i="28"/>
  <c r="B53" i="28"/>
  <c r="E57" i="28"/>
  <c r="D57" i="28"/>
  <c r="C57" i="28"/>
  <c r="B57" i="28"/>
  <c r="E61" i="28"/>
  <c r="D61" i="28"/>
  <c r="C61" i="28"/>
  <c r="B61" i="28"/>
  <c r="E65" i="28"/>
  <c r="D65" i="28"/>
  <c r="C65" i="28"/>
  <c r="B65" i="28"/>
  <c r="E69" i="28"/>
  <c r="D69" i="28"/>
  <c r="C69" i="28"/>
  <c r="B69" i="28"/>
  <c r="E73" i="28"/>
  <c r="D73" i="28"/>
  <c r="C73" i="28"/>
  <c r="B73" i="28"/>
  <c r="E77" i="28"/>
  <c r="D77" i="28"/>
  <c r="C77" i="28"/>
  <c r="B77" i="28"/>
  <c r="E81" i="28"/>
  <c r="D81" i="28"/>
  <c r="C81" i="28"/>
  <c r="B81" i="28"/>
  <c r="E85" i="28"/>
  <c r="D85" i="28"/>
  <c r="C85" i="28"/>
  <c r="B85" i="28"/>
  <c r="E107" i="28"/>
  <c r="D107" i="28"/>
  <c r="B107" i="28"/>
  <c r="F111" i="28"/>
  <c r="E111" i="28"/>
  <c r="D111" i="28"/>
  <c r="B111" i="28"/>
  <c r="F115" i="28"/>
  <c r="E115" i="28"/>
  <c r="D115" i="28"/>
  <c r="B115" i="28"/>
  <c r="F119" i="28"/>
  <c r="E119" i="28"/>
  <c r="D119" i="28"/>
  <c r="B119" i="28"/>
  <c r="F123" i="28"/>
  <c r="E123" i="28"/>
  <c r="D123" i="28"/>
  <c r="B123" i="28"/>
  <c r="F127" i="28"/>
  <c r="E127" i="28"/>
  <c r="D127" i="28"/>
  <c r="B127" i="28"/>
  <c r="F131" i="28"/>
  <c r="E131" i="28"/>
  <c r="D131" i="28"/>
  <c r="B131" i="28"/>
  <c r="F135" i="28"/>
  <c r="E135" i="28"/>
  <c r="D135" i="28"/>
  <c r="B135" i="28"/>
  <c r="F139" i="28"/>
  <c r="E139" i="28"/>
  <c r="D139" i="28"/>
  <c r="B139" i="28"/>
  <c r="F143" i="28"/>
  <c r="E143" i="28"/>
  <c r="D143" i="28"/>
  <c r="B143" i="28"/>
  <c r="F147" i="28"/>
  <c r="E147" i="28"/>
  <c r="D147" i="28"/>
  <c r="B147" i="28"/>
  <c r="E170" i="28"/>
  <c r="D170" i="28"/>
  <c r="B170" i="28"/>
  <c r="F174" i="28"/>
  <c r="E174" i="28"/>
  <c r="D174" i="28"/>
  <c r="B174" i="28"/>
  <c r="F178" i="28"/>
  <c r="E178" i="28"/>
  <c r="D178" i="28"/>
  <c r="B178" i="28"/>
  <c r="F182" i="28"/>
  <c r="E182" i="28"/>
  <c r="D182" i="28"/>
  <c r="B182" i="28"/>
  <c r="F186" i="28"/>
  <c r="E186" i="28"/>
  <c r="D186" i="28"/>
  <c r="B186" i="28"/>
  <c r="F190" i="28"/>
  <c r="E190" i="28"/>
  <c r="D190" i="28"/>
  <c r="B190" i="28"/>
  <c r="F194" i="28"/>
  <c r="E194" i="28"/>
  <c r="D194" i="28"/>
  <c r="B194" i="28"/>
  <c r="F198" i="28"/>
  <c r="E198" i="28"/>
  <c r="D198" i="28"/>
  <c r="B198" i="28"/>
  <c r="F202" i="28"/>
  <c r="E202" i="28"/>
  <c r="D202" i="28"/>
  <c r="B202" i="28"/>
  <c r="F206" i="28"/>
  <c r="E206" i="28"/>
  <c r="D206" i="28"/>
  <c r="B206" i="28"/>
  <c r="F210" i="28"/>
  <c r="E210" i="28"/>
  <c r="D210" i="28"/>
  <c r="B210" i="28"/>
  <c r="P232" i="28"/>
  <c r="O232" i="28" s="1"/>
  <c r="M232" i="28"/>
  <c r="H232" i="28"/>
  <c r="I232" i="28" s="1"/>
  <c r="F232" i="28"/>
  <c r="G232" i="28" s="1"/>
  <c r="E232" i="28"/>
  <c r="J294" i="28" s="1"/>
  <c r="D232" i="28"/>
  <c r="K294" i="28" s="1"/>
  <c r="B232" i="28"/>
  <c r="B294" i="28" s="1"/>
  <c r="S236" i="28"/>
  <c r="E296" i="28" s="1"/>
  <c r="R236" i="28"/>
  <c r="D296" i="28" s="1"/>
  <c r="Q236" i="28"/>
  <c r="P236" i="28"/>
  <c r="O236" i="28" s="1"/>
  <c r="M236" i="28"/>
  <c r="H236" i="28"/>
  <c r="I236" i="28" s="1"/>
  <c r="F236" i="28"/>
  <c r="G236" i="28" s="1"/>
  <c r="E236" i="28"/>
  <c r="J296" i="28" s="1"/>
  <c r="D236" i="28"/>
  <c r="K296" i="28" s="1"/>
  <c r="B236" i="28"/>
  <c r="B296" i="28" s="1"/>
  <c r="S240" i="28"/>
  <c r="R240" i="28"/>
  <c r="Q240" i="28"/>
  <c r="P240" i="28"/>
  <c r="O240" i="28" s="1"/>
  <c r="M240" i="28"/>
  <c r="H240" i="28"/>
  <c r="I240" i="28" s="1"/>
  <c r="F240" i="28"/>
  <c r="G240" i="28" s="1"/>
  <c r="E240" i="28"/>
  <c r="D240" i="28"/>
  <c r="B240" i="28"/>
  <c r="S244" i="28"/>
  <c r="R244" i="28"/>
  <c r="Q244" i="28"/>
  <c r="P244" i="28"/>
  <c r="O244" i="28" s="1"/>
  <c r="M244" i="28"/>
  <c r="H244" i="28"/>
  <c r="I244" i="28" s="1"/>
  <c r="F244" i="28"/>
  <c r="G244" i="28" s="1"/>
  <c r="E244" i="28"/>
  <c r="D244" i="28"/>
  <c r="B244" i="28"/>
  <c r="S248" i="28"/>
  <c r="R248" i="28"/>
  <c r="Q248" i="28"/>
  <c r="P248" i="28"/>
  <c r="O248" i="28" s="1"/>
  <c r="M248" i="28"/>
  <c r="H248" i="28"/>
  <c r="I248" i="28" s="1"/>
  <c r="F248" i="28"/>
  <c r="G248" i="28" s="1"/>
  <c r="E248" i="28"/>
  <c r="D248" i="28"/>
  <c r="B248" i="28"/>
  <c r="S252" i="28"/>
  <c r="R252" i="28"/>
  <c r="Q252" i="28"/>
  <c r="P252" i="28"/>
  <c r="O252" i="28" s="1"/>
  <c r="M252" i="28"/>
  <c r="H252" i="28"/>
  <c r="I252" i="28" s="1"/>
  <c r="F252" i="28"/>
  <c r="G252" i="28" s="1"/>
  <c r="E252" i="28"/>
  <c r="D252" i="28"/>
  <c r="B252" i="28"/>
  <c r="S256" i="28"/>
  <c r="R256" i="28"/>
  <c r="Q256" i="28"/>
  <c r="P256" i="28"/>
  <c r="O256" i="28" s="1"/>
  <c r="M256" i="28"/>
  <c r="H256" i="28"/>
  <c r="I256" i="28" s="1"/>
  <c r="F256" i="28"/>
  <c r="G256" i="28" s="1"/>
  <c r="E256" i="28"/>
  <c r="D256" i="28"/>
  <c r="B256" i="28"/>
  <c r="S260" i="28"/>
  <c r="R260" i="28"/>
  <c r="Q260" i="28"/>
  <c r="P260" i="28"/>
  <c r="O260" i="28" s="1"/>
  <c r="M260" i="28"/>
  <c r="H260" i="28"/>
  <c r="I260" i="28" s="1"/>
  <c r="F260" i="28"/>
  <c r="G260" i="28" s="1"/>
  <c r="E260" i="28"/>
  <c r="D260" i="28"/>
  <c r="B260" i="28"/>
  <c r="S264" i="28"/>
  <c r="R264" i="28"/>
  <c r="Q264" i="28"/>
  <c r="P264" i="28"/>
  <c r="O264" i="28" s="1"/>
  <c r="M264" i="28"/>
  <c r="H264" i="28"/>
  <c r="I264" i="28" s="1"/>
  <c r="F264" i="28"/>
  <c r="G264" i="28" s="1"/>
  <c r="E264" i="28"/>
  <c r="D264" i="28"/>
  <c r="B264" i="28"/>
  <c r="S268" i="28"/>
  <c r="R268" i="28"/>
  <c r="Q268" i="28"/>
  <c r="P268" i="28"/>
  <c r="O268" i="28" s="1"/>
  <c r="M268" i="28"/>
  <c r="H268" i="28"/>
  <c r="I268" i="28" s="1"/>
  <c r="F268" i="28"/>
  <c r="G268" i="28" s="1"/>
  <c r="E268" i="28"/>
  <c r="D268" i="28"/>
  <c r="B268" i="28"/>
  <c r="S272" i="28"/>
  <c r="R272" i="28"/>
  <c r="Q272" i="28"/>
  <c r="P272" i="28"/>
  <c r="O272" i="28" s="1"/>
  <c r="M272" i="28"/>
  <c r="H272" i="28"/>
  <c r="I272" i="28" s="1"/>
  <c r="F272" i="28"/>
  <c r="G272" i="28" s="1"/>
  <c r="E272" i="28"/>
  <c r="D272" i="28"/>
  <c r="B272" i="28"/>
  <c r="E47" i="28"/>
  <c r="D47" i="28"/>
  <c r="I295" i="28" s="1"/>
  <c r="C47" i="28"/>
  <c r="H295" i="28" s="1"/>
  <c r="B47" i="28"/>
  <c r="E51" i="28"/>
  <c r="D51" i="28"/>
  <c r="C51" i="28"/>
  <c r="B51" i="28"/>
  <c r="E55" i="28"/>
  <c r="D55" i="28"/>
  <c r="C55" i="28"/>
  <c r="B55" i="28"/>
  <c r="E59" i="28"/>
  <c r="D59" i="28"/>
  <c r="C59" i="28"/>
  <c r="B59" i="28"/>
  <c r="E63" i="28"/>
  <c r="D63" i="28"/>
  <c r="C63" i="28"/>
  <c r="B63" i="28"/>
  <c r="E67" i="28"/>
  <c r="D67" i="28"/>
  <c r="C67" i="28"/>
  <c r="B67" i="28"/>
  <c r="E71" i="28"/>
  <c r="D71" i="28"/>
  <c r="C71" i="28"/>
  <c r="B71" i="28"/>
  <c r="E75" i="28"/>
  <c r="D75" i="28"/>
  <c r="C75" i="28"/>
  <c r="B75" i="28"/>
  <c r="E79" i="28"/>
  <c r="D79" i="28"/>
  <c r="C79" i="28"/>
  <c r="B79" i="28"/>
  <c r="E83" i="28"/>
  <c r="D83" i="28"/>
  <c r="C83" i="28"/>
  <c r="B83" i="28"/>
  <c r="F109" i="28"/>
  <c r="E109" i="28"/>
  <c r="D109" i="28"/>
  <c r="B109" i="28"/>
  <c r="F113" i="28"/>
  <c r="E113" i="28"/>
  <c r="D113" i="28"/>
  <c r="B113" i="28"/>
  <c r="F117" i="28"/>
  <c r="E117" i="28"/>
  <c r="D117" i="28"/>
  <c r="B117" i="28"/>
  <c r="F121" i="28"/>
  <c r="E121" i="28"/>
  <c r="D121" i="28"/>
  <c r="B121" i="28"/>
  <c r="F125" i="28"/>
  <c r="E125" i="28"/>
  <c r="D125" i="28"/>
  <c r="B125" i="28"/>
  <c r="F129" i="28"/>
  <c r="E129" i="28"/>
  <c r="D129" i="28"/>
  <c r="B129" i="28"/>
  <c r="F133" i="28"/>
  <c r="E133" i="28"/>
  <c r="D133" i="28"/>
  <c r="B133" i="28"/>
  <c r="F137" i="28"/>
  <c r="E137" i="28"/>
  <c r="D137" i="28"/>
  <c r="B137" i="28"/>
  <c r="F141" i="28"/>
  <c r="E141" i="28"/>
  <c r="D141" i="28"/>
  <c r="B141" i="28"/>
  <c r="F145" i="28"/>
  <c r="E145" i="28"/>
  <c r="D145" i="28"/>
  <c r="B145" i="28"/>
  <c r="F172" i="28"/>
  <c r="E172" i="28"/>
  <c r="D172" i="28"/>
  <c r="B172" i="28"/>
  <c r="F176" i="28"/>
  <c r="E176" i="28"/>
  <c r="D176" i="28"/>
  <c r="B176" i="28"/>
  <c r="F180" i="28"/>
  <c r="E180" i="28"/>
  <c r="D180" i="28"/>
  <c r="B180" i="28"/>
  <c r="F184" i="28"/>
  <c r="E184" i="28"/>
  <c r="D184" i="28"/>
  <c r="B184" i="28"/>
  <c r="F188" i="28"/>
  <c r="E188" i="28"/>
  <c r="D188" i="28"/>
  <c r="B188" i="28"/>
  <c r="F192" i="28"/>
  <c r="E192" i="28"/>
  <c r="D192" i="28"/>
  <c r="B192" i="28"/>
  <c r="F196" i="28"/>
  <c r="E196" i="28"/>
  <c r="D196" i="28"/>
  <c r="B196" i="28"/>
  <c r="F200" i="28"/>
  <c r="E200" i="28"/>
  <c r="D200" i="28"/>
  <c r="B200" i="28"/>
  <c r="F204" i="28"/>
  <c r="E204" i="28"/>
  <c r="D204" i="28"/>
  <c r="B204" i="28"/>
  <c r="F208" i="28"/>
  <c r="E208" i="28"/>
  <c r="D208" i="28"/>
  <c r="B208" i="28"/>
  <c r="S234" i="28"/>
  <c r="E295" i="28" s="1"/>
  <c r="R234" i="28"/>
  <c r="D295" i="28" s="1"/>
  <c r="Q234" i="28"/>
  <c r="P234" i="28"/>
  <c r="O234" i="28" s="1"/>
  <c r="M234" i="28"/>
  <c r="H234" i="28"/>
  <c r="I234" i="28" s="1"/>
  <c r="F234" i="28"/>
  <c r="G234" i="28" s="1"/>
  <c r="E234" i="28"/>
  <c r="J295" i="28" s="1"/>
  <c r="D234" i="28"/>
  <c r="K295" i="28" s="1"/>
  <c r="B234" i="28"/>
  <c r="B295" i="28" s="1"/>
  <c r="S238" i="28"/>
  <c r="R238" i="28"/>
  <c r="Q238" i="28"/>
  <c r="P238" i="28"/>
  <c r="O238" i="28" s="1"/>
  <c r="M238" i="28"/>
  <c r="H238" i="28"/>
  <c r="I238" i="28" s="1"/>
  <c r="F238" i="28"/>
  <c r="G238" i="28" s="1"/>
  <c r="E238" i="28"/>
  <c r="D238" i="28"/>
  <c r="B238" i="28"/>
  <c r="S242" i="28"/>
  <c r="R242" i="28"/>
  <c r="Q242" i="28"/>
  <c r="P242" i="28"/>
  <c r="O242" i="28" s="1"/>
  <c r="M242" i="28"/>
  <c r="H242" i="28"/>
  <c r="I242" i="28" s="1"/>
  <c r="F242" i="28"/>
  <c r="G242" i="28" s="1"/>
  <c r="E242" i="28"/>
  <c r="D242" i="28"/>
  <c r="B242" i="28"/>
  <c r="S246" i="28"/>
  <c r="R246" i="28"/>
  <c r="Q246" i="28"/>
  <c r="P246" i="28"/>
  <c r="O246" i="28" s="1"/>
  <c r="M246" i="28"/>
  <c r="H246" i="28"/>
  <c r="I246" i="28" s="1"/>
  <c r="F246" i="28"/>
  <c r="G246" i="28" s="1"/>
  <c r="E246" i="28"/>
  <c r="D246" i="28"/>
  <c r="B246" i="28"/>
  <c r="S250" i="28"/>
  <c r="R250" i="28"/>
  <c r="Q250" i="28"/>
  <c r="P250" i="28"/>
  <c r="O250" i="28" s="1"/>
  <c r="M250" i="28"/>
  <c r="H250" i="28"/>
  <c r="I250" i="28" s="1"/>
  <c r="F250" i="28"/>
  <c r="G250" i="28" s="1"/>
  <c r="E250" i="28"/>
  <c r="D250" i="28"/>
  <c r="B250" i="28"/>
  <c r="S254" i="28"/>
  <c r="R254" i="28"/>
  <c r="Q254" i="28"/>
  <c r="P254" i="28"/>
  <c r="O254" i="28" s="1"/>
  <c r="M254" i="28"/>
  <c r="H254" i="28"/>
  <c r="I254" i="28" s="1"/>
  <c r="F254" i="28"/>
  <c r="G254" i="28" s="1"/>
  <c r="E254" i="28"/>
  <c r="D254" i="28"/>
  <c r="B254" i="28"/>
  <c r="S258" i="28"/>
  <c r="R258" i="28"/>
  <c r="Q258" i="28"/>
  <c r="P258" i="28"/>
  <c r="O258" i="28" s="1"/>
  <c r="M258" i="28"/>
  <c r="H258" i="28"/>
  <c r="I258" i="28" s="1"/>
  <c r="F258" i="28"/>
  <c r="G258" i="28" s="1"/>
  <c r="E258" i="28"/>
  <c r="D258" i="28"/>
  <c r="B258" i="28"/>
  <c r="S262" i="28"/>
  <c r="R262" i="28"/>
  <c r="Q262" i="28"/>
  <c r="P262" i="28"/>
  <c r="O262" i="28" s="1"/>
  <c r="M262" i="28"/>
  <c r="H262" i="28"/>
  <c r="I262" i="28" s="1"/>
  <c r="F262" i="28"/>
  <c r="G262" i="28" s="1"/>
  <c r="E262" i="28"/>
  <c r="D262" i="28"/>
  <c r="B262" i="28"/>
  <c r="S266" i="28"/>
  <c r="R266" i="28"/>
  <c r="Q266" i="28"/>
  <c r="P266" i="28"/>
  <c r="O266" i="28" s="1"/>
  <c r="M266" i="28"/>
  <c r="H266" i="28"/>
  <c r="I266" i="28" s="1"/>
  <c r="F266" i="28"/>
  <c r="G266" i="28" s="1"/>
  <c r="E266" i="28"/>
  <c r="D266" i="28"/>
  <c r="B266" i="28"/>
  <c r="S270" i="28"/>
  <c r="R270" i="28"/>
  <c r="Q270" i="28"/>
  <c r="P270" i="28"/>
  <c r="O270" i="28" s="1"/>
  <c r="M270" i="28"/>
  <c r="H270" i="28"/>
  <c r="I270" i="28" s="1"/>
  <c r="F270" i="28"/>
  <c r="G270" i="28" s="1"/>
  <c r="E270" i="28"/>
  <c r="D270" i="28"/>
  <c r="B270" i="28"/>
  <c r="BH31" i="8" l="1"/>
  <c r="AR29" i="24" s="1"/>
  <c r="AP29" i="24"/>
  <c r="BD28" i="8"/>
  <c r="AN26" i="24" s="1"/>
  <c r="AL26" i="24"/>
  <c r="BD37" i="8"/>
  <c r="AN35" i="24" s="1"/>
  <c r="AL35" i="24"/>
  <c r="BH23" i="8"/>
  <c r="AR21" i="24" s="1"/>
  <c r="AP21" i="24"/>
  <c r="BD47" i="8"/>
  <c r="AN45" i="24" s="1"/>
  <c r="AL45" i="24"/>
  <c r="BD48" i="8"/>
  <c r="AN46" i="24" s="1"/>
  <c r="AL46" i="24"/>
  <c r="BH44" i="8"/>
  <c r="AR42" i="24" s="1"/>
  <c r="AP42" i="24"/>
  <c r="F29" i="36"/>
  <c r="T18" i="24"/>
  <c r="BD36" i="8"/>
  <c r="AN34" i="24" s="1"/>
  <c r="AL34" i="24"/>
  <c r="BD20" i="8"/>
  <c r="AN18" i="24" s="1"/>
  <c r="AL18" i="24"/>
  <c r="BH27" i="8"/>
  <c r="AR25" i="24" s="1"/>
  <c r="AP25" i="24"/>
  <c r="BD38" i="8"/>
  <c r="AN36" i="24" s="1"/>
  <c r="AL36" i="24"/>
  <c r="BH21" i="8"/>
  <c r="AR19" i="24" s="1"/>
  <c r="AP19" i="24"/>
  <c r="BD32" i="8"/>
  <c r="AN30" i="24" s="1"/>
  <c r="AL30" i="24"/>
  <c r="BD22" i="8"/>
  <c r="AN20" i="24" s="1"/>
  <c r="AL20" i="24"/>
  <c r="BD39" i="8"/>
  <c r="AN37" i="24" s="1"/>
  <c r="AL37" i="24"/>
  <c r="BD34" i="8"/>
  <c r="AN32" i="24" s="1"/>
  <c r="AL32" i="24"/>
  <c r="BH46" i="8"/>
  <c r="AR44" i="24" s="1"/>
  <c r="AP44" i="24"/>
  <c r="F45" i="36"/>
  <c r="T41" i="24"/>
  <c r="BH22" i="8"/>
  <c r="AR20" i="24" s="1"/>
  <c r="AP20" i="24"/>
  <c r="BH38" i="8"/>
  <c r="AR36" i="24" s="1"/>
  <c r="AP36" i="24"/>
  <c r="BH39" i="8"/>
  <c r="AR37" i="24" s="1"/>
  <c r="AP37" i="24"/>
  <c r="BH35" i="8"/>
  <c r="AR33" i="24" s="1"/>
  <c r="AP33" i="24"/>
  <c r="BD33" i="8"/>
  <c r="AN31" i="24" s="1"/>
  <c r="AL31" i="24"/>
  <c r="BD23" i="8"/>
  <c r="AN21" i="24" s="1"/>
  <c r="AL21" i="24"/>
  <c r="BH26" i="8"/>
  <c r="AR24" i="24" s="1"/>
  <c r="AP24" i="24"/>
  <c r="BH47" i="8"/>
  <c r="AR45" i="24" s="1"/>
  <c r="AP45" i="24"/>
  <c r="BD45" i="8"/>
  <c r="AN43" i="24" s="1"/>
  <c r="AL43" i="24"/>
  <c r="BD30" i="8"/>
  <c r="AN28" i="24" s="1"/>
  <c r="AL28" i="24"/>
  <c r="BH37" i="8"/>
  <c r="AR35" i="24" s="1"/>
  <c r="AP35" i="24"/>
  <c r="BD26" i="8"/>
  <c r="AN24" i="24" s="1"/>
  <c r="AL24" i="24"/>
  <c r="BH24" i="8"/>
  <c r="AR22" i="24" s="1"/>
  <c r="AP22" i="24"/>
  <c r="BH40" i="8"/>
  <c r="AR38" i="24" s="1"/>
  <c r="AP38" i="24"/>
  <c r="BH28" i="8"/>
  <c r="AR26" i="24" s="1"/>
  <c r="AP26" i="24"/>
  <c r="BH36" i="8"/>
  <c r="AR34" i="24" s="1"/>
  <c r="AP34" i="24"/>
  <c r="BD29" i="8"/>
  <c r="AN27" i="24" s="1"/>
  <c r="AL27" i="24"/>
  <c r="BH43" i="8"/>
  <c r="AR41" i="24" s="1"/>
  <c r="AP41" i="24"/>
  <c r="BD21" i="8"/>
  <c r="AN19" i="24" s="1"/>
  <c r="AL19" i="24"/>
  <c r="AG20" i="8"/>
  <c r="H29" i="36" s="1"/>
  <c r="I29" i="36" s="1"/>
  <c r="BD25" i="8"/>
  <c r="AN23" i="24" s="1"/>
  <c r="AL23" i="24"/>
  <c r="BD27" i="8"/>
  <c r="AN25" i="24" s="1"/>
  <c r="AL25" i="24"/>
  <c r="BD24" i="8"/>
  <c r="AN22" i="24" s="1"/>
  <c r="AL22" i="24"/>
  <c r="BH34" i="8"/>
  <c r="AR32" i="24" s="1"/>
  <c r="AP32" i="24"/>
  <c r="BH45" i="8"/>
  <c r="AR43" i="24" s="1"/>
  <c r="AP43" i="24"/>
  <c r="BH41" i="8"/>
  <c r="AR39" i="24" s="1"/>
  <c r="AP39" i="24"/>
  <c r="BJ20" i="8"/>
  <c r="AT18" i="24" s="1"/>
  <c r="F28" i="36"/>
  <c r="T17" i="24"/>
  <c r="BD41" i="8"/>
  <c r="AN39" i="24" s="1"/>
  <c r="AL39" i="24"/>
  <c r="BH33" i="8"/>
  <c r="AR31" i="24" s="1"/>
  <c r="AP31" i="24"/>
  <c r="BD35" i="8"/>
  <c r="AN33" i="24" s="1"/>
  <c r="AL33" i="24"/>
  <c r="BH42" i="8"/>
  <c r="AR40" i="24" s="1"/>
  <c r="AP40" i="24"/>
  <c r="BH20" i="8"/>
  <c r="AR18" i="24" s="1"/>
  <c r="AP18" i="24"/>
  <c r="BH32" i="8"/>
  <c r="AR30" i="24" s="1"/>
  <c r="AP30" i="24"/>
  <c r="F46" i="36"/>
  <c r="T42" i="24"/>
  <c r="BD43" i="8"/>
  <c r="AN41" i="24" s="1"/>
  <c r="AL41" i="24"/>
  <c r="BD31" i="8"/>
  <c r="AN29" i="24" s="1"/>
  <c r="AL29" i="24"/>
  <c r="BD42" i="8"/>
  <c r="AN40" i="24" s="1"/>
  <c r="AL40" i="24"/>
  <c r="BH29" i="8"/>
  <c r="AR27" i="24" s="1"/>
  <c r="AP27" i="24"/>
  <c r="BH30" i="8"/>
  <c r="AR28" i="24" s="1"/>
  <c r="AP28" i="24"/>
  <c r="BD44" i="8"/>
  <c r="AN42" i="24" s="1"/>
  <c r="AL42" i="24"/>
  <c r="BD46" i="8"/>
  <c r="AN44" i="24" s="1"/>
  <c r="AL44" i="24"/>
  <c r="BD40" i="8"/>
  <c r="AN38" i="24" s="1"/>
  <c r="AL38" i="24"/>
  <c r="BH48" i="8"/>
  <c r="AR46" i="24" s="1"/>
  <c r="AP46" i="24"/>
  <c r="BH25" i="8"/>
  <c r="AR23" i="24" s="1"/>
  <c r="AP23" i="24"/>
  <c r="T23" i="32"/>
  <c r="S23" i="32" s="1"/>
  <c r="BK32" i="8"/>
  <c r="AU30" i="24" s="1"/>
  <c r="T30" i="24"/>
  <c r="BK20" i="8"/>
  <c r="AU18" i="24" s="1"/>
  <c r="BK44" i="8"/>
  <c r="AU42" i="24" s="1"/>
  <c r="AG43" i="8"/>
  <c r="H45" i="36" s="1"/>
  <c r="I45" i="36" s="1"/>
  <c r="AG32" i="8"/>
  <c r="B32" i="8" s="1"/>
  <c r="T45" i="32"/>
  <c r="V45" i="32" s="1"/>
  <c r="T34" i="32"/>
  <c r="V34" i="32" s="1"/>
  <c r="BJ44" i="8"/>
  <c r="AT42" i="24" s="1"/>
  <c r="AG44" i="8"/>
  <c r="H46" i="36" s="1"/>
  <c r="I46" i="36" s="1"/>
  <c r="BK43" i="8"/>
  <c r="AU41" i="24" s="1"/>
  <c r="BJ32" i="8"/>
  <c r="AT30" i="24" s="1"/>
  <c r="F39" i="36"/>
  <c r="T46" i="32"/>
  <c r="S46" i="32" s="1"/>
  <c r="BJ43" i="8"/>
  <c r="AT41" i="24" s="1"/>
  <c r="AZ35" i="8"/>
  <c r="AZ21" i="8"/>
  <c r="AJ19" i="24" s="1"/>
  <c r="AZ22" i="8"/>
  <c r="AZ29" i="8"/>
  <c r="AZ30" i="8"/>
  <c r="AJ28" i="24" s="1"/>
  <c r="AZ45" i="8"/>
  <c r="AJ43" i="24" s="1"/>
  <c r="AZ19" i="8"/>
  <c r="AJ17" i="24" s="1"/>
  <c r="AZ23" i="8"/>
  <c r="AJ21" i="24" s="1"/>
  <c r="AZ43" i="8"/>
  <c r="AJ41" i="24" s="1"/>
  <c r="AZ48" i="8"/>
  <c r="AJ46" i="24" s="1"/>
  <c r="AZ46" i="8"/>
  <c r="AJ44" i="24" s="1"/>
  <c r="AZ34" i="8"/>
  <c r="AJ32" i="24" s="1"/>
  <c r="AZ36" i="8"/>
  <c r="AJ34" i="24" s="1"/>
  <c r="AZ37" i="8"/>
  <c r="AJ35" i="24" s="1"/>
  <c r="AZ25" i="8"/>
  <c r="AJ23" i="24" s="1"/>
  <c r="AZ42" i="8"/>
  <c r="AJ40" i="24" s="1"/>
  <c r="AZ20" i="8"/>
  <c r="AJ18" i="24" s="1"/>
  <c r="AZ47" i="8"/>
  <c r="AJ45" i="24" s="1"/>
  <c r="AZ41" i="8"/>
  <c r="AJ39" i="24" s="1"/>
  <c r="AZ31" i="8"/>
  <c r="AJ29" i="24" s="1"/>
  <c r="AZ38" i="8"/>
  <c r="AJ36" i="24" s="1"/>
  <c r="AZ33" i="8"/>
  <c r="AJ31" i="24" s="1"/>
  <c r="AZ32" i="8"/>
  <c r="AJ30" i="24" s="1"/>
  <c r="AZ24" i="8"/>
  <c r="AJ22" i="24" s="1"/>
  <c r="AZ26" i="8"/>
  <c r="AJ24" i="24" s="1"/>
  <c r="AZ44" i="8"/>
  <c r="AJ42" i="24" s="1"/>
  <c r="AZ28" i="8"/>
  <c r="AJ26" i="24" s="1"/>
  <c r="AZ27" i="8"/>
  <c r="AJ25" i="24" s="1"/>
  <c r="AZ40" i="8"/>
  <c r="AJ38" i="24" s="1"/>
  <c r="B46" i="8"/>
  <c r="H13" i="36"/>
  <c r="B42" i="8"/>
  <c r="H44" i="36"/>
  <c r="I44" i="36" s="1"/>
  <c r="B45" i="8"/>
  <c r="H12" i="36"/>
  <c r="B48" i="8"/>
  <c r="H15" i="36"/>
  <c r="B47" i="8"/>
  <c r="H14" i="36"/>
  <c r="BK19" i="8"/>
  <c r="AU17" i="24" s="1"/>
  <c r="B27" i="8"/>
  <c r="H34" i="36"/>
  <c r="I34" i="36" s="1"/>
  <c r="B30" i="8"/>
  <c r="H5" i="36"/>
  <c r="I5" i="36" s="1"/>
  <c r="B33" i="8"/>
  <c r="B24" i="8"/>
  <c r="H31" i="36"/>
  <c r="I31" i="36" s="1"/>
  <c r="B38" i="8"/>
  <c r="B21" i="8"/>
  <c r="B28" i="8"/>
  <c r="H35" i="36"/>
  <c r="I35" i="36" s="1"/>
  <c r="B31" i="8"/>
  <c r="H37" i="36"/>
  <c r="I37" i="36" s="1"/>
  <c r="B26" i="8"/>
  <c r="H33" i="36"/>
  <c r="I33" i="36" s="1"/>
  <c r="B23" i="8"/>
  <c r="H30" i="36"/>
  <c r="I30" i="36" s="1"/>
  <c r="B35" i="8"/>
  <c r="B41" i="8"/>
  <c r="B40" i="8"/>
  <c r="B25" i="8"/>
  <c r="H32" i="36"/>
  <c r="I32" i="36" s="1"/>
  <c r="H38" i="36"/>
  <c r="I38" i="36" s="1"/>
  <c r="B36" i="8"/>
  <c r="B22" i="8"/>
  <c r="H4" i="36"/>
  <c r="I4" i="36" s="1"/>
  <c r="B34" i="8"/>
  <c r="H6" i="36"/>
  <c r="I6" i="36" s="1"/>
  <c r="V38" i="32"/>
  <c r="V44" i="32"/>
  <c r="V47" i="32"/>
  <c r="V35" i="32"/>
  <c r="V26" i="32"/>
  <c r="V27" i="32"/>
  <c r="V40" i="32"/>
  <c r="V48" i="32"/>
  <c r="V39" i="32"/>
  <c r="V42" i="32"/>
  <c r="S45" i="32"/>
  <c r="V37" i="32"/>
  <c r="V43" i="32"/>
  <c r="V32" i="32"/>
  <c r="V28" i="32"/>
  <c r="V31" i="32"/>
  <c r="V49" i="32"/>
  <c r="V50" i="32"/>
  <c r="V29" i="32"/>
  <c r="V25" i="32"/>
  <c r="V23" i="32"/>
  <c r="V30" i="32"/>
  <c r="S34" i="32"/>
  <c r="V24" i="32"/>
  <c r="V33" i="32"/>
  <c r="V36" i="32"/>
  <c r="T22" i="32"/>
  <c r="AG19" i="8"/>
  <c r="H28" i="36" s="1"/>
  <c r="I28" i="36" s="1"/>
  <c r="BJ19" i="8"/>
  <c r="AT17" i="24" s="1"/>
  <c r="O48" i="24"/>
  <c r="B37" i="8"/>
  <c r="BH19" i="8"/>
  <c r="AR17" i="24" s="1"/>
  <c r="BD19" i="8"/>
  <c r="AN17" i="24" s="1"/>
  <c r="O37" i="22"/>
  <c r="N37" i="22"/>
  <c r="C169" i="28"/>
  <c r="C171" i="28"/>
  <c r="T241" i="28"/>
  <c r="N237" i="28"/>
  <c r="J231" i="28"/>
  <c r="K231" i="28" s="1"/>
  <c r="C231" i="28"/>
  <c r="J235" i="28"/>
  <c r="K235" i="28" s="1"/>
  <c r="J233" i="28"/>
  <c r="K233" i="28" s="1"/>
  <c r="J237" i="28"/>
  <c r="K237" i="28" s="1"/>
  <c r="T235" i="28"/>
  <c r="N235" i="28"/>
  <c r="C233" i="28"/>
  <c r="T237" i="28"/>
  <c r="T239" i="28"/>
  <c r="J243" i="28"/>
  <c r="K243" i="28" s="1"/>
  <c r="J239" i="28"/>
  <c r="K239" i="28" s="1"/>
  <c r="N239" i="28"/>
  <c r="J241" i="28"/>
  <c r="K241" i="28" s="1"/>
  <c r="T243" i="28"/>
  <c r="N241" i="28"/>
  <c r="T245" i="28"/>
  <c r="N243" i="28"/>
  <c r="J245" i="28"/>
  <c r="K245" i="28" s="1"/>
  <c r="T247" i="28"/>
  <c r="N245" i="28"/>
  <c r="J247" i="28"/>
  <c r="K247" i="28" s="1"/>
  <c r="T249" i="28"/>
  <c r="N247" i="28"/>
  <c r="T251" i="28"/>
  <c r="J249" i="28"/>
  <c r="K249" i="28" s="1"/>
  <c r="T253" i="28"/>
  <c r="N251" i="28"/>
  <c r="J253" i="28"/>
  <c r="K253" i="28" s="1"/>
  <c r="N249" i="28"/>
  <c r="J251" i="28"/>
  <c r="K251" i="28" s="1"/>
  <c r="T255" i="28"/>
  <c r="N253" i="28"/>
  <c r="T261" i="28"/>
  <c r="N255" i="28"/>
  <c r="J255" i="28"/>
  <c r="K255" i="28" s="1"/>
  <c r="T257" i="28"/>
  <c r="T259" i="28"/>
  <c r="J257" i="28"/>
  <c r="K257" i="28" s="1"/>
  <c r="J261" i="28"/>
  <c r="K261" i="28" s="1"/>
  <c r="N257" i="28"/>
  <c r="J259" i="28"/>
  <c r="K259" i="28" s="1"/>
  <c r="T271" i="28"/>
  <c r="N259" i="28"/>
  <c r="J265" i="28"/>
  <c r="K265" i="28" s="1"/>
  <c r="T263" i="28"/>
  <c r="N261" i="28"/>
  <c r="J263" i="28"/>
  <c r="K263" i="28" s="1"/>
  <c r="N273" i="28"/>
  <c r="T265" i="28"/>
  <c r="N263" i="28"/>
  <c r="T269" i="28"/>
  <c r="J267" i="28"/>
  <c r="K267" i="28" s="1"/>
  <c r="N267" i="28"/>
  <c r="N265" i="28"/>
  <c r="T267" i="28"/>
  <c r="J269" i="28"/>
  <c r="K269" i="28" s="1"/>
  <c r="J271" i="28"/>
  <c r="K271" i="28" s="1"/>
  <c r="N271" i="28"/>
  <c r="N269" i="28"/>
  <c r="T273" i="28"/>
  <c r="J273" i="28"/>
  <c r="K273" i="28" s="1"/>
  <c r="C170" i="28"/>
  <c r="N240" i="28"/>
  <c r="N244" i="28"/>
  <c r="J232" i="28"/>
  <c r="K232" i="28" s="1"/>
  <c r="N236" i="28"/>
  <c r="C232" i="28"/>
  <c r="C294" i="28" s="1"/>
  <c r="J236" i="28"/>
  <c r="K236" i="28" s="1"/>
  <c r="T236" i="28"/>
  <c r="F296" i="28" s="1"/>
  <c r="T244" i="28"/>
  <c r="T240" i="28"/>
  <c r="N256" i="28"/>
  <c r="J240" i="28"/>
  <c r="K240" i="28" s="1"/>
  <c r="J244" i="28"/>
  <c r="K244" i="28" s="1"/>
  <c r="T248" i="28"/>
  <c r="J248" i="28"/>
  <c r="K248" i="28" s="1"/>
  <c r="N252" i="28"/>
  <c r="T252" i="28"/>
  <c r="N248" i="28"/>
  <c r="J252" i="28"/>
  <c r="K252" i="28" s="1"/>
  <c r="N264" i="28"/>
  <c r="T256" i="28"/>
  <c r="J256" i="28"/>
  <c r="K256" i="28" s="1"/>
  <c r="N268" i="28"/>
  <c r="T260" i="28"/>
  <c r="J260" i="28"/>
  <c r="K260" i="28" s="1"/>
  <c r="N272" i="28"/>
  <c r="T264" i="28"/>
  <c r="N260" i="28"/>
  <c r="T268" i="28"/>
  <c r="J264" i="28"/>
  <c r="K264" i="28" s="1"/>
  <c r="J268" i="28"/>
  <c r="K268" i="28" s="1"/>
  <c r="T272" i="28"/>
  <c r="J272" i="28"/>
  <c r="K272" i="28" s="1"/>
  <c r="J234" i="28"/>
  <c r="K234" i="28" s="1"/>
  <c r="T242" i="28"/>
  <c r="N234" i="28"/>
  <c r="T234" i="28"/>
  <c r="F295" i="28" s="1"/>
  <c r="T238" i="28"/>
  <c r="N238" i="28"/>
  <c r="T246" i="28"/>
  <c r="J238" i="28"/>
  <c r="K238" i="28" s="1"/>
  <c r="T250" i="28"/>
  <c r="N242" i="28"/>
  <c r="J242" i="28"/>
  <c r="K242" i="28" s="1"/>
  <c r="N246" i="28"/>
  <c r="T254" i="28"/>
  <c r="T258" i="28"/>
  <c r="J246" i="28"/>
  <c r="K246" i="28" s="1"/>
  <c r="N250" i="28"/>
  <c r="N254" i="28"/>
  <c r="J250" i="28"/>
  <c r="K250" i="28" s="1"/>
  <c r="T262" i="28"/>
  <c r="J254" i="28"/>
  <c r="K254" i="28" s="1"/>
  <c r="N258" i="28"/>
  <c r="T266" i="28"/>
  <c r="J258" i="28"/>
  <c r="K258" i="28" s="1"/>
  <c r="N262" i="28"/>
  <c r="J262" i="28"/>
  <c r="K262" i="28" s="1"/>
  <c r="N266" i="28"/>
  <c r="J266" i="28"/>
  <c r="K266" i="28" s="1"/>
  <c r="J270" i="28"/>
  <c r="K270" i="28" s="1"/>
  <c r="N270" i="28"/>
  <c r="T270" i="28"/>
  <c r="D21" i="16"/>
  <c r="V8" i="8"/>
  <c r="K6" i="24" s="1"/>
  <c r="U8" i="8"/>
  <c r="T8" i="8"/>
  <c r="V7" i="8"/>
  <c r="K5" i="24" s="1"/>
  <c r="U7" i="8"/>
  <c r="T7" i="8"/>
  <c r="D6" i="16"/>
  <c r="B43" i="8" l="1"/>
  <c r="B20" i="8"/>
  <c r="C35" i="8"/>
  <c r="AJ33" i="24"/>
  <c r="C29" i="8"/>
  <c r="AJ27" i="24"/>
  <c r="C22" i="8"/>
  <c r="AJ20" i="24"/>
  <c r="H39" i="36"/>
  <c r="I39" i="36" s="1"/>
  <c r="V46" i="32"/>
  <c r="B44" i="8"/>
  <c r="CN9" i="37"/>
  <c r="CP9" i="37" s="1"/>
  <c r="AU7" i="8"/>
  <c r="AF5" i="24" s="1"/>
  <c r="AV7" i="8"/>
  <c r="AG5" i="24" s="1"/>
  <c r="AW7" i="8"/>
  <c r="AH5" i="24" s="1"/>
  <c r="AX7" i="8"/>
  <c r="AI5" i="24" s="1"/>
  <c r="AT7" i="8"/>
  <c r="AE5" i="24" s="1"/>
  <c r="AS7" i="8"/>
  <c r="AD5" i="24" s="1"/>
  <c r="AX8" i="8"/>
  <c r="AI6" i="24" s="1"/>
  <c r="CN10" i="37"/>
  <c r="CP10" i="37" s="1"/>
  <c r="AW8" i="8"/>
  <c r="AH6" i="24" s="1"/>
  <c r="AV8" i="8"/>
  <c r="AG6" i="24" s="1"/>
  <c r="AU8" i="8"/>
  <c r="AF6" i="24" s="1"/>
  <c r="AT8" i="8"/>
  <c r="AE6" i="24" s="1"/>
  <c r="AS8" i="8"/>
  <c r="AD6" i="24" s="1"/>
  <c r="C47" i="8"/>
  <c r="O71" i="16"/>
  <c r="I71" i="16"/>
  <c r="K71" i="16" s="1"/>
  <c r="J71" i="16"/>
  <c r="L71" i="16" s="1"/>
  <c r="C20" i="8"/>
  <c r="O37" i="16"/>
  <c r="J37" i="16"/>
  <c r="L37" i="16" s="1"/>
  <c r="I37" i="16"/>
  <c r="K37" i="16" s="1"/>
  <c r="I43" i="16"/>
  <c r="O43" i="16"/>
  <c r="J43" i="16"/>
  <c r="L43" i="16" s="1"/>
  <c r="O36" i="16"/>
  <c r="J36" i="16"/>
  <c r="L36" i="16" s="1"/>
  <c r="I36" i="16"/>
  <c r="K36" i="16" s="1"/>
  <c r="C24" i="8"/>
  <c r="O44" i="16"/>
  <c r="J44" i="16"/>
  <c r="L44" i="16" s="1"/>
  <c r="I44" i="16"/>
  <c r="K44" i="16" s="1"/>
  <c r="C36" i="8"/>
  <c r="O56" i="16"/>
  <c r="I56" i="16"/>
  <c r="J56" i="16"/>
  <c r="L56" i="16" s="1"/>
  <c r="O39" i="16"/>
  <c r="I39" i="16"/>
  <c r="K39" i="16" s="1"/>
  <c r="J39" i="16"/>
  <c r="L39" i="16" s="1"/>
  <c r="C33" i="8"/>
  <c r="O53" i="16"/>
  <c r="J53" i="16"/>
  <c r="I53" i="16"/>
  <c r="K53" i="16" s="1"/>
  <c r="I57" i="16"/>
  <c r="K57" i="16" s="1"/>
  <c r="J57" i="16"/>
  <c r="L57" i="16" s="1"/>
  <c r="O57" i="16"/>
  <c r="J42" i="16"/>
  <c r="L42" i="16" s="1"/>
  <c r="I42" i="16"/>
  <c r="K42" i="16" s="1"/>
  <c r="O42" i="16"/>
  <c r="I67" i="16"/>
  <c r="J67" i="16"/>
  <c r="L67" i="16" s="1"/>
  <c r="O67" i="16"/>
  <c r="C38" i="8"/>
  <c r="O59" i="16"/>
  <c r="J59" i="16"/>
  <c r="I59" i="16"/>
  <c r="K59" i="16" s="1"/>
  <c r="C46" i="8"/>
  <c r="O70" i="16"/>
  <c r="I70" i="16"/>
  <c r="K70" i="16" s="1"/>
  <c r="J70" i="16"/>
  <c r="L70" i="16" s="1"/>
  <c r="O38" i="16"/>
  <c r="J38" i="16"/>
  <c r="L38" i="16" s="1"/>
  <c r="I38" i="16"/>
  <c r="K38" i="16" s="1"/>
  <c r="C43" i="8"/>
  <c r="O64" i="16"/>
  <c r="I64" i="16"/>
  <c r="J64" i="16"/>
  <c r="L64" i="16" s="1"/>
  <c r="C28" i="8"/>
  <c r="O48" i="16"/>
  <c r="J48" i="16"/>
  <c r="L48" i="16" s="1"/>
  <c r="I48" i="16"/>
  <c r="K48" i="16" s="1"/>
  <c r="C44" i="8"/>
  <c r="O65" i="16"/>
  <c r="J65" i="16"/>
  <c r="L65" i="16" s="1"/>
  <c r="I65" i="16"/>
  <c r="C42" i="8"/>
  <c r="O63" i="16"/>
  <c r="I63" i="16"/>
  <c r="J63" i="16"/>
  <c r="L63" i="16" s="1"/>
  <c r="C23" i="8"/>
  <c r="O40" i="16"/>
  <c r="J40" i="16"/>
  <c r="L40" i="16" s="1"/>
  <c r="I40" i="16"/>
  <c r="K40" i="16" s="1"/>
  <c r="C25" i="8"/>
  <c r="O45" i="16"/>
  <c r="I45" i="16"/>
  <c r="K45" i="16" s="1"/>
  <c r="J45" i="16"/>
  <c r="C45" i="8"/>
  <c r="O68" i="16"/>
  <c r="J68" i="16"/>
  <c r="I68" i="16"/>
  <c r="K68" i="16" s="1"/>
  <c r="J69" i="16"/>
  <c r="L69" i="16" s="1"/>
  <c r="I69" i="16"/>
  <c r="K69" i="16" s="1"/>
  <c r="O69" i="16"/>
  <c r="C30" i="8"/>
  <c r="O49" i="16"/>
  <c r="J49" i="16"/>
  <c r="L49" i="16" s="1"/>
  <c r="I49" i="16"/>
  <c r="C34" i="8"/>
  <c r="O54" i="16"/>
  <c r="I54" i="16"/>
  <c r="K54" i="16" s="1"/>
  <c r="J54" i="16"/>
  <c r="L54" i="16" s="1"/>
  <c r="C40" i="8"/>
  <c r="O61" i="16"/>
  <c r="J61" i="16"/>
  <c r="I61" i="16"/>
  <c r="K61" i="16" s="1"/>
  <c r="C31" i="8"/>
  <c r="O50" i="16"/>
  <c r="J50" i="16"/>
  <c r="L50" i="16" s="1"/>
  <c r="I50" i="16"/>
  <c r="J66" i="16"/>
  <c r="L66" i="16" s="1"/>
  <c r="I66" i="16"/>
  <c r="K66" i="16" s="1"/>
  <c r="O66" i="16"/>
  <c r="O51" i="16"/>
  <c r="I51" i="16"/>
  <c r="K51" i="16" s="1"/>
  <c r="J51" i="16"/>
  <c r="L51" i="16" s="1"/>
  <c r="C26" i="8"/>
  <c r="O46" i="16"/>
  <c r="J46" i="16"/>
  <c r="I46" i="16"/>
  <c r="K46" i="16" s="1"/>
  <c r="C37" i="8"/>
  <c r="O58" i="16"/>
  <c r="J58" i="16"/>
  <c r="L58" i="16" s="1"/>
  <c r="I58" i="16"/>
  <c r="K58" i="16" s="1"/>
  <c r="O52" i="16"/>
  <c r="I52" i="16"/>
  <c r="K52" i="16" s="1"/>
  <c r="J52" i="16"/>
  <c r="L52" i="16" s="1"/>
  <c r="O41" i="16"/>
  <c r="I41" i="16"/>
  <c r="J41" i="16"/>
  <c r="L41" i="16" s="1"/>
  <c r="C27" i="8"/>
  <c r="O47" i="16"/>
  <c r="J47" i="16"/>
  <c r="I47" i="16"/>
  <c r="K47" i="16" s="1"/>
  <c r="C41" i="8"/>
  <c r="O62" i="16"/>
  <c r="I62" i="16"/>
  <c r="K62" i="16" s="1"/>
  <c r="J62" i="16"/>
  <c r="C48" i="8"/>
  <c r="O72" i="16"/>
  <c r="J72" i="16"/>
  <c r="L72" i="16" s="1"/>
  <c r="I72" i="16"/>
  <c r="O55" i="16"/>
  <c r="I55" i="16"/>
  <c r="J55" i="16"/>
  <c r="L55" i="16" s="1"/>
  <c r="AY9" i="34"/>
  <c r="BA9" i="34" s="1"/>
  <c r="AY10" i="34"/>
  <c r="BA10" i="34" s="1"/>
  <c r="C32" i="8"/>
  <c r="C21" i="8"/>
  <c r="T35" i="20"/>
  <c r="B19" i="8"/>
  <c r="S22" i="32"/>
  <c r="V22" i="32"/>
  <c r="C19" i="8"/>
  <c r="F6" i="16"/>
  <c r="H6" i="16" s="1"/>
  <c r="E21" i="16"/>
  <c r="F21" i="16"/>
  <c r="E6" i="16"/>
  <c r="G6" i="16" s="1"/>
  <c r="X8" i="8"/>
  <c r="M6" i="24" s="1"/>
  <c r="X7" i="8"/>
  <c r="M5" i="24" s="1"/>
  <c r="R6" i="1"/>
  <c r="R7" i="1"/>
  <c r="I2" i="30"/>
  <c r="J2" i="30"/>
  <c r="K2" i="30"/>
  <c r="L2" i="30"/>
  <c r="N2" i="30"/>
  <c r="I3" i="30"/>
  <c r="J3" i="30"/>
  <c r="K3" i="30"/>
  <c r="L3" i="30"/>
  <c r="N3" i="30"/>
  <c r="O3" i="30"/>
  <c r="P3" i="30"/>
  <c r="I4" i="30"/>
  <c r="J4" i="30"/>
  <c r="K4" i="30"/>
  <c r="L4" i="30"/>
  <c r="N4" i="30"/>
  <c r="O4" i="30"/>
  <c r="P4" i="30"/>
  <c r="I5" i="30"/>
  <c r="J5" i="30"/>
  <c r="K5" i="30"/>
  <c r="L5" i="30"/>
  <c r="N5" i="30"/>
  <c r="O5" i="30"/>
  <c r="P5" i="30"/>
  <c r="I6" i="30"/>
  <c r="J6" i="30"/>
  <c r="K6" i="30"/>
  <c r="L6" i="30"/>
  <c r="N6" i="30"/>
  <c r="O6" i="30"/>
  <c r="P6" i="30"/>
  <c r="I7" i="30"/>
  <c r="J7" i="30"/>
  <c r="K7" i="30"/>
  <c r="L7" i="30"/>
  <c r="N7" i="30"/>
  <c r="O7" i="30"/>
  <c r="P7" i="30"/>
  <c r="I8" i="30"/>
  <c r="J8" i="30"/>
  <c r="K8" i="30"/>
  <c r="L8" i="30"/>
  <c r="N8" i="30"/>
  <c r="O8" i="30"/>
  <c r="P8" i="30"/>
  <c r="I9" i="30"/>
  <c r="J9" i="30"/>
  <c r="K9" i="30"/>
  <c r="L9" i="30"/>
  <c r="N9" i="30"/>
  <c r="O9" i="30"/>
  <c r="P9" i="30"/>
  <c r="I10" i="30"/>
  <c r="J10" i="30"/>
  <c r="K10" i="30"/>
  <c r="L10" i="30"/>
  <c r="N10" i="30"/>
  <c r="O10" i="30"/>
  <c r="P10" i="30"/>
  <c r="I11" i="30"/>
  <c r="J11" i="30"/>
  <c r="K11" i="30"/>
  <c r="L11" i="30"/>
  <c r="N11" i="30"/>
  <c r="O11" i="30"/>
  <c r="P11" i="30"/>
  <c r="I12" i="30"/>
  <c r="J12" i="30"/>
  <c r="K12" i="30"/>
  <c r="L12" i="30"/>
  <c r="N12" i="30"/>
  <c r="O12" i="30"/>
  <c r="P12" i="30"/>
  <c r="H3" i="30"/>
  <c r="H4" i="30"/>
  <c r="H5" i="30"/>
  <c r="H6" i="30"/>
  <c r="H7" i="30"/>
  <c r="H8" i="30"/>
  <c r="H9" i="30"/>
  <c r="H10" i="30"/>
  <c r="H11" i="30"/>
  <c r="H12" i="30"/>
  <c r="H2" i="30"/>
  <c r="B3" i="30"/>
  <c r="B4" i="30"/>
  <c r="B5" i="30"/>
  <c r="B6" i="30"/>
  <c r="B7" i="30"/>
  <c r="B8" i="30"/>
  <c r="B9" i="30"/>
  <c r="B10" i="30"/>
  <c r="B11" i="30"/>
  <c r="B12" i="30"/>
  <c r="B2" i="30"/>
  <c r="M31" i="22"/>
  <c r="C32" i="1"/>
  <c r="J2" i="1"/>
  <c r="G2" i="1"/>
  <c r="G27" i="1" s="1" a="1"/>
  <c r="G27" i="1" s="1"/>
  <c r="E28" i="21" s="1"/>
  <c r="D2" i="1"/>
  <c r="D27" i="1" s="1" a="1"/>
  <c r="D27" i="1" s="1"/>
  <c r="C2" i="1"/>
  <c r="C27" i="1" s="1" a="1"/>
  <c r="C27" i="1" s="1"/>
  <c r="D5" i="11"/>
  <c r="C5" i="11"/>
  <c r="K19" i="1"/>
  <c r="K25" i="1" s="1"/>
  <c r="K28" i="1" s="1"/>
  <c r="L19" i="1"/>
  <c r="L25" i="1" s="1"/>
  <c r="L28" i="1" s="1"/>
  <c r="J19" i="1"/>
  <c r="J25" i="1" s="1"/>
  <c r="J28" i="1" s="1"/>
  <c r="J30" i="1" l="1"/>
  <c r="N50" i="16"/>
  <c r="P50" i="16" s="1"/>
  <c r="N49" i="16"/>
  <c r="P49" i="16" s="1"/>
  <c r="N65" i="16"/>
  <c r="P65" i="16" s="1"/>
  <c r="N45" i="16"/>
  <c r="P45" i="16" s="1"/>
  <c r="N64" i="16"/>
  <c r="P64" i="16" s="1"/>
  <c r="N72" i="16"/>
  <c r="P72" i="16" s="1"/>
  <c r="N68" i="16"/>
  <c r="P68" i="16" s="1"/>
  <c r="N63" i="16"/>
  <c r="P63" i="16" s="1"/>
  <c r="N44" i="16"/>
  <c r="P44" i="16" s="1"/>
  <c r="N62" i="16"/>
  <c r="P62" i="16" s="1"/>
  <c r="N71" i="16"/>
  <c r="P71" i="16" s="1"/>
  <c r="I6" i="16"/>
  <c r="I8" i="16" s="1"/>
  <c r="K49" i="16"/>
  <c r="L62" i="16"/>
  <c r="N47" i="16"/>
  <c r="P47" i="16" s="1"/>
  <c r="K64" i="16"/>
  <c r="N51" i="16"/>
  <c r="P51" i="16" s="1"/>
  <c r="N61" i="16"/>
  <c r="P61" i="16" s="1"/>
  <c r="N38" i="16"/>
  <c r="P38" i="16" s="1"/>
  <c r="N67" i="16"/>
  <c r="P67" i="16" s="1"/>
  <c r="L68" i="16"/>
  <c r="N37" i="16"/>
  <c r="P37" i="16" s="1"/>
  <c r="N40" i="16"/>
  <c r="P40" i="16" s="1"/>
  <c r="N48" i="16"/>
  <c r="P48" i="16" s="1"/>
  <c r="N53" i="16"/>
  <c r="P53" i="16" s="1"/>
  <c r="N59" i="16"/>
  <c r="P59" i="16" s="1"/>
  <c r="N46" i="16"/>
  <c r="P46" i="16" s="1"/>
  <c r="N41" i="16"/>
  <c r="P41" i="16" s="1"/>
  <c r="L61" i="16"/>
  <c r="N52" i="16"/>
  <c r="P52" i="16" s="1"/>
  <c r="N69" i="16"/>
  <c r="P69" i="16" s="1"/>
  <c r="K72" i="16"/>
  <c r="L47" i="16"/>
  <c r="N36" i="16"/>
  <c r="P36" i="16" s="1"/>
  <c r="N55" i="16"/>
  <c r="P55" i="16" s="1"/>
  <c r="N56" i="16"/>
  <c r="P56" i="16" s="1"/>
  <c r="N43" i="16"/>
  <c r="P43" i="16" s="1"/>
  <c r="K50" i="16"/>
  <c r="N57" i="16"/>
  <c r="P57" i="16" s="1"/>
  <c r="K65" i="16"/>
  <c r="K43" i="16"/>
  <c r="L46" i="16"/>
  <c r="K56" i="16"/>
  <c r="K41" i="16"/>
  <c r="L53" i="16"/>
  <c r="L59" i="16"/>
  <c r="K55" i="16"/>
  <c r="K63" i="16"/>
  <c r="K67" i="16"/>
  <c r="N58" i="16"/>
  <c r="P58" i="16" s="1"/>
  <c r="N54" i="16"/>
  <c r="P54" i="16" s="1"/>
  <c r="N70" i="16"/>
  <c r="P70" i="16" s="1"/>
  <c r="N42" i="16"/>
  <c r="P42" i="16" s="1"/>
  <c r="N39" i="16"/>
  <c r="P39" i="16" s="1"/>
  <c r="L45" i="16"/>
  <c r="N66" i="16"/>
  <c r="P66" i="16" s="1"/>
  <c r="J6" i="16"/>
  <c r="J8" i="16" s="1"/>
  <c r="AZ7" i="8"/>
  <c r="AJ5" i="24" s="1"/>
  <c r="AZ8" i="8"/>
  <c r="AJ6" i="24" s="1"/>
  <c r="AP10" i="20"/>
  <c r="AO10" i="20"/>
  <c r="AL10" i="20"/>
  <c r="E27" i="4"/>
  <c r="C27" i="4"/>
  <c r="D27" i="4"/>
  <c r="F27" i="4"/>
  <c r="G27" i="4"/>
  <c r="C28" i="21"/>
  <c r="I27" i="4"/>
  <c r="B27" i="4"/>
  <c r="H27" i="4"/>
  <c r="D28" i="21"/>
  <c r="N46" i="4"/>
  <c r="O46" i="4"/>
  <c r="M46" i="4"/>
  <c r="E13" i="30"/>
  <c r="O15" i="16"/>
  <c r="D8" i="29"/>
  <c r="C27" i="29" a="1"/>
  <c r="C27" i="29" s="1"/>
  <c r="J27" i="29" a="1"/>
  <c r="J27" i="29" s="1"/>
  <c r="I27" i="29" a="1"/>
  <c r="I27" i="29" s="1"/>
  <c r="O24" i="16" l="1"/>
  <c r="J24" i="16"/>
  <c r="I24" i="16"/>
  <c r="O23" i="16"/>
  <c r="J23" i="16"/>
  <c r="I23" i="16"/>
  <c r="O22" i="16"/>
  <c r="I22" i="16"/>
  <c r="J22" i="16"/>
  <c r="C7" i="1"/>
  <c r="I30" i="29"/>
  <c r="D24" i="29"/>
  <c r="C24" i="29"/>
  <c r="I3" i="24"/>
  <c r="G3" i="24"/>
  <c r="E3" i="24"/>
  <c r="C3" i="24"/>
  <c r="B3" i="24"/>
  <c r="D4" i="23"/>
  <c r="C4" i="23"/>
  <c r="N24" i="16" l="1"/>
  <c r="P24" i="16" s="1"/>
  <c r="N22" i="16"/>
  <c r="P22" i="16" s="1"/>
  <c r="N23" i="16"/>
  <c r="P23" i="16" s="1"/>
  <c r="E105" i="28"/>
  <c r="D105" i="28"/>
  <c r="B105" i="28"/>
  <c r="V40" i="22"/>
  <c r="V41" i="22"/>
  <c r="V42" i="22"/>
  <c r="U41" i="22"/>
  <c r="U42" i="22"/>
  <c r="U43" i="22"/>
  <c r="U40" i="22"/>
  <c r="V32" i="22"/>
  <c r="V33" i="22"/>
  <c r="V34" i="22"/>
  <c r="V37" i="22"/>
  <c r="U34" i="22"/>
  <c r="U35" i="22"/>
  <c r="U36" i="22"/>
  <c r="Q39" i="22"/>
  <c r="Q40" i="22"/>
  <c r="Q41" i="22"/>
  <c r="M40" i="22"/>
  <c r="M41" i="22"/>
  <c r="M42" i="22"/>
  <c r="M39" i="22"/>
  <c r="Q32" i="22"/>
  <c r="Q33" i="22"/>
  <c r="Q36" i="22"/>
  <c r="M34" i="22"/>
  <c r="M35" i="22"/>
  <c r="B43" i="28"/>
  <c r="C87" i="28"/>
  <c r="H909" i="28"/>
  <c r="H910" i="28"/>
  <c r="H911" i="28"/>
  <c r="H912" i="28"/>
  <c r="H913" i="28"/>
  <c r="H914" i="28"/>
  <c r="H915" i="28"/>
  <c r="H916" i="28"/>
  <c r="H908" i="28"/>
  <c r="O924" i="28"/>
  <c r="N924" i="28"/>
  <c r="M924" i="28"/>
  <c r="L924" i="28"/>
  <c r="F908" i="28"/>
  <c r="H301" i="28" l="1"/>
  <c r="H297" i="28"/>
  <c r="H309" i="28"/>
  <c r="H305" i="28"/>
  <c r="H317" i="28"/>
  <c r="H313" i="28"/>
  <c r="H408" i="28"/>
  <c r="H321" i="28"/>
  <c r="H720" i="28"/>
  <c r="H564" i="28"/>
  <c r="H924" i="28"/>
  <c r="E909" i="28" l="1" a="1"/>
  <c r="E909" i="28" s="1"/>
  <c r="E910" i="28" a="1"/>
  <c r="E910" i="28" s="1"/>
  <c r="E911" i="28" a="1"/>
  <c r="E911" i="28" s="1"/>
  <c r="E912" i="28" a="1"/>
  <c r="E912" i="28" s="1"/>
  <c r="E913" i="28" a="1"/>
  <c r="E913" i="28" s="1"/>
  <c r="E914" i="28" a="1"/>
  <c r="E914" i="28" s="1"/>
  <c r="E915" i="28" a="1"/>
  <c r="E915" i="28" s="1"/>
  <c r="E916" i="28" a="1"/>
  <c r="E916" i="28" s="1"/>
  <c r="E908" i="28" a="1"/>
  <c r="E908" i="28" s="1"/>
  <c r="E935" i="28" l="1"/>
  <c r="C935" i="28"/>
  <c r="C933" i="28"/>
  <c r="D935" i="28"/>
  <c r="F933" i="28"/>
  <c r="E933" i="28"/>
  <c r="D933" i="28"/>
  <c r="D931" i="28"/>
  <c r="F931" i="28"/>
  <c r="E931" i="28"/>
  <c r="F935" i="28"/>
  <c r="C931" i="28"/>
  <c r="B17" i="3"/>
  <c r="Q909" i="28"/>
  <c r="Q910" i="28"/>
  <c r="Q911" i="28"/>
  <c r="T911" i="28" s="1"/>
  <c r="Q912" i="28"/>
  <c r="T912" i="28" s="1"/>
  <c r="Q913" i="28"/>
  <c r="D927" i="28" s="1"/>
  <c r="Q914" i="28"/>
  <c r="Q915" i="28"/>
  <c r="Q916" i="28"/>
  <c r="E930" i="28"/>
  <c r="Q908" i="28"/>
  <c r="J909" i="28"/>
  <c r="J910" i="28"/>
  <c r="J911" i="28"/>
  <c r="J912" i="28"/>
  <c r="C927" i="28"/>
  <c r="J913" i="28"/>
  <c r="C936" i="28"/>
  <c r="J914" i="28"/>
  <c r="J915" i="28"/>
  <c r="J916" i="28"/>
  <c r="J908" i="28"/>
  <c r="C909" i="28"/>
  <c r="D909" i="28"/>
  <c r="F909" i="28"/>
  <c r="G909" i="28" s="1"/>
  <c r="C910" i="28"/>
  <c r="D910" i="28"/>
  <c r="F910" i="28"/>
  <c r="G910" i="28" s="1"/>
  <c r="C911" i="28"/>
  <c r="D911" i="28"/>
  <c r="F911" i="28"/>
  <c r="G911" i="28" s="1"/>
  <c r="C912" i="28"/>
  <c r="D912" i="28"/>
  <c r="F912" i="28"/>
  <c r="G912" i="28" s="1"/>
  <c r="C913" i="28"/>
  <c r="D913" i="28"/>
  <c r="F913" i="28"/>
  <c r="G913" i="28" s="1"/>
  <c r="C914" i="28"/>
  <c r="D914" i="28"/>
  <c r="F914" i="28"/>
  <c r="G914" i="28" s="1"/>
  <c r="C915" i="28"/>
  <c r="D915" i="28"/>
  <c r="F915" i="28"/>
  <c r="G915" i="28" s="1"/>
  <c r="C916" i="28"/>
  <c r="D916" i="28"/>
  <c r="F916" i="28"/>
  <c r="G916" i="28" s="1"/>
  <c r="G908" i="28"/>
  <c r="D908" i="28"/>
  <c r="C908" i="28"/>
  <c r="P274" i="28"/>
  <c r="O274" i="28" s="1"/>
  <c r="P275" i="28"/>
  <c r="O275" i="28" s="1"/>
  <c r="P276" i="28"/>
  <c r="O276" i="28" s="1"/>
  <c r="P277" i="28"/>
  <c r="O277" i="28" s="1"/>
  <c r="P278" i="28"/>
  <c r="O278" i="28" s="1"/>
  <c r="P279" i="28"/>
  <c r="O279" i="28" s="1"/>
  <c r="P280" i="28"/>
  <c r="O280" i="28" s="1"/>
  <c r="P281" i="28"/>
  <c r="O281" i="28" s="1"/>
  <c r="P230" i="28"/>
  <c r="O230" i="28" s="1"/>
  <c r="M274" i="28"/>
  <c r="M275" i="28"/>
  <c r="M276" i="28"/>
  <c r="M277" i="28"/>
  <c r="M278" i="28"/>
  <c r="M279" i="28"/>
  <c r="M280" i="28"/>
  <c r="M281" i="28"/>
  <c r="M230" i="28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F274" i="28"/>
  <c r="G274" i="28" s="1"/>
  <c r="F275" i="28"/>
  <c r="G275" i="28" s="1"/>
  <c r="F276" i="28"/>
  <c r="G276" i="28" s="1"/>
  <c r="F277" i="28"/>
  <c r="G277" i="28" s="1"/>
  <c r="F278" i="28"/>
  <c r="G278" i="28" s="1"/>
  <c r="F279" i="28"/>
  <c r="G279" i="28" s="1"/>
  <c r="F280" i="28"/>
  <c r="G280" i="28" s="1"/>
  <c r="F281" i="28"/>
  <c r="G281" i="28" s="1"/>
  <c r="H230" i="28"/>
  <c r="I230" i="28" s="1"/>
  <c r="F230" i="28"/>
  <c r="G230" i="28" s="1"/>
  <c r="D274" i="28"/>
  <c r="E274" i="28"/>
  <c r="D275" i="28"/>
  <c r="K409" i="28" s="1"/>
  <c r="E275" i="28"/>
  <c r="J409" i="28" s="1"/>
  <c r="D276" i="28"/>
  <c r="E276" i="28"/>
  <c r="D277" i="28"/>
  <c r="K370" i="28" s="1"/>
  <c r="E277" i="28"/>
  <c r="J370" i="28" s="1"/>
  <c r="D278" i="28"/>
  <c r="K880" i="28" s="1"/>
  <c r="E278" i="28"/>
  <c r="J880" i="28" s="1"/>
  <c r="D279" i="28"/>
  <c r="K881" i="28" s="1"/>
  <c r="E279" i="28"/>
  <c r="J881" i="28" s="1"/>
  <c r="D280" i="28"/>
  <c r="K882" i="28" s="1"/>
  <c r="E280" i="28"/>
  <c r="J882" i="28" s="1"/>
  <c r="D281" i="28"/>
  <c r="K883" i="28" s="1"/>
  <c r="E281" i="28"/>
  <c r="J883" i="28" s="1"/>
  <c r="E230" i="28"/>
  <c r="J293" i="28" s="1"/>
  <c r="D230" i="28"/>
  <c r="K293" i="28" s="1"/>
  <c r="B274" i="28"/>
  <c r="B275" i="28"/>
  <c r="B409" i="28" s="1"/>
  <c r="B276" i="28"/>
  <c r="B277" i="28"/>
  <c r="B370" i="28" s="1"/>
  <c r="B278" i="28"/>
  <c r="B880" i="28" s="1"/>
  <c r="B279" i="28"/>
  <c r="B881" i="28" s="1"/>
  <c r="B280" i="28"/>
  <c r="B882" i="28" s="1"/>
  <c r="B281" i="28"/>
  <c r="B883" i="28" s="1"/>
  <c r="B230" i="28"/>
  <c r="B293" i="28" s="1"/>
  <c r="K324" i="28" l="1"/>
  <c r="K323" i="28"/>
  <c r="B324" i="28"/>
  <c r="B323" i="28"/>
  <c r="J324" i="28"/>
  <c r="J323" i="28"/>
  <c r="K327" i="28"/>
  <c r="K325" i="28"/>
  <c r="K326" i="28"/>
  <c r="B327" i="28"/>
  <c r="B325" i="28"/>
  <c r="B326" i="28"/>
  <c r="J327" i="28"/>
  <c r="J326" i="28"/>
  <c r="J325" i="28"/>
  <c r="B331" i="28"/>
  <c r="B328" i="28"/>
  <c r="B329" i="28"/>
  <c r="J331" i="28"/>
  <c r="J328" i="28"/>
  <c r="J329" i="28"/>
  <c r="K331" i="28"/>
  <c r="K328" i="28"/>
  <c r="K329" i="28"/>
  <c r="K334" i="28"/>
  <c r="K332" i="28"/>
  <c r="K333" i="28"/>
  <c r="B334" i="28"/>
  <c r="B332" i="28"/>
  <c r="B333" i="28"/>
  <c r="J334" i="28"/>
  <c r="J332" i="28"/>
  <c r="J333" i="28"/>
  <c r="K337" i="28"/>
  <c r="K335" i="28"/>
  <c r="K336" i="28"/>
  <c r="B337" i="28"/>
  <c r="B336" i="28"/>
  <c r="B335" i="28"/>
  <c r="J337" i="28"/>
  <c r="J335" i="28"/>
  <c r="J336" i="28"/>
  <c r="J340" i="28"/>
  <c r="J338" i="28"/>
  <c r="J339" i="28"/>
  <c r="K340" i="28"/>
  <c r="K338" i="28"/>
  <c r="K339" i="28"/>
  <c r="B340" i="28"/>
  <c r="B339" i="28"/>
  <c r="B338" i="28"/>
  <c r="J342" i="28"/>
  <c r="J341" i="28"/>
  <c r="K342" i="28"/>
  <c r="K341" i="28"/>
  <c r="B342" i="28"/>
  <c r="B341" i="28"/>
  <c r="J345" i="28"/>
  <c r="J343" i="28"/>
  <c r="J344" i="28"/>
  <c r="B345" i="28"/>
  <c r="B343" i="28"/>
  <c r="B344" i="28"/>
  <c r="K345" i="28"/>
  <c r="K343" i="28"/>
  <c r="K344" i="28"/>
  <c r="K348" i="28"/>
  <c r="K346" i="28"/>
  <c r="K347" i="28"/>
  <c r="B348" i="28"/>
  <c r="B347" i="28"/>
  <c r="B346" i="28"/>
  <c r="J348" i="28"/>
  <c r="J346" i="28"/>
  <c r="J347" i="28"/>
  <c r="B351" i="28"/>
  <c r="B350" i="28"/>
  <c r="B349" i="28"/>
  <c r="J351" i="28"/>
  <c r="J349" i="28"/>
  <c r="J350" i="28"/>
  <c r="K351" i="28"/>
  <c r="K349" i="28"/>
  <c r="K350" i="28"/>
  <c r="K354" i="28"/>
  <c r="K352" i="28"/>
  <c r="K353" i="28"/>
  <c r="B354" i="28"/>
  <c r="B352" i="28"/>
  <c r="B353" i="28"/>
  <c r="J354" i="28"/>
  <c r="J352" i="28"/>
  <c r="J353" i="28"/>
  <c r="J357" i="28"/>
  <c r="J356" i="28"/>
  <c r="J355" i="28"/>
  <c r="B357" i="28"/>
  <c r="B356" i="28"/>
  <c r="B355" i="28"/>
  <c r="K357" i="28"/>
  <c r="K355" i="28"/>
  <c r="K356" i="28"/>
  <c r="J360" i="28"/>
  <c r="J358" i="28"/>
  <c r="J359" i="28"/>
  <c r="B360" i="28"/>
  <c r="B358" i="28"/>
  <c r="B359" i="28"/>
  <c r="K360" i="28"/>
  <c r="K358" i="28"/>
  <c r="K359" i="28"/>
  <c r="B363" i="28"/>
  <c r="B361" i="28"/>
  <c r="B362" i="28"/>
  <c r="K363" i="28"/>
  <c r="K361" i="28"/>
  <c r="K362" i="28"/>
  <c r="J363" i="28"/>
  <c r="J361" i="28"/>
  <c r="J362" i="28"/>
  <c r="B366" i="28"/>
  <c r="B365" i="28"/>
  <c r="B364" i="28"/>
  <c r="K366" i="28"/>
  <c r="K364" i="28"/>
  <c r="K365" i="28"/>
  <c r="J366" i="28"/>
  <c r="J364" i="28"/>
  <c r="J365" i="28"/>
  <c r="B448" i="28"/>
  <c r="B367" i="28"/>
  <c r="B368" i="28"/>
  <c r="J448" i="28"/>
  <c r="J368" i="28"/>
  <c r="J367" i="28"/>
  <c r="K448" i="28"/>
  <c r="K367" i="28"/>
  <c r="K368" i="28"/>
  <c r="K373" i="28"/>
  <c r="K371" i="28"/>
  <c r="K372" i="28"/>
  <c r="B373" i="28"/>
  <c r="B371" i="28"/>
  <c r="B372" i="28"/>
  <c r="J373" i="28"/>
  <c r="J371" i="28"/>
  <c r="J372" i="28"/>
  <c r="B375" i="28"/>
  <c r="B374" i="28"/>
  <c r="J375" i="28"/>
  <c r="J374" i="28"/>
  <c r="K375" i="28"/>
  <c r="K374" i="28"/>
  <c r="J378" i="28"/>
  <c r="J376" i="28"/>
  <c r="J377" i="28"/>
  <c r="B378" i="28"/>
  <c r="B377" i="28"/>
  <c r="B376" i="28"/>
  <c r="K378" i="28"/>
  <c r="K376" i="28"/>
  <c r="K377" i="28"/>
  <c r="K381" i="28"/>
  <c r="K379" i="28"/>
  <c r="K380" i="28"/>
  <c r="B381" i="28"/>
  <c r="B380" i="28"/>
  <c r="B379" i="28"/>
  <c r="J381" i="28"/>
  <c r="J379" i="28"/>
  <c r="J380" i="28"/>
  <c r="B385" i="28"/>
  <c r="B384" i="28"/>
  <c r="B382" i="28"/>
  <c r="B383" i="28"/>
  <c r="J385" i="28"/>
  <c r="J383" i="28"/>
  <c r="J382" i="28"/>
  <c r="J384" i="28"/>
  <c r="K385" i="28"/>
  <c r="K382" i="28"/>
  <c r="K383" i="28"/>
  <c r="K384" i="28"/>
  <c r="J388" i="28"/>
  <c r="J386" i="28"/>
  <c r="J387" i="28"/>
  <c r="B388" i="28"/>
  <c r="B387" i="28"/>
  <c r="B386" i="28"/>
  <c r="K388" i="28"/>
  <c r="K386" i="28"/>
  <c r="K387" i="28"/>
  <c r="J391" i="28"/>
  <c r="J389" i="28"/>
  <c r="J390" i="28"/>
  <c r="B391" i="28"/>
  <c r="B389" i="28"/>
  <c r="B390" i="28"/>
  <c r="K391" i="28"/>
  <c r="K389" i="28"/>
  <c r="K390" i="28"/>
  <c r="J393" i="28"/>
  <c r="J392" i="28"/>
  <c r="B393" i="28"/>
  <c r="B392" i="28"/>
  <c r="K393" i="28"/>
  <c r="K392" i="28"/>
  <c r="J396" i="28"/>
  <c r="J395" i="28"/>
  <c r="J394" i="28"/>
  <c r="K396" i="28"/>
  <c r="K394" i="28"/>
  <c r="K395" i="28"/>
  <c r="B396" i="28"/>
  <c r="B394" i="28"/>
  <c r="B395" i="28"/>
  <c r="B399" i="28"/>
  <c r="B397" i="28"/>
  <c r="B398" i="28"/>
  <c r="J399" i="28"/>
  <c r="J397" i="28"/>
  <c r="J398" i="28"/>
  <c r="K399" i="28"/>
  <c r="K397" i="28"/>
  <c r="K398" i="28"/>
  <c r="K402" i="28"/>
  <c r="K400" i="28"/>
  <c r="K401" i="28"/>
  <c r="B402" i="28"/>
  <c r="B401" i="28"/>
  <c r="B400" i="28"/>
  <c r="J402" i="28"/>
  <c r="J400" i="28"/>
  <c r="J401" i="28"/>
  <c r="B405" i="28"/>
  <c r="B403" i="28"/>
  <c r="B404" i="28"/>
  <c r="J405" i="28"/>
  <c r="J403" i="28"/>
  <c r="J404" i="28"/>
  <c r="K405" i="28"/>
  <c r="K403" i="28"/>
  <c r="K404" i="28"/>
  <c r="B406" i="28"/>
  <c r="B407" i="28"/>
  <c r="J406" i="28"/>
  <c r="J407" i="28"/>
  <c r="K406" i="28"/>
  <c r="K407" i="28"/>
  <c r="J412" i="28"/>
  <c r="J410" i="28"/>
  <c r="J411" i="28"/>
  <c r="K412" i="28"/>
  <c r="K410" i="28"/>
  <c r="K411" i="28"/>
  <c r="B412" i="28"/>
  <c r="B410" i="28"/>
  <c r="B411" i="28"/>
  <c r="J415" i="28"/>
  <c r="J414" i="28"/>
  <c r="J413" i="28"/>
  <c r="B415" i="28"/>
  <c r="B414" i="28"/>
  <c r="B413" i="28"/>
  <c r="K415" i="28"/>
  <c r="K413" i="28"/>
  <c r="K414" i="28"/>
  <c r="B418" i="28"/>
  <c r="B417" i="28"/>
  <c r="B416" i="28"/>
  <c r="J418" i="28"/>
  <c r="J416" i="28"/>
  <c r="J417" i="28"/>
  <c r="K418" i="28"/>
  <c r="K416" i="28"/>
  <c r="K417" i="28"/>
  <c r="K421" i="28"/>
  <c r="K419" i="28"/>
  <c r="K420" i="28"/>
  <c r="B421" i="28"/>
  <c r="B419" i="28"/>
  <c r="B420" i="28"/>
  <c r="J421" i="28"/>
  <c r="J419" i="28"/>
  <c r="J420" i="28"/>
  <c r="K424" i="28"/>
  <c r="K422" i="28"/>
  <c r="K423" i="28"/>
  <c r="B424" i="28"/>
  <c r="B422" i="28"/>
  <c r="B423" i="28"/>
  <c r="J424" i="28"/>
  <c r="J422" i="28"/>
  <c r="J423" i="28"/>
  <c r="B427" i="28"/>
  <c r="B426" i="28"/>
  <c r="B425" i="28"/>
  <c r="J427" i="28"/>
  <c r="J425" i="28"/>
  <c r="J426" i="28"/>
  <c r="K427" i="28"/>
  <c r="K425" i="28"/>
  <c r="K426" i="28"/>
  <c r="B429" i="28"/>
  <c r="B428" i="28"/>
  <c r="J429" i="28"/>
  <c r="J428" i="28"/>
  <c r="K429" i="28"/>
  <c r="K428" i="28"/>
  <c r="J432" i="28"/>
  <c r="J431" i="28"/>
  <c r="J430" i="28"/>
  <c r="K432" i="28"/>
  <c r="K430" i="28"/>
  <c r="K431" i="28"/>
  <c r="B432" i="28"/>
  <c r="B430" i="28"/>
  <c r="B431" i="28"/>
  <c r="K435" i="28"/>
  <c r="K433" i="28"/>
  <c r="K434" i="28"/>
  <c r="B435" i="28"/>
  <c r="B433" i="28"/>
  <c r="B434" i="28"/>
  <c r="J435" i="28"/>
  <c r="J433" i="28"/>
  <c r="J434" i="28"/>
  <c r="J438" i="28"/>
  <c r="J437" i="28"/>
  <c r="J436" i="28"/>
  <c r="B438" i="28"/>
  <c r="B437" i="28"/>
  <c r="B436" i="28"/>
  <c r="K438" i="28"/>
  <c r="K436" i="28"/>
  <c r="K437" i="28"/>
  <c r="B441" i="28"/>
  <c r="B439" i="28"/>
  <c r="B440" i="28"/>
  <c r="J441" i="28"/>
  <c r="J439" i="28"/>
  <c r="J440" i="28"/>
  <c r="K441" i="28"/>
  <c r="K439" i="28"/>
  <c r="K440" i="28"/>
  <c r="K444" i="28"/>
  <c r="K442" i="28"/>
  <c r="K443" i="28"/>
  <c r="J444" i="28"/>
  <c r="J442" i="28"/>
  <c r="J443" i="28"/>
  <c r="B444" i="28"/>
  <c r="B442" i="28"/>
  <c r="B443" i="28"/>
  <c r="B565" i="28"/>
  <c r="B445" i="28"/>
  <c r="B446" i="28"/>
  <c r="J565" i="28"/>
  <c r="J445" i="28"/>
  <c r="J446" i="28"/>
  <c r="K565" i="28"/>
  <c r="K445" i="28"/>
  <c r="K446" i="28"/>
  <c r="B451" i="28"/>
  <c r="B449" i="28"/>
  <c r="B450" i="28"/>
  <c r="K451" i="28"/>
  <c r="K449" i="28"/>
  <c r="K450" i="28"/>
  <c r="J451" i="28"/>
  <c r="J449" i="28"/>
  <c r="J450" i="28"/>
  <c r="B454" i="28"/>
  <c r="B452" i="28"/>
  <c r="B453" i="28"/>
  <c r="J454" i="28"/>
  <c r="J452" i="28"/>
  <c r="J453" i="28"/>
  <c r="K454" i="28"/>
  <c r="K452" i="28"/>
  <c r="K453" i="28"/>
  <c r="J457" i="28"/>
  <c r="J456" i="28"/>
  <c r="J455" i="28"/>
  <c r="B457" i="28"/>
  <c r="B455" i="28"/>
  <c r="B456" i="28"/>
  <c r="K457" i="28"/>
  <c r="K455" i="28"/>
  <c r="K456" i="28"/>
  <c r="B460" i="28"/>
  <c r="B458" i="28"/>
  <c r="B459" i="28"/>
  <c r="J460" i="28"/>
  <c r="J459" i="28"/>
  <c r="J458" i="28"/>
  <c r="K460" i="28"/>
  <c r="K458" i="28"/>
  <c r="K459" i="28"/>
  <c r="B463" i="28"/>
  <c r="B462" i="28"/>
  <c r="B461" i="28"/>
  <c r="J463" i="28"/>
  <c r="J461" i="28"/>
  <c r="J462" i="28"/>
  <c r="K463" i="28"/>
  <c r="K461" i="28"/>
  <c r="K462" i="28"/>
  <c r="K466" i="28"/>
  <c r="K464" i="28"/>
  <c r="K465" i="28"/>
  <c r="B466" i="28"/>
  <c r="B464" i="28"/>
  <c r="B465" i="28"/>
  <c r="J466" i="28"/>
  <c r="J464" i="28"/>
  <c r="J465" i="28"/>
  <c r="J469" i="28"/>
  <c r="J468" i="28"/>
  <c r="J467" i="28"/>
  <c r="K469" i="28"/>
  <c r="K467" i="28"/>
  <c r="K468" i="28"/>
  <c r="B469" i="28"/>
  <c r="B467" i="28"/>
  <c r="B468" i="28"/>
  <c r="B472" i="28"/>
  <c r="B470" i="28"/>
  <c r="B471" i="28"/>
  <c r="J472" i="28"/>
  <c r="J470" i="28"/>
  <c r="J471" i="28"/>
  <c r="K472" i="28"/>
  <c r="K470" i="28"/>
  <c r="K471" i="28"/>
  <c r="J475" i="28"/>
  <c r="J473" i="28"/>
  <c r="J474" i="28"/>
  <c r="K475" i="28"/>
  <c r="K473" i="28"/>
  <c r="K474" i="28"/>
  <c r="B475" i="28"/>
  <c r="B474" i="28"/>
  <c r="B473" i="28"/>
  <c r="B478" i="28"/>
  <c r="B476" i="28"/>
  <c r="B477" i="28"/>
  <c r="J478" i="28"/>
  <c r="J476" i="28"/>
  <c r="J477" i="28"/>
  <c r="K478" i="28"/>
  <c r="K476" i="28"/>
  <c r="K477" i="28"/>
  <c r="B480" i="28"/>
  <c r="B479" i="28"/>
  <c r="J480" i="28"/>
  <c r="J479" i="28"/>
  <c r="K480" i="28"/>
  <c r="K479" i="28"/>
  <c r="J483" i="28"/>
  <c r="J481" i="28"/>
  <c r="J482" i="28"/>
  <c r="B483" i="28"/>
  <c r="B481" i="28"/>
  <c r="B482" i="28"/>
  <c r="K483" i="28"/>
  <c r="K481" i="28"/>
  <c r="K482" i="28"/>
  <c r="K487" i="28"/>
  <c r="K484" i="28"/>
  <c r="K485" i="28"/>
  <c r="B487" i="28"/>
  <c r="B484" i="28"/>
  <c r="B485" i="28"/>
  <c r="J487" i="28"/>
  <c r="J484" i="28"/>
  <c r="J485" i="28"/>
  <c r="K488" i="28"/>
  <c r="K489" i="28"/>
  <c r="J488" i="28"/>
  <c r="J489" i="28"/>
  <c r="B489" i="28"/>
  <c r="B488" i="28"/>
  <c r="B491" i="28"/>
  <c r="B490" i="28"/>
  <c r="J491" i="28"/>
  <c r="J490" i="28"/>
  <c r="K491" i="28"/>
  <c r="K490" i="28"/>
  <c r="B493" i="28"/>
  <c r="B492" i="28"/>
  <c r="J493" i="28"/>
  <c r="J492" i="28"/>
  <c r="K493" i="28"/>
  <c r="K492" i="28"/>
  <c r="B495" i="28"/>
  <c r="B494" i="28"/>
  <c r="J495" i="28"/>
  <c r="J494" i="28"/>
  <c r="K495" i="28"/>
  <c r="K494" i="28"/>
  <c r="B498" i="28"/>
  <c r="B496" i="28"/>
  <c r="B497" i="28"/>
  <c r="J498" i="28"/>
  <c r="J496" i="28"/>
  <c r="J497" i="28"/>
  <c r="K498" i="28"/>
  <c r="K496" i="28"/>
  <c r="K497" i="28"/>
  <c r="B501" i="28"/>
  <c r="B499" i="28"/>
  <c r="B500" i="28"/>
  <c r="J501" i="28"/>
  <c r="J499" i="28"/>
  <c r="J500" i="28"/>
  <c r="K501" i="28"/>
  <c r="K499" i="28"/>
  <c r="K500" i="28"/>
  <c r="K504" i="28"/>
  <c r="K502" i="28"/>
  <c r="K503" i="28"/>
  <c r="J504" i="28"/>
  <c r="J503" i="28"/>
  <c r="J502" i="28"/>
  <c r="B504" i="28"/>
  <c r="B502" i="28"/>
  <c r="B503" i="28"/>
  <c r="B507" i="28"/>
  <c r="B505" i="28"/>
  <c r="B506" i="28"/>
  <c r="J507" i="28"/>
  <c r="J506" i="28"/>
  <c r="J505" i="28"/>
  <c r="K507" i="28"/>
  <c r="K505" i="28"/>
  <c r="K506" i="28"/>
  <c r="B510" i="28"/>
  <c r="B509" i="28"/>
  <c r="B508" i="28"/>
  <c r="K510" i="28"/>
  <c r="K508" i="28"/>
  <c r="K509" i="28"/>
  <c r="J510" i="28"/>
  <c r="J508" i="28"/>
  <c r="J509" i="28"/>
  <c r="B512" i="28"/>
  <c r="B511" i="28"/>
  <c r="J512" i="28"/>
  <c r="J511" i="28"/>
  <c r="K512" i="28"/>
  <c r="K511" i="28"/>
  <c r="K515" i="28"/>
  <c r="K513" i="28"/>
  <c r="K514" i="28"/>
  <c r="B515" i="28"/>
  <c r="B514" i="28"/>
  <c r="B513" i="28"/>
  <c r="J515" i="28"/>
  <c r="J513" i="28"/>
  <c r="J514" i="28"/>
  <c r="B517" i="28"/>
  <c r="B516" i="28"/>
  <c r="K517" i="28"/>
  <c r="K516" i="28"/>
  <c r="J517" i="28"/>
  <c r="J516" i="28"/>
  <c r="B520" i="28"/>
  <c r="B519" i="28"/>
  <c r="B518" i="28"/>
  <c r="J520" i="28"/>
  <c r="J519" i="28"/>
  <c r="J518" i="28"/>
  <c r="K520" i="28"/>
  <c r="K518" i="28"/>
  <c r="K519" i="28"/>
  <c r="J523" i="28"/>
  <c r="J522" i="28"/>
  <c r="J521" i="28"/>
  <c r="K523" i="28"/>
  <c r="K521" i="28"/>
  <c r="K522" i="28"/>
  <c r="B523" i="28"/>
  <c r="B521" i="28"/>
  <c r="B522" i="28"/>
  <c r="B604" i="28"/>
  <c r="B524" i="28"/>
  <c r="K527" i="28"/>
  <c r="K526" i="28"/>
  <c r="B527" i="28"/>
  <c r="B526" i="28"/>
  <c r="J527" i="28"/>
  <c r="J526" i="28"/>
  <c r="J604" i="28"/>
  <c r="J524" i="28"/>
  <c r="K604" i="28"/>
  <c r="K524" i="28"/>
  <c r="B530" i="28"/>
  <c r="B528" i="28"/>
  <c r="B529" i="28"/>
  <c r="J530" i="28"/>
  <c r="J529" i="28"/>
  <c r="J528" i="28"/>
  <c r="K530" i="28"/>
  <c r="K528" i="28"/>
  <c r="K529" i="28"/>
  <c r="K531" i="28"/>
  <c r="K532" i="28"/>
  <c r="B532" i="28"/>
  <c r="B531" i="28"/>
  <c r="J532" i="28"/>
  <c r="J531" i="28"/>
  <c r="B534" i="28"/>
  <c r="B533" i="28"/>
  <c r="K534" i="28"/>
  <c r="K533" i="28"/>
  <c r="J534" i="28"/>
  <c r="J533" i="28"/>
  <c r="B536" i="28"/>
  <c r="B535" i="28"/>
  <c r="K536" i="28"/>
  <c r="K535" i="28"/>
  <c r="J536" i="28"/>
  <c r="J535" i="28"/>
  <c r="K538" i="28"/>
  <c r="K537" i="28"/>
  <c r="B538" i="28"/>
  <c r="B537" i="28"/>
  <c r="J538" i="28"/>
  <c r="J537" i="28"/>
  <c r="J540" i="28"/>
  <c r="J539" i="28"/>
  <c r="B540" i="28"/>
  <c r="B539" i="28"/>
  <c r="K540" i="28"/>
  <c r="K539" i="28"/>
  <c r="B542" i="28"/>
  <c r="B541" i="28"/>
  <c r="J542" i="28"/>
  <c r="J541" i="28"/>
  <c r="K542" i="28"/>
  <c r="K541" i="28"/>
  <c r="B544" i="28"/>
  <c r="B543" i="28"/>
  <c r="K544" i="28"/>
  <c r="K543" i="28"/>
  <c r="J544" i="28"/>
  <c r="J543" i="28"/>
  <c r="B546" i="28"/>
  <c r="B545" i="28"/>
  <c r="J546" i="28"/>
  <c r="J545" i="28"/>
  <c r="K546" i="28"/>
  <c r="K545" i="28"/>
  <c r="K548" i="28"/>
  <c r="K547" i="28"/>
  <c r="B548" i="28"/>
  <c r="B547" i="28"/>
  <c r="J548" i="28"/>
  <c r="J547" i="28"/>
  <c r="B550" i="28"/>
  <c r="B549" i="28"/>
  <c r="J550" i="28"/>
  <c r="J549" i="28"/>
  <c r="K550" i="28"/>
  <c r="K549" i="28"/>
  <c r="B552" i="28"/>
  <c r="B551" i="28"/>
  <c r="J552" i="28"/>
  <c r="J551" i="28"/>
  <c r="K552" i="28"/>
  <c r="K551" i="28"/>
  <c r="J554" i="28"/>
  <c r="J553" i="28"/>
  <c r="B554" i="28"/>
  <c r="B553" i="28"/>
  <c r="K554" i="28"/>
  <c r="K553" i="28"/>
  <c r="J556" i="28"/>
  <c r="J555" i="28"/>
  <c r="K556" i="28"/>
  <c r="K555" i="28"/>
  <c r="B556" i="28"/>
  <c r="B555" i="28"/>
  <c r="B558" i="28"/>
  <c r="B557" i="28"/>
  <c r="J558" i="28"/>
  <c r="J557" i="28"/>
  <c r="K558" i="28"/>
  <c r="K557" i="28"/>
  <c r="B560" i="28"/>
  <c r="B559" i="28"/>
  <c r="K560" i="28"/>
  <c r="K559" i="28"/>
  <c r="J560" i="28"/>
  <c r="J559" i="28"/>
  <c r="J562" i="28"/>
  <c r="J561" i="28"/>
  <c r="K562" i="28"/>
  <c r="K561" i="28"/>
  <c r="B562" i="28"/>
  <c r="B561" i="28"/>
  <c r="K682" i="28"/>
  <c r="K563" i="28"/>
  <c r="B682" i="28"/>
  <c r="B563" i="28"/>
  <c r="J682" i="28"/>
  <c r="J563" i="28"/>
  <c r="B567" i="28"/>
  <c r="B566" i="28"/>
  <c r="K567" i="28"/>
  <c r="K566" i="28"/>
  <c r="J567" i="28"/>
  <c r="J566" i="28"/>
  <c r="K569" i="28"/>
  <c r="K568" i="28"/>
  <c r="B569" i="28"/>
  <c r="B568" i="28"/>
  <c r="J569" i="28"/>
  <c r="J568" i="28"/>
  <c r="J571" i="28"/>
  <c r="J570" i="28"/>
  <c r="B571" i="28"/>
  <c r="B570" i="28"/>
  <c r="K571" i="28"/>
  <c r="K570" i="28"/>
  <c r="J573" i="28"/>
  <c r="J572" i="28"/>
  <c r="K573" i="28"/>
  <c r="K572" i="28"/>
  <c r="B573" i="28"/>
  <c r="B572" i="28"/>
  <c r="B575" i="28"/>
  <c r="B574" i="28"/>
  <c r="J575" i="28"/>
  <c r="J574" i="28"/>
  <c r="K575" i="28"/>
  <c r="K574" i="28"/>
  <c r="J577" i="28"/>
  <c r="J576" i="28"/>
  <c r="K577" i="28"/>
  <c r="K576" i="28"/>
  <c r="B577" i="28"/>
  <c r="B576" i="28"/>
  <c r="B579" i="28"/>
  <c r="B578" i="28"/>
  <c r="J579" i="28"/>
  <c r="J578" i="28"/>
  <c r="K579" i="28"/>
  <c r="K578" i="28"/>
  <c r="B581" i="28"/>
  <c r="B580" i="28"/>
  <c r="J581" i="28"/>
  <c r="J580" i="28"/>
  <c r="K581" i="28"/>
  <c r="K580" i="28"/>
  <c r="B583" i="28"/>
  <c r="B582" i="28"/>
  <c r="J583" i="28"/>
  <c r="J582" i="28"/>
  <c r="K583" i="28"/>
  <c r="K582" i="28"/>
  <c r="B585" i="28"/>
  <c r="B584" i="28"/>
  <c r="J585" i="28"/>
  <c r="J584" i="28"/>
  <c r="K585" i="28"/>
  <c r="K584" i="28"/>
  <c r="J587" i="28"/>
  <c r="J586" i="28"/>
  <c r="B587" i="28"/>
  <c r="B586" i="28"/>
  <c r="K587" i="28"/>
  <c r="K586" i="28"/>
  <c r="J589" i="28"/>
  <c r="J588" i="28"/>
  <c r="K589" i="28"/>
  <c r="K588" i="28"/>
  <c r="B589" i="28"/>
  <c r="B588" i="28"/>
  <c r="B591" i="28"/>
  <c r="B590" i="28"/>
  <c r="J591" i="28"/>
  <c r="J590" i="28"/>
  <c r="K591" i="28"/>
  <c r="K590" i="28"/>
  <c r="B593" i="28"/>
  <c r="B592" i="28"/>
  <c r="J593" i="28"/>
  <c r="J592" i="28"/>
  <c r="K593" i="28"/>
  <c r="K592" i="28"/>
  <c r="B595" i="28"/>
  <c r="B594" i="28"/>
  <c r="J595" i="28"/>
  <c r="J594" i="28"/>
  <c r="K595" i="28"/>
  <c r="K594" i="28"/>
  <c r="B597" i="28"/>
  <c r="B596" i="28"/>
  <c r="J597" i="28"/>
  <c r="J596" i="28"/>
  <c r="K597" i="28"/>
  <c r="K596" i="28"/>
  <c r="B599" i="28"/>
  <c r="B598" i="28"/>
  <c r="K599" i="28"/>
  <c r="K598" i="28"/>
  <c r="J599" i="28"/>
  <c r="J598" i="28"/>
  <c r="K601" i="28"/>
  <c r="K600" i="28"/>
  <c r="J601" i="28"/>
  <c r="J600" i="28"/>
  <c r="B601" i="28"/>
  <c r="B600" i="28"/>
  <c r="B721" i="28"/>
  <c r="B602" i="28"/>
  <c r="K721" i="28"/>
  <c r="K602" i="28"/>
  <c r="J721" i="28"/>
  <c r="J602" i="28"/>
  <c r="B606" i="28"/>
  <c r="B605" i="28"/>
  <c r="J606" i="28"/>
  <c r="J605" i="28"/>
  <c r="K606" i="28"/>
  <c r="K605" i="28"/>
  <c r="K608" i="28"/>
  <c r="K607" i="28"/>
  <c r="J608" i="28"/>
  <c r="J607" i="28"/>
  <c r="B608" i="28"/>
  <c r="B607" i="28"/>
  <c r="B610" i="28"/>
  <c r="B609" i="28"/>
  <c r="J610" i="28"/>
  <c r="J609" i="28"/>
  <c r="K610" i="28"/>
  <c r="K609" i="28"/>
  <c r="B612" i="28"/>
  <c r="B611" i="28"/>
  <c r="K612" i="28"/>
  <c r="K611" i="28"/>
  <c r="J612" i="28"/>
  <c r="J611" i="28"/>
  <c r="J614" i="28"/>
  <c r="J613" i="28"/>
  <c r="K614" i="28"/>
  <c r="K613" i="28"/>
  <c r="B614" i="28"/>
  <c r="B613" i="28"/>
  <c r="B616" i="28"/>
  <c r="B615" i="28"/>
  <c r="K616" i="28"/>
  <c r="K615" i="28"/>
  <c r="J616" i="28"/>
  <c r="J615" i="28"/>
  <c r="K618" i="28"/>
  <c r="K617" i="28"/>
  <c r="J618" i="28"/>
  <c r="J617" i="28"/>
  <c r="B618" i="28"/>
  <c r="B617" i="28"/>
  <c r="K620" i="28"/>
  <c r="K619" i="28"/>
  <c r="J620" i="28"/>
  <c r="J619" i="28"/>
  <c r="B620" i="28"/>
  <c r="B619" i="28"/>
  <c r="J622" i="28"/>
  <c r="J621" i="28"/>
  <c r="B622" i="28"/>
  <c r="B621" i="28"/>
  <c r="K622" i="28"/>
  <c r="K621" i="28"/>
  <c r="K624" i="28"/>
  <c r="K623" i="28"/>
  <c r="B624" i="28"/>
  <c r="B623" i="28"/>
  <c r="J624" i="28"/>
  <c r="J623" i="28"/>
  <c r="K626" i="28"/>
  <c r="K625" i="28"/>
  <c r="B626" i="28"/>
  <c r="B625" i="28"/>
  <c r="J626" i="28"/>
  <c r="J625" i="28"/>
  <c r="J628" i="28"/>
  <c r="J627" i="28"/>
  <c r="B628" i="28"/>
  <c r="B627" i="28"/>
  <c r="K628" i="28"/>
  <c r="K627" i="28"/>
  <c r="B630" i="28"/>
  <c r="B629" i="28"/>
  <c r="J630" i="28"/>
  <c r="J629" i="28"/>
  <c r="K630" i="28"/>
  <c r="K629" i="28"/>
  <c r="J632" i="28"/>
  <c r="J631" i="28"/>
  <c r="B632" i="28"/>
  <c r="B631" i="28"/>
  <c r="K632" i="28"/>
  <c r="K631" i="28"/>
  <c r="K634" i="28"/>
  <c r="K633" i="28"/>
  <c r="B634" i="28"/>
  <c r="B633" i="28"/>
  <c r="J634" i="28"/>
  <c r="J633" i="28"/>
  <c r="K636" i="28"/>
  <c r="K635" i="28"/>
  <c r="B636" i="28"/>
  <c r="B635" i="28"/>
  <c r="J636" i="28"/>
  <c r="J635" i="28"/>
  <c r="K638" i="28"/>
  <c r="K637" i="28"/>
  <c r="J638" i="28"/>
  <c r="J637" i="28"/>
  <c r="B638" i="28"/>
  <c r="B637" i="28"/>
  <c r="K640" i="28"/>
  <c r="K639" i="28"/>
  <c r="J640" i="28"/>
  <c r="J639" i="28"/>
  <c r="B640" i="28"/>
  <c r="B639" i="28"/>
  <c r="K643" i="28"/>
  <c r="K641" i="28"/>
  <c r="J643" i="28"/>
  <c r="J641" i="28"/>
  <c r="B643" i="28"/>
  <c r="B641" i="28"/>
  <c r="J645" i="28"/>
  <c r="J644" i="28"/>
  <c r="B645" i="28"/>
  <c r="B644" i="28"/>
  <c r="K645" i="28"/>
  <c r="K644" i="28"/>
  <c r="K647" i="28"/>
  <c r="K646" i="28"/>
  <c r="J647" i="28"/>
  <c r="J646" i="28"/>
  <c r="B647" i="28"/>
  <c r="B646" i="28"/>
  <c r="B649" i="28"/>
  <c r="B648" i="28"/>
  <c r="J649" i="28"/>
  <c r="J648" i="28"/>
  <c r="K649" i="28"/>
  <c r="K648" i="28"/>
  <c r="J651" i="28"/>
  <c r="J650" i="28"/>
  <c r="K651" i="28"/>
  <c r="K650" i="28"/>
  <c r="B651" i="28"/>
  <c r="B650" i="28"/>
  <c r="B653" i="28"/>
  <c r="B652" i="28"/>
  <c r="J653" i="28"/>
  <c r="J652" i="28"/>
  <c r="K653" i="28"/>
  <c r="K652" i="28"/>
  <c r="J655" i="28"/>
  <c r="J654" i="28"/>
  <c r="K655" i="28"/>
  <c r="K654" i="28"/>
  <c r="B655" i="28"/>
  <c r="B654" i="28"/>
  <c r="B657" i="28"/>
  <c r="B656" i="28"/>
  <c r="K657" i="28"/>
  <c r="K656" i="28"/>
  <c r="J657" i="28"/>
  <c r="J656" i="28"/>
  <c r="J659" i="28"/>
  <c r="J658" i="28"/>
  <c r="B659" i="28"/>
  <c r="B658" i="28"/>
  <c r="K659" i="28"/>
  <c r="K658" i="28"/>
  <c r="K661" i="28"/>
  <c r="K660" i="28"/>
  <c r="J661" i="28"/>
  <c r="J660" i="28"/>
  <c r="B661" i="28"/>
  <c r="B660" i="28"/>
  <c r="B663" i="28"/>
  <c r="B662" i="28"/>
  <c r="J663" i="28"/>
  <c r="J662" i="28"/>
  <c r="K663" i="28"/>
  <c r="K662" i="28"/>
  <c r="B665" i="28"/>
  <c r="B664" i="28"/>
  <c r="J665" i="28"/>
  <c r="J664" i="28"/>
  <c r="K665" i="28"/>
  <c r="K664" i="28"/>
  <c r="K667" i="28"/>
  <c r="K666" i="28"/>
  <c r="B667" i="28"/>
  <c r="B666" i="28"/>
  <c r="J667" i="28"/>
  <c r="J666" i="28"/>
  <c r="B669" i="28"/>
  <c r="B668" i="28"/>
  <c r="K669" i="28"/>
  <c r="K668" i="28"/>
  <c r="J669" i="28"/>
  <c r="J668" i="28"/>
  <c r="K671" i="28"/>
  <c r="K670" i="28"/>
  <c r="B671" i="28"/>
  <c r="B670" i="28"/>
  <c r="J671" i="28"/>
  <c r="J670" i="28"/>
  <c r="B673" i="28"/>
  <c r="B672" i="28"/>
  <c r="J673" i="28"/>
  <c r="J672" i="28"/>
  <c r="K673" i="28"/>
  <c r="K672" i="28"/>
  <c r="J675" i="28"/>
  <c r="J674" i="28"/>
  <c r="B675" i="28"/>
  <c r="B674" i="28"/>
  <c r="K675" i="28"/>
  <c r="K674" i="28"/>
  <c r="B677" i="28"/>
  <c r="B676" i="28"/>
  <c r="K677" i="28"/>
  <c r="K676" i="28"/>
  <c r="J677" i="28"/>
  <c r="J676" i="28"/>
  <c r="B679" i="28"/>
  <c r="B678" i="28"/>
  <c r="J679" i="28"/>
  <c r="J678" i="28"/>
  <c r="K679" i="28"/>
  <c r="K678" i="28"/>
  <c r="B760" i="28"/>
  <c r="B680" i="28"/>
  <c r="J760" i="28"/>
  <c r="J680" i="28"/>
  <c r="K760" i="28"/>
  <c r="K680" i="28"/>
  <c r="J684" i="28"/>
  <c r="J683" i="28"/>
  <c r="B684" i="28"/>
  <c r="B683" i="28"/>
  <c r="K684" i="28"/>
  <c r="K683" i="28"/>
  <c r="J686" i="28"/>
  <c r="J685" i="28"/>
  <c r="K686" i="28"/>
  <c r="K685" i="28"/>
  <c r="B686" i="28"/>
  <c r="B685" i="28"/>
  <c r="J688" i="28"/>
  <c r="J687" i="28"/>
  <c r="B688" i="28"/>
  <c r="B687" i="28"/>
  <c r="K688" i="28"/>
  <c r="K687" i="28"/>
  <c r="J690" i="28"/>
  <c r="J689" i="28"/>
  <c r="K690" i="28"/>
  <c r="K689" i="28"/>
  <c r="B690" i="28"/>
  <c r="B689" i="28"/>
  <c r="J692" i="28"/>
  <c r="J691" i="28"/>
  <c r="B692" i="28"/>
  <c r="B691" i="28"/>
  <c r="K692" i="28"/>
  <c r="K691" i="28"/>
  <c r="J694" i="28"/>
  <c r="J693" i="28"/>
  <c r="K694" i="28"/>
  <c r="K693" i="28"/>
  <c r="B694" i="28"/>
  <c r="B693" i="28"/>
  <c r="J696" i="28"/>
  <c r="J695" i="28"/>
  <c r="K696" i="28"/>
  <c r="K695" i="28"/>
  <c r="B696" i="28"/>
  <c r="B695" i="28"/>
  <c r="J698" i="28"/>
  <c r="J697" i="28"/>
  <c r="B698" i="28"/>
  <c r="B697" i="28"/>
  <c r="K698" i="28"/>
  <c r="K697" i="28"/>
  <c r="B700" i="28"/>
  <c r="B699" i="28"/>
  <c r="J700" i="28"/>
  <c r="J699" i="28"/>
  <c r="K700" i="28"/>
  <c r="K699" i="28"/>
  <c r="J702" i="28"/>
  <c r="J701" i="28"/>
  <c r="K702" i="28"/>
  <c r="K701" i="28"/>
  <c r="B702" i="28"/>
  <c r="B701" i="28"/>
  <c r="B704" i="28"/>
  <c r="B703" i="28"/>
  <c r="J704" i="28"/>
  <c r="J703" i="28"/>
  <c r="K704" i="28"/>
  <c r="K703" i="28"/>
  <c r="K706" i="28"/>
  <c r="K705" i="28"/>
  <c r="J706" i="28"/>
  <c r="J705" i="28"/>
  <c r="B706" i="28"/>
  <c r="B705" i="28"/>
  <c r="B708" i="28"/>
  <c r="B707" i="28"/>
  <c r="J708" i="28"/>
  <c r="J707" i="28"/>
  <c r="K708" i="28"/>
  <c r="K707" i="28"/>
  <c r="K710" i="28"/>
  <c r="K709" i="28"/>
  <c r="B710" i="28"/>
  <c r="B709" i="28"/>
  <c r="J710" i="28"/>
  <c r="J709" i="28"/>
  <c r="J712" i="28"/>
  <c r="J711" i="28"/>
  <c r="K712" i="28"/>
  <c r="K711" i="28"/>
  <c r="B712" i="28"/>
  <c r="B711" i="28"/>
  <c r="B714" i="28"/>
  <c r="B713" i="28"/>
  <c r="J714" i="28"/>
  <c r="J713" i="28"/>
  <c r="K714" i="28"/>
  <c r="K713" i="28"/>
  <c r="K716" i="28"/>
  <c r="K715" i="28"/>
  <c r="B716" i="28"/>
  <c r="B715" i="28"/>
  <c r="J716" i="28"/>
  <c r="J715" i="28"/>
  <c r="B718" i="28"/>
  <c r="B717" i="28"/>
  <c r="J718" i="28"/>
  <c r="J717" i="28"/>
  <c r="K718" i="28"/>
  <c r="K717" i="28"/>
  <c r="K838" i="28"/>
  <c r="K719" i="28"/>
  <c r="B838" i="28"/>
  <c r="B719" i="28"/>
  <c r="J838" i="28"/>
  <c r="J719" i="28"/>
  <c r="K723" i="28"/>
  <c r="K722" i="28"/>
  <c r="B723" i="28"/>
  <c r="B722" i="28"/>
  <c r="J723" i="28"/>
  <c r="J722" i="28"/>
  <c r="J725" i="28"/>
  <c r="J724" i="28"/>
  <c r="K725" i="28"/>
  <c r="K724" i="28"/>
  <c r="B725" i="28"/>
  <c r="B724" i="28"/>
  <c r="B727" i="28"/>
  <c r="B726" i="28"/>
  <c r="J727" i="28"/>
  <c r="J726" i="28"/>
  <c r="K727" i="28"/>
  <c r="K726" i="28"/>
  <c r="B729" i="28"/>
  <c r="B728" i="28"/>
  <c r="J729" i="28"/>
  <c r="J728" i="28"/>
  <c r="K729" i="28"/>
  <c r="K728" i="28"/>
  <c r="K731" i="28"/>
  <c r="K730" i="28"/>
  <c r="B731" i="28"/>
  <c r="B730" i="28"/>
  <c r="J731" i="28"/>
  <c r="J730" i="28"/>
  <c r="K733" i="28"/>
  <c r="K732" i="28"/>
  <c r="J733" i="28"/>
  <c r="J732" i="28"/>
  <c r="B733" i="28"/>
  <c r="B732" i="28"/>
  <c r="B735" i="28"/>
  <c r="B734" i="28"/>
  <c r="J735" i="28"/>
  <c r="J734" i="28"/>
  <c r="K735" i="28"/>
  <c r="K734" i="28"/>
  <c r="B737" i="28"/>
  <c r="B736" i="28"/>
  <c r="K737" i="28"/>
  <c r="K736" i="28"/>
  <c r="J737" i="28"/>
  <c r="J736" i="28"/>
  <c r="K739" i="28"/>
  <c r="K738" i="28"/>
  <c r="B739" i="28"/>
  <c r="B738" i="28"/>
  <c r="J739" i="28"/>
  <c r="J738" i="28"/>
  <c r="J741" i="28"/>
  <c r="J740" i="28"/>
  <c r="B741" i="28"/>
  <c r="B740" i="28"/>
  <c r="K741" i="28"/>
  <c r="K740" i="28"/>
  <c r="J743" i="28"/>
  <c r="J742" i="28"/>
  <c r="K743" i="28"/>
  <c r="K742" i="28"/>
  <c r="B743" i="28"/>
  <c r="B742" i="28"/>
  <c r="B745" i="28"/>
  <c r="B744" i="28"/>
  <c r="J745" i="28"/>
  <c r="J744" i="28"/>
  <c r="K745" i="28"/>
  <c r="K744" i="28"/>
  <c r="B747" i="28"/>
  <c r="B746" i="28"/>
  <c r="J747" i="28"/>
  <c r="J746" i="28"/>
  <c r="K747" i="28"/>
  <c r="K746" i="28"/>
  <c r="B749" i="28"/>
  <c r="B748" i="28"/>
  <c r="J749" i="28"/>
  <c r="J748" i="28"/>
  <c r="K749" i="28"/>
  <c r="K748" i="28"/>
  <c r="J751" i="28"/>
  <c r="J750" i="28"/>
  <c r="B751" i="28"/>
  <c r="B750" i="28"/>
  <c r="K751" i="28"/>
  <c r="K750" i="28"/>
  <c r="K753" i="28"/>
  <c r="K752" i="28"/>
  <c r="B753" i="28"/>
  <c r="B752" i="28"/>
  <c r="J753" i="28"/>
  <c r="J752" i="28"/>
  <c r="J755" i="28"/>
  <c r="J754" i="28"/>
  <c r="B755" i="28"/>
  <c r="B754" i="28"/>
  <c r="K755" i="28"/>
  <c r="K754" i="28"/>
  <c r="K757" i="28"/>
  <c r="K756" i="28"/>
  <c r="J757" i="28"/>
  <c r="J756" i="28"/>
  <c r="B757" i="28"/>
  <c r="B756" i="28"/>
  <c r="B298" i="28"/>
  <c r="B758" i="28"/>
  <c r="J298" i="28"/>
  <c r="J758" i="28"/>
  <c r="K298" i="28"/>
  <c r="K758" i="28"/>
  <c r="B762" i="28"/>
  <c r="B761" i="28"/>
  <c r="K762" i="28"/>
  <c r="K761" i="28"/>
  <c r="J762" i="28"/>
  <c r="J761" i="28"/>
  <c r="B764" i="28"/>
  <c r="B763" i="28"/>
  <c r="K764" i="28"/>
  <c r="K763" i="28"/>
  <c r="J764" i="28"/>
  <c r="J763" i="28"/>
  <c r="J766" i="28"/>
  <c r="J765" i="28"/>
  <c r="K766" i="28"/>
  <c r="K765" i="28"/>
  <c r="B766" i="28"/>
  <c r="B765" i="28"/>
  <c r="B768" i="28"/>
  <c r="B767" i="28"/>
  <c r="K768" i="28"/>
  <c r="K767" i="28"/>
  <c r="J768" i="28"/>
  <c r="J767" i="28"/>
  <c r="B770" i="28"/>
  <c r="B769" i="28"/>
  <c r="J770" i="28"/>
  <c r="J769" i="28"/>
  <c r="K770" i="28"/>
  <c r="K769" i="28"/>
  <c r="J772" i="28"/>
  <c r="J771" i="28"/>
  <c r="K772" i="28"/>
  <c r="K771" i="28"/>
  <c r="B772" i="28"/>
  <c r="B771" i="28"/>
  <c r="B774" i="28"/>
  <c r="B773" i="28"/>
  <c r="J774" i="28"/>
  <c r="J773" i="28"/>
  <c r="K774" i="28"/>
  <c r="K773" i="28"/>
  <c r="K776" i="28"/>
  <c r="K775" i="28"/>
  <c r="B776" i="28"/>
  <c r="B775" i="28"/>
  <c r="J776" i="28"/>
  <c r="J775" i="28"/>
  <c r="B778" i="28"/>
  <c r="B777" i="28"/>
  <c r="K778" i="28"/>
  <c r="K777" i="28"/>
  <c r="J778" i="28"/>
  <c r="J777" i="28"/>
  <c r="B780" i="28"/>
  <c r="B779" i="28"/>
  <c r="J780" i="28"/>
  <c r="J779" i="28"/>
  <c r="K780" i="28"/>
  <c r="K779" i="28"/>
  <c r="J782" i="28"/>
  <c r="J781" i="28"/>
  <c r="B782" i="28"/>
  <c r="B781" i="28"/>
  <c r="K782" i="28"/>
  <c r="K781" i="28"/>
  <c r="B784" i="28"/>
  <c r="B783" i="28"/>
  <c r="K784" i="28"/>
  <c r="K783" i="28"/>
  <c r="J784" i="28"/>
  <c r="J783" i="28"/>
  <c r="K786" i="28"/>
  <c r="K785" i="28"/>
  <c r="B786" i="28"/>
  <c r="B785" i="28"/>
  <c r="J786" i="28"/>
  <c r="J785" i="28"/>
  <c r="B788" i="28"/>
  <c r="B787" i="28"/>
  <c r="J788" i="28"/>
  <c r="J787" i="28"/>
  <c r="K788" i="28"/>
  <c r="K787" i="28"/>
  <c r="K790" i="28"/>
  <c r="K789" i="28"/>
  <c r="J790" i="28"/>
  <c r="J789" i="28"/>
  <c r="B790" i="28"/>
  <c r="B789" i="28"/>
  <c r="B792" i="28"/>
  <c r="B791" i="28"/>
  <c r="J792" i="28"/>
  <c r="J791" i="28"/>
  <c r="K792" i="28"/>
  <c r="K791" i="28"/>
  <c r="J794" i="28"/>
  <c r="J793" i="28"/>
  <c r="B794" i="28"/>
  <c r="B793" i="28"/>
  <c r="K794" i="28"/>
  <c r="K793" i="28"/>
  <c r="J796" i="28"/>
  <c r="J795" i="28"/>
  <c r="B796" i="28"/>
  <c r="B795" i="28"/>
  <c r="K796" i="28"/>
  <c r="K795" i="28"/>
  <c r="B799" i="28"/>
  <c r="B797" i="28"/>
  <c r="K799" i="28"/>
  <c r="K797" i="28"/>
  <c r="J799" i="28"/>
  <c r="J797" i="28"/>
  <c r="B801" i="28"/>
  <c r="B800" i="28"/>
  <c r="K801" i="28"/>
  <c r="K800" i="28"/>
  <c r="J801" i="28"/>
  <c r="J800" i="28"/>
  <c r="B803" i="28"/>
  <c r="B802" i="28"/>
  <c r="K803" i="28"/>
  <c r="K802" i="28"/>
  <c r="J803" i="28"/>
  <c r="J802" i="28"/>
  <c r="J805" i="28"/>
  <c r="J804" i="28"/>
  <c r="B805" i="28"/>
  <c r="B804" i="28"/>
  <c r="K805" i="28"/>
  <c r="K804" i="28"/>
  <c r="J807" i="28"/>
  <c r="J806" i="28"/>
  <c r="K807" i="28"/>
  <c r="K806" i="28"/>
  <c r="B807" i="28"/>
  <c r="B806" i="28"/>
  <c r="B809" i="28"/>
  <c r="B808" i="28"/>
  <c r="K809" i="28"/>
  <c r="K808" i="28"/>
  <c r="J809" i="28"/>
  <c r="J808" i="28"/>
  <c r="J811" i="28"/>
  <c r="J810" i="28"/>
  <c r="B811" i="28"/>
  <c r="B810" i="28"/>
  <c r="K811" i="28"/>
  <c r="K810" i="28"/>
  <c r="K813" i="28"/>
  <c r="K812" i="28"/>
  <c r="B813" i="28"/>
  <c r="B812" i="28"/>
  <c r="J813" i="28"/>
  <c r="J812" i="28"/>
  <c r="J815" i="28"/>
  <c r="J814" i="28"/>
  <c r="K815" i="28"/>
  <c r="K814" i="28"/>
  <c r="B815" i="28"/>
  <c r="B814" i="28"/>
  <c r="B817" i="28"/>
  <c r="B816" i="28"/>
  <c r="K817" i="28"/>
  <c r="K816" i="28"/>
  <c r="J817" i="28"/>
  <c r="J816" i="28"/>
  <c r="J819" i="28"/>
  <c r="J818" i="28"/>
  <c r="B819" i="28"/>
  <c r="B818" i="28"/>
  <c r="K819" i="28"/>
  <c r="K818" i="28"/>
  <c r="J821" i="28"/>
  <c r="J820" i="28"/>
  <c r="B821" i="28"/>
  <c r="B820" i="28"/>
  <c r="K821" i="28"/>
  <c r="K820" i="28"/>
  <c r="J823" i="28"/>
  <c r="J822" i="28"/>
  <c r="B823" i="28"/>
  <c r="B822" i="28"/>
  <c r="K823" i="28"/>
  <c r="K822" i="28"/>
  <c r="B825" i="28"/>
  <c r="B824" i="28"/>
  <c r="K825" i="28"/>
  <c r="K824" i="28"/>
  <c r="J825" i="28"/>
  <c r="J824" i="28"/>
  <c r="K827" i="28"/>
  <c r="K826" i="28"/>
  <c r="J827" i="28"/>
  <c r="J826" i="28"/>
  <c r="B827" i="28"/>
  <c r="B826" i="28"/>
  <c r="B829" i="28"/>
  <c r="B828" i="28"/>
  <c r="K829" i="28"/>
  <c r="K828" i="28"/>
  <c r="J829" i="28"/>
  <c r="J828" i="28"/>
  <c r="B831" i="28"/>
  <c r="B830" i="28"/>
  <c r="K831" i="28"/>
  <c r="K830" i="28"/>
  <c r="J831" i="28"/>
  <c r="J830" i="28"/>
  <c r="J833" i="28"/>
  <c r="J832" i="28"/>
  <c r="B833" i="28"/>
  <c r="B832" i="28"/>
  <c r="K833" i="28"/>
  <c r="K832" i="28"/>
  <c r="B835" i="28"/>
  <c r="B834" i="28"/>
  <c r="J835" i="28"/>
  <c r="J834" i="28"/>
  <c r="K835" i="28"/>
  <c r="K834" i="28"/>
  <c r="K300" i="28"/>
  <c r="K836" i="28"/>
  <c r="B300" i="28"/>
  <c r="B836" i="28"/>
  <c r="J300" i="28"/>
  <c r="J836" i="28"/>
  <c r="B840" i="28"/>
  <c r="B839" i="28"/>
  <c r="J840" i="28"/>
  <c r="J839" i="28"/>
  <c r="K840" i="28"/>
  <c r="K839" i="28"/>
  <c r="K842" i="28"/>
  <c r="K841" i="28"/>
  <c r="B842" i="28"/>
  <c r="B841" i="28"/>
  <c r="J842" i="28"/>
  <c r="J841" i="28"/>
  <c r="B844" i="28"/>
  <c r="B843" i="28"/>
  <c r="J844" i="28"/>
  <c r="J843" i="28"/>
  <c r="K844" i="28"/>
  <c r="K843" i="28"/>
  <c r="K846" i="28"/>
  <c r="K845" i="28"/>
  <c r="B846" i="28"/>
  <c r="B845" i="28"/>
  <c r="J846" i="28"/>
  <c r="J845" i="28"/>
  <c r="B848" i="28"/>
  <c r="B847" i="28"/>
  <c r="K848" i="28"/>
  <c r="K847" i="28"/>
  <c r="J848" i="28"/>
  <c r="J847" i="28"/>
  <c r="J850" i="28"/>
  <c r="J849" i="28"/>
  <c r="B850" i="28"/>
  <c r="B849" i="28"/>
  <c r="K850" i="28"/>
  <c r="K849" i="28"/>
  <c r="B852" i="28"/>
  <c r="B851" i="28"/>
  <c r="J852" i="28"/>
  <c r="J851" i="28"/>
  <c r="K852" i="28"/>
  <c r="K851" i="28"/>
  <c r="B854" i="28"/>
  <c r="B853" i="28"/>
  <c r="J854" i="28"/>
  <c r="J853" i="28"/>
  <c r="K854" i="28"/>
  <c r="K853" i="28"/>
  <c r="J856" i="28"/>
  <c r="J855" i="28"/>
  <c r="K856" i="28"/>
  <c r="K855" i="28"/>
  <c r="B856" i="28"/>
  <c r="B855" i="28"/>
  <c r="J858" i="28"/>
  <c r="J857" i="28"/>
  <c r="K858" i="28"/>
  <c r="K857" i="28"/>
  <c r="B858" i="28"/>
  <c r="B857" i="28"/>
  <c r="K860" i="28"/>
  <c r="K859" i="28"/>
  <c r="B860" i="28"/>
  <c r="B859" i="28"/>
  <c r="J860" i="28"/>
  <c r="J859" i="28"/>
  <c r="J862" i="28"/>
  <c r="J861" i="28"/>
  <c r="K862" i="28"/>
  <c r="K861" i="28"/>
  <c r="B862" i="28"/>
  <c r="B861" i="28"/>
  <c r="B864" i="28"/>
  <c r="B863" i="28"/>
  <c r="K864" i="28"/>
  <c r="K863" i="28"/>
  <c r="J864" i="28"/>
  <c r="J863" i="28"/>
  <c r="K866" i="28"/>
  <c r="K865" i="28"/>
  <c r="B866" i="28"/>
  <c r="B865" i="28"/>
  <c r="J866" i="28"/>
  <c r="J865" i="28"/>
  <c r="B868" i="28"/>
  <c r="B867" i="28"/>
  <c r="J868" i="28"/>
  <c r="J867" i="28"/>
  <c r="K868" i="28"/>
  <c r="K867" i="28"/>
  <c r="J870" i="28"/>
  <c r="J869" i="28"/>
  <c r="K870" i="28"/>
  <c r="K869" i="28"/>
  <c r="B870" i="28"/>
  <c r="B869" i="28"/>
  <c r="B872" i="28"/>
  <c r="B871" i="28"/>
  <c r="J872" i="28"/>
  <c r="J871" i="28"/>
  <c r="K872" i="28"/>
  <c r="K871" i="28"/>
  <c r="J874" i="28"/>
  <c r="J873" i="28"/>
  <c r="B874" i="28"/>
  <c r="B873" i="28"/>
  <c r="K874" i="28"/>
  <c r="K873" i="28"/>
  <c r="J879" i="28"/>
  <c r="J875" i="28"/>
  <c r="K879" i="28"/>
  <c r="K875" i="28"/>
  <c r="B879" i="28"/>
  <c r="B875" i="28"/>
  <c r="B306" i="28"/>
  <c r="B302" i="28"/>
  <c r="K306" i="28"/>
  <c r="K302" i="28"/>
  <c r="J306" i="28"/>
  <c r="J302" i="28"/>
  <c r="J308" i="28"/>
  <c r="J304" i="28"/>
  <c r="K308" i="28"/>
  <c r="K304" i="28"/>
  <c r="B308" i="28"/>
  <c r="B304" i="28"/>
  <c r="B314" i="28"/>
  <c r="B310" i="28"/>
  <c r="K314" i="28"/>
  <c r="K310" i="28"/>
  <c r="J314" i="28"/>
  <c r="J310" i="28"/>
  <c r="B316" i="28"/>
  <c r="B312" i="28"/>
  <c r="J316" i="28"/>
  <c r="J312" i="28"/>
  <c r="K316" i="28"/>
  <c r="K312" i="28"/>
  <c r="B322" i="28"/>
  <c r="B318" i="28"/>
  <c r="J322" i="28"/>
  <c r="J318" i="28"/>
  <c r="K322" i="28"/>
  <c r="K318" i="28"/>
  <c r="J369" i="28"/>
  <c r="J320" i="28"/>
  <c r="B369" i="28"/>
  <c r="B320" i="28"/>
  <c r="K369" i="28"/>
  <c r="K320" i="28"/>
  <c r="B603" i="28"/>
  <c r="B447" i="28"/>
  <c r="J603" i="28"/>
  <c r="J447" i="28"/>
  <c r="K603" i="28"/>
  <c r="K447" i="28"/>
  <c r="B681" i="28"/>
  <c r="B525" i="28"/>
  <c r="J681" i="28"/>
  <c r="J525" i="28"/>
  <c r="K681" i="28"/>
  <c r="K525" i="28"/>
  <c r="B299" i="28"/>
  <c r="B759" i="28"/>
  <c r="J299" i="28"/>
  <c r="J759" i="28"/>
  <c r="K299" i="28"/>
  <c r="K759" i="28"/>
  <c r="J878" i="28"/>
  <c r="J837" i="28"/>
  <c r="K878" i="28"/>
  <c r="K837" i="28"/>
  <c r="B878" i="28"/>
  <c r="B837" i="28"/>
  <c r="B307" i="28"/>
  <c r="B303" i="28"/>
  <c r="J307" i="28"/>
  <c r="J303" i="28"/>
  <c r="K307" i="28"/>
  <c r="K303" i="28"/>
  <c r="B315" i="28"/>
  <c r="B311" i="28"/>
  <c r="J315" i="28"/>
  <c r="J311" i="28"/>
  <c r="K315" i="28"/>
  <c r="K311" i="28"/>
  <c r="B330" i="28"/>
  <c r="B319" i="28"/>
  <c r="J330" i="28"/>
  <c r="J319" i="28"/>
  <c r="K330" i="28"/>
  <c r="K319" i="28"/>
  <c r="K642" i="28"/>
  <c r="K486" i="28"/>
  <c r="J642" i="28"/>
  <c r="J486" i="28"/>
  <c r="B642" i="28"/>
  <c r="B486" i="28"/>
  <c r="B877" i="28"/>
  <c r="B798" i="28"/>
  <c r="J877" i="28"/>
  <c r="J798" i="28"/>
  <c r="K877" i="28"/>
  <c r="K798" i="28"/>
  <c r="J301" i="28"/>
  <c r="J297" i="28"/>
  <c r="B301" i="28"/>
  <c r="B297" i="28"/>
  <c r="K301" i="28"/>
  <c r="K297" i="28"/>
  <c r="B309" i="28"/>
  <c r="B305" i="28"/>
  <c r="K309" i="28"/>
  <c r="K305" i="28"/>
  <c r="J309" i="28"/>
  <c r="J305" i="28"/>
  <c r="J317" i="28"/>
  <c r="J313" i="28"/>
  <c r="B317" i="28"/>
  <c r="B313" i="28"/>
  <c r="K317" i="28"/>
  <c r="K313" i="28"/>
  <c r="J408" i="28"/>
  <c r="J321" i="28"/>
  <c r="B408" i="28"/>
  <c r="B321" i="28"/>
  <c r="K408" i="28"/>
  <c r="K321" i="28"/>
  <c r="B720" i="28"/>
  <c r="B564" i="28"/>
  <c r="J720" i="28"/>
  <c r="J564" i="28"/>
  <c r="K720" i="28"/>
  <c r="K564" i="28"/>
  <c r="B876" i="28"/>
  <c r="K876" i="28"/>
  <c r="J876" i="28"/>
  <c r="Q924" i="28"/>
  <c r="C930" i="28"/>
  <c r="D930" i="28"/>
  <c r="T910" i="28"/>
  <c r="D934" i="28"/>
  <c r="T909" i="28"/>
  <c r="D932" i="28"/>
  <c r="T914" i="28"/>
  <c r="D936" i="28"/>
  <c r="C932" i="28"/>
  <c r="U911" i="28"/>
  <c r="U910" i="28"/>
  <c r="C934" i="28"/>
  <c r="U914" i="28"/>
  <c r="U908" i="28"/>
  <c r="U916" i="28"/>
  <c r="U912" i="28"/>
  <c r="T916" i="28"/>
  <c r="U915" i="28"/>
  <c r="T915" i="28"/>
  <c r="U913" i="28"/>
  <c r="U909" i="28"/>
  <c r="T913" i="28"/>
  <c r="T908" i="28"/>
  <c r="O289" i="28"/>
  <c r="J279" i="28"/>
  <c r="K279" i="28" s="1"/>
  <c r="J230" i="28"/>
  <c r="K230" i="28" s="1"/>
  <c r="J277" i="28"/>
  <c r="K277" i="28" s="1"/>
  <c r="J274" i="28"/>
  <c r="K274" i="28" s="1"/>
  <c r="J281" i="28"/>
  <c r="K281" i="28" s="1"/>
  <c r="J278" i="28"/>
  <c r="K278" i="28" s="1"/>
  <c r="J280" i="28"/>
  <c r="K280" i="28" s="1"/>
  <c r="J275" i="28"/>
  <c r="K275" i="28" s="1"/>
  <c r="J276" i="28"/>
  <c r="K276" i="28" s="1"/>
  <c r="T924" i="28" l="1"/>
  <c r="U924" i="28"/>
  <c r="D928" i="28"/>
  <c r="C928" i="28"/>
  <c r="D929" i="28"/>
  <c r="C929" i="28"/>
  <c r="K289" i="28"/>
  <c r="P289" i="28" l="1"/>
  <c r="M289" i="28"/>
  <c r="E891" i="28" l="1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890" i="28"/>
  <c r="B891" i="28"/>
  <c r="B892" i="28"/>
  <c r="B893" i="28"/>
  <c r="B894" i="28"/>
  <c r="B895" i="28"/>
  <c r="B896" i="28"/>
  <c r="B897" i="28"/>
  <c r="B898" i="28"/>
  <c r="B899" i="28"/>
  <c r="B900" i="28"/>
  <c r="B901" i="28"/>
  <c r="B902" i="28"/>
  <c r="B903" i="28"/>
  <c r="B904" i="28"/>
  <c r="B890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168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16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B224" i="28"/>
  <c r="B225" i="28"/>
  <c r="B222" i="28"/>
  <c r="B223" i="28"/>
  <c r="B212" i="28"/>
  <c r="B213" i="28"/>
  <c r="B214" i="28"/>
  <c r="B215" i="28"/>
  <c r="B216" i="28"/>
  <c r="B217" i="28"/>
  <c r="B218" i="28"/>
  <c r="B219" i="28"/>
  <c r="B220" i="28"/>
  <c r="B221" i="28"/>
  <c r="B16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C103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43" i="28"/>
  <c r="D87" i="28"/>
  <c r="D88" i="28"/>
  <c r="I409" i="28" s="1"/>
  <c r="D89" i="28"/>
  <c r="D90" i="28"/>
  <c r="I370" i="28" s="1"/>
  <c r="D91" i="28"/>
  <c r="I880" i="28" s="1"/>
  <c r="D92" i="28"/>
  <c r="I881" i="28" s="1"/>
  <c r="D93" i="28"/>
  <c r="I882" i="28" s="1"/>
  <c r="D94" i="28"/>
  <c r="I883" i="28" s="1"/>
  <c r="D95" i="28"/>
  <c r="D96" i="28"/>
  <c r="D97" i="28"/>
  <c r="D98" i="28"/>
  <c r="D99" i="28"/>
  <c r="D100" i="28"/>
  <c r="D43" i="28"/>
  <c r="I293" i="28" s="1"/>
  <c r="H876" i="28"/>
  <c r="C88" i="28"/>
  <c r="H409" i="28" s="1"/>
  <c r="C89" i="28"/>
  <c r="C90" i="28"/>
  <c r="H370" i="28" s="1"/>
  <c r="C91" i="28"/>
  <c r="H880" i="28" s="1"/>
  <c r="C92" i="28"/>
  <c r="H881" i="28" s="1"/>
  <c r="C93" i="28"/>
  <c r="C94" i="28"/>
  <c r="C95" i="28"/>
  <c r="C96" i="28"/>
  <c r="C97" i="28"/>
  <c r="C98" i="28"/>
  <c r="C99" i="28"/>
  <c r="C100" i="28"/>
  <c r="C43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F17" i="28"/>
  <c r="G17" i="28" s="1"/>
  <c r="F26" i="28"/>
  <c r="F30" i="28"/>
  <c r="F33" i="28"/>
  <c r="F14" i="28"/>
  <c r="F10" i="28" s="1"/>
  <c r="I324" i="28" l="1"/>
  <c r="I323" i="28"/>
  <c r="H324" i="28"/>
  <c r="H323" i="28"/>
  <c r="I327" i="28"/>
  <c r="I325" i="28"/>
  <c r="I326" i="28"/>
  <c r="H327" i="28"/>
  <c r="H326" i="28"/>
  <c r="H325" i="28"/>
  <c r="I331" i="28"/>
  <c r="I329" i="28"/>
  <c r="I328" i="28"/>
  <c r="H331" i="28"/>
  <c r="H329" i="28"/>
  <c r="H328" i="28"/>
  <c r="I334" i="28"/>
  <c r="I333" i="28"/>
  <c r="I332" i="28"/>
  <c r="H334" i="28"/>
  <c r="H333" i="28"/>
  <c r="H332" i="28"/>
  <c r="I337" i="28"/>
  <c r="I335" i="28"/>
  <c r="I336" i="28"/>
  <c r="H337" i="28"/>
  <c r="H336" i="28"/>
  <c r="H335" i="28"/>
  <c r="I340" i="28"/>
  <c r="I339" i="28"/>
  <c r="I338" i="28"/>
  <c r="H340" i="28"/>
  <c r="H339" i="28"/>
  <c r="H338" i="28"/>
  <c r="I342" i="28"/>
  <c r="I341" i="28"/>
  <c r="H342" i="28"/>
  <c r="H341" i="28"/>
  <c r="I345" i="28"/>
  <c r="I344" i="28"/>
  <c r="I343" i="28"/>
  <c r="H345" i="28"/>
  <c r="H344" i="28"/>
  <c r="H343" i="28"/>
  <c r="I348" i="28"/>
  <c r="I346" i="28"/>
  <c r="I347" i="28"/>
  <c r="H348" i="28"/>
  <c r="H347" i="28"/>
  <c r="H346" i="28"/>
  <c r="I351" i="28"/>
  <c r="I350" i="28"/>
  <c r="I349" i="28"/>
  <c r="H351" i="28"/>
  <c r="H350" i="28"/>
  <c r="H349" i="28"/>
  <c r="I354" i="28"/>
  <c r="I353" i="28"/>
  <c r="I352" i="28"/>
  <c r="H354" i="28"/>
  <c r="H353" i="28"/>
  <c r="H352" i="28"/>
  <c r="I357" i="28"/>
  <c r="I356" i="28"/>
  <c r="I355" i="28"/>
  <c r="H357" i="28"/>
  <c r="H356" i="28"/>
  <c r="H355" i="28"/>
  <c r="I360" i="28"/>
  <c r="I359" i="28"/>
  <c r="I358" i="28"/>
  <c r="H360" i="28"/>
  <c r="H359" i="28"/>
  <c r="H358" i="28"/>
  <c r="I363" i="28"/>
  <c r="I361" i="28"/>
  <c r="I362" i="28"/>
  <c r="H363" i="28"/>
  <c r="H362" i="28"/>
  <c r="H361" i="28"/>
  <c r="I366" i="28"/>
  <c r="I364" i="28"/>
  <c r="I365" i="28"/>
  <c r="H366" i="28"/>
  <c r="H365" i="28"/>
  <c r="H364" i="28"/>
  <c r="I448" i="28"/>
  <c r="I367" i="28"/>
  <c r="I368" i="28"/>
  <c r="H448" i="28"/>
  <c r="H368" i="28"/>
  <c r="H367" i="28"/>
  <c r="I373" i="28"/>
  <c r="I372" i="28"/>
  <c r="I371" i="28"/>
  <c r="H373" i="28"/>
  <c r="H372" i="28"/>
  <c r="H371" i="28"/>
  <c r="I375" i="28"/>
  <c r="I374" i="28"/>
  <c r="H375" i="28"/>
  <c r="H374" i="28"/>
  <c r="I378" i="28"/>
  <c r="I376" i="28"/>
  <c r="I377" i="28"/>
  <c r="H378" i="28"/>
  <c r="H377" i="28"/>
  <c r="H376" i="28"/>
  <c r="I381" i="28"/>
  <c r="I379" i="28"/>
  <c r="I380" i="28"/>
  <c r="H381" i="28"/>
  <c r="H380" i="28"/>
  <c r="H379" i="28"/>
  <c r="H385" i="28"/>
  <c r="H383" i="28"/>
  <c r="H382" i="28"/>
  <c r="H384" i="28"/>
  <c r="I385" i="28"/>
  <c r="I383" i="28"/>
  <c r="I382" i="28"/>
  <c r="I384" i="28"/>
  <c r="I388" i="28"/>
  <c r="I386" i="28"/>
  <c r="I387" i="28"/>
  <c r="H388" i="28"/>
  <c r="H387" i="28"/>
  <c r="H386" i="28"/>
  <c r="I391" i="28"/>
  <c r="I389" i="28"/>
  <c r="I390" i="28"/>
  <c r="H391" i="28"/>
  <c r="H390" i="28"/>
  <c r="H389" i="28"/>
  <c r="I393" i="28"/>
  <c r="I392" i="28"/>
  <c r="H393" i="28"/>
  <c r="H392" i="28"/>
  <c r="I396" i="28"/>
  <c r="I395" i="28"/>
  <c r="I394" i="28"/>
  <c r="H396" i="28"/>
  <c r="H395" i="28"/>
  <c r="H394" i="28"/>
  <c r="I399" i="28"/>
  <c r="I397" i="28"/>
  <c r="I398" i="28"/>
  <c r="H399" i="28"/>
  <c r="H398" i="28"/>
  <c r="H397" i="28"/>
  <c r="I402" i="28"/>
  <c r="I400" i="28"/>
  <c r="I401" i="28"/>
  <c r="H402" i="28"/>
  <c r="H401" i="28"/>
  <c r="H400" i="28"/>
  <c r="I405" i="28"/>
  <c r="I403" i="28"/>
  <c r="I404" i="28"/>
  <c r="H405" i="28"/>
  <c r="H404" i="28"/>
  <c r="H403" i="28"/>
  <c r="H407" i="28"/>
  <c r="H406" i="28"/>
  <c r="I406" i="28"/>
  <c r="I407" i="28"/>
  <c r="I412" i="28"/>
  <c r="I411" i="28"/>
  <c r="I410" i="28"/>
  <c r="H412" i="28"/>
  <c r="H411" i="28"/>
  <c r="H410" i="28"/>
  <c r="H415" i="28"/>
  <c r="H414" i="28"/>
  <c r="H413" i="28"/>
  <c r="I415" i="28"/>
  <c r="I413" i="28"/>
  <c r="I414" i="28"/>
  <c r="H418" i="28"/>
  <c r="H417" i="28"/>
  <c r="H416" i="28"/>
  <c r="I418" i="28"/>
  <c r="I417" i="28"/>
  <c r="I416" i="28"/>
  <c r="H421" i="28"/>
  <c r="H420" i="28"/>
  <c r="H419" i="28"/>
  <c r="I421" i="28"/>
  <c r="I419" i="28"/>
  <c r="I420" i="28"/>
  <c r="I424" i="28"/>
  <c r="I422" i="28"/>
  <c r="I423" i="28"/>
  <c r="H424" i="28"/>
  <c r="H423" i="28"/>
  <c r="H422" i="28"/>
  <c r="H427" i="28"/>
  <c r="H426" i="28"/>
  <c r="H425" i="28"/>
  <c r="I427" i="28"/>
  <c r="I425" i="28"/>
  <c r="I426" i="28"/>
  <c r="I429" i="28"/>
  <c r="I428" i="28"/>
  <c r="H429" i="28"/>
  <c r="H428" i="28"/>
  <c r="I432" i="28"/>
  <c r="I430" i="28"/>
  <c r="I431" i="28"/>
  <c r="H432" i="28"/>
  <c r="H431" i="28"/>
  <c r="H430" i="28"/>
  <c r="H435" i="28"/>
  <c r="H434" i="28"/>
  <c r="H433" i="28"/>
  <c r="I435" i="28"/>
  <c r="I433" i="28"/>
  <c r="I434" i="28"/>
  <c r="H438" i="28"/>
  <c r="H437" i="28"/>
  <c r="H436" i="28"/>
  <c r="I438" i="28"/>
  <c r="I437" i="28"/>
  <c r="I436" i="28"/>
  <c r="H441" i="28"/>
  <c r="H440" i="28"/>
  <c r="H439" i="28"/>
  <c r="I441" i="28"/>
  <c r="I440" i="28"/>
  <c r="I439" i="28"/>
  <c r="I444" i="28"/>
  <c r="I443" i="28"/>
  <c r="I442" i="28"/>
  <c r="H444" i="28"/>
  <c r="H443" i="28"/>
  <c r="H442" i="28"/>
  <c r="H446" i="28"/>
  <c r="H445" i="28"/>
  <c r="I565" i="28"/>
  <c r="I445" i="28"/>
  <c r="I446" i="28"/>
  <c r="I451" i="28"/>
  <c r="I450" i="28"/>
  <c r="I449" i="28"/>
  <c r="H451" i="28"/>
  <c r="H450" i="28"/>
  <c r="H449" i="28"/>
  <c r="I454" i="28"/>
  <c r="I452" i="28"/>
  <c r="I453" i="28"/>
  <c r="H454" i="28"/>
  <c r="H453" i="28"/>
  <c r="H452" i="28"/>
  <c r="I457" i="28"/>
  <c r="I456" i="28"/>
  <c r="I455" i="28"/>
  <c r="H457" i="28"/>
  <c r="H456" i="28"/>
  <c r="H455" i="28"/>
  <c r="I460" i="28"/>
  <c r="I459" i="28"/>
  <c r="I458" i="28"/>
  <c r="H460" i="28"/>
  <c r="H459" i="28"/>
  <c r="H458" i="28"/>
  <c r="I463" i="28"/>
  <c r="I462" i="28"/>
  <c r="I461" i="28"/>
  <c r="H463" i="28"/>
  <c r="H462" i="28"/>
  <c r="H461" i="28"/>
  <c r="I466" i="28"/>
  <c r="I464" i="28"/>
  <c r="I465" i="28"/>
  <c r="H466" i="28"/>
  <c r="H465" i="28"/>
  <c r="H464" i="28"/>
  <c r="I469" i="28"/>
  <c r="I467" i="28"/>
  <c r="I468" i="28"/>
  <c r="H469" i="28"/>
  <c r="H468" i="28"/>
  <c r="H467" i="28"/>
  <c r="I472" i="28"/>
  <c r="I470" i="28"/>
  <c r="I471" i="28"/>
  <c r="H472" i="28"/>
  <c r="H471" i="28"/>
  <c r="H470" i="28"/>
  <c r="I475" i="28"/>
  <c r="I474" i="28"/>
  <c r="I473" i="28"/>
  <c r="H475" i="28"/>
  <c r="H474" i="28"/>
  <c r="H473" i="28"/>
  <c r="I478" i="28"/>
  <c r="I477" i="28"/>
  <c r="I476" i="28"/>
  <c r="H478" i="28"/>
  <c r="H477" i="28"/>
  <c r="H476" i="28"/>
  <c r="I480" i="28"/>
  <c r="I479" i="28"/>
  <c r="H480" i="28"/>
  <c r="H479" i="28"/>
  <c r="I483" i="28"/>
  <c r="I481" i="28"/>
  <c r="I482" i="28"/>
  <c r="H483" i="28"/>
  <c r="H482" i="28"/>
  <c r="H481" i="28"/>
  <c r="I487" i="28"/>
  <c r="I484" i="28"/>
  <c r="I485" i="28"/>
  <c r="H487" i="28"/>
  <c r="H485" i="28"/>
  <c r="H484" i="28"/>
  <c r="I488" i="28"/>
  <c r="I489" i="28"/>
  <c r="H489" i="28"/>
  <c r="H488" i="28"/>
  <c r="I491" i="28"/>
  <c r="I490" i="28"/>
  <c r="H491" i="28"/>
  <c r="H490" i="28"/>
  <c r="H493" i="28"/>
  <c r="H492" i="28"/>
  <c r="I493" i="28"/>
  <c r="I492" i="28"/>
  <c r="I495" i="28"/>
  <c r="I494" i="28"/>
  <c r="H495" i="28"/>
  <c r="H494" i="28"/>
  <c r="I498" i="28"/>
  <c r="I496" i="28"/>
  <c r="I497" i="28"/>
  <c r="H498" i="28"/>
  <c r="H497" i="28"/>
  <c r="H496" i="28"/>
  <c r="I501" i="28"/>
  <c r="I500" i="28"/>
  <c r="I499" i="28"/>
  <c r="H501" i="28"/>
  <c r="H500" i="28"/>
  <c r="H499" i="28"/>
  <c r="I504" i="28"/>
  <c r="I503" i="28"/>
  <c r="I502" i="28"/>
  <c r="H504" i="28"/>
  <c r="H503" i="28"/>
  <c r="H502" i="28"/>
  <c r="I507" i="28"/>
  <c r="I505" i="28"/>
  <c r="I506" i="28"/>
  <c r="H507" i="28"/>
  <c r="H506" i="28"/>
  <c r="H505" i="28"/>
  <c r="I510" i="28"/>
  <c r="I509" i="28"/>
  <c r="I508" i="28"/>
  <c r="H510" i="28"/>
  <c r="H509" i="28"/>
  <c r="H508" i="28"/>
  <c r="I512" i="28"/>
  <c r="I511" i="28"/>
  <c r="H512" i="28"/>
  <c r="H511" i="28"/>
  <c r="I515" i="28"/>
  <c r="I514" i="28"/>
  <c r="I513" i="28"/>
  <c r="H515" i="28"/>
  <c r="H514" i="28"/>
  <c r="H513" i="28"/>
  <c r="I517" i="28"/>
  <c r="I516" i="28"/>
  <c r="H517" i="28"/>
  <c r="H516" i="28"/>
  <c r="I520" i="28"/>
  <c r="I518" i="28"/>
  <c r="I519" i="28"/>
  <c r="H520" i="28"/>
  <c r="H519" i="28"/>
  <c r="H518" i="28"/>
  <c r="I523" i="28"/>
  <c r="I521" i="28"/>
  <c r="I522" i="28"/>
  <c r="H522" i="28"/>
  <c r="H521" i="28"/>
  <c r="H524" i="28"/>
  <c r="H523" i="28"/>
  <c r="I527" i="28"/>
  <c r="I526" i="28"/>
  <c r="I604" i="28"/>
  <c r="I524" i="28"/>
  <c r="H527" i="28"/>
  <c r="H526" i="28"/>
  <c r="I530" i="28"/>
  <c r="I529" i="28"/>
  <c r="I528" i="28"/>
  <c r="H530" i="28"/>
  <c r="H529" i="28"/>
  <c r="H528" i="28"/>
  <c r="I532" i="28"/>
  <c r="I531" i="28"/>
  <c r="H533" i="28"/>
  <c r="H532" i="28"/>
  <c r="H531" i="28"/>
  <c r="I534" i="28"/>
  <c r="I533" i="28"/>
  <c r="H535" i="28"/>
  <c r="H534" i="28"/>
  <c r="I536" i="28"/>
  <c r="I535" i="28"/>
  <c r="H537" i="28"/>
  <c r="H536" i="28"/>
  <c r="I538" i="28"/>
  <c r="I537" i="28"/>
  <c r="H539" i="28"/>
  <c r="H538" i="28"/>
  <c r="I540" i="28"/>
  <c r="I539" i="28"/>
  <c r="H541" i="28"/>
  <c r="H540" i="28"/>
  <c r="I542" i="28"/>
  <c r="I541" i="28"/>
  <c r="H543" i="28"/>
  <c r="H542" i="28"/>
  <c r="I544" i="28"/>
  <c r="I543" i="28"/>
  <c r="H545" i="28"/>
  <c r="H544" i="28"/>
  <c r="I546" i="28"/>
  <c r="I545" i="28"/>
  <c r="H547" i="28"/>
  <c r="H546" i="28"/>
  <c r="I548" i="28"/>
  <c r="I547" i="28"/>
  <c r="H549" i="28"/>
  <c r="H548" i="28"/>
  <c r="I550" i="28"/>
  <c r="I549" i="28"/>
  <c r="H551" i="28"/>
  <c r="H550" i="28"/>
  <c r="I552" i="28"/>
  <c r="I551" i="28"/>
  <c r="H553" i="28"/>
  <c r="H552" i="28"/>
  <c r="I554" i="28"/>
  <c r="I553" i="28"/>
  <c r="H555" i="28"/>
  <c r="H554" i="28"/>
  <c r="I556" i="28"/>
  <c r="I555" i="28"/>
  <c r="H557" i="28"/>
  <c r="H556" i="28"/>
  <c r="I558" i="28"/>
  <c r="I557" i="28"/>
  <c r="H559" i="28"/>
  <c r="H558" i="28"/>
  <c r="I560" i="28"/>
  <c r="I559" i="28"/>
  <c r="H561" i="28"/>
  <c r="H560" i="28"/>
  <c r="I562" i="28"/>
  <c r="I561" i="28"/>
  <c r="H563" i="28"/>
  <c r="H562" i="28"/>
  <c r="I682" i="28"/>
  <c r="I563" i="28"/>
  <c r="H566" i="28"/>
  <c r="H565" i="28"/>
  <c r="I567" i="28"/>
  <c r="I566" i="28"/>
  <c r="H568" i="28"/>
  <c r="H567" i="28"/>
  <c r="I569" i="28"/>
  <c r="I568" i="28"/>
  <c r="H570" i="28"/>
  <c r="H569" i="28"/>
  <c r="I571" i="28"/>
  <c r="I570" i="28"/>
  <c r="H572" i="28"/>
  <c r="H571" i="28"/>
  <c r="I573" i="28"/>
  <c r="I572" i="28"/>
  <c r="H574" i="28"/>
  <c r="H573" i="28"/>
  <c r="I575" i="28"/>
  <c r="I574" i="28"/>
  <c r="H576" i="28"/>
  <c r="H575" i="28"/>
  <c r="I577" i="28"/>
  <c r="I576" i="28"/>
  <c r="H578" i="28"/>
  <c r="H577" i="28"/>
  <c r="I579" i="28"/>
  <c r="I578" i="28"/>
  <c r="H580" i="28"/>
  <c r="H579" i="28"/>
  <c r="I581" i="28"/>
  <c r="I580" i="28"/>
  <c r="H582" i="28"/>
  <c r="H581" i="28"/>
  <c r="I583" i="28"/>
  <c r="I582" i="28"/>
  <c r="H584" i="28"/>
  <c r="H583" i="28"/>
  <c r="I585" i="28"/>
  <c r="I584" i="28"/>
  <c r="H586" i="28"/>
  <c r="H585" i="28"/>
  <c r="I587" i="28"/>
  <c r="I586" i="28"/>
  <c r="H588" i="28"/>
  <c r="H587" i="28"/>
  <c r="I589" i="28"/>
  <c r="I588" i="28"/>
  <c r="H590" i="28"/>
  <c r="H589" i="28"/>
  <c r="I591" i="28"/>
  <c r="I590" i="28"/>
  <c r="H592" i="28"/>
  <c r="H591" i="28"/>
  <c r="I593" i="28"/>
  <c r="I592" i="28"/>
  <c r="H594" i="28"/>
  <c r="H593" i="28"/>
  <c r="I595" i="28"/>
  <c r="I594" i="28"/>
  <c r="H596" i="28"/>
  <c r="H595" i="28"/>
  <c r="I597" i="28"/>
  <c r="I596" i="28"/>
  <c r="H598" i="28"/>
  <c r="H597" i="28"/>
  <c r="I599" i="28"/>
  <c r="I598" i="28"/>
  <c r="H600" i="28"/>
  <c r="H599" i="28"/>
  <c r="I601" i="28"/>
  <c r="I600" i="28"/>
  <c r="H602" i="28"/>
  <c r="H601" i="28"/>
  <c r="I721" i="28"/>
  <c r="I602" i="28"/>
  <c r="H605" i="28"/>
  <c r="H604" i="28"/>
  <c r="I606" i="28"/>
  <c r="I605" i="28"/>
  <c r="H607" i="28"/>
  <c r="H606" i="28"/>
  <c r="I608" i="28"/>
  <c r="I607" i="28"/>
  <c r="H609" i="28"/>
  <c r="H608" i="28"/>
  <c r="I610" i="28"/>
  <c r="I609" i="28"/>
  <c r="H611" i="28"/>
  <c r="H610" i="28"/>
  <c r="I612" i="28"/>
  <c r="I611" i="28"/>
  <c r="H613" i="28"/>
  <c r="H612" i="28"/>
  <c r="I614" i="28"/>
  <c r="I613" i="28"/>
  <c r="H615" i="28"/>
  <c r="H614" i="28"/>
  <c r="I616" i="28"/>
  <c r="I615" i="28"/>
  <c r="H617" i="28"/>
  <c r="H616" i="28"/>
  <c r="I618" i="28"/>
  <c r="I617" i="28"/>
  <c r="H619" i="28"/>
  <c r="H618" i="28"/>
  <c r="I620" i="28"/>
  <c r="I619" i="28"/>
  <c r="H621" i="28"/>
  <c r="H620" i="28"/>
  <c r="I622" i="28"/>
  <c r="I621" i="28"/>
  <c r="H623" i="28"/>
  <c r="H622" i="28"/>
  <c r="I624" i="28"/>
  <c r="I623" i="28"/>
  <c r="H625" i="28"/>
  <c r="H624" i="28"/>
  <c r="I626" i="28"/>
  <c r="I625" i="28"/>
  <c r="H627" i="28"/>
  <c r="H626" i="28"/>
  <c r="I628" i="28"/>
  <c r="I627" i="28"/>
  <c r="H629" i="28"/>
  <c r="H628" i="28"/>
  <c r="I630" i="28"/>
  <c r="I629" i="28"/>
  <c r="H631" i="28"/>
  <c r="H630" i="28"/>
  <c r="I632" i="28"/>
  <c r="I631" i="28"/>
  <c r="H633" i="28"/>
  <c r="H632" i="28"/>
  <c r="I634" i="28"/>
  <c r="I633" i="28"/>
  <c r="H635" i="28"/>
  <c r="H634" i="28"/>
  <c r="I636" i="28"/>
  <c r="I635" i="28"/>
  <c r="H637" i="28"/>
  <c r="H636" i="28"/>
  <c r="I638" i="28"/>
  <c r="I637" i="28"/>
  <c r="H639" i="28"/>
  <c r="H638" i="28"/>
  <c r="I640" i="28"/>
  <c r="I639" i="28"/>
  <c r="H641" i="28"/>
  <c r="H640" i="28"/>
  <c r="I643" i="28"/>
  <c r="I641" i="28"/>
  <c r="H644" i="28"/>
  <c r="H643" i="28"/>
  <c r="I645" i="28"/>
  <c r="I644" i="28"/>
  <c r="H646" i="28"/>
  <c r="H645" i="28"/>
  <c r="I647" i="28"/>
  <c r="I646" i="28"/>
  <c r="H648" i="28"/>
  <c r="H647" i="28"/>
  <c r="I649" i="28"/>
  <c r="I648" i="28"/>
  <c r="H650" i="28"/>
  <c r="H649" i="28"/>
  <c r="I651" i="28"/>
  <c r="I650" i="28"/>
  <c r="H652" i="28"/>
  <c r="H651" i="28"/>
  <c r="I653" i="28"/>
  <c r="I652" i="28"/>
  <c r="H654" i="28"/>
  <c r="H653" i="28"/>
  <c r="I655" i="28"/>
  <c r="I654" i="28"/>
  <c r="H656" i="28"/>
  <c r="H655" i="28"/>
  <c r="I657" i="28"/>
  <c r="I656" i="28"/>
  <c r="H658" i="28"/>
  <c r="H657" i="28"/>
  <c r="I659" i="28"/>
  <c r="I658" i="28"/>
  <c r="H660" i="28"/>
  <c r="H659" i="28"/>
  <c r="I661" i="28"/>
  <c r="I660" i="28"/>
  <c r="H662" i="28"/>
  <c r="H661" i="28"/>
  <c r="I663" i="28"/>
  <c r="I662" i="28"/>
  <c r="H664" i="28"/>
  <c r="H663" i="28"/>
  <c r="I665" i="28"/>
  <c r="I664" i="28"/>
  <c r="H666" i="28"/>
  <c r="H665" i="28"/>
  <c r="I667" i="28"/>
  <c r="I666" i="28"/>
  <c r="H668" i="28"/>
  <c r="H667" i="28"/>
  <c r="I669" i="28"/>
  <c r="I668" i="28"/>
  <c r="H670" i="28"/>
  <c r="H669" i="28"/>
  <c r="I671" i="28"/>
  <c r="I670" i="28"/>
  <c r="H672" i="28"/>
  <c r="H671" i="28"/>
  <c r="I673" i="28"/>
  <c r="I672" i="28"/>
  <c r="H674" i="28"/>
  <c r="H673" i="28"/>
  <c r="I675" i="28"/>
  <c r="I674" i="28"/>
  <c r="H676" i="28"/>
  <c r="H675" i="28"/>
  <c r="I677" i="28"/>
  <c r="I676" i="28"/>
  <c r="H678" i="28"/>
  <c r="H677" i="28"/>
  <c r="I679" i="28"/>
  <c r="I678" i="28"/>
  <c r="H680" i="28"/>
  <c r="H679" i="28"/>
  <c r="I760" i="28"/>
  <c r="I680" i="28"/>
  <c r="H683" i="28"/>
  <c r="H682" i="28"/>
  <c r="I684" i="28"/>
  <c r="I683" i="28"/>
  <c r="H685" i="28"/>
  <c r="H684" i="28"/>
  <c r="I686" i="28"/>
  <c r="I685" i="28"/>
  <c r="H687" i="28"/>
  <c r="H686" i="28"/>
  <c r="I688" i="28"/>
  <c r="I687" i="28"/>
  <c r="H689" i="28"/>
  <c r="H688" i="28"/>
  <c r="I690" i="28"/>
  <c r="I689" i="28"/>
  <c r="H691" i="28"/>
  <c r="H690" i="28"/>
  <c r="I692" i="28"/>
  <c r="I691" i="28"/>
  <c r="H693" i="28"/>
  <c r="H692" i="28"/>
  <c r="I694" i="28"/>
  <c r="I693" i="28"/>
  <c r="H695" i="28"/>
  <c r="H694" i="28"/>
  <c r="I696" i="28"/>
  <c r="I695" i="28"/>
  <c r="H697" i="28"/>
  <c r="H696" i="28"/>
  <c r="I698" i="28"/>
  <c r="I697" i="28"/>
  <c r="H699" i="28"/>
  <c r="H698" i="28"/>
  <c r="I700" i="28"/>
  <c r="I699" i="28"/>
  <c r="H701" i="28"/>
  <c r="H700" i="28"/>
  <c r="I702" i="28"/>
  <c r="I701" i="28"/>
  <c r="H703" i="28"/>
  <c r="H702" i="28"/>
  <c r="I704" i="28"/>
  <c r="I703" i="28"/>
  <c r="H705" i="28"/>
  <c r="H704" i="28"/>
  <c r="I706" i="28"/>
  <c r="I705" i="28"/>
  <c r="H707" i="28"/>
  <c r="H706" i="28"/>
  <c r="I708" i="28"/>
  <c r="I707" i="28"/>
  <c r="H709" i="28"/>
  <c r="H708" i="28"/>
  <c r="I710" i="28"/>
  <c r="I709" i="28"/>
  <c r="H711" i="28"/>
  <c r="H710" i="28"/>
  <c r="I712" i="28"/>
  <c r="I711" i="28"/>
  <c r="H713" i="28"/>
  <c r="H712" i="28"/>
  <c r="I714" i="28"/>
  <c r="I713" i="28"/>
  <c r="H715" i="28"/>
  <c r="H714" i="28"/>
  <c r="I716" i="28"/>
  <c r="I715" i="28"/>
  <c r="H717" i="28"/>
  <c r="H716" i="28"/>
  <c r="I718" i="28"/>
  <c r="I717" i="28"/>
  <c r="H719" i="28"/>
  <c r="H718" i="28"/>
  <c r="I838" i="28"/>
  <c r="I719" i="28"/>
  <c r="H722" i="28"/>
  <c r="H721" i="28"/>
  <c r="I723" i="28"/>
  <c r="I722" i="28"/>
  <c r="H724" i="28"/>
  <c r="H723" i="28"/>
  <c r="I725" i="28"/>
  <c r="I724" i="28"/>
  <c r="H726" i="28"/>
  <c r="H725" i="28"/>
  <c r="I727" i="28"/>
  <c r="I726" i="28"/>
  <c r="H728" i="28"/>
  <c r="H727" i="28"/>
  <c r="I729" i="28"/>
  <c r="I728" i="28"/>
  <c r="H730" i="28"/>
  <c r="H729" i="28"/>
  <c r="I731" i="28"/>
  <c r="I730" i="28"/>
  <c r="H732" i="28"/>
  <c r="H731" i="28"/>
  <c r="I733" i="28"/>
  <c r="I732" i="28"/>
  <c r="H734" i="28"/>
  <c r="H733" i="28"/>
  <c r="I735" i="28"/>
  <c r="I734" i="28"/>
  <c r="H736" i="28"/>
  <c r="H735" i="28"/>
  <c r="I737" i="28"/>
  <c r="I736" i="28"/>
  <c r="H738" i="28"/>
  <c r="H737" i="28"/>
  <c r="I739" i="28"/>
  <c r="I738" i="28"/>
  <c r="H740" i="28"/>
  <c r="H739" i="28"/>
  <c r="I741" i="28"/>
  <c r="I740" i="28"/>
  <c r="H742" i="28"/>
  <c r="H741" i="28"/>
  <c r="I743" i="28"/>
  <c r="I742" i="28"/>
  <c r="H744" i="28"/>
  <c r="H743" i="28"/>
  <c r="I745" i="28"/>
  <c r="I744" i="28"/>
  <c r="H746" i="28"/>
  <c r="H745" i="28"/>
  <c r="I747" i="28"/>
  <c r="I746" i="28"/>
  <c r="H748" i="28"/>
  <c r="H747" i="28"/>
  <c r="I749" i="28"/>
  <c r="I748" i="28"/>
  <c r="H750" i="28"/>
  <c r="H749" i="28"/>
  <c r="I751" i="28"/>
  <c r="I750" i="28"/>
  <c r="H752" i="28"/>
  <c r="H751" i="28"/>
  <c r="I753" i="28"/>
  <c r="I752" i="28"/>
  <c r="H754" i="28"/>
  <c r="H753" i="28"/>
  <c r="I755" i="28"/>
  <c r="I754" i="28"/>
  <c r="H756" i="28"/>
  <c r="H755" i="28"/>
  <c r="I757" i="28"/>
  <c r="I756" i="28"/>
  <c r="H758" i="28"/>
  <c r="H757" i="28"/>
  <c r="I298" i="28"/>
  <c r="I758" i="28"/>
  <c r="H761" i="28"/>
  <c r="H760" i="28"/>
  <c r="I762" i="28"/>
  <c r="I761" i="28"/>
  <c r="H763" i="28"/>
  <c r="H762" i="28"/>
  <c r="I764" i="28"/>
  <c r="I763" i="28"/>
  <c r="H765" i="28"/>
  <c r="H764" i="28"/>
  <c r="I766" i="28"/>
  <c r="I765" i="28"/>
  <c r="H767" i="28"/>
  <c r="H766" i="28"/>
  <c r="I768" i="28"/>
  <c r="I767" i="28"/>
  <c r="H769" i="28"/>
  <c r="H768" i="28"/>
  <c r="I770" i="28"/>
  <c r="I769" i="28"/>
  <c r="H771" i="28"/>
  <c r="H770" i="28"/>
  <c r="I772" i="28"/>
  <c r="I771" i="28"/>
  <c r="H773" i="28"/>
  <c r="H772" i="28"/>
  <c r="I774" i="28"/>
  <c r="I773" i="28"/>
  <c r="H775" i="28"/>
  <c r="H774" i="28"/>
  <c r="I776" i="28"/>
  <c r="I775" i="28"/>
  <c r="H777" i="28"/>
  <c r="H776" i="28"/>
  <c r="I778" i="28"/>
  <c r="I777" i="28"/>
  <c r="H779" i="28"/>
  <c r="H778" i="28"/>
  <c r="I780" i="28"/>
  <c r="I779" i="28"/>
  <c r="H781" i="28"/>
  <c r="H780" i="28"/>
  <c r="I782" i="28"/>
  <c r="I781" i="28"/>
  <c r="H783" i="28"/>
  <c r="H782" i="28"/>
  <c r="I784" i="28"/>
  <c r="I783" i="28"/>
  <c r="H785" i="28"/>
  <c r="H784" i="28"/>
  <c r="I786" i="28"/>
  <c r="I785" i="28"/>
  <c r="H787" i="28"/>
  <c r="H786" i="28"/>
  <c r="I788" i="28"/>
  <c r="I787" i="28"/>
  <c r="H789" i="28"/>
  <c r="H788" i="28"/>
  <c r="I790" i="28"/>
  <c r="I789" i="28"/>
  <c r="H791" i="28"/>
  <c r="H790" i="28"/>
  <c r="I792" i="28"/>
  <c r="I791" i="28"/>
  <c r="H793" i="28"/>
  <c r="H792" i="28"/>
  <c r="I794" i="28"/>
  <c r="I793" i="28"/>
  <c r="H795" i="28"/>
  <c r="H794" i="28"/>
  <c r="I796" i="28"/>
  <c r="I795" i="28"/>
  <c r="H797" i="28"/>
  <c r="H796" i="28"/>
  <c r="I799" i="28"/>
  <c r="I797" i="28"/>
  <c r="H800" i="28"/>
  <c r="H799" i="28"/>
  <c r="I801" i="28"/>
  <c r="I800" i="28"/>
  <c r="H802" i="28"/>
  <c r="H801" i="28"/>
  <c r="I803" i="28"/>
  <c r="I802" i="28"/>
  <c r="H804" i="28"/>
  <c r="H803" i="28"/>
  <c r="I805" i="28"/>
  <c r="I804" i="28"/>
  <c r="H806" i="28"/>
  <c r="H805" i="28"/>
  <c r="I807" i="28"/>
  <c r="I806" i="28"/>
  <c r="H808" i="28"/>
  <c r="H807" i="28"/>
  <c r="I809" i="28"/>
  <c r="I808" i="28"/>
  <c r="H810" i="28"/>
  <c r="H809" i="28"/>
  <c r="I811" i="28"/>
  <c r="I810" i="28"/>
  <c r="H812" i="28"/>
  <c r="H811" i="28"/>
  <c r="I813" i="28"/>
  <c r="I812" i="28"/>
  <c r="H814" i="28"/>
  <c r="H813" i="28"/>
  <c r="I815" i="28"/>
  <c r="I814" i="28"/>
  <c r="H816" i="28"/>
  <c r="H815" i="28"/>
  <c r="I817" i="28"/>
  <c r="I816" i="28"/>
  <c r="H818" i="28"/>
  <c r="H817" i="28"/>
  <c r="I819" i="28"/>
  <c r="I818" i="28"/>
  <c r="H820" i="28"/>
  <c r="H819" i="28"/>
  <c r="I821" i="28"/>
  <c r="I820" i="28"/>
  <c r="H822" i="28"/>
  <c r="H821" i="28"/>
  <c r="I823" i="28"/>
  <c r="I822" i="28"/>
  <c r="H824" i="28"/>
  <c r="H823" i="28"/>
  <c r="I825" i="28"/>
  <c r="I824" i="28"/>
  <c r="H826" i="28"/>
  <c r="H825" i="28"/>
  <c r="I827" i="28"/>
  <c r="I826" i="28"/>
  <c r="H828" i="28"/>
  <c r="H827" i="28"/>
  <c r="I829" i="28"/>
  <c r="I828" i="28"/>
  <c r="H830" i="28"/>
  <c r="H829" i="28"/>
  <c r="I831" i="28"/>
  <c r="I830" i="28"/>
  <c r="H832" i="28"/>
  <c r="H831" i="28"/>
  <c r="I833" i="28"/>
  <c r="I832" i="28"/>
  <c r="H834" i="28"/>
  <c r="H833" i="28"/>
  <c r="I835" i="28"/>
  <c r="I834" i="28"/>
  <c r="H836" i="28"/>
  <c r="H835" i="28"/>
  <c r="I300" i="28"/>
  <c r="I836" i="28"/>
  <c r="H839" i="28"/>
  <c r="H838" i="28"/>
  <c r="I840" i="28"/>
  <c r="I839" i="28"/>
  <c r="H841" i="28"/>
  <c r="H840" i="28"/>
  <c r="I842" i="28"/>
  <c r="I841" i="28"/>
  <c r="H843" i="28"/>
  <c r="H842" i="28"/>
  <c r="I844" i="28"/>
  <c r="I843" i="28"/>
  <c r="H845" i="28"/>
  <c r="H844" i="28"/>
  <c r="I846" i="28"/>
  <c r="I845" i="28"/>
  <c r="H847" i="28"/>
  <c r="H846" i="28"/>
  <c r="I848" i="28"/>
  <c r="I847" i="28"/>
  <c r="H849" i="28"/>
  <c r="H848" i="28"/>
  <c r="I850" i="28"/>
  <c r="I849" i="28"/>
  <c r="H851" i="28"/>
  <c r="H850" i="28"/>
  <c r="I852" i="28"/>
  <c r="I851" i="28"/>
  <c r="H853" i="28"/>
  <c r="H852" i="28"/>
  <c r="I854" i="28"/>
  <c r="I853" i="28"/>
  <c r="H855" i="28"/>
  <c r="H854" i="28"/>
  <c r="I856" i="28"/>
  <c r="I855" i="28"/>
  <c r="H857" i="28"/>
  <c r="H856" i="28"/>
  <c r="I858" i="28"/>
  <c r="I857" i="28"/>
  <c r="H859" i="28"/>
  <c r="H858" i="28"/>
  <c r="I860" i="28"/>
  <c r="I859" i="28"/>
  <c r="H861" i="28"/>
  <c r="H860" i="28"/>
  <c r="I862" i="28"/>
  <c r="I861" i="28"/>
  <c r="H863" i="28"/>
  <c r="H862" i="28"/>
  <c r="I864" i="28"/>
  <c r="I863" i="28"/>
  <c r="H865" i="28"/>
  <c r="H864" i="28"/>
  <c r="I866" i="28"/>
  <c r="I865" i="28"/>
  <c r="H867" i="28"/>
  <c r="H866" i="28"/>
  <c r="I868" i="28"/>
  <c r="I867" i="28"/>
  <c r="H869" i="28"/>
  <c r="H868" i="28"/>
  <c r="I870" i="28"/>
  <c r="I869" i="28"/>
  <c r="H871" i="28"/>
  <c r="H870" i="28"/>
  <c r="I872" i="28"/>
  <c r="I871" i="28"/>
  <c r="H873" i="28"/>
  <c r="H872" i="28"/>
  <c r="I874" i="28"/>
  <c r="I873" i="28"/>
  <c r="H875" i="28"/>
  <c r="H874" i="28"/>
  <c r="I879" i="28"/>
  <c r="I875" i="28"/>
  <c r="C106" i="28"/>
  <c r="C112" i="28"/>
  <c r="C110" i="28"/>
  <c r="C108" i="28"/>
  <c r="C116" i="28"/>
  <c r="C114" i="28"/>
  <c r="C118" i="28"/>
  <c r="C120" i="28"/>
  <c r="C124" i="28"/>
  <c r="C126" i="28"/>
  <c r="C122" i="28"/>
  <c r="C128" i="28"/>
  <c r="C130" i="28"/>
  <c r="C136" i="28"/>
  <c r="C132" i="28"/>
  <c r="C138" i="28"/>
  <c r="C134" i="28"/>
  <c r="C140" i="28"/>
  <c r="C142" i="28"/>
  <c r="C144" i="28"/>
  <c r="C146" i="28"/>
  <c r="H879" i="28"/>
  <c r="C148" i="28"/>
  <c r="C177" i="28"/>
  <c r="C173" i="28"/>
  <c r="C175" i="28"/>
  <c r="C179" i="28"/>
  <c r="C185" i="28"/>
  <c r="C181" i="28"/>
  <c r="C183" i="28"/>
  <c r="C187" i="28"/>
  <c r="C193" i="28"/>
  <c r="C189" i="28"/>
  <c r="C195" i="28"/>
  <c r="C191" i="28"/>
  <c r="C201" i="28"/>
  <c r="C197" i="28"/>
  <c r="C203" i="28"/>
  <c r="C199" i="28"/>
  <c r="C209" i="28"/>
  <c r="C205" i="28"/>
  <c r="C207" i="28"/>
  <c r="C211" i="28"/>
  <c r="C239" i="28"/>
  <c r="C235" i="28"/>
  <c r="C241" i="28"/>
  <c r="C237" i="28"/>
  <c r="C247" i="28"/>
  <c r="C243" i="28"/>
  <c r="C245" i="28"/>
  <c r="C249" i="28"/>
  <c r="C255" i="28"/>
  <c r="C251" i="28"/>
  <c r="C253" i="28"/>
  <c r="C257" i="28"/>
  <c r="C263" i="28"/>
  <c r="C259" i="28"/>
  <c r="C261" i="28"/>
  <c r="C265" i="28"/>
  <c r="C271" i="28"/>
  <c r="C267" i="28"/>
  <c r="C269" i="28"/>
  <c r="C273" i="28"/>
  <c r="H302" i="28"/>
  <c r="H298" i="28"/>
  <c r="H304" i="28"/>
  <c r="H300" i="28"/>
  <c r="I306" i="28"/>
  <c r="I302" i="28"/>
  <c r="I308" i="28"/>
  <c r="I304" i="28"/>
  <c r="H310" i="28"/>
  <c r="H306" i="28"/>
  <c r="H312" i="28"/>
  <c r="H308" i="28"/>
  <c r="I314" i="28"/>
  <c r="I310" i="28"/>
  <c r="I316" i="28"/>
  <c r="I312" i="28"/>
  <c r="H318" i="28"/>
  <c r="H314" i="28"/>
  <c r="H320" i="28"/>
  <c r="H316" i="28"/>
  <c r="I322" i="28"/>
  <c r="I318" i="28"/>
  <c r="I369" i="28"/>
  <c r="I320" i="28"/>
  <c r="H447" i="28"/>
  <c r="H322" i="28"/>
  <c r="H525" i="28"/>
  <c r="H369" i="28"/>
  <c r="I603" i="28"/>
  <c r="I447" i="28"/>
  <c r="I681" i="28"/>
  <c r="I525" i="28"/>
  <c r="H759" i="28"/>
  <c r="H603" i="28"/>
  <c r="H837" i="28"/>
  <c r="H681" i="28"/>
  <c r="I299" i="28"/>
  <c r="I759" i="28"/>
  <c r="I878" i="28"/>
  <c r="I837" i="28"/>
  <c r="C107" i="28"/>
  <c r="C115" i="28"/>
  <c r="C111" i="28"/>
  <c r="C119" i="28"/>
  <c r="C123" i="28"/>
  <c r="C127" i="28"/>
  <c r="C131" i="28"/>
  <c r="C135" i="28"/>
  <c r="C139" i="28"/>
  <c r="C143" i="28"/>
  <c r="C147" i="28"/>
  <c r="C178" i="28"/>
  <c r="C174" i="28"/>
  <c r="C186" i="28"/>
  <c r="C182" i="28"/>
  <c r="C194" i="28"/>
  <c r="C190" i="28"/>
  <c r="C202" i="28"/>
  <c r="C198" i="28"/>
  <c r="C210" i="28"/>
  <c r="C206" i="28"/>
  <c r="C240" i="28"/>
  <c r="C236" i="28"/>
  <c r="C296" i="28" s="1"/>
  <c r="C248" i="28"/>
  <c r="C244" i="28"/>
  <c r="C256" i="28"/>
  <c r="C252" i="28"/>
  <c r="C264" i="28"/>
  <c r="C260" i="28"/>
  <c r="C272" i="28"/>
  <c r="C268" i="28"/>
  <c r="H303" i="28"/>
  <c r="H299" i="28"/>
  <c r="I307" i="28"/>
  <c r="I303" i="28"/>
  <c r="H311" i="28"/>
  <c r="H307" i="28"/>
  <c r="I315" i="28"/>
  <c r="I311" i="28"/>
  <c r="H319" i="28"/>
  <c r="H315" i="28"/>
  <c r="I330" i="28"/>
  <c r="I319" i="28"/>
  <c r="H486" i="28"/>
  <c r="H330" i="28"/>
  <c r="I642" i="28"/>
  <c r="I486" i="28"/>
  <c r="H798" i="28"/>
  <c r="H642" i="28"/>
  <c r="I877" i="28"/>
  <c r="I798" i="28"/>
  <c r="C113" i="28"/>
  <c r="C109" i="28"/>
  <c r="C121" i="28"/>
  <c r="C117" i="28"/>
  <c r="C129" i="28"/>
  <c r="C125" i="28"/>
  <c r="C137" i="28"/>
  <c r="C133" i="28"/>
  <c r="C145" i="28"/>
  <c r="C141" i="28"/>
  <c r="C176" i="28"/>
  <c r="C172" i="28"/>
  <c r="C184" i="28"/>
  <c r="C180" i="28"/>
  <c r="C192" i="28"/>
  <c r="C188" i="28"/>
  <c r="C200" i="28"/>
  <c r="C196" i="28"/>
  <c r="C208" i="28"/>
  <c r="C204" i="28"/>
  <c r="C238" i="28"/>
  <c r="C234" i="28"/>
  <c r="C295" i="28" s="1"/>
  <c r="C246" i="28"/>
  <c r="C242" i="28"/>
  <c r="C254" i="28"/>
  <c r="C250" i="28"/>
  <c r="C262" i="28"/>
  <c r="C258" i="28"/>
  <c r="C270" i="28"/>
  <c r="C266" i="28"/>
  <c r="I301" i="28"/>
  <c r="I297" i="28"/>
  <c r="I309" i="28"/>
  <c r="I305" i="28"/>
  <c r="I317" i="28"/>
  <c r="I313" i="28"/>
  <c r="I408" i="28"/>
  <c r="I321" i="28"/>
  <c r="I720" i="28"/>
  <c r="I564" i="28"/>
  <c r="C105" i="28"/>
  <c r="H877" i="28"/>
  <c r="I876" i="28"/>
  <c r="C222" i="28"/>
  <c r="H878" i="28"/>
  <c r="C151" i="28"/>
  <c r="H293" i="28"/>
  <c r="C168" i="28"/>
  <c r="C281" i="28"/>
  <c r="C883" i="28" s="1"/>
  <c r="H883" i="28"/>
  <c r="C280" i="28"/>
  <c r="C882" i="28" s="1"/>
  <c r="H882" i="28"/>
  <c r="C278" i="28"/>
  <c r="C880" i="28" s="1"/>
  <c r="C277" i="28"/>
  <c r="C370" i="28" s="1"/>
  <c r="C217" i="28"/>
  <c r="C279" i="28"/>
  <c r="C881" i="28" s="1"/>
  <c r="C230" i="28"/>
  <c r="C293" i="28" s="1"/>
  <c r="C276" i="28"/>
  <c r="C275" i="28"/>
  <c r="C409" i="28" s="1"/>
  <c r="C274" i="28"/>
  <c r="C216" i="28"/>
  <c r="C215" i="28"/>
  <c r="C214" i="28"/>
  <c r="C162" i="28"/>
  <c r="C225" i="28"/>
  <c r="C221" i="28"/>
  <c r="C161" i="28"/>
  <c r="C224" i="28"/>
  <c r="C160" i="28"/>
  <c r="C223" i="28"/>
  <c r="C220" i="28"/>
  <c r="C150" i="28"/>
  <c r="C213" i="28"/>
  <c r="C149" i="28"/>
  <c r="C212" i="28"/>
  <c r="C156" i="28"/>
  <c r="C219" i="28"/>
  <c r="C218" i="28"/>
  <c r="C154" i="28"/>
  <c r="C159" i="28"/>
  <c r="C158" i="28"/>
  <c r="C157" i="28"/>
  <c r="C155" i="28"/>
  <c r="C153" i="28"/>
  <c r="C152" i="28"/>
  <c r="E226" i="28"/>
  <c r="E163" i="28"/>
  <c r="F24" i="28"/>
  <c r="G24" i="28" s="1"/>
  <c r="F12" i="28"/>
  <c r="G10" i="28" s="1"/>
  <c r="C324" i="28" l="1"/>
  <c r="C323" i="28"/>
  <c r="C327" i="28"/>
  <c r="C326" i="28"/>
  <c r="C325" i="28"/>
  <c r="C331" i="28"/>
  <c r="C329" i="28"/>
  <c r="C328" i="28"/>
  <c r="C334" i="28"/>
  <c r="C333" i="28"/>
  <c r="C332" i="28"/>
  <c r="C337" i="28"/>
  <c r="C336" i="28"/>
  <c r="C335" i="28"/>
  <c r="C340" i="28"/>
  <c r="C339" i="28"/>
  <c r="C338" i="28"/>
  <c r="C342" i="28"/>
  <c r="C341" i="28"/>
  <c r="C345" i="28"/>
  <c r="C344" i="28"/>
  <c r="C343" i="28"/>
  <c r="C348" i="28"/>
  <c r="C346" i="28"/>
  <c r="C347" i="28"/>
  <c r="C351" i="28"/>
  <c r="C350" i="28"/>
  <c r="C349" i="28"/>
  <c r="C354" i="28"/>
  <c r="C353" i="28"/>
  <c r="C352" i="28"/>
  <c r="C357" i="28"/>
  <c r="C356" i="28"/>
  <c r="C355" i="28"/>
  <c r="C360" i="28"/>
  <c r="C359" i="28"/>
  <c r="C358" i="28"/>
  <c r="C363" i="28"/>
  <c r="C362" i="28"/>
  <c r="C361" i="28"/>
  <c r="C366" i="28"/>
  <c r="C365" i="28"/>
  <c r="C364" i="28"/>
  <c r="C448" i="28"/>
  <c r="C368" i="28"/>
  <c r="C367" i="28"/>
  <c r="C373" i="28"/>
  <c r="C372" i="28"/>
  <c r="C371" i="28"/>
  <c r="C375" i="28"/>
  <c r="C374" i="28"/>
  <c r="C378" i="28"/>
  <c r="C376" i="28"/>
  <c r="C377" i="28"/>
  <c r="C381" i="28"/>
  <c r="C380" i="28"/>
  <c r="C379" i="28"/>
  <c r="C385" i="28"/>
  <c r="C383" i="28"/>
  <c r="C384" i="28"/>
  <c r="C382" i="28"/>
  <c r="C388" i="28"/>
  <c r="C387" i="28"/>
  <c r="C386" i="28"/>
  <c r="C391" i="28"/>
  <c r="C390" i="28"/>
  <c r="C389" i="28"/>
  <c r="C393" i="28"/>
  <c r="C392" i="28"/>
  <c r="C396" i="28"/>
  <c r="C395" i="28"/>
  <c r="C394" i="28"/>
  <c r="C399" i="28"/>
  <c r="C398" i="28"/>
  <c r="C397" i="28"/>
  <c r="C402" i="28"/>
  <c r="C400" i="28"/>
  <c r="C401" i="28"/>
  <c r="C405" i="28"/>
  <c r="C404" i="28"/>
  <c r="C403" i="28"/>
  <c r="C406" i="28"/>
  <c r="C407" i="28"/>
  <c r="C412" i="28"/>
  <c r="C410" i="28"/>
  <c r="C411" i="28"/>
  <c r="C415" i="28"/>
  <c r="C414" i="28"/>
  <c r="C413" i="28"/>
  <c r="C418" i="28"/>
  <c r="C416" i="28"/>
  <c r="C417" i="28"/>
  <c r="C421" i="28"/>
  <c r="C420" i="28"/>
  <c r="C419" i="28"/>
  <c r="C424" i="28"/>
  <c r="C423" i="28"/>
  <c r="C422" i="28"/>
  <c r="C427" i="28"/>
  <c r="C426" i="28"/>
  <c r="C425" i="28"/>
  <c r="C429" i="28"/>
  <c r="C428" i="28"/>
  <c r="C432" i="28"/>
  <c r="C431" i="28"/>
  <c r="C430" i="28"/>
  <c r="C435" i="28"/>
  <c r="C433" i="28"/>
  <c r="C434" i="28"/>
  <c r="C438" i="28"/>
  <c r="C436" i="28"/>
  <c r="C437" i="28"/>
  <c r="C441" i="28"/>
  <c r="C440" i="28"/>
  <c r="C439" i="28"/>
  <c r="C444" i="28"/>
  <c r="C442" i="28"/>
  <c r="C443" i="28"/>
  <c r="C565" i="28"/>
  <c r="C445" i="28"/>
  <c r="C446" i="28"/>
  <c r="C451" i="28"/>
  <c r="C450" i="28"/>
  <c r="C449" i="28"/>
  <c r="C454" i="28"/>
  <c r="C453" i="28"/>
  <c r="C452" i="28"/>
  <c r="C457" i="28"/>
  <c r="C456" i="28"/>
  <c r="C455" i="28"/>
  <c r="C460" i="28"/>
  <c r="C459" i="28"/>
  <c r="C458" i="28"/>
  <c r="C463" i="28"/>
  <c r="C462" i="28"/>
  <c r="C461" i="28"/>
  <c r="C466" i="28"/>
  <c r="C465" i="28"/>
  <c r="C464" i="28"/>
  <c r="C469" i="28"/>
  <c r="C468" i="28"/>
  <c r="C467" i="28"/>
  <c r="C472" i="28"/>
  <c r="C471" i="28"/>
  <c r="C470" i="28"/>
  <c r="C475" i="28"/>
  <c r="C474" i="28"/>
  <c r="C473" i="28"/>
  <c r="C478" i="28"/>
  <c r="C477" i="28"/>
  <c r="C476" i="28"/>
  <c r="C480" i="28"/>
  <c r="C479" i="28"/>
  <c r="C483" i="28"/>
  <c r="C481" i="28"/>
  <c r="C482" i="28"/>
  <c r="C487" i="28"/>
  <c r="C485" i="28"/>
  <c r="C484" i="28"/>
  <c r="C489" i="28"/>
  <c r="C488" i="28"/>
  <c r="C491" i="28"/>
  <c r="C490" i="28"/>
  <c r="C493" i="28"/>
  <c r="C492" i="28"/>
  <c r="C495" i="28"/>
  <c r="C494" i="28"/>
  <c r="C498" i="28"/>
  <c r="C496" i="28"/>
  <c r="C497" i="28"/>
  <c r="C501" i="28"/>
  <c r="C500" i="28"/>
  <c r="C499" i="28"/>
  <c r="C504" i="28"/>
  <c r="C503" i="28"/>
  <c r="C502" i="28"/>
  <c r="C507" i="28"/>
  <c r="C506" i="28"/>
  <c r="C505" i="28"/>
  <c r="C510" i="28"/>
  <c r="C508" i="28"/>
  <c r="C509" i="28"/>
  <c r="C512" i="28"/>
  <c r="C511" i="28"/>
  <c r="C515" i="28"/>
  <c r="C514" i="28"/>
  <c r="C513" i="28"/>
  <c r="C517" i="28"/>
  <c r="C516" i="28"/>
  <c r="C520" i="28"/>
  <c r="C519" i="28"/>
  <c r="C518" i="28"/>
  <c r="C523" i="28"/>
  <c r="C522" i="28"/>
  <c r="C521" i="28"/>
  <c r="C604" i="28"/>
  <c r="C524" i="28"/>
  <c r="C527" i="28"/>
  <c r="C526" i="28"/>
  <c r="C530" i="28"/>
  <c r="C529" i="28"/>
  <c r="C528" i="28"/>
  <c r="C532" i="28"/>
  <c r="C531" i="28"/>
  <c r="C534" i="28"/>
  <c r="C533" i="28"/>
  <c r="C536" i="28"/>
  <c r="C535" i="28"/>
  <c r="C538" i="28"/>
  <c r="C537" i="28"/>
  <c r="C540" i="28"/>
  <c r="C539" i="28"/>
  <c r="C542" i="28"/>
  <c r="C541" i="28"/>
  <c r="C544" i="28"/>
  <c r="C543" i="28"/>
  <c r="C546" i="28"/>
  <c r="C545" i="28"/>
  <c r="C548" i="28"/>
  <c r="C547" i="28"/>
  <c r="C550" i="28"/>
  <c r="C549" i="28"/>
  <c r="C552" i="28"/>
  <c r="C551" i="28"/>
  <c r="C554" i="28"/>
  <c r="C553" i="28"/>
  <c r="C556" i="28"/>
  <c r="C555" i="28"/>
  <c r="C558" i="28"/>
  <c r="C557" i="28"/>
  <c r="C560" i="28"/>
  <c r="C559" i="28"/>
  <c r="C562" i="28"/>
  <c r="C561" i="28"/>
  <c r="C682" i="28"/>
  <c r="C563" i="28"/>
  <c r="C567" i="28"/>
  <c r="C566" i="28"/>
  <c r="C569" i="28"/>
  <c r="C568" i="28"/>
  <c r="C571" i="28"/>
  <c r="C570" i="28"/>
  <c r="C573" i="28"/>
  <c r="C572" i="28"/>
  <c r="C575" i="28"/>
  <c r="C574" i="28"/>
  <c r="C577" i="28"/>
  <c r="C576" i="28"/>
  <c r="C579" i="28"/>
  <c r="C578" i="28"/>
  <c r="C581" i="28"/>
  <c r="C580" i="28"/>
  <c r="C583" i="28"/>
  <c r="C582" i="28"/>
  <c r="C585" i="28"/>
  <c r="C584" i="28"/>
  <c r="C587" i="28"/>
  <c r="C586" i="28"/>
  <c r="C589" i="28"/>
  <c r="C588" i="28"/>
  <c r="C591" i="28"/>
  <c r="C590" i="28"/>
  <c r="C593" i="28"/>
  <c r="C592" i="28"/>
  <c r="C595" i="28"/>
  <c r="C594" i="28"/>
  <c r="C597" i="28"/>
  <c r="C596" i="28"/>
  <c r="C599" i="28"/>
  <c r="C598" i="28"/>
  <c r="C601" i="28"/>
  <c r="C600" i="28"/>
  <c r="C721" i="28"/>
  <c r="C602" i="28"/>
  <c r="C606" i="28"/>
  <c r="C605" i="28"/>
  <c r="C608" i="28"/>
  <c r="C607" i="28"/>
  <c r="C610" i="28"/>
  <c r="C609" i="28"/>
  <c r="C612" i="28"/>
  <c r="C611" i="28"/>
  <c r="C614" i="28"/>
  <c r="C613" i="28"/>
  <c r="C616" i="28"/>
  <c r="C615" i="28"/>
  <c r="C618" i="28"/>
  <c r="C617" i="28"/>
  <c r="C620" i="28"/>
  <c r="C619" i="28"/>
  <c r="C622" i="28"/>
  <c r="C621" i="28"/>
  <c r="C624" i="28"/>
  <c r="C623" i="28"/>
  <c r="C626" i="28"/>
  <c r="C625" i="28"/>
  <c r="C628" i="28"/>
  <c r="C627" i="28"/>
  <c r="C630" i="28"/>
  <c r="C629" i="28"/>
  <c r="C632" i="28"/>
  <c r="C631" i="28"/>
  <c r="C634" i="28"/>
  <c r="C633" i="28"/>
  <c r="C636" i="28"/>
  <c r="C635" i="28"/>
  <c r="C638" i="28"/>
  <c r="C637" i="28"/>
  <c r="C640" i="28"/>
  <c r="C639" i="28"/>
  <c r="C643" i="28"/>
  <c r="C641" i="28"/>
  <c r="C645" i="28"/>
  <c r="C644" i="28"/>
  <c r="C647" i="28"/>
  <c r="C646" i="28"/>
  <c r="C649" i="28"/>
  <c r="C648" i="28"/>
  <c r="C651" i="28"/>
  <c r="C650" i="28"/>
  <c r="C653" i="28"/>
  <c r="C652" i="28"/>
  <c r="C655" i="28"/>
  <c r="C654" i="28"/>
  <c r="C657" i="28"/>
  <c r="C656" i="28"/>
  <c r="C659" i="28"/>
  <c r="C658" i="28"/>
  <c r="C661" i="28"/>
  <c r="C660" i="28"/>
  <c r="C663" i="28"/>
  <c r="C662" i="28"/>
  <c r="C665" i="28"/>
  <c r="C664" i="28"/>
  <c r="C667" i="28"/>
  <c r="C666" i="28"/>
  <c r="C669" i="28"/>
  <c r="C668" i="28"/>
  <c r="C671" i="28"/>
  <c r="C670" i="28"/>
  <c r="C673" i="28"/>
  <c r="C672" i="28"/>
  <c r="C675" i="28"/>
  <c r="C674" i="28"/>
  <c r="C677" i="28"/>
  <c r="C676" i="28"/>
  <c r="C679" i="28"/>
  <c r="C678" i="28"/>
  <c r="C760" i="28"/>
  <c r="C680" i="28"/>
  <c r="C684" i="28"/>
  <c r="C683" i="28"/>
  <c r="C686" i="28"/>
  <c r="C685" i="28"/>
  <c r="C688" i="28"/>
  <c r="C687" i="28"/>
  <c r="C690" i="28"/>
  <c r="C689" i="28"/>
  <c r="C692" i="28"/>
  <c r="C691" i="28"/>
  <c r="C694" i="28"/>
  <c r="C693" i="28"/>
  <c r="C696" i="28"/>
  <c r="C695" i="28"/>
  <c r="C698" i="28"/>
  <c r="C697" i="28"/>
  <c r="C700" i="28"/>
  <c r="C699" i="28"/>
  <c r="C702" i="28"/>
  <c r="C701" i="28"/>
  <c r="C704" i="28"/>
  <c r="C703" i="28"/>
  <c r="C706" i="28"/>
  <c r="C705" i="28"/>
  <c r="C708" i="28"/>
  <c r="C707" i="28"/>
  <c r="C710" i="28"/>
  <c r="C709" i="28"/>
  <c r="C712" i="28"/>
  <c r="C711" i="28"/>
  <c r="C714" i="28"/>
  <c r="C713" i="28"/>
  <c r="C716" i="28"/>
  <c r="C715" i="28"/>
  <c r="C718" i="28"/>
  <c r="C717" i="28"/>
  <c r="C838" i="28"/>
  <c r="C719" i="28"/>
  <c r="C723" i="28"/>
  <c r="C722" i="28"/>
  <c r="C725" i="28"/>
  <c r="C724" i="28"/>
  <c r="C727" i="28"/>
  <c r="C726" i="28"/>
  <c r="C729" i="28"/>
  <c r="C728" i="28"/>
  <c r="C731" i="28"/>
  <c r="C730" i="28"/>
  <c r="C733" i="28"/>
  <c r="C732" i="28"/>
  <c r="C735" i="28"/>
  <c r="C734" i="28"/>
  <c r="C737" i="28"/>
  <c r="C736" i="28"/>
  <c r="C739" i="28"/>
  <c r="C738" i="28"/>
  <c r="C741" i="28"/>
  <c r="C740" i="28"/>
  <c r="C743" i="28"/>
  <c r="C742" i="28"/>
  <c r="C745" i="28"/>
  <c r="C744" i="28"/>
  <c r="C747" i="28"/>
  <c r="C746" i="28"/>
  <c r="C749" i="28"/>
  <c r="C748" i="28"/>
  <c r="C751" i="28"/>
  <c r="C750" i="28"/>
  <c r="C753" i="28"/>
  <c r="C752" i="28"/>
  <c r="C755" i="28"/>
  <c r="C754" i="28"/>
  <c r="C757" i="28"/>
  <c r="C756" i="28"/>
  <c r="C298" i="28"/>
  <c r="C758" i="28"/>
  <c r="C762" i="28"/>
  <c r="C761" i="28"/>
  <c r="C764" i="28"/>
  <c r="C763" i="28"/>
  <c r="C766" i="28"/>
  <c r="C765" i="28"/>
  <c r="C768" i="28"/>
  <c r="C767" i="28"/>
  <c r="C770" i="28"/>
  <c r="C769" i="28"/>
  <c r="C772" i="28"/>
  <c r="C771" i="28"/>
  <c r="C774" i="28"/>
  <c r="C773" i="28"/>
  <c r="C776" i="28"/>
  <c r="C775" i="28"/>
  <c r="C778" i="28"/>
  <c r="C777" i="28"/>
  <c r="C780" i="28"/>
  <c r="C779" i="28"/>
  <c r="C782" i="28"/>
  <c r="C781" i="28"/>
  <c r="C784" i="28"/>
  <c r="C783" i="28"/>
  <c r="C786" i="28"/>
  <c r="C785" i="28"/>
  <c r="C788" i="28"/>
  <c r="C787" i="28"/>
  <c r="C790" i="28"/>
  <c r="C789" i="28"/>
  <c r="C792" i="28"/>
  <c r="C791" i="28"/>
  <c r="C794" i="28"/>
  <c r="C793" i="28"/>
  <c r="C796" i="28"/>
  <c r="C795" i="28"/>
  <c r="C799" i="28"/>
  <c r="C797" i="28"/>
  <c r="C801" i="28"/>
  <c r="C800" i="28"/>
  <c r="C803" i="28"/>
  <c r="C802" i="28"/>
  <c r="C805" i="28"/>
  <c r="C804" i="28"/>
  <c r="C807" i="28"/>
  <c r="C806" i="28"/>
  <c r="C809" i="28"/>
  <c r="C808" i="28"/>
  <c r="C811" i="28"/>
  <c r="C810" i="28"/>
  <c r="C813" i="28"/>
  <c r="C812" i="28"/>
  <c r="C815" i="28"/>
  <c r="C814" i="28"/>
  <c r="C817" i="28"/>
  <c r="C816" i="28"/>
  <c r="C819" i="28"/>
  <c r="C818" i="28"/>
  <c r="C821" i="28"/>
  <c r="C820" i="28"/>
  <c r="C823" i="28"/>
  <c r="C822" i="28"/>
  <c r="C825" i="28"/>
  <c r="C824" i="28"/>
  <c r="C827" i="28"/>
  <c r="C826" i="28"/>
  <c r="C829" i="28"/>
  <c r="C828" i="28"/>
  <c r="C831" i="28"/>
  <c r="C830" i="28"/>
  <c r="C833" i="28"/>
  <c r="C832" i="28"/>
  <c r="C835" i="28"/>
  <c r="C834" i="28"/>
  <c r="C300" i="28"/>
  <c r="C836" i="28"/>
  <c r="C840" i="28"/>
  <c r="C839" i="28"/>
  <c r="C842" i="28"/>
  <c r="C841" i="28"/>
  <c r="C844" i="28"/>
  <c r="C843" i="28"/>
  <c r="C846" i="28"/>
  <c r="C845" i="28"/>
  <c r="C848" i="28"/>
  <c r="C847" i="28"/>
  <c r="C850" i="28"/>
  <c r="C849" i="28"/>
  <c r="C852" i="28"/>
  <c r="C851" i="28"/>
  <c r="C854" i="28"/>
  <c r="C853" i="28"/>
  <c r="C856" i="28"/>
  <c r="C855" i="28"/>
  <c r="C858" i="28"/>
  <c r="C857" i="28"/>
  <c r="C860" i="28"/>
  <c r="C859" i="28"/>
  <c r="C862" i="28"/>
  <c r="C861" i="28"/>
  <c r="C864" i="28"/>
  <c r="C863" i="28"/>
  <c r="C866" i="28"/>
  <c r="C865" i="28"/>
  <c r="C868" i="28"/>
  <c r="C867" i="28"/>
  <c r="C870" i="28"/>
  <c r="C869" i="28"/>
  <c r="C872" i="28"/>
  <c r="C871" i="28"/>
  <c r="C874" i="28"/>
  <c r="C873" i="28"/>
  <c r="C879" i="28"/>
  <c r="C875" i="28"/>
  <c r="C306" i="28"/>
  <c r="C302" i="28"/>
  <c r="C308" i="28"/>
  <c r="C304" i="28"/>
  <c r="C314" i="28"/>
  <c r="C310" i="28"/>
  <c r="C316" i="28"/>
  <c r="C312" i="28"/>
  <c r="C322" i="28"/>
  <c r="C318" i="28"/>
  <c r="C369" i="28"/>
  <c r="C320" i="28"/>
  <c r="C603" i="28"/>
  <c r="C447" i="28"/>
  <c r="C681" i="28"/>
  <c r="C525" i="28"/>
  <c r="C299" i="28"/>
  <c r="C759" i="28"/>
  <c r="C878" i="28"/>
  <c r="C837" i="28"/>
  <c r="C307" i="28"/>
  <c r="C303" i="28"/>
  <c r="C315" i="28"/>
  <c r="C311" i="28"/>
  <c r="C330" i="28"/>
  <c r="C319" i="28"/>
  <c r="C642" i="28"/>
  <c r="C486" i="28"/>
  <c r="C877" i="28"/>
  <c r="C798" i="28"/>
  <c r="C301" i="28"/>
  <c r="C297" i="28"/>
  <c r="C309" i="28"/>
  <c r="C305" i="28"/>
  <c r="C317" i="28"/>
  <c r="C313" i="28"/>
  <c r="C408" i="28"/>
  <c r="C321" i="28"/>
  <c r="C720" i="28"/>
  <c r="C564" i="28"/>
  <c r="C876" i="28"/>
  <c r="K2" i="19"/>
  <c r="AI36" i="20" l="1"/>
  <c r="AP12" i="8"/>
  <c r="AK12" i="8"/>
  <c r="X10" i="24" s="1"/>
  <c r="AF12" i="8"/>
  <c r="T10" i="24" s="1"/>
  <c r="V12" i="8"/>
  <c r="K10" i="24" s="1"/>
  <c r="U12" i="8"/>
  <c r="T12" i="8"/>
  <c r="AP11" i="8"/>
  <c r="AK11" i="8"/>
  <c r="X9" i="24" s="1"/>
  <c r="AF11" i="8"/>
  <c r="T9" i="24" s="1"/>
  <c r="V11" i="8"/>
  <c r="K9" i="24" s="1"/>
  <c r="U11" i="8"/>
  <c r="T11" i="8"/>
  <c r="BM11" i="8" l="1"/>
  <c r="AW9" i="24" s="1"/>
  <c r="AB9" i="24"/>
  <c r="BM12" i="8"/>
  <c r="AW10" i="24" s="1"/>
  <c r="AB10" i="24"/>
  <c r="CN12" i="37"/>
  <c r="CP12" i="37" s="1"/>
  <c r="AU11" i="8"/>
  <c r="AF9" i="24" s="1"/>
  <c r="AS11" i="8"/>
  <c r="AD9" i="24" s="1"/>
  <c r="AW11" i="8"/>
  <c r="AH9" i="24" s="1"/>
  <c r="AV11" i="8"/>
  <c r="AG9" i="24" s="1"/>
  <c r="AX11" i="8"/>
  <c r="AI9" i="24" s="1"/>
  <c r="AT11" i="8"/>
  <c r="AE9" i="24" s="1"/>
  <c r="CN13" i="37"/>
  <c r="AU12" i="8"/>
  <c r="AF10" i="24" s="1"/>
  <c r="AW12" i="8"/>
  <c r="AH10" i="24" s="1"/>
  <c r="AS12" i="8"/>
  <c r="AD10" i="24" s="1"/>
  <c r="AT12" i="8"/>
  <c r="AE10" i="24" s="1"/>
  <c r="AV12" i="8"/>
  <c r="AG10" i="24" s="1"/>
  <c r="AX12" i="8"/>
  <c r="AI10" i="24" s="1"/>
  <c r="AY12" i="34"/>
  <c r="BA12" i="34" s="1"/>
  <c r="T14" i="32"/>
  <c r="S14" i="32" s="1"/>
  <c r="T15" i="32"/>
  <c r="V15" i="32" s="1"/>
  <c r="F20" i="36"/>
  <c r="AL12" i="8"/>
  <c r="AL11" i="8"/>
  <c r="BK12" i="8"/>
  <c r="AU10" i="24" s="1"/>
  <c r="AG11" i="8"/>
  <c r="BB12" i="8"/>
  <c r="AL10" i="24" s="1"/>
  <c r="BF11" i="8"/>
  <c r="BF12" i="8"/>
  <c r="Q280" i="28"/>
  <c r="X12" i="8"/>
  <c r="M10" i="24" s="1"/>
  <c r="X11" i="8"/>
  <c r="M9" i="24" s="1"/>
  <c r="BJ12" i="8"/>
  <c r="AT10" i="24" s="1"/>
  <c r="AQ12" i="8"/>
  <c r="AG12" i="8"/>
  <c r="BL12" i="8"/>
  <c r="AV10" i="24" s="1"/>
  <c r="BB11" i="8"/>
  <c r="AL9" i="24" s="1"/>
  <c r="AQ11" i="8"/>
  <c r="BK11" i="8"/>
  <c r="AU9" i="24" s="1"/>
  <c r="BL11" i="8"/>
  <c r="AV9" i="24" s="1"/>
  <c r="BJ11" i="8"/>
  <c r="AT9" i="24" s="1"/>
  <c r="AI38" i="20"/>
  <c r="AI37" i="20"/>
  <c r="AI35" i="20"/>
  <c r="AI34" i="20"/>
  <c r="AI33" i="20"/>
  <c r="AI32" i="20"/>
  <c r="AI31" i="20"/>
  <c r="AI30" i="20"/>
  <c r="S38" i="20"/>
  <c r="S34" i="20"/>
  <c r="S33" i="20"/>
  <c r="S32" i="20"/>
  <c r="AB22" i="20"/>
  <c r="AB23" i="20"/>
  <c r="AB24" i="20"/>
  <c r="C5" i="26"/>
  <c r="I5" i="26"/>
  <c r="H5" i="26"/>
  <c r="G5" i="26"/>
  <c r="F5" i="26"/>
  <c r="E5" i="26"/>
  <c r="D5" i="26"/>
  <c r="B5" i="26"/>
  <c r="M3" i="25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M2" i="25"/>
  <c r="K2" i="25"/>
  <c r="I2" i="25"/>
  <c r="H2" i="25"/>
  <c r="G2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" i="25"/>
  <c r="Z3" i="24"/>
  <c r="V3" i="24"/>
  <c r="N3" i="24"/>
  <c r="L3" i="24"/>
  <c r="J3" i="24"/>
  <c r="H3" i="24"/>
  <c r="F3" i="24"/>
  <c r="D3" i="24"/>
  <c r="BH11" i="8" l="1"/>
  <c r="AR9" i="24" s="1"/>
  <c r="AP9" i="24"/>
  <c r="BH12" i="8"/>
  <c r="AR10" i="24" s="1"/>
  <c r="AP10" i="24"/>
  <c r="F155" i="28"/>
  <c r="AZ12" i="8"/>
  <c r="AJ10" i="24" s="1"/>
  <c r="AZ11" i="8"/>
  <c r="AJ9" i="24" s="1"/>
  <c r="S280" i="28"/>
  <c r="E882" i="28" s="1"/>
  <c r="V14" i="32"/>
  <c r="S15" i="32"/>
  <c r="R280" i="28"/>
  <c r="D882" i="28" s="1"/>
  <c r="H20" i="36"/>
  <c r="I20" i="36" s="1"/>
  <c r="M26" i="25"/>
  <c r="I25" i="25"/>
  <c r="M25" i="25"/>
  <c r="BD11" i="8"/>
  <c r="AN9" i="24" s="1"/>
  <c r="B11" i="8"/>
  <c r="BD12" i="8"/>
  <c r="AN10" i="24" s="1"/>
  <c r="F218" i="28"/>
  <c r="E32" i="26"/>
  <c r="H32" i="26"/>
  <c r="I32" i="26"/>
  <c r="I23" i="25"/>
  <c r="H23" i="25"/>
  <c r="K25" i="25"/>
  <c r="K23" i="25"/>
  <c r="B32" i="26"/>
  <c r="B12" i="8"/>
  <c r="AI39" i="20"/>
  <c r="G32" i="26"/>
  <c r="F32" i="26"/>
  <c r="M23" i="25"/>
  <c r="K26" i="25"/>
  <c r="I27" i="25"/>
  <c r="I26" i="25"/>
  <c r="N48" i="24"/>
  <c r="V48" i="24"/>
  <c r="AQ48" i="24"/>
  <c r="AM48" i="24"/>
  <c r="AA48" i="24"/>
  <c r="Z48" i="24"/>
  <c r="W48" i="24"/>
  <c r="AD2" i="24"/>
  <c r="Z2" i="24"/>
  <c r="AP2" i="24" s="1"/>
  <c r="V2" i="24"/>
  <c r="AL2" i="24" s="1"/>
  <c r="N2" i="24"/>
  <c r="P72" i="6"/>
  <c r="G4" i="23"/>
  <c r="F4" i="23"/>
  <c r="E4" i="23"/>
  <c r="V3" i="23"/>
  <c r="R3" i="23"/>
  <c r="I3" i="23"/>
  <c r="O28" i="16" l="1"/>
  <c r="I28" i="16"/>
  <c r="K28" i="16" s="1"/>
  <c r="J28" i="16"/>
  <c r="L28" i="16" s="1"/>
  <c r="O27" i="16"/>
  <c r="J27" i="16"/>
  <c r="L27" i="16" s="1"/>
  <c r="I27" i="16"/>
  <c r="N280" i="28"/>
  <c r="T280" i="28"/>
  <c r="F882" i="28" s="1"/>
  <c r="C12" i="8"/>
  <c r="AK36" i="20"/>
  <c r="AM36" i="20" s="1"/>
  <c r="AO36" i="20" s="1"/>
  <c r="C11" i="8"/>
  <c r="AK33" i="20"/>
  <c r="AM33" i="20" s="1"/>
  <c r="AO33" i="20" s="1"/>
  <c r="AK31" i="20"/>
  <c r="AM31" i="20" s="1"/>
  <c r="AO31" i="20" s="1"/>
  <c r="AK35" i="20"/>
  <c r="AM35" i="20" s="1"/>
  <c r="AO35" i="20" s="1"/>
  <c r="AK38" i="20"/>
  <c r="AM38" i="20" s="1"/>
  <c r="AO38" i="20" s="1"/>
  <c r="AK37" i="20"/>
  <c r="AM37" i="20" s="1"/>
  <c r="AO37" i="20" s="1"/>
  <c r="AK32" i="20"/>
  <c r="AM32" i="20" s="1"/>
  <c r="AO32" i="20" s="1"/>
  <c r="AK34" i="20"/>
  <c r="AM34" i="20" s="1"/>
  <c r="AO34" i="20" s="1"/>
  <c r="AK30" i="20"/>
  <c r="AM30" i="20" s="1"/>
  <c r="AO30" i="20" s="1"/>
  <c r="I55" i="23"/>
  <c r="C4" i="22"/>
  <c r="AK6" i="20"/>
  <c r="V6" i="20"/>
  <c r="AS4" i="8"/>
  <c r="AK22" i="20"/>
  <c r="AK24" i="20"/>
  <c r="N27" i="16" l="1"/>
  <c r="P27" i="16" s="1"/>
  <c r="K27" i="16"/>
  <c r="N28" i="16"/>
  <c r="P28" i="16" s="1"/>
  <c r="I6" i="22"/>
  <c r="I7" i="22"/>
  <c r="I8" i="22"/>
  <c r="I11" i="22"/>
  <c r="I16" i="22"/>
  <c r="I17" i="22"/>
  <c r="I18" i="22"/>
  <c r="C9" i="22"/>
  <c r="C10" i="22"/>
  <c r="C12" i="22"/>
  <c r="C13" i="22"/>
  <c r="C14" i="22"/>
  <c r="I5" i="22"/>
  <c r="J21" i="22"/>
  <c r="J23" i="22"/>
  <c r="J22" i="22"/>
  <c r="E23" i="21"/>
  <c r="E24" i="21"/>
  <c r="E22" i="21"/>
  <c r="E8" i="21"/>
  <c r="E12" i="21"/>
  <c r="E13" i="21"/>
  <c r="E14" i="21"/>
  <c r="E15" i="21"/>
  <c r="E17" i="21"/>
  <c r="E18" i="21"/>
  <c r="E19" i="21"/>
  <c r="D23" i="21"/>
  <c r="D24" i="21"/>
  <c r="D22" i="21"/>
  <c r="D8" i="21"/>
  <c r="D9" i="21"/>
  <c r="D12" i="21"/>
  <c r="D13" i="21"/>
  <c r="D14" i="21"/>
  <c r="D15" i="21"/>
  <c r="D17" i="21"/>
  <c r="D18" i="21"/>
  <c r="D19" i="21"/>
  <c r="C23" i="21"/>
  <c r="C24" i="21"/>
  <c r="AS22" i="20" l="1"/>
  <c r="AS23" i="20"/>
  <c r="AS24" i="20"/>
  <c r="AR22" i="20"/>
  <c r="AR23" i="20"/>
  <c r="AR24" i="20"/>
  <c r="AS6" i="20"/>
  <c r="AQ22" i="20"/>
  <c r="AQ24" i="20"/>
  <c r="AQ6" i="20"/>
  <c r="AH8" i="20"/>
  <c r="AI8" i="20"/>
  <c r="AJ8" i="20"/>
  <c r="AH9" i="20"/>
  <c r="AI9" i="20"/>
  <c r="AJ9" i="20"/>
  <c r="AH10" i="20"/>
  <c r="AI10" i="20"/>
  <c r="AJ10" i="20"/>
  <c r="AH11" i="20"/>
  <c r="AI11" i="20"/>
  <c r="AJ11" i="20"/>
  <c r="AH12" i="20"/>
  <c r="AI12" i="20"/>
  <c r="AJ12" i="20"/>
  <c r="AH13" i="20"/>
  <c r="AI13" i="20"/>
  <c r="AJ13" i="20"/>
  <c r="AH14" i="20"/>
  <c r="AI14" i="20"/>
  <c r="AJ14" i="20"/>
  <c r="AH15" i="20"/>
  <c r="AI15" i="20"/>
  <c r="AJ15" i="20"/>
  <c r="AH16" i="20"/>
  <c r="AI16" i="20"/>
  <c r="AJ16" i="20"/>
  <c r="AH17" i="20"/>
  <c r="AI17" i="20"/>
  <c r="AJ17" i="20"/>
  <c r="AH18" i="20"/>
  <c r="AI18" i="20"/>
  <c r="AJ18" i="20"/>
  <c r="AH19" i="20"/>
  <c r="AI19" i="20"/>
  <c r="AJ19" i="20"/>
  <c r="AH20" i="20"/>
  <c r="AI20" i="20"/>
  <c r="AJ20" i="20"/>
  <c r="AH21" i="20"/>
  <c r="AI21" i="20"/>
  <c r="AJ21" i="20"/>
  <c r="AH22" i="20"/>
  <c r="AI22" i="20"/>
  <c r="AJ22" i="20"/>
  <c r="AH23" i="20"/>
  <c r="AI23" i="20"/>
  <c r="AJ23" i="20"/>
  <c r="AH24" i="20"/>
  <c r="AI24" i="20"/>
  <c r="AJ24" i="20"/>
  <c r="AI7" i="20"/>
  <c r="AJ7" i="20"/>
  <c r="AH7" i="20"/>
  <c r="AD22" i="20"/>
  <c r="AD23" i="20"/>
  <c r="AD24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2" i="20"/>
  <c r="AC23" i="20"/>
  <c r="AC24" i="20"/>
  <c r="AC7" i="20"/>
  <c r="AD6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2" i="20"/>
  <c r="V23" i="20"/>
  <c r="V24" i="20"/>
  <c r="V7" i="20"/>
  <c r="AB6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7" i="20"/>
  <c r="R8" i="20"/>
  <c r="S8" i="20"/>
  <c r="T8" i="20"/>
  <c r="R9" i="20"/>
  <c r="S9" i="20"/>
  <c r="T9" i="20"/>
  <c r="R10" i="20"/>
  <c r="S10" i="20"/>
  <c r="T10" i="20"/>
  <c r="R11" i="20"/>
  <c r="S11" i="20"/>
  <c r="T11" i="20"/>
  <c r="R12" i="20"/>
  <c r="S12" i="20"/>
  <c r="T12" i="20"/>
  <c r="R13" i="20"/>
  <c r="S13" i="20"/>
  <c r="T13" i="20"/>
  <c r="R14" i="20"/>
  <c r="S14" i="20"/>
  <c r="T14" i="20"/>
  <c r="R15" i="20"/>
  <c r="S15" i="20"/>
  <c r="T15" i="20"/>
  <c r="R16" i="20"/>
  <c r="S16" i="20"/>
  <c r="T16" i="20"/>
  <c r="R17" i="20"/>
  <c r="S17" i="20"/>
  <c r="T17" i="20"/>
  <c r="R18" i="20"/>
  <c r="S18" i="20"/>
  <c r="T18" i="20"/>
  <c r="R19" i="20"/>
  <c r="S19" i="20"/>
  <c r="T19" i="20"/>
  <c r="R20" i="20"/>
  <c r="S20" i="20"/>
  <c r="T20" i="20"/>
  <c r="R21" i="20"/>
  <c r="S21" i="20"/>
  <c r="T21" i="20"/>
  <c r="R22" i="20"/>
  <c r="S22" i="20"/>
  <c r="T22" i="20"/>
  <c r="R23" i="20"/>
  <c r="S23" i="20"/>
  <c r="T23" i="20"/>
  <c r="R24" i="20"/>
  <c r="S24" i="20"/>
  <c r="T24" i="20"/>
  <c r="S7" i="20"/>
  <c r="T7" i="20"/>
  <c r="R7" i="20"/>
  <c r="AT22" i="20" l="1"/>
  <c r="AT24" i="20"/>
  <c r="AE22" i="20"/>
  <c r="AE24" i="20"/>
  <c r="AE23" i="20"/>
  <c r="AP17" i="8"/>
  <c r="AB15" i="24" s="1"/>
  <c r="AK17" i="8"/>
  <c r="X15" i="24" s="1"/>
  <c r="AF17" i="8"/>
  <c r="T15" i="24" s="1"/>
  <c r="V17" i="8"/>
  <c r="K15" i="24" s="1"/>
  <c r="U17" i="8"/>
  <c r="T17" i="8"/>
  <c r="V5" i="10"/>
  <c r="V6" i="10"/>
  <c r="J6" i="26" s="1"/>
  <c r="X6" i="10"/>
  <c r="L6" i="26" s="1"/>
  <c r="Z6" i="10"/>
  <c r="N6" i="26" s="1"/>
  <c r="AB6" i="10"/>
  <c r="P6" i="26" s="1"/>
  <c r="V7" i="10"/>
  <c r="J7" i="26" s="1"/>
  <c r="X7" i="10"/>
  <c r="L7" i="26" s="1"/>
  <c r="Z7" i="10"/>
  <c r="N7" i="26" s="1"/>
  <c r="AB7" i="10"/>
  <c r="P7" i="26" s="1"/>
  <c r="V8" i="10"/>
  <c r="J8" i="26" s="1"/>
  <c r="X8" i="10"/>
  <c r="L8" i="26" s="1"/>
  <c r="Z8" i="10"/>
  <c r="N8" i="26" s="1"/>
  <c r="AB8" i="10"/>
  <c r="P8" i="26" s="1"/>
  <c r="V9" i="10"/>
  <c r="J9" i="26" s="1"/>
  <c r="X9" i="10"/>
  <c r="L9" i="26" s="1"/>
  <c r="Z9" i="10"/>
  <c r="N9" i="26" s="1"/>
  <c r="AB9" i="10"/>
  <c r="P9" i="26" s="1"/>
  <c r="V10" i="10"/>
  <c r="J10" i="26" s="1"/>
  <c r="X10" i="10"/>
  <c r="L10" i="26" s="1"/>
  <c r="Z10" i="10"/>
  <c r="N10" i="26" s="1"/>
  <c r="AB10" i="10"/>
  <c r="P10" i="26" s="1"/>
  <c r="V11" i="10"/>
  <c r="X11" i="10"/>
  <c r="Z11" i="10"/>
  <c r="AB11" i="10"/>
  <c r="V12" i="10"/>
  <c r="J11" i="26" s="1"/>
  <c r="X12" i="10"/>
  <c r="L11" i="26" s="1"/>
  <c r="Z12" i="10"/>
  <c r="N11" i="26" s="1"/>
  <c r="AB12" i="10"/>
  <c r="P11" i="26" s="1"/>
  <c r="V13" i="10"/>
  <c r="J12" i="26" s="1"/>
  <c r="X13" i="10"/>
  <c r="L12" i="26" s="1"/>
  <c r="Z13" i="10"/>
  <c r="N12" i="26" s="1"/>
  <c r="AB13" i="10"/>
  <c r="P12" i="26" s="1"/>
  <c r="V14" i="10"/>
  <c r="J13" i="26" s="1"/>
  <c r="X14" i="10"/>
  <c r="L13" i="26" s="1"/>
  <c r="Z14" i="10"/>
  <c r="N13" i="26" s="1"/>
  <c r="AB14" i="10"/>
  <c r="P13" i="26" s="1"/>
  <c r="V15" i="10"/>
  <c r="J14" i="26" s="1"/>
  <c r="X15" i="10"/>
  <c r="L14" i="26" s="1"/>
  <c r="Z15" i="10"/>
  <c r="N14" i="26" s="1"/>
  <c r="AB15" i="10"/>
  <c r="P14" i="26" s="1"/>
  <c r="V16" i="10"/>
  <c r="J15" i="26" s="1"/>
  <c r="X16" i="10"/>
  <c r="L15" i="26" s="1"/>
  <c r="Z16" i="10"/>
  <c r="N15" i="26" s="1"/>
  <c r="AB16" i="10"/>
  <c r="P15" i="26" s="1"/>
  <c r="V17" i="10"/>
  <c r="J16" i="26" s="1"/>
  <c r="X17" i="10"/>
  <c r="L16" i="26" s="1"/>
  <c r="Z17" i="10"/>
  <c r="N16" i="26" s="1"/>
  <c r="AB17" i="10"/>
  <c r="P16" i="26" s="1"/>
  <c r="V18" i="10"/>
  <c r="J17" i="26" s="1"/>
  <c r="X18" i="10"/>
  <c r="L17" i="26" s="1"/>
  <c r="Z18" i="10"/>
  <c r="N17" i="26" s="1"/>
  <c r="AB18" i="10"/>
  <c r="P17" i="26" s="1"/>
  <c r="V19" i="10"/>
  <c r="J18" i="26" s="1"/>
  <c r="X19" i="10"/>
  <c r="L18" i="26" s="1"/>
  <c r="Z19" i="10"/>
  <c r="N18" i="26" s="1"/>
  <c r="AB19" i="10"/>
  <c r="P18" i="26" s="1"/>
  <c r="V20" i="10"/>
  <c r="J19" i="26" s="1"/>
  <c r="X20" i="10"/>
  <c r="L19" i="26" s="1"/>
  <c r="Z20" i="10"/>
  <c r="N19" i="26" s="1"/>
  <c r="AB20" i="10"/>
  <c r="P19" i="26" s="1"/>
  <c r="V21" i="10"/>
  <c r="J20" i="26" s="1"/>
  <c r="X21" i="10"/>
  <c r="L20" i="26" s="1"/>
  <c r="Z21" i="10"/>
  <c r="N20" i="26" s="1"/>
  <c r="AB21" i="10"/>
  <c r="P20" i="26" s="1"/>
  <c r="V22" i="10"/>
  <c r="J21" i="26" s="1"/>
  <c r="X22" i="10"/>
  <c r="L21" i="26" s="1"/>
  <c r="Z22" i="10"/>
  <c r="N21" i="26" s="1"/>
  <c r="AB22" i="10"/>
  <c r="P21" i="26" s="1"/>
  <c r="X23" i="10"/>
  <c r="L22" i="26" s="1"/>
  <c r="Z23" i="10"/>
  <c r="N22" i="26" s="1"/>
  <c r="AB23" i="10"/>
  <c r="P22" i="26" s="1"/>
  <c r="V24" i="10"/>
  <c r="J23" i="26" s="1"/>
  <c r="X24" i="10"/>
  <c r="L23" i="26" s="1"/>
  <c r="Z24" i="10"/>
  <c r="N23" i="26" s="1"/>
  <c r="AB24" i="10"/>
  <c r="P23" i="26" s="1"/>
  <c r="V25" i="10"/>
  <c r="J24" i="26" s="1"/>
  <c r="X25" i="10"/>
  <c r="L24" i="26" s="1"/>
  <c r="Z25" i="10"/>
  <c r="N24" i="26" s="1"/>
  <c r="AB25" i="10"/>
  <c r="P24" i="26" s="1"/>
  <c r="V39" i="10"/>
  <c r="X39" i="10"/>
  <c r="Z39" i="10"/>
  <c r="AB39" i="10"/>
  <c r="AB5" i="10"/>
  <c r="P5" i="26" s="1"/>
  <c r="Z5" i="10"/>
  <c r="N5" i="26" s="1"/>
  <c r="X5" i="10"/>
  <c r="L5" i="26" s="1"/>
  <c r="H13" i="2"/>
  <c r="I13" i="2"/>
  <c r="J13" i="2"/>
  <c r="C44" i="1"/>
  <c r="CN17" i="37" l="1"/>
  <c r="CP17" i="37" s="1"/>
  <c r="AU17" i="8"/>
  <c r="AF15" i="24" s="1"/>
  <c r="AS17" i="8"/>
  <c r="AD15" i="24" s="1"/>
  <c r="AT17" i="8"/>
  <c r="AE15" i="24" s="1"/>
  <c r="AW17" i="8"/>
  <c r="AH15" i="24" s="1"/>
  <c r="AX17" i="8"/>
  <c r="AI15" i="24" s="1"/>
  <c r="AV17" i="8"/>
  <c r="AG15" i="24" s="1"/>
  <c r="V40" i="10"/>
  <c r="T20" i="32"/>
  <c r="S20" i="32" s="1"/>
  <c r="AY15" i="34"/>
  <c r="BA15" i="34" s="1"/>
  <c r="X17" i="8"/>
  <c r="M15" i="24" s="1"/>
  <c r="M13" i="2"/>
  <c r="L32" i="26"/>
  <c r="P32" i="26"/>
  <c r="J5" i="26"/>
  <c r="J32" i="26" s="1"/>
  <c r="N32" i="26"/>
  <c r="AQ17" i="8"/>
  <c r="BB17" i="8"/>
  <c r="AL15" i="24" s="1"/>
  <c r="BM17" i="8"/>
  <c r="AW15" i="24" s="1"/>
  <c r="BF17" i="8"/>
  <c r="AP15" i="24" s="1"/>
  <c r="BK17" i="8"/>
  <c r="AU15" i="24" s="1"/>
  <c r="AL17" i="8"/>
  <c r="H14" i="2"/>
  <c r="BJ17" i="8"/>
  <c r="AT15" i="24" s="1"/>
  <c r="BL17" i="8"/>
  <c r="AV15" i="24" s="1"/>
  <c r="AG17" i="8"/>
  <c r="B5" i="10"/>
  <c r="G2" i="2"/>
  <c r="J14" i="2"/>
  <c r="I14" i="2"/>
  <c r="C10" i="2"/>
  <c r="C9" i="2"/>
  <c r="E15" i="15"/>
  <c r="E14" i="15"/>
  <c r="E8" i="15"/>
  <c r="E7" i="15"/>
  <c r="E6" i="15"/>
  <c r="E5" i="15"/>
  <c r="E4" i="15"/>
  <c r="E3" i="15"/>
  <c r="P34" i="26" l="1"/>
  <c r="P39" i="26" s="1"/>
  <c r="AZ17" i="8"/>
  <c r="AJ15" i="24" s="1"/>
  <c r="V20" i="32"/>
  <c r="T44" i="4"/>
  <c r="V43" i="22" s="1"/>
  <c r="E25" i="21"/>
  <c r="N43" i="4"/>
  <c r="Q42" i="22" s="1"/>
  <c r="D25" i="21"/>
  <c r="BH17" i="8"/>
  <c r="AR15" i="24" s="1"/>
  <c r="BD17" i="8"/>
  <c r="AN15" i="24" s="1"/>
  <c r="B17" i="8"/>
  <c r="J33" i="16" l="1"/>
  <c r="I33" i="16"/>
  <c r="O33" i="16"/>
  <c r="O34" i="16"/>
  <c r="I34" i="16"/>
  <c r="J34" i="16"/>
  <c r="H24" i="4"/>
  <c r="C25" i="21"/>
  <c r="T5" i="14"/>
  <c r="Q5" i="14"/>
  <c r="N5" i="14"/>
  <c r="K5" i="14"/>
  <c r="I24" i="22" l="1"/>
  <c r="J24" i="22" s="1"/>
  <c r="N34" i="16"/>
  <c r="P34" i="16" s="1"/>
  <c r="N33" i="16"/>
  <c r="P33" i="16" s="1"/>
  <c r="L33" i="16"/>
  <c r="K33" i="16"/>
  <c r="C17" i="8"/>
  <c r="K34" i="16"/>
  <c r="L34" i="16"/>
  <c r="S38" i="4"/>
  <c r="U37" i="22" s="1"/>
  <c r="U44" i="4"/>
  <c r="W43" i="22" s="1"/>
  <c r="U43" i="4"/>
  <c r="W42" i="22" s="1"/>
  <c r="U42" i="4"/>
  <c r="W41" i="22" s="1"/>
  <c r="U41" i="4"/>
  <c r="W40" i="22" s="1"/>
  <c r="O43" i="4"/>
  <c r="R42" i="22" s="1"/>
  <c r="O42" i="4"/>
  <c r="R41" i="22" s="1"/>
  <c r="O41" i="4"/>
  <c r="R40" i="22" s="1"/>
  <c r="O40" i="4"/>
  <c r="R39" i="22" s="1"/>
  <c r="AE39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E6" i="10"/>
  <c r="AE5" i="10"/>
  <c r="C7" i="13"/>
  <c r="C6" i="13"/>
  <c r="C5" i="13"/>
  <c r="C4" i="13"/>
  <c r="C3" i="13"/>
  <c r="D161" i="11"/>
  <c r="D141" i="11"/>
  <c r="D140" i="11"/>
  <c r="D139" i="11"/>
  <c r="D138" i="11"/>
  <c r="D67" i="11"/>
  <c r="D58" i="11"/>
  <c r="D57" i="11"/>
  <c r="D94" i="11"/>
  <c r="D69" i="11"/>
  <c r="D59" i="11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39" i="10"/>
  <c r="A6" i="12"/>
  <c r="A7" i="12"/>
  <c r="A8" i="12"/>
  <c r="A9" i="12"/>
  <c r="A10" i="12"/>
  <c r="A11" i="12"/>
  <c r="A12" i="12"/>
  <c r="A13" i="12"/>
  <c r="A14" i="12"/>
  <c r="A15" i="12"/>
  <c r="A5" i="12"/>
  <c r="J39" i="12"/>
  <c r="J38" i="12"/>
  <c r="I25" i="12"/>
  <c r="G26" i="12"/>
  <c r="M3" i="30" s="1"/>
  <c r="G27" i="12"/>
  <c r="M4" i="30" s="1"/>
  <c r="G28" i="12"/>
  <c r="M5" i="30" s="1"/>
  <c r="G29" i="12"/>
  <c r="M6" i="30" s="1"/>
  <c r="G30" i="12"/>
  <c r="M7" i="30" s="1"/>
  <c r="G31" i="12"/>
  <c r="M8" i="30" s="1"/>
  <c r="G32" i="12"/>
  <c r="M9" i="30" s="1"/>
  <c r="G33" i="12"/>
  <c r="M10" i="30" s="1"/>
  <c r="G34" i="12"/>
  <c r="M11" i="30" s="1"/>
  <c r="G35" i="12"/>
  <c r="M12" i="30" s="1"/>
  <c r="G25" i="12"/>
  <c r="M2" i="30" s="1"/>
  <c r="L16" i="12"/>
  <c r="K16" i="12"/>
  <c r="AD5" i="10"/>
  <c r="D2" i="13"/>
  <c r="C2" i="13"/>
  <c r="T18" i="8"/>
  <c r="T49" i="8"/>
  <c r="F18" i="4" l="1"/>
  <c r="C18" i="4"/>
  <c r="D18" i="22" s="1"/>
  <c r="F17" i="4"/>
  <c r="G17" i="22" s="1"/>
  <c r="C17" i="4"/>
  <c r="D17" i="22" s="1"/>
  <c r="F16" i="4"/>
  <c r="C16" i="4"/>
  <c r="D16" i="22" s="1"/>
  <c r="F15" i="4"/>
  <c r="G15" i="22" s="1"/>
  <c r="C15" i="4"/>
  <c r="D15" i="22" s="1"/>
  <c r="E18" i="4"/>
  <c r="F18" i="22" s="1"/>
  <c r="E17" i="4"/>
  <c r="F17" i="22" s="1"/>
  <c r="E16" i="4"/>
  <c r="F16" i="22" s="1"/>
  <c r="E15" i="4"/>
  <c r="F15" i="22" s="1"/>
  <c r="G18" i="4"/>
  <c r="D18" i="4"/>
  <c r="E18" i="22" s="1"/>
  <c r="G17" i="4"/>
  <c r="H17" i="22" s="1"/>
  <c r="D17" i="4"/>
  <c r="E17" i="22" s="1"/>
  <c r="G16" i="4"/>
  <c r="H16" i="22" s="1"/>
  <c r="D16" i="4"/>
  <c r="G15" i="4"/>
  <c r="H15" i="22" s="1"/>
  <c r="D15" i="4"/>
  <c r="E15" i="22" s="1"/>
  <c r="H18" i="22"/>
  <c r="G18" i="22"/>
  <c r="G16" i="22"/>
  <c r="E16" i="22"/>
  <c r="B15" i="4"/>
  <c r="C12" i="29"/>
  <c r="F15" i="30"/>
  <c r="J25" i="12"/>
  <c r="O2" i="30"/>
  <c r="F16" i="30"/>
  <c r="C12" i="1"/>
  <c r="C13" i="21" s="1"/>
  <c r="M37" i="4"/>
  <c r="M36" i="22" s="1"/>
  <c r="H12" i="4"/>
  <c r="I12" i="22" s="1"/>
  <c r="J40" i="12"/>
  <c r="J41" i="12" l="1"/>
  <c r="C14" i="1" s="1"/>
  <c r="C15" i="21" s="1"/>
  <c r="F17" i="30"/>
  <c r="J36" i="12"/>
  <c r="P2" i="30"/>
  <c r="D38" i="11"/>
  <c r="J12" i="22"/>
  <c r="U49" i="8"/>
  <c r="U18" i="8"/>
  <c r="U16" i="8"/>
  <c r="U15" i="8"/>
  <c r="U14" i="8"/>
  <c r="U13" i="8"/>
  <c r="U10" i="8"/>
  <c r="U9" i="8"/>
  <c r="U6" i="8"/>
  <c r="AB40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39" i="10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AP49" i="8"/>
  <c r="AB47" i="24" s="1"/>
  <c r="AK49" i="8"/>
  <c r="X47" i="24" s="1"/>
  <c r="AF49" i="8"/>
  <c r="T47" i="24" s="1"/>
  <c r="V49" i="8"/>
  <c r="K47" i="24" s="1"/>
  <c r="AP18" i="8"/>
  <c r="AB16" i="24" s="1"/>
  <c r="AK18" i="8"/>
  <c r="X16" i="24" s="1"/>
  <c r="AF18" i="8"/>
  <c r="V18" i="8"/>
  <c r="K16" i="24" s="1"/>
  <c r="Z40" i="10"/>
  <c r="G15" i="1" s="1"/>
  <c r="E16" i="21" s="1"/>
  <c r="X40" i="10"/>
  <c r="D15" i="29" s="1"/>
  <c r="T40" i="10"/>
  <c r="F27" i="36" l="1"/>
  <c r="T16" i="24"/>
  <c r="CN18" i="37"/>
  <c r="CP18" i="37" s="1"/>
  <c r="AU18" i="8"/>
  <c r="AF16" i="24" s="1"/>
  <c r="AW18" i="8"/>
  <c r="AH16" i="24" s="1"/>
  <c r="AS18" i="8"/>
  <c r="AD16" i="24" s="1"/>
  <c r="AX18" i="8"/>
  <c r="AI16" i="24" s="1"/>
  <c r="AV18" i="8"/>
  <c r="AG16" i="24" s="1"/>
  <c r="AT18" i="8"/>
  <c r="AE16" i="24" s="1"/>
  <c r="AU49" i="8"/>
  <c r="AF47" i="24" s="1"/>
  <c r="AX49" i="8"/>
  <c r="AI47" i="24" s="1"/>
  <c r="AS49" i="8"/>
  <c r="AD47" i="24" s="1"/>
  <c r="AV49" i="8"/>
  <c r="AG47" i="24" s="1"/>
  <c r="AT49" i="8"/>
  <c r="AE47" i="24" s="1"/>
  <c r="AW49" i="8"/>
  <c r="AH47" i="24" s="1"/>
  <c r="AY16" i="34"/>
  <c r="BA16" i="34" s="1"/>
  <c r="T51" i="32"/>
  <c r="V51" i="32" s="1"/>
  <c r="F16" i="36"/>
  <c r="S36" i="20"/>
  <c r="T21" i="32"/>
  <c r="S21" i="32" s="1"/>
  <c r="F26" i="36"/>
  <c r="X49" i="8"/>
  <c r="M47" i="24" s="1"/>
  <c r="X18" i="8"/>
  <c r="M16" i="24" s="1"/>
  <c r="H14" i="4"/>
  <c r="I14" i="22" s="1"/>
  <c r="J14" i="22" s="1"/>
  <c r="C14" i="29"/>
  <c r="F18" i="30"/>
  <c r="D40" i="11"/>
  <c r="D15" i="1"/>
  <c r="D16" i="21" s="1"/>
  <c r="AB20" i="20"/>
  <c r="BM49" i="8"/>
  <c r="AW47" i="24" s="1"/>
  <c r="BM18" i="8"/>
  <c r="AW16" i="24" s="1"/>
  <c r="AL49" i="8"/>
  <c r="AD20" i="20"/>
  <c r="AL18" i="8"/>
  <c r="BK18" i="8"/>
  <c r="AU16" i="24" s="1"/>
  <c r="BF49" i="8"/>
  <c r="AP47" i="24" s="1"/>
  <c r="BB49" i="8"/>
  <c r="BF18" i="8"/>
  <c r="AP16" i="24" s="1"/>
  <c r="BB18" i="8"/>
  <c r="AL16" i="24" s="1"/>
  <c r="B16" i="4"/>
  <c r="B17" i="4"/>
  <c r="B18" i="4"/>
  <c r="V45" i="10"/>
  <c r="C18" i="29" s="1"/>
  <c r="C29" i="2"/>
  <c r="AB42" i="10"/>
  <c r="AB44" i="10"/>
  <c r="C36" i="1" s="1"/>
  <c r="D158" i="11" s="1"/>
  <c r="BJ49" i="8"/>
  <c r="AT47" i="24" s="1"/>
  <c r="BK49" i="8"/>
  <c r="AU47" i="24" s="1"/>
  <c r="AG49" i="8"/>
  <c r="H16" i="36" s="1"/>
  <c r="AQ49" i="8"/>
  <c r="BL49" i="8"/>
  <c r="AV47" i="24" s="1"/>
  <c r="AQ18" i="8"/>
  <c r="BJ18" i="8"/>
  <c r="AT16" i="24" s="1"/>
  <c r="AG18" i="8"/>
  <c r="BL18" i="8"/>
  <c r="AV16" i="24" s="1"/>
  <c r="V44" i="10"/>
  <c r="V42" i="10"/>
  <c r="V43" i="10"/>
  <c r="C17" i="29" s="1"/>
  <c r="AJ36" i="20" l="1"/>
  <c r="AL36" i="20" s="1"/>
  <c r="AN36" i="20" s="1"/>
  <c r="AP36" i="20" s="1"/>
  <c r="AL47" i="24"/>
  <c r="H15" i="4"/>
  <c r="I15" i="22" s="1"/>
  <c r="J34" i="26"/>
  <c r="C16" i="29"/>
  <c r="J36" i="26"/>
  <c r="S51" i="32"/>
  <c r="AZ49" i="8"/>
  <c r="AJ47" i="24" s="1"/>
  <c r="AZ18" i="8"/>
  <c r="AJ16" i="24" s="1"/>
  <c r="V21" i="32"/>
  <c r="C15" i="29"/>
  <c r="N17" i="29" s="1"/>
  <c r="O17" i="29" s="1"/>
  <c r="C15" i="1"/>
  <c r="C16" i="21" s="1"/>
  <c r="H26" i="36"/>
  <c r="I26" i="36" s="1"/>
  <c r="H27" i="36"/>
  <c r="I27" i="36" s="1"/>
  <c r="AP20" i="20"/>
  <c r="AO20" i="20"/>
  <c r="AN20" i="20"/>
  <c r="AM20" i="20"/>
  <c r="AL20" i="20"/>
  <c r="N16" i="29"/>
  <c r="O16" i="29" s="1"/>
  <c r="C17" i="1"/>
  <c r="C18" i="21" s="1"/>
  <c r="C16" i="1"/>
  <c r="C17" i="21" s="1"/>
  <c r="C18" i="1"/>
  <c r="C19" i="21" s="1"/>
  <c r="D135" i="11"/>
  <c r="C17" i="22"/>
  <c r="C16" i="22"/>
  <c r="C15" i="22"/>
  <c r="C18" i="22"/>
  <c r="BH49" i="8"/>
  <c r="AR47" i="24" s="1"/>
  <c r="AK20" i="20"/>
  <c r="BH18" i="8"/>
  <c r="AR16" i="24" s="1"/>
  <c r="AR20" i="20"/>
  <c r="AE20" i="20"/>
  <c r="BD49" i="8"/>
  <c r="AN47" i="24" s="1"/>
  <c r="BD18" i="8"/>
  <c r="AN16" i="24" s="1"/>
  <c r="AB47" i="10"/>
  <c r="C35" i="1"/>
  <c r="F16" i="21" s="1"/>
  <c r="F20" i="21" s="1"/>
  <c r="F26" i="21" s="1"/>
  <c r="F29" i="21" s="1"/>
  <c r="B49" i="8"/>
  <c r="B18" i="8"/>
  <c r="V47" i="10"/>
  <c r="I15" i="4" l="1"/>
  <c r="J39" i="26"/>
  <c r="O35" i="16"/>
  <c r="J35" i="16"/>
  <c r="I35" i="16"/>
  <c r="T36" i="20"/>
  <c r="O73" i="16"/>
  <c r="I73" i="16"/>
  <c r="J73" i="16"/>
  <c r="Q17" i="1"/>
  <c r="R17" i="1" s="1"/>
  <c r="D45" i="11"/>
  <c r="Q16" i="1"/>
  <c r="R16" i="1" s="1"/>
  <c r="D46" i="11"/>
  <c r="D47" i="11"/>
  <c r="D44" i="11"/>
  <c r="J16" i="22"/>
  <c r="J18" i="22"/>
  <c r="J15" i="22"/>
  <c r="J17" i="22"/>
  <c r="AS20" i="20"/>
  <c r="C37" i="1"/>
  <c r="D156" i="11"/>
  <c r="D157" i="11"/>
  <c r="N35" i="16" l="1"/>
  <c r="P35" i="16" s="1"/>
  <c r="N73" i="16"/>
  <c r="P73" i="16" s="1"/>
  <c r="L35" i="16"/>
  <c r="K35" i="16"/>
  <c r="K73" i="16"/>
  <c r="L73" i="16"/>
  <c r="D50" i="11"/>
  <c r="D51" i="11" s="1"/>
  <c r="D48" i="11"/>
  <c r="C18" i="8"/>
  <c r="AQ20" i="20"/>
  <c r="AT20" i="20" s="1"/>
  <c r="C49" i="8"/>
  <c r="D159" i="11"/>
  <c r="O26" i="9" l="1"/>
  <c r="T29" i="9"/>
  <c r="T37" i="4" s="1"/>
  <c r="V36" i="22" s="1"/>
  <c r="T28" i="9"/>
  <c r="G9" i="1" s="1"/>
  <c r="E10" i="21" s="1"/>
  <c r="R29" i="9"/>
  <c r="D10" i="29" s="1"/>
  <c r="D19" i="29" s="1"/>
  <c r="D25" i="29" s="1"/>
  <c r="D28" i="29" s="1"/>
  <c r="R28" i="9"/>
  <c r="P30" i="9"/>
  <c r="C13" i="29" s="1"/>
  <c r="P29" i="9"/>
  <c r="C10" i="29" s="1"/>
  <c r="P28" i="9"/>
  <c r="T26" i="9"/>
  <c r="R26" i="9"/>
  <c r="P26" i="9"/>
  <c r="B5" i="9"/>
  <c r="C28" i="2" s="1"/>
  <c r="C9" i="1" l="1"/>
  <c r="C10" i="21" s="1"/>
  <c r="H9" i="4"/>
  <c r="I9" i="22" s="1"/>
  <c r="H10" i="4"/>
  <c r="I10" i="22" s="1"/>
  <c r="J10" i="22" s="1"/>
  <c r="C10" i="1"/>
  <c r="C11" i="21" s="1"/>
  <c r="C13" i="1"/>
  <c r="C14" i="21" s="1"/>
  <c r="N35" i="4"/>
  <c r="D9" i="1"/>
  <c r="D10" i="21" s="1"/>
  <c r="D10" i="1"/>
  <c r="D11" i="21" s="1"/>
  <c r="P33" i="9"/>
  <c r="T33" i="9"/>
  <c r="T36" i="4"/>
  <c r="V35" i="22" s="1"/>
  <c r="G10" i="1"/>
  <c r="R33" i="9"/>
  <c r="N36" i="4"/>
  <c r="H13" i="4"/>
  <c r="I13" i="22" s="1"/>
  <c r="J13" i="22" s="1"/>
  <c r="AN4" i="8"/>
  <c r="BF4" i="8" s="1"/>
  <c r="AI4" i="8"/>
  <c r="AE3" i="6"/>
  <c r="Y4" i="8"/>
  <c r="Z3" i="6"/>
  <c r="P3" i="6"/>
  <c r="U38" i="4"/>
  <c r="U37" i="4"/>
  <c r="W36" i="22" s="1"/>
  <c r="U35" i="4"/>
  <c r="W34" i="22" s="1"/>
  <c r="O37" i="4"/>
  <c r="V70" i="6"/>
  <c r="AP16" i="8"/>
  <c r="AB14" i="24" s="1"/>
  <c r="AK16" i="8"/>
  <c r="X14" i="24" s="1"/>
  <c r="AF16" i="8"/>
  <c r="T14" i="24" s="1"/>
  <c r="V16" i="8"/>
  <c r="K14" i="24" s="1"/>
  <c r="T16" i="8"/>
  <c r="AP15" i="8"/>
  <c r="AB13" i="24" s="1"/>
  <c r="AK15" i="8"/>
  <c r="X13" i="24" s="1"/>
  <c r="AF15" i="8"/>
  <c r="V15" i="8"/>
  <c r="K13" i="24" s="1"/>
  <c r="T15" i="8"/>
  <c r="AP14" i="8"/>
  <c r="AB12" i="24" s="1"/>
  <c r="AK14" i="8"/>
  <c r="X12" i="24" s="1"/>
  <c r="AF14" i="8"/>
  <c r="T12" i="24" s="1"/>
  <c r="V14" i="8"/>
  <c r="K12" i="24" s="1"/>
  <c r="T14" i="8"/>
  <c r="AP13" i="8"/>
  <c r="AB11" i="24" s="1"/>
  <c r="AK13" i="8"/>
  <c r="X11" i="24" s="1"/>
  <c r="AF13" i="8"/>
  <c r="V13" i="8"/>
  <c r="K11" i="24" s="1"/>
  <c r="T13" i="8"/>
  <c r="AP10" i="8"/>
  <c r="AB8" i="24" s="1"/>
  <c r="AK10" i="8"/>
  <c r="X8" i="24" s="1"/>
  <c r="AF10" i="8"/>
  <c r="V10" i="8"/>
  <c r="K8" i="24" s="1"/>
  <c r="T10" i="8"/>
  <c r="AP9" i="8"/>
  <c r="AB7" i="24" s="1"/>
  <c r="AK9" i="8"/>
  <c r="X7" i="24" s="1"/>
  <c r="AF9" i="8"/>
  <c r="T7" i="24" s="1"/>
  <c r="V9" i="8"/>
  <c r="K7" i="24" s="1"/>
  <c r="T9" i="8"/>
  <c r="AP8" i="8"/>
  <c r="AB6" i="24" s="1"/>
  <c r="AK8" i="8"/>
  <c r="X6" i="24" s="1"/>
  <c r="AF8" i="8"/>
  <c r="T6" i="24" s="1"/>
  <c r="AP7" i="8"/>
  <c r="AB5" i="24" s="1"/>
  <c r="AK7" i="8"/>
  <c r="X5" i="24" s="1"/>
  <c r="AF7" i="8"/>
  <c r="V6" i="8"/>
  <c r="K4" i="24" s="1"/>
  <c r="T10" i="32" l="1"/>
  <c r="T5" i="24"/>
  <c r="AB18" i="20"/>
  <c r="T13" i="24"/>
  <c r="S31" i="20"/>
  <c r="T11" i="24"/>
  <c r="F19" i="36"/>
  <c r="T8" i="24"/>
  <c r="CN8" i="37"/>
  <c r="CP8" i="37" s="1"/>
  <c r="AU6" i="8"/>
  <c r="AF4" i="24" s="1"/>
  <c r="AS6" i="8"/>
  <c r="AD4" i="24" s="1"/>
  <c r="AV6" i="8"/>
  <c r="AG4" i="24" s="1"/>
  <c r="AW6" i="8"/>
  <c r="AH4" i="24" s="1"/>
  <c r="AX6" i="8"/>
  <c r="AI4" i="24" s="1"/>
  <c r="AT6" i="8"/>
  <c r="AE4" i="24" s="1"/>
  <c r="CN11" i="37"/>
  <c r="CP11" i="37" s="1"/>
  <c r="AU9" i="8"/>
  <c r="AF7" i="24" s="1"/>
  <c r="AT9" i="8"/>
  <c r="AE7" i="24" s="1"/>
  <c r="AV9" i="8"/>
  <c r="AG7" i="24" s="1"/>
  <c r="AW9" i="8"/>
  <c r="AH7" i="24" s="1"/>
  <c r="AX9" i="8"/>
  <c r="AI7" i="24" s="1"/>
  <c r="AS9" i="8"/>
  <c r="AD7" i="24" s="1"/>
  <c r="AU16" i="8"/>
  <c r="AF14" i="24" s="1"/>
  <c r="AW16" i="8"/>
  <c r="AH14" i="24" s="1"/>
  <c r="AX16" i="8"/>
  <c r="AI14" i="24" s="1"/>
  <c r="AV16" i="8"/>
  <c r="AG14" i="24" s="1"/>
  <c r="AT16" i="8"/>
  <c r="AE14" i="24" s="1"/>
  <c r="AS16" i="8"/>
  <c r="AD14" i="24" s="1"/>
  <c r="CP14" i="37"/>
  <c r="CN15" i="37"/>
  <c r="CP15" i="37" s="1"/>
  <c r="AU14" i="8"/>
  <c r="AF12" i="24" s="1"/>
  <c r="AV14" i="8"/>
  <c r="AG12" i="24" s="1"/>
  <c r="AX14" i="8"/>
  <c r="AI12" i="24" s="1"/>
  <c r="AW14" i="8"/>
  <c r="AH12" i="24" s="1"/>
  <c r="AS14" i="8"/>
  <c r="AD12" i="24" s="1"/>
  <c r="AT14" i="8"/>
  <c r="AE12" i="24" s="1"/>
  <c r="Q279" i="28"/>
  <c r="AU10" i="8"/>
  <c r="AF8" i="24" s="1"/>
  <c r="AW10" i="8"/>
  <c r="AH8" i="24" s="1"/>
  <c r="AX10" i="8"/>
  <c r="AI8" i="24" s="1"/>
  <c r="AS10" i="8"/>
  <c r="AD8" i="24" s="1"/>
  <c r="AT10" i="8"/>
  <c r="AE8" i="24" s="1"/>
  <c r="AV10" i="8"/>
  <c r="AG8" i="24" s="1"/>
  <c r="CN16" i="37"/>
  <c r="CP16" i="37" s="1"/>
  <c r="AU15" i="8"/>
  <c r="AF13" i="24" s="1"/>
  <c r="AT15" i="8"/>
  <c r="AE13" i="24" s="1"/>
  <c r="AW15" i="8"/>
  <c r="AH13" i="24" s="1"/>
  <c r="AS15" i="8"/>
  <c r="AD13" i="24" s="1"/>
  <c r="AV15" i="8"/>
  <c r="AG13" i="24" s="1"/>
  <c r="AX15" i="8"/>
  <c r="AI13" i="24" s="1"/>
  <c r="CN14" i="37"/>
  <c r="AU13" i="8"/>
  <c r="AF11" i="24" s="1"/>
  <c r="AT13" i="8"/>
  <c r="AE11" i="24" s="1"/>
  <c r="AW13" i="8"/>
  <c r="AH11" i="24" s="1"/>
  <c r="AS13" i="8"/>
  <c r="AD11" i="24" s="1"/>
  <c r="AV13" i="8"/>
  <c r="AG11" i="24" s="1"/>
  <c r="AX13" i="8"/>
  <c r="AI11" i="24" s="1"/>
  <c r="Y58" i="8"/>
  <c r="AN9" i="33"/>
  <c r="AA58" i="8"/>
  <c r="AC58" i="8"/>
  <c r="AB58" i="8"/>
  <c r="AD58" i="8"/>
  <c r="Z58" i="8"/>
  <c r="AY13" i="34"/>
  <c r="BA13" i="34" s="1"/>
  <c r="CP13" i="37"/>
  <c r="AY11" i="34"/>
  <c r="BA11" i="34" s="1"/>
  <c r="Q231" i="28"/>
  <c r="Q232" i="28"/>
  <c r="AB17" i="20"/>
  <c r="AD19" i="20"/>
  <c r="F25" i="36"/>
  <c r="AB19" i="20"/>
  <c r="AY14" i="34"/>
  <c r="BA14" i="34" s="1"/>
  <c r="AD17" i="20"/>
  <c r="AD18" i="20"/>
  <c r="AE18" i="20" s="1"/>
  <c r="T12" i="32"/>
  <c r="S12" i="32" s="1"/>
  <c r="F2" i="36"/>
  <c r="T16" i="32"/>
  <c r="S16" i="32" s="1"/>
  <c r="F21" i="36"/>
  <c r="T19" i="32"/>
  <c r="S19" i="32" s="1"/>
  <c r="F24" i="36"/>
  <c r="T17" i="32"/>
  <c r="S17" i="32" s="1"/>
  <c r="F22" i="36"/>
  <c r="T11" i="32"/>
  <c r="S11" i="32" s="1"/>
  <c r="F18" i="36"/>
  <c r="T13" i="32"/>
  <c r="S13" i="32" s="1"/>
  <c r="F3" i="36"/>
  <c r="T18" i="32"/>
  <c r="S18" i="32" s="1"/>
  <c r="F23" i="36"/>
  <c r="Q233" i="28"/>
  <c r="AY8" i="34"/>
  <c r="BA8" i="34" s="1"/>
  <c r="S10" i="32"/>
  <c r="V10" i="32"/>
  <c r="AM9" i="20"/>
  <c r="AM10" i="20"/>
  <c r="D35" i="11"/>
  <c r="F29" i="2"/>
  <c r="W37" i="22"/>
  <c r="O35" i="4"/>
  <c r="R34" i="22" s="1"/>
  <c r="Q34" i="22"/>
  <c r="O36" i="4"/>
  <c r="R35" i="22" s="1"/>
  <c r="Q35" i="22"/>
  <c r="X14" i="8"/>
  <c r="M12" i="24" s="1"/>
  <c r="X16" i="8"/>
  <c r="M14" i="24" s="1"/>
  <c r="X15" i="8"/>
  <c r="M13" i="24" s="1"/>
  <c r="K3" i="24"/>
  <c r="E29" i="2"/>
  <c r="R36" i="22"/>
  <c r="Q230" i="28"/>
  <c r="Q275" i="28"/>
  <c r="X13" i="8"/>
  <c r="M11" i="24" s="1"/>
  <c r="Q281" i="28"/>
  <c r="Q274" i="28"/>
  <c r="X9" i="8"/>
  <c r="M7" i="24" s="1"/>
  <c r="Q277" i="28"/>
  <c r="X10" i="8"/>
  <c r="Q278" i="28"/>
  <c r="Q276" i="28"/>
  <c r="D36" i="11"/>
  <c r="E927" i="28"/>
  <c r="E932" i="28"/>
  <c r="D134" i="11"/>
  <c r="E936" i="28"/>
  <c r="E934" i="28"/>
  <c r="D133" i="11"/>
  <c r="D39" i="11"/>
  <c r="AB15" i="20"/>
  <c r="AB14" i="20"/>
  <c r="AB11" i="20"/>
  <c r="AB13" i="20"/>
  <c r="AB12" i="20"/>
  <c r="AB10" i="20"/>
  <c r="AB16" i="20"/>
  <c r="AQ16" i="8"/>
  <c r="BM15" i="8"/>
  <c r="AW13" i="24" s="1"/>
  <c r="AQ10" i="8"/>
  <c r="AQ9" i="8"/>
  <c r="BM7" i="8"/>
  <c r="AW5" i="24" s="1"/>
  <c r="AQ14" i="8"/>
  <c r="BM13" i="8"/>
  <c r="AW11" i="24" s="1"/>
  <c r="AQ8" i="8"/>
  <c r="D65" i="11"/>
  <c r="E11" i="21"/>
  <c r="BK14" i="8"/>
  <c r="AU12" i="24" s="1"/>
  <c r="BK15" i="8"/>
  <c r="AU13" i="24" s="1"/>
  <c r="AL15" i="8"/>
  <c r="AD15" i="20"/>
  <c r="BK9" i="8"/>
  <c r="AU7" i="24" s="1"/>
  <c r="AL10" i="8"/>
  <c r="AD12" i="20"/>
  <c r="BK10" i="8"/>
  <c r="AU8" i="24" s="1"/>
  <c r="AL13" i="8"/>
  <c r="AD13" i="20"/>
  <c r="AL16" i="8"/>
  <c r="AD16" i="20"/>
  <c r="BL14" i="8"/>
  <c r="AV12" i="24" s="1"/>
  <c r="AD14" i="20"/>
  <c r="AG8" i="8"/>
  <c r="AL9" i="8"/>
  <c r="AD11" i="20"/>
  <c r="BK7" i="8"/>
  <c r="AU5" i="24" s="1"/>
  <c r="AL8" i="8"/>
  <c r="AD10" i="20"/>
  <c r="AL7" i="8"/>
  <c r="BK16" i="8"/>
  <c r="AU14" i="24" s="1"/>
  <c r="BB4" i="8"/>
  <c r="AR6" i="20" s="1"/>
  <c r="AC6" i="20"/>
  <c r="J9" i="22"/>
  <c r="I19" i="22"/>
  <c r="I25" i="22" s="1"/>
  <c r="I27" i="22" s="1"/>
  <c r="BF7" i="8"/>
  <c r="AP5" i="24" s="1"/>
  <c r="BB7" i="8"/>
  <c r="BF15" i="8"/>
  <c r="AP13" i="24" s="1"/>
  <c r="BB15" i="8"/>
  <c r="AL13" i="24" s="1"/>
  <c r="BB16" i="8"/>
  <c r="AL14" i="24" s="1"/>
  <c r="BF16" i="8"/>
  <c r="AP14" i="24" s="1"/>
  <c r="BB9" i="8"/>
  <c r="AL7" i="24" s="1"/>
  <c r="BF9" i="8"/>
  <c r="AP7" i="24" s="1"/>
  <c r="BB13" i="8"/>
  <c r="AL11" i="24" s="1"/>
  <c r="BF13" i="8"/>
  <c r="AP11" i="24" s="1"/>
  <c r="BF8" i="8"/>
  <c r="AP6" i="24" s="1"/>
  <c r="BB8" i="8"/>
  <c r="AL6" i="24" s="1"/>
  <c r="BF10" i="8"/>
  <c r="AP8" i="24" s="1"/>
  <c r="BB10" i="8"/>
  <c r="AL8" i="24" s="1"/>
  <c r="BF14" i="8"/>
  <c r="AP12" i="24" s="1"/>
  <c r="BB14" i="8"/>
  <c r="AL12" i="24" s="1"/>
  <c r="BB6" i="8"/>
  <c r="AL4" i="24" s="1"/>
  <c r="BF6" i="8"/>
  <c r="H19" i="4"/>
  <c r="H25" i="4" s="1"/>
  <c r="H28" i="4" s="1"/>
  <c r="U36" i="4"/>
  <c r="T39" i="4"/>
  <c r="N38" i="4"/>
  <c r="N44" i="4" s="1"/>
  <c r="BL16" i="8"/>
  <c r="AV14" i="24" s="1"/>
  <c r="BJ13" i="8"/>
  <c r="AT11" i="24" s="1"/>
  <c r="BK13" i="8"/>
  <c r="AU11" i="24" s="1"/>
  <c r="BL7" i="8"/>
  <c r="AV5" i="24" s="1"/>
  <c r="BM9" i="8"/>
  <c r="AW7" i="24" s="1"/>
  <c r="BM16" i="8"/>
  <c r="AW14" i="24" s="1"/>
  <c r="AQ7" i="8"/>
  <c r="BM8" i="8"/>
  <c r="AW6" i="24" s="1"/>
  <c r="AG13" i="8"/>
  <c r="H21" i="36" s="1"/>
  <c r="I21" i="36" s="1"/>
  <c r="AL14" i="8"/>
  <c r="AQ15" i="8"/>
  <c r="BM10" i="8"/>
  <c r="AW8" i="24" s="1"/>
  <c r="BL13" i="8"/>
  <c r="AV11" i="24" s="1"/>
  <c r="BJ9" i="8"/>
  <c r="AT7" i="24" s="1"/>
  <c r="BL10" i="8"/>
  <c r="AV8" i="24" s="1"/>
  <c r="AG9" i="8"/>
  <c r="AQ13" i="8"/>
  <c r="BJ8" i="8"/>
  <c r="AT6" i="24" s="1"/>
  <c r="BL9" i="8"/>
  <c r="AV7" i="24" s="1"/>
  <c r="BJ16" i="8"/>
  <c r="AT14" i="24" s="1"/>
  <c r="BK8" i="8"/>
  <c r="AU6" i="24" s="1"/>
  <c r="BJ10" i="8"/>
  <c r="AG16" i="8"/>
  <c r="BJ7" i="8"/>
  <c r="AT5" i="24" s="1"/>
  <c r="BL8" i="8"/>
  <c r="AV6" i="24" s="1"/>
  <c r="BJ15" i="8"/>
  <c r="AT13" i="24" s="1"/>
  <c r="AG7" i="8"/>
  <c r="AG15" i="8"/>
  <c r="BJ14" i="8"/>
  <c r="AT12" i="24" s="1"/>
  <c r="BL15" i="8"/>
  <c r="AV13" i="24" s="1"/>
  <c r="AG14" i="8"/>
  <c r="BM14" i="8"/>
  <c r="AW12" i="24" s="1"/>
  <c r="AG10" i="8"/>
  <c r="BG50" i="8"/>
  <c r="BC50" i="8"/>
  <c r="AY50" i="8"/>
  <c r="AE50" i="8"/>
  <c r="AI50" i="8"/>
  <c r="AC21" i="20" s="1"/>
  <c r="AJ50" i="8"/>
  <c r="AN50" i="8"/>
  <c r="AO50" i="8"/>
  <c r="AP6" i="8"/>
  <c r="AF6" i="8"/>
  <c r="T4" i="24" s="1"/>
  <c r="AK6" i="8"/>
  <c r="X6" i="8"/>
  <c r="M4" i="24" s="1"/>
  <c r="AV52" i="8"/>
  <c r="AF70" i="6"/>
  <c r="AA70" i="6"/>
  <c r="AO14" i="6"/>
  <c r="S279" i="28" l="1"/>
  <c r="AT8" i="24"/>
  <c r="R279" i="28"/>
  <c r="D881" i="28" s="1"/>
  <c r="M8" i="24"/>
  <c r="AD9" i="20"/>
  <c r="X4" i="24"/>
  <c r="AP3" i="24"/>
  <c r="AP4" i="24"/>
  <c r="AB3" i="24"/>
  <c r="AB4" i="24"/>
  <c r="AJ32" i="20"/>
  <c r="AL32" i="20" s="1"/>
  <c r="AN32" i="20" s="1"/>
  <c r="AP32" i="20" s="1"/>
  <c r="AL5" i="24"/>
  <c r="AE17" i="20"/>
  <c r="AB8" i="20"/>
  <c r="AM8" i="20"/>
  <c r="F169" i="28"/>
  <c r="F170" i="28"/>
  <c r="F107" i="28"/>
  <c r="F106" i="28"/>
  <c r="AL8" i="20"/>
  <c r="AD8" i="20"/>
  <c r="AO8" i="20"/>
  <c r="R231" i="28"/>
  <c r="R232" i="28"/>
  <c r="D294" i="28" s="1"/>
  <c r="AI3" i="24"/>
  <c r="AP8" i="20"/>
  <c r="AE19" i="20"/>
  <c r="AZ16" i="8"/>
  <c r="AJ14" i="24" s="1"/>
  <c r="AZ13" i="8"/>
  <c r="AJ11" i="24" s="1"/>
  <c r="AZ10" i="8"/>
  <c r="AJ8" i="24" s="1"/>
  <c r="AZ9" i="8"/>
  <c r="AJ7" i="24" s="1"/>
  <c r="AZ15" i="8"/>
  <c r="AJ13" i="24" s="1"/>
  <c r="AZ6" i="8"/>
  <c r="AZ14" i="8"/>
  <c r="AJ12" i="24" s="1"/>
  <c r="AJ31" i="20"/>
  <c r="AL31" i="20" s="1"/>
  <c r="AN31" i="20" s="1"/>
  <c r="AP31" i="20" s="1"/>
  <c r="V12" i="32"/>
  <c r="V18" i="32"/>
  <c r="E7" i="4"/>
  <c r="F7" i="22" s="1"/>
  <c r="V16" i="32"/>
  <c r="AN17" i="20"/>
  <c r="F223" i="28"/>
  <c r="F160" i="28"/>
  <c r="AK17" i="20"/>
  <c r="AL17" i="20"/>
  <c r="AO17" i="20"/>
  <c r="V19" i="32"/>
  <c r="AP17" i="20"/>
  <c r="E881" i="28"/>
  <c r="N279" i="28"/>
  <c r="AN18" i="20"/>
  <c r="F225" i="28"/>
  <c r="AK19" i="20"/>
  <c r="F162" i="28"/>
  <c r="AR19" i="20"/>
  <c r="AO18" i="20"/>
  <c r="AM19" i="20"/>
  <c r="AJ37" i="20"/>
  <c r="AL37" i="20" s="1"/>
  <c r="AN37" i="20" s="1"/>
  <c r="AP37" i="20" s="1"/>
  <c r="AR17" i="20"/>
  <c r="F154" i="28"/>
  <c r="F217" i="28"/>
  <c r="F161" i="28"/>
  <c r="F224" i="28"/>
  <c r="AK18" i="20"/>
  <c r="AL19" i="20"/>
  <c r="AP18" i="20"/>
  <c r="AP19" i="20"/>
  <c r="AM17" i="20"/>
  <c r="H2" i="36"/>
  <c r="I2" i="36" s="1"/>
  <c r="AR18" i="20"/>
  <c r="AL18" i="20"/>
  <c r="AN19" i="20"/>
  <c r="AM18" i="20"/>
  <c r="AO19" i="20"/>
  <c r="V17" i="32"/>
  <c r="H23" i="36"/>
  <c r="I23" i="36" s="1"/>
  <c r="H24" i="36"/>
  <c r="I24" i="36" s="1"/>
  <c r="H25" i="36"/>
  <c r="I25" i="36" s="1"/>
  <c r="H3" i="36"/>
  <c r="I3" i="36" s="1"/>
  <c r="H19" i="36"/>
  <c r="I19" i="36" s="1"/>
  <c r="T9" i="32"/>
  <c r="F17" i="36"/>
  <c r="H18" i="36"/>
  <c r="I18" i="36" s="1"/>
  <c r="H22" i="36"/>
  <c r="I22" i="36" s="1"/>
  <c r="AP14" i="20"/>
  <c r="V11" i="32"/>
  <c r="V13" i="32"/>
  <c r="AB9" i="20"/>
  <c r="AE9" i="20" s="1"/>
  <c r="AP13" i="20"/>
  <c r="AP12" i="20"/>
  <c r="AP7" i="20"/>
  <c r="AP16" i="20"/>
  <c r="AP15" i="20"/>
  <c r="AF3" i="24"/>
  <c r="AL9" i="20"/>
  <c r="AO9" i="20"/>
  <c r="M3" i="24"/>
  <c r="R233" i="28"/>
  <c r="AP9" i="20"/>
  <c r="F105" i="28"/>
  <c r="F108" i="28"/>
  <c r="F171" i="28"/>
  <c r="AP11" i="20"/>
  <c r="AO12" i="20"/>
  <c r="AO7" i="20"/>
  <c r="AH3" i="24"/>
  <c r="AO11" i="20"/>
  <c r="AO14" i="20"/>
  <c r="AO15" i="20"/>
  <c r="AO13" i="20"/>
  <c r="AO16" i="20"/>
  <c r="AN11" i="20"/>
  <c r="AN10" i="20"/>
  <c r="AN23" i="20"/>
  <c r="AG50" i="24"/>
  <c r="AN15" i="20"/>
  <c r="AN9" i="20"/>
  <c r="AN12" i="20"/>
  <c r="AN16" i="20"/>
  <c r="AN13" i="20"/>
  <c r="AN14" i="20"/>
  <c r="AN8" i="20"/>
  <c r="AM16" i="20"/>
  <c r="AM13" i="20"/>
  <c r="AM12" i="20"/>
  <c r="AM15" i="20"/>
  <c r="AM14" i="20"/>
  <c r="AM11" i="20"/>
  <c r="AL7" i="20"/>
  <c r="AE3" i="24"/>
  <c r="AL14" i="20"/>
  <c r="AL16" i="20"/>
  <c r="AL15" i="20"/>
  <c r="AL12" i="20"/>
  <c r="AL13" i="20"/>
  <c r="AM7" i="20"/>
  <c r="AL11" i="20"/>
  <c r="E28" i="2"/>
  <c r="E7" i="28"/>
  <c r="F5" i="28" s="1"/>
  <c r="G5" i="28" s="1"/>
  <c r="AJ30" i="20"/>
  <c r="AL30" i="20" s="1"/>
  <c r="AN30" i="20" s="1"/>
  <c r="AP30" i="20" s="1"/>
  <c r="T45" i="4"/>
  <c r="V44" i="22" s="1"/>
  <c r="V38" i="22"/>
  <c r="Q37" i="22"/>
  <c r="F28" i="2"/>
  <c r="W35" i="22"/>
  <c r="F168" i="28"/>
  <c r="N47" i="4"/>
  <c r="Q43" i="22"/>
  <c r="Q46" i="22" s="1"/>
  <c r="S277" i="28"/>
  <c r="E370" i="28" s="1"/>
  <c r="S278" i="28"/>
  <c r="R274" i="28"/>
  <c r="R281" i="28"/>
  <c r="D883" i="28" s="1"/>
  <c r="R276" i="28"/>
  <c r="S276" i="28"/>
  <c r="R278" i="28"/>
  <c r="D880" i="28" s="1"/>
  <c r="R275" i="28"/>
  <c r="D409" i="28" s="1"/>
  <c r="R230" i="28"/>
  <c r="S281" i="28"/>
  <c r="Q289" i="28"/>
  <c r="R277" i="28"/>
  <c r="D370" i="28" s="1"/>
  <c r="E929" i="28"/>
  <c r="E928" i="28" s="1"/>
  <c r="T34" i="20"/>
  <c r="F153" i="28"/>
  <c r="F216" i="28"/>
  <c r="F156" i="28"/>
  <c r="F219" i="28"/>
  <c r="F220" i="28"/>
  <c r="F157" i="28"/>
  <c r="F932" i="28"/>
  <c r="T38" i="20"/>
  <c r="F221" i="28"/>
  <c r="F158" i="28"/>
  <c r="F212" i="28"/>
  <c r="F149" i="28"/>
  <c r="F159" i="28"/>
  <c r="F222" i="28"/>
  <c r="F214" i="28"/>
  <c r="F151" i="28"/>
  <c r="F213" i="28"/>
  <c r="F150" i="28"/>
  <c r="F927" i="28"/>
  <c r="T33" i="20"/>
  <c r="F215" i="28"/>
  <c r="F152" i="28"/>
  <c r="F936" i="28"/>
  <c r="T32" i="20"/>
  <c r="AJ38" i="20"/>
  <c r="AL38" i="20" s="1"/>
  <c r="AN38" i="20" s="1"/>
  <c r="AP38" i="20" s="1"/>
  <c r="AJ35" i="20"/>
  <c r="AL35" i="20" s="1"/>
  <c r="AN35" i="20" s="1"/>
  <c r="AP35" i="20" s="1"/>
  <c r="AJ34" i="20"/>
  <c r="AL34" i="20" s="1"/>
  <c r="AN34" i="20" s="1"/>
  <c r="AP34" i="20" s="1"/>
  <c r="AJ33" i="20"/>
  <c r="AL33" i="20" s="1"/>
  <c r="AN33" i="20" s="1"/>
  <c r="AP33" i="20" s="1"/>
  <c r="AL3" i="24"/>
  <c r="AB7" i="20"/>
  <c r="AD3" i="24"/>
  <c r="T3" i="24"/>
  <c r="AK13" i="20"/>
  <c r="BH14" i="8"/>
  <c r="AR12" i="24" s="1"/>
  <c r="AK14" i="20"/>
  <c r="AK10" i="20"/>
  <c r="BH8" i="8"/>
  <c r="AR6" i="24" s="1"/>
  <c r="BH15" i="8"/>
  <c r="AR13" i="24" s="1"/>
  <c r="AK8" i="20"/>
  <c r="AR10" i="20"/>
  <c r="AK16" i="20"/>
  <c r="AD7" i="20"/>
  <c r="X3" i="24"/>
  <c r="AK9" i="20"/>
  <c r="BH13" i="8"/>
  <c r="AR11" i="24" s="1"/>
  <c r="AR8" i="20"/>
  <c r="BH16" i="8"/>
  <c r="AR14" i="24" s="1"/>
  <c r="AK15" i="20"/>
  <c r="BH10" i="8"/>
  <c r="AR8" i="24" s="1"/>
  <c r="BH7" i="8"/>
  <c r="AR5" i="24" s="1"/>
  <c r="AK11" i="20"/>
  <c r="AK12" i="20"/>
  <c r="AR14" i="20"/>
  <c r="BH9" i="8"/>
  <c r="AR7" i="24" s="1"/>
  <c r="AR9" i="20"/>
  <c r="AK7" i="20"/>
  <c r="AE13" i="20"/>
  <c r="AE16" i="20"/>
  <c r="B16" i="8"/>
  <c r="B10" i="8"/>
  <c r="B9" i="8"/>
  <c r="BD7" i="8"/>
  <c r="AN5" i="24" s="1"/>
  <c r="AE10" i="20"/>
  <c r="BD14" i="8"/>
  <c r="AN12" i="24" s="1"/>
  <c r="B8" i="8"/>
  <c r="AE11" i="20"/>
  <c r="BD8" i="8"/>
  <c r="AN6" i="24" s="1"/>
  <c r="AE12" i="20"/>
  <c r="BD13" i="8"/>
  <c r="AN11" i="24" s="1"/>
  <c r="AR13" i="20"/>
  <c r="BD9" i="8"/>
  <c r="AN7" i="24" s="1"/>
  <c r="AR11" i="20"/>
  <c r="AE15" i="20"/>
  <c r="BD16" i="8"/>
  <c r="AN14" i="24" s="1"/>
  <c r="AR16" i="20"/>
  <c r="AR7" i="20"/>
  <c r="BD15" i="8"/>
  <c r="AN13" i="24" s="1"/>
  <c r="AR15" i="20"/>
  <c r="BD10" i="8"/>
  <c r="AN8" i="24" s="1"/>
  <c r="AR12" i="20"/>
  <c r="AE14" i="20"/>
  <c r="AS52" i="8"/>
  <c r="B7" i="8"/>
  <c r="B13" i="8"/>
  <c r="AP50" i="8"/>
  <c r="BM6" i="8"/>
  <c r="AW4" i="24" s="1"/>
  <c r="AQ6" i="8"/>
  <c r="BF50" i="8"/>
  <c r="S34" i="4" s="1"/>
  <c r="U33" i="22" s="1"/>
  <c r="B14" i="8"/>
  <c r="AK50" i="8"/>
  <c r="AD21" i="20" s="1"/>
  <c r="AL6" i="8"/>
  <c r="BL6" i="8"/>
  <c r="AV4" i="24" s="1"/>
  <c r="B15" i="8"/>
  <c r="BH6" i="8"/>
  <c r="AR4" i="24" s="1"/>
  <c r="BJ6" i="8"/>
  <c r="BK6" i="8"/>
  <c r="AU4" i="24" s="1"/>
  <c r="AG6" i="8"/>
  <c r="BB50" i="8"/>
  <c r="O21" i="16" l="1"/>
  <c r="AJ4" i="24"/>
  <c r="S230" i="28"/>
  <c r="AT4" i="24"/>
  <c r="T279" i="28"/>
  <c r="F881" i="28" s="1"/>
  <c r="AB48" i="24"/>
  <c r="AE8" i="20"/>
  <c r="O26" i="16"/>
  <c r="I26" i="16"/>
  <c r="J26" i="16"/>
  <c r="O30" i="16"/>
  <c r="I30" i="16"/>
  <c r="J30" i="16"/>
  <c r="O31" i="16"/>
  <c r="I31" i="16"/>
  <c r="J31" i="16"/>
  <c r="O25" i="16"/>
  <c r="J25" i="16"/>
  <c r="I25" i="16"/>
  <c r="O29" i="16"/>
  <c r="J29" i="16"/>
  <c r="I29" i="16"/>
  <c r="O32" i="16"/>
  <c r="J32" i="16"/>
  <c r="I32" i="16"/>
  <c r="S274" i="28"/>
  <c r="E301" i="28" s="1"/>
  <c r="S232" i="28"/>
  <c r="E294" i="28" s="1"/>
  <c r="S231" i="28"/>
  <c r="AS18" i="20"/>
  <c r="AS19" i="20"/>
  <c r="AS17" i="20"/>
  <c r="X48" i="24"/>
  <c r="AG3" i="24"/>
  <c r="AG48" i="24" s="1"/>
  <c r="H17" i="36"/>
  <c r="I17" i="36" s="1"/>
  <c r="S9" i="32"/>
  <c r="V9" i="32"/>
  <c r="S233" i="28"/>
  <c r="S275" i="28"/>
  <c r="E409" i="28" s="1"/>
  <c r="AI48" i="24"/>
  <c r="AF48" i="24"/>
  <c r="AH48" i="24"/>
  <c r="AE48" i="24"/>
  <c r="AN7" i="20"/>
  <c r="D324" i="28"/>
  <c r="D323" i="28"/>
  <c r="E324" i="28"/>
  <c r="E323" i="28"/>
  <c r="E327" i="28"/>
  <c r="E326" i="28"/>
  <c r="E325" i="28"/>
  <c r="D327" i="28"/>
  <c r="D325" i="28"/>
  <c r="D326" i="28"/>
  <c r="E331" i="28"/>
  <c r="E329" i="28"/>
  <c r="E328" i="28"/>
  <c r="D331" i="28"/>
  <c r="D329" i="28"/>
  <c r="D328" i="28"/>
  <c r="E334" i="28"/>
  <c r="E333" i="28"/>
  <c r="E332" i="28"/>
  <c r="D334" i="28"/>
  <c r="D333" i="28"/>
  <c r="D332" i="28"/>
  <c r="E337" i="28"/>
  <c r="E336" i="28"/>
  <c r="E335" i="28"/>
  <c r="D337" i="28"/>
  <c r="D336" i="28"/>
  <c r="D335" i="28"/>
  <c r="D340" i="28"/>
  <c r="D339" i="28"/>
  <c r="D338" i="28"/>
  <c r="E340" i="28"/>
  <c r="E339" i="28"/>
  <c r="E338" i="28"/>
  <c r="E342" i="28"/>
  <c r="E341" i="28"/>
  <c r="D342" i="28"/>
  <c r="D341" i="28"/>
  <c r="E345" i="28"/>
  <c r="E344" i="28"/>
  <c r="E343" i="28"/>
  <c r="D345" i="28"/>
  <c r="D344" i="28"/>
  <c r="D343" i="28"/>
  <c r="E348" i="28"/>
  <c r="E347" i="28"/>
  <c r="E346" i="28"/>
  <c r="D348" i="28"/>
  <c r="D347" i="28"/>
  <c r="D346" i="28"/>
  <c r="E351" i="28"/>
  <c r="E350" i="28"/>
  <c r="E349" i="28"/>
  <c r="D351" i="28"/>
  <c r="D350" i="28"/>
  <c r="D349" i="28"/>
  <c r="D354" i="28"/>
  <c r="D353" i="28"/>
  <c r="D352" i="28"/>
  <c r="E354" i="28"/>
  <c r="E353" i="28"/>
  <c r="E352" i="28"/>
  <c r="E357" i="28"/>
  <c r="E356" i="28"/>
  <c r="E355" i="28"/>
  <c r="D357" i="28"/>
  <c r="D356" i="28"/>
  <c r="D355" i="28"/>
  <c r="D360" i="28"/>
  <c r="D358" i="28"/>
  <c r="D359" i="28"/>
  <c r="E360" i="28"/>
  <c r="E359" i="28"/>
  <c r="E358" i="28"/>
  <c r="D363" i="28"/>
  <c r="D362" i="28"/>
  <c r="D361" i="28"/>
  <c r="E363" i="28"/>
  <c r="E362" i="28"/>
  <c r="E361" i="28"/>
  <c r="E366" i="28"/>
  <c r="E365" i="28"/>
  <c r="E364" i="28"/>
  <c r="D366" i="28"/>
  <c r="D365" i="28"/>
  <c r="D364" i="28"/>
  <c r="D448" i="28"/>
  <c r="D368" i="28"/>
  <c r="D367" i="28"/>
  <c r="E448" i="28"/>
  <c r="E368" i="28"/>
  <c r="E367" i="28"/>
  <c r="D373" i="28"/>
  <c r="D372" i="28"/>
  <c r="D371" i="28"/>
  <c r="E373" i="28"/>
  <c r="E372" i="28"/>
  <c r="E371" i="28"/>
  <c r="D375" i="28"/>
  <c r="D374" i="28"/>
  <c r="E375" i="28"/>
  <c r="E374" i="28"/>
  <c r="D378" i="28"/>
  <c r="D377" i="28"/>
  <c r="D376" i="28"/>
  <c r="E378" i="28"/>
  <c r="E377" i="28"/>
  <c r="E376" i="28"/>
  <c r="E381" i="28"/>
  <c r="E380" i="28"/>
  <c r="E379" i="28"/>
  <c r="D381" i="28"/>
  <c r="D380" i="28"/>
  <c r="D379" i="28"/>
  <c r="E385" i="28"/>
  <c r="E383" i="28"/>
  <c r="E384" i="28"/>
  <c r="E382" i="28"/>
  <c r="D385" i="28"/>
  <c r="D384" i="28"/>
  <c r="D383" i="28"/>
  <c r="D382" i="28"/>
  <c r="E388" i="28"/>
  <c r="E387" i="28"/>
  <c r="E386" i="28"/>
  <c r="D388" i="28"/>
  <c r="D387" i="28"/>
  <c r="D386" i="28"/>
  <c r="D391" i="28"/>
  <c r="D390" i="28"/>
  <c r="D389" i="28"/>
  <c r="E391" i="28"/>
  <c r="E390" i="28"/>
  <c r="E389" i="28"/>
  <c r="D393" i="28"/>
  <c r="D392" i="28"/>
  <c r="E393" i="28"/>
  <c r="E392" i="28"/>
  <c r="D396" i="28"/>
  <c r="D395" i="28"/>
  <c r="D394" i="28"/>
  <c r="E396" i="28"/>
  <c r="E395" i="28"/>
  <c r="E394" i="28"/>
  <c r="E399" i="28"/>
  <c r="E398" i="28"/>
  <c r="E397" i="28"/>
  <c r="D399" i="28"/>
  <c r="D398" i="28"/>
  <c r="D397" i="28"/>
  <c r="D402" i="28"/>
  <c r="D400" i="28"/>
  <c r="D401" i="28"/>
  <c r="E402" i="28"/>
  <c r="E401" i="28"/>
  <c r="E400" i="28"/>
  <c r="D405" i="28"/>
  <c r="D404" i="28"/>
  <c r="D403" i="28"/>
  <c r="E405" i="28"/>
  <c r="E404" i="28"/>
  <c r="E403" i="28"/>
  <c r="E406" i="28"/>
  <c r="E407" i="28"/>
  <c r="D406" i="28"/>
  <c r="D407" i="28"/>
  <c r="D412" i="28"/>
  <c r="D410" i="28"/>
  <c r="D411" i="28"/>
  <c r="D415" i="28"/>
  <c r="D414" i="28"/>
  <c r="D413" i="28"/>
  <c r="D418" i="28"/>
  <c r="D416" i="28"/>
  <c r="D417" i="28"/>
  <c r="D421" i="28"/>
  <c r="D420" i="28"/>
  <c r="D419" i="28"/>
  <c r="D424" i="28"/>
  <c r="D423" i="28"/>
  <c r="D422" i="28"/>
  <c r="D427" i="28"/>
  <c r="D426" i="28"/>
  <c r="D425" i="28"/>
  <c r="D429" i="28"/>
  <c r="D428" i="28"/>
  <c r="D432" i="28"/>
  <c r="D431" i="28"/>
  <c r="D430" i="28"/>
  <c r="D435" i="28"/>
  <c r="D433" i="28"/>
  <c r="D434" i="28"/>
  <c r="D438" i="28"/>
  <c r="D436" i="28"/>
  <c r="D437" i="28"/>
  <c r="D441" i="28"/>
  <c r="D440" i="28"/>
  <c r="D439" i="28"/>
  <c r="D444" i="28"/>
  <c r="D443" i="28"/>
  <c r="D442" i="28"/>
  <c r="D565" i="28"/>
  <c r="D446" i="28"/>
  <c r="D445" i="28"/>
  <c r="E451" i="28"/>
  <c r="E450" i="28"/>
  <c r="E449" i="28"/>
  <c r="D451" i="28"/>
  <c r="D450" i="28"/>
  <c r="D449" i="28"/>
  <c r="E454" i="28"/>
  <c r="E453" i="28"/>
  <c r="E452" i="28"/>
  <c r="D454" i="28"/>
  <c r="D453" i="28"/>
  <c r="D452" i="28"/>
  <c r="D457" i="28"/>
  <c r="D456" i="28"/>
  <c r="D455" i="28"/>
  <c r="E457" i="28"/>
  <c r="E456" i="28"/>
  <c r="E455" i="28"/>
  <c r="D460" i="28"/>
  <c r="D459" i="28"/>
  <c r="D458" i="28"/>
  <c r="E460" i="28"/>
  <c r="E459" i="28"/>
  <c r="E458" i="28"/>
  <c r="E463" i="28"/>
  <c r="E462" i="28"/>
  <c r="E461" i="28"/>
  <c r="D463" i="28"/>
  <c r="D462" i="28"/>
  <c r="D461" i="28"/>
  <c r="E466" i="28"/>
  <c r="E465" i="28"/>
  <c r="E464" i="28"/>
  <c r="D466" i="28"/>
  <c r="D465" i="28"/>
  <c r="D464" i="28"/>
  <c r="D469" i="28"/>
  <c r="D468" i="28"/>
  <c r="D467" i="28"/>
  <c r="E469" i="28"/>
  <c r="E468" i="28"/>
  <c r="E467" i="28"/>
  <c r="E472" i="28"/>
  <c r="E471" i="28"/>
  <c r="E470" i="28"/>
  <c r="D472" i="28"/>
  <c r="D471" i="28"/>
  <c r="D470" i="28"/>
  <c r="D475" i="28"/>
  <c r="D474" i="28"/>
  <c r="D473" i="28"/>
  <c r="E475" i="28"/>
  <c r="E474" i="28"/>
  <c r="E473" i="28"/>
  <c r="E478" i="28"/>
  <c r="E477" i="28"/>
  <c r="E476" i="28"/>
  <c r="D478" i="28"/>
  <c r="D477" i="28"/>
  <c r="D476" i="28"/>
  <c r="E480" i="28"/>
  <c r="E479" i="28"/>
  <c r="D480" i="28"/>
  <c r="D479" i="28"/>
  <c r="E483" i="28"/>
  <c r="E482" i="28"/>
  <c r="E481" i="28"/>
  <c r="D483" i="28"/>
  <c r="D482" i="28"/>
  <c r="D481" i="28"/>
  <c r="E487" i="28"/>
  <c r="E485" i="28"/>
  <c r="E484" i="28"/>
  <c r="D487" i="28"/>
  <c r="D485" i="28"/>
  <c r="D484" i="28"/>
  <c r="E489" i="28"/>
  <c r="E488" i="28"/>
  <c r="D489" i="28"/>
  <c r="D488" i="28"/>
  <c r="E491" i="28"/>
  <c r="E490" i="28"/>
  <c r="D491" i="28"/>
  <c r="D490" i="28"/>
  <c r="E493" i="28"/>
  <c r="E492" i="28"/>
  <c r="D493" i="28"/>
  <c r="D492" i="28"/>
  <c r="E495" i="28"/>
  <c r="E494" i="28"/>
  <c r="D495" i="28"/>
  <c r="D494" i="28"/>
  <c r="E498" i="28"/>
  <c r="E497" i="28"/>
  <c r="E496" i="28"/>
  <c r="D498" i="28"/>
  <c r="D497" i="28"/>
  <c r="D496" i="28"/>
  <c r="D501" i="28"/>
  <c r="D500" i="28"/>
  <c r="D499" i="28"/>
  <c r="E501" i="28"/>
  <c r="E500" i="28"/>
  <c r="E499" i="28"/>
  <c r="D504" i="28"/>
  <c r="D503" i="28"/>
  <c r="D502" i="28"/>
  <c r="E504" i="28"/>
  <c r="E503" i="28"/>
  <c r="E502" i="28"/>
  <c r="D507" i="28"/>
  <c r="D506" i="28"/>
  <c r="D505" i="28"/>
  <c r="E507" i="28"/>
  <c r="E506" i="28"/>
  <c r="E505" i="28"/>
  <c r="D510" i="28"/>
  <c r="D509" i="28"/>
  <c r="D508" i="28"/>
  <c r="E510" i="28"/>
  <c r="E509" i="28"/>
  <c r="E508" i="28"/>
  <c r="E512" i="28"/>
  <c r="E511" i="28"/>
  <c r="D512" i="28"/>
  <c r="D511" i="28"/>
  <c r="D515" i="28"/>
  <c r="D514" i="28"/>
  <c r="D513" i="28"/>
  <c r="E515" i="28"/>
  <c r="E514" i="28"/>
  <c r="E513" i="28"/>
  <c r="E517" i="28"/>
  <c r="E516" i="28"/>
  <c r="D517" i="28"/>
  <c r="D516" i="28"/>
  <c r="D520" i="28"/>
  <c r="D519" i="28"/>
  <c r="D518" i="28"/>
  <c r="E520" i="28"/>
  <c r="E519" i="28"/>
  <c r="E518" i="28"/>
  <c r="E522" i="28"/>
  <c r="E521" i="28"/>
  <c r="D523" i="28"/>
  <c r="D522" i="28"/>
  <c r="D521" i="28"/>
  <c r="E524" i="28"/>
  <c r="E523" i="28"/>
  <c r="D527" i="28"/>
  <c r="D526" i="28"/>
  <c r="E527" i="28"/>
  <c r="E526" i="28"/>
  <c r="D604" i="28"/>
  <c r="D524" i="28"/>
  <c r="E530" i="28"/>
  <c r="E529" i="28"/>
  <c r="E528" i="28"/>
  <c r="D530" i="28"/>
  <c r="D529" i="28"/>
  <c r="D528" i="28"/>
  <c r="D531" i="28"/>
  <c r="D532" i="28"/>
  <c r="E533" i="28"/>
  <c r="E531" i="28"/>
  <c r="E532" i="28"/>
  <c r="D534" i="28"/>
  <c r="D533" i="28"/>
  <c r="E535" i="28"/>
  <c r="E534" i="28"/>
  <c r="D536" i="28"/>
  <c r="D535" i="28"/>
  <c r="E537" i="28"/>
  <c r="E536" i="28"/>
  <c r="D538" i="28"/>
  <c r="D537" i="28"/>
  <c r="E539" i="28"/>
  <c r="E538" i="28"/>
  <c r="D540" i="28"/>
  <c r="D539" i="28"/>
  <c r="E541" i="28"/>
  <c r="E540" i="28"/>
  <c r="D542" i="28"/>
  <c r="D541" i="28"/>
  <c r="E543" i="28"/>
  <c r="E542" i="28"/>
  <c r="D544" i="28"/>
  <c r="D543" i="28"/>
  <c r="E545" i="28"/>
  <c r="E544" i="28"/>
  <c r="D546" i="28"/>
  <c r="D545" i="28"/>
  <c r="E547" i="28"/>
  <c r="E546" i="28"/>
  <c r="D548" i="28"/>
  <c r="D547" i="28"/>
  <c r="E549" i="28"/>
  <c r="E548" i="28"/>
  <c r="D550" i="28"/>
  <c r="D549" i="28"/>
  <c r="E551" i="28"/>
  <c r="E550" i="28"/>
  <c r="D552" i="28"/>
  <c r="D551" i="28"/>
  <c r="E553" i="28"/>
  <c r="E552" i="28"/>
  <c r="D554" i="28"/>
  <c r="D553" i="28"/>
  <c r="E555" i="28"/>
  <c r="E554" i="28"/>
  <c r="D556" i="28"/>
  <c r="D555" i="28"/>
  <c r="E557" i="28"/>
  <c r="E556" i="28"/>
  <c r="D558" i="28"/>
  <c r="D557" i="28"/>
  <c r="E559" i="28"/>
  <c r="E558" i="28"/>
  <c r="D560" i="28"/>
  <c r="D559" i="28"/>
  <c r="E561" i="28"/>
  <c r="E560" i="28"/>
  <c r="D562" i="28"/>
  <c r="D561" i="28"/>
  <c r="E563" i="28"/>
  <c r="E562" i="28"/>
  <c r="D682" i="28"/>
  <c r="D563" i="28"/>
  <c r="D567" i="28"/>
  <c r="D566" i="28"/>
  <c r="D569" i="28"/>
  <c r="D568" i="28"/>
  <c r="D571" i="28"/>
  <c r="D570" i="28"/>
  <c r="D573" i="28"/>
  <c r="D572" i="28"/>
  <c r="D575" i="28"/>
  <c r="D574" i="28"/>
  <c r="D577" i="28"/>
  <c r="D576" i="28"/>
  <c r="D579" i="28"/>
  <c r="D578" i="28"/>
  <c r="D581" i="28"/>
  <c r="D580" i="28"/>
  <c r="D583" i="28"/>
  <c r="D582" i="28"/>
  <c r="D585" i="28"/>
  <c r="D584" i="28"/>
  <c r="D587" i="28"/>
  <c r="D586" i="28"/>
  <c r="D589" i="28"/>
  <c r="D588" i="28"/>
  <c r="D591" i="28"/>
  <c r="D590" i="28"/>
  <c r="D593" i="28"/>
  <c r="D592" i="28"/>
  <c r="D595" i="28"/>
  <c r="D594" i="28"/>
  <c r="D597" i="28"/>
  <c r="D596" i="28"/>
  <c r="D599" i="28"/>
  <c r="D598" i="28"/>
  <c r="D601" i="28"/>
  <c r="D600" i="28"/>
  <c r="D721" i="28"/>
  <c r="D602" i="28"/>
  <c r="E605" i="28"/>
  <c r="E604" i="28"/>
  <c r="D606" i="28"/>
  <c r="D605" i="28"/>
  <c r="E607" i="28"/>
  <c r="E606" i="28"/>
  <c r="D608" i="28"/>
  <c r="D607" i="28"/>
  <c r="E609" i="28"/>
  <c r="E608" i="28"/>
  <c r="D610" i="28"/>
  <c r="D609" i="28"/>
  <c r="E611" i="28"/>
  <c r="E610" i="28"/>
  <c r="D612" i="28"/>
  <c r="D611" i="28"/>
  <c r="E613" i="28"/>
  <c r="E612" i="28"/>
  <c r="D614" i="28"/>
  <c r="D613" i="28"/>
  <c r="E615" i="28"/>
  <c r="E614" i="28"/>
  <c r="D616" i="28"/>
  <c r="D615" i="28"/>
  <c r="E617" i="28"/>
  <c r="E616" i="28"/>
  <c r="D618" i="28"/>
  <c r="D617" i="28"/>
  <c r="E619" i="28"/>
  <c r="E618" i="28"/>
  <c r="D620" i="28"/>
  <c r="D619" i="28"/>
  <c r="E621" i="28"/>
  <c r="E620" i="28"/>
  <c r="D622" i="28"/>
  <c r="D621" i="28"/>
  <c r="E623" i="28"/>
  <c r="E622" i="28"/>
  <c r="D624" i="28"/>
  <c r="D623" i="28"/>
  <c r="E625" i="28"/>
  <c r="E624" i="28"/>
  <c r="D626" i="28"/>
  <c r="D625" i="28"/>
  <c r="E627" i="28"/>
  <c r="E626" i="28"/>
  <c r="D628" i="28"/>
  <c r="D627" i="28"/>
  <c r="E629" i="28"/>
  <c r="E628" i="28"/>
  <c r="D630" i="28"/>
  <c r="D629" i="28"/>
  <c r="E631" i="28"/>
  <c r="E630" i="28"/>
  <c r="D632" i="28"/>
  <c r="D631" i="28"/>
  <c r="E633" i="28"/>
  <c r="E632" i="28"/>
  <c r="D634" i="28"/>
  <c r="D633" i="28"/>
  <c r="E635" i="28"/>
  <c r="E634" i="28"/>
  <c r="D636" i="28"/>
  <c r="D635" i="28"/>
  <c r="E637" i="28"/>
  <c r="E636" i="28"/>
  <c r="D638" i="28"/>
  <c r="D637" i="28"/>
  <c r="E639" i="28"/>
  <c r="E638" i="28"/>
  <c r="D640" i="28"/>
  <c r="D639" i="28"/>
  <c r="E641" i="28"/>
  <c r="E640" i="28"/>
  <c r="D643" i="28"/>
  <c r="D641" i="28"/>
  <c r="E644" i="28"/>
  <c r="E643" i="28"/>
  <c r="D645" i="28"/>
  <c r="D644" i="28"/>
  <c r="E646" i="28"/>
  <c r="E645" i="28"/>
  <c r="D647" i="28"/>
  <c r="D646" i="28"/>
  <c r="E648" i="28"/>
  <c r="E647" i="28"/>
  <c r="D649" i="28"/>
  <c r="D648" i="28"/>
  <c r="E650" i="28"/>
  <c r="E649" i="28"/>
  <c r="D651" i="28"/>
  <c r="D650" i="28"/>
  <c r="E652" i="28"/>
  <c r="E651" i="28"/>
  <c r="D653" i="28"/>
  <c r="D652" i="28"/>
  <c r="E654" i="28"/>
  <c r="E653" i="28"/>
  <c r="D655" i="28"/>
  <c r="D654" i="28"/>
  <c r="E656" i="28"/>
  <c r="E655" i="28"/>
  <c r="D657" i="28"/>
  <c r="D656" i="28"/>
  <c r="E658" i="28"/>
  <c r="E657" i="28"/>
  <c r="D659" i="28"/>
  <c r="D658" i="28"/>
  <c r="E660" i="28"/>
  <c r="E659" i="28"/>
  <c r="D661" i="28"/>
  <c r="D660" i="28"/>
  <c r="E662" i="28"/>
  <c r="E661" i="28"/>
  <c r="D663" i="28"/>
  <c r="D662" i="28"/>
  <c r="E664" i="28"/>
  <c r="E663" i="28"/>
  <c r="D665" i="28"/>
  <c r="D664" i="28"/>
  <c r="E666" i="28"/>
  <c r="E665" i="28"/>
  <c r="D667" i="28"/>
  <c r="D666" i="28"/>
  <c r="E668" i="28"/>
  <c r="E667" i="28"/>
  <c r="D669" i="28"/>
  <c r="D668" i="28"/>
  <c r="E670" i="28"/>
  <c r="E669" i="28"/>
  <c r="D671" i="28"/>
  <c r="D670" i="28"/>
  <c r="E672" i="28"/>
  <c r="E671" i="28"/>
  <c r="D673" i="28"/>
  <c r="D672" i="28"/>
  <c r="E674" i="28"/>
  <c r="E673" i="28"/>
  <c r="D675" i="28"/>
  <c r="D674" i="28"/>
  <c r="E676" i="28"/>
  <c r="E675" i="28"/>
  <c r="D677" i="28"/>
  <c r="D676" i="28"/>
  <c r="E678" i="28"/>
  <c r="E677" i="28"/>
  <c r="D679" i="28"/>
  <c r="D678" i="28"/>
  <c r="E680" i="28"/>
  <c r="E679" i="28"/>
  <c r="D760" i="28"/>
  <c r="D680" i="28"/>
  <c r="E683" i="28"/>
  <c r="E682" i="28"/>
  <c r="D684" i="28"/>
  <c r="D683" i="28"/>
  <c r="E685" i="28"/>
  <c r="E684" i="28"/>
  <c r="D686" i="28"/>
  <c r="D685" i="28"/>
  <c r="E687" i="28"/>
  <c r="E686" i="28"/>
  <c r="D688" i="28"/>
  <c r="D687" i="28"/>
  <c r="E689" i="28"/>
  <c r="E688" i="28"/>
  <c r="D690" i="28"/>
  <c r="D689" i="28"/>
  <c r="E691" i="28"/>
  <c r="E690" i="28"/>
  <c r="D692" i="28"/>
  <c r="D691" i="28"/>
  <c r="E693" i="28"/>
  <c r="E692" i="28"/>
  <c r="D694" i="28"/>
  <c r="D693" i="28"/>
  <c r="E695" i="28"/>
  <c r="E694" i="28"/>
  <c r="D696" i="28"/>
  <c r="D695" i="28"/>
  <c r="E697" i="28"/>
  <c r="E696" i="28"/>
  <c r="D698" i="28"/>
  <c r="D697" i="28"/>
  <c r="E699" i="28"/>
  <c r="E698" i="28"/>
  <c r="D700" i="28"/>
  <c r="D699" i="28"/>
  <c r="E701" i="28"/>
  <c r="E700" i="28"/>
  <c r="D702" i="28"/>
  <c r="D701" i="28"/>
  <c r="E703" i="28"/>
  <c r="E702" i="28"/>
  <c r="D704" i="28"/>
  <c r="D703" i="28"/>
  <c r="E705" i="28"/>
  <c r="E704" i="28"/>
  <c r="D706" i="28"/>
  <c r="D705" i="28"/>
  <c r="E707" i="28"/>
  <c r="E706" i="28"/>
  <c r="D708" i="28"/>
  <c r="D707" i="28"/>
  <c r="E709" i="28"/>
  <c r="E708" i="28"/>
  <c r="D710" i="28"/>
  <c r="D709" i="28"/>
  <c r="E711" i="28"/>
  <c r="E710" i="28"/>
  <c r="D712" i="28"/>
  <c r="D711" i="28"/>
  <c r="E713" i="28"/>
  <c r="E712" i="28"/>
  <c r="D714" i="28"/>
  <c r="D713" i="28"/>
  <c r="E715" i="28"/>
  <c r="E714" i="28"/>
  <c r="D716" i="28"/>
  <c r="D715" i="28"/>
  <c r="E717" i="28"/>
  <c r="E716" i="28"/>
  <c r="D718" i="28"/>
  <c r="D717" i="28"/>
  <c r="E719" i="28"/>
  <c r="E718" i="28"/>
  <c r="D838" i="28"/>
  <c r="D719" i="28"/>
  <c r="D723" i="28"/>
  <c r="D722" i="28"/>
  <c r="D725" i="28"/>
  <c r="D724" i="28"/>
  <c r="D727" i="28"/>
  <c r="D726" i="28"/>
  <c r="D729" i="28"/>
  <c r="D728" i="28"/>
  <c r="D731" i="28"/>
  <c r="D730" i="28"/>
  <c r="D733" i="28"/>
  <c r="D732" i="28"/>
  <c r="D735" i="28"/>
  <c r="D734" i="28"/>
  <c r="D737" i="28"/>
  <c r="D736" i="28"/>
  <c r="D739" i="28"/>
  <c r="D738" i="28"/>
  <c r="D741" i="28"/>
  <c r="D740" i="28"/>
  <c r="D743" i="28"/>
  <c r="D742" i="28"/>
  <c r="D745" i="28"/>
  <c r="D744" i="28"/>
  <c r="D747" i="28"/>
  <c r="D746" i="28"/>
  <c r="D749" i="28"/>
  <c r="D748" i="28"/>
  <c r="D751" i="28"/>
  <c r="D750" i="28"/>
  <c r="D753" i="28"/>
  <c r="D752" i="28"/>
  <c r="D755" i="28"/>
  <c r="D754" i="28"/>
  <c r="D757" i="28"/>
  <c r="D756" i="28"/>
  <c r="D298" i="28"/>
  <c r="D758" i="28"/>
  <c r="E761" i="28"/>
  <c r="E760" i="28"/>
  <c r="D762" i="28"/>
  <c r="D761" i="28"/>
  <c r="E763" i="28"/>
  <c r="E762" i="28"/>
  <c r="D764" i="28"/>
  <c r="D763" i="28"/>
  <c r="E765" i="28"/>
  <c r="E764" i="28"/>
  <c r="D766" i="28"/>
  <c r="D765" i="28"/>
  <c r="E767" i="28"/>
  <c r="E766" i="28"/>
  <c r="D768" i="28"/>
  <c r="D767" i="28"/>
  <c r="E769" i="28"/>
  <c r="E768" i="28"/>
  <c r="D770" i="28"/>
  <c r="D769" i="28"/>
  <c r="E771" i="28"/>
  <c r="E770" i="28"/>
  <c r="D772" i="28"/>
  <c r="D771" i="28"/>
  <c r="E773" i="28"/>
  <c r="E772" i="28"/>
  <c r="D774" i="28"/>
  <c r="D773" i="28"/>
  <c r="E775" i="28"/>
  <c r="E774" i="28"/>
  <c r="D776" i="28"/>
  <c r="D775" i="28"/>
  <c r="E777" i="28"/>
  <c r="E776" i="28"/>
  <c r="D778" i="28"/>
  <c r="D777" i="28"/>
  <c r="E779" i="28"/>
  <c r="E778" i="28"/>
  <c r="D780" i="28"/>
  <c r="D779" i="28"/>
  <c r="E781" i="28"/>
  <c r="E780" i="28"/>
  <c r="D782" i="28"/>
  <c r="D781" i="28"/>
  <c r="E783" i="28"/>
  <c r="E782" i="28"/>
  <c r="D784" i="28"/>
  <c r="D783" i="28"/>
  <c r="E785" i="28"/>
  <c r="E784" i="28"/>
  <c r="D786" i="28"/>
  <c r="D785" i="28"/>
  <c r="E787" i="28"/>
  <c r="E786" i="28"/>
  <c r="D788" i="28"/>
  <c r="D787" i="28"/>
  <c r="E789" i="28"/>
  <c r="E788" i="28"/>
  <c r="D790" i="28"/>
  <c r="D789" i="28"/>
  <c r="E791" i="28"/>
  <c r="E790" i="28"/>
  <c r="D792" i="28"/>
  <c r="D791" i="28"/>
  <c r="E793" i="28"/>
  <c r="E792" i="28"/>
  <c r="D794" i="28"/>
  <c r="D793" i="28"/>
  <c r="E795" i="28"/>
  <c r="E794" i="28"/>
  <c r="D796" i="28"/>
  <c r="D795" i="28"/>
  <c r="E797" i="28"/>
  <c r="E796" i="28"/>
  <c r="D799" i="28"/>
  <c r="D797" i="28"/>
  <c r="E800" i="28"/>
  <c r="E799" i="28"/>
  <c r="D801" i="28"/>
  <c r="D800" i="28"/>
  <c r="E802" i="28"/>
  <c r="E801" i="28"/>
  <c r="D803" i="28"/>
  <c r="D802" i="28"/>
  <c r="E804" i="28"/>
  <c r="E803" i="28"/>
  <c r="D805" i="28"/>
  <c r="D804" i="28"/>
  <c r="E806" i="28"/>
  <c r="E805" i="28"/>
  <c r="D807" i="28"/>
  <c r="D806" i="28"/>
  <c r="E808" i="28"/>
  <c r="E807" i="28"/>
  <c r="D809" i="28"/>
  <c r="D808" i="28"/>
  <c r="E810" i="28"/>
  <c r="E809" i="28"/>
  <c r="D811" i="28"/>
  <c r="D810" i="28"/>
  <c r="E812" i="28"/>
  <c r="E811" i="28"/>
  <c r="D813" i="28"/>
  <c r="D812" i="28"/>
  <c r="E814" i="28"/>
  <c r="E813" i="28"/>
  <c r="D815" i="28"/>
  <c r="D814" i="28"/>
  <c r="E816" i="28"/>
  <c r="E815" i="28"/>
  <c r="D817" i="28"/>
  <c r="D816" i="28"/>
  <c r="E818" i="28"/>
  <c r="E817" i="28"/>
  <c r="D819" i="28"/>
  <c r="D818" i="28"/>
  <c r="E820" i="28"/>
  <c r="E819" i="28"/>
  <c r="D821" i="28"/>
  <c r="D820" i="28"/>
  <c r="E822" i="28"/>
  <c r="E821" i="28"/>
  <c r="D823" i="28"/>
  <c r="D822" i="28"/>
  <c r="E824" i="28"/>
  <c r="E823" i="28"/>
  <c r="D825" i="28"/>
  <c r="D824" i="28"/>
  <c r="E826" i="28"/>
  <c r="E825" i="28"/>
  <c r="D827" i="28"/>
  <c r="D826" i="28"/>
  <c r="E828" i="28"/>
  <c r="E827" i="28"/>
  <c r="D829" i="28"/>
  <c r="D828" i="28"/>
  <c r="E830" i="28"/>
  <c r="E829" i="28"/>
  <c r="D831" i="28"/>
  <c r="D830" i="28"/>
  <c r="E832" i="28"/>
  <c r="E831" i="28"/>
  <c r="D833" i="28"/>
  <c r="D832" i="28"/>
  <c r="E834" i="28"/>
  <c r="E833" i="28"/>
  <c r="D835" i="28"/>
  <c r="D834" i="28"/>
  <c r="E836" i="28"/>
  <c r="E835" i="28"/>
  <c r="D300" i="28"/>
  <c r="D836" i="28"/>
  <c r="E839" i="28"/>
  <c r="E838" i="28"/>
  <c r="D840" i="28"/>
  <c r="D839" i="28"/>
  <c r="E841" i="28"/>
  <c r="E840" i="28"/>
  <c r="D842" i="28"/>
  <c r="D841" i="28"/>
  <c r="E843" i="28"/>
  <c r="E842" i="28"/>
  <c r="D844" i="28"/>
  <c r="D843" i="28"/>
  <c r="E845" i="28"/>
  <c r="E844" i="28"/>
  <c r="D846" i="28"/>
  <c r="D845" i="28"/>
  <c r="E847" i="28"/>
  <c r="E846" i="28"/>
  <c r="D848" i="28"/>
  <c r="D847" i="28"/>
  <c r="E849" i="28"/>
  <c r="E848" i="28"/>
  <c r="D850" i="28"/>
  <c r="D849" i="28"/>
  <c r="E851" i="28"/>
  <c r="E850" i="28"/>
  <c r="D852" i="28"/>
  <c r="D851" i="28"/>
  <c r="E853" i="28"/>
  <c r="E852" i="28"/>
  <c r="D854" i="28"/>
  <c r="D853" i="28"/>
  <c r="E855" i="28"/>
  <c r="E854" i="28"/>
  <c r="D856" i="28"/>
  <c r="D855" i="28"/>
  <c r="E857" i="28"/>
  <c r="E856" i="28"/>
  <c r="D858" i="28"/>
  <c r="D857" i="28"/>
  <c r="E859" i="28"/>
  <c r="E858" i="28"/>
  <c r="D860" i="28"/>
  <c r="D859" i="28"/>
  <c r="E861" i="28"/>
  <c r="E860" i="28"/>
  <c r="D862" i="28"/>
  <c r="D861" i="28"/>
  <c r="E863" i="28"/>
  <c r="E862" i="28"/>
  <c r="D864" i="28"/>
  <c r="D863" i="28"/>
  <c r="E865" i="28"/>
  <c r="E864" i="28"/>
  <c r="D866" i="28"/>
  <c r="D865" i="28"/>
  <c r="E867" i="28"/>
  <c r="E866" i="28"/>
  <c r="D868" i="28"/>
  <c r="D867" i="28"/>
  <c r="E869" i="28"/>
  <c r="E868" i="28"/>
  <c r="D870" i="28"/>
  <c r="D869" i="28"/>
  <c r="E871" i="28"/>
  <c r="E870" i="28"/>
  <c r="D872" i="28"/>
  <c r="D871" i="28"/>
  <c r="E873" i="28"/>
  <c r="E872" i="28"/>
  <c r="D874" i="28"/>
  <c r="D873" i="28"/>
  <c r="E875" i="28"/>
  <c r="E874" i="28"/>
  <c r="D879" i="28"/>
  <c r="D875" i="28"/>
  <c r="BD6" i="8"/>
  <c r="T48" i="4"/>
  <c r="V47" i="22" s="1"/>
  <c r="E304" i="28"/>
  <c r="E300" i="28"/>
  <c r="D306" i="28"/>
  <c r="D302" i="28"/>
  <c r="D308" i="28"/>
  <c r="D304" i="28"/>
  <c r="E312" i="28"/>
  <c r="E308" i="28"/>
  <c r="D314" i="28"/>
  <c r="D310" i="28"/>
  <c r="D316" i="28"/>
  <c r="D312" i="28"/>
  <c r="E320" i="28"/>
  <c r="E316" i="28"/>
  <c r="D322" i="28"/>
  <c r="D318" i="28"/>
  <c r="D369" i="28"/>
  <c r="D320" i="28"/>
  <c r="E525" i="28"/>
  <c r="E369" i="28"/>
  <c r="D603" i="28"/>
  <c r="D447" i="28"/>
  <c r="D681" i="28"/>
  <c r="D525" i="28"/>
  <c r="E837" i="28"/>
  <c r="E681" i="28"/>
  <c r="D299" i="28"/>
  <c r="D759" i="28"/>
  <c r="D878" i="28"/>
  <c r="D837" i="28"/>
  <c r="D307" i="28"/>
  <c r="D303" i="28"/>
  <c r="D315" i="28"/>
  <c r="D311" i="28"/>
  <c r="D330" i="28"/>
  <c r="D319" i="28"/>
  <c r="D642" i="28"/>
  <c r="D486" i="28"/>
  <c r="D877" i="28"/>
  <c r="D798" i="28"/>
  <c r="D301" i="28"/>
  <c r="D297" i="28"/>
  <c r="D309" i="28"/>
  <c r="D305" i="28"/>
  <c r="E313" i="28"/>
  <c r="D317" i="28"/>
  <c r="D313" i="28"/>
  <c r="D408" i="28"/>
  <c r="D321" i="28"/>
  <c r="D720" i="28"/>
  <c r="D564" i="28"/>
  <c r="D876" i="28"/>
  <c r="E883" i="28"/>
  <c r="N281" i="28"/>
  <c r="T281" i="28"/>
  <c r="F883" i="28" s="1"/>
  <c r="E878" i="28"/>
  <c r="N276" i="28"/>
  <c r="T276" i="28"/>
  <c r="D293" i="28"/>
  <c r="R289" i="28"/>
  <c r="E880" i="28"/>
  <c r="N278" i="28"/>
  <c r="T278" i="28"/>
  <c r="F880" i="28" s="1"/>
  <c r="B6" i="8"/>
  <c r="E879" i="28"/>
  <c r="T277" i="28"/>
  <c r="F370" i="28" s="1"/>
  <c r="N277" i="28"/>
  <c r="E293" i="28"/>
  <c r="N230" i="28"/>
  <c r="T230" i="28"/>
  <c r="F934" i="28"/>
  <c r="F226" i="28"/>
  <c r="F163" i="28"/>
  <c r="AJ39" i="20"/>
  <c r="T31" i="20"/>
  <c r="AL48" i="24"/>
  <c r="AE7" i="20"/>
  <c r="AD48" i="24"/>
  <c r="AP48" i="24"/>
  <c r="AU3" i="24"/>
  <c r="AS14" i="20"/>
  <c r="AS10" i="20"/>
  <c r="BH50" i="8"/>
  <c r="G6" i="1" s="1"/>
  <c r="E7" i="21" s="1"/>
  <c r="AR3" i="24"/>
  <c r="AS12" i="20"/>
  <c r="BM50" i="8"/>
  <c r="AN11" i="6" s="1"/>
  <c r="AW3" i="24"/>
  <c r="AS15" i="20"/>
  <c r="AS11" i="20"/>
  <c r="AT3" i="24"/>
  <c r="AS16" i="20"/>
  <c r="BL50" i="8"/>
  <c r="AN8" i="6" s="1"/>
  <c r="AV3" i="24"/>
  <c r="AS13" i="20"/>
  <c r="AK23" i="20"/>
  <c r="AD50" i="24"/>
  <c r="M34" i="4"/>
  <c r="AR21" i="20"/>
  <c r="AR25" i="20" s="1"/>
  <c r="AZ52" i="8"/>
  <c r="E7" i="22" s="1"/>
  <c r="U34" i="4"/>
  <c r="W33" i="22" s="1"/>
  <c r="AN7" i="6"/>
  <c r="AT7" i="6"/>
  <c r="AU7" i="6" s="1"/>
  <c r="AN10" i="6"/>
  <c r="AT10" i="6"/>
  <c r="AU10" i="6" s="1"/>
  <c r="B7" i="4"/>
  <c r="AS7" i="20" l="1"/>
  <c r="AN4" i="24"/>
  <c r="AV48" i="24"/>
  <c r="AW48" i="24"/>
  <c r="N31" i="16"/>
  <c r="P31" i="16" s="1"/>
  <c r="N25" i="16"/>
  <c r="P25" i="16" s="1"/>
  <c r="N32" i="16"/>
  <c r="P32" i="16" s="1"/>
  <c r="N30" i="16"/>
  <c r="P30" i="16" s="1"/>
  <c r="E720" i="28"/>
  <c r="N29" i="16"/>
  <c r="P29" i="16" s="1"/>
  <c r="N26" i="16"/>
  <c r="P26" i="16" s="1"/>
  <c r="S289" i="28"/>
  <c r="E876" i="28"/>
  <c r="N274" i="28"/>
  <c r="E317" i="28"/>
  <c r="E309" i="28"/>
  <c r="AS8" i="20"/>
  <c r="T274" i="28"/>
  <c r="F297" i="28" s="1"/>
  <c r="E564" i="28"/>
  <c r="E305" i="28"/>
  <c r="E297" i="28"/>
  <c r="E321" i="28"/>
  <c r="E408" i="28"/>
  <c r="N232" i="28"/>
  <c r="T232" i="28"/>
  <c r="F294" i="28" s="1"/>
  <c r="N231" i="28"/>
  <c r="T231" i="28"/>
  <c r="AQ17" i="20"/>
  <c r="AT17" i="20" s="1"/>
  <c r="AQ18" i="20"/>
  <c r="AT18" i="20" s="1"/>
  <c r="AQ19" i="20"/>
  <c r="AT19" i="20" s="1"/>
  <c r="K25" i="16"/>
  <c r="L25" i="16"/>
  <c r="L22" i="16"/>
  <c r="K22" i="16"/>
  <c r="K29" i="16"/>
  <c r="L29" i="16"/>
  <c r="L23" i="16"/>
  <c r="K23" i="16"/>
  <c r="C14" i="8"/>
  <c r="L30" i="16"/>
  <c r="K30" i="16"/>
  <c r="L32" i="16"/>
  <c r="K32" i="16"/>
  <c r="L24" i="16"/>
  <c r="K24" i="16"/>
  <c r="K26" i="16"/>
  <c r="L26" i="16"/>
  <c r="K31" i="16"/>
  <c r="L31" i="16"/>
  <c r="E447" i="28"/>
  <c r="E416" i="28"/>
  <c r="E412" i="28"/>
  <c r="E322" i="28"/>
  <c r="E757" i="28"/>
  <c r="E567" i="28"/>
  <c r="E315" i="28"/>
  <c r="E599" i="28"/>
  <c r="E307" i="28"/>
  <c r="E735" i="28"/>
  <c r="E759" i="28"/>
  <c r="E724" i="28"/>
  <c r="E425" i="28"/>
  <c r="E418" i="28"/>
  <c r="E417" i="28"/>
  <c r="E311" i="28"/>
  <c r="E745" i="28"/>
  <c r="E642" i="28"/>
  <c r="E299" i="28"/>
  <c r="E753" i="28"/>
  <c r="E435" i="28"/>
  <c r="E581" i="28"/>
  <c r="E302" i="28"/>
  <c r="E591" i="28"/>
  <c r="E569" i="28"/>
  <c r="E443" i="28"/>
  <c r="E298" i="28"/>
  <c r="E754" i="28"/>
  <c r="E431" i="28"/>
  <c r="E798" i="28"/>
  <c r="E306" i="28"/>
  <c r="E741" i="28"/>
  <c r="E733" i="28"/>
  <c r="E422" i="28"/>
  <c r="E603" i="28"/>
  <c r="E310" i="28"/>
  <c r="E742" i="28"/>
  <c r="E723" i="28"/>
  <c r="E588" i="28"/>
  <c r="E423" i="28"/>
  <c r="E330" i="28"/>
  <c r="E303" i="28"/>
  <c r="E747" i="28"/>
  <c r="E575" i="28"/>
  <c r="E439" i="28"/>
  <c r="T275" i="28"/>
  <c r="F409" i="28" s="1"/>
  <c r="E486" i="28"/>
  <c r="E748" i="28"/>
  <c r="E739" i="28"/>
  <c r="E576" i="28"/>
  <c r="N275" i="28"/>
  <c r="E318" i="28"/>
  <c r="E729" i="28"/>
  <c r="E721" i="28"/>
  <c r="E593" i="28"/>
  <c r="E410" i="28"/>
  <c r="E730" i="28"/>
  <c r="E411" i="28"/>
  <c r="E600" i="28"/>
  <c r="E582" i="28"/>
  <c r="E573" i="28"/>
  <c r="E440" i="28"/>
  <c r="E413" i="28"/>
  <c r="E445" i="28"/>
  <c r="E429" i="28"/>
  <c r="E597" i="28"/>
  <c r="E579" i="28"/>
  <c r="E446" i="28"/>
  <c r="E587" i="28"/>
  <c r="E441" i="28"/>
  <c r="E424" i="28"/>
  <c r="E751" i="28"/>
  <c r="E736" i="28"/>
  <c r="E727" i="28"/>
  <c r="E594" i="28"/>
  <c r="E585" i="28"/>
  <c r="E570" i="28"/>
  <c r="E419" i="28"/>
  <c r="E436" i="28"/>
  <c r="E428" i="28"/>
  <c r="E433" i="28"/>
  <c r="E434" i="28"/>
  <c r="E877" i="28"/>
  <c r="E758" i="28"/>
  <c r="E752" i="28"/>
  <c r="E746" i="28"/>
  <c r="E740" i="28"/>
  <c r="E734" i="28"/>
  <c r="E728" i="28"/>
  <c r="E722" i="28"/>
  <c r="E598" i="28"/>
  <c r="E592" i="28"/>
  <c r="E586" i="28"/>
  <c r="E580" i="28"/>
  <c r="E574" i="28"/>
  <c r="E568" i="28"/>
  <c r="E426" i="28"/>
  <c r="E420" i="28"/>
  <c r="E414" i="28"/>
  <c r="E314" i="28"/>
  <c r="E442" i="28"/>
  <c r="E437" i="28"/>
  <c r="E430" i="28"/>
  <c r="E427" i="28"/>
  <c r="E421" i="28"/>
  <c r="E415" i="28"/>
  <c r="E319" i="28"/>
  <c r="E755" i="28"/>
  <c r="E749" i="28"/>
  <c r="E743" i="28"/>
  <c r="E737" i="28"/>
  <c r="E731" i="28"/>
  <c r="E725" i="28"/>
  <c r="E601" i="28"/>
  <c r="E595" i="28"/>
  <c r="E589" i="28"/>
  <c r="E583" i="28"/>
  <c r="E577" i="28"/>
  <c r="E571" i="28"/>
  <c r="E565" i="28"/>
  <c r="E444" i="28"/>
  <c r="E438" i="28"/>
  <c r="E432" i="28"/>
  <c r="E756" i="28"/>
  <c r="E750" i="28"/>
  <c r="E744" i="28"/>
  <c r="E738" i="28"/>
  <c r="E732" i="28"/>
  <c r="E726" i="28"/>
  <c r="E602" i="28"/>
  <c r="E596" i="28"/>
  <c r="E590" i="28"/>
  <c r="E584" i="28"/>
  <c r="E578" i="28"/>
  <c r="E572" i="28"/>
  <c r="E566" i="28"/>
  <c r="AQ13" i="20"/>
  <c r="AT13" i="20" s="1"/>
  <c r="AS9" i="20"/>
  <c r="N233" i="28"/>
  <c r="T233" i="28"/>
  <c r="F324" i="28"/>
  <c r="F323" i="28"/>
  <c r="F327" i="28"/>
  <c r="F326" i="28"/>
  <c r="F325" i="28"/>
  <c r="F331" i="28"/>
  <c r="F329" i="28"/>
  <c r="F328" i="28"/>
  <c r="F334" i="28"/>
  <c r="F333" i="28"/>
  <c r="F332" i="28"/>
  <c r="F337" i="28"/>
  <c r="F336" i="28"/>
  <c r="F335" i="28"/>
  <c r="F340" i="28"/>
  <c r="F339" i="28"/>
  <c r="F338" i="28"/>
  <c r="F342" i="28"/>
  <c r="F341" i="28"/>
  <c r="F345" i="28"/>
  <c r="F344" i="28"/>
  <c r="F343" i="28"/>
  <c r="F348" i="28"/>
  <c r="F347" i="28"/>
  <c r="F346" i="28"/>
  <c r="F351" i="28"/>
  <c r="F350" i="28"/>
  <c r="F349" i="28"/>
  <c r="F354" i="28"/>
  <c r="F352" i="28"/>
  <c r="F353" i="28"/>
  <c r="F357" i="28"/>
  <c r="F356" i="28"/>
  <c r="F355" i="28"/>
  <c r="F360" i="28"/>
  <c r="F359" i="28"/>
  <c r="F358" i="28"/>
  <c r="F363" i="28"/>
  <c r="F362" i="28"/>
  <c r="F361" i="28"/>
  <c r="F366" i="28"/>
  <c r="F365" i="28"/>
  <c r="F364" i="28"/>
  <c r="F448" i="28"/>
  <c r="F368" i="28"/>
  <c r="F367" i="28"/>
  <c r="F373" i="28"/>
  <c r="F372" i="28"/>
  <c r="F371" i="28"/>
  <c r="F375" i="28"/>
  <c r="F374" i="28"/>
  <c r="F378" i="28"/>
  <c r="F377" i="28"/>
  <c r="F376" i="28"/>
  <c r="F381" i="28"/>
  <c r="F380" i="28"/>
  <c r="F379" i="28"/>
  <c r="F385" i="28"/>
  <c r="F383" i="28"/>
  <c r="F382" i="28"/>
  <c r="F384" i="28"/>
  <c r="F388" i="28"/>
  <c r="F387" i="28"/>
  <c r="F386" i="28"/>
  <c r="F391" i="28"/>
  <c r="F390" i="28"/>
  <c r="F389" i="28"/>
  <c r="F393" i="28"/>
  <c r="F392" i="28"/>
  <c r="F396" i="28"/>
  <c r="F395" i="28"/>
  <c r="F394" i="28"/>
  <c r="F399" i="28"/>
  <c r="F398" i="28"/>
  <c r="F397" i="28"/>
  <c r="F402" i="28"/>
  <c r="F400" i="28"/>
  <c r="F401" i="28"/>
  <c r="F405" i="28"/>
  <c r="F404" i="28"/>
  <c r="F403" i="28"/>
  <c r="F407" i="28"/>
  <c r="F406" i="28"/>
  <c r="F451" i="28"/>
  <c r="F450" i="28"/>
  <c r="F449" i="28"/>
  <c r="F454" i="28"/>
  <c r="F453" i="28"/>
  <c r="F452" i="28"/>
  <c r="F457" i="28"/>
  <c r="F456" i="28"/>
  <c r="F455" i="28"/>
  <c r="F460" i="28"/>
  <c r="F458" i="28"/>
  <c r="F459" i="28"/>
  <c r="F463" i="28"/>
  <c r="F462" i="28"/>
  <c r="F461" i="28"/>
  <c r="F466" i="28"/>
  <c r="F465" i="28"/>
  <c r="F464" i="28"/>
  <c r="F469" i="28"/>
  <c r="F468" i="28"/>
  <c r="F467" i="28"/>
  <c r="F472" i="28"/>
  <c r="F470" i="28"/>
  <c r="F471" i="28"/>
  <c r="F475" i="28"/>
  <c r="F474" i="28"/>
  <c r="F473" i="28"/>
  <c r="F478" i="28"/>
  <c r="F477" i="28"/>
  <c r="F476" i="28"/>
  <c r="F480" i="28"/>
  <c r="F479" i="28"/>
  <c r="F483" i="28"/>
  <c r="F481" i="28"/>
  <c r="F482" i="28"/>
  <c r="F487" i="28"/>
  <c r="F485" i="28"/>
  <c r="F484" i="28"/>
  <c r="F489" i="28"/>
  <c r="F488" i="28"/>
  <c r="F491" i="28"/>
  <c r="F490" i="28"/>
  <c r="F493" i="28"/>
  <c r="F492" i="28"/>
  <c r="F495" i="28"/>
  <c r="F494" i="28"/>
  <c r="F498" i="28"/>
  <c r="F497" i="28"/>
  <c r="F496" i="28"/>
  <c r="F501" i="28"/>
  <c r="F500" i="28"/>
  <c r="F499" i="28"/>
  <c r="F504" i="28"/>
  <c r="F503" i="28"/>
  <c r="F502" i="28"/>
  <c r="F507" i="28"/>
  <c r="F505" i="28"/>
  <c r="F506" i="28"/>
  <c r="F510" i="28"/>
  <c r="F509" i="28"/>
  <c r="F508" i="28"/>
  <c r="F512" i="28"/>
  <c r="F511" i="28"/>
  <c r="F515" i="28"/>
  <c r="F513" i="28"/>
  <c r="F514" i="28"/>
  <c r="F517" i="28"/>
  <c r="F516" i="28"/>
  <c r="F520" i="28"/>
  <c r="F519" i="28"/>
  <c r="F518" i="28"/>
  <c r="F523" i="28"/>
  <c r="F522" i="28"/>
  <c r="F521" i="28"/>
  <c r="F604" i="28"/>
  <c r="F524" i="28"/>
  <c r="F527" i="28"/>
  <c r="F526" i="28"/>
  <c r="F530" i="28"/>
  <c r="F529" i="28"/>
  <c r="F528" i="28"/>
  <c r="F532" i="28"/>
  <c r="F531" i="28"/>
  <c r="F534" i="28"/>
  <c r="F533" i="28"/>
  <c r="F536" i="28"/>
  <c r="F535" i="28"/>
  <c r="F538" i="28"/>
  <c r="F537" i="28"/>
  <c r="F540" i="28"/>
  <c r="F539" i="28"/>
  <c r="F542" i="28"/>
  <c r="F541" i="28"/>
  <c r="F544" i="28"/>
  <c r="F543" i="28"/>
  <c r="F546" i="28"/>
  <c r="F545" i="28"/>
  <c r="F548" i="28"/>
  <c r="F547" i="28"/>
  <c r="F550" i="28"/>
  <c r="F549" i="28"/>
  <c r="F552" i="28"/>
  <c r="F551" i="28"/>
  <c r="F554" i="28"/>
  <c r="F553" i="28"/>
  <c r="F556" i="28"/>
  <c r="F555" i="28"/>
  <c r="F558" i="28"/>
  <c r="F557" i="28"/>
  <c r="F560" i="28"/>
  <c r="F559" i="28"/>
  <c r="F562" i="28"/>
  <c r="F561" i="28"/>
  <c r="F682" i="28"/>
  <c r="F563" i="28"/>
  <c r="F606" i="28"/>
  <c r="F605" i="28"/>
  <c r="F608" i="28"/>
  <c r="F607" i="28"/>
  <c r="F610" i="28"/>
  <c r="F609" i="28"/>
  <c r="F612" i="28"/>
  <c r="F611" i="28"/>
  <c r="F614" i="28"/>
  <c r="F613" i="28"/>
  <c r="F616" i="28"/>
  <c r="F615" i="28"/>
  <c r="F618" i="28"/>
  <c r="F617" i="28"/>
  <c r="F620" i="28"/>
  <c r="F619" i="28"/>
  <c r="F622" i="28"/>
  <c r="F621" i="28"/>
  <c r="F624" i="28"/>
  <c r="F623" i="28"/>
  <c r="F626" i="28"/>
  <c r="F625" i="28"/>
  <c r="F628" i="28"/>
  <c r="F627" i="28"/>
  <c r="F630" i="28"/>
  <c r="F629" i="28"/>
  <c r="F632" i="28"/>
  <c r="F631" i="28"/>
  <c r="F634" i="28"/>
  <c r="F633" i="28"/>
  <c r="F636" i="28"/>
  <c r="F635" i="28"/>
  <c r="F638" i="28"/>
  <c r="F637" i="28"/>
  <c r="F640" i="28"/>
  <c r="F639" i="28"/>
  <c r="F643" i="28"/>
  <c r="F641" i="28"/>
  <c r="F645" i="28"/>
  <c r="F644" i="28"/>
  <c r="F647" i="28"/>
  <c r="F646" i="28"/>
  <c r="F649" i="28"/>
  <c r="F648" i="28"/>
  <c r="F651" i="28"/>
  <c r="F650" i="28"/>
  <c r="F653" i="28"/>
  <c r="F652" i="28"/>
  <c r="F655" i="28"/>
  <c r="F654" i="28"/>
  <c r="F657" i="28"/>
  <c r="F656" i="28"/>
  <c r="F659" i="28"/>
  <c r="F658" i="28"/>
  <c r="F661" i="28"/>
  <c r="F660" i="28"/>
  <c r="F663" i="28"/>
  <c r="F662" i="28"/>
  <c r="F665" i="28"/>
  <c r="F664" i="28"/>
  <c r="F667" i="28"/>
  <c r="F666" i="28"/>
  <c r="F669" i="28"/>
  <c r="F668" i="28"/>
  <c r="F671" i="28"/>
  <c r="F670" i="28"/>
  <c r="F673" i="28"/>
  <c r="F672" i="28"/>
  <c r="F675" i="28"/>
  <c r="F674" i="28"/>
  <c r="F677" i="28"/>
  <c r="F676" i="28"/>
  <c r="F679" i="28"/>
  <c r="F678" i="28"/>
  <c r="F760" i="28"/>
  <c r="F680" i="28"/>
  <c r="F684" i="28"/>
  <c r="F683" i="28"/>
  <c r="F686" i="28"/>
  <c r="F685" i="28"/>
  <c r="F688" i="28"/>
  <c r="F687" i="28"/>
  <c r="F690" i="28"/>
  <c r="F689" i="28"/>
  <c r="F692" i="28"/>
  <c r="F691" i="28"/>
  <c r="F694" i="28"/>
  <c r="F693" i="28"/>
  <c r="F696" i="28"/>
  <c r="F695" i="28"/>
  <c r="F698" i="28"/>
  <c r="F697" i="28"/>
  <c r="F700" i="28"/>
  <c r="F699" i="28"/>
  <c r="F702" i="28"/>
  <c r="F701" i="28"/>
  <c r="F704" i="28"/>
  <c r="F703" i="28"/>
  <c r="F706" i="28"/>
  <c r="F705" i="28"/>
  <c r="F708" i="28"/>
  <c r="F707" i="28"/>
  <c r="F710" i="28"/>
  <c r="F709" i="28"/>
  <c r="F712" i="28"/>
  <c r="F711" i="28"/>
  <c r="F714" i="28"/>
  <c r="F713" i="28"/>
  <c r="F716" i="28"/>
  <c r="F715" i="28"/>
  <c r="F718" i="28"/>
  <c r="F717" i="28"/>
  <c r="F838" i="28"/>
  <c r="F719" i="28"/>
  <c r="F762" i="28"/>
  <c r="F761" i="28"/>
  <c r="F764" i="28"/>
  <c r="F763" i="28"/>
  <c r="F766" i="28"/>
  <c r="F765" i="28"/>
  <c r="F768" i="28"/>
  <c r="F767" i="28"/>
  <c r="F770" i="28"/>
  <c r="F769" i="28"/>
  <c r="F772" i="28"/>
  <c r="F771" i="28"/>
  <c r="F774" i="28"/>
  <c r="F773" i="28"/>
  <c r="F776" i="28"/>
  <c r="F775" i="28"/>
  <c r="F778" i="28"/>
  <c r="F777" i="28"/>
  <c r="F780" i="28"/>
  <c r="F779" i="28"/>
  <c r="F782" i="28"/>
  <c r="F781" i="28"/>
  <c r="F784" i="28"/>
  <c r="F783" i="28"/>
  <c r="F786" i="28"/>
  <c r="F785" i="28"/>
  <c r="F788" i="28"/>
  <c r="F787" i="28"/>
  <c r="F790" i="28"/>
  <c r="F789" i="28"/>
  <c r="F792" i="28"/>
  <c r="F791" i="28"/>
  <c r="F794" i="28"/>
  <c r="F793" i="28"/>
  <c r="F796" i="28"/>
  <c r="F795" i="28"/>
  <c r="F799" i="28"/>
  <c r="F797" i="28"/>
  <c r="F801" i="28"/>
  <c r="F800" i="28"/>
  <c r="F803" i="28"/>
  <c r="F802" i="28"/>
  <c r="F805" i="28"/>
  <c r="F804" i="28"/>
  <c r="F807" i="28"/>
  <c r="F806" i="28"/>
  <c r="F809" i="28"/>
  <c r="F808" i="28"/>
  <c r="F811" i="28"/>
  <c r="F810" i="28"/>
  <c r="F813" i="28"/>
  <c r="F812" i="28"/>
  <c r="F815" i="28"/>
  <c r="F814" i="28"/>
  <c r="F817" i="28"/>
  <c r="F816" i="28"/>
  <c r="F819" i="28"/>
  <c r="F818" i="28"/>
  <c r="F821" i="28"/>
  <c r="F820" i="28"/>
  <c r="F823" i="28"/>
  <c r="F822" i="28"/>
  <c r="F825" i="28"/>
  <c r="F824" i="28"/>
  <c r="F827" i="28"/>
  <c r="F826" i="28"/>
  <c r="F829" i="28"/>
  <c r="F828" i="28"/>
  <c r="F831" i="28"/>
  <c r="F830" i="28"/>
  <c r="F833" i="28"/>
  <c r="F832" i="28"/>
  <c r="F835" i="28"/>
  <c r="F834" i="28"/>
  <c r="F300" i="28"/>
  <c r="F836" i="28"/>
  <c r="F840" i="28"/>
  <c r="F839" i="28"/>
  <c r="F842" i="28"/>
  <c r="F841" i="28"/>
  <c r="F844" i="28"/>
  <c r="F843" i="28"/>
  <c r="F846" i="28"/>
  <c r="F845" i="28"/>
  <c r="F848" i="28"/>
  <c r="F847" i="28"/>
  <c r="F850" i="28"/>
  <c r="F849" i="28"/>
  <c r="F852" i="28"/>
  <c r="F851" i="28"/>
  <c r="F854" i="28"/>
  <c r="F853" i="28"/>
  <c r="F856" i="28"/>
  <c r="F855" i="28"/>
  <c r="F858" i="28"/>
  <c r="F857" i="28"/>
  <c r="F860" i="28"/>
  <c r="F859" i="28"/>
  <c r="F862" i="28"/>
  <c r="F861" i="28"/>
  <c r="F864" i="28"/>
  <c r="F863" i="28"/>
  <c r="F866" i="28"/>
  <c r="F865" i="28"/>
  <c r="F868" i="28"/>
  <c r="F867" i="28"/>
  <c r="F870" i="28"/>
  <c r="F869" i="28"/>
  <c r="F872" i="28"/>
  <c r="F871" i="28"/>
  <c r="F874" i="28"/>
  <c r="F873" i="28"/>
  <c r="F879" i="28"/>
  <c r="F875" i="28"/>
  <c r="BD50" i="8"/>
  <c r="D6" i="1" s="1"/>
  <c r="D7" i="21" s="1"/>
  <c r="AN3" i="24"/>
  <c r="AR48" i="24"/>
  <c r="F308" i="28"/>
  <c r="F304" i="28"/>
  <c r="F316" i="28"/>
  <c r="F312" i="28"/>
  <c r="F369" i="28"/>
  <c r="F320" i="28"/>
  <c r="F681" i="28"/>
  <c r="F525" i="28"/>
  <c r="F878" i="28"/>
  <c r="F837" i="28"/>
  <c r="C8" i="21"/>
  <c r="C7" i="29"/>
  <c r="O34" i="4"/>
  <c r="R33" i="22" s="1"/>
  <c r="M33" i="22"/>
  <c r="E884" i="28"/>
  <c r="F293" i="28"/>
  <c r="AQ16" i="20"/>
  <c r="AT16" i="20" s="1"/>
  <c r="C16" i="8"/>
  <c r="C13" i="8"/>
  <c r="C7" i="8"/>
  <c r="AQ10" i="20"/>
  <c r="AT10" i="20" s="1"/>
  <c r="AQ8" i="20"/>
  <c r="AQ14" i="20"/>
  <c r="AT14" i="20" s="1"/>
  <c r="AQ11" i="20"/>
  <c r="AT11" i="20" s="1"/>
  <c r="C8" i="8"/>
  <c r="C9" i="8"/>
  <c r="C7" i="22"/>
  <c r="C15" i="8"/>
  <c r="C10" i="8"/>
  <c r="AQ15" i="20"/>
  <c r="AT15" i="20" s="1"/>
  <c r="AQ12" i="20"/>
  <c r="AT12" i="20" s="1"/>
  <c r="AO7" i="6"/>
  <c r="AO10" i="6"/>
  <c r="G8" i="1"/>
  <c r="F27" i="2" s="1"/>
  <c r="AJ50" i="24"/>
  <c r="AQ23" i="20"/>
  <c r="AT23" i="20" s="1"/>
  <c r="F26" i="2"/>
  <c r="F564" i="28" l="1"/>
  <c r="F720" i="28"/>
  <c r="F321" i="28"/>
  <c r="F301" i="28"/>
  <c r="F408" i="28"/>
  <c r="F305" i="28"/>
  <c r="F313" i="28"/>
  <c r="AT8" i="20"/>
  <c r="F876" i="28"/>
  <c r="F317" i="28"/>
  <c r="F309" i="28"/>
  <c r="T289" i="28"/>
  <c r="H16" i="23"/>
  <c r="AQ9" i="20"/>
  <c r="AT9" i="20" s="1"/>
  <c r="AB55" i="6"/>
  <c r="AB57" i="6"/>
  <c r="AB54" i="6"/>
  <c r="AB56" i="6"/>
  <c r="AB58" i="6"/>
  <c r="AB52" i="6"/>
  <c r="S52" i="23" s="1"/>
  <c r="AB53" i="6"/>
  <c r="AB59" i="6"/>
  <c r="AB60" i="6"/>
  <c r="AD4" i="6"/>
  <c r="U4" i="23" s="1"/>
  <c r="AD35" i="6"/>
  <c r="AD40" i="6"/>
  <c r="AD51" i="6"/>
  <c r="AD54" i="6"/>
  <c r="AE54" i="6" s="1"/>
  <c r="AG54" i="6" s="1"/>
  <c r="AD43" i="6"/>
  <c r="AD31" i="6"/>
  <c r="AD36" i="6"/>
  <c r="AD41" i="6"/>
  <c r="AD46" i="6"/>
  <c r="AD52" i="6"/>
  <c r="AD33" i="6"/>
  <c r="AD49" i="6"/>
  <c r="AD32" i="6"/>
  <c r="AD42" i="6"/>
  <c r="AD47" i="6"/>
  <c r="AD53" i="6"/>
  <c r="AE53" i="6" s="1"/>
  <c r="AG53" i="6" s="1"/>
  <c r="AD56" i="6"/>
  <c r="AE56" i="6" s="1"/>
  <c r="AG56" i="6" s="1"/>
  <c r="AD38" i="6"/>
  <c r="AD44" i="6"/>
  <c r="AD37" i="6"/>
  <c r="AD48" i="6"/>
  <c r="AD50" i="6"/>
  <c r="AD30" i="6"/>
  <c r="U30" i="23" s="1"/>
  <c r="AD34" i="6"/>
  <c r="AD39" i="6"/>
  <c r="AD55" i="6"/>
  <c r="AE55" i="6" s="1"/>
  <c r="AG55" i="6" s="1"/>
  <c r="AD45" i="6"/>
  <c r="AD57" i="6"/>
  <c r="AE57" i="6" s="1"/>
  <c r="AG57" i="6" s="1"/>
  <c r="AD7" i="6"/>
  <c r="U7" i="23" s="1"/>
  <c r="AD14" i="6"/>
  <c r="U14" i="23" s="1"/>
  <c r="AD11" i="6"/>
  <c r="U11" i="23" s="1"/>
  <c r="AD18" i="6"/>
  <c r="U18" i="23" s="1"/>
  <c r="AD8" i="6"/>
  <c r="U8" i="23" s="1"/>
  <c r="AD15" i="6"/>
  <c r="U15" i="23" s="1"/>
  <c r="AD13" i="6"/>
  <c r="U13" i="23" s="1"/>
  <c r="AD5" i="6"/>
  <c r="U5" i="23" s="1"/>
  <c r="AD6" i="6"/>
  <c r="U6" i="23" s="1"/>
  <c r="AD10" i="6"/>
  <c r="U10" i="23" s="1"/>
  <c r="AD12" i="6"/>
  <c r="U12" i="23" s="1"/>
  <c r="AD19" i="6"/>
  <c r="U19" i="23" s="1"/>
  <c r="AD9" i="6"/>
  <c r="U9" i="23" s="1"/>
  <c r="AD16" i="6"/>
  <c r="U16" i="23" s="1"/>
  <c r="AD20" i="6"/>
  <c r="U20" i="23" s="1"/>
  <c r="AD17" i="6"/>
  <c r="U17" i="23" s="1"/>
  <c r="Y20" i="6"/>
  <c r="Q20" i="23" s="1"/>
  <c r="Y28" i="6"/>
  <c r="Y8" i="6"/>
  <c r="Q8" i="23" s="1"/>
  <c r="Y6" i="6"/>
  <c r="Q6" i="23" s="1"/>
  <c r="Y13" i="6"/>
  <c r="Q13" i="23" s="1"/>
  <c r="Y16" i="6"/>
  <c r="Q16" i="23" s="1"/>
  <c r="Y31" i="6"/>
  <c r="Y34" i="6"/>
  <c r="Y38" i="6"/>
  <c r="Y45" i="6"/>
  <c r="Y18" i="6"/>
  <c r="Q18" i="23" s="1"/>
  <c r="Y29" i="6"/>
  <c r="Y9" i="6"/>
  <c r="Q9" i="23" s="1"/>
  <c r="Y41" i="6"/>
  <c r="Y48" i="6"/>
  <c r="Y11" i="6"/>
  <c r="Q11" i="23" s="1"/>
  <c r="Y23" i="6"/>
  <c r="Y21" i="6"/>
  <c r="Y5" i="6"/>
  <c r="Q5" i="23" s="1"/>
  <c r="Y12" i="6"/>
  <c r="Q12" i="23" s="1"/>
  <c r="Y19" i="6"/>
  <c r="Q19" i="23" s="1"/>
  <c r="Y24" i="6"/>
  <c r="Y30" i="6"/>
  <c r="Q30" i="23" s="1"/>
  <c r="Y37" i="6"/>
  <c r="AB51" i="6"/>
  <c r="S51" i="23" s="1"/>
  <c r="Y47" i="6"/>
  <c r="Y43" i="6"/>
  <c r="Y50" i="6"/>
  <c r="Y15" i="6"/>
  <c r="Q15" i="23" s="1"/>
  <c r="Y26" i="6"/>
  <c r="Y33" i="6"/>
  <c r="Y40" i="6"/>
  <c r="Y44" i="6"/>
  <c r="Y36" i="6"/>
  <c r="Y42" i="6"/>
  <c r="Y25" i="6"/>
  <c r="Y32" i="6"/>
  <c r="Y17" i="6"/>
  <c r="Q17" i="23" s="1"/>
  <c r="Y49" i="6"/>
  <c r="Y7" i="6"/>
  <c r="Q7" i="23" s="1"/>
  <c r="Y14" i="6"/>
  <c r="Q14" i="23" s="1"/>
  <c r="Y27" i="6"/>
  <c r="Y39" i="6"/>
  <c r="Y10" i="6"/>
  <c r="Q10" i="23" s="1"/>
  <c r="Y35" i="6"/>
  <c r="Y46" i="6"/>
  <c r="Y22" i="6"/>
  <c r="Y4" i="6"/>
  <c r="Q4" i="23" s="1"/>
  <c r="F426" i="28"/>
  <c r="F427" i="28"/>
  <c r="F422" i="28"/>
  <c r="F737" i="28"/>
  <c r="F572" i="28"/>
  <c r="F416" i="28"/>
  <c r="F573" i="28"/>
  <c r="F734" i="28"/>
  <c r="F723" i="28"/>
  <c r="F603" i="28"/>
  <c r="F417" i="28"/>
  <c r="F877" i="28"/>
  <c r="F298" i="28"/>
  <c r="F587" i="28"/>
  <c r="F444" i="28"/>
  <c r="F486" i="28"/>
  <c r="F756" i="28"/>
  <c r="F584" i="28"/>
  <c r="F436" i="28"/>
  <c r="F642" i="28"/>
  <c r="F302" i="28"/>
  <c r="F736" i="28"/>
  <c r="F574" i="28"/>
  <c r="F432" i="28"/>
  <c r="F299" i="28"/>
  <c r="F755" i="28"/>
  <c r="F418" i="28"/>
  <c r="F306" i="28"/>
  <c r="F748" i="28"/>
  <c r="F744" i="28"/>
  <c r="F600" i="28"/>
  <c r="F447" i="28"/>
  <c r="F743" i="28"/>
  <c r="F596" i="28"/>
  <c r="F303" i="28"/>
  <c r="F314" i="28"/>
  <c r="F735" i="28"/>
  <c r="F595" i="28"/>
  <c r="F414" i="28"/>
  <c r="F732" i="28"/>
  <c r="F589" i="28"/>
  <c r="F758" i="28"/>
  <c r="F733" i="28"/>
  <c r="F586" i="28"/>
  <c r="F585" i="28"/>
  <c r="F445" i="28"/>
  <c r="F413" i="28"/>
  <c r="F745" i="28"/>
  <c r="F575" i="28"/>
  <c r="F439" i="28"/>
  <c r="F440" i="28"/>
  <c r="F597" i="28"/>
  <c r="F571" i="28"/>
  <c r="F441" i="28"/>
  <c r="F415" i="28"/>
  <c r="F757" i="28"/>
  <c r="F722" i="28"/>
  <c r="F588" i="28"/>
  <c r="F437" i="28"/>
  <c r="F433" i="28"/>
  <c r="F319" i="28"/>
  <c r="F749" i="28"/>
  <c r="F731" i="28"/>
  <c r="F601" i="28"/>
  <c r="F583" i="28"/>
  <c r="F428" i="28"/>
  <c r="F411" i="28"/>
  <c r="F330" i="28"/>
  <c r="F318" i="28"/>
  <c r="F746" i="28"/>
  <c r="F724" i="28"/>
  <c r="F598" i="28"/>
  <c r="F576" i="28"/>
  <c r="F429" i="28"/>
  <c r="F311" i="28"/>
  <c r="F747" i="28"/>
  <c r="F725" i="28"/>
  <c r="F599" i="28"/>
  <c r="F577" i="28"/>
  <c r="F425" i="28"/>
  <c r="F315" i="28"/>
  <c r="F754" i="28"/>
  <c r="F742" i="28"/>
  <c r="F730" i="28"/>
  <c r="F594" i="28"/>
  <c r="F582" i="28"/>
  <c r="F570" i="28"/>
  <c r="F438" i="28"/>
  <c r="F423" i="28"/>
  <c r="F410" i="28"/>
  <c r="F322" i="28"/>
  <c r="F752" i="28"/>
  <c r="F740" i="28"/>
  <c r="F728" i="28"/>
  <c r="F592" i="28"/>
  <c r="F580" i="28"/>
  <c r="F568" i="28"/>
  <c r="F446" i="28"/>
  <c r="F434" i="28"/>
  <c r="F424" i="28"/>
  <c r="F412" i="28"/>
  <c r="F753" i="28"/>
  <c r="F741" i="28"/>
  <c r="F729" i="28"/>
  <c r="F593" i="28"/>
  <c r="F581" i="28"/>
  <c r="F569" i="28"/>
  <c r="F565" i="28"/>
  <c r="F435" i="28"/>
  <c r="F420" i="28"/>
  <c r="F307" i="28"/>
  <c r="F750" i="28"/>
  <c r="F738" i="28"/>
  <c r="F726" i="28"/>
  <c r="F602" i="28"/>
  <c r="F590" i="28"/>
  <c r="F578" i="28"/>
  <c r="F566" i="28"/>
  <c r="F443" i="28"/>
  <c r="F430" i="28"/>
  <c r="F419" i="28"/>
  <c r="F798" i="28"/>
  <c r="F759" i="28"/>
  <c r="F310" i="28"/>
  <c r="F751" i="28"/>
  <c r="F739" i="28"/>
  <c r="F727" i="28"/>
  <c r="F721" i="28"/>
  <c r="F591" i="28"/>
  <c r="F579" i="28"/>
  <c r="F567" i="28"/>
  <c r="F442" i="28"/>
  <c r="F431" i="28"/>
  <c r="F421" i="28"/>
  <c r="AN48" i="24"/>
  <c r="J21" i="16"/>
  <c r="I21" i="16"/>
  <c r="K6" i="16"/>
  <c r="K8" i="16" s="1"/>
  <c r="L6" i="16"/>
  <c r="L8" i="16" s="1"/>
  <c r="AS21" i="20"/>
  <c r="AS25" i="20" s="1"/>
  <c r="D132" i="11"/>
  <c r="C6" i="8"/>
  <c r="D32" i="11"/>
  <c r="E26" i="2"/>
  <c r="F884" i="28"/>
  <c r="AQ7" i="20"/>
  <c r="AT7" i="20" s="1"/>
  <c r="AJ3" i="24"/>
  <c r="J7" i="22"/>
  <c r="C11" i="22"/>
  <c r="E9" i="21"/>
  <c r="N21" i="16" l="1"/>
  <c r="P21" i="16" s="1"/>
  <c r="Z25" i="6"/>
  <c r="Q25" i="23"/>
  <c r="Z22" i="6"/>
  <c r="Q22" i="23"/>
  <c r="Z46" i="6"/>
  <c r="Q46" i="23"/>
  <c r="Z44" i="6"/>
  <c r="Q44" i="23"/>
  <c r="Z38" i="6"/>
  <c r="Q38" i="23"/>
  <c r="Z45" i="6"/>
  <c r="Q45" i="23"/>
  <c r="Z31" i="6"/>
  <c r="Q31" i="23"/>
  <c r="Z32" i="6"/>
  <c r="Q32" i="23"/>
  <c r="Z36" i="6"/>
  <c r="Q36" i="23"/>
  <c r="Z35" i="6"/>
  <c r="Q35" i="23"/>
  <c r="Z26" i="6"/>
  <c r="Q26" i="23"/>
  <c r="Z50" i="6"/>
  <c r="Q50" i="23"/>
  <c r="Z29" i="6"/>
  <c r="Q29" i="23"/>
  <c r="Z42" i="6"/>
  <c r="Q42" i="23"/>
  <c r="Z34" i="6"/>
  <c r="Q34" i="23"/>
  <c r="Z33" i="6"/>
  <c r="Q33" i="23"/>
  <c r="Z27" i="6"/>
  <c r="Q27" i="23"/>
  <c r="Z49" i="6"/>
  <c r="Q49" i="23"/>
  <c r="Z43" i="6"/>
  <c r="Q43" i="23"/>
  <c r="Z48" i="6"/>
  <c r="Q48" i="23"/>
  <c r="Z37" i="6"/>
  <c r="Q37" i="23"/>
  <c r="Z24" i="6"/>
  <c r="Q24" i="23"/>
  <c r="Z40" i="6"/>
  <c r="Q40" i="23"/>
  <c r="Z39" i="6"/>
  <c r="Q39" i="23"/>
  <c r="Z21" i="6"/>
  <c r="Q21" i="23"/>
  <c r="Z23" i="6"/>
  <c r="Q23" i="23"/>
  <c r="Z47" i="6"/>
  <c r="Q47" i="23"/>
  <c r="Z41" i="6"/>
  <c r="Q41" i="23"/>
  <c r="Z28" i="6"/>
  <c r="Q28" i="23"/>
  <c r="AE45" i="6"/>
  <c r="U45" i="23"/>
  <c r="AE47" i="6"/>
  <c r="U47" i="23"/>
  <c r="AE51" i="6"/>
  <c r="U51" i="23"/>
  <c r="AE46" i="6"/>
  <c r="U46" i="23"/>
  <c r="AE41" i="6"/>
  <c r="U41" i="23"/>
  <c r="AE44" i="6"/>
  <c r="U44" i="23"/>
  <c r="AE31" i="6"/>
  <c r="U31" i="23"/>
  <c r="AE42" i="6"/>
  <c r="U42" i="23"/>
  <c r="AE40" i="6"/>
  <c r="U40" i="23"/>
  <c r="AE39" i="6"/>
  <c r="U39" i="23"/>
  <c r="AE32" i="6"/>
  <c r="U32" i="23"/>
  <c r="AE35" i="6"/>
  <c r="U35" i="23"/>
  <c r="AE37" i="6"/>
  <c r="U37" i="23"/>
  <c r="AE36" i="6"/>
  <c r="U36" i="23"/>
  <c r="AE38" i="6"/>
  <c r="U38" i="23"/>
  <c r="AE34" i="6"/>
  <c r="U34" i="23"/>
  <c r="AE49" i="6"/>
  <c r="U49" i="23"/>
  <c r="AE33" i="6"/>
  <c r="U33" i="23"/>
  <c r="AE48" i="6"/>
  <c r="U48" i="23"/>
  <c r="AE43" i="6"/>
  <c r="U43" i="23"/>
  <c r="AE50" i="6"/>
  <c r="U50" i="23"/>
  <c r="AE52" i="6"/>
  <c r="U52" i="23"/>
  <c r="Z4" i="6"/>
  <c r="R4" i="23" s="1"/>
  <c r="AE13" i="6"/>
  <c r="V13" i="23" s="1"/>
  <c r="B19" i="6"/>
  <c r="B33" i="6"/>
  <c r="Z5" i="6"/>
  <c r="R5" i="23" s="1"/>
  <c r="AE8" i="6"/>
  <c r="V8" i="23" s="1"/>
  <c r="B30" i="6"/>
  <c r="AE4" i="6"/>
  <c r="V4" i="23" s="1"/>
  <c r="AE16" i="6"/>
  <c r="V16" i="23" s="1"/>
  <c r="AE14" i="6"/>
  <c r="V14" i="23" s="1"/>
  <c r="F899" i="28"/>
  <c r="B13" i="6"/>
  <c r="F904" i="28"/>
  <c r="B18" i="6"/>
  <c r="B46" i="6"/>
  <c r="B49" i="6"/>
  <c r="B40" i="6"/>
  <c r="Z15" i="6"/>
  <c r="R15" i="23" s="1"/>
  <c r="AE18" i="6"/>
  <c r="V18" i="23" s="1"/>
  <c r="Z17" i="6"/>
  <c r="R17" i="23" s="1"/>
  <c r="AE9" i="6"/>
  <c r="V9" i="23" s="1"/>
  <c r="AE7" i="6"/>
  <c r="V7" i="23" s="1"/>
  <c r="F902" i="28"/>
  <c r="B16" i="6"/>
  <c r="B55" i="6"/>
  <c r="B31" i="6"/>
  <c r="B43" i="6"/>
  <c r="Z19" i="6"/>
  <c r="R19" i="23" s="1"/>
  <c r="Z12" i="6"/>
  <c r="R12" i="23" s="1"/>
  <c r="B37" i="6"/>
  <c r="B15" i="6"/>
  <c r="F901" i="28"/>
  <c r="Z16" i="6"/>
  <c r="R16" i="23" s="1"/>
  <c r="AE19" i="6"/>
  <c r="V19" i="23" s="1"/>
  <c r="B47" i="6"/>
  <c r="B51" i="6"/>
  <c r="Z11" i="6"/>
  <c r="R11" i="23" s="1"/>
  <c r="Z13" i="6"/>
  <c r="R13" i="23" s="1"/>
  <c r="AE12" i="6"/>
  <c r="V12" i="23" s="1"/>
  <c r="B44" i="6"/>
  <c r="B42" i="6"/>
  <c r="B54" i="6"/>
  <c r="AE30" i="6"/>
  <c r="V30" i="23" s="1"/>
  <c r="Z18" i="6"/>
  <c r="R18" i="23" s="1"/>
  <c r="B50" i="6"/>
  <c r="Z20" i="6"/>
  <c r="R20" i="23" s="1"/>
  <c r="B35" i="6"/>
  <c r="Z7" i="6"/>
  <c r="R7" i="23" s="1"/>
  <c r="AE20" i="6"/>
  <c r="V20" i="23" s="1"/>
  <c r="Z6" i="6"/>
  <c r="R6" i="23" s="1"/>
  <c r="AE10" i="6"/>
  <c r="V10" i="23" s="1"/>
  <c r="F900" i="28"/>
  <c r="B14" i="6"/>
  <c r="B39" i="6"/>
  <c r="B32" i="6"/>
  <c r="B52" i="6"/>
  <c r="B57" i="6"/>
  <c r="Z30" i="6"/>
  <c r="R30" i="23" s="1"/>
  <c r="Z8" i="6"/>
  <c r="R8" i="23" s="1"/>
  <c r="AE6" i="6"/>
  <c r="V6" i="23" s="1"/>
  <c r="B17" i="6"/>
  <c r="F903" i="28"/>
  <c r="B53" i="6"/>
  <c r="B41" i="6"/>
  <c r="B45" i="6"/>
  <c r="Z10" i="6"/>
  <c r="R10" i="23" s="1"/>
  <c r="AE15" i="6"/>
  <c r="V15" i="23" s="1"/>
  <c r="B38" i="6"/>
  <c r="Z14" i="6"/>
  <c r="R14" i="23" s="1"/>
  <c r="AE17" i="6"/>
  <c r="V17" i="23" s="1"/>
  <c r="B48" i="6"/>
  <c r="AE11" i="6"/>
  <c r="V11" i="23" s="1"/>
  <c r="Z9" i="6"/>
  <c r="R9" i="23" s="1"/>
  <c r="AE5" i="6"/>
  <c r="V5" i="23" s="1"/>
  <c r="B20" i="6"/>
  <c r="B34" i="6"/>
  <c r="B56" i="6"/>
  <c r="B36" i="6"/>
  <c r="K21" i="16"/>
  <c r="L21" i="16"/>
  <c r="AB24" i="6" l="1"/>
  <c r="S24" i="23" s="1"/>
  <c r="R24" i="23"/>
  <c r="AB33" i="6"/>
  <c r="S33" i="23" s="1"/>
  <c r="R33" i="23"/>
  <c r="AB35" i="6"/>
  <c r="S35" i="23" s="1"/>
  <c r="R35" i="23"/>
  <c r="AB44" i="6"/>
  <c r="S44" i="23" s="1"/>
  <c r="R44" i="23"/>
  <c r="AB39" i="6"/>
  <c r="S39" i="23" s="1"/>
  <c r="R39" i="23"/>
  <c r="AB50" i="6"/>
  <c r="S50" i="23" s="1"/>
  <c r="R50" i="23"/>
  <c r="AB27" i="6"/>
  <c r="S27" i="23" s="1"/>
  <c r="R27" i="23"/>
  <c r="AB26" i="6"/>
  <c r="S26" i="23" s="1"/>
  <c r="R26" i="23"/>
  <c r="AB47" i="6"/>
  <c r="S47" i="23" s="1"/>
  <c r="R47" i="23"/>
  <c r="AB37" i="6"/>
  <c r="S37" i="23" s="1"/>
  <c r="R37" i="23"/>
  <c r="AB46" i="6"/>
  <c r="S46" i="23" s="1"/>
  <c r="R46" i="23"/>
  <c r="AB40" i="6"/>
  <c r="S40" i="23" s="1"/>
  <c r="R40" i="23"/>
  <c r="AB41" i="6"/>
  <c r="S41" i="23" s="1"/>
  <c r="R41" i="23"/>
  <c r="AB36" i="6"/>
  <c r="S36" i="23" s="1"/>
  <c r="R36" i="23"/>
  <c r="AB23" i="6"/>
  <c r="S23" i="23" s="1"/>
  <c r="R23" i="23"/>
  <c r="AB48" i="6"/>
  <c r="S48" i="23" s="1"/>
  <c r="R48" i="23"/>
  <c r="AB42" i="6"/>
  <c r="S42" i="23" s="1"/>
  <c r="R42" i="23"/>
  <c r="AB32" i="6"/>
  <c r="S32" i="23" s="1"/>
  <c r="R32" i="23"/>
  <c r="AB22" i="6"/>
  <c r="S22" i="23" s="1"/>
  <c r="R22" i="23"/>
  <c r="AB49" i="6"/>
  <c r="S49" i="23" s="1"/>
  <c r="R49" i="23"/>
  <c r="AB28" i="6"/>
  <c r="S28" i="23" s="1"/>
  <c r="R28" i="23"/>
  <c r="AB45" i="6"/>
  <c r="S45" i="23" s="1"/>
  <c r="R45" i="23"/>
  <c r="AB38" i="6"/>
  <c r="S38" i="23" s="1"/>
  <c r="R38" i="23"/>
  <c r="AB34" i="6"/>
  <c r="S34" i="23" s="1"/>
  <c r="R34" i="23"/>
  <c r="AB21" i="6"/>
  <c r="S21" i="23" s="1"/>
  <c r="R21" i="23"/>
  <c r="AB43" i="6"/>
  <c r="S43" i="23" s="1"/>
  <c r="R43" i="23"/>
  <c r="AB29" i="6"/>
  <c r="S29" i="23" s="1"/>
  <c r="R29" i="23"/>
  <c r="AB31" i="6"/>
  <c r="S31" i="23" s="1"/>
  <c r="R31" i="23"/>
  <c r="AB25" i="6"/>
  <c r="S25" i="23" s="1"/>
  <c r="R25" i="23"/>
  <c r="AG32" i="6"/>
  <c r="W32" i="23" s="1"/>
  <c r="V32" i="23"/>
  <c r="AG52" i="6"/>
  <c r="W52" i="23" s="1"/>
  <c r="V52" i="23"/>
  <c r="AG34" i="6"/>
  <c r="W34" i="23" s="1"/>
  <c r="V34" i="23"/>
  <c r="AG39" i="6"/>
  <c r="W39" i="23" s="1"/>
  <c r="V39" i="23"/>
  <c r="AG46" i="6"/>
  <c r="W46" i="23" s="1"/>
  <c r="V46" i="23"/>
  <c r="AG49" i="6"/>
  <c r="W49" i="23" s="1"/>
  <c r="V49" i="23"/>
  <c r="AG41" i="6"/>
  <c r="W41" i="23" s="1"/>
  <c r="V41" i="23"/>
  <c r="AG43" i="6"/>
  <c r="W43" i="23" s="1"/>
  <c r="V43" i="23"/>
  <c r="AG36" i="6"/>
  <c r="W36" i="23" s="1"/>
  <c r="V36" i="23"/>
  <c r="AG42" i="6"/>
  <c r="W42" i="23" s="1"/>
  <c r="V42" i="23"/>
  <c r="AG47" i="6"/>
  <c r="W47" i="23" s="1"/>
  <c r="V47" i="23"/>
  <c r="AG40" i="6"/>
  <c r="W40" i="23" s="1"/>
  <c r="V40" i="23"/>
  <c r="AG33" i="6"/>
  <c r="W33" i="23" s="1"/>
  <c r="V33" i="23"/>
  <c r="AG35" i="6"/>
  <c r="W35" i="23" s="1"/>
  <c r="V35" i="23"/>
  <c r="AG44" i="6"/>
  <c r="W44" i="23" s="1"/>
  <c r="V44" i="23"/>
  <c r="AG50" i="6"/>
  <c r="W50" i="23" s="1"/>
  <c r="V50" i="23"/>
  <c r="AG38" i="6"/>
  <c r="W38" i="23" s="1"/>
  <c r="V38" i="23"/>
  <c r="AG51" i="6"/>
  <c r="W51" i="23" s="1"/>
  <c r="V51" i="23"/>
  <c r="AG48" i="6"/>
  <c r="W48" i="23" s="1"/>
  <c r="V48" i="23"/>
  <c r="AG37" i="6"/>
  <c r="W37" i="23" s="1"/>
  <c r="V37" i="23"/>
  <c r="AG31" i="6"/>
  <c r="W31" i="23" s="1"/>
  <c r="V31" i="23"/>
  <c r="AG45" i="6"/>
  <c r="W45" i="23" s="1"/>
  <c r="V45" i="23"/>
  <c r="AB4" i="6"/>
  <c r="S4" i="23" s="1"/>
  <c r="AG4" i="6"/>
  <c r="W4" i="23" s="1"/>
  <c r="AE70" i="6"/>
  <c r="Z70" i="6"/>
  <c r="AB17" i="6"/>
  <c r="S17" i="23" s="1"/>
  <c r="AG18" i="6"/>
  <c r="W18" i="23" s="1"/>
  <c r="AG8" i="6"/>
  <c r="W8" i="23" s="1"/>
  <c r="AB20" i="6"/>
  <c r="S20" i="23" s="1"/>
  <c r="AG19" i="6"/>
  <c r="W19" i="23" s="1"/>
  <c r="AG5" i="6"/>
  <c r="W5" i="23" s="1"/>
  <c r="AG15" i="6"/>
  <c r="W15" i="23" s="1"/>
  <c r="AB7" i="6"/>
  <c r="S7" i="23" s="1"/>
  <c r="AB13" i="6"/>
  <c r="S13" i="23" s="1"/>
  <c r="AG7" i="6"/>
  <c r="W7" i="23" s="1"/>
  <c r="AB8" i="6"/>
  <c r="S8" i="23" s="1"/>
  <c r="AB30" i="6"/>
  <c r="S30" i="23" s="1"/>
  <c r="AG14" i="6"/>
  <c r="W14" i="23" s="1"/>
  <c r="AG16" i="6"/>
  <c r="W16" i="23" s="1"/>
  <c r="AB19" i="6"/>
  <c r="S19" i="23" s="1"/>
  <c r="AG30" i="6"/>
  <c r="W30" i="23" s="1"/>
  <c r="AB11" i="6"/>
  <c r="S11" i="23" s="1"/>
  <c r="AB15" i="6"/>
  <c r="S15" i="23" s="1"/>
  <c r="AB5" i="6"/>
  <c r="S5" i="23" s="1"/>
  <c r="AB6" i="6"/>
  <c r="S6" i="23" s="1"/>
  <c r="AG12" i="6"/>
  <c r="W12" i="23" s="1"/>
  <c r="AB9" i="6"/>
  <c r="S9" i="23" s="1"/>
  <c r="AG9" i="6"/>
  <c r="W9" i="23" s="1"/>
  <c r="AB16" i="6"/>
  <c r="S16" i="23" s="1"/>
  <c r="AB10" i="6"/>
  <c r="S10" i="23" s="1"/>
  <c r="AG11" i="6"/>
  <c r="W11" i="23" s="1"/>
  <c r="AB14" i="6"/>
  <c r="S14" i="23" s="1"/>
  <c r="AG6" i="6"/>
  <c r="W6" i="23" s="1"/>
  <c r="AB18" i="6"/>
  <c r="S18" i="23" s="1"/>
  <c r="AG13" i="6"/>
  <c r="W13" i="23" s="1"/>
  <c r="AG20" i="6"/>
  <c r="W20" i="23" s="1"/>
  <c r="AG17" i="6"/>
  <c r="W17" i="23" s="1"/>
  <c r="AG10" i="6"/>
  <c r="W10" i="23" s="1"/>
  <c r="AB12" i="6"/>
  <c r="S12" i="23" s="1"/>
  <c r="F930" i="28"/>
  <c r="F929" i="28" s="1"/>
  <c r="F928" i="28" s="1"/>
  <c r="G5" i="1" l="1"/>
  <c r="E6" i="21" s="1"/>
  <c r="E20" i="21" s="1"/>
  <c r="E26" i="21" s="1"/>
  <c r="E29" i="21" s="1"/>
  <c r="V53" i="23"/>
  <c r="R53" i="23"/>
  <c r="AG70" i="6"/>
  <c r="S33" i="4" s="1"/>
  <c r="S39" i="4" s="1"/>
  <c r="AB70" i="6"/>
  <c r="I24" i="4"/>
  <c r="I23" i="4"/>
  <c r="I22" i="4"/>
  <c r="I18" i="4"/>
  <c r="I17" i="4"/>
  <c r="I16" i="4"/>
  <c r="I14" i="4"/>
  <c r="I13" i="4"/>
  <c r="I12" i="4"/>
  <c r="I10" i="4"/>
  <c r="I9" i="4"/>
  <c r="I7" i="4"/>
  <c r="G19" i="1" l="1"/>
  <c r="D64" i="11" s="1"/>
  <c r="D66" i="11" s="1"/>
  <c r="E66" i="11" s="1"/>
  <c r="S53" i="23"/>
  <c r="W53" i="23"/>
  <c r="U33" i="4"/>
  <c r="W32" i="22" s="1"/>
  <c r="U32" i="22"/>
  <c r="D5" i="1"/>
  <c r="M33" i="4"/>
  <c r="S45" i="4"/>
  <c r="U38" i="22"/>
  <c r="D29" i="2"/>
  <c r="D28" i="2"/>
  <c r="C1" i="2"/>
  <c r="D1" i="2"/>
  <c r="G25" i="1" l="1"/>
  <c r="G28" i="1" s="1"/>
  <c r="D70" i="11"/>
  <c r="D87" i="11" s="1"/>
  <c r="D89" i="11" s="1"/>
  <c r="D91" i="11" s="1"/>
  <c r="F25" i="2"/>
  <c r="U39" i="4"/>
  <c r="U45" i="4" s="1"/>
  <c r="D19" i="1"/>
  <c r="D25" i="1" s="1"/>
  <c r="D28" i="1" s="1"/>
  <c r="D6" i="21"/>
  <c r="D20" i="21" s="1"/>
  <c r="D26" i="21" s="1"/>
  <c r="D29" i="21" s="1"/>
  <c r="D131" i="11"/>
  <c r="D136" i="11" s="1"/>
  <c r="O33" i="4"/>
  <c r="M32" i="22"/>
  <c r="M37" i="22" s="1"/>
  <c r="M38" i="4"/>
  <c r="M44" i="4" s="1"/>
  <c r="M43" i="22" s="1"/>
  <c r="M46" i="22" s="1"/>
  <c r="S48" i="4"/>
  <c r="U47" i="22" s="1"/>
  <c r="U44" i="22"/>
  <c r="J11" i="22"/>
  <c r="E70" i="11" l="1"/>
  <c r="W38" i="22"/>
  <c r="M47" i="4"/>
  <c r="E25" i="2"/>
  <c r="O38" i="4"/>
  <c r="O44" i="4" s="1"/>
  <c r="R32" i="22"/>
  <c r="R37" i="22" s="1"/>
  <c r="D137" i="11"/>
  <c r="D142" i="11" s="1"/>
  <c r="E136" i="11"/>
  <c r="U48" i="4"/>
  <c r="W47" i="22" s="1"/>
  <c r="W44" i="22"/>
  <c r="I11" i="4"/>
  <c r="O47" i="4" l="1"/>
  <c r="R43" i="22"/>
  <c r="R46" i="22" s="1"/>
  <c r="D146" i="11"/>
  <c r="E142" i="11"/>
  <c r="C8" i="29"/>
  <c r="D148" i="11" l="1"/>
  <c r="E146" i="11"/>
  <c r="U25" i="20" l="1"/>
  <c r="AC25" i="20"/>
  <c r="AD25" i="20"/>
  <c r="P27" i="1" l="1"/>
  <c r="Q27" i="1" s="1"/>
  <c r="C21" i="4" l="1"/>
  <c r="C54" i="1" l="1"/>
  <c r="I21" i="4"/>
  <c r="C21" i="1" l="1"/>
  <c r="C22" i="21" l="1"/>
  <c r="D56" i="11"/>
  <c r="C39" i="1" l="1"/>
  <c r="N42" i="1" s="1"/>
  <c r="J51" i="1" s="1"/>
  <c r="J54" i="1" s="1"/>
  <c r="C42" i="1" l="1"/>
  <c r="C45" i="1" s="1"/>
  <c r="D160" i="11"/>
  <c r="D162" i="11" s="1"/>
  <c r="D163" i="11" s="1"/>
  <c r="D164" i="11" s="1"/>
  <c r="E164" i="11" l="1"/>
  <c r="D166" i="11"/>
  <c r="AX50" i="8" l="1"/>
  <c r="AD50" i="8"/>
  <c r="AX54" i="8" l="1"/>
  <c r="AP21" i="20"/>
  <c r="AP25" i="20" s="1"/>
  <c r="AA21" i="20"/>
  <c r="AI52" i="24" l="1"/>
  <c r="G6" i="4"/>
  <c r="H6" i="22" l="1"/>
  <c r="AW50" i="8"/>
  <c r="AW54" i="8" l="1"/>
  <c r="AO21" i="20"/>
  <c r="AO25" i="20" s="1"/>
  <c r="AC50" i="8"/>
  <c r="Z21" i="20" l="1"/>
  <c r="AH52" i="24"/>
  <c r="F6" i="4"/>
  <c r="G6" i="22" l="1"/>
  <c r="AV50" i="8"/>
  <c r="AN21" i="20" s="1"/>
  <c r="AN25" i="20" s="1"/>
  <c r="AB50" i="8"/>
  <c r="AV54" i="8" l="1"/>
  <c r="Y21" i="20"/>
  <c r="AU50" i="8"/>
  <c r="AG52" i="24" l="1"/>
  <c r="E6" i="4"/>
  <c r="F6" i="22" s="1"/>
  <c r="AM21" i="20"/>
  <c r="AM25" i="20" s="1"/>
  <c r="AU54" i="8"/>
  <c r="AA50" i="8"/>
  <c r="X21" i="20" l="1"/>
  <c r="D6" i="4"/>
  <c r="AF52" i="24"/>
  <c r="E6" i="22" l="1"/>
  <c r="Z50" i="8"/>
  <c r="W21" i="20" l="1"/>
  <c r="AT50" i="8"/>
  <c r="AL21" i="20" l="1"/>
  <c r="AL25" i="20" s="1"/>
  <c r="AT54" i="8"/>
  <c r="AE52" i="24" l="1"/>
  <c r="C6" i="4"/>
  <c r="D6" i="22" l="1"/>
  <c r="Y50" i="8"/>
  <c r="V21" i="20" l="1"/>
  <c r="AF39" i="8"/>
  <c r="T37" i="24" s="1"/>
  <c r="T48" i="24" s="1"/>
  <c r="AZ39" i="8" l="1"/>
  <c r="AJ37" i="24" s="1"/>
  <c r="AJ48" i="24" s="1"/>
  <c r="AS50" i="8"/>
  <c r="AG39" i="8"/>
  <c r="BJ39" i="8"/>
  <c r="BK39" i="8"/>
  <c r="AN39" i="33"/>
  <c r="S30" i="20"/>
  <c r="F10" i="36"/>
  <c r="AF50" i="8"/>
  <c r="T41" i="32"/>
  <c r="BK50" i="8" l="1"/>
  <c r="AN5" i="6" s="1"/>
  <c r="AU37" i="24"/>
  <c r="AU48" i="24" s="1"/>
  <c r="BJ50" i="8"/>
  <c r="AT37" i="24"/>
  <c r="AT48" i="24" s="1"/>
  <c r="U21" i="6"/>
  <c r="N21" i="23" s="1"/>
  <c r="U30" i="6"/>
  <c r="N30" i="23" s="1"/>
  <c r="R48" i="6"/>
  <c r="K48" i="23" s="1"/>
  <c r="Q13" i="6"/>
  <c r="J13" i="23" s="1"/>
  <c r="Q43" i="6"/>
  <c r="J43" i="23" s="1"/>
  <c r="S39" i="6"/>
  <c r="L39" i="23" s="1"/>
  <c r="T15" i="6"/>
  <c r="M15" i="23" s="1"/>
  <c r="T37" i="6"/>
  <c r="M37" i="23" s="1"/>
  <c r="Q28" i="6"/>
  <c r="J28" i="23" s="1"/>
  <c r="S40" i="6"/>
  <c r="L40" i="23" s="1"/>
  <c r="R25" i="6"/>
  <c r="K25" i="23" s="1"/>
  <c r="U44" i="6"/>
  <c r="N44" i="23" s="1"/>
  <c r="T25" i="6"/>
  <c r="M25" i="23" s="1"/>
  <c r="U46" i="6"/>
  <c r="N46" i="23" s="1"/>
  <c r="R46" i="6"/>
  <c r="K46" i="23" s="1"/>
  <c r="R44" i="6"/>
  <c r="K44" i="23" s="1"/>
  <c r="R29" i="6"/>
  <c r="K29" i="23" s="1"/>
  <c r="S35" i="6"/>
  <c r="L35" i="23" s="1"/>
  <c r="R28" i="6"/>
  <c r="K28" i="23" s="1"/>
  <c r="Q48" i="6"/>
  <c r="J48" i="23" s="1"/>
  <c r="U42" i="6"/>
  <c r="N42" i="23" s="1"/>
  <c r="U15" i="6"/>
  <c r="N15" i="23" s="1"/>
  <c r="T42" i="6"/>
  <c r="M42" i="23" s="1"/>
  <c r="T35" i="6"/>
  <c r="M35" i="23" s="1"/>
  <c r="R34" i="6"/>
  <c r="K34" i="23" s="1"/>
  <c r="S19" i="6"/>
  <c r="L19" i="23" s="1"/>
  <c r="R51" i="6"/>
  <c r="K51" i="23" s="1"/>
  <c r="Q26" i="6"/>
  <c r="J26" i="23" s="1"/>
  <c r="R26" i="6"/>
  <c r="K26" i="23" s="1"/>
  <c r="T46" i="6"/>
  <c r="M46" i="23" s="1"/>
  <c r="T48" i="6"/>
  <c r="M48" i="23" s="1"/>
  <c r="S31" i="6"/>
  <c r="L31" i="23" s="1"/>
  <c r="Q22" i="6"/>
  <c r="J22" i="23" s="1"/>
  <c r="R27" i="6"/>
  <c r="K27" i="23" s="1"/>
  <c r="U32" i="6"/>
  <c r="N32" i="23" s="1"/>
  <c r="U51" i="6"/>
  <c r="N51" i="23" s="1"/>
  <c r="S41" i="6"/>
  <c r="L41" i="23" s="1"/>
  <c r="U43" i="6"/>
  <c r="N43" i="23" s="1"/>
  <c r="T18" i="6"/>
  <c r="M18" i="23" s="1"/>
  <c r="S33" i="6"/>
  <c r="L33" i="23" s="1"/>
  <c r="Q41" i="6"/>
  <c r="J41" i="23" s="1"/>
  <c r="Q30" i="6"/>
  <c r="J30" i="23" s="1"/>
  <c r="S48" i="6"/>
  <c r="L48" i="23" s="1"/>
  <c r="T31" i="6"/>
  <c r="M31" i="23" s="1"/>
  <c r="U31" i="6"/>
  <c r="N31" i="23" s="1"/>
  <c r="R49" i="6"/>
  <c r="K49" i="23" s="1"/>
  <c r="AB21" i="20"/>
  <c r="Q34" i="6"/>
  <c r="J34" i="23" s="1"/>
  <c r="T51" i="6"/>
  <c r="M51" i="23" s="1"/>
  <c r="R19" i="6"/>
  <c r="K19" i="23" s="1"/>
  <c r="R41" i="6"/>
  <c r="K41" i="23" s="1"/>
  <c r="S17" i="6"/>
  <c r="L17" i="23" s="1"/>
  <c r="T13" i="6"/>
  <c r="M13" i="23" s="1"/>
  <c r="S49" i="6"/>
  <c r="L49" i="23" s="1"/>
  <c r="Q16" i="6"/>
  <c r="J16" i="23" s="1"/>
  <c r="U33" i="6"/>
  <c r="N33" i="23" s="1"/>
  <c r="S23" i="6"/>
  <c r="L23" i="23" s="1"/>
  <c r="S13" i="6"/>
  <c r="L13" i="23" s="1"/>
  <c r="T29" i="6"/>
  <c r="M29" i="23" s="1"/>
  <c r="T21" i="6"/>
  <c r="M21" i="23" s="1"/>
  <c r="AT4" i="6"/>
  <c r="AU4" i="6" s="1"/>
  <c r="R40" i="6"/>
  <c r="K40" i="23" s="1"/>
  <c r="U39" i="6"/>
  <c r="N39" i="23" s="1"/>
  <c r="S15" i="6"/>
  <c r="L15" i="23" s="1"/>
  <c r="S28" i="6"/>
  <c r="L28" i="23" s="1"/>
  <c r="U14" i="6"/>
  <c r="N14" i="23" s="1"/>
  <c r="T28" i="6"/>
  <c r="M28" i="23" s="1"/>
  <c r="T32" i="6"/>
  <c r="M32" i="23" s="1"/>
  <c r="Q37" i="6"/>
  <c r="J37" i="23" s="1"/>
  <c r="S26" i="6"/>
  <c r="L26" i="23" s="1"/>
  <c r="R30" i="6"/>
  <c r="K30" i="23" s="1"/>
  <c r="U40" i="6"/>
  <c r="N40" i="23" s="1"/>
  <c r="U34" i="6"/>
  <c r="N34" i="23" s="1"/>
  <c r="T34" i="6"/>
  <c r="M34" i="23" s="1"/>
  <c r="T16" i="6"/>
  <c r="M16" i="23" s="1"/>
  <c r="T33" i="6"/>
  <c r="M33" i="23" s="1"/>
  <c r="S38" i="6"/>
  <c r="L38" i="23" s="1"/>
  <c r="Q33" i="6"/>
  <c r="J33" i="23" s="1"/>
  <c r="Q32" i="6"/>
  <c r="J32" i="23" s="1"/>
  <c r="U28" i="6"/>
  <c r="N28" i="23" s="1"/>
  <c r="T43" i="6"/>
  <c r="M43" i="23" s="1"/>
  <c r="T14" i="6"/>
  <c r="M14" i="23" s="1"/>
  <c r="S34" i="6"/>
  <c r="L34" i="23" s="1"/>
  <c r="S43" i="6"/>
  <c r="L43" i="23" s="1"/>
  <c r="R39" i="6"/>
  <c r="K39" i="23" s="1"/>
  <c r="R24" i="6"/>
  <c r="K24" i="23" s="1"/>
  <c r="Q40" i="6"/>
  <c r="J40" i="23" s="1"/>
  <c r="R18" i="6"/>
  <c r="K18" i="23" s="1"/>
  <c r="S36" i="6"/>
  <c r="L36" i="23" s="1"/>
  <c r="Q62" i="6"/>
  <c r="S55" i="6"/>
  <c r="U59" i="6"/>
  <c r="S53" i="6"/>
  <c r="Q61" i="6"/>
  <c r="U56" i="6"/>
  <c r="R59" i="6"/>
  <c r="U57" i="6"/>
  <c r="U48" i="6"/>
  <c r="N48" i="23" s="1"/>
  <c r="R13" i="6"/>
  <c r="K13" i="23" s="1"/>
  <c r="T45" i="6"/>
  <c r="M45" i="23" s="1"/>
  <c r="T27" i="6"/>
  <c r="M27" i="23" s="1"/>
  <c r="U36" i="6"/>
  <c r="N36" i="23" s="1"/>
  <c r="R38" i="6"/>
  <c r="K38" i="23" s="1"/>
  <c r="Q44" i="6"/>
  <c r="J44" i="23" s="1"/>
  <c r="Q46" i="6"/>
  <c r="J46" i="23" s="1"/>
  <c r="S16" i="6"/>
  <c r="L16" i="23" s="1"/>
  <c r="Q42" i="6"/>
  <c r="J42" i="23" s="1"/>
  <c r="R37" i="6"/>
  <c r="K37" i="23" s="1"/>
  <c r="R15" i="6"/>
  <c r="K15" i="23" s="1"/>
  <c r="U20" i="6"/>
  <c r="N20" i="23" s="1"/>
  <c r="R50" i="6"/>
  <c r="K50" i="23" s="1"/>
  <c r="T50" i="6"/>
  <c r="M50" i="23" s="1"/>
  <c r="S52" i="6"/>
  <c r="L52" i="23" s="1"/>
  <c r="U19" i="6"/>
  <c r="N19" i="23" s="1"/>
  <c r="T61" i="6"/>
  <c r="T56" i="6"/>
  <c r="R53" i="6"/>
  <c r="T57" i="6"/>
  <c r="S44" i="6"/>
  <c r="L44" i="23" s="1"/>
  <c r="Q31" i="6"/>
  <c r="J31" i="23" s="1"/>
  <c r="S24" i="6"/>
  <c r="L24" i="23" s="1"/>
  <c r="Q24" i="6"/>
  <c r="J24" i="23" s="1"/>
  <c r="Q23" i="6"/>
  <c r="J23" i="23" s="1"/>
  <c r="Q47" i="6"/>
  <c r="J47" i="23" s="1"/>
  <c r="R42" i="6"/>
  <c r="K42" i="23" s="1"/>
  <c r="T44" i="6"/>
  <c r="M44" i="23" s="1"/>
  <c r="T23" i="6"/>
  <c r="M23" i="23" s="1"/>
  <c r="T24" i="6"/>
  <c r="M24" i="23" s="1"/>
  <c r="R20" i="6"/>
  <c r="K20" i="23" s="1"/>
  <c r="R14" i="6"/>
  <c r="K14" i="23" s="1"/>
  <c r="S50" i="6"/>
  <c r="L50" i="23" s="1"/>
  <c r="R54" i="6"/>
  <c r="Q55" i="6"/>
  <c r="T58" i="6"/>
  <c r="U54" i="6"/>
  <c r="AN4" i="6"/>
  <c r="AO4" i="6" s="1"/>
  <c r="U45" i="6"/>
  <c r="N45" i="23" s="1"/>
  <c r="S22" i="6"/>
  <c r="L22" i="23" s="1"/>
  <c r="R22" i="6"/>
  <c r="K22" i="23" s="1"/>
  <c r="Q19" i="6"/>
  <c r="J19" i="23" s="1"/>
  <c r="U25" i="6"/>
  <c r="N25" i="23" s="1"/>
  <c r="Q50" i="6"/>
  <c r="J50" i="23" s="1"/>
  <c r="R33" i="6"/>
  <c r="K33" i="23" s="1"/>
  <c r="S45" i="6"/>
  <c r="L45" i="23" s="1"/>
  <c r="Q21" i="6"/>
  <c r="J21" i="23" s="1"/>
  <c r="Q49" i="6"/>
  <c r="J49" i="23" s="1"/>
  <c r="Q39" i="6"/>
  <c r="J39" i="23" s="1"/>
  <c r="Q38" i="6"/>
  <c r="J38" i="23" s="1"/>
  <c r="Q14" i="6"/>
  <c r="J14" i="23" s="1"/>
  <c r="U29" i="6"/>
  <c r="N29" i="23" s="1"/>
  <c r="S42" i="6"/>
  <c r="L42" i="23" s="1"/>
  <c r="Q57" i="6"/>
  <c r="T55" i="6"/>
  <c r="U53" i="6"/>
  <c r="T62" i="6"/>
  <c r="S25" i="6"/>
  <c r="L25" i="23" s="1"/>
  <c r="T22" i="6"/>
  <c r="M22" i="23" s="1"/>
  <c r="S20" i="6"/>
  <c r="L20" i="23" s="1"/>
  <c r="Q29" i="6"/>
  <c r="J29" i="23" s="1"/>
  <c r="S32" i="6"/>
  <c r="L32" i="23" s="1"/>
  <c r="R57" i="6"/>
  <c r="S59" i="6"/>
  <c r="U55" i="6"/>
  <c r="R16" i="6"/>
  <c r="K16" i="23" s="1"/>
  <c r="Q54" i="6"/>
  <c r="Q18" i="6"/>
  <c r="J18" i="23" s="1"/>
  <c r="U24" i="6"/>
  <c r="N24" i="23" s="1"/>
  <c r="T40" i="6"/>
  <c r="M40" i="23" s="1"/>
  <c r="S51" i="6"/>
  <c r="L51" i="23" s="1"/>
  <c r="U27" i="6"/>
  <c r="N27" i="23" s="1"/>
  <c r="U23" i="6"/>
  <c r="N23" i="23" s="1"/>
  <c r="R35" i="6"/>
  <c r="K35" i="23" s="1"/>
  <c r="U16" i="6"/>
  <c r="N16" i="23" s="1"/>
  <c r="R47" i="6"/>
  <c r="K47" i="23" s="1"/>
  <c r="T17" i="6"/>
  <c r="M17" i="23" s="1"/>
  <c r="T47" i="6"/>
  <c r="M47" i="23" s="1"/>
  <c r="U50" i="6"/>
  <c r="N50" i="23" s="1"/>
  <c r="Q35" i="6"/>
  <c r="J35" i="23" s="1"/>
  <c r="R32" i="6"/>
  <c r="K32" i="23" s="1"/>
  <c r="T54" i="6"/>
  <c r="Q36" i="6"/>
  <c r="J36" i="23" s="1"/>
  <c r="T41" i="6"/>
  <c r="M41" i="23" s="1"/>
  <c r="Q58" i="6"/>
  <c r="S62" i="6"/>
  <c r="T19" i="6"/>
  <c r="M19" i="23" s="1"/>
  <c r="S58" i="6"/>
  <c r="Q51" i="6"/>
  <c r="J51" i="23" s="1"/>
  <c r="S14" i="6"/>
  <c r="L14" i="23" s="1"/>
  <c r="Q59" i="6"/>
  <c r="R52" i="6"/>
  <c r="K52" i="23" s="1"/>
  <c r="U35" i="6"/>
  <c r="N35" i="23" s="1"/>
  <c r="T60" i="6"/>
  <c r="T30" i="6"/>
  <c r="M30" i="23" s="1"/>
  <c r="U49" i="6"/>
  <c r="N49" i="23" s="1"/>
  <c r="U18" i="6"/>
  <c r="N18" i="23" s="1"/>
  <c r="T39" i="6"/>
  <c r="M39" i="23" s="1"/>
  <c r="S29" i="6"/>
  <c r="L29" i="23" s="1"/>
  <c r="T36" i="6"/>
  <c r="M36" i="23" s="1"/>
  <c r="U47" i="6"/>
  <c r="N47" i="23" s="1"/>
  <c r="T20" i="6"/>
  <c r="M20" i="23" s="1"/>
  <c r="T49" i="6"/>
  <c r="M49" i="23" s="1"/>
  <c r="S46" i="6"/>
  <c r="L46" i="23" s="1"/>
  <c r="U13" i="6"/>
  <c r="N13" i="23" s="1"/>
  <c r="U62" i="6"/>
  <c r="S54" i="6"/>
  <c r="R31" i="6"/>
  <c r="K31" i="23" s="1"/>
  <c r="Q17" i="6"/>
  <c r="J17" i="23" s="1"/>
  <c r="Q15" i="6"/>
  <c r="J15" i="23" s="1"/>
  <c r="R61" i="6"/>
  <c r="Q27" i="6"/>
  <c r="J27" i="23" s="1"/>
  <c r="Q56" i="6"/>
  <c r="U17" i="6"/>
  <c r="N17" i="23" s="1"/>
  <c r="S37" i="6"/>
  <c r="L37" i="23" s="1"/>
  <c r="R36" i="6"/>
  <c r="K36" i="23" s="1"/>
  <c r="U37" i="6"/>
  <c r="N37" i="23" s="1"/>
  <c r="U61" i="6"/>
  <c r="U38" i="6"/>
  <c r="N38" i="23" s="1"/>
  <c r="U41" i="6"/>
  <c r="N41" i="23" s="1"/>
  <c r="Q60" i="6"/>
  <c r="S21" i="6"/>
  <c r="L21" i="23" s="1"/>
  <c r="R43" i="6"/>
  <c r="K43" i="23" s="1"/>
  <c r="R58" i="6"/>
  <c r="U22" i="6"/>
  <c r="N22" i="23" s="1"/>
  <c r="T53" i="6"/>
  <c r="R21" i="6"/>
  <c r="K21" i="23" s="1"/>
  <c r="S61" i="6"/>
  <c r="S56" i="6"/>
  <c r="U60" i="6"/>
  <c r="S27" i="6"/>
  <c r="L27" i="23" s="1"/>
  <c r="R45" i="6"/>
  <c r="K45" i="23" s="1"/>
  <c r="R62" i="6"/>
  <c r="T52" i="6"/>
  <c r="M52" i="23" s="1"/>
  <c r="S18" i="6"/>
  <c r="L18" i="23" s="1"/>
  <c r="T26" i="6"/>
  <c r="M26" i="23" s="1"/>
  <c r="U26" i="6"/>
  <c r="N26" i="23" s="1"/>
  <c r="S47" i="6"/>
  <c r="L47" i="23" s="1"/>
  <c r="Q53" i="6"/>
  <c r="S57" i="6"/>
  <c r="R55" i="6"/>
  <c r="Q25" i="6"/>
  <c r="J25" i="23" s="1"/>
  <c r="Q20" i="6"/>
  <c r="J20" i="23" s="1"/>
  <c r="T38" i="6"/>
  <c r="M38" i="23" s="1"/>
  <c r="R23" i="6"/>
  <c r="K23" i="23" s="1"/>
  <c r="R60" i="6"/>
  <c r="S30" i="6"/>
  <c r="L30" i="23" s="1"/>
  <c r="U52" i="6"/>
  <c r="N52" i="23" s="1"/>
  <c r="U58" i="6"/>
  <c r="T59" i="6"/>
  <c r="S60" i="6"/>
  <c r="Q45" i="6"/>
  <c r="J45" i="23" s="1"/>
  <c r="P32" i="6"/>
  <c r="R17" i="6"/>
  <c r="K17" i="23" s="1"/>
  <c r="R56" i="6"/>
  <c r="Q52" i="6"/>
  <c r="J52" i="23" s="1"/>
  <c r="P39" i="6"/>
  <c r="P25" i="6"/>
  <c r="P15" i="6"/>
  <c r="P45" i="6"/>
  <c r="P23" i="6"/>
  <c r="P24" i="6"/>
  <c r="P41" i="6"/>
  <c r="P54" i="6"/>
  <c r="P44" i="6"/>
  <c r="P42" i="6"/>
  <c r="P53" i="6"/>
  <c r="P51" i="6"/>
  <c r="P34" i="6"/>
  <c r="P17" i="6"/>
  <c r="P49" i="6"/>
  <c r="P55" i="6"/>
  <c r="P47" i="6"/>
  <c r="P29" i="6"/>
  <c r="P37" i="6"/>
  <c r="P62" i="6"/>
  <c r="P43" i="6"/>
  <c r="P36" i="6"/>
  <c r="P58" i="6"/>
  <c r="P14" i="6"/>
  <c r="P50" i="6"/>
  <c r="P19" i="6"/>
  <c r="P38" i="6"/>
  <c r="P46" i="6"/>
  <c r="P61" i="6"/>
  <c r="P18" i="6"/>
  <c r="P56" i="6"/>
  <c r="P48" i="6"/>
  <c r="P33" i="6"/>
  <c r="P26" i="6"/>
  <c r="P60" i="6"/>
  <c r="P31" i="6"/>
  <c r="P16" i="6"/>
  <c r="P40" i="6"/>
  <c r="P28" i="6"/>
  <c r="P57" i="6"/>
  <c r="P13" i="6"/>
  <c r="P59" i="6"/>
  <c r="P20" i="6"/>
  <c r="P52" i="6"/>
  <c r="P30" i="6"/>
  <c r="P22" i="6"/>
  <c r="P27" i="6"/>
  <c r="P21" i="6"/>
  <c r="P35" i="6"/>
  <c r="B39" i="8"/>
  <c r="H10" i="36"/>
  <c r="I10" i="36" s="1"/>
  <c r="V41" i="32"/>
  <c r="S41" i="32"/>
  <c r="AS54" i="8"/>
  <c r="AK21" i="20"/>
  <c r="AK25" i="20" s="1"/>
  <c r="S39" i="20"/>
  <c r="U30" i="20"/>
  <c r="J60" i="16"/>
  <c r="O60" i="16"/>
  <c r="C39" i="8"/>
  <c r="AZ50" i="8"/>
  <c r="I60" i="16"/>
  <c r="T30" i="20"/>
  <c r="T39" i="20" s="1"/>
  <c r="W54" i="6" l="1"/>
  <c r="C54" i="6" s="1"/>
  <c r="W43" i="6"/>
  <c r="I43" i="23"/>
  <c r="U37" i="20"/>
  <c r="U38" i="20"/>
  <c r="U31" i="20"/>
  <c r="U33" i="20"/>
  <c r="U36" i="20"/>
  <c r="U34" i="20"/>
  <c r="U32" i="20"/>
  <c r="U35" i="20"/>
  <c r="I48" i="23"/>
  <c r="W48" i="6"/>
  <c r="I41" i="23"/>
  <c r="W41" i="6"/>
  <c r="W13" i="6"/>
  <c r="I13" i="23"/>
  <c r="W61" i="6"/>
  <c r="W23" i="6"/>
  <c r="O23" i="23" s="1"/>
  <c r="I23" i="23"/>
  <c r="W55" i="6"/>
  <c r="C55" i="6" s="1"/>
  <c r="J75" i="16"/>
  <c r="L60" i="16"/>
  <c r="L75" i="16" s="1"/>
  <c r="W22" i="6"/>
  <c r="O22" i="23" s="1"/>
  <c r="I22" i="23"/>
  <c r="I26" i="23"/>
  <c r="W26" i="6"/>
  <c r="O26" i="23" s="1"/>
  <c r="I36" i="23"/>
  <c r="W36" i="6"/>
  <c r="W42" i="6"/>
  <c r="I42" i="23"/>
  <c r="I32" i="23"/>
  <c r="W32" i="6"/>
  <c r="AE21" i="20"/>
  <c r="AE25" i="20" s="1"/>
  <c r="AB25" i="20"/>
  <c r="AF21" i="20" s="1"/>
  <c r="W56" i="6"/>
  <c r="C56" i="6" s="1"/>
  <c r="W49" i="6"/>
  <c r="I49" i="23"/>
  <c r="C26" i="2"/>
  <c r="I40" i="23"/>
  <c r="W40" i="6"/>
  <c r="W19" i="6"/>
  <c r="I19" i="23"/>
  <c r="I17" i="23"/>
  <c r="W17" i="6"/>
  <c r="W25" i="6"/>
  <c r="O25" i="23" s="1"/>
  <c r="I25" i="23"/>
  <c r="O10" i="6"/>
  <c r="O8" i="6"/>
  <c r="O11" i="6"/>
  <c r="O4" i="6"/>
  <c r="O12" i="6"/>
  <c r="O7" i="6"/>
  <c r="O9" i="6"/>
  <c r="O6" i="6"/>
  <c r="O5" i="6"/>
  <c r="W30" i="6"/>
  <c r="I30" i="23"/>
  <c r="I33" i="23"/>
  <c r="W33" i="6"/>
  <c r="W44" i="6"/>
  <c r="I44" i="23"/>
  <c r="I46" i="23"/>
  <c r="W46" i="6"/>
  <c r="I38" i="23"/>
  <c r="W38" i="6"/>
  <c r="N60" i="16"/>
  <c r="P60" i="16" s="1"/>
  <c r="K60" i="16"/>
  <c r="K75" i="16" s="1"/>
  <c r="I75" i="16"/>
  <c r="AQ21" i="20"/>
  <c r="C6" i="1"/>
  <c r="I35" i="23"/>
  <c r="W35" i="6"/>
  <c r="I16" i="23"/>
  <c r="W16" i="6"/>
  <c r="W50" i="6"/>
  <c r="I50" i="23"/>
  <c r="W34" i="6"/>
  <c r="I34" i="23"/>
  <c r="I39" i="23"/>
  <c r="W39" i="6"/>
  <c r="W59" i="6"/>
  <c r="I29" i="23"/>
  <c r="W29" i="6"/>
  <c r="O29" i="23" s="1"/>
  <c r="W47" i="6"/>
  <c r="I47" i="23"/>
  <c r="W57" i="6"/>
  <c r="C57" i="6" s="1"/>
  <c r="I45" i="23"/>
  <c r="W45" i="6"/>
  <c r="W21" i="6"/>
  <c r="O21" i="23" s="1"/>
  <c r="I21" i="23"/>
  <c r="W31" i="6"/>
  <c r="I31" i="23"/>
  <c r="W14" i="6"/>
  <c r="I14" i="23"/>
  <c r="I51" i="23"/>
  <c r="W51" i="6"/>
  <c r="I52" i="23"/>
  <c r="W52" i="6"/>
  <c r="W62" i="6"/>
  <c r="W20" i="6"/>
  <c r="I20" i="23"/>
  <c r="W37" i="6"/>
  <c r="I37" i="23"/>
  <c r="AZ54" i="8"/>
  <c r="B6" i="4"/>
  <c r="AD52" i="24"/>
  <c r="I18" i="23"/>
  <c r="W18" i="6"/>
  <c r="W24" i="6"/>
  <c r="O24" i="23" s="1"/>
  <c r="I24" i="23"/>
  <c r="I28" i="23"/>
  <c r="W28" i="6"/>
  <c r="O28" i="23" s="1"/>
  <c r="W15" i="6"/>
  <c r="I15" i="23"/>
  <c r="W27" i="6"/>
  <c r="O27" i="23" s="1"/>
  <c r="I27" i="23"/>
  <c r="W60" i="6"/>
  <c r="W58" i="6"/>
  <c r="W53" i="6"/>
  <c r="C53" i="6" s="1"/>
  <c r="O16" i="16" l="1"/>
  <c r="P15" i="16" s="1"/>
  <c r="C7" i="21"/>
  <c r="D29" i="11"/>
  <c r="AF20" i="20"/>
  <c r="AF19" i="20"/>
  <c r="AF11" i="20"/>
  <c r="AF7" i="20"/>
  <c r="AF24" i="20"/>
  <c r="AF18" i="20"/>
  <c r="AF8" i="20"/>
  <c r="AF9" i="20"/>
  <c r="AF15" i="20"/>
  <c r="AF23" i="20"/>
  <c r="AF12" i="20"/>
  <c r="AF14" i="20"/>
  <c r="AF13" i="20"/>
  <c r="AF22" i="20"/>
  <c r="AF16" i="20"/>
  <c r="AF17" i="20"/>
  <c r="AF10" i="20"/>
  <c r="O30" i="23"/>
  <c r="C30" i="6"/>
  <c r="C38" i="6"/>
  <c r="O38" i="23"/>
  <c r="P9" i="6"/>
  <c r="H9" i="23"/>
  <c r="R913" i="28"/>
  <c r="R9" i="6"/>
  <c r="K9" i="23" s="1"/>
  <c r="T9" i="6"/>
  <c r="M9" i="23" s="1"/>
  <c r="S9" i="6"/>
  <c r="L9" i="23" s="1"/>
  <c r="B9" i="6"/>
  <c r="Q9" i="6"/>
  <c r="J9" i="23" s="1"/>
  <c r="U9" i="6"/>
  <c r="N9" i="23" s="1"/>
  <c r="F895" i="28"/>
  <c r="C19" i="6"/>
  <c r="O19" i="23"/>
  <c r="O33" i="23"/>
  <c r="C33" i="6"/>
  <c r="S10" i="6"/>
  <c r="L10" i="23" s="1"/>
  <c r="P10" i="6"/>
  <c r="T10" i="6"/>
  <c r="M10" i="23" s="1"/>
  <c r="F896" i="28"/>
  <c r="Q10" i="6"/>
  <c r="J10" i="23" s="1"/>
  <c r="R10" i="6"/>
  <c r="K10" i="23" s="1"/>
  <c r="R914" i="28"/>
  <c r="U10" i="6"/>
  <c r="N10" i="23" s="1"/>
  <c r="B10" i="6"/>
  <c r="H10" i="23"/>
  <c r="O48" i="23"/>
  <c r="C48" i="6"/>
  <c r="O14" i="23"/>
  <c r="G900" i="28"/>
  <c r="C14" i="6"/>
  <c r="AT21" i="20"/>
  <c r="AT25" i="20" s="1"/>
  <c r="AQ25" i="20"/>
  <c r="R909" i="28"/>
  <c r="H5" i="23"/>
  <c r="R5" i="6"/>
  <c r="K5" i="23" s="1"/>
  <c r="F891" i="28"/>
  <c r="U5" i="6"/>
  <c r="N5" i="23" s="1"/>
  <c r="B5" i="6"/>
  <c r="P5" i="6"/>
  <c r="Q5" i="6"/>
  <c r="J5" i="23" s="1"/>
  <c r="T5" i="6"/>
  <c r="M5" i="23" s="1"/>
  <c r="S5" i="6"/>
  <c r="L5" i="23" s="1"/>
  <c r="C34" i="6"/>
  <c r="O34" i="23"/>
  <c r="O45" i="23"/>
  <c r="C45" i="6"/>
  <c r="O50" i="23"/>
  <c r="C50" i="6"/>
  <c r="C46" i="6"/>
  <c r="O46" i="23"/>
  <c r="T12" i="6"/>
  <c r="M12" i="23" s="1"/>
  <c r="R12" i="6"/>
  <c r="K12" i="23" s="1"/>
  <c r="P12" i="6"/>
  <c r="U12" i="6"/>
  <c r="N12" i="23" s="1"/>
  <c r="H12" i="23"/>
  <c r="B12" i="6"/>
  <c r="Q12" i="6"/>
  <c r="J12" i="23" s="1"/>
  <c r="S12" i="6"/>
  <c r="L12" i="23" s="1"/>
  <c r="R916" i="28"/>
  <c r="F898" i="28"/>
  <c r="O36" i="23"/>
  <c r="C36" i="6"/>
  <c r="C6" i="22"/>
  <c r="J6" i="22" s="1"/>
  <c r="I6" i="4"/>
  <c r="G903" i="28"/>
  <c r="O17" i="23"/>
  <c r="C17" i="6"/>
  <c r="O31" i="23"/>
  <c r="C31" i="6"/>
  <c r="G901" i="28"/>
  <c r="O15" i="23"/>
  <c r="C15" i="6"/>
  <c r="O20" i="23"/>
  <c r="C20" i="6"/>
  <c r="O40" i="23"/>
  <c r="C40" i="6"/>
  <c r="L83" i="6"/>
  <c r="O13" i="23"/>
  <c r="G899" i="28"/>
  <c r="C13" i="6"/>
  <c r="C6" i="29"/>
  <c r="AJ52" i="24"/>
  <c r="O39" i="23"/>
  <c r="C39" i="6"/>
  <c r="O37" i="23"/>
  <c r="C37" i="6"/>
  <c r="Q7" i="6"/>
  <c r="J7" i="23" s="1"/>
  <c r="U7" i="6"/>
  <c r="N7" i="23" s="1"/>
  <c r="R911" i="28"/>
  <c r="R7" i="6"/>
  <c r="K7" i="23" s="1"/>
  <c r="T7" i="6"/>
  <c r="M7" i="23" s="1"/>
  <c r="B7" i="6"/>
  <c r="P7" i="6"/>
  <c r="F893" i="28"/>
  <c r="S7" i="6"/>
  <c r="L7" i="23" s="1"/>
  <c r="H7" i="23"/>
  <c r="C42" i="6"/>
  <c r="O42" i="23"/>
  <c r="C16" i="6"/>
  <c r="O16" i="23"/>
  <c r="G902" i="28"/>
  <c r="B11" i="6"/>
  <c r="U11" i="6"/>
  <c r="N11" i="23" s="1"/>
  <c r="P11" i="6"/>
  <c r="H11" i="23"/>
  <c r="Q11" i="6"/>
  <c r="J11" i="23" s="1"/>
  <c r="R11" i="6"/>
  <c r="K11" i="23" s="1"/>
  <c r="T11" i="6"/>
  <c r="M11" i="23" s="1"/>
  <c r="F897" i="28"/>
  <c r="S11" i="6"/>
  <c r="L11" i="23" s="1"/>
  <c r="R915" i="28"/>
  <c r="O41" i="23"/>
  <c r="C41" i="6"/>
  <c r="C32" i="6"/>
  <c r="O32" i="23"/>
  <c r="P6" i="6"/>
  <c r="B6" i="6"/>
  <c r="T6" i="6"/>
  <c r="M6" i="23" s="1"/>
  <c r="U6" i="6"/>
  <c r="N6" i="23" s="1"/>
  <c r="R6" i="6"/>
  <c r="K6" i="23" s="1"/>
  <c r="R910" i="28"/>
  <c r="F892" i="28"/>
  <c r="H6" i="23"/>
  <c r="Q6" i="6"/>
  <c r="J6" i="23" s="1"/>
  <c r="S6" i="6"/>
  <c r="L6" i="23" s="1"/>
  <c r="O52" i="23"/>
  <c r="C52" i="6"/>
  <c r="T4" i="6"/>
  <c r="Q4" i="6"/>
  <c r="F890" i="28"/>
  <c r="H4" i="23"/>
  <c r="Q72" i="6"/>
  <c r="R908" i="28"/>
  <c r="B4" i="6"/>
  <c r="U4" i="6"/>
  <c r="S4" i="6"/>
  <c r="R4" i="6"/>
  <c r="P4" i="6"/>
  <c r="O18" i="23"/>
  <c r="G904" i="28"/>
  <c r="C18" i="6"/>
  <c r="O51" i="23"/>
  <c r="C51" i="6"/>
  <c r="O47" i="23"/>
  <c r="C47" i="6"/>
  <c r="O35" i="23"/>
  <c r="C35" i="6"/>
  <c r="C44" i="6"/>
  <c r="O44" i="23"/>
  <c r="P8" i="6"/>
  <c r="S8" i="6"/>
  <c r="L8" i="23" s="1"/>
  <c r="U8" i="6"/>
  <c r="N8" i="23" s="1"/>
  <c r="Q8" i="6"/>
  <c r="J8" i="23" s="1"/>
  <c r="H8" i="23"/>
  <c r="F894" i="28"/>
  <c r="T8" i="6"/>
  <c r="M8" i="23" s="1"/>
  <c r="R912" i="28"/>
  <c r="R8" i="6"/>
  <c r="K8" i="23" s="1"/>
  <c r="B8" i="6"/>
  <c r="C49" i="6"/>
  <c r="O49" i="23"/>
  <c r="C43" i="6"/>
  <c r="O43" i="23"/>
  <c r="I6" i="23" l="1"/>
  <c r="W6" i="6"/>
  <c r="L4" i="23"/>
  <c r="L53" i="23" s="1"/>
  <c r="S70" i="6"/>
  <c r="I12" i="23"/>
  <c r="W12" i="6"/>
  <c r="Q70" i="6"/>
  <c r="Q74" i="6" s="1"/>
  <c r="S72" i="6"/>
  <c r="L55" i="23" s="1"/>
  <c r="J4" i="23"/>
  <c r="J53" i="23" s="1"/>
  <c r="T70" i="6"/>
  <c r="M4" i="23"/>
  <c r="M53" i="23" s="1"/>
  <c r="AF25" i="20"/>
  <c r="K4" i="23"/>
  <c r="K53" i="23" s="1"/>
  <c r="R70" i="6"/>
  <c r="N4" i="23"/>
  <c r="N53" i="23" s="1"/>
  <c r="U70" i="6"/>
  <c r="I10" i="23"/>
  <c r="W10" i="6"/>
  <c r="I11" i="23"/>
  <c r="W11" i="6"/>
  <c r="I4" i="23"/>
  <c r="W4" i="6"/>
  <c r="P70" i="6"/>
  <c r="P74" i="6" s="1"/>
  <c r="W5" i="6"/>
  <c r="I5" i="23"/>
  <c r="D26" i="2"/>
  <c r="I7" i="23"/>
  <c r="W7" i="6"/>
  <c r="W8" i="6"/>
  <c r="I8" i="23"/>
  <c r="R924" i="28"/>
  <c r="J55" i="23"/>
  <c r="I9" i="23"/>
  <c r="W9" i="6"/>
  <c r="R72" i="6" l="1"/>
  <c r="K55" i="23" s="1"/>
  <c r="G898" i="28"/>
  <c r="S916" i="28"/>
  <c r="O12" i="23"/>
  <c r="L82" i="6"/>
  <c r="C12" i="6"/>
  <c r="C5" i="6"/>
  <c r="G891" i="28"/>
  <c r="O5" i="23"/>
  <c r="S909" i="28"/>
  <c r="I57" i="23"/>
  <c r="B5" i="4"/>
  <c r="S908" i="28"/>
  <c r="O4" i="23"/>
  <c r="L81" i="6"/>
  <c r="W70" i="6"/>
  <c r="G890" i="28"/>
  <c r="C4" i="6"/>
  <c r="I53" i="23"/>
  <c r="S74" i="6"/>
  <c r="U72" i="6" s="1"/>
  <c r="N55" i="23" s="1"/>
  <c r="G894" i="28"/>
  <c r="O8" i="23"/>
  <c r="S912" i="28"/>
  <c r="C8" i="6"/>
  <c r="S915" i="28"/>
  <c r="C11" i="6"/>
  <c r="O11" i="23"/>
  <c r="G897" i="28"/>
  <c r="O9" i="23"/>
  <c r="G895" i="28"/>
  <c r="C9" i="6"/>
  <c r="S913" i="28"/>
  <c r="G893" i="28"/>
  <c r="O7" i="23"/>
  <c r="S911" i="28"/>
  <c r="C7" i="6"/>
  <c r="C6" i="6"/>
  <c r="G892" i="28"/>
  <c r="S910" i="28"/>
  <c r="O6" i="23"/>
  <c r="G896" i="28"/>
  <c r="S914" i="28"/>
  <c r="C10" i="6"/>
  <c r="O10" i="23"/>
  <c r="C5" i="4"/>
  <c r="J57" i="23"/>
  <c r="R74" i="6" l="1"/>
  <c r="T72" i="6" s="1"/>
  <c r="L84" i="6"/>
  <c r="C25" i="2"/>
  <c r="C5" i="22"/>
  <c r="U74" i="6"/>
  <c r="O53" i="23"/>
  <c r="D5" i="22"/>
  <c r="S924" i="28"/>
  <c r="L57" i="23"/>
  <c r="E5" i="4"/>
  <c r="M55" i="23" l="1"/>
  <c r="T74" i="6"/>
  <c r="W72" i="6"/>
  <c r="C11" i="29" s="1"/>
  <c r="K57" i="23"/>
  <c r="D5" i="4"/>
  <c r="E5" i="22" s="1"/>
  <c r="F5" i="4"/>
  <c r="M57" i="23"/>
  <c r="W74" i="6"/>
  <c r="G5" i="4"/>
  <c r="N57" i="23"/>
  <c r="F5" i="22"/>
  <c r="O55" i="23" l="1"/>
  <c r="C11" i="1"/>
  <c r="D37" i="11"/>
  <c r="C12" i="21"/>
  <c r="H5" i="22"/>
  <c r="O57" i="23"/>
  <c r="C5" i="29"/>
  <c r="N18" i="29" s="1"/>
  <c r="C5" i="1"/>
  <c r="G5" i="22"/>
  <c r="I5" i="4"/>
  <c r="C6" i="21" l="1"/>
  <c r="D27" i="11"/>
  <c r="D25" i="2"/>
  <c r="C8" i="1"/>
  <c r="D34" i="11" s="1"/>
  <c r="J5" i="22"/>
  <c r="C19" i="29"/>
  <c r="C25" i="29" s="1"/>
  <c r="C28" i="29" s="1"/>
  <c r="C30" i="29" s="1"/>
  <c r="O18" i="29"/>
  <c r="Q18" i="1" l="1"/>
  <c r="D49" i="11" s="1"/>
  <c r="D52" i="11" s="1"/>
  <c r="I8" i="4"/>
  <c r="D27" i="2" s="1"/>
  <c r="D33" i="11"/>
  <c r="C9" i="21"/>
  <c r="D41" i="11"/>
  <c r="C20" i="21"/>
  <c r="C26" i="21" s="1"/>
  <c r="C29" i="21" s="1"/>
  <c r="R18" i="1" l="1"/>
  <c r="C19" i="1"/>
  <c r="C25" i="1" s="1"/>
  <c r="C28" i="1" s="1"/>
  <c r="C30" i="1" s="1"/>
  <c r="E33" i="11"/>
  <c r="E52" i="11"/>
  <c r="J6" i="28"/>
  <c r="K6" i="28" s="1"/>
  <c r="L2" i="19"/>
  <c r="M2" i="19" s="1"/>
  <c r="E41" i="11"/>
  <c r="D55" i="11"/>
  <c r="D8" i="4"/>
  <c r="F8" i="4"/>
  <c r="G8" i="4"/>
  <c r="E8" i="4"/>
  <c r="B8" i="4"/>
  <c r="C8" i="4"/>
  <c r="I19" i="4"/>
  <c r="I25" i="4" s="1"/>
  <c r="I28" i="4" s="1"/>
  <c r="E34" i="11"/>
  <c r="F8" i="22" l="1"/>
  <c r="F19" i="22" s="1"/>
  <c r="F25" i="22" s="1"/>
  <c r="F27" i="22" s="1"/>
  <c r="E19" i="4"/>
  <c r="E25" i="4" s="1"/>
  <c r="E28" i="4" s="1"/>
  <c r="E8" i="22"/>
  <c r="E19" i="22" s="1"/>
  <c r="E25" i="22" s="1"/>
  <c r="E27" i="22" s="1"/>
  <c r="D19" i="4"/>
  <c r="D25" i="4" s="1"/>
  <c r="D28" i="4" s="1"/>
  <c r="E55" i="11"/>
  <c r="D60" i="11"/>
  <c r="D8" i="22"/>
  <c r="D19" i="22" s="1"/>
  <c r="D25" i="22" s="1"/>
  <c r="D27" i="22" s="1"/>
  <c r="C19" i="4"/>
  <c r="C25" i="4" s="1"/>
  <c r="C28" i="4" s="1"/>
  <c r="C8" i="22"/>
  <c r="B19" i="4"/>
  <c r="B25" i="4" s="1"/>
  <c r="B28" i="4" s="1"/>
  <c r="H8" i="22"/>
  <c r="H19" i="22" s="1"/>
  <c r="H25" i="22" s="1"/>
  <c r="H27" i="22" s="1"/>
  <c r="G19" i="4"/>
  <c r="G25" i="4" s="1"/>
  <c r="G28" i="4" s="1"/>
  <c r="G8" i="22"/>
  <c r="G19" i="22" s="1"/>
  <c r="G25" i="22" s="1"/>
  <c r="G27" i="22" s="1"/>
  <c r="F19" i="4"/>
  <c r="F25" i="4" s="1"/>
  <c r="F28" i="4" s="1"/>
  <c r="F15" i="28"/>
  <c r="G15" i="28" s="1"/>
  <c r="L6" i="28"/>
  <c r="F13" i="2"/>
  <c r="M30" i="1"/>
  <c r="E13" i="2"/>
  <c r="D13" i="2"/>
  <c r="L13" i="2" l="1"/>
  <c r="D79" i="11"/>
  <c r="D81" i="11" s="1"/>
  <c r="D83" i="11" s="1"/>
  <c r="D98" i="11" s="1"/>
  <c r="D151" i="11" s="1"/>
  <c r="E60" i="11"/>
  <c r="D73" i="11"/>
  <c r="J8" i="22"/>
  <c r="J19" i="22" s="1"/>
  <c r="J25" i="22" s="1"/>
  <c r="J27" i="22" s="1"/>
  <c r="C19" i="22"/>
  <c r="C25" i="22" s="1"/>
  <c r="C27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Anne-Sophie</author>
  </authors>
  <commentList>
    <comment ref="B9" authorId="0" shapeId="0" xr:uid="{A0DFD093-2386-40F5-A3E3-A0A2C729003A}">
      <text>
        <r>
          <rPr>
            <b/>
            <sz val="9"/>
            <color indexed="81"/>
            <rFont val="Tahoma"/>
            <family val="2"/>
          </rPr>
          <t>Voir notice 2069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87793E7A-7DB9-4AE9-9A18-68C1E04AC5A3}">
      <text>
        <r>
          <rPr>
            <b/>
            <sz val="9"/>
            <color indexed="81"/>
            <rFont val="Tahoma"/>
            <family val="2"/>
          </rPr>
          <t xml:space="preserve">A compléter exclusivement dans le cadre du dépôt de la déclaration de la société mère (Renseignement non-demandé à une société fille)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tc={A0A06C9E-AE6B-4859-8AC2-9339FD2BAB14}</author>
    <author>tc={5433DF04-9B24-4BF3-8819-37A5B6A26972}</author>
    <author>tc={982D5CEF-7F6C-40D8-A14B-2C13BDD9F464}</author>
  </authors>
  <commentList>
    <comment ref="C7" authorId="0" shapeId="0" xr:uid="{A0A06C9E-AE6B-4859-8AC2-9339FD2BAB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Responsable technique</t>
      </text>
    </comment>
    <comment ref="D7" authorId="1" shapeId="0" xr:uid="{5433DF04-9B24-4BF3-8819-37A5B6A269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Responsable Financier</t>
      </text>
    </comment>
    <comment ref="E7" authorId="2" shapeId="0" xr:uid="{982D5CEF-7F6C-40D8-A14B-2C13BDD9F4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Chargé de valo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tc={581FB7E1-1222-4BF7-A827-8376BC7F5834}</author>
    <author>tc={523E7389-523E-4912-9704-7F3605D0E065}</author>
    <author>tc={CA02F8D9-7C8D-435C-AE5D-92CBD4C71355}</author>
    <author>tc={997435A3-C05A-4592-A1BD-A4F31487A7F1}</author>
  </authors>
  <commentList>
    <comment ref="B21" authorId="0" shapeId="0" xr:uid="{581FB7E1-1222-4BF7-A827-8376BC7F58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23E7389-523E-4912-9704-7F3605D0E065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  <comment ref="B39" authorId="2" shapeId="0" xr:uid="{CA02F8D9-7C8D-435C-AE5D-92CBD4C713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40" authorId="3" shapeId="0" xr:uid="{997435A3-C05A-4592-A1BD-A4F31487A7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tc={78FE1F9A-0F11-4BDE-B2FC-FA1B76193E29}</author>
    <author>tc={5698FB2C-C254-4FE7-B970-EFE366DEC3BC}</author>
  </authors>
  <commentList>
    <comment ref="B21" authorId="0" shapeId="0" xr:uid="{78FE1F9A-0F11-4BDE-B2FC-FA1B76193E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698FB2C-C254-4FE7-B970-EFE366DEC3BC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tc={8AEE1F03-4037-48A3-8825-7BEE5F72A40F}</author>
    <author>tc={4A133AFA-17B6-4693-A682-3293DD4F38F1}</author>
    <author>tc={16E4C409-6659-4EB3-900F-B1E1B8548384}</author>
    <author>tc={412DD86C-8386-4302-A79C-FD57C06329B5}</author>
    <author>tc={53F4684C-D403-45E9-998D-FB8FF0C7E4DF}</author>
  </authors>
  <commentList>
    <comment ref="D4" authorId="0" shapeId="0" xr:uid="{8AEE1F03-4037-48A3-8825-7BEE5F72A4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BDS = bulletin de salaire</t>
      </text>
    </comment>
    <comment ref="F4" authorId="1" shapeId="0" xr:uid="{4A133AFA-17B6-4693-A682-3293DD4F38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R4" authorId="2" shapeId="0" xr:uid="{16E4C409-6659-4EB3-900F-B1E1B85483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S4" authorId="3" shapeId="0" xr:uid="{412DD86C-8386-4302-A79C-FD57C06329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X52" authorId="4" shapeId="0" xr:uid="{53F4684C-D403-45E9-998D-FB8FF0C7E4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tc={B19365E4-335D-4C5A-BD4E-61BB662DF0F2}</author>
    <author>tc={4F2DBC2E-BA12-44E9-8A29-2DF13C97BD6B}</author>
    <author>tc={E9A0FA66-E376-432F-91A1-1DB5647133C1}</author>
    <author>tc={CE668B72-4A46-42FA-9136-A24679920894}</author>
  </authors>
  <commentList>
    <comment ref="B2" authorId="0" shapeId="0" xr:uid="{B19365E4-335D-4C5A-BD4E-61BB662DF0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I2" authorId="1" shapeId="0" xr:uid="{4F2DBC2E-BA12-44E9-8A29-2DF13C97BD6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J2" authorId="2" shapeId="0" xr:uid="{E9A0FA66-E376-432F-91A1-1DB5647133C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M50" authorId="3" shapeId="0" xr:uid="{CE668B72-4A46-42FA-9136-A246799208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tc={7412BF08-4287-44AC-90D6-105CB45E6262}</author>
  </authors>
  <commentList>
    <comment ref="G5" authorId="0" shapeId="0" xr:uid="{7412BF08-4287-44AC-90D6-105CB45E62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Supprimer si découpage HRECH précis (cas2)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tc={7D4EDA18-9922-4A22-845F-2F822E6D345A}</author>
    <author>tc={D428C2FA-41E4-4F97-A760-D21A3F3CC432}</author>
  </authors>
  <commentList>
    <comment ref="F4" authorId="0" shapeId="0" xr:uid="{7D4EDA18-9922-4A22-845F-2F822E6D345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D428C2FA-41E4-4F97-A760-D21A3F3CC4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tc={7E528AF7-2EFB-4BA1-89BD-9CDA25654234}</author>
    <author>tc={E19EB2BA-6E6D-47C8-B736-15C48710D42C}</author>
  </authors>
  <commentList>
    <comment ref="F4" authorId="0" shapeId="0" xr:uid="{7E528AF7-2EFB-4BA1-89BD-9CDA256542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E19EB2BA-6E6D-47C8-B736-15C48710D42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tc={F36165FE-3EFA-440A-A9C0-F96AB06A5FA5}</author>
    <author>tc={38283587-6948-4C9C-964A-E5E40E6A5197}</author>
  </authors>
  <commentList>
    <comment ref="E4" authorId="0" shapeId="0" xr:uid="{F36165FE-3EFA-440A-A9C0-F96AB06A5F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F4" authorId="1" shapeId="0" xr:uid="{38283587-6948-4C9C-964A-E5E40E6A519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tc={1D929FD6-219F-460A-B725-9FC189A8A141}</author>
    <author>tc={E9CAE8B9-B2B8-492C-B350-A8F8179A9CCF}</author>
    <author>tc={B30FF3A8-DC69-4A9D-AEA1-C80552269DC2}</author>
    <author>tc={C3798CA0-AE08-4FB5-AC95-03D45BFE798E}</author>
    <author>tc={49279C25-C707-46C5-86F4-26AB7EAB9B17}</author>
    <author>tc={92853BF3-894C-4C11-A2ED-D80173C4D791}</author>
    <author>tc={5A429818-E65B-47A1-9BF7-B56F5B89C39F}</author>
    <author>tc={4AC9597A-2746-4819-B772-9F71A42FAA05}</author>
  </authors>
  <commentList>
    <comment ref="R229" authorId="0" shapeId="0" xr:uid="{1D929FD6-219F-460A-B725-9FC189A8A1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Calculé sur les heures Lées comme dans la valo</t>
      </text>
    </comment>
    <comment ref="F277" authorId="1" shapeId="0" xr:uid="{E9CAE8B9-B2B8-492C-B350-A8F8179A9C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Au minimum : à préciser</t>
      </text>
    </comment>
    <comment ref="F278" authorId="2" shapeId="0" xr:uid="{B30FF3A8-DC69-4A9D-AEA1-C80552269D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Ne fait pas partie de l’effectif</t>
      </text>
    </comment>
    <comment ref="N278" authorId="3" shapeId="0" xr:uid="{C3798CA0-AE08-4FB5-AC95-03D45BFE79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100% du temps qu’il passe 60% sur Excelleria</t>
      </text>
    </comment>
    <comment ref="F279" authorId="4" shapeId="0" xr:uid="{49279C25-C707-46C5-86F4-26AB7EAB9B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Au minimum. A préciser</t>
      </text>
    </comment>
    <comment ref="H279" authorId="5" shapeId="0" xr:uid="{92853BF3-894C-4C11-A2ED-D80173C4D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0" authorId="6" shapeId="0" xr:uid="{5A429818-E65B-47A1-9BF7-B56F5B89C3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1" authorId="7" shapeId="0" xr:uid="{4AC9597A-2746-4819-B772-9F71A42FAA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<sst xmlns="http://schemas.openxmlformats.org/spreadsheetml/2006/main" count="5615" uniqueCount="1405">
  <si>
    <t xml:space="preserve">Date </t>
  </si>
  <si>
    <t>Description</t>
  </si>
  <si>
    <t>Rajout de la macro insérer une ligne dans l'onglet Vérif V/s 23</t>
  </si>
  <si>
    <t>Rajout de la notion d'honoraire minimum si remunaration au %age</t>
  </si>
  <si>
    <t>rajouter d'une case pour indiquer la rémunération indiquée dans le contrat</t>
  </si>
  <si>
    <t xml:space="preserve">Ligne total des crédits ajoutée </t>
  </si>
  <si>
    <t>des MEC enlevées dans l'onglet  Valo - autres dépenses CIR</t>
  </si>
  <si>
    <t xml:space="preserve">MAJ de la formule pour le calcul des dépenses de personnel CII &amp; CIC </t>
  </si>
  <si>
    <t>MAJ des MEC dans l'onglet VALO- ST</t>
  </si>
  <si>
    <t>Automatisation des formules dans l'onglet sous-traitance</t>
  </si>
  <si>
    <t xml:space="preserve">Mise en forme dans la décla </t>
  </si>
  <si>
    <t>type de crédit</t>
  </si>
  <si>
    <t>JEI</t>
  </si>
  <si>
    <t>CIR</t>
  </si>
  <si>
    <t xml:space="preserve"> </t>
  </si>
  <si>
    <t>Oui</t>
  </si>
  <si>
    <t xml:space="preserve">Etude </t>
  </si>
  <si>
    <t>Congrès scientifique</t>
  </si>
  <si>
    <t>Standard</t>
  </si>
  <si>
    <t>Innovation</t>
  </si>
  <si>
    <t>Abonnement revues scientifiques</t>
  </si>
  <si>
    <t>Utilisation mixte - ratio RDI</t>
  </si>
  <si>
    <t>Chercheur</t>
  </si>
  <si>
    <t>Prise et Maintenance de brevets</t>
  </si>
  <si>
    <t>Honoraires brevet</t>
  </si>
  <si>
    <t>Française</t>
  </si>
  <si>
    <t>CIR/CII</t>
  </si>
  <si>
    <t>CII</t>
  </si>
  <si>
    <t>Non</t>
  </si>
  <si>
    <t>Essai</t>
  </si>
  <si>
    <t>Réunion normalisation</t>
  </si>
  <si>
    <t xml:space="preserve">Premium </t>
  </si>
  <si>
    <t xml:space="preserve">Industrie </t>
  </si>
  <si>
    <t>Abonnement bases de données</t>
  </si>
  <si>
    <t>Utilisation mixte - Ratio société</t>
  </si>
  <si>
    <t>Technicien</t>
  </si>
  <si>
    <t>Défense de brevets</t>
  </si>
  <si>
    <t>Honoraires marque</t>
  </si>
  <si>
    <t>CIC</t>
  </si>
  <si>
    <t>Européenne</t>
  </si>
  <si>
    <t>CIR/CII/CICO</t>
  </si>
  <si>
    <t>CICO</t>
  </si>
  <si>
    <t>Défense de brevet</t>
  </si>
  <si>
    <t>Grand compte</t>
  </si>
  <si>
    <t>Digitale</t>
  </si>
  <si>
    <t>En cours</t>
  </si>
  <si>
    <t>Achats d'études technologiques</t>
  </si>
  <si>
    <t xml:space="preserve">Utilisation exclusive </t>
  </si>
  <si>
    <t>Jeune docteur</t>
  </si>
  <si>
    <t>Primes et Cotisations Assurances Brevets</t>
  </si>
  <si>
    <t>Honoraires dessin et modèle</t>
  </si>
  <si>
    <t>Energie</t>
  </si>
  <si>
    <t>Participation à des congrès scientifiques</t>
  </si>
  <si>
    <t>Autre</t>
  </si>
  <si>
    <t>Dirigeant</t>
  </si>
  <si>
    <t>CIR/CIC</t>
  </si>
  <si>
    <t>Biotech</t>
  </si>
  <si>
    <t>Brevet acquis en vue de réaliser des opérations de recherche</t>
  </si>
  <si>
    <t>Contrat MAD / intérim</t>
  </si>
  <si>
    <t>CIR/CII/CIC</t>
  </si>
  <si>
    <t>à définir</t>
  </si>
  <si>
    <t>Thésard</t>
  </si>
  <si>
    <t>CIR/CICO</t>
  </si>
  <si>
    <t>Stagiaire/apprenti</t>
  </si>
  <si>
    <t>Profil à risque (acheteur, qualité)</t>
  </si>
  <si>
    <t>Profil très risqué (admin, financier)</t>
  </si>
  <si>
    <t>%age</t>
  </si>
  <si>
    <t>Fixe</t>
  </si>
  <si>
    <t>Fixe à palier</t>
  </si>
  <si>
    <t>Partiel</t>
  </si>
  <si>
    <t>Calcul du crédit d'impôt recherche</t>
  </si>
  <si>
    <t>Calcul du CIR, CII &amp; CICo</t>
  </si>
  <si>
    <t xml:space="preserve">Exercice ouvert le </t>
  </si>
  <si>
    <t>NOM</t>
  </si>
  <si>
    <t>SIREN</t>
  </si>
  <si>
    <t>NACE</t>
  </si>
  <si>
    <t>Activité</t>
  </si>
  <si>
    <t>Adresse</t>
  </si>
  <si>
    <t>Régime fiscale des groupes des sociétés</t>
  </si>
  <si>
    <t>SIREN Maison Mère</t>
  </si>
  <si>
    <t>Nombre de société du groupe</t>
  </si>
  <si>
    <t>Montant du crédit du groupe</t>
  </si>
  <si>
    <t>Dont CIR</t>
  </si>
  <si>
    <t>Dont CICo</t>
  </si>
  <si>
    <t>Entreprise ayant engagé pour la 1ère fois des dépenses de recherche en 2024</t>
  </si>
  <si>
    <t>PME</t>
  </si>
  <si>
    <t>CA</t>
  </si>
  <si>
    <t>Nombre de salariés</t>
  </si>
  <si>
    <t>Nombre de salariés valorisés</t>
  </si>
  <si>
    <t>Nombre de JD</t>
  </si>
  <si>
    <t>CRÉDIT D’IMPÔT POUR DÉPENSES DE RECHERCHE PRÉVU À L’ARTICLE 244 QUATER B DU CGI</t>
  </si>
  <si>
    <t>I - DÉPENSES DE RECHERCHE OUVRANT DROIT AU CRÉDIT D’IMPÔT (CIR-RECHERCHE)</t>
  </si>
  <si>
    <t>A. DÉPENSES RELATIVES À DES OPÉRATIONS DE RECHERCHE RÉALISÉES EN PROPRE PAR L’ENTREPRISE</t>
  </si>
  <si>
    <t>Dotations aux amortissements des immobilisations affectées à la recherche</t>
  </si>
  <si>
    <t>Ligne 1</t>
  </si>
  <si>
    <t>Dotations aux amortissements pour les immobilisations sinistrées</t>
  </si>
  <si>
    <t>Ligne 2</t>
  </si>
  <si>
    <t>non géré</t>
  </si>
  <si>
    <t>Dépenses de personnel relatives aux chercheurs et techniciens de recherche
(sauf dépenses lignes 4 et 5)</t>
  </si>
  <si>
    <t>Rémunérations et justes prix au profit des salariés auteurs d’une invention résultant d’opérations de recherche</t>
  </si>
  <si>
    <t>Ligne 4</t>
  </si>
  <si>
    <t>Dépenses de personnel relatives aux jeunes docteurs (à indiquer pour le double de leur montant pour les vingt-quatre premiers mois suivant leur premier recrutement)</t>
  </si>
  <si>
    <t>Ligne 5</t>
  </si>
  <si>
    <t>Ligne 6</t>
  </si>
  <si>
    <t>Ligne 7</t>
  </si>
  <si>
    <t>Ligne 8</t>
  </si>
  <si>
    <t>Ligne 9</t>
  </si>
  <si>
    <t>Ligne 10</t>
  </si>
  <si>
    <t>Dépenses liées à la normalisation (à indiquer pour la moitié de leur montant, cf. notice)</t>
  </si>
  <si>
    <t>Ligne 11</t>
  </si>
  <si>
    <t>Ligne 12</t>
  </si>
  <si>
    <t>Ligne 13</t>
  </si>
  <si>
    <r>
      <rPr>
        <b/>
        <sz val="11"/>
        <color theme="1"/>
        <rFont val="Aptos Narrow"/>
        <family val="2"/>
        <scheme val="minor"/>
      </rPr>
      <t xml:space="preserve">Montant total des dépenses de recherche réalisées par l’entreprise
</t>
    </r>
    <r>
      <rPr>
        <sz val="11"/>
        <color theme="1"/>
        <rFont val="Aptos Narrow"/>
        <family val="2"/>
        <scheme val="minor"/>
      </rPr>
      <t>(ligne 7 + ligne 8 + ligne 9 + ligne 10 + ligne 11 + ligne 12 + ligne 13)</t>
    </r>
  </si>
  <si>
    <t>Ligne 14</t>
  </si>
  <si>
    <t>B. DÉPENSES RELATIVES À DES OPÉRATIONS DE RECHERCHE EXTERNALISÉES AUPRÈS DE CERTAINS ORGANISMES (joindre la liste des organismes à partir du formulaire n° 2069-A-2-SD)</t>
  </si>
  <si>
    <r>
      <t>Dépenses afférentes aux opérations confiées à des organismes de recherche ou experts scientifiques ou techniques agréés</t>
    </r>
    <r>
      <rPr>
        <b/>
        <sz val="11"/>
        <color theme="1"/>
        <rFont val="Aptos Narrow"/>
        <family val="2"/>
        <scheme val="minor"/>
      </rPr>
      <t xml:space="preserve"> avec un lien de dépendance en France </t>
    </r>
  </si>
  <si>
    <t>Ligne 15a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</si>
  <si>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avec un lien de dépendance à l'étranger</t>
    </r>
  </si>
  <si>
    <t>Ligne 15b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</si>
  <si>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en France</t>
    </r>
  </si>
  <si>
    <t>Ligne 16a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</si>
  <si>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à l'étranger</t>
    </r>
  </si>
  <si>
    <t>Ligne 16b</t>
  </si>
  <si>
    <r>
      <rPr>
        <b/>
        <sz val="11"/>
        <color theme="1"/>
        <rFont val="Aptos Narrow"/>
        <family val="2"/>
        <scheme val="minor"/>
      </rPr>
      <t xml:space="preserve">Montant total des dépenses de recherche externalisée auprès d’organismes de recherche ou experts scientifiques ou techniques agréés </t>
    </r>
    <r>
      <rPr>
        <sz val="11"/>
        <color theme="1"/>
        <rFont val="Aptos Narrow"/>
        <family val="2"/>
        <scheme val="minor"/>
      </rPr>
      <t>(ligne 15a + ligne 15b + ligne 16a + ligne 16b)</t>
    </r>
  </si>
  <si>
    <t>Ligne 17</t>
  </si>
  <si>
    <r>
      <rPr>
        <b/>
        <sz val="11"/>
        <color theme="1"/>
        <rFont val="Aptos Narrow"/>
        <family val="2"/>
        <scheme val="minor"/>
      </rPr>
      <t xml:space="preserve">Plafonnement des dépenses de recherche externalisée auprès d’organismes de recherche ou experts scientifiques ou techniques agréés
</t>
    </r>
    <r>
      <rPr>
        <sz val="11"/>
        <color theme="1"/>
        <rFont val="Aptos Narrow"/>
        <family val="2"/>
        <scheme val="minor"/>
      </rPr>
      <t>Si ligne 17 inférieure à (ligne 14 x 3), reporter le montant indiqué ligne 17 
Si ligne 17 supérieure à (ligne 14 x 3), reporter le résultat du calcul précité</t>
    </r>
  </si>
  <si>
    <t>Ligne 18</t>
  </si>
  <si>
    <r>
      <rPr>
        <b/>
        <sz val="11"/>
        <color theme="1"/>
        <rFont val="Aptos Narrow"/>
        <family val="2"/>
        <scheme val="minor"/>
      </rPr>
      <t xml:space="preserve">Plafonnement spécifique des dépenses de recherche externalisée auprès d’organismes avec un lien de dépendance
</t>
    </r>
    <r>
      <rPr>
        <sz val="11"/>
        <color theme="1"/>
        <rFont val="Aptos Narrow"/>
        <family val="2"/>
        <scheme val="minor"/>
      </rPr>
      <t>Si (ligne 15a + ligne 15b) (dans la limite du montant figurant ligne 18) n’excède pas 2 000 000 €, reporter ce montant ligne 19
Si (ligne 15a + ligne 15b) (dans la limite du montant figurant ligne 18) excède 2 000 000 €, reporter 2 000 000 € ligne 19</t>
    </r>
  </si>
  <si>
    <t>Ligne 19</t>
  </si>
  <si>
    <r>
      <rPr>
        <b/>
        <sz val="11"/>
        <color theme="1"/>
        <rFont val="Aptos Narrow"/>
        <family val="2"/>
        <scheme val="minor"/>
      </rPr>
      <t>Plafonnement spécifique des dépenses de recherche externalisée auprès d’organismes sans lien de dépendance</t>
    </r>
    <r>
      <rPr>
        <sz val="11"/>
        <color theme="1"/>
        <rFont val="Aptos Narrow"/>
        <family val="2"/>
        <scheme val="minor"/>
      </rPr>
      <t xml:space="preserve">
Si (ligne 16a + ligne 16b) [dans la limite du montant suivant : (ligne 18 - ligne 19)] n’excède pas 10 000 000 €, reporter ce montant ligne 20
Si (ligne 16a + ligne 16b) [dans la limite du montant suivant : (ligne 18 - ligne 19)] excède 10 000 000 €, reporter 10 000 000 € ligne 20</t>
    </r>
  </si>
  <si>
    <t>Ligne 20</t>
  </si>
  <si>
    <r>
      <rPr>
        <b/>
        <sz val="11"/>
        <color theme="1"/>
        <rFont val="Aptos Narrow"/>
        <family val="2"/>
        <scheme val="minor"/>
      </rPr>
      <t>Montant total des dépenses de recherche externalisée après plafonnements</t>
    </r>
    <r>
      <rPr>
        <sz val="11"/>
        <color theme="1"/>
        <rFont val="Aptos Narrow"/>
        <family val="2"/>
        <scheme val="minor"/>
      </rPr>
      <t xml:space="preserve"> 
(ligne 19 + ligne 20 dans la limite de 10 000 000 €)</t>
    </r>
  </si>
  <si>
    <t>Ligne 21</t>
  </si>
  <si>
    <t>C. MONTANT TOTAL DES DÉPENSES DE RECHERCHE</t>
  </si>
  <si>
    <t>Montant des dépenses de recherche ouvrant droit au crédit d’impôt (CIR-Recherche)
 (ligne 14 + ligne 21)</t>
  </si>
  <si>
    <t>Ligne 22</t>
  </si>
  <si>
    <t>Montant des subventions publiques remboursables ou non</t>
  </si>
  <si>
    <t>Ligne 23a</t>
  </si>
  <si>
    <t>Pour les prestataires, le montant des dépenses exposées pour la réalisation des opérations de recherche pour le compte de tiers</t>
  </si>
  <si>
    <t>Ligne 23b</t>
  </si>
  <si>
    <t>Dépenses exposées auprès de tiers au titre de prestations de conseil pour l’octroi du bénéfice du crédit d’impôt</t>
  </si>
  <si>
    <t>Ligne 24</t>
  </si>
  <si>
    <t>Montant des remboursements de subventions publiques</t>
  </si>
  <si>
    <t>Ligne 25</t>
  </si>
  <si>
    <r>
      <rPr>
        <b/>
        <sz val="11"/>
        <color theme="1"/>
        <rFont val="Aptos Narrow"/>
        <family val="2"/>
        <scheme val="minor"/>
      </rPr>
      <t>Montant net total des dépenses de recherche</t>
    </r>
    <r>
      <rPr>
        <sz val="11"/>
        <color theme="1"/>
        <rFont val="Aptos Narrow"/>
        <family val="2"/>
        <scheme val="minor"/>
      </rPr>
      <t xml:space="preserve">
(ligne 22 - ligne 23a - ligne 23b - ligne 24 + ligne 25)</t>
    </r>
  </si>
  <si>
    <t>Ligne 26a</t>
  </si>
  <si>
    <t>Dont montant net des dépenses de recherche exposées dans des exploitations situées dans un DOM</t>
  </si>
  <si>
    <t>Ligne 26b</t>
  </si>
  <si>
    <t>II - DÉPENSES DE COLLECTION OUVRANT DROIT AU CRÉDIT D’IMPÔT (CIR-COLLECTION)</t>
  </si>
  <si>
    <t>Frais de collection</t>
  </si>
  <si>
    <t>Ligne 27</t>
  </si>
  <si>
    <t>Frais de défense des dessins et modèles dans la limite de 60 000 €</t>
  </si>
  <si>
    <t>Ligne 28</t>
  </si>
  <si>
    <t>Total des dépenses de collection (ligne 27 + ligne 28)</t>
  </si>
  <si>
    <t>Ligne 29</t>
  </si>
  <si>
    <t>Ligne 30</t>
  </si>
  <si>
    <t>Dépenses exposées auprès de tiers au titre de prestations de conseil pour l’octroi du bénéfice du crédit d’impôt⁵</t>
  </si>
  <si>
    <t>Ligne 31</t>
  </si>
  <si>
    <t>Ligne 32</t>
  </si>
  <si>
    <r>
      <rPr>
        <b/>
        <sz val="10"/>
        <rFont val="Arial"/>
        <family val="2"/>
      </rPr>
      <t>Montant net total des dépenses de collection</t>
    </r>
    <r>
      <rPr>
        <sz val="10"/>
        <rFont val="Arial"/>
        <family val="2"/>
      </rPr>
      <t xml:space="preserve">
(ligne 29 - ligne 30 - ligne 31 + ligne 32)</t>
    </r>
  </si>
  <si>
    <t>Ligne 33a</t>
  </si>
  <si>
    <t>Dont montant net des dépenses de collection exposées dans des exploitations situées dans
un DOM</t>
  </si>
  <si>
    <t>Ligne 33b</t>
  </si>
  <si>
    <t>MONTANT NET TOTAL DES DÉPENSES DE RECHERCHE ET DE COLLECTION
(ligne 26a + ligne 33a)</t>
  </si>
  <si>
    <t>Ligne 34a</t>
  </si>
  <si>
    <t>Dont montant net des dépenses de recherche et de collection exposées dans des exploitations situées dans un DOM (ligne 26b + ligne 33b)</t>
  </si>
  <si>
    <t>Ligne 34b</t>
  </si>
  <si>
    <t>III - CALCUL DU CRÉDIT D’IMPÔT AU TITRE DES DÉPENSES DE RECHERCHE ET DE COLLECTION</t>
  </si>
  <si>
    <t>A. LORSQUE LA SOMME DES DÉPENSES PORTÉES LIGNES 34a et 87 N’EXCÈDE PAS 100 000 000 €</t>
  </si>
  <si>
    <t>DÉTERMINATION DU CRÉDIT D’IMPÔT AU TITRE DES DÉPENSES DE RECHERCHE (CIR-RECHERCHE)</t>
  </si>
  <si>
    <t>Montant net total des dépenses de recherche
(reporter le montant indiqué ligne 26a)</t>
  </si>
  <si>
    <t>Ligne 35a</t>
  </si>
  <si>
    <t>Dont montant net total des dépenses de recherche exposées dans des exploitations situées dans un DOM 
(reporter le montant indiqué ligne 26b)</t>
  </si>
  <si>
    <t>Ligne 35b</t>
  </si>
  <si>
    <t>Montant du crédit d’impôt
 [(ligne 35a - ligne 35b) × 30 %] + (ligne 35b x 50 %)</t>
  </si>
  <si>
    <t>Ligne 36</t>
  </si>
  <si>
    <t>Quote-part de crédit d’impôt résultant de la participation de l’entreprise dans des sociétés de personnes ou groupements assimilés
(reporter le montant indiqué ligne 92a)</t>
  </si>
  <si>
    <t>Ligne 37</t>
  </si>
  <si>
    <t>Montant du crédit d’impôt pour les dépenses de recherche
(ligne 36 + ligne 37)</t>
  </si>
  <si>
    <t>Ligne 38a</t>
  </si>
  <si>
    <t>Dont montant du crédit d'impôt pour dépenses de recherche exposées dans des exploitations situées dans un DOM</t>
  </si>
  <si>
    <t>Ligne 38b</t>
  </si>
  <si>
    <t>DÉTERMINATION DU CRÉDIT D’IMPÔT AU TITRE DES DÉPENSES DE COLLECTION (CIR-COLLECTION)</t>
  </si>
  <si>
    <t>Montant net total des dépenses de collection (reporter le montant indiqué ligne 33a)</t>
  </si>
  <si>
    <t>Ligne 39a</t>
  </si>
  <si>
    <t>Dont montant net total des dépenses de collection exposées dans des exploitations situées dans un DOM (reporter le montant indiqué ligne 33b)</t>
  </si>
  <si>
    <t>Ligne 39b</t>
  </si>
  <si>
    <t>Montant du crédit d’impôt pour dépenses de collection avant plafonnement de minimis
[(ligne 39a - ligne 39b)× 30 %] + (ligne 39b x 50 %)</t>
  </si>
  <si>
    <t>Ligne 40</t>
  </si>
  <si>
    <t>Quote-part de crédit d’impôt résultant de la participation de l’entreprise dans des sociétés de personnes ou groupements assimilés
(reporter le montant indiqué ligne 91b)</t>
  </si>
  <si>
    <t>Ligne 41</t>
  </si>
  <si>
    <t>Montant total du crédit d’impôt pour dépenses de collection avant plafonnement de minimis
(ligne 40 + ligne 41)</t>
  </si>
  <si>
    <t>Ligne 42a</t>
  </si>
  <si>
    <t>Dont montant du crédit d'impôt pour dépenses de collection exposées dans des exploitations situées dans un DOM avant plafonnement de minimis</t>
  </si>
  <si>
    <t>Ligne 42b</t>
  </si>
  <si>
    <t>Montant des aides de minimis accordées à l'entreprise dans les conditions du règlement (UE) n° 1407/2013 de la Commission, du 18 décembre 2013, relatif à l'application des articles 107 et 108 du traité sur le fonctionnement de l'Union européenne aux aides de minimis</t>
  </si>
  <si>
    <t>Ligne 43</t>
  </si>
  <si>
    <t>traitement propre à chaque entreprise</t>
  </si>
  <si>
    <t>Montant cumulé du crédit d’impôt et des aides de minimis 
(ligne 42a + ligne 43)</t>
  </si>
  <si>
    <t>Ligne 44</t>
  </si>
  <si>
    <t>Montant du crédit d’impôt pour dépenses de collection après plafonnement de minimis :
Si le montant ligne 43 est égal à 300 000 €, reporter zéro ligne 45a 
Si le montant ligne 44 est inférieur à 300 000 €, reporter le montant déterminé ligne 42a à la ligne 45a 
Si le montant ligne 44 est supérieur à 300 000 €, reporter (300 000 € - ligne 43) à la ligne 45a</t>
  </si>
  <si>
    <t>Ligne 45a</t>
  </si>
  <si>
    <t>Dont montant du crédit d'impôt pour dépenses de collection exposées dans des exploitations situées dans un DOM après plafonnement</t>
  </si>
  <si>
    <t>Ligne 45b</t>
  </si>
  <si>
    <t>Montant total du crédit d’impôt au titre des dépenses de recherche et de collection 
(ligne 38a + ligne 45a)</t>
  </si>
  <si>
    <t>Ligne 46a</t>
  </si>
  <si>
    <t>Dont montant total du crédit d'impôt pour dépenses de recherche et de collection exposées dans des exploitations situées dans un DOM (ligne 38b + ligne 45b)</t>
  </si>
  <si>
    <t>Ligne 46b</t>
  </si>
  <si>
    <t>B. LORSQUE LA SOMME DES DÉPENSES PORTÉES LIGNES 34a et 86 EST SUPÉRIEURE À 100 000 000 €</t>
  </si>
  <si>
    <t>DÉTERMINATION DU CRÉDIT D’IMPÔT POUR LES DÉPENSES DE RECHERCHE</t>
  </si>
  <si>
    <t>Montant net total des dépenses de recherche limité à (100 000 000 € - dépenses de recherche collaborative) 
(reporter le montant indiqué ligne 26a dans la limite de (100 000 000 € - ligne 86))</t>
  </si>
  <si>
    <t>Ligne 47a</t>
  </si>
  <si>
    <t>Non géré</t>
  </si>
  <si>
    <t>Dont montant net total des dépenses de recherche exposées dans des exploitations situées dans un DOM (reporter le montant indiqué ligne 26b dans la limite de (100 000 000 € - ligne 86))</t>
  </si>
  <si>
    <t>Ligne 47b</t>
  </si>
  <si>
    <t>Montant du crédit d’impôt pour dépenses de recherche
[(ligne 47a - ligne 47b) x 30 %] + (ligne 47b x 50 %)</t>
  </si>
  <si>
    <t>Ligne 48</t>
  </si>
  <si>
    <t>Indiquer la part des dépenses de recherche supérieure à (100 000 000 € - dépenses de recherche collaborative)
[ligne 26a - (100 000 000 € - ligne 86)]</t>
  </si>
  <si>
    <t>Ligne 49</t>
  </si>
  <si>
    <t>Puis déterminer le montant du crédit d’impôt relatif à la fraction supérieure à (100 000 000 € - dépenses de recherche collaborative) (ligne 49 × 5 %)</t>
  </si>
  <si>
    <t>Ligne 50</t>
  </si>
  <si>
    <t>Montant total du crédit d’impôt 
(ligne 48 + ligne 50)</t>
  </si>
  <si>
    <t>Ligne 51</t>
  </si>
  <si>
    <t>Quote-part de crédit d’impôt résultant de la participation de l’entreprise dans des sociétés de personnes ou groupements assimilés 
(reporter le montant indiqué ligne 91a)</t>
  </si>
  <si>
    <t>Ligne 52</t>
  </si>
  <si>
    <t>Montant du crédit d’impôt pour dépenses de recherche 
(ligne 51 + ligne 52)</t>
  </si>
  <si>
    <t>Ligne 53a</t>
  </si>
  <si>
    <t>Ligne 53b</t>
  </si>
  <si>
    <t>DÉTERMINATION DU CRÉDIT D’IMPÔT POUR LES DÉPENSES DE COLLECTION</t>
  </si>
  <si>
    <t>Ligne 54a</t>
  </si>
  <si>
    <t>Dont montant net total des dépenses de collection exposées dans des exploitations situées dans un DOM 
(reporter le montant indiqué ligne 33b)</t>
  </si>
  <si>
    <t>Ligne 54b</t>
  </si>
  <si>
    <t>Plafond disponible
(100 000 000 € - ligne 86- ligne 47a)</t>
  </si>
  <si>
    <t>Ligne 55</t>
  </si>
  <si>
    <t>Crédit d’impôt pour dépenses de collection exposées par l’entreprise 
[(ligne 54a dans la limite de la ligne 55 - ligne 54b dans la limite de la ligne 55) x 30 ]% + (ligne 54b dans la limite de la ligne 55 x 50 %)</t>
  </si>
  <si>
    <t>Ligne 56</t>
  </si>
  <si>
    <t>Lorsque la part des dépenses de collection excède le plafond disponible 
[(ligne 54a - ligne 55)&gt;0], le crédit d’impôt est calculé au taux de 5 % [(ligne 54a - ligne 55) x 5 %]</t>
  </si>
  <si>
    <t>Ligne 57</t>
  </si>
  <si>
    <t>Crédit d’impôt pour dépenses de collection avant plafonnement de minimis (ligne 56 + ligne 57)</t>
  </si>
  <si>
    <t>Ligne 58</t>
  </si>
  <si>
    <t>Quote-part de crédit d’impôt résultant de la participation de l’entreprise dans des sociétés de personnes ou groupements assimilés 
(reporter le montant indiqué ligne 91b)</t>
  </si>
  <si>
    <t>Ligne 59</t>
  </si>
  <si>
    <t>Montant du crédit d’impôt avant plafonnement de minimis 
(ligne 58 + ligne 59)</t>
  </si>
  <si>
    <t>Ligne 60</t>
  </si>
  <si>
    <t>Montant des aides de minimis accordées à l'entreprise dans les conditions du règlement (UE) n° 1407/2013 de la Commission, du 18 décembre 2013, relatif à l’application des articles 107 et 108 du traité sur le fonctionnement de l'Union européenne aux aides de minimis</t>
  </si>
  <si>
    <t>Ligne 61</t>
  </si>
  <si>
    <t>Montant cumulé du crédit d’impôt et des aides de minimis 
(ligne 60 + ligne 61)</t>
  </si>
  <si>
    <t>Ligne 62</t>
  </si>
  <si>
    <t>Montant du crédit d’impôt pour dépenses de collection après plafonnement de minimis 
Si le montant ligne 61 est égal à 200 000 €, reporter zéro ligne 63a 
Si le montant ligne 62 est inférieur à 200 000 €, reporter le montant déterminé ligne 60 à la ligne 63a 
Si le montant ligne 62 est supérieur à 200 000 €, reporter (200 000 € - ligne 61) à la ligne 63a</t>
  </si>
  <si>
    <t>Ligne 63a</t>
  </si>
  <si>
    <t>Dont montant du crédit d'impôt pour dépenses de collection exposées dans des exploitations situées dans un DOM</t>
  </si>
  <si>
    <t>Ligne 63b</t>
  </si>
  <si>
    <t>Montant total du crédit d’impôt au titre des dépenses de recherche et de collection 
(ligne 53a + ligne 63a)</t>
  </si>
  <si>
    <t>Ligne 64a</t>
  </si>
  <si>
    <t>Dont montant du crédit d'impôt au titre des dépenses de recherche et de collection exposées dans des exploitations situées dans un DOM 
(ligne 53b + ligne 63b)</t>
  </si>
  <si>
    <t>Ligne 64b</t>
  </si>
  <si>
    <t>IV - DÉPENSES D’INNOVATION OUVRANT DROIT AU CRÉDIT D’IMPÔT (CIR-INNOVATION)</t>
  </si>
  <si>
    <t>DÉTERMINATION DU CRÉDIT D’IMPÔT AU TITRE DES DÉPENSES D’INNOVATION</t>
  </si>
  <si>
    <t>Dotations aux amortissements des immobilisations affectées aux opérations de conception de prototypes ou installations pilotes de nouveaux produits</t>
  </si>
  <si>
    <t>Ligne 65</t>
  </si>
  <si>
    <t>Dépenses de personnel affecté à la réalisation d’opérations de conception de prototypes ou installations pilotes de nouveaux produits</t>
  </si>
  <si>
    <t>Ligne 66</t>
  </si>
  <si>
    <t>Dotations aux amortissements, frais de prise et de maintenance de brevets et de certificats d’obtention végétale (COV), frais de dépôt de dessins et modèles</t>
  </si>
  <si>
    <t>Ligne 67</t>
  </si>
  <si>
    <t>Frais de défense des brevets, certificats d’obtention végétale (COV), dessins et modèles</t>
  </si>
  <si>
    <t>Ligne 68</t>
  </si>
  <si>
    <t>Opérations confiées à des entreprises ou bureaux d’études et d’ingénierie agréés</t>
  </si>
  <si>
    <t>Ligne 69</t>
  </si>
  <si>
    <t>Montant total des dépenses d’innovation 
(ligne 65 + ligne 66 + ligne 67 + ligne 68+ ligne 69)</t>
  </si>
  <si>
    <t>Ligne 70</t>
  </si>
  <si>
    <t>Montant total des dépenses d’innovation après plafonnement 
(ligne 70 dans la limite de 400 000 €)</t>
  </si>
  <si>
    <t>Ligne 71</t>
  </si>
  <si>
    <t>Ligne 72</t>
  </si>
  <si>
    <t>Pour les prestataires, montant des sommes encaissées au titre des travaux d’innovation qui leur ont été confiés</t>
  </si>
  <si>
    <t>Ligne 73</t>
  </si>
  <si>
    <t>Montant des dépenses exposées auprès de tiers au titre de prestations de conseil pour l’octroi du bénéfice du crédit d’impôt</t>
  </si>
  <si>
    <t>Ligne 74</t>
  </si>
  <si>
    <t>Ligne 75</t>
  </si>
  <si>
    <t>Montant net des dépenses d'innovation 
(ligne 71 - ligne 72 - ligne 73- ligne 74 + ligne 75)</t>
  </si>
  <si>
    <t>Ligne 76a</t>
  </si>
  <si>
    <t>Dont montant net des dépenses d'innovation exposées dans des exploitations situées dans un DOM</t>
  </si>
  <si>
    <t>Ligne 76b</t>
  </si>
  <si>
    <t>Dont montant net des dépenses d'innovation exposées par les micro et petites entreprises dans des exploitations situées sur le territoire de la collectivité de Corse</t>
  </si>
  <si>
    <t>Ligne 76c</t>
  </si>
  <si>
    <t>Dont montant net des dépenses d'innovation exposées par les moyennes entreprises dans des exploitations situées sur le territoire de la collectivité de Corse</t>
  </si>
  <si>
    <t>Ligne 76d</t>
  </si>
  <si>
    <t>Ligne 77</t>
  </si>
  <si>
    <t>Quote-part de crédit d’impôt résultant de la participation de l’entreprise dans des sociétés de personnes ou groupements assimilés 
(reporter le montant indiqué ligne 91c)</t>
  </si>
  <si>
    <t>Ligne 78</t>
  </si>
  <si>
    <t>Montant total du crédit d’impôt au titre des dépenses d’innovation 
(ligne 77 + ligne 78)</t>
  </si>
  <si>
    <t>Ligne 79a</t>
  </si>
  <si>
    <t>Dont montant du crédit d'impôt pour dépenses d'innovation exposées dans des exploitations situées dans un DOM</t>
  </si>
  <si>
    <t>Ligne 79b</t>
  </si>
  <si>
    <t>Dont montant du crédit d'impôt pour dépenses d'innovation exposées dans des exploitations situées sur le territoire de la collectivité de Corse</t>
  </si>
  <si>
    <t>Ligne 79c</t>
  </si>
  <si>
    <t>Montant total du crédit d’impôt au titre des dépenses de recherche, de collection et d’innovation 
(ligne 46a ou 64a + ligne 79a)</t>
  </si>
  <si>
    <t>Ligne 80a</t>
  </si>
  <si>
    <t>Dont montant du crédit d'impôt au titre des dépenses de recherche, de collection et d'innovation exposées dans des exploitations situées dans un DOM 
(ligne 46b ou 64b + ligne 79b)</t>
  </si>
  <si>
    <t>Ligne 80b</t>
  </si>
  <si>
    <t>CRÉDIT D’IMPÔT EN FAVEUR DE LA RECHERCHE COLLABORATIVE PRÉVU À L’ARTICLE 244 QUATER B BIS DU CGI</t>
  </si>
  <si>
    <t>V - DÉPENSES DE RECHERCHE COLLABORATIVE OUVRANT DROIT AU CRÉDIT D’IMPÔT (CRC)</t>
  </si>
  <si>
    <t>Dépenses facturées par des organismes de recherche et de diffusion des connaissances agréés dans le cadre d’un contrat de collaboration de recherche effective 
(joindre la liste des organismes à partir du formulaire n° 2069-A-3-SD)</t>
  </si>
  <si>
    <t>Ligne 81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</si>
  <si>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en France</t>
    </r>
  </si>
  <si>
    <t>Ligne 82a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</si>
  <si>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à l'étranger</t>
    </r>
  </si>
  <si>
    <t>Ligne 82b</t>
  </si>
  <si>
    <t>Montant total des dépenses de recherche collaborative éligibles après plafonnement 
Si (ligne 82a + ligne 82b) n’excède pas 6 000 000 €, reporter ce montant ligne 83 
Si (ligne 82a + ligne 82b) excède 6 000 000 €, reporter 6 000 000 € ligne 83</t>
  </si>
  <si>
    <t>Ligne 83</t>
  </si>
  <si>
    <t>Montant des aides publiques remboursables ou non</t>
  </si>
  <si>
    <t>Ligne 84</t>
  </si>
  <si>
    <t>Montant des remboursements des aides publiques</t>
  </si>
  <si>
    <t>Ligne 85</t>
  </si>
  <si>
    <t>Montant net des dépenses de recherche collaborative 
(ligne 83 - ligne 84 + ligne 85)</t>
  </si>
  <si>
    <t>Ligne 86</t>
  </si>
  <si>
    <t>Dont montant net des dépenses de recherche collaborative exposées par les PME</t>
  </si>
  <si>
    <t>Ligne 87</t>
  </si>
  <si>
    <t>Montant du crédit d’impôt au titre des dépenses de recherche collaborative 
[(ligne 86 - ligne 87) x 40 %] + (ligne 87 x 50 %)</t>
  </si>
  <si>
    <t>Ligne 88</t>
  </si>
  <si>
    <t>Quote-part de crédit d’impôt résultant de la participation de l’entreprise dans des sociétés de personnes ou groupements assimilés 
(reporter le montant indiqué ligne 91d)</t>
  </si>
  <si>
    <t>Ligne 89</t>
  </si>
  <si>
    <r>
      <rPr>
        <b/>
        <sz val="11"/>
        <color theme="1"/>
        <rFont val="Aptos Narrow"/>
        <family val="2"/>
        <scheme val="minor"/>
      </rPr>
      <t xml:space="preserve">Montant total du crédit d’impôt au titre des dépenses de recherche collaborative </t>
    </r>
    <r>
      <rPr>
        <sz val="11"/>
        <color theme="1"/>
        <rFont val="Aptos Narrow"/>
        <family val="2"/>
        <scheme val="minor"/>
      </rPr>
      <t xml:space="preserve">
(ligne 88 + ligne 89)</t>
    </r>
  </si>
  <si>
    <t>Ligne 90</t>
  </si>
  <si>
    <t xml:space="preserve">Ok 2069 </t>
  </si>
  <si>
    <t>DATE</t>
  </si>
  <si>
    <t>Exercice</t>
  </si>
  <si>
    <t>Liste des opérateurs</t>
  </si>
  <si>
    <t>Dispositif</t>
  </si>
  <si>
    <t>N° SIREN</t>
  </si>
  <si>
    <t>Organisme</t>
  </si>
  <si>
    <t xml:space="preserve">Adresse </t>
  </si>
  <si>
    <t>Agrément</t>
  </si>
  <si>
    <t>Ligne 2069-AS-D</t>
  </si>
  <si>
    <t>Somme de montant</t>
  </si>
  <si>
    <t>(vide)</t>
  </si>
  <si>
    <t>Total général</t>
  </si>
  <si>
    <t>Parametrage</t>
  </si>
  <si>
    <t xml:space="preserve">Cloture décalée </t>
  </si>
  <si>
    <t>Agréé</t>
  </si>
  <si>
    <t>Offre</t>
  </si>
  <si>
    <t>Crédit</t>
  </si>
  <si>
    <t>RTE</t>
  </si>
  <si>
    <t>RFI</t>
  </si>
  <si>
    <t>CVA</t>
  </si>
  <si>
    <t>Pôle</t>
  </si>
  <si>
    <t>Validation périmètre Technique</t>
  </si>
  <si>
    <t xml:space="preserve">Année Valorisation </t>
  </si>
  <si>
    <t xml:space="preserve"> Répartition hono 2024</t>
  </si>
  <si>
    <t>Hono 2024</t>
  </si>
  <si>
    <t>Honoraires</t>
  </si>
  <si>
    <t>Si fixe à palier, indiquer le montant du 1er palier</t>
  </si>
  <si>
    <t>Si %age, avec un montant minimum d'honoraire indiquer ce montant</t>
  </si>
  <si>
    <t>Copier ici la rémunération prévue dans le contrat</t>
  </si>
  <si>
    <t>MAJ notion des honoraires ?</t>
  </si>
  <si>
    <t>Validation honoraires</t>
  </si>
  <si>
    <t>Cohérence dans la feuille de calcul Synth/rep cout</t>
  </si>
  <si>
    <t>Cohérence entre les feuilles de calcul CIR</t>
  </si>
  <si>
    <t>Cohérence entre les feuilles de calcul CII</t>
  </si>
  <si>
    <t>Cohérence entre les feuilles de calcul CIC</t>
  </si>
  <si>
    <t>Dotations aux amortissements</t>
  </si>
  <si>
    <t>Dépenses de personnel</t>
  </si>
  <si>
    <t>Frais de fonctionnement</t>
  </si>
  <si>
    <t>na</t>
  </si>
  <si>
    <t>Dépenses brevet</t>
  </si>
  <si>
    <t>Dépenses ST</t>
  </si>
  <si>
    <t>PERSONNEL</t>
  </si>
  <si>
    <t>Matricule</t>
  </si>
  <si>
    <t>Nom</t>
  </si>
  <si>
    <t>Prénom</t>
  </si>
  <si>
    <t>Rôle dans l'opération</t>
  </si>
  <si>
    <t>salaire Brut N</t>
  </si>
  <si>
    <t>Salaire Brut N-1</t>
  </si>
  <si>
    <t>Variation</t>
  </si>
  <si>
    <t>HTRAV N</t>
  </si>
  <si>
    <t>HTRAV N-1</t>
  </si>
  <si>
    <t>Tx horaire N</t>
  </si>
  <si>
    <t>Tx horaire N-1</t>
  </si>
  <si>
    <t>HRECH N</t>
  </si>
  <si>
    <t>HRECH N-1</t>
  </si>
  <si>
    <t>HINNO N</t>
  </si>
  <si>
    <t>HINNO N-1</t>
  </si>
  <si>
    <t>IMMO Valorisée</t>
  </si>
  <si>
    <t>Identification de l'équipement</t>
  </si>
  <si>
    <t>Description de l'équipement</t>
  </si>
  <si>
    <t>Date d'achat</t>
  </si>
  <si>
    <t>Coût acquisition (HT)</t>
  </si>
  <si>
    <t>Durée amortissement (Mois)</t>
  </si>
  <si>
    <t>% R&amp;D N</t>
  </si>
  <si>
    <t>% Inno N</t>
  </si>
  <si>
    <t>OUI /NON</t>
  </si>
  <si>
    <t>si oui indiquer le nom du founisseur vérifier s'il est toujours présent dans le grand livre 2024</t>
  </si>
  <si>
    <t>Fournisseur</t>
  </si>
  <si>
    <t>Montant</t>
  </si>
  <si>
    <t>VEILLE</t>
  </si>
  <si>
    <t>Sous-traitance</t>
  </si>
  <si>
    <t>SUBVENTION</t>
  </si>
  <si>
    <t>Reliquat</t>
  </si>
  <si>
    <t>Dépenses ouvrant droit au crédit d'impôt</t>
  </si>
  <si>
    <t>Dépenses de personnel - Jeunes Docteurs</t>
  </si>
  <si>
    <t>Dépenses de fonctionnement</t>
  </si>
  <si>
    <t>Dépenses de prise et maintenance de brevets</t>
  </si>
  <si>
    <t>Dépenses de défense de brevets</t>
  </si>
  <si>
    <t>Dotations aux amortissements des brevets</t>
  </si>
  <si>
    <t>Dépenses de normalisation</t>
  </si>
  <si>
    <t>Dépenses de primes et cotisations assurances brevets</t>
  </si>
  <si>
    <t>Dépenses de veille technologique</t>
  </si>
  <si>
    <t>Dépenses engagées auprès de prestataires externes privés ou publics français</t>
  </si>
  <si>
    <t>Critère de plafonnement</t>
  </si>
  <si>
    <t>résultat</t>
  </si>
  <si>
    <t>Montant à considérer</t>
  </si>
  <si>
    <t>Dépenses engagées auprès de prestataires externes privés ou publics communautaires</t>
  </si>
  <si>
    <t>lien de dépendance (&lt;2m€)</t>
  </si>
  <si>
    <t>Dépenses engagées auprès de prestataires français avec lien de dépendance</t>
  </si>
  <si>
    <t>plafonnement ST (&lt;10 m€)</t>
  </si>
  <si>
    <t>Dépenses engagées auprès de prestataires communautaires avec lien de dépendance</t>
  </si>
  <si>
    <t>&lt;3 fois les dépenses internes</t>
  </si>
  <si>
    <t>Total brut des dépenses éligibles</t>
  </si>
  <si>
    <t xml:space="preserve"> - Subventions publiques et avances remboursables perçus</t>
  </si>
  <si>
    <t xml:space="preserve"> + Remboursements de subventions publiques</t>
  </si>
  <si>
    <t xml:space="preserve"> - Ventes R&amp;D</t>
  </si>
  <si>
    <t xml:space="preserve"> - Dépenses exposées au titre de prestation de conseil</t>
  </si>
  <si>
    <t>Total net des dépenses éligibles</t>
  </si>
  <si>
    <t>Taux applicable</t>
  </si>
  <si>
    <t>Montant du crédit d'impôt</t>
  </si>
  <si>
    <t>Total des crédits</t>
  </si>
  <si>
    <t>Dépenses engagées auprès de prestataires certifiés ORDC  français</t>
  </si>
  <si>
    <t>Dépenses engagées auprès de prestataires certifiés ORDC  communautaires</t>
  </si>
  <si>
    <t>Dépenses ouvrant droit à crédit d'impôt</t>
  </si>
  <si>
    <t>Dépenses engagées auprès de prestataires externes français</t>
  </si>
  <si>
    <t>Dépenses engagées auprès de prestataires externes communautaires</t>
  </si>
  <si>
    <t>Total brut des dépenses de R&amp;D</t>
  </si>
  <si>
    <t>Total net des dépenses de R&amp;D</t>
  </si>
  <si>
    <t>Total crédit impôt recherche (CIR)</t>
  </si>
  <si>
    <t>Dépenses ouvrant droit à crédit d'impôt Recherche (CIR)</t>
  </si>
  <si>
    <t>Dépenses non rattachées à un projet</t>
  </si>
  <si>
    <t xml:space="preserve">Total </t>
  </si>
  <si>
    <t xml:space="preserve">Total brut des dépenses </t>
  </si>
  <si>
    <t xml:space="preserve">Total net des dépenses </t>
  </si>
  <si>
    <t>Montant du crédit d'impôt Recherche (CIR)</t>
  </si>
  <si>
    <t>Dépenses ouvrant droit à crédit d'impôt Innovation (CII)</t>
  </si>
  <si>
    <t>Nom projet</t>
  </si>
  <si>
    <t>Dépenses ouvrant droit à crédit d'impôt Collection (CIC)</t>
  </si>
  <si>
    <t>Montant du crédit d'impôt Innovation (CII)</t>
  </si>
  <si>
    <t>Montant du crédit d'impôt Collection (CIC)</t>
  </si>
  <si>
    <t>CIR - Répartition des coûts R&amp;D par opérations</t>
  </si>
  <si>
    <t>AUTRES TYPES DE DÉPENSES</t>
  </si>
  <si>
    <t>TOTAL</t>
  </si>
  <si>
    <t>ne pas toucher</t>
  </si>
  <si>
    <t>Ratio CII</t>
  </si>
  <si>
    <t>Facture O/N</t>
  </si>
  <si>
    <t>Centre de cout</t>
  </si>
  <si>
    <t>N° de compte</t>
  </si>
  <si>
    <t>N° immobilisation</t>
  </si>
  <si>
    <t>Dotation annuelle</t>
  </si>
  <si>
    <t>type d'utilisation</t>
  </si>
  <si>
    <t>Ratio d'éligibilité CIR</t>
  </si>
  <si>
    <t>X</t>
  </si>
  <si>
    <t>Dotations éligibles au CIR</t>
  </si>
  <si>
    <t>Ratio d'éligibilité CII</t>
  </si>
  <si>
    <t>Dotations éligibles au CII</t>
  </si>
  <si>
    <t>Ratio d'éligibilité</t>
  </si>
  <si>
    <t>Dotations éligibles au CIC</t>
  </si>
  <si>
    <t>Heures R&amp;D</t>
  </si>
  <si>
    <t>Utilisation mixte - ratio société</t>
  </si>
  <si>
    <t>Heures totales salariés retenus</t>
  </si>
  <si>
    <t>Heures totales société</t>
  </si>
  <si>
    <t>Total des dépenses de dotations aux amortissements</t>
  </si>
  <si>
    <t>Dont brevet acquis en vue de réaliser des opérations de recherche</t>
  </si>
  <si>
    <t>Dont dotations aux amortissements</t>
  </si>
  <si>
    <t>Ratio CIR</t>
  </si>
  <si>
    <t>BDS O/N</t>
  </si>
  <si>
    <t>Diplôme/CV O/N</t>
  </si>
  <si>
    <t>Mat</t>
  </si>
  <si>
    <t>Diplôme + Ecole</t>
  </si>
  <si>
    <t>Année obtention</t>
  </si>
  <si>
    <t>Statut</t>
  </si>
  <si>
    <t>Date d'entrée</t>
  </si>
  <si>
    <t>Date de
sortie</t>
  </si>
  <si>
    <t>%age de présence</t>
  </si>
  <si>
    <t>Salaire Brut</t>
  </si>
  <si>
    <t>Acc à la rém</t>
  </si>
  <si>
    <t>CPAT</t>
  </si>
  <si>
    <t>CSPO</t>
  </si>
  <si>
    <t>Charge Pat / Sal Brut</t>
  </si>
  <si>
    <t>CSPO/CPAT</t>
  </si>
  <si>
    <t>Salaire chargé éligible</t>
  </si>
  <si>
    <t>Heures travaillées N</t>
  </si>
  <si>
    <t>Coût horaire N</t>
  </si>
  <si>
    <t>Heures éligibles au CIR</t>
  </si>
  <si>
    <t>Heures éligibles au CII</t>
  </si>
  <si>
    <t>Heures éligibles au CIC</t>
  </si>
  <si>
    <t>Ratio CIC</t>
  </si>
  <si>
    <t>Dépenses éligibles au CIR</t>
  </si>
  <si>
    <t>Dépenses éligibles au CII</t>
  </si>
  <si>
    <t>Dépenses éligibles au CIC</t>
  </si>
  <si>
    <t>Heures hors R&amp;D</t>
  </si>
  <si>
    <t>Heures travaillées salariés CIR</t>
  </si>
  <si>
    <t>Heures travaillées salariés CII</t>
  </si>
  <si>
    <t>Heures travaillées salariés CIC</t>
  </si>
  <si>
    <t>dont JD</t>
  </si>
  <si>
    <t>dont dépenses de personnel</t>
  </si>
  <si>
    <t xml:space="preserve">Cas de figure </t>
  </si>
  <si>
    <t xml:space="preserve">Conséquence </t>
  </si>
  <si>
    <t xml:space="preserve">Données pour valorisation </t>
  </si>
  <si>
    <t xml:space="preserve">Explication du calcul </t>
  </si>
  <si>
    <t xml:space="preserve">Axe d'attention </t>
  </si>
  <si>
    <t>A</t>
  </si>
  <si>
    <t xml:space="preserve">Personnel au 35h (1820,04 heures) et pointe 7 heures par jour dans la base de pointage </t>
  </si>
  <si>
    <t>les HTRAV calculées sont justes</t>
  </si>
  <si>
    <t>Les données issues de la requete RH</t>
  </si>
  <si>
    <t>Si le salarié à des RTT on n'en tient pas compte pour le calcul des HTRAV</t>
  </si>
  <si>
    <t xml:space="preserve">Personnel au 39h (2028 heures) et pointe 7,8 heures par jour dans la base de pointage </t>
  </si>
  <si>
    <t>B</t>
  </si>
  <si>
    <t xml:space="preserve">Personnel au 40h (2080 heures) et pointe 8 heures par jour dans la base de pointage </t>
  </si>
  <si>
    <t>C</t>
  </si>
  <si>
    <t>Personnel au 35h (1820,04 heures) et les HRECH sont un %age de son temps</t>
  </si>
  <si>
    <t>D</t>
  </si>
  <si>
    <t>Personnel au 39h (2028 heures) et les HRECH sont un %age de son temps</t>
  </si>
  <si>
    <t>E</t>
  </si>
  <si>
    <t>Personnel au 40h (2080 heures) et les HRECH sont un %age de son temps</t>
  </si>
  <si>
    <t xml:space="preserve">Personnel au 35h (1820,04 heures) et ne pointe pas 7 heures dans la base de pointage </t>
  </si>
  <si>
    <t>les HTRAV calculées ne sont pas justes</t>
  </si>
  <si>
    <t xml:space="preserve"> = HTRAV/ 7heures * Nbre heures pointées par jour</t>
  </si>
  <si>
    <t>au cas par cas</t>
  </si>
  <si>
    <t>Si le nombre d'heures pointées est supérieur à 7 heures on retient les RTT dans le calcul des HTRAV</t>
  </si>
  <si>
    <t xml:space="preserve">Personnel au 39h (2028 heures) et ne pointe pas 7,8 heures dans la base de pointage </t>
  </si>
  <si>
    <t xml:space="preserve"> = HTRAV/ 7,8heures * Nbre heures pointées par jour</t>
  </si>
  <si>
    <t xml:space="preserve">Personnel au 40h (2080 heures) et ne pointe pas 8 heures dans la base de pointage </t>
  </si>
  <si>
    <t xml:space="preserve"> = HTRAV/ 8heures * Nbre heures pointées par jour</t>
  </si>
  <si>
    <t xml:space="preserve">Je n'ai pas d'information sur ces HTRAV mais pointe et c'est un cadre au forfait jours </t>
  </si>
  <si>
    <t>on trouve des HTRAV générique avec les heures théoriques pointées par jour</t>
  </si>
  <si>
    <t xml:space="preserve"> = 218* heures théoriques pointées</t>
  </si>
  <si>
    <t>si la personne est arrivé en cours d'année on proratise ce résultat</t>
  </si>
  <si>
    <t xml:space="preserve">Je n'ai pas d'information sur ces HTRAV mais pointe et ce n'est un cadre au forfait jours </t>
  </si>
  <si>
    <t xml:space="preserve"> = 47 * 5 * heures théroqiues pointées</t>
  </si>
  <si>
    <t xml:space="preserve">Je n'ai pas d'information sur ces HTRAV, pas d'info dans la base de pointage et c'est un cadre au forfait jours </t>
  </si>
  <si>
    <t>on trouve des HTRAV générique</t>
  </si>
  <si>
    <t xml:space="preserve"> = 218*8 = 1744 heures </t>
  </si>
  <si>
    <t xml:space="preserve">Je n'ai pas d'information sur ces HTRAV, pas d'info dans la base de pointage et ce n'est pas un cadre au forfait jours </t>
  </si>
  <si>
    <t xml:space="preserve"> = 47 semaines * 35 heures </t>
  </si>
  <si>
    <t>Donnée HTRAV</t>
  </si>
  <si>
    <t xml:space="preserve">Nom </t>
  </si>
  <si>
    <t>N° de Facture</t>
  </si>
  <si>
    <t>N° document</t>
  </si>
  <si>
    <t>Date comptabilisation</t>
  </si>
  <si>
    <t>Date facture</t>
  </si>
  <si>
    <t>Type de dépenses</t>
  </si>
  <si>
    <t>Titre brevet</t>
  </si>
  <si>
    <t>N° de dépôt</t>
  </si>
  <si>
    <t>Libellé facture</t>
  </si>
  <si>
    <t>Type prestation</t>
  </si>
  <si>
    <t>Montant HT</t>
  </si>
  <si>
    <t xml:space="preserve">Montant CIR </t>
  </si>
  <si>
    <t>Montant   CII</t>
  </si>
  <si>
    <t>Montant   CIC</t>
  </si>
  <si>
    <t>Total</t>
  </si>
  <si>
    <t>Total Prise et Maintenance de brevet</t>
  </si>
  <si>
    <t>Total Défense de brevet</t>
  </si>
  <si>
    <t>Total des Primes et Cotisations Assurances brevets</t>
  </si>
  <si>
    <t>rattachement projet</t>
  </si>
  <si>
    <t>Résumé des travaux</t>
  </si>
  <si>
    <t>Type de travaux</t>
  </si>
  <si>
    <t>Nationalité</t>
  </si>
  <si>
    <t>Lien de dépendance</t>
  </si>
  <si>
    <t>Début Agrément</t>
  </si>
  <si>
    <t>Fin Agrément</t>
  </si>
  <si>
    <t>Eligibilité</t>
  </si>
  <si>
    <t>Montant CIR</t>
  </si>
  <si>
    <t>x</t>
  </si>
  <si>
    <t>Montant CII</t>
  </si>
  <si>
    <t>Montant  CICO</t>
  </si>
  <si>
    <t>montant</t>
  </si>
  <si>
    <t>Total France sans lien de dépendance</t>
  </si>
  <si>
    <t>Total France avec lien de dépendance</t>
  </si>
  <si>
    <t>Total Europe sans lien de dépendance</t>
  </si>
  <si>
    <t>Total Europe avec lien de dépendance</t>
  </si>
  <si>
    <t>Type de Frais</t>
  </si>
  <si>
    <t>Libellé</t>
  </si>
  <si>
    <t>Type de réunion</t>
  </si>
  <si>
    <t>Organisme / Congrès</t>
  </si>
  <si>
    <t>Dates</t>
  </si>
  <si>
    <t>Lieu</t>
  </si>
  <si>
    <t>Temps passé (h)</t>
  </si>
  <si>
    <t>Cout horaire</t>
  </si>
  <si>
    <t>Montant
CIR</t>
  </si>
  <si>
    <t>Dépenses de défense de brevet interne</t>
  </si>
  <si>
    <t>Dépenses totales de veille</t>
  </si>
  <si>
    <t>Veille plafonnée</t>
  </si>
  <si>
    <t xml:space="preserve">A venir </t>
  </si>
  <si>
    <t>Synthèse</t>
  </si>
  <si>
    <t>Personnel</t>
  </si>
  <si>
    <t>Immobilisations</t>
  </si>
  <si>
    <t>Sous-Traitance</t>
  </si>
  <si>
    <t>Personnel Heures de recherche / innovation</t>
  </si>
  <si>
    <t>Dépenses de personnel recherche / innovation</t>
  </si>
  <si>
    <t>APPLE</t>
  </si>
  <si>
    <t>a</t>
  </si>
  <si>
    <t>c</t>
  </si>
  <si>
    <t>Total Heures CIR / CII</t>
  </si>
  <si>
    <t>Dépenses Totales</t>
  </si>
  <si>
    <t>Heures CIR</t>
  </si>
  <si>
    <t>Dépenses</t>
  </si>
  <si>
    <t>Ratio</t>
  </si>
  <si>
    <t>Heures CII</t>
  </si>
  <si>
    <t>Fait 
O/N</t>
  </si>
  <si>
    <t>Eléments à vérifier</t>
  </si>
  <si>
    <t>Sinon justifier</t>
  </si>
  <si>
    <t xml:space="preserve">Est-ce que Synthèse = Rep cout = PPT ? </t>
  </si>
  <si>
    <t>Est-ce que synthèse = TS ?</t>
  </si>
  <si>
    <t xml:space="preserve">Toutes les cases de paramètre chiffrage sont-elles vraies ? </t>
  </si>
  <si>
    <t>Le nombre de PC correspond-t-il bien au même nombre de personnes valorisées ?</t>
  </si>
  <si>
    <t xml:space="preserve">Est-ce que les honoraires correspondent au contrat ? </t>
  </si>
  <si>
    <t>Si jeune docteur l'année dernière, vérifier si cette année, il a toujours la qualité de jeune docteur et jusqu'à quand ?</t>
  </si>
  <si>
    <t xml:space="preserve">L'entreprise est-elle toujours PME ? </t>
  </si>
  <si>
    <t xml:space="preserve">Avez-vous tout les bulletins de salaires ? </t>
  </si>
  <si>
    <t>Les taux de CSPO ne sont pas aberrants ?</t>
  </si>
  <si>
    <t>Les différences avec VERIF VS sont-elles correctes ? (heures / cout horaire / salaire)</t>
  </si>
  <si>
    <t xml:space="preserve">As-tu bien complété les montants des années précédentes dans l'onglet synthèse ? </t>
  </si>
  <si>
    <t>Les heures travaillées sont-elles cohérentes par rapport aux % de présence ?</t>
  </si>
  <si>
    <t>As-tu vérifier s’il y a bien les exonérations JEI sur le livre de paie si l’entreprise est bien JEI ?</t>
  </si>
  <si>
    <t>Le total des temps valorisés par salarié est bien plafonné à 95% maximum ?</t>
  </si>
  <si>
    <t>Les scans des diplomes sont disponibles ?</t>
  </si>
  <si>
    <t>Tous les éléments à demander au client pour compléter le dossier ont été listé ?</t>
  </si>
  <si>
    <t>Les factures de ST sont rattachés au bon projet ? (Sinon voir tech)</t>
  </si>
  <si>
    <t>La déclaration 2069 A SD est correctement remplie ?</t>
  </si>
  <si>
    <t xml:space="preserve">Est-ce que Axel est encore bourré ? </t>
  </si>
  <si>
    <t>Avez-vous lu la fiche synthèse du client pour s'assurer qu'on a tous les éléments ?</t>
  </si>
  <si>
    <t>Avez-vous vérifié si il y avait de la subvention les années précédentes ?</t>
  </si>
  <si>
    <t xml:space="preserve">Avez-vous fait l'audit du GL ? </t>
  </si>
  <si>
    <t>Avez-vous vérifié si les Hrech correspondent bien aux temps de recherche / innovation dans valo perso ?</t>
  </si>
  <si>
    <t xml:space="preserve">Avoir vérifié la date d'agrément CIR / CII des sous-traitants </t>
  </si>
  <si>
    <t>Est-ce que dans la version finale les projets retenues sont bien éligibles et correctement ventilés entre CIR / CII ? (vérifier avec le tech)</t>
  </si>
  <si>
    <t>T'es-tu rapproché du technique pour les profils à risque ?</t>
  </si>
  <si>
    <t xml:space="preserve">As-tu bien reçu les factures de veille / brevet / sous-traitance ? </t>
  </si>
  <si>
    <t>As-tu bien fait tes recherches V à partir du matricule ?</t>
  </si>
  <si>
    <t>Est-ce que les totaux des dépenses correspondent aux tableaux synthétiques ?</t>
  </si>
  <si>
    <t xml:space="preserve">As-tu remplis l'onglet JEI ? </t>
  </si>
  <si>
    <t xml:space="preserve">Quand rajoute un onglet dans rep cout pour CII le montant des immo par projet ne suis pas </t>
  </si>
  <si>
    <t>S</t>
  </si>
  <si>
    <t xml:space="preserve">Dans st quand rattache à un projet, le faire apparaitre dans rep cout </t>
  </si>
  <si>
    <t>N</t>
  </si>
  <si>
    <t xml:space="preserve">Quand honoraires à déduire le faire apparaitre dans rep cout en négatif </t>
  </si>
  <si>
    <t xml:space="preserve">liste déroulante des projets rattachés dans st </t>
  </si>
  <si>
    <t>1+1 à intégrer</t>
  </si>
  <si>
    <t>F</t>
  </si>
  <si>
    <t>Vérif VS ajouté diplôme + date d'obtention + date d'entrée</t>
  </si>
  <si>
    <t xml:space="preserve">Formule dotation : heure totale société </t>
  </si>
  <si>
    <t xml:space="preserve">un outil pour traiter sub directement dans la matrice </t>
  </si>
  <si>
    <t>F/A</t>
  </si>
  <si>
    <t>ajouter lignes perso dans ppt perso</t>
  </si>
  <si>
    <t>Critère JEI</t>
  </si>
  <si>
    <t>Donnée à vérifier</t>
  </si>
  <si>
    <t>Valeur renseignée</t>
  </si>
  <si>
    <t>✅ O/N</t>
  </si>
  <si>
    <t xml:space="preserve">Dépenses totales de charges </t>
  </si>
  <si>
    <t>Dépenses de recherche</t>
  </si>
  <si>
    <t>Eligibilité JEI</t>
  </si>
  <si>
    <t xml:space="preserve">Condition </t>
  </si>
  <si>
    <t>1. Date de création de l’entreprise</t>
  </si>
  <si>
    <t>Chercher sur société</t>
  </si>
  <si>
    <t>(ex: 2017)</t>
  </si>
  <si>
    <t>oui</t>
  </si>
  <si>
    <t>Rajouter les critères Nls</t>
  </si>
  <si>
    <t>Date de l'exercice en cours</t>
  </si>
  <si>
    <t>Année N</t>
  </si>
  <si>
    <t>2. Âge de l’entreprise au moment de la demande</t>
  </si>
  <si>
    <t>Calculé automatiquement</t>
  </si>
  <si>
    <t>=Année en cours - Date de création</t>
  </si>
  <si>
    <t>3. Employés &lt; 250</t>
  </si>
  <si>
    <t>(ex: 45)</t>
  </si>
  <si>
    <t>(Oui / Non)</t>
  </si>
  <si>
    <t>4. Chiffre d’affaires &lt; 50 M€</t>
  </si>
  <si>
    <t>(ex: 6,8 M€)</t>
  </si>
  <si>
    <t>5. Total bilan &lt; 43 M€</t>
  </si>
  <si>
    <t>(ex: 3,4 M€)</t>
  </si>
  <si>
    <t>6. Dépenses R&amp;D &gt; 20 % des charges fiscales (hors exceptions)</t>
  </si>
  <si>
    <t>À calculer à partir des données du chiffrage</t>
  </si>
  <si>
    <t>=Dépenses R&amp;D / Total charges fiscales</t>
  </si>
  <si>
    <t>Validité du statut</t>
  </si>
  <si>
    <t>Calcul du ratio</t>
  </si>
  <si>
    <t>Tableaux Personnel</t>
  </si>
  <si>
    <t xml:space="preserve">Tableaux immobiliations </t>
  </si>
  <si>
    <t>Conditions générales</t>
  </si>
  <si>
    <t>1.</t>
  </si>
  <si>
    <t>Être une PME au sens communautaire :
 - Employer moins de 250 salariés
 - CA &lt; 50 000 000 € ou Bilan total &lt; 43 000 000 €</t>
  </si>
  <si>
    <t>Personnes impliquées dans la R&amp;D</t>
  </si>
  <si>
    <t>Prorata d'utilisation en R&amp;D</t>
  </si>
  <si>
    <t>Amortissement imputé en R&amp;D</t>
  </si>
  <si>
    <t>Diplôme et école</t>
  </si>
  <si>
    <t xml:space="preserve">Effectif moyen 2023 (ETP) : </t>
  </si>
  <si>
    <t xml:space="preserve">CA 2023 : </t>
  </si>
  <si>
    <t xml:space="preserve">Total Bilan 2023 : </t>
  </si>
  <si>
    <t>2.</t>
  </si>
  <si>
    <t>Entreprise créée avant le :</t>
  </si>
  <si>
    <t xml:space="preserve"> - Être créée depuis moins de 11 ans.</t>
  </si>
  <si>
    <t>Entreprise créée à partir du :</t>
  </si>
  <si>
    <t xml:space="preserve"> - Être créée depuis moins de 8 ans.</t>
  </si>
  <si>
    <t>Date de création de l'entreprise :</t>
  </si>
  <si>
    <t>3.</t>
  </si>
  <si>
    <t>Avoir réalisé des dépenses de R&amp;D représentant au moins 15% des charges.</t>
  </si>
  <si>
    <t>4.</t>
  </si>
  <si>
    <t>Être détenu pour 50% au minimum par :</t>
  </si>
  <si>
    <t xml:space="preserve"> - Une personne physique (particulier ou EI)</t>
  </si>
  <si>
    <t>OUI</t>
  </si>
  <si>
    <t xml:space="preserve"> - Une PME détenue à plus de 50% par une personne physique</t>
  </si>
  <si>
    <t xml:space="preserve"> - Une autre JEI</t>
  </si>
  <si>
    <t>NON</t>
  </si>
  <si>
    <t xml:space="preserve"> - Une association ou fondation reconnue d'utilité publique à caractère scientifique</t>
  </si>
  <si>
    <t xml:space="preserve"> - Un établissement public de recherche et d'enseignement ou une de ses filiales</t>
  </si>
  <si>
    <t xml:space="preserve"> - Une société d'investissement</t>
  </si>
  <si>
    <t>Désignation des immobilisations</t>
  </si>
  <si>
    <t>Prix d’achat</t>
  </si>
  <si>
    <t>Amortissement annuel</t>
  </si>
  <si>
    <t>Prorata d’utilisation en R&amp;D</t>
  </si>
  <si>
    <t>5.</t>
  </si>
  <si>
    <t xml:space="preserve">Exercer une activité nouvelle.
L'entreprise ne doit pas avoir été créée dans le cadre : </t>
  </si>
  <si>
    <t>Nom prénom</t>
  </si>
  <si>
    <t>Rôle dans l’opération de R&amp;D</t>
  </si>
  <si>
    <t>Heures travaillées dans le cadre de la R&amp;D</t>
  </si>
  <si>
    <t>Coût R&amp;D</t>
  </si>
  <si>
    <t>A. Immeubles acquis neufs ou achevés à partir de 1991.</t>
  </si>
  <si>
    <t>B. Biens autres que les immeubles :</t>
  </si>
  <si>
    <t>a.</t>
  </si>
  <si>
    <t>d'une concentration ou restructuration d'activité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</si>
  <si>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appartenant à l'entreprise</t>
    </r>
  </si>
  <si>
    <t xml:space="preserve"> - identité au moins partielle d'activité</t>
  </si>
  <si>
    <t xml:space="preserve"> - existence de liens privilégiés entre l'entreprise créée et l'entreprise préexistante</t>
  </si>
  <si>
    <t>Dont acquisition de l'exercice</t>
  </si>
  <si>
    <t xml:space="preserve"> - transfert de moyens d'exploitation de l'entreprise préexistante à l'entreprise nouvellement créée</t>
  </si>
  <si>
    <t>b.</t>
  </si>
  <si>
    <t>d'une extension d'activité préexistante</t>
  </si>
  <si>
    <t xml:space="preserve"> - existence d'une communauté d'intérêt entre l'entreprise créée et une entreprise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</si>
  <si>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financés par crédit-bail</t>
    </r>
  </si>
  <si>
    <t xml:space="preserve"> - l'activité de l'entreprise créée prolonge celle de l'entreprise préexistante</t>
  </si>
  <si>
    <t>c.</t>
  </si>
  <si>
    <t xml:space="preserve">de reprise d'une activité préexistante </t>
  </si>
  <si>
    <t xml:space="preserve"> - l'activité de l'entreprise créée est identique à celle d'une entreprise préexistante</t>
  </si>
  <si>
    <t xml:space="preserve"> - existence d'un transfert de moyens d'exploitation ou relations de droit ou de fait avec une entreprise</t>
  </si>
  <si>
    <t>Opération 2</t>
  </si>
  <si>
    <t>Pour les heures : si 2ème opé, mettre Y4 au lieu de X4 et étendre</t>
  </si>
  <si>
    <t>Pour les dépenses : si 2ème opé, mettre AN4 au lieu de AM4 et étendre</t>
  </si>
  <si>
    <t>Charges</t>
  </si>
  <si>
    <t>N-1</t>
  </si>
  <si>
    <t>60 - Achats</t>
  </si>
  <si>
    <t>à remplir</t>
  </si>
  <si>
    <t>à déterminer</t>
  </si>
  <si>
    <t>61 - Services extérieurs</t>
  </si>
  <si>
    <t>62 - Autres services extérieurs</t>
  </si>
  <si>
    <t>63 - Impôts, taxes et versements assimilés</t>
  </si>
  <si>
    <t>64 - Charges de personnel</t>
  </si>
  <si>
    <t>65 - Autres charges de gestion courante</t>
  </si>
  <si>
    <t>66 - Charges financières</t>
  </si>
  <si>
    <t>67 - Charges exceptionnelles</t>
  </si>
  <si>
    <t>68 - Dotations aux amortissements et aux provisions</t>
  </si>
  <si>
    <t>69 - Participation des salariés / impôt sur les bénéfices et assimilés</t>
  </si>
  <si>
    <t>Rôle</t>
  </si>
  <si>
    <t>Diplôme + école</t>
  </si>
  <si>
    <t>bis</t>
  </si>
  <si>
    <t>Date de sortie</t>
  </si>
  <si>
    <t>Calcul jours</t>
  </si>
  <si>
    <t>ETP</t>
  </si>
  <si>
    <t>Forfait Jours</t>
  </si>
  <si>
    <t>Heures Lées</t>
  </si>
  <si>
    <t>Ratio R&amp;D</t>
  </si>
  <si>
    <t>Brut mensuel</t>
  </si>
  <si>
    <t>Brut annuel</t>
  </si>
  <si>
    <t>Brut chargé</t>
  </si>
  <si>
    <t>Coût horaire</t>
  </si>
  <si>
    <t>RECRUTEMENT EN N</t>
  </si>
  <si>
    <t>Base : 1607 heures</t>
  </si>
  <si>
    <t>Forfait jour * 8</t>
  </si>
  <si>
    <t>Numéro de compte</t>
  </si>
  <si>
    <t>Numéro</t>
  </si>
  <si>
    <t>Désignation</t>
  </si>
  <si>
    <t>Date d'acquisition</t>
  </si>
  <si>
    <t>Date de début</t>
  </si>
  <si>
    <t>Type d'amortissement</t>
  </si>
  <si>
    <t>Nombre de mois</t>
  </si>
  <si>
    <t>Taux</t>
  </si>
  <si>
    <t>Amortissements antérieurs</t>
  </si>
  <si>
    <t>Amortissements 2023</t>
  </si>
  <si>
    <t>% R&amp;D 23</t>
  </si>
  <si>
    <t>Amo R&amp;D 23</t>
  </si>
  <si>
    <t>Prorata temporis</t>
  </si>
  <si>
    <t>Amortissements 2024</t>
  </si>
  <si>
    <t>% R&amp;D 24</t>
  </si>
  <si>
    <t>Amo R&amp;D 24</t>
  </si>
  <si>
    <t>Amortissements cumulés</t>
  </si>
  <si>
    <t>VNC</t>
  </si>
  <si>
    <t>Linéaire</t>
  </si>
  <si>
    <t>ACQUISITION DE L'EXERCICE</t>
  </si>
  <si>
    <t>Projet 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</si>
  <si>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</si>
  <si>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</si>
  <si>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</si>
  <si>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</si>
  <si>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</si>
  <si>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</si>
  <si>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</si>
  <si>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</si>
  <si>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</si>
  <si>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</si>
  <si>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Diplôme</t>
  </si>
  <si>
    <t>Date obtention</t>
  </si>
  <si>
    <t>Date entrée</t>
  </si>
  <si>
    <t>NOM des personnels de R&amp;D</t>
  </si>
  <si>
    <t>Coût horaire brut chargé</t>
  </si>
  <si>
    <t>Nombre d’heures en R&amp;D</t>
  </si>
  <si>
    <t>Fonction</t>
  </si>
  <si>
    <t>Catégorie</t>
  </si>
  <si>
    <t>Concessions et droits similaires, brevets, licences, marques, procédés, logiciels, droits et valeurs similaires</t>
  </si>
  <si>
    <t>Installations techniques et outillages industriels</t>
  </si>
  <si>
    <t>Matériel de bureau et matériel informatique</t>
  </si>
  <si>
    <t>CIR_PERSO</t>
  </si>
  <si>
    <t>éé</t>
  </si>
  <si>
    <t>CIMA</t>
  </si>
  <si>
    <t>CIMA EPV</t>
  </si>
  <si>
    <t>Créer autant de ligne que nécessaire pour intégrer les immobilisations valorisées en 2024</t>
  </si>
  <si>
    <t>Créer autant de ligne que nécessaire pour intégrer les fournisseurs valorisés en 2024</t>
  </si>
  <si>
    <t>est ce une Dépenses valorisées en 2024 ?</t>
  </si>
  <si>
    <t>Montant Percu en 2024</t>
  </si>
  <si>
    <t>Montant déduit en 2024</t>
  </si>
  <si>
    <t>Il y a-t-il eu une subvention en 2024 ?</t>
  </si>
  <si>
    <t>Valorisation du crédit d'impôt en faveur de la recherche - 2025</t>
  </si>
  <si>
    <t>Projet 1</t>
  </si>
  <si>
    <t xml:space="preserve"> Répartition hono 2025</t>
  </si>
  <si>
    <t>Hono 2025</t>
  </si>
  <si>
    <t>²%</t>
  </si>
  <si>
    <t>Formulaire 2025</t>
  </si>
  <si>
    <t>ANNÉE CIVILE 2025</t>
  </si>
  <si>
    <t xml:space="preserve"> ANNÉE CIVILE 2025</t>
  </si>
  <si>
    <t xml:space="preserve">Nombre de jours ouvrés </t>
  </si>
  <si>
    <t>Nombre de jours ouvrés av 15 février</t>
  </si>
  <si>
    <t>Jours</t>
  </si>
  <si>
    <t>Nombre de jours ouvrés ap 15 février</t>
  </si>
  <si>
    <t>Typologie de personnel</t>
  </si>
  <si>
    <t>date d'entrée</t>
  </si>
  <si>
    <t>date de sortie</t>
  </si>
  <si>
    <t>dépenses avant le 15/02</t>
  </si>
  <si>
    <t>dépenses après le 15/02</t>
  </si>
  <si>
    <t>FF avant le 15/02</t>
  </si>
  <si>
    <t>FF après le 15/02</t>
  </si>
  <si>
    <t>jeune docteur</t>
  </si>
  <si>
    <t>JD</t>
  </si>
  <si>
    <t>Perso</t>
  </si>
  <si>
    <t>Vérif</t>
  </si>
  <si>
    <t>CAS 1 pas de découpage d'HRECH Précis</t>
  </si>
  <si>
    <t>CAS 2 découpage d'HRECH Précis</t>
  </si>
  <si>
    <t>HRECH avant le 15/02</t>
  </si>
  <si>
    <t>nombres jours ouvrés avant 15/02</t>
  </si>
  <si>
    <t>nombres jours ouvrés après le 15/02</t>
  </si>
  <si>
    <t>HRECH après le 15/02</t>
  </si>
  <si>
    <t>Forfait représentatif de la participation personnelle des dirigeants d'entreprises individuelles et des
associés de sociétés soumises au régime fiscal des sociétés de personnes</t>
  </si>
  <si>
    <t>Autres dépenses de fonctionnement (hors frais de collection) au prorata des périodes suivantes :
dépenses exposées du 01/01 au 14/02/2025 : (ligne 1 × 75 %) + [(ligne 3a + ligne 3b+ ligne 4) x
43 %] + ligne 5
dépenses exposées du 15/02 au 31/12/2025 : (ligne 1 × 75 %) + [(ligne 3a + ligne 3b + ligne 4) x
40 %4
]</t>
  </si>
  <si>
    <r>
      <rPr>
        <b/>
        <sz val="11"/>
        <color theme="1"/>
        <rFont val="Aptos Narrow"/>
        <family val="2"/>
        <scheme val="minor"/>
      </rPr>
      <t xml:space="preserve">Montant total des dépenses de fonctionnement
</t>
    </r>
    <r>
      <rPr>
        <sz val="11"/>
        <color theme="1"/>
        <rFont val="Aptos Narrow"/>
        <family val="2"/>
        <scheme val="minor"/>
      </rPr>
      <t>(ligne 1 + ligne 2 + ligne 3a + ligne 4 + ligne 5 + ligne 6)</t>
    </r>
  </si>
  <si>
    <t>Ligne 3a</t>
  </si>
  <si>
    <t>Ligne 3b</t>
  </si>
  <si>
    <t xml:space="preserve">Frais de prise et maintenance de brevets et de certificats d’obtention végétale (COV) exposées
jusqu’au 14/02/20255 </t>
  </si>
  <si>
    <t xml:space="preserve">Dépenses de défense de brevets et de certificats d’obtention végétale (COV) exposées jusqu’au
14/02/20255 </t>
  </si>
  <si>
    <t>Dotations aux amortissements de brevets acquis en vue de la recherche et du développement
expérimental et de certificats d’obtention végétale (COV) des frais et dépenses exposées jusqu’au
14/02/20255</t>
  </si>
  <si>
    <t>Primes et cotisations ou part des primes et cotisations afférentes à des contrats d’assurance de
protection juridique prévoyant la prise en charge des dépenses exposées jusqu’au 14/02/20255 dans le
cadre de litiges portant sur un brevet ou un certificat d’obtention végétale (COV) dont l’entreprise est
titulaire dans la limite de 60 000 €</t>
  </si>
  <si>
    <t xml:space="preserve">Dépenses de veille technologique, exposées jusqu’au 14/02/2025, dans la limite de 60 000 €
5 </t>
  </si>
  <si>
    <t>Montant du crédit d’impôt au titre des dépenses d’innovation
[(ligne 76a - ligne 76b - ligne 76c – ligne 76d) x 20 %17]
+ (ligne 76b x 60 %) + (ligne 76c x 40 %) + (ligne 76d x 35 %)18</t>
  </si>
  <si>
    <t>CIR_AMO</t>
  </si>
  <si>
    <t>CIR_BREV</t>
  </si>
  <si>
    <t>CIR_ST</t>
  </si>
  <si>
    <t>PILI</t>
  </si>
  <si>
    <t>4789Z</t>
  </si>
  <si>
    <t>B1</t>
  </si>
  <si>
    <t>3 RUE Ariane 31520 RAMONVILLE-SAINT-AGNE</t>
  </si>
  <si>
    <t>Romain B.</t>
  </si>
  <si>
    <t>Axel</t>
  </si>
  <si>
    <t>Aglaé</t>
  </si>
  <si>
    <t>00001</t>
  </si>
  <si>
    <t>AMILLASTRÉ</t>
  </si>
  <si>
    <t>Emilie</t>
  </si>
  <si>
    <t>Ingénieur Recherche - Lead Scientist</t>
  </si>
  <si>
    <t>Doctorat - INSA Toulouse</t>
  </si>
  <si>
    <t>00004</t>
  </si>
  <si>
    <t>CRÉPIN</t>
  </si>
  <si>
    <t>Lucie</t>
  </si>
  <si>
    <t>Doctorat - Biotechnologie, microbilogie - Université Montpellier II</t>
  </si>
  <si>
    <t>00005</t>
  </si>
  <si>
    <t>BOISSONNAT</t>
  </si>
  <si>
    <t>Guillaume</t>
  </si>
  <si>
    <t>Ingénieur Recherche</t>
  </si>
  <si>
    <t>Doctorat Chimie moleculaire- Université Paris VI</t>
  </si>
  <si>
    <t>00006</t>
  </si>
  <si>
    <t>COTTET</t>
  </si>
  <si>
    <t>Kevin</t>
  </si>
  <si>
    <t>Doctorat - Pharmacognosie - Université Paris Descartes</t>
  </si>
  <si>
    <t>00007</t>
  </si>
  <si>
    <t>BLANCHARD-SLOOTMAN</t>
  </si>
  <si>
    <t>Vincent</t>
  </si>
  <si>
    <t>Doctorat - Ecole Nationale supérieure de chimie de Montpellier</t>
  </si>
  <si>
    <t>00008</t>
  </si>
  <si>
    <t>GOMES</t>
  </si>
  <si>
    <t>Filipe</t>
  </si>
  <si>
    <t>Doctorat - Chimie - Université Paris Saclay</t>
  </si>
  <si>
    <t>00011</t>
  </si>
  <si>
    <t>BAYLAC</t>
  </si>
  <si>
    <t>Audrey</t>
  </si>
  <si>
    <t>Ingénieur</t>
  </si>
  <si>
    <t>Master Biochimie et biotechnologies - Université de Toulouse III</t>
  </si>
  <si>
    <t>00012</t>
  </si>
  <si>
    <t>DENARD</t>
  </si>
  <si>
    <t>Marjorie</t>
  </si>
  <si>
    <t>Assistant Ingenieur</t>
  </si>
  <si>
    <t>BTS - Bioanalyses et controles - Toulouse</t>
  </si>
  <si>
    <t>00013</t>
  </si>
  <si>
    <t>FERNANDEZ</t>
  </si>
  <si>
    <t>Bob</t>
  </si>
  <si>
    <t>Ingénieur d'études</t>
  </si>
  <si>
    <t>Ingénieur - Chimie Analytique - Université de Toulouse III</t>
  </si>
  <si>
    <t>00014</t>
  </si>
  <si>
    <t>SCHIAVON</t>
  </si>
  <si>
    <t>Caroline</t>
  </si>
  <si>
    <t>Ingénieur - Biochimie et biotechnologies  - Université de Toulouse III</t>
  </si>
  <si>
    <t>00016</t>
  </si>
  <si>
    <t>RAMOS</t>
  </si>
  <si>
    <t>Nuria</t>
  </si>
  <si>
    <t>Ingenieur</t>
  </si>
  <si>
    <t>Master Microbiologie - Université de Barcelone</t>
  </si>
  <si>
    <t>00018</t>
  </si>
  <si>
    <t>BARRY</t>
  </si>
  <si>
    <t>Benjamin</t>
  </si>
  <si>
    <t>Master procédés, biotechnologies, aliments - Université Paris - Saclay</t>
  </si>
  <si>
    <t>00019</t>
  </si>
  <si>
    <t>CHABRET</t>
  </si>
  <si>
    <t>Océane</t>
  </si>
  <si>
    <t>Assistant Ingénieur</t>
  </si>
  <si>
    <t>DUT - Génie Biologique - IUT Dijon</t>
  </si>
  <si>
    <t>00021</t>
  </si>
  <si>
    <t>MARTINEZ</t>
  </si>
  <si>
    <t>Anthony</t>
  </si>
  <si>
    <t>DUT - Chimie Analytique et de Synthèse</t>
  </si>
  <si>
    <t>00022</t>
  </si>
  <si>
    <t>REZEAU</t>
  </si>
  <si>
    <t>Marie</t>
  </si>
  <si>
    <t>Ingénieur Procédés</t>
  </si>
  <si>
    <t>Ingénieur - Ecole Nationale de Chimie de Montpellier</t>
  </si>
  <si>
    <t>00023</t>
  </si>
  <si>
    <t>ZIMBERLIN</t>
  </si>
  <si>
    <t>Pierre</t>
  </si>
  <si>
    <t>Technicien / Salarié doctorant</t>
  </si>
  <si>
    <t>Ingénieur - INSA Lyon</t>
  </si>
  <si>
    <t>00024</t>
  </si>
  <si>
    <t>CANU</t>
  </si>
  <si>
    <t>Nicolas</t>
  </si>
  <si>
    <t>Doctorat - Biochimie et Biologie Structurale - Université Paris Saclay</t>
  </si>
  <si>
    <t>00026</t>
  </si>
  <si>
    <t>DE ALMEIDA</t>
  </si>
  <si>
    <t>Marie-Léa</t>
  </si>
  <si>
    <t>DUT - Bio-Industrie et Biotechnologies -IUT Pau</t>
  </si>
  <si>
    <t>00031</t>
  </si>
  <si>
    <t>GIL</t>
  </si>
  <si>
    <t>Licence Professionnelle Biotechnologies - IUT Montpellier</t>
  </si>
  <si>
    <t>00032</t>
  </si>
  <si>
    <t>BONNAUD</t>
  </si>
  <si>
    <t>Marine</t>
  </si>
  <si>
    <t>Ingénieur - Génie Biologique - Polytechnique Marseille</t>
  </si>
  <si>
    <t>00033</t>
  </si>
  <si>
    <t>MENANTEAU</t>
  </si>
  <si>
    <t>Mylène</t>
  </si>
  <si>
    <t>Licence Professionnelle - Génie Biotechnologies -  Université Paris XI</t>
  </si>
  <si>
    <t>00034</t>
  </si>
  <si>
    <t>THOMAS</t>
  </si>
  <si>
    <t>Technicien Pilote</t>
  </si>
  <si>
    <t>DUT - Chimie industrielle - IUT Rennes</t>
  </si>
  <si>
    <t>00035</t>
  </si>
  <si>
    <t>PEROCHEAU</t>
  </si>
  <si>
    <t>Clément</t>
  </si>
  <si>
    <t>Baccalauréat Professionnel Chimie</t>
  </si>
  <si>
    <t>PINCHART</t>
  </si>
  <si>
    <t>Alain</t>
  </si>
  <si>
    <t>Directeur des opérations</t>
  </si>
  <si>
    <t>Doctorat - Sciences - Université Libre de Bruxelles</t>
  </si>
  <si>
    <t>00037</t>
  </si>
  <si>
    <t>COMBRET</t>
  </si>
  <si>
    <t>Yves</t>
  </si>
  <si>
    <t>Responsable de Production</t>
  </si>
  <si>
    <t>Doctorat - Sciences Physiques - Université de Rouen</t>
  </si>
  <si>
    <t>00038</t>
  </si>
  <si>
    <t>DRAMÉ</t>
  </si>
  <si>
    <t>Aisatou</t>
  </si>
  <si>
    <t>Licence Profesionnelle - Chimie de Synthèse - Université Paris-Saclay</t>
  </si>
  <si>
    <t>00040</t>
  </si>
  <si>
    <t>SLIMANE</t>
  </si>
  <si>
    <t>Mehdi</t>
  </si>
  <si>
    <t>Apprenti</t>
  </si>
  <si>
    <t>Baccalauréat Profesionnel - Procédés de la Chimie, de l'eau et des papiers-cartons</t>
  </si>
  <si>
    <t>00041</t>
  </si>
  <si>
    <t>BROQUAIRE</t>
  </si>
  <si>
    <t>Ameline</t>
  </si>
  <si>
    <t>Licence Professionnelle - Chimie de Synthèse - Ecole Universitaire de Premier Cycle Paris-Saclay</t>
  </si>
  <si>
    <t>00042</t>
  </si>
  <si>
    <t>BAMOGO</t>
  </si>
  <si>
    <t>Lionel</t>
  </si>
  <si>
    <t>Ingénieur - Master Sciences du médicament et de produits de santé</t>
  </si>
  <si>
    <t>00043</t>
  </si>
  <si>
    <t>TRAORE</t>
  </si>
  <si>
    <t>Hatouma</t>
  </si>
  <si>
    <t>Assitant ingénieur</t>
  </si>
  <si>
    <t>DUT - Chimie Analytique et de Synthèse - Institut Universitaire de Technologie d'Orsay</t>
  </si>
  <si>
    <t>00044</t>
  </si>
  <si>
    <t>BABA-HAMED</t>
  </si>
  <si>
    <t>Walid</t>
  </si>
  <si>
    <t>Technicien en chimie organique</t>
  </si>
  <si>
    <t>DUT - Chimie Analytique et de Synthèse - IUT de Creteil</t>
  </si>
  <si>
    <t>00046</t>
  </si>
  <si>
    <t>BUCHE</t>
  </si>
  <si>
    <t>Gaëlle</t>
  </si>
  <si>
    <t>Ingénieur en chimie analytique</t>
  </si>
  <si>
    <t>Ingénieur - Chimie Bioactifs et Cosmétiques - Université d'Orléans</t>
  </si>
  <si>
    <t>ROVELAS</t>
  </si>
  <si>
    <t>Flore</t>
  </si>
  <si>
    <t>Stagiaire</t>
  </si>
  <si>
    <t>Ingénieur - Chimie - Université Paris Cité</t>
  </si>
  <si>
    <t>00048</t>
  </si>
  <si>
    <t>GHANEM</t>
  </si>
  <si>
    <t>Tatiana</t>
  </si>
  <si>
    <t>Ingénieur de recherche en chimie organique</t>
  </si>
  <si>
    <t>Doctorat - Matière, Molécules, Matériaux et Géosciences - Université d'Angers</t>
  </si>
  <si>
    <t>00049</t>
  </si>
  <si>
    <t>RULLIÈRE</t>
  </si>
  <si>
    <t>Pauline</t>
  </si>
  <si>
    <t>Responsable R&amp;D</t>
  </si>
  <si>
    <t>Doctorat - Chimie Organique - Université de Grenoble</t>
  </si>
  <si>
    <t>00050</t>
  </si>
  <si>
    <t>SANCHEZ</t>
  </si>
  <si>
    <t>Maud</t>
  </si>
  <si>
    <t>Ingénieur en chimie des procédés</t>
  </si>
  <si>
    <t>Ingénieur - Ecole Nationale Supérieure de Chimie de Lille</t>
  </si>
  <si>
    <t>00051</t>
  </si>
  <si>
    <t>AUDIC</t>
  </si>
  <si>
    <t>Benoît</t>
  </si>
  <si>
    <t>Doctorat Sciences - Ecole Polytechnique fédérale de Lausanne</t>
  </si>
  <si>
    <t>00054</t>
  </si>
  <si>
    <t>DENIZET</t>
  </si>
  <si>
    <t>Baccalauréat Technologique</t>
  </si>
  <si>
    <t>00055</t>
  </si>
  <si>
    <t>TERRANGLE</t>
  </si>
  <si>
    <t>Eugénie</t>
  </si>
  <si>
    <t>BOLLE</t>
  </si>
  <si>
    <t>Pierre-Yves</t>
  </si>
  <si>
    <t>Business Developer</t>
  </si>
  <si>
    <t>Ingénieur - Ecole Centrale de Lyon</t>
  </si>
  <si>
    <t>Stagiare/apprenti</t>
  </si>
  <si>
    <t>MESTRELAB RESEARCH Licence</t>
  </si>
  <si>
    <t>15/11/2023</t>
  </si>
  <si>
    <t>36</t>
  </si>
  <si>
    <t>Datacolor</t>
  </si>
  <si>
    <t>26/04/2019</t>
  </si>
  <si>
    <t>120</t>
  </si>
  <si>
    <t>PM 100 Broyeur 1218160114 N</t>
  </si>
  <si>
    <t>21/12/2020</t>
  </si>
  <si>
    <t>Pilote Roussillon V2020 - 2022</t>
  </si>
  <si>
    <t>01/11/2022</t>
  </si>
  <si>
    <t>Pilote Roussillon Ecart de DIE</t>
  </si>
  <si>
    <t>01/01/2023</t>
  </si>
  <si>
    <t>108</t>
  </si>
  <si>
    <t>Pilote Roussillon 2023</t>
  </si>
  <si>
    <t>31/12/2023</t>
  </si>
  <si>
    <t>Kilo Roussillon 2023</t>
  </si>
  <si>
    <t>METTLER TOLEDO pH mètre portab</t>
  </si>
  <si>
    <t>01/06/2024</t>
  </si>
  <si>
    <t>60</t>
  </si>
  <si>
    <t>ATELIERS CLOUP Pompe à vide po</t>
  </si>
  <si>
    <t>01/10/2024</t>
  </si>
  <si>
    <t xml:space="preserve">ATELIERS CLOUP BALANCE ENTRIS </t>
  </si>
  <si>
    <t>15/11/2024</t>
  </si>
  <si>
    <t xml:space="preserve">DENIOS Sécurité développement </t>
  </si>
  <si>
    <t>29/11/2024</t>
  </si>
  <si>
    <t>FISHER SCIENTIFIC Balance Defe</t>
  </si>
  <si>
    <t>Agelab Solde Paillasse Labo KB</t>
  </si>
  <si>
    <t>25/01/2024</t>
  </si>
  <si>
    <t>HEIDOLPH</t>
  </si>
  <si>
    <t>09/02/2024</t>
  </si>
  <si>
    <t>HEIDOLPH équipement KB</t>
  </si>
  <si>
    <t>01/04/2024</t>
  </si>
  <si>
    <t>HEIDOLPH Heat-On Multi-Well Ho</t>
  </si>
  <si>
    <t>08/05/2024</t>
  </si>
  <si>
    <t>PROLIANS Nettoyeur HP Eau CH H</t>
  </si>
  <si>
    <t>02/10/2024</t>
  </si>
  <si>
    <t>HEIDOLPH SCIENTIFIC PRODUCTS G</t>
  </si>
  <si>
    <t>25/11/2024</t>
  </si>
  <si>
    <t>PHENOMENEX SecurityGuard Cartr</t>
  </si>
  <si>
    <t>10/12/2024</t>
  </si>
  <si>
    <t>PHENOMENEX Rezex RFQ-Fast Acid</t>
  </si>
  <si>
    <t>11/12/2024</t>
  </si>
  <si>
    <t>DMR Services Pose éclairage AT</t>
  </si>
  <si>
    <t>29/02/2024</t>
  </si>
  <si>
    <t>eurofiltration Plaques de filt</t>
  </si>
  <si>
    <t>05/03/2024</t>
  </si>
  <si>
    <t>eurofiltration Filtres pour le</t>
  </si>
  <si>
    <t>18/09/2024</t>
  </si>
  <si>
    <t>DONADON Material Hastelloy</t>
  </si>
  <si>
    <t>14/10/2024</t>
  </si>
  <si>
    <t>Dell Latitude E5470 CORE I7</t>
  </si>
  <si>
    <t>25/01/2021</t>
  </si>
  <si>
    <t>Apple macbook pro Z0Y8000EX</t>
  </si>
  <si>
    <t>04/05/2021</t>
  </si>
  <si>
    <t>"Dell Lattitude E6540 15"" Cor</t>
  </si>
  <si>
    <t>07/06/2021</t>
  </si>
  <si>
    <t>Dell Lattitude 3420 Core i5</t>
  </si>
  <si>
    <t>26/04/2022</t>
  </si>
  <si>
    <t>PC Portable</t>
  </si>
  <si>
    <t>15/01/2023</t>
  </si>
  <si>
    <t>BACK MARKET 5 ordi pour les no</t>
  </si>
  <si>
    <t>27/09/2023</t>
  </si>
  <si>
    <t>BACK MARKET HP Envy 14-EB1030N</t>
  </si>
  <si>
    <t>20/04/2023</t>
  </si>
  <si>
    <t>BACK MARKET DELL LATITUDE 5490</t>
  </si>
  <si>
    <t>18/12/2023</t>
  </si>
  <si>
    <t>BACK MARKET Dell Latitude 5490</t>
  </si>
  <si>
    <t>27/03/2024</t>
  </si>
  <si>
    <t>Lenovo  ThinkBook 16 G6 IRL</t>
  </si>
  <si>
    <t>29/05/2024</t>
  </si>
  <si>
    <t>CIPRAL Travaux Labo KB cloison</t>
  </si>
  <si>
    <t>01/01/2024</t>
  </si>
  <si>
    <t>CIPRAL Travaux ancien Local _P</t>
  </si>
  <si>
    <t>CIPRAL Travaux Labo KB Cloison</t>
  </si>
  <si>
    <t>CIPRAL Travaux Labo KB Solde c</t>
  </si>
  <si>
    <t>CIPRAL Solde fin Travaux KB</t>
  </si>
  <si>
    <t>01/07/2024</t>
  </si>
  <si>
    <t>CIPRAL Solde levé de réserve t</t>
  </si>
  <si>
    <t>CIPRAL Travaux KB Cipral</t>
  </si>
  <si>
    <t>Fmge Travaux &amp; équipement Labo</t>
  </si>
  <si>
    <t>30/01/2024</t>
  </si>
  <si>
    <t>18-10-2023 ALGOCHEM</t>
  </si>
  <si>
    <t>31-12-2023 LABO BUREAUX KB 202</t>
  </si>
  <si>
    <t>ALTEA SERVICES Raccord SSi con</t>
  </si>
  <si>
    <t>Fmge Instal elec KB phonebox R</t>
  </si>
  <si>
    <t>EXELL SECURITE Travaux-KB : tr</t>
  </si>
  <si>
    <t>EXELL SECURITE Travaux d'aména</t>
  </si>
  <si>
    <t>01/09/2024</t>
  </si>
  <si>
    <t>OPTIMUS Accessoires KL Roussil</t>
  </si>
  <si>
    <t>08/01/2024</t>
  </si>
  <si>
    <t>Foure Lagadec Modification bac</t>
  </si>
  <si>
    <t>25/03/2024</t>
  </si>
  <si>
    <t>Foure Lagadec MODIFICATION D U</t>
  </si>
  <si>
    <t>Foure Lagadec support filtre e</t>
  </si>
  <si>
    <t>01/05/2024</t>
  </si>
  <si>
    <t xml:space="preserve">Espace équipement Armoires KL </t>
  </si>
  <si>
    <t>Foure Lagadec Pose aÃ©rotherme</t>
  </si>
  <si>
    <t>20/12/2024</t>
  </si>
  <si>
    <t>COTE Travaux raccordement élec</t>
  </si>
  <si>
    <t>30/11/2024</t>
  </si>
  <si>
    <t>agelab extraction armoire prod</t>
  </si>
  <si>
    <t>03/12/2024</t>
  </si>
  <si>
    <t>DE DIETRICH PROCESS SYSTEMS Es</t>
  </si>
  <si>
    <t>BECKER</t>
  </si>
  <si>
    <t>LAVOIX</t>
  </si>
  <si>
    <t>Cas Discovery Platform</t>
  </si>
  <si>
    <t>info CHimie GBW</t>
  </si>
  <si>
    <t>Smithers</t>
  </si>
  <si>
    <t>MAD</t>
  </si>
  <si>
    <t>Société chimique de France</t>
  </si>
  <si>
    <t>Bioeconomy For Change</t>
  </si>
  <si>
    <t>CNAM</t>
  </si>
  <si>
    <t>EUROFINS</t>
  </si>
  <si>
    <t>EVEA</t>
  </si>
  <si>
    <t>FILAB</t>
  </si>
  <si>
    <t>INRAE</t>
  </si>
  <si>
    <t>PROCINTECH</t>
  </si>
  <si>
    <t>SAESPCI</t>
  </si>
  <si>
    <t>Sorbonne Université</t>
  </si>
  <si>
    <t>Université de Toulouse</t>
  </si>
  <si>
    <t>Somme de Heures</t>
  </si>
  <si>
    <t>Typologie</t>
  </si>
  <si>
    <t>Acc à la rem</t>
  </si>
  <si>
    <t>SB</t>
  </si>
  <si>
    <t>Total CSPO</t>
  </si>
  <si>
    <t>Htrav</t>
  </si>
  <si>
    <t>HTRAV-</t>
  </si>
  <si>
    <t>JTRAV-</t>
  </si>
  <si>
    <t>JTRAV-RTT</t>
  </si>
  <si>
    <t>JTRAV+</t>
  </si>
  <si>
    <t>HTRAV+</t>
  </si>
  <si>
    <t>AMILLASTRE</t>
  </si>
  <si>
    <t>BLACHE</t>
  </si>
  <si>
    <t>Jérémie</t>
  </si>
  <si>
    <t>CREPIN</t>
  </si>
  <si>
    <t>GOMES-DA-CRUZ</t>
  </si>
  <si>
    <t>RAMOS-AZNAR</t>
  </si>
  <si>
    <t>MASSEBOEUF</t>
  </si>
  <si>
    <t>Loïc</t>
  </si>
  <si>
    <t>Oceane</t>
  </si>
  <si>
    <t>DE-ALMEIDA</t>
  </si>
  <si>
    <t>ADENIS</t>
  </si>
  <si>
    <t>Marie-Sarah</t>
  </si>
  <si>
    <t>SIMONNEY</t>
  </si>
  <si>
    <t>Pascal</t>
  </si>
  <si>
    <t>DRAME</t>
  </si>
  <si>
    <t>LACONDEMINE</t>
  </si>
  <si>
    <t>Julie</t>
  </si>
  <si>
    <t>SOUFI</t>
  </si>
  <si>
    <t>Imane</t>
  </si>
  <si>
    <t>RULLIERE</t>
  </si>
  <si>
    <t>PAULINE</t>
  </si>
  <si>
    <t>GOUTIERRE</t>
  </si>
  <si>
    <t>Anne-Sophie</t>
  </si>
  <si>
    <t>Garance</t>
  </si>
  <si>
    <t>DEJARDIN</t>
  </si>
  <si>
    <t>Thibault</t>
  </si>
  <si>
    <t>GARNIER</t>
  </si>
  <si>
    <t>Jules-Lucas-Luden</t>
  </si>
  <si>
    <t>POUDEROUX</t>
  </si>
  <si>
    <t>Jules</t>
  </si>
  <si>
    <t>ZIANI</t>
  </si>
  <si>
    <t>Gilles</t>
  </si>
  <si>
    <t>Paul</t>
  </si>
  <si>
    <t>AATILA-EL-HAMSI</t>
  </si>
  <si>
    <t>Hajar</t>
  </si>
  <si>
    <t>CHOTARD</t>
  </si>
  <si>
    <t>Tilio</t>
  </si>
  <si>
    <t>MOALIC</t>
  </si>
  <si>
    <t>Briac</t>
  </si>
  <si>
    <t>CHIC</t>
  </si>
  <si>
    <t>PHOENIX</t>
  </si>
  <si>
    <t>BIOPPIGMENT</t>
  </si>
  <si>
    <t>PALOMA</t>
  </si>
  <si>
    <t>LISA</t>
  </si>
  <si>
    <t>OASIS</t>
  </si>
  <si>
    <t>Somme de NbHeures</t>
  </si>
  <si>
    <t>Plan2</t>
  </si>
  <si>
    <t>Prenom</t>
  </si>
  <si>
    <t>BIOP</t>
  </si>
  <si>
    <t>BIOR</t>
  </si>
  <si>
    <t>DEMO</t>
  </si>
  <si>
    <t>OASI</t>
  </si>
  <si>
    <t>PALO</t>
  </si>
  <si>
    <t>PH20</t>
  </si>
  <si>
    <t>PH23</t>
  </si>
  <si>
    <t>PHVB</t>
  </si>
  <si>
    <t>AATILA EL HAMSI</t>
  </si>
  <si>
    <t>EL BAHLAOUI</t>
  </si>
  <si>
    <t>Sephora</t>
  </si>
  <si>
    <t>00000</t>
  </si>
  <si>
    <t>00053</t>
  </si>
  <si>
    <t>00058</t>
  </si>
  <si>
    <t>00060</t>
  </si>
  <si>
    <t>00061</t>
  </si>
  <si>
    <t>00062</t>
  </si>
  <si>
    <t>00063</t>
  </si>
  <si>
    <t>(Plusieurs éléments)</t>
  </si>
  <si>
    <t>Mois (DateActivite)</t>
  </si>
  <si>
    <t>Jours (DateActivite)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</si>
  <si>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</si>
  <si>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</si>
  <si>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</si>
  <si>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</si>
  <si>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</si>
  <si>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</si>
  <si>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</si>
  <si>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</si>
  <si>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</si>
  <si>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</si>
  <si>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</si>
  <si>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</si>
  <si>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03-févr</t>
  </si>
  <si>
    <t>04-févr</t>
  </si>
  <si>
    <t>05-févr</t>
  </si>
  <si>
    <t>06-févr</t>
  </si>
  <si>
    <t>07-févr</t>
  </si>
  <si>
    <t>10-févr</t>
  </si>
  <si>
    <t>11-févr</t>
  </si>
  <si>
    <t>12-févr</t>
  </si>
  <si>
    <t>13-févr</t>
  </si>
  <si>
    <t>14-févr</t>
  </si>
  <si>
    <t>17-févr</t>
  </si>
  <si>
    <t>18-févr</t>
  </si>
  <si>
    <t>19-févr</t>
  </si>
  <si>
    <t>20-févr</t>
  </si>
  <si>
    <t>21-févr</t>
  </si>
  <si>
    <t>24-févr</t>
  </si>
  <si>
    <t>25-févr</t>
  </si>
  <si>
    <t>26-févr</t>
  </si>
  <si>
    <t>27-févr</t>
  </si>
  <si>
    <t>28-févr</t>
  </si>
  <si>
    <t>FF AV FEV</t>
  </si>
  <si>
    <t>FF AP FEV</t>
  </si>
  <si>
    <t>PROMINENT - Pompe Addition KL</t>
  </si>
  <si>
    <t>DENIOS - DÉTECTEUR HCN POUR KEENB</t>
  </si>
  <si>
    <t>Étiquettes de lignes</t>
  </si>
  <si>
    <t>Somme de Solde Tenue de Compte</t>
  </si>
  <si>
    <t>AR</t>
  </si>
  <si>
    <t>CIFRE</t>
  </si>
  <si>
    <t>?</t>
  </si>
  <si>
    <t>RELIQUAT 2026</t>
  </si>
  <si>
    <t>Activation</t>
  </si>
  <si>
    <t>Etudes R&amp;D</t>
  </si>
  <si>
    <t>10 rue Jacquard 69680 Chassieu</t>
  </si>
  <si>
    <t>25/03/123/142</t>
  </si>
  <si>
    <t>25/03/124/143</t>
  </si>
  <si>
    <t>25/11/070/581</t>
  </si>
  <si>
    <t>292 rue Saint-Martin 75141 PARIS</t>
  </si>
  <si>
    <t>Contrat de presatation de recherche</t>
  </si>
  <si>
    <t>PRESTATION PILI CIFRE N° 2021/1540</t>
  </si>
  <si>
    <t>Contrat de collaboration de recherche</t>
  </si>
  <si>
    <t>EVAE</t>
  </si>
  <si>
    <t>Accompagnement et support métier</t>
  </si>
  <si>
    <t>11 rue Arthur III 44200 Nantes</t>
  </si>
  <si>
    <t>FT25-4209</t>
  </si>
  <si>
    <t>147 rue de l'université Paris 75338</t>
  </si>
  <si>
    <t>Avenant 11 au contrat de recherche TWB signé le 30/01/2018</t>
  </si>
  <si>
    <t>Avenant 11 - Recherche TWB</t>
  </si>
  <si>
    <t>INSA ROUEN</t>
  </si>
  <si>
    <t>Journée RC1</t>
  </si>
  <si>
    <t>685 Avenue de l'université Saint etienne du rouvray</t>
  </si>
  <si>
    <t>FAR 2025 000189</t>
  </si>
  <si>
    <t>FAR 2025 000562</t>
  </si>
  <si>
    <t>FAR 2025 000748</t>
  </si>
  <si>
    <t>FAR 2025 000749</t>
  </si>
  <si>
    <t>Analyses RMN</t>
  </si>
  <si>
    <t>10 Rue Vauquelin Paris</t>
  </si>
  <si>
    <t>F1125486</t>
  </si>
  <si>
    <t>3, Rue de la Bergerie, 30100 ALES</t>
  </si>
  <si>
    <t>SDTECH</t>
  </si>
  <si>
    <t>Forfait Essais Mélange de 185 kg de lots d'indigo broyés</t>
  </si>
  <si>
    <t>TAROS</t>
  </si>
  <si>
    <t>2-cyano-benzoic acid</t>
  </si>
  <si>
    <t>Emil-Figge-Str. 76 a 44227 Dortmund Germany</t>
  </si>
  <si>
    <t>RE250012</t>
  </si>
  <si>
    <t>Project Service WP 2 1rst</t>
  </si>
  <si>
    <t>INV/2025/00046</t>
  </si>
  <si>
    <t>Project Service WP 2 2nd</t>
  </si>
  <si>
    <t>INV/2025/00106</t>
  </si>
  <si>
    <t>INV/2025/00193</t>
  </si>
  <si>
    <t>Project Service Second Installment after completion of the project</t>
  </si>
  <si>
    <t>INV/2025/00261</t>
  </si>
  <si>
    <t>TRAVAUX RMN</t>
  </si>
  <si>
    <t>UNIVERSITE DE TOULOUSE</t>
  </si>
  <si>
    <t>118 Route de Narbonne CEDEX 9 31062 TOULOUSE</t>
  </si>
  <si>
    <t>DateActivite</t>
  </si>
  <si>
    <t>HTRAV</t>
  </si>
  <si>
    <t>Conseil CPP</t>
  </si>
  <si>
    <t>Contribution à la résolution des problèmes rencontrés pour la synthèse des cibles KEENB et KEENY et pour la synthèse de l'acide salicylique</t>
  </si>
  <si>
    <t>11 rue de la Rochette 38090 Vaulx-Milieu FRANCE</t>
  </si>
  <si>
    <t>FAC0253</t>
  </si>
  <si>
    <t>Contrat de prestations R&amp;D</t>
  </si>
  <si>
    <t>FAC0261</t>
  </si>
  <si>
    <t>Contrat de service en consultance</t>
  </si>
  <si>
    <t>FAC0283</t>
  </si>
  <si>
    <t>BIOECONOMY FOR CHANGE</t>
  </si>
  <si>
    <t>Cotisation 2025</t>
  </si>
  <si>
    <t>F2025/281</t>
  </si>
  <si>
    <t>AXELERA</t>
  </si>
  <si>
    <t>F2025003322</t>
  </si>
  <si>
    <t>Becker</t>
  </si>
  <si>
    <t>24 306188.4</t>
  </si>
  <si>
    <t>Réception, vérification et communication du rapport de recherche européenne et de l’opinion écrite concernant la demande de brevet citée ci-dessus avec nos commentaires</t>
  </si>
  <si>
    <t>B4300EP00</t>
  </si>
  <si>
    <t>Salarié doctorant</t>
  </si>
  <si>
    <t>GHLAMI</t>
  </si>
  <si>
    <t>CP</t>
  </si>
  <si>
    <t>TEMP-108</t>
  </si>
  <si>
    <t>TEMP-109</t>
  </si>
  <si>
    <t>Experte Bioprocédés</t>
  </si>
  <si>
    <t>Ingénieur de Recherche</t>
  </si>
  <si>
    <t>Responsable Chimie Analytique</t>
  </si>
  <si>
    <t>Responsable Industrialisation</t>
  </si>
  <si>
    <t>Lead Scientist</t>
  </si>
  <si>
    <t>Assistant ingénieur</t>
  </si>
  <si>
    <t>Responsable de site</t>
  </si>
  <si>
    <t>Assistante Ingénieur</t>
  </si>
  <si>
    <t>Directrice R&amp;D</t>
  </si>
  <si>
    <t>Responsable Développement</t>
  </si>
  <si>
    <t>Technicienne Chimie Procédés - Chimie Industrielle</t>
  </si>
  <si>
    <t>ERDA</t>
  </si>
  <si>
    <t>SBCE</t>
  </si>
  <si>
    <t>Dépense éli</t>
  </si>
  <si>
    <t>PHOENIX EC2</t>
  </si>
  <si>
    <t>PHOENIX EC1</t>
  </si>
  <si>
    <t>BREVET</t>
  </si>
  <si>
    <t>Nom Subvention</t>
  </si>
  <si>
    <t>Ratio N-1</t>
  </si>
  <si>
    <t>Ratio N</t>
  </si>
  <si>
    <t>Différence</t>
  </si>
  <si>
    <t>Commentaire</t>
  </si>
  <si>
    <t>Parti</t>
  </si>
  <si>
    <t>Nouveau</t>
  </si>
  <si>
    <t xml:space="preserve">ADEME </t>
  </si>
  <si>
    <t>EC WOODVALOR</t>
  </si>
  <si>
    <t>INOV</t>
  </si>
  <si>
    <t>à hauteur des dépenses engagées</t>
  </si>
  <si>
    <t>ERDA 1 et 2</t>
  </si>
  <si>
    <t>Traitement</t>
  </si>
  <si>
    <t>Nom subvention</t>
  </si>
  <si>
    <t>CO</t>
  </si>
  <si>
    <t>RI</t>
  </si>
  <si>
    <t>DE</t>
  </si>
  <si>
    <t>Nombre</t>
  </si>
  <si>
    <t>Cout d'acquisition</t>
  </si>
  <si>
    <t>Montant de la dotation</t>
  </si>
  <si>
    <t>Montant retenu</t>
  </si>
  <si>
    <t>GB</t>
  </si>
  <si>
    <t>PR</t>
  </si>
  <si>
    <t>AP</t>
  </si>
  <si>
    <t>mad</t>
  </si>
  <si>
    <t>LB</t>
  </si>
  <si>
    <t xml:space="preserve">ERDA </t>
  </si>
  <si>
    <t>16b</t>
  </si>
  <si>
    <t>16a</t>
  </si>
  <si>
    <t>82a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</si>
</sst>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\ &quot;€&quot;"/>
    <numFmt numFmtId="166" formatCode="0.0%"/>
    <numFmt numFmtId="167" formatCode="_-* #,##0.00\ _€_-;\-* #,##0.00\ _€_-;_-* &quot;-&quot;??\ _€_-;_-@_-"/>
    <numFmt numFmtId="168" formatCode="0_ ;\-0\ "/>
    <numFmt numFmtId="169" formatCode="_-* #,##0\ _€_-;\-* #,##0\ _€_-;_-* &quot;-&quot;??\ _€_-;_-@_-"/>
    <numFmt numFmtId="170" formatCode="[$-40C]d\-mmm;@"/>
    <numFmt numFmtId="171" formatCode="_-* #,##0.0\ _€_-;\-* #,##0.0\ _€_-;_-* &quot;-&quot;??\ _€_-;_-@_-"/>
    <numFmt numFmtId="172" formatCode="0.000000000"/>
    <numFmt numFmtId="173" formatCode="_-* #,##0\ &quot;€&quot;_-;\-* #,##0\ &quot;€&quot;_-;_-* &quot;-&quot;??\ &quot;€&quot;_-;_-@_-"/>
    <numFmt numFmtId="174" formatCode="#,##0.00\ \€"/>
    <numFmt numFmtId="175" formatCode="#,##0\ \€"/>
    <numFmt numFmtId="176" formatCode="_-* #,##0.000000_-;\-* #,##0.000000_-;_-* &quot;-&quot;??_-;_-@_-"/>
    <numFmt numFmtId="177" formatCode="_-* #,##0.0_-;\-* #,##0.0_-;_-* &quot;-&quot;??_-;_-@_-"/>
  </numFmts>
  <fonts count="67" x14ac:knownFonts="1">
    <font>
      <sz val="11"/>
      <color theme="1"/>
      <name val="Aptos Narrow"/>
      <family val="2"/>
      <scheme val="minor"/>
    </font>
    <font>
      <b/>
      <sz val="12"/>
      <color theme="0"/>
      <name val="Open sans"/>
      <family val="2"/>
    </font>
    <font>
      <sz val="11"/>
      <color theme="1"/>
      <name val="Open sans"/>
      <family val="2"/>
    </font>
    <font>
      <sz val="11"/>
      <color theme="1"/>
      <name val="Aptos Narrow"/>
      <family val="2"/>
      <scheme val="minor"/>
    </font>
    <font>
      <sz val="10"/>
      <color theme="1"/>
      <name val="Open sans"/>
      <family val="2"/>
    </font>
    <font>
      <b/>
      <sz val="10"/>
      <color theme="0"/>
      <name val="Open sans"/>
      <family val="2"/>
    </font>
    <font>
      <b/>
      <sz val="16"/>
      <color theme="0"/>
      <name val="Open sans"/>
      <family val="2"/>
    </font>
    <font>
      <sz val="11"/>
      <color theme="0"/>
      <name val="Open sans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rgb="FF023C08"/>
      <name val="Arial"/>
      <family val="2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0"/>
      <color theme="2"/>
      <name val="Open sans"/>
      <family val="2"/>
    </font>
    <font>
      <b/>
      <sz val="11"/>
      <color theme="0"/>
      <name val="Open sans"/>
      <family val="2"/>
    </font>
    <font>
      <b/>
      <sz val="14"/>
      <color theme="0"/>
      <name val="Aptos Narrow"/>
      <family val="2"/>
      <scheme val="minor"/>
    </font>
    <font>
      <sz val="12"/>
      <color theme="1"/>
      <name val="Open sans"/>
      <family val="2"/>
    </font>
    <font>
      <b/>
      <sz val="12"/>
      <color theme="0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name val="Open sans"/>
      <family val="2"/>
    </font>
    <font>
      <b/>
      <sz val="10"/>
      <color rgb="FFFFFFFF"/>
      <name val="Open Sans"/>
      <family val="2"/>
    </font>
    <font>
      <sz val="11"/>
      <color rgb="FFFF0000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u/>
      <sz val="14"/>
      <color rgb="FF1328BD"/>
      <name val="Open Sans"/>
      <family val="2"/>
    </font>
    <font>
      <sz val="12"/>
      <color theme="1"/>
      <name val="Aptos Narrow"/>
      <family val="2"/>
      <scheme val="minor"/>
    </font>
    <font>
      <b/>
      <sz val="11"/>
      <color theme="1"/>
      <name val="Open Sans"/>
      <family val="2"/>
    </font>
    <font>
      <sz val="11"/>
      <color rgb="FFC00000"/>
      <name val="Open Sans"/>
      <family val="2"/>
    </font>
    <font>
      <sz val="9"/>
      <color theme="1"/>
      <name val="Aptos Display"/>
      <family val="2"/>
      <scheme val="major"/>
    </font>
    <font>
      <b/>
      <sz val="9"/>
      <color theme="0"/>
      <name val="Aptos Display"/>
      <family val="2"/>
      <scheme val="major"/>
    </font>
    <font>
      <b/>
      <sz val="9"/>
      <color rgb="FF00000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9"/>
      <color theme="1"/>
      <name val="Open Sans"/>
      <family val="2"/>
    </font>
    <font>
      <sz val="9"/>
      <color theme="1"/>
      <name val="Open Sans"/>
      <family val="2"/>
    </font>
    <font>
      <sz val="9"/>
      <color theme="1"/>
      <name val="Calibri"/>
      <family val="2"/>
    </font>
    <font>
      <sz val="7"/>
      <color theme="1"/>
      <name val="Times New Roman"/>
      <family val="1"/>
    </font>
    <font>
      <i/>
      <sz val="9"/>
      <color theme="1"/>
      <name val="Calibri"/>
      <family val="2"/>
    </font>
    <font>
      <i/>
      <sz val="9"/>
      <color theme="1"/>
      <name val="Open Sans"/>
      <family val="2"/>
    </font>
    <font>
      <b/>
      <sz val="9"/>
      <color theme="0"/>
      <name val="Open Sans"/>
      <family val="2"/>
    </font>
    <font>
      <b/>
      <sz val="11"/>
      <color rgb="FFFF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name val="Open Sans"/>
      <family val="2"/>
    </font>
    <font>
      <b/>
      <sz val="9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4"/>
      <color theme="0"/>
      <name val="Open Sans"/>
      <family val="2"/>
    </font>
    <font>
      <b/>
      <u/>
      <sz val="12"/>
      <color theme="0"/>
      <name val="Open Sans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color theme="1"/>
      <name val="Open sans"/>
      <family val="2"/>
    </font>
    <font>
      <b/>
      <sz val="10"/>
      <color theme="0"/>
      <name val="Open sans"/>
    </font>
  </fonts>
  <fills count="36">
    <fill>
      <patternFill patternType="none"/>
    </fill>
    <fill>
      <patternFill patternType="gray125"/>
    </fill>
    <fill>
      <patternFill patternType="solid">
        <fgColor rgb="FF2D44E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53D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BDC4F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hair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/>
      <top/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/>
      <top/>
      <bottom style="hair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/>
      <right style="dashed">
        <color theme="2" tint="-0.24994659260841701"/>
      </right>
      <top/>
      <bottom/>
      <diagonal/>
    </border>
    <border>
      <left/>
      <right style="dash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/>
      <right style="medium">
        <color theme="2" tint="-0.24994659260841701"/>
      </right>
      <top/>
      <bottom/>
      <diagonal/>
    </border>
    <border>
      <left/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/>
      <right style="medium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dash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dashed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thin">
        <color theme="0" tint="-0.24994659260841701"/>
      </right>
      <top style="hair">
        <color theme="2" tint="-0.24994659260841701"/>
      </top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 style="medium">
        <color theme="2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53DA"/>
      </left>
      <right style="thin">
        <color rgb="FF0053DA"/>
      </right>
      <top style="thin">
        <color rgb="FF0053DA"/>
      </top>
      <bottom style="thin">
        <color rgb="FF0053DA"/>
      </bottom>
      <diagonal/>
    </border>
    <border>
      <left style="medium">
        <color rgb="FF2D44EA"/>
      </left>
      <right/>
      <top style="medium">
        <color rgb="FF2D44EA"/>
      </top>
      <bottom style="medium">
        <color rgb="FF2D44EA"/>
      </bottom>
      <diagonal/>
    </border>
    <border>
      <left/>
      <right/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 style="medium">
        <color rgb="FF2D44EA"/>
      </left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/>
      <bottom/>
      <diagonal/>
    </border>
    <border>
      <left style="medium">
        <color rgb="FF2D44EA"/>
      </left>
      <right style="medium">
        <color rgb="FF2D44EA"/>
      </right>
      <top/>
      <bottom style="medium">
        <color rgb="FF2D44EA"/>
      </bottom>
      <diagonal/>
    </border>
    <border>
      <left/>
      <right style="medium">
        <color rgb="FF2D44EA"/>
      </right>
      <top/>
      <bottom style="medium">
        <color rgb="FF2D44E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hair">
        <color theme="1"/>
      </left>
      <right/>
      <top/>
      <bottom/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14" fillId="0" borderId="0"/>
    <xf numFmtId="16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/>
  </cellStyleXfs>
  <cellXfs count="610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5" fillId="2" borderId="9" xfId="0" applyFont="1" applyFill="1" applyBorder="1"/>
    <xf numFmtId="0" fontId="4" fillId="0" borderId="6" xfId="0" applyFont="1" applyBorder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164" fontId="4" fillId="0" borderId="4" xfId="1" applyNumberFormat="1" applyFont="1" applyBorder="1"/>
    <xf numFmtId="0" fontId="4" fillId="0" borderId="4" xfId="0" applyFont="1" applyBorder="1"/>
    <xf numFmtId="164" fontId="5" fillId="2" borderId="10" xfId="1" applyNumberFormat="1" applyFont="1" applyFill="1" applyBorder="1"/>
    <xf numFmtId="164" fontId="5" fillId="2" borderId="9" xfId="1" applyNumberFormat="1" applyFont="1" applyFill="1" applyBorder="1"/>
    <xf numFmtId="9" fontId="4" fillId="0" borderId="7" xfId="0" applyNumberFormat="1" applyFont="1" applyBorder="1" applyAlignment="1">
      <alignment horizontal="center"/>
    </xf>
    <xf numFmtId="0" fontId="4" fillId="0" borderId="11" xfId="0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43" fontId="5" fillId="2" borderId="2" xfId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5" fontId="5" fillId="0" borderId="0" xfId="1" applyNumberFormat="1" applyFont="1" applyFill="1" applyBorder="1"/>
    <xf numFmtId="43" fontId="6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164" fontId="4" fillId="0" borderId="4" xfId="1" applyNumberFormat="1" applyFont="1" applyFill="1" applyBorder="1"/>
    <xf numFmtId="0" fontId="4" fillId="0" borderId="23" xfId="0" applyFont="1" applyBorder="1"/>
    <xf numFmtId="9" fontId="4" fillId="0" borderId="24" xfId="0" applyNumberFormat="1" applyFont="1" applyBorder="1" applyAlignment="1">
      <alignment horizontal="center"/>
    </xf>
    <xf numFmtId="0" fontId="4" fillId="0" borderId="25" xfId="0" applyFont="1" applyBorder="1"/>
    <xf numFmtId="9" fontId="4" fillId="0" borderId="28" xfId="0" applyNumberFormat="1" applyFont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9" fontId="4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64" fontId="4" fillId="3" borderId="4" xfId="1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9" fillId="5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" vertical="center" wrapText="1"/>
      <protection locked="0"/>
    </xf>
    <xf numFmtId="164" fontId="4" fillId="0" borderId="19" xfId="1" applyNumberFormat="1" applyFont="1" applyBorder="1"/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7" xfId="0" applyFont="1" applyFill="1" applyBorder="1" applyAlignment="1" applyProtection="1">
      <alignment horizontal="right" vertical="center" indent="1"/>
      <protection locked="0"/>
    </xf>
    <xf numFmtId="164" fontId="5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164" fontId="5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0" fontId="5" fillId="3" borderId="31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164" fontId="4" fillId="0" borderId="35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9" fontId="0" fillId="0" borderId="0" xfId="2" applyFont="1"/>
    <xf numFmtId="9" fontId="5" fillId="2" borderId="34" xfId="2" applyFont="1" applyFill="1" applyBorder="1" applyAlignment="1" applyProtection="1">
      <alignment horizontal="center" vertical="center" wrapText="1"/>
      <protection locked="0"/>
    </xf>
    <xf numFmtId="43" fontId="0" fillId="0" borderId="0" xfId="1" applyFont="1"/>
    <xf numFmtId="164" fontId="0" fillId="0" borderId="0" xfId="1" applyNumberFormat="1" applyFont="1"/>
    <xf numFmtId="164" fontId="5" fillId="2" borderId="34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36" xfId="0" applyNumberFormat="1" applyFont="1" applyFill="1" applyBorder="1" applyAlignment="1" applyProtection="1">
      <alignment horizontal="center" vertical="center" wrapText="1"/>
      <protection locked="0"/>
    </xf>
    <xf numFmtId="164" fontId="0" fillId="6" borderId="38" xfId="0" applyNumberFormat="1" applyFill="1" applyBorder="1" applyProtection="1">
      <protection locked="0"/>
    </xf>
    <xf numFmtId="0" fontId="5" fillId="2" borderId="39" xfId="0" applyFont="1" applyFill="1" applyBorder="1" applyAlignment="1" applyProtection="1">
      <alignment horizontal="center" vertical="center" wrapText="1"/>
      <protection locked="0"/>
    </xf>
    <xf numFmtId="164" fontId="0" fillId="6" borderId="19" xfId="0" applyNumberFormat="1" applyFill="1" applyBorder="1" applyProtection="1"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3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0" borderId="0" xfId="1" applyFont="1" applyProtection="1">
      <protection locked="0"/>
    </xf>
    <xf numFmtId="43" fontId="4" fillId="0" borderId="1" xfId="1" applyFont="1" applyBorder="1" applyProtection="1">
      <protection locked="0"/>
    </xf>
    <xf numFmtId="43" fontId="4" fillId="0" borderId="0" xfId="1" applyFont="1" applyProtection="1">
      <protection locked="0"/>
    </xf>
    <xf numFmtId="9" fontId="0" fillId="0" borderId="0" xfId="2" applyFont="1" applyProtection="1">
      <protection locked="0"/>
    </xf>
    <xf numFmtId="9" fontId="4" fillId="0" borderId="0" xfId="2" applyFont="1" applyProtection="1">
      <protection locked="0"/>
    </xf>
    <xf numFmtId="43" fontId="4" fillId="4" borderId="1" xfId="1" applyFont="1" applyFill="1" applyBorder="1" applyProtection="1">
      <protection locked="0"/>
    </xf>
    <xf numFmtId="43" fontId="5" fillId="2" borderId="21" xfId="1" applyFont="1" applyFill="1" applyBorder="1" applyAlignment="1" applyProtection="1">
      <alignment horizontal="center" vertical="center" wrapText="1"/>
      <protection locked="0"/>
    </xf>
    <xf numFmtId="166" fontId="4" fillId="0" borderId="4" xfId="2" applyNumberFormat="1" applyFont="1" applyBorder="1"/>
    <xf numFmtId="166" fontId="0" fillId="6" borderId="37" xfId="2" applyNumberFormat="1" applyFont="1" applyFill="1" applyBorder="1" applyProtection="1">
      <protection locked="0"/>
    </xf>
    <xf numFmtId="14" fontId="4" fillId="0" borderId="4" xfId="1" applyNumberFormat="1" applyFont="1" applyBorder="1"/>
    <xf numFmtId="0" fontId="5" fillId="2" borderId="32" xfId="0" applyFont="1" applyFill="1" applyBorder="1" applyAlignment="1" applyProtection="1">
      <alignment horizontal="right" vertical="center" indent="1"/>
      <protection locked="0"/>
    </xf>
    <xf numFmtId="0" fontId="11" fillId="0" borderId="40" xfId="0" applyFont="1" applyBorder="1" applyAlignment="1" applyProtection="1">
      <alignment vertical="center"/>
      <protection locked="0"/>
    </xf>
    <xf numFmtId="43" fontId="5" fillId="2" borderId="26" xfId="1" applyFont="1" applyFill="1" applyBorder="1" applyAlignment="1" applyProtection="1">
      <alignment horizontal="center" vertical="center" wrapText="1"/>
      <protection locked="0"/>
    </xf>
    <xf numFmtId="0" fontId="0" fillId="7" borderId="0" xfId="0" applyFill="1"/>
    <xf numFmtId="0" fontId="0" fillId="8" borderId="0" xfId="0" applyFill="1"/>
    <xf numFmtId="0" fontId="14" fillId="0" borderId="0" xfId="4" applyAlignment="1">
      <alignment vertical="center"/>
    </xf>
    <xf numFmtId="14" fontId="14" fillId="0" borderId="0" xfId="4" applyNumberFormat="1" applyAlignment="1">
      <alignment vertical="center"/>
    </xf>
    <xf numFmtId="0" fontId="11" fillId="0" borderId="41" xfId="0" applyFont="1" applyBorder="1" applyAlignment="1" applyProtection="1">
      <alignment horizontal="center" vertical="center"/>
      <protection locked="0"/>
    </xf>
    <xf numFmtId="3" fontId="11" fillId="0" borderId="41" xfId="0" applyNumberFormat="1" applyFont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 wrapText="1"/>
      <protection locked="0"/>
    </xf>
    <xf numFmtId="168" fontId="16" fillId="0" borderId="41" xfId="5" applyNumberFormat="1" applyFont="1" applyFill="1" applyBorder="1" applyAlignment="1" applyProtection="1">
      <alignment horizontal="center" vertical="center"/>
      <protection locked="0"/>
    </xf>
    <xf numFmtId="14" fontId="16" fillId="0" borderId="41" xfId="5" applyNumberFormat="1" applyFont="1" applyFill="1" applyBorder="1" applyAlignment="1" applyProtection="1">
      <alignment horizontal="center" vertical="center"/>
      <protection locked="0"/>
    </xf>
    <xf numFmtId="1" fontId="16" fillId="0" borderId="41" xfId="5" applyNumberFormat="1" applyFont="1" applyFill="1" applyBorder="1" applyAlignment="1" applyProtection="1">
      <alignment horizontal="center" vertical="center"/>
      <protection locked="0"/>
    </xf>
    <xf numFmtId="0" fontId="15" fillId="5" borderId="0" xfId="3" applyFont="1" applyFill="1" applyBorder="1" applyAlignment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  <protection locked="0"/>
    </xf>
    <xf numFmtId="0" fontId="14" fillId="5" borderId="0" xfId="4" applyFill="1" applyAlignment="1">
      <alignment vertical="center"/>
    </xf>
    <xf numFmtId="0" fontId="0" fillId="5" borderId="0" xfId="0" applyFill="1"/>
    <xf numFmtId="0" fontId="17" fillId="11" borderId="0" xfId="4" applyFont="1" applyFill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4" fillId="0" borderId="1" xfId="4" applyBorder="1" applyAlignment="1">
      <alignment vertical="center"/>
    </xf>
    <xf numFmtId="0" fontId="14" fillId="0" borderId="1" xfId="4" applyBorder="1" applyAlignment="1">
      <alignment horizontal="right" vertical="center" indent="1"/>
    </xf>
    <xf numFmtId="169" fontId="14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9" fontId="14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169" fontId="18" fillId="0" borderId="1" xfId="5" applyNumberFormat="1" applyFont="1" applyFill="1" applyBorder="1" applyAlignment="1">
      <alignment horizontal="center" vertical="center"/>
    </xf>
    <xf numFmtId="169" fontId="15" fillId="0" borderId="1" xfId="5" applyNumberFormat="1" applyFont="1" applyFill="1" applyBorder="1" applyAlignment="1" applyProtection="1">
      <alignment vertical="center"/>
      <protection locked="0"/>
    </xf>
    <xf numFmtId="0" fontId="18" fillId="0" borderId="0" xfId="4" applyFont="1" applyAlignment="1">
      <alignment horizontal="right" vertical="center"/>
    </xf>
    <xf numFmtId="0" fontId="14" fillId="0" borderId="0" xfId="4" applyAlignment="1">
      <alignment horizontal="right" vertical="center" indent="1"/>
    </xf>
    <xf numFmtId="3" fontId="14" fillId="0" borderId="0" xfId="4" applyNumberFormat="1" applyAlignment="1">
      <alignment vertical="center"/>
    </xf>
    <xf numFmtId="0" fontId="0" fillId="0" borderId="1" xfId="0" applyBorder="1" applyAlignment="1">
      <alignment horizontal="right" vertical="center" wrapText="1" indent="1"/>
    </xf>
    <xf numFmtId="0" fontId="0" fillId="0" borderId="1" xfId="0" applyBorder="1" applyAlignment="1">
      <alignment horizontal="left" wrapText="1"/>
    </xf>
    <xf numFmtId="169" fontId="18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19" fillId="0" borderId="0" xfId="4" applyFont="1" applyAlignment="1">
      <alignment vertical="center"/>
    </xf>
    <xf numFmtId="0" fontId="17" fillId="0" borderId="0" xfId="4" applyFont="1" applyAlignment="1">
      <alignment horizontal="right" vertical="center" indent="1"/>
    </xf>
    <xf numFmtId="169" fontId="17" fillId="0" borderId="0" xfId="5" applyNumberFormat="1" applyFont="1" applyFill="1" applyAlignment="1">
      <alignment vertical="center"/>
    </xf>
    <xf numFmtId="0" fontId="13" fillId="0" borderId="1" xfId="0" applyFont="1" applyBorder="1" applyAlignment="1">
      <alignment vertical="center" wrapText="1"/>
    </xf>
    <xf numFmtId="0" fontId="14" fillId="0" borderId="40" xfId="4" applyBorder="1" applyAlignment="1">
      <alignment horizontal="left" vertical="center"/>
    </xf>
    <xf numFmtId="0" fontId="14" fillId="0" borderId="40" xfId="4" applyBorder="1" applyAlignment="1">
      <alignment horizontal="left" vertical="center" wrapText="1"/>
    </xf>
    <xf numFmtId="0" fontId="17" fillId="0" borderId="40" xfId="4" applyFont="1" applyBorder="1" applyAlignment="1">
      <alignment horizontal="left" vertical="center" wrapText="1"/>
    </xf>
    <xf numFmtId="169" fontId="18" fillId="0" borderId="1" xfId="5" applyNumberFormat="1" applyFont="1" applyBorder="1" applyAlignment="1">
      <alignment vertical="center"/>
    </xf>
    <xf numFmtId="0" fontId="13" fillId="0" borderId="1" xfId="0" applyFont="1" applyBorder="1" applyAlignment="1">
      <alignment wrapText="1"/>
    </xf>
    <xf numFmtId="0" fontId="14" fillId="0" borderId="42" xfId="4" applyBorder="1" applyAlignment="1">
      <alignment vertical="center"/>
    </xf>
    <xf numFmtId="0" fontId="14" fillId="0" borderId="42" xfId="4" applyBorder="1" applyAlignment="1">
      <alignment horizontal="right" vertical="center" indent="1"/>
    </xf>
    <xf numFmtId="0" fontId="17" fillId="11" borderId="1" xfId="4" applyFont="1" applyFill="1" applyBorder="1" applyAlignment="1">
      <alignment vertical="center"/>
    </xf>
    <xf numFmtId="0" fontId="0" fillId="0" borderId="1" xfId="0" applyBorder="1" applyAlignment="1">
      <alignment horizontal="right" wrapText="1" indent="1"/>
    </xf>
    <xf numFmtId="0" fontId="15" fillId="13" borderId="1" xfId="0" applyFont="1" applyFill="1" applyBorder="1" applyAlignment="1" applyProtection="1">
      <alignment horizontal="right" vertical="center" indent="1"/>
      <protection locked="0"/>
    </xf>
    <xf numFmtId="169" fontId="15" fillId="13" borderId="1" xfId="0" applyNumberFormat="1" applyFont="1" applyFill="1" applyBorder="1" applyAlignment="1" applyProtection="1">
      <alignment vertical="center"/>
      <protection locked="0"/>
    </xf>
    <xf numFmtId="0" fontId="15" fillId="10" borderId="44" xfId="0" applyFont="1" applyFill="1" applyBorder="1" applyAlignment="1" applyProtection="1">
      <alignment horizontal="center" vertical="center"/>
      <protection locked="0"/>
    </xf>
    <xf numFmtId="0" fontId="15" fillId="10" borderId="45" xfId="0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/>
    <xf numFmtId="0" fontId="4" fillId="0" borderId="46" xfId="0" applyFont="1" applyBorder="1"/>
    <xf numFmtId="164" fontId="4" fillId="0" borderId="48" xfId="1" applyNumberFormat="1" applyFont="1" applyBorder="1"/>
    <xf numFmtId="9" fontId="4" fillId="0" borderId="50" xfId="0" applyNumberFormat="1" applyFont="1" applyBorder="1"/>
    <xf numFmtId="9" fontId="4" fillId="0" borderId="51" xfId="0" applyNumberFormat="1" applyFont="1" applyBorder="1"/>
    <xf numFmtId="0" fontId="1" fillId="2" borderId="9" xfId="0" applyFont="1" applyFill="1" applyBorder="1"/>
    <xf numFmtId="0" fontId="0" fillId="12" borderId="0" xfId="0" applyFill="1"/>
    <xf numFmtId="0" fontId="21" fillId="0" borderId="0" xfId="0" applyFont="1"/>
    <xf numFmtId="0" fontId="5" fillId="2" borderId="1" xfId="0" applyFont="1" applyFill="1" applyBorder="1"/>
    <xf numFmtId="0" fontId="4" fillId="0" borderId="1" xfId="0" applyFont="1" applyBorder="1"/>
    <xf numFmtId="164" fontId="4" fillId="0" borderId="1" xfId="1" applyNumberFormat="1" applyFont="1" applyBorder="1"/>
    <xf numFmtId="164" fontId="5" fillId="2" borderId="10" xfId="1" applyNumberFormat="1" applyFont="1" applyFill="1" applyBorder="1" applyAlignment="1">
      <alignment horizontal="center"/>
    </xf>
    <xf numFmtId="0" fontId="15" fillId="5" borderId="1" xfId="0" applyFont="1" applyFill="1" applyBorder="1" applyAlignment="1" applyProtection="1">
      <alignment horizontal="right" vertical="center" indent="1"/>
      <protection locked="0"/>
    </xf>
    <xf numFmtId="169" fontId="15" fillId="5" borderId="1" xfId="5" applyNumberFormat="1" applyFont="1" applyFill="1" applyBorder="1" applyAlignment="1" applyProtection="1">
      <alignment vertical="center"/>
      <protection locked="0"/>
    </xf>
    <xf numFmtId="0" fontId="14" fillId="5" borderId="1" xfId="4" applyFill="1" applyBorder="1" applyAlignment="1">
      <alignment horizontal="right" vertical="center" indent="1"/>
    </xf>
    <xf numFmtId="169" fontId="14" fillId="5" borderId="1" xfId="5" applyNumberFormat="1" applyFont="1" applyFill="1" applyBorder="1" applyAlignment="1">
      <alignment vertical="center"/>
    </xf>
    <xf numFmtId="0" fontId="17" fillId="5" borderId="1" xfId="4" applyFont="1" applyFill="1" applyBorder="1" applyAlignment="1">
      <alignment horizontal="right" vertical="center" indent="1"/>
    </xf>
    <xf numFmtId="169" fontId="17" fillId="5" borderId="1" xfId="5" applyNumberFormat="1" applyFont="1" applyFill="1" applyBorder="1" applyAlignment="1">
      <alignment vertical="center"/>
    </xf>
    <xf numFmtId="0" fontId="14" fillId="5" borderId="41" xfId="4" applyFill="1" applyBorder="1" applyAlignment="1">
      <alignment horizontal="right" vertical="center" indent="1"/>
    </xf>
    <xf numFmtId="169" fontId="18" fillId="5" borderId="41" xfId="5" applyNumberFormat="1" applyFont="1" applyFill="1" applyBorder="1" applyAlignment="1">
      <alignment vertical="center"/>
    </xf>
    <xf numFmtId="0" fontId="14" fillId="5" borderId="0" xfId="4" applyFill="1" applyAlignment="1">
      <alignment horizontal="right" vertical="center" indent="1"/>
    </xf>
    <xf numFmtId="169" fontId="18" fillId="5" borderId="1" xfId="5" applyNumberFormat="1" applyFont="1" applyFill="1" applyBorder="1" applyAlignment="1">
      <alignment vertical="center"/>
    </xf>
    <xf numFmtId="0" fontId="14" fillId="5" borderId="1" xfId="4" applyFill="1" applyBorder="1" applyAlignment="1">
      <alignment vertical="center"/>
    </xf>
    <xf numFmtId="9" fontId="4" fillId="3" borderId="4" xfId="2" applyFont="1" applyFill="1" applyBorder="1"/>
    <xf numFmtId="43" fontId="0" fillId="0" borderId="0" xfId="0" applyNumberFormat="1"/>
    <xf numFmtId="0" fontId="0" fillId="5" borderId="0" xfId="0" applyFill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 vertical="center" wrapText="1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16" fillId="0" borderId="0" xfId="3" applyFont="1" applyFill="1" applyBorder="1" applyAlignment="1" applyProtection="1">
      <alignment horizontal="center" vertical="center" wrapText="1"/>
      <protection locked="0"/>
    </xf>
    <xf numFmtId="168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5" fillId="5" borderId="21" xfId="0" applyFont="1" applyFill="1" applyBorder="1" applyAlignment="1" applyProtection="1">
      <alignment horizontal="center" vertical="center" wrapText="1"/>
      <protection locked="0"/>
    </xf>
    <xf numFmtId="164" fontId="5" fillId="2" borderId="26" xfId="1" applyNumberFormat="1" applyFont="1" applyFill="1" applyBorder="1" applyAlignment="1">
      <alignment horizontal="center"/>
    </xf>
    <xf numFmtId="164" fontId="5" fillId="2" borderId="36" xfId="1" applyNumberFormat="1" applyFont="1" applyFill="1" applyBorder="1" applyAlignment="1">
      <alignment horizontal="center"/>
    </xf>
    <xf numFmtId="164" fontId="5" fillId="2" borderId="33" xfId="1" applyNumberFormat="1" applyFont="1" applyFill="1" applyBorder="1" applyAlignment="1">
      <alignment horizontal="center"/>
    </xf>
    <xf numFmtId="164" fontId="4" fillId="0" borderId="12" xfId="1" applyNumberFormat="1" applyFont="1" applyBorder="1"/>
    <xf numFmtId="164" fontId="4" fillId="0" borderId="13" xfId="1" applyNumberFormat="1" applyFont="1" applyBorder="1"/>
    <xf numFmtId="164" fontId="4" fillId="0" borderId="15" xfId="1" applyNumberFormat="1" applyFont="1" applyBorder="1"/>
    <xf numFmtId="164" fontId="4" fillId="0" borderId="17" xfId="1" applyNumberFormat="1" applyFont="1" applyBorder="1"/>
    <xf numFmtId="164" fontId="4" fillId="0" borderId="47" xfId="1" applyNumberFormat="1" applyFont="1" applyBorder="1"/>
    <xf numFmtId="164" fontId="4" fillId="0" borderId="49" xfId="1" applyNumberFormat="1" applyFont="1" applyBorder="1"/>
    <xf numFmtId="164" fontId="4" fillId="0" borderId="20" xfId="1" applyNumberFormat="1" applyFont="1" applyBorder="1"/>
    <xf numFmtId="164" fontId="4" fillId="0" borderId="0" xfId="1" applyNumberFormat="1" applyFont="1"/>
    <xf numFmtId="0" fontId="9" fillId="2" borderId="0" xfId="0" applyFont="1" applyFill="1"/>
    <xf numFmtId="164" fontId="9" fillId="2" borderId="0" xfId="0" applyNumberFormat="1" applyFont="1" applyFill="1"/>
    <xf numFmtId="0" fontId="22" fillId="0" borderId="0" xfId="0" applyFont="1"/>
    <xf numFmtId="0" fontId="0" fillId="4" borderId="0" xfId="0" applyFill="1"/>
    <xf numFmtId="0" fontId="15" fillId="10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23" fillId="15" borderId="1" xfId="3" applyFont="1" applyFill="1" applyBorder="1" applyAlignment="1" applyProtection="1">
      <alignment horizontal="center" vertical="center" wrapText="1"/>
      <protection locked="0"/>
    </xf>
    <xf numFmtId="0" fontId="15" fillId="10" borderId="55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/>
    <xf numFmtId="170" fontId="11" fillId="0" borderId="0" xfId="0" applyNumberFormat="1" applyFont="1" applyAlignment="1">
      <alignment horizontal="right"/>
    </xf>
    <xf numFmtId="172" fontId="11" fillId="0" borderId="0" xfId="0" applyNumberFormat="1" applyFont="1"/>
    <xf numFmtId="167" fontId="11" fillId="0" borderId="0" xfId="5" applyFont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0" borderId="0" xfId="0" applyFont="1"/>
    <xf numFmtId="0" fontId="5" fillId="2" borderId="0" xfId="0" applyFont="1" applyFill="1" applyAlignment="1">
      <alignment horizontal="centerContinuous"/>
    </xf>
    <xf numFmtId="164" fontId="4" fillId="0" borderId="7" xfId="1" applyNumberFormat="1" applyFont="1" applyBorder="1"/>
    <xf numFmtId="0" fontId="25" fillId="0" borderId="0" xfId="0" applyFont="1"/>
    <xf numFmtId="0" fontId="7" fillId="2" borderId="1" xfId="0" applyFont="1" applyFill="1" applyBorder="1" applyAlignment="1">
      <alignment horizontal="center" vertical="center" wrapText="1"/>
    </xf>
    <xf numFmtId="0" fontId="26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Continuous" vertical="center" wrapText="1"/>
      <protection locked="0"/>
    </xf>
    <xf numFmtId="0" fontId="5" fillId="2" borderId="27" xfId="0" applyFont="1" applyFill="1" applyBorder="1" applyAlignment="1" applyProtection="1">
      <alignment horizontal="centerContinuous" vertical="center"/>
      <protection locked="0"/>
    </xf>
    <xf numFmtId="164" fontId="4" fillId="0" borderId="3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8" xfId="1" applyNumberFormat="1" applyFont="1" applyBorder="1"/>
    <xf numFmtId="164" fontId="5" fillId="2" borderId="10" xfId="1" applyNumberFormat="1" applyFont="1" applyFill="1" applyBorder="1" applyAlignment="1">
      <alignment horizontal="centerContinuous"/>
    </xf>
    <xf numFmtId="164" fontId="5" fillId="2" borderId="62" xfId="1" applyNumberFormat="1" applyFont="1" applyFill="1" applyBorder="1" applyAlignment="1">
      <alignment horizontal="centerContinuous"/>
    </xf>
    <xf numFmtId="164" fontId="5" fillId="2" borderId="26" xfId="1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0" fontId="0" fillId="4" borderId="0" xfId="0" applyFill="1" applyAlignment="1">
      <alignment horizontal="centerContinuous"/>
    </xf>
    <xf numFmtId="0" fontId="5" fillId="2" borderId="26" xfId="0" applyFont="1" applyFill="1" applyBorder="1" applyAlignment="1" applyProtection="1">
      <alignment horizontal="right" vertical="center"/>
      <protection locked="0"/>
    </xf>
    <xf numFmtId="164" fontId="4" fillId="17" borderId="4" xfId="1" applyNumberFormat="1" applyFont="1" applyFill="1" applyBorder="1"/>
    <xf numFmtId="164" fontId="16" fillId="5" borderId="41" xfId="1" applyNumberFormat="1" applyFont="1" applyFill="1" applyBorder="1" applyAlignment="1" applyProtection="1">
      <alignment horizontal="center" vertical="center"/>
      <protection locked="0"/>
    </xf>
    <xf numFmtId="164" fontId="16" fillId="0" borderId="41" xfId="1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Protection="1">
      <protection locked="0"/>
    </xf>
    <xf numFmtId="164" fontId="5" fillId="0" borderId="26" xfId="0" applyNumberFormat="1" applyFont="1" applyBorder="1" applyAlignment="1" applyProtection="1">
      <alignment horizontal="center" vertical="center" wrapText="1"/>
      <protection locked="0"/>
    </xf>
    <xf numFmtId="0" fontId="27" fillId="2" borderId="64" xfId="0" applyFont="1" applyFill="1" applyBorder="1" applyAlignment="1" applyProtection="1">
      <alignment horizontal="center" vertical="center" wrapText="1"/>
      <protection locked="0"/>
    </xf>
    <xf numFmtId="9" fontId="27" fillId="2" borderId="64" xfId="2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164" fontId="0" fillId="0" borderId="64" xfId="1" applyNumberFormat="1" applyFont="1" applyBorder="1"/>
    <xf numFmtId="164" fontId="13" fillId="18" borderId="64" xfId="1" applyNumberFormat="1" applyFont="1" applyFill="1" applyBorder="1"/>
    <xf numFmtId="164" fontId="0" fillId="5" borderId="0" xfId="0" applyNumberFormat="1" applyFill="1"/>
    <xf numFmtId="164" fontId="0" fillId="0" borderId="66" xfId="1" applyNumberFormat="1" applyFont="1" applyBorder="1"/>
    <xf numFmtId="0" fontId="27" fillId="2" borderId="66" xfId="0" applyFont="1" applyFill="1" applyBorder="1" applyAlignment="1" applyProtection="1">
      <alignment horizontal="center" vertical="center" wrapText="1"/>
      <protection locked="0"/>
    </xf>
    <xf numFmtId="164" fontId="13" fillId="18" borderId="66" xfId="1" applyNumberFormat="1" applyFont="1" applyFill="1" applyBorder="1"/>
    <xf numFmtId="0" fontId="28" fillId="2" borderId="0" xfId="0" applyFont="1" applyFill="1" applyAlignment="1">
      <alignment horizontal="center"/>
    </xf>
    <xf numFmtId="0" fontId="29" fillId="0" borderId="6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0" borderId="64" xfId="0" applyFont="1" applyBorder="1"/>
    <xf numFmtId="0" fontId="29" fillId="5" borderId="64" xfId="0" applyFont="1" applyFill="1" applyBorder="1"/>
    <xf numFmtId="0" fontId="30" fillId="2" borderId="64" xfId="0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2" borderId="0" xfId="0" applyFont="1" applyFill="1" applyAlignment="1">
      <alignment horizontal="center" vertical="center" wrapText="1"/>
    </xf>
    <xf numFmtId="9" fontId="0" fillId="0" borderId="64" xfId="2" applyFont="1" applyBorder="1"/>
    <xf numFmtId="0" fontId="0" fillId="0" borderId="64" xfId="0" applyBorder="1" applyAlignment="1">
      <alignment horizontal="center"/>
    </xf>
    <xf numFmtId="9" fontId="0" fillId="0" borderId="64" xfId="0" applyNumberFormat="1" applyBorder="1"/>
    <xf numFmtId="0" fontId="13" fillId="5" borderId="0" xfId="0" applyFont="1" applyFill="1"/>
    <xf numFmtId="0" fontId="11" fillId="0" borderId="0" xfId="0" applyFont="1" applyAlignment="1" applyProtection="1">
      <alignment vertical="center"/>
      <protection locked="0"/>
    </xf>
    <xf numFmtId="14" fontId="31" fillId="0" borderId="0" xfId="0" applyNumberFormat="1" applyFont="1" applyAlignment="1" applyProtection="1">
      <alignment vertical="center"/>
      <protection locked="0"/>
    </xf>
    <xf numFmtId="0" fontId="11" fillId="0" borderId="41" xfId="0" applyFont="1" applyBorder="1" applyAlignment="1" applyProtection="1">
      <alignment vertical="center"/>
      <protection locked="0"/>
    </xf>
    <xf numFmtId="169" fontId="14" fillId="0" borderId="41" xfId="5" applyNumberFormat="1" applyFont="1" applyFill="1" applyBorder="1" applyAlignment="1" applyProtection="1">
      <alignment vertical="center"/>
    </xf>
    <xf numFmtId="0" fontId="15" fillId="0" borderId="41" xfId="3" applyFont="1" applyFill="1" applyBorder="1" applyAlignment="1" applyProtection="1">
      <alignment horizontal="center" vertical="center" wrapText="1"/>
      <protection locked="0"/>
    </xf>
    <xf numFmtId="9" fontId="15" fillId="0" borderId="41" xfId="2" applyFont="1" applyFill="1" applyBorder="1" applyAlignment="1" applyProtection="1">
      <alignment horizontal="center" vertical="center" wrapText="1"/>
      <protection locked="0"/>
    </xf>
    <xf numFmtId="0" fontId="32" fillId="19" borderId="41" xfId="3" applyFont="1" applyFill="1" applyBorder="1" applyAlignment="1" applyProtection="1">
      <alignment horizontal="center" vertical="center" wrapText="1"/>
      <protection locked="0"/>
    </xf>
    <xf numFmtId="173" fontId="32" fillId="19" borderId="41" xfId="6" applyNumberFormat="1" applyFont="1" applyFill="1" applyBorder="1" applyAlignment="1" applyProtection="1">
      <alignment horizontal="left" vertical="center" wrapText="1"/>
    </xf>
    <xf numFmtId="173" fontId="32" fillId="19" borderId="41" xfId="6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1" fillId="0" borderId="41" xfId="0" applyFont="1" applyBorder="1" applyAlignment="1">
      <alignment horizontal="left" vertical="center"/>
    </xf>
    <xf numFmtId="169" fontId="14" fillId="0" borderId="41" xfId="5" applyNumberFormat="1" applyFont="1" applyFill="1" applyBorder="1" applyAlignment="1" applyProtection="1">
      <alignment horizontal="right" vertical="center"/>
    </xf>
    <xf numFmtId="0" fontId="11" fillId="0" borderId="41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32" fillId="19" borderId="41" xfId="3" applyFont="1" applyFill="1" applyBorder="1" applyAlignment="1" applyProtection="1">
      <alignment horizontal="center" vertical="center" wrapText="1"/>
    </xf>
    <xf numFmtId="0" fontId="32" fillId="19" borderId="41" xfId="0" applyFont="1" applyFill="1" applyBorder="1" applyAlignment="1">
      <alignment horizontal="center" vertical="center" wrapText="1"/>
    </xf>
    <xf numFmtId="0" fontId="32" fillId="19" borderId="41" xfId="0" applyFont="1" applyFill="1" applyBorder="1" applyAlignment="1">
      <alignment horizontal="center" vertical="top" wrapText="1"/>
    </xf>
    <xf numFmtId="169" fontId="34" fillId="19" borderId="41" xfId="5" applyNumberFormat="1" applyFont="1" applyFill="1" applyBorder="1" applyAlignment="1" applyProtection="1">
      <alignment horizontal="right" vertical="center"/>
    </xf>
    <xf numFmtId="173" fontId="32" fillId="19" borderId="41" xfId="6" applyNumberFormat="1" applyFont="1" applyFill="1" applyBorder="1" applyAlignment="1" applyProtection="1">
      <alignment horizontal="right" vertical="center" wrapText="1"/>
    </xf>
    <xf numFmtId="0" fontId="13" fillId="5" borderId="65" xfId="0" applyFont="1" applyFill="1" applyBorder="1"/>
    <xf numFmtId="0" fontId="5" fillId="19" borderId="34" xfId="0" applyFont="1" applyFill="1" applyBorder="1" applyAlignment="1" applyProtection="1">
      <alignment horizontal="center" vertical="center" wrapText="1"/>
      <protection locked="0"/>
    </xf>
    <xf numFmtId="0" fontId="26" fillId="19" borderId="34" xfId="0" applyFont="1" applyFill="1" applyBorder="1" applyAlignment="1" applyProtection="1">
      <alignment horizontal="center" vertical="center" wrapText="1"/>
      <protection locked="0"/>
    </xf>
    <xf numFmtId="0" fontId="5" fillId="19" borderId="29" xfId="0" applyFont="1" applyFill="1" applyBorder="1" applyAlignment="1" applyProtection="1">
      <alignment horizontal="center" vertical="center" wrapText="1"/>
      <protection locked="0"/>
    </xf>
    <xf numFmtId="0" fontId="5" fillId="19" borderId="0" xfId="0" applyFont="1" applyFill="1" applyAlignment="1" applyProtection="1">
      <alignment horizontal="center" vertical="center" wrapText="1"/>
      <protection locked="0"/>
    </xf>
    <xf numFmtId="0" fontId="5" fillId="19" borderId="39" xfId="0" applyFont="1" applyFill="1" applyBorder="1" applyAlignment="1" applyProtection="1">
      <alignment horizontal="center" vertical="center" wrapText="1"/>
      <protection locked="0"/>
    </xf>
    <xf numFmtId="0" fontId="5" fillId="19" borderId="21" xfId="0" applyFont="1" applyFill="1" applyBorder="1" applyAlignment="1" applyProtection="1">
      <alignment horizontal="center" vertical="center" wrapText="1"/>
      <protection locked="0"/>
    </xf>
    <xf numFmtId="0" fontId="32" fillId="19" borderId="41" xfId="0" applyFont="1" applyFill="1" applyBorder="1" applyAlignment="1">
      <alignment horizontal="center" vertical="center"/>
    </xf>
    <xf numFmtId="14" fontId="4" fillId="0" borderId="19" xfId="1" applyNumberFormat="1" applyFont="1" applyBorder="1"/>
    <xf numFmtId="1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Border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4" fontId="4" fillId="5" borderId="1" xfId="0" applyNumberFormat="1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75" fontId="4" fillId="5" borderId="1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/>
    <xf numFmtId="164" fontId="13" fillId="18" borderId="0" xfId="1" applyNumberFormat="1" applyFont="1" applyFill="1"/>
    <xf numFmtId="0" fontId="13" fillId="18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vertical="center"/>
    </xf>
    <xf numFmtId="164" fontId="13" fillId="18" borderId="64" xfId="0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0" fillId="20" borderId="0" xfId="0" applyFill="1"/>
    <xf numFmtId="0" fontId="36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>
      <alignment horizontal="center"/>
    </xf>
    <xf numFmtId="0" fontId="0" fillId="21" borderId="0" xfId="0" applyFill="1"/>
    <xf numFmtId="0" fontId="27" fillId="2" borderId="0" xfId="0" applyFont="1" applyFill="1" applyAlignment="1" applyProtection="1">
      <alignment horizontal="center" vertical="center" wrapText="1"/>
      <protection locked="0"/>
    </xf>
    <xf numFmtId="9" fontId="0" fillId="5" borderId="0" xfId="2" applyFont="1" applyFill="1"/>
    <xf numFmtId="0" fontId="38" fillId="5" borderId="0" xfId="0" applyFont="1" applyFill="1" applyAlignment="1">
      <alignment horizontal="center" vertical="center"/>
    </xf>
    <xf numFmtId="0" fontId="27" fillId="5" borderId="0" xfId="0" applyFont="1" applyFill="1" applyAlignment="1" applyProtection="1">
      <alignment horizontal="center" vertical="center" wrapText="1"/>
      <protection locked="0"/>
    </xf>
    <xf numFmtId="164" fontId="13" fillId="5" borderId="0" xfId="1" applyNumberFormat="1" applyFont="1" applyFill="1" applyBorder="1"/>
    <xf numFmtId="0" fontId="0" fillId="2" borderId="0" xfId="0" applyFill="1"/>
    <xf numFmtId="0" fontId="27" fillId="2" borderId="68" xfId="0" applyFont="1" applyFill="1" applyBorder="1" applyAlignment="1" applyProtection="1">
      <alignment horizontal="center" vertical="center" wrapText="1"/>
      <protection locked="0"/>
    </xf>
    <xf numFmtId="0" fontId="0" fillId="0" borderId="68" xfId="0" applyBorder="1"/>
    <xf numFmtId="164" fontId="13" fillId="18" borderId="68" xfId="0" applyNumberFormat="1" applyFont="1" applyFill="1" applyBorder="1" applyAlignment="1">
      <alignment horizontal="center"/>
    </xf>
    <xf numFmtId="0" fontId="38" fillId="5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4" fontId="0" fillId="2" borderId="0" xfId="0" applyNumberFormat="1" applyFill="1"/>
    <xf numFmtId="164" fontId="13" fillId="2" borderId="0" xfId="1" applyNumberFormat="1" applyFont="1" applyFill="1" applyBorder="1"/>
    <xf numFmtId="0" fontId="0" fillId="0" borderId="64" xfId="2" applyNumberFormat="1" applyFont="1" applyBorder="1"/>
    <xf numFmtId="0" fontId="39" fillId="5" borderId="0" xfId="0" applyFont="1" applyFill="1" applyAlignment="1">
      <alignment horizontal="left" indent="2"/>
    </xf>
    <xf numFmtId="0" fontId="2" fillId="5" borderId="0" xfId="0" applyFont="1" applyFill="1"/>
    <xf numFmtId="0" fontId="2" fillId="5" borderId="0" xfId="0" applyFont="1" applyFill="1" applyAlignment="1">
      <alignment horizontal="right" vertical="top" indent="1"/>
    </xf>
    <xf numFmtId="0" fontId="2" fillId="5" borderId="0" xfId="0" applyFont="1" applyFill="1" applyAlignment="1">
      <alignment horizontal="right" indent="1"/>
    </xf>
    <xf numFmtId="0" fontId="2" fillId="5" borderId="0" xfId="0" applyFont="1" applyFill="1" applyAlignment="1">
      <alignment horizontal="right" vertical="center" indent="1"/>
    </xf>
    <xf numFmtId="0" fontId="27" fillId="22" borderId="72" xfId="0" applyFont="1" applyFill="1" applyBorder="1" applyAlignment="1">
      <alignment vertical="center" wrapText="1"/>
    </xf>
    <xf numFmtId="0" fontId="27" fillId="22" borderId="75" xfId="0" applyFont="1" applyFill="1" applyBorder="1" applyAlignment="1">
      <alignment vertical="center" wrapTex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" fillId="18" borderId="72" xfId="0" applyFont="1" applyFill="1" applyBorder="1" applyAlignment="1">
      <alignment horizontal="left" vertical="center" indent="1"/>
    </xf>
    <xf numFmtId="0" fontId="2" fillId="18" borderId="75" xfId="0" quotePrefix="1" applyFont="1" applyFill="1" applyBorder="1" applyAlignment="1">
      <alignment horizontal="left" vertical="center" indent="1"/>
    </xf>
    <xf numFmtId="0" fontId="2" fillId="18" borderId="77" xfId="0" quotePrefix="1" applyFont="1" applyFill="1" applyBorder="1" applyAlignment="1">
      <alignment horizontal="left" vertical="center" indent="1"/>
    </xf>
    <xf numFmtId="0" fontId="2" fillId="18" borderId="73" xfId="0" applyFont="1" applyFill="1" applyBorder="1" applyAlignment="1">
      <alignment horizontal="left" vertical="center" wrapText="1" indent="1"/>
    </xf>
    <xf numFmtId="0" fontId="2" fillId="18" borderId="74" xfId="0" applyFont="1" applyFill="1" applyBorder="1" applyAlignment="1">
      <alignment horizontal="left" vertical="center" wrapText="1" indent="1"/>
    </xf>
    <xf numFmtId="0" fontId="0" fillId="18" borderId="0" xfId="0" applyFill="1"/>
    <xf numFmtId="0" fontId="2" fillId="5" borderId="70" xfId="0" applyFont="1" applyFill="1" applyBorder="1" applyAlignment="1">
      <alignment horizontal="center" vertical="center"/>
    </xf>
    <xf numFmtId="0" fontId="41" fillId="5" borderId="81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23" borderId="1" xfId="2" quotePrefix="1" applyNumberFormat="1" applyFont="1" applyFill="1" applyBorder="1" applyAlignment="1">
      <alignment horizontal="right" vertical="center" wrapText="1" indent="1"/>
    </xf>
    <xf numFmtId="173" fontId="2" fillId="23" borderId="1" xfId="6" applyNumberFormat="1" applyFont="1" applyFill="1" applyBorder="1" applyAlignment="1">
      <alignment horizontal="left" vertical="center" wrapText="1" indent="1"/>
    </xf>
    <xf numFmtId="173" fontId="2" fillId="23" borderId="69" xfId="6" applyNumberFormat="1" applyFont="1" applyFill="1" applyBorder="1" applyAlignment="1">
      <alignment horizontal="left" vertical="center" wrapText="1" indent="1"/>
    </xf>
    <xf numFmtId="14" fontId="2" fillId="23" borderId="71" xfId="0" applyNumberFormat="1" applyFont="1" applyFill="1" applyBorder="1" applyAlignment="1">
      <alignment horizontal="left" vertical="center" wrapText="1" indent="1"/>
    </xf>
    <xf numFmtId="0" fontId="2" fillId="23" borderId="0" xfId="0" applyFont="1" applyFill="1" applyAlignment="1">
      <alignment horizontal="center" vertical="center"/>
    </xf>
    <xf numFmtId="0" fontId="2" fillId="23" borderId="78" xfId="0" applyFont="1" applyFill="1" applyBorder="1" applyAlignment="1">
      <alignment horizontal="center" vertical="center"/>
    </xf>
    <xf numFmtId="0" fontId="2" fillId="23" borderId="75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/>
    </xf>
    <xf numFmtId="0" fontId="43" fillId="5" borderId="0" xfId="0" applyFont="1" applyFill="1"/>
    <xf numFmtId="0" fontId="45" fillId="5" borderId="87" xfId="0" applyFont="1" applyFill="1" applyBorder="1" applyAlignment="1">
      <alignment horizontal="justify" vertical="center" wrapText="1"/>
    </xf>
    <xf numFmtId="0" fontId="45" fillId="5" borderId="88" xfId="0" applyFont="1" applyFill="1" applyBorder="1" applyAlignment="1">
      <alignment vertical="center" wrapText="1"/>
    </xf>
    <xf numFmtId="0" fontId="45" fillId="5" borderId="88" xfId="0" applyFont="1" applyFill="1" applyBorder="1" applyAlignment="1">
      <alignment horizontal="center" vertical="center" wrapText="1"/>
    </xf>
    <xf numFmtId="1" fontId="45" fillId="5" borderId="87" xfId="0" applyNumberFormat="1" applyFont="1" applyFill="1" applyBorder="1" applyAlignment="1">
      <alignment horizontal="justify" vertical="center" wrapText="1"/>
    </xf>
    <xf numFmtId="173" fontId="45" fillId="5" borderId="87" xfId="6" applyNumberFormat="1" applyFont="1" applyFill="1" applyBorder="1" applyAlignment="1">
      <alignment horizontal="justify" vertical="center" wrapText="1"/>
    </xf>
    <xf numFmtId="0" fontId="45" fillId="5" borderId="86" xfId="0" applyFont="1" applyFill="1" applyBorder="1" applyAlignment="1">
      <alignment vertical="center" wrapText="1"/>
    </xf>
    <xf numFmtId="0" fontId="45" fillId="5" borderId="86" xfId="0" applyFont="1" applyFill="1" applyBorder="1" applyAlignment="1">
      <alignment horizontal="center" vertical="center" wrapText="1"/>
    </xf>
    <xf numFmtId="0" fontId="45" fillId="18" borderId="87" xfId="0" applyFont="1" applyFill="1" applyBorder="1" applyAlignment="1">
      <alignment horizontal="justify" vertical="center" wrapText="1"/>
    </xf>
    <xf numFmtId="0" fontId="45" fillId="18" borderId="86" xfId="0" applyFont="1" applyFill="1" applyBorder="1" applyAlignment="1">
      <alignment horizontal="justify" vertical="center" wrapText="1"/>
    </xf>
    <xf numFmtId="0" fontId="43" fillId="18" borderId="0" xfId="0" applyFont="1" applyFill="1"/>
    <xf numFmtId="1" fontId="45" fillId="18" borderId="87" xfId="0" applyNumberFormat="1" applyFont="1" applyFill="1" applyBorder="1" applyAlignment="1">
      <alignment horizontal="justify" vertical="center" wrapText="1"/>
    </xf>
    <xf numFmtId="173" fontId="45" fillId="18" borderId="87" xfId="6" applyNumberFormat="1" applyFont="1" applyFill="1" applyBorder="1" applyAlignment="1">
      <alignment horizontal="justify" vertical="center" wrapText="1"/>
    </xf>
    <xf numFmtId="0" fontId="43" fillId="0" borderId="89" xfId="0" applyFont="1" applyBorder="1" applyAlignment="1">
      <alignment horizontal="justify" vertical="center" wrapText="1"/>
    </xf>
    <xf numFmtId="14" fontId="43" fillId="0" borderId="89" xfId="0" applyNumberFormat="1" applyFont="1" applyBorder="1" applyAlignment="1">
      <alignment horizontal="justify" vertical="center" wrapText="1"/>
    </xf>
    <xf numFmtId="44" fontId="43" fillId="0" borderId="89" xfId="6" applyFont="1" applyBorder="1" applyAlignment="1">
      <alignment horizontal="justify" vertical="center" wrapText="1"/>
    </xf>
    <xf numFmtId="0" fontId="43" fillId="0" borderId="89" xfId="6" applyNumberFormat="1" applyFont="1" applyBorder="1" applyAlignment="1">
      <alignment horizontal="justify" vertical="center" wrapText="1"/>
    </xf>
    <xf numFmtId="173" fontId="43" fillId="0" borderId="89" xfId="6" applyNumberFormat="1" applyFont="1" applyBorder="1" applyAlignment="1">
      <alignment horizontal="justify" vertical="center" wrapText="1"/>
    </xf>
    <xf numFmtId="0" fontId="44" fillId="22" borderId="87" xfId="0" applyFont="1" applyFill="1" applyBorder="1" applyAlignment="1">
      <alignment horizontal="center" vertical="center" wrapText="1"/>
    </xf>
    <xf numFmtId="0" fontId="43" fillId="18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/>
    </xf>
    <xf numFmtId="0" fontId="47" fillId="0" borderId="89" xfId="0" applyFont="1" applyBorder="1" applyAlignment="1">
      <alignment horizontal="left" vertical="center" wrapText="1" indent="1"/>
    </xf>
    <xf numFmtId="0" fontId="48" fillId="0" borderId="90" xfId="0" applyFont="1" applyBorder="1" applyAlignment="1">
      <alignment vertical="center" wrapText="1"/>
    </xf>
    <xf numFmtId="0" fontId="49" fillId="0" borderId="89" xfId="0" applyFont="1" applyBorder="1" applyAlignment="1">
      <alignment horizontal="left" vertical="center" wrapText="1" indent="4"/>
    </xf>
    <xf numFmtId="0" fontId="51" fillId="0" borderId="89" xfId="0" applyFont="1" applyBorder="1" applyAlignment="1">
      <alignment horizontal="right" vertical="center" wrapText="1" indent="4"/>
    </xf>
    <xf numFmtId="0" fontId="52" fillId="0" borderId="90" xfId="0" applyFont="1" applyBorder="1" applyAlignment="1">
      <alignment horizontal="right" vertical="center" wrapText="1"/>
    </xf>
    <xf numFmtId="0" fontId="53" fillId="22" borderId="87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center" vertical="center" wrapText="1"/>
    </xf>
    <xf numFmtId="164" fontId="2" fillId="0" borderId="1" xfId="1" applyNumberFormat="1" applyFont="1" applyBorder="1"/>
    <xf numFmtId="0" fontId="27" fillId="22" borderId="1" xfId="0" applyFont="1" applyFill="1" applyBorder="1" applyAlignment="1">
      <alignment horizontal="center" vertical="center"/>
    </xf>
    <xf numFmtId="0" fontId="2" fillId="18" borderId="70" xfId="0" applyFont="1" applyFill="1" applyBorder="1"/>
    <xf numFmtId="0" fontId="57" fillId="18" borderId="70" xfId="0" applyFont="1" applyFill="1" applyBorder="1"/>
    <xf numFmtId="0" fontId="45" fillId="24" borderId="87" xfId="0" applyFont="1" applyFill="1" applyBorder="1" applyAlignment="1">
      <alignment horizontal="justify" vertical="center" wrapText="1"/>
    </xf>
    <xf numFmtId="9" fontId="43" fillId="6" borderId="89" xfId="2" applyFont="1" applyFill="1" applyBorder="1" applyAlignment="1">
      <alignment horizontal="justify" vertical="center" wrapText="1"/>
    </xf>
    <xf numFmtId="173" fontId="43" fillId="6" borderId="89" xfId="6" applyNumberFormat="1" applyFont="1" applyFill="1" applyBorder="1" applyAlignment="1">
      <alignment horizontal="justify" vertical="center" wrapText="1"/>
    </xf>
    <xf numFmtId="1" fontId="43" fillId="0" borderId="89" xfId="6" applyNumberFormat="1" applyFont="1" applyBorder="1" applyAlignment="1">
      <alignment horizontal="justify" vertical="center" wrapText="1"/>
    </xf>
    <xf numFmtId="0" fontId="58" fillId="0" borderId="89" xfId="0" applyFont="1" applyBorder="1" applyAlignment="1">
      <alignment horizontal="justify" vertical="center" wrapText="1"/>
    </xf>
    <xf numFmtId="0" fontId="58" fillId="25" borderId="89" xfId="0" applyFont="1" applyFill="1" applyBorder="1" applyAlignment="1">
      <alignment horizontal="justify" vertical="center" wrapText="1"/>
    </xf>
    <xf numFmtId="173" fontId="58" fillId="25" borderId="89" xfId="6" applyNumberFormat="1" applyFont="1" applyFill="1" applyBorder="1" applyAlignment="1">
      <alignment horizontal="justify" vertical="center" wrapText="1"/>
    </xf>
    <xf numFmtId="1" fontId="58" fillId="25" borderId="89" xfId="6" applyNumberFormat="1" applyFont="1" applyFill="1" applyBorder="1" applyAlignment="1">
      <alignment horizontal="justify" vertical="center" wrapText="1"/>
    </xf>
    <xf numFmtId="0" fontId="43" fillId="13" borderId="89" xfId="0" applyFont="1" applyFill="1" applyBorder="1" applyAlignment="1">
      <alignment horizontal="justify" vertical="center" wrapText="1"/>
    </xf>
    <xf numFmtId="0" fontId="43" fillId="18" borderId="89" xfId="0" applyFont="1" applyFill="1" applyBorder="1" applyAlignment="1">
      <alignment horizontal="justify" vertical="center" wrapText="1"/>
    </xf>
    <xf numFmtId="14" fontId="43" fillId="18" borderId="89" xfId="0" applyNumberFormat="1" applyFont="1" applyFill="1" applyBorder="1" applyAlignment="1">
      <alignment horizontal="justify" vertical="center" wrapText="1"/>
    </xf>
    <xf numFmtId="9" fontId="43" fillId="18" borderId="89" xfId="2" applyFont="1" applyFill="1" applyBorder="1" applyAlignment="1">
      <alignment horizontal="justify" vertical="center" wrapText="1"/>
    </xf>
    <xf numFmtId="173" fontId="43" fillId="18" borderId="89" xfId="6" applyNumberFormat="1" applyFont="1" applyFill="1" applyBorder="1" applyAlignment="1">
      <alignment horizontal="justify" vertical="center" wrapText="1"/>
    </xf>
    <xf numFmtId="1" fontId="43" fillId="18" borderId="89" xfId="6" applyNumberFormat="1" applyFont="1" applyFill="1" applyBorder="1" applyAlignment="1">
      <alignment horizontal="justify" vertical="center" wrapText="1"/>
    </xf>
    <xf numFmtId="0" fontId="43" fillId="26" borderId="89" xfId="0" applyFont="1" applyFill="1" applyBorder="1" applyAlignment="1">
      <alignment horizontal="justify" vertical="center" wrapText="1"/>
    </xf>
    <xf numFmtId="14" fontId="43" fillId="26" borderId="89" xfId="0" applyNumberFormat="1" applyFont="1" applyFill="1" applyBorder="1" applyAlignment="1">
      <alignment horizontal="justify" vertical="center" wrapText="1"/>
    </xf>
    <xf numFmtId="173" fontId="43" fillId="26" borderId="89" xfId="6" applyNumberFormat="1" applyFont="1" applyFill="1" applyBorder="1" applyAlignment="1">
      <alignment horizontal="justify" vertical="center" wrapText="1"/>
    </xf>
    <xf numFmtId="1" fontId="43" fillId="26" borderId="89" xfId="6" applyNumberFormat="1" applyFont="1" applyFill="1" applyBorder="1" applyAlignment="1">
      <alignment horizontal="justify" vertical="center" wrapText="1"/>
    </xf>
    <xf numFmtId="9" fontId="43" fillId="0" borderId="89" xfId="2" applyFont="1" applyBorder="1" applyAlignment="1">
      <alignment horizontal="justify" vertical="center" wrapText="1"/>
    </xf>
    <xf numFmtId="164" fontId="4" fillId="0" borderId="4" xfId="1" applyNumberFormat="1" applyFont="1" applyBorder="1" applyAlignment="1">
      <alignment horizontal="center"/>
    </xf>
    <xf numFmtId="0" fontId="45" fillId="24" borderId="86" xfId="0" applyFont="1" applyFill="1" applyBorder="1" applyAlignment="1">
      <alignment horizontal="center" vertical="center" wrapText="1"/>
    </xf>
    <xf numFmtId="0" fontId="59" fillId="0" borderId="0" xfId="0" applyFont="1"/>
    <xf numFmtId="0" fontId="45" fillId="24" borderId="87" xfId="0" applyFont="1" applyFill="1" applyBorder="1" applyAlignment="1">
      <alignment horizontal="center" vertical="center" wrapText="1"/>
    </xf>
    <xf numFmtId="0" fontId="58" fillId="0" borderId="89" xfId="0" applyFont="1" applyBorder="1" applyAlignment="1">
      <alignment vertical="center" wrapText="1"/>
    </xf>
    <xf numFmtId="173" fontId="58" fillId="0" borderId="89" xfId="6" applyNumberFormat="1" applyFont="1" applyBorder="1" applyAlignment="1">
      <alignment vertical="center" wrapText="1"/>
    </xf>
    <xf numFmtId="1" fontId="58" fillId="0" borderId="89" xfId="0" applyNumberFormat="1" applyFont="1" applyBorder="1" applyAlignment="1">
      <alignment vertical="center" wrapText="1"/>
    </xf>
    <xf numFmtId="0" fontId="43" fillId="0" borderId="90" xfId="0" applyFont="1" applyBorder="1" applyAlignment="1">
      <alignment vertical="center" wrapText="1"/>
    </xf>
    <xf numFmtId="1" fontId="43" fillId="0" borderId="90" xfId="0" applyNumberFormat="1" applyFont="1" applyBorder="1" applyAlignment="1">
      <alignment vertical="center" wrapText="1"/>
    </xf>
    <xf numFmtId="173" fontId="43" fillId="0" borderId="90" xfId="6" applyNumberFormat="1" applyFont="1" applyBorder="1" applyAlignment="1">
      <alignment vertical="center" wrapText="1"/>
    </xf>
    <xf numFmtId="0" fontId="58" fillId="0" borderId="84" xfId="0" applyFont="1" applyBorder="1" applyAlignment="1">
      <alignment horizontal="right" vertical="center" wrapText="1"/>
    </xf>
    <xf numFmtId="0" fontId="58" fillId="0" borderId="86" xfId="0" applyFont="1" applyBorder="1" applyAlignment="1">
      <alignment horizontal="right" vertical="center" wrapText="1"/>
    </xf>
    <xf numFmtId="0" fontId="0" fillId="5" borderId="0" xfId="0" applyFill="1" applyAlignment="1">
      <alignment horizontal="center"/>
    </xf>
    <xf numFmtId="0" fontId="59" fillId="5" borderId="0" xfId="0" applyFont="1" applyFill="1"/>
    <xf numFmtId="9" fontId="0" fillId="5" borderId="0" xfId="0" applyNumberFormat="1" applyFill="1"/>
    <xf numFmtId="0" fontId="43" fillId="18" borderId="0" xfId="0" applyFont="1" applyFill="1" applyAlignment="1">
      <alignment horizontal="right"/>
    </xf>
    <xf numFmtId="0" fontId="45" fillId="18" borderId="84" xfId="0" applyFont="1" applyFill="1" applyBorder="1" applyAlignment="1">
      <alignment horizontal="center" vertical="center" wrapText="1"/>
    </xf>
    <xf numFmtId="164" fontId="0" fillId="4" borderId="64" xfId="1" applyNumberFormat="1" applyFont="1" applyFill="1" applyBorder="1"/>
    <xf numFmtId="0" fontId="45" fillId="18" borderId="86" xfId="0" applyFont="1" applyFill="1" applyBorder="1" applyAlignment="1">
      <alignment vertical="center" wrapText="1"/>
    </xf>
    <xf numFmtId="0" fontId="45" fillId="5" borderId="87" xfId="0" applyFont="1" applyFill="1" applyBorder="1" applyAlignment="1">
      <alignment horizontal="left" vertical="center" wrapText="1"/>
    </xf>
    <xf numFmtId="1" fontId="45" fillId="5" borderId="87" xfId="0" applyNumberFormat="1" applyFont="1" applyFill="1" applyBorder="1" applyAlignment="1">
      <alignment horizontal="left" vertical="center" wrapText="1"/>
    </xf>
    <xf numFmtId="173" fontId="45" fillId="5" borderId="87" xfId="6" applyNumberFormat="1" applyFont="1" applyFill="1" applyBorder="1" applyAlignment="1">
      <alignment horizontal="left" vertical="center" wrapText="1"/>
    </xf>
    <xf numFmtId="0" fontId="45" fillId="5" borderId="0" xfId="0" applyFont="1" applyFill="1" applyAlignment="1">
      <alignment horizontal="justify" vertical="center" wrapText="1"/>
    </xf>
    <xf numFmtId="9" fontId="45" fillId="24" borderId="87" xfId="0" applyNumberFormat="1" applyFont="1" applyFill="1" applyBorder="1" applyAlignment="1">
      <alignment horizontal="justify" vertical="center" wrapText="1"/>
    </xf>
    <xf numFmtId="0" fontId="36" fillId="2" borderId="0" xfId="0" applyFont="1" applyFill="1" applyAlignment="1">
      <alignment horizontal="center"/>
    </xf>
    <xf numFmtId="0" fontId="36" fillId="27" borderId="0" xfId="0" applyFont="1" applyFill="1" applyAlignment="1">
      <alignment horizontal="center" vertical="center"/>
    </xf>
    <xf numFmtId="0" fontId="60" fillId="0" borderId="0" xfId="0" applyFont="1"/>
    <xf numFmtId="0" fontId="5" fillId="2" borderId="10" xfId="1" applyNumberFormat="1" applyFont="1" applyFill="1" applyBorder="1"/>
    <xf numFmtId="9" fontId="4" fillId="0" borderId="0" xfId="2" applyFont="1"/>
    <xf numFmtId="10" fontId="0" fillId="0" borderId="0" xfId="0" applyNumberFormat="1"/>
    <xf numFmtId="9" fontId="4" fillId="0" borderId="1" xfId="2" applyFont="1" applyBorder="1"/>
    <xf numFmtId="0" fontId="2" fillId="0" borderId="70" xfId="0" applyFont="1" applyBorder="1" applyAlignment="1">
      <alignment horizontal="center" vertical="center"/>
    </xf>
    <xf numFmtId="0" fontId="0" fillId="0" borderId="70" xfId="0" applyBorder="1"/>
    <xf numFmtId="0" fontId="1" fillId="2" borderId="69" xfId="0" applyFont="1" applyFill="1" applyBorder="1" applyAlignment="1">
      <alignment horizontal="centerContinuous"/>
    </xf>
    <xf numFmtId="0" fontId="1" fillId="2" borderId="91" xfId="0" applyFont="1" applyFill="1" applyBorder="1" applyAlignment="1">
      <alignment horizontal="center" vertical="center"/>
    </xf>
    <xf numFmtId="164" fontId="0" fillId="0" borderId="91" xfId="1" applyNumberFormat="1" applyFont="1" applyBorder="1"/>
    <xf numFmtId="164" fontId="1" fillId="4" borderId="91" xfId="1" applyNumberFormat="1" applyFont="1" applyFill="1" applyBorder="1" applyAlignment="1">
      <alignment horizontal="center" vertical="center"/>
    </xf>
    <xf numFmtId="0" fontId="11" fillId="0" borderId="92" xfId="0" applyFont="1" applyBorder="1" applyAlignment="1">
      <alignment horizontal="center" vertical="center"/>
    </xf>
    <xf numFmtId="0" fontId="11" fillId="0" borderId="92" xfId="0" applyFont="1" applyBorder="1" applyAlignment="1">
      <alignment horizontal="left" vertical="center" wrapText="1"/>
    </xf>
    <xf numFmtId="0" fontId="11" fillId="0" borderId="92" xfId="0" applyFont="1" applyBorder="1" applyAlignment="1">
      <alignment vertical="center"/>
    </xf>
    <xf numFmtId="171" fontId="11" fillId="0" borderId="92" xfId="5" applyNumberFormat="1" applyFont="1" applyBorder="1" applyAlignment="1">
      <alignment vertical="center"/>
    </xf>
    <xf numFmtId="167" fontId="15" fillId="10" borderId="55" xfId="5" applyFont="1" applyFill="1" applyBorder="1" applyAlignment="1" applyProtection="1">
      <alignment horizontal="center" vertical="center" wrapText="1"/>
      <protection locked="0"/>
    </xf>
    <xf numFmtId="171" fontId="11" fillId="0" borderId="92" xfId="5" applyNumberFormat="1" applyFont="1" applyBorder="1" applyAlignment="1">
      <alignment horizontal="right" vertical="center" wrapText="1"/>
    </xf>
    <xf numFmtId="0" fontId="0" fillId="16" borderId="92" xfId="0" applyFill="1" applyBorder="1" applyAlignment="1">
      <alignment horizontal="centerContinuous"/>
    </xf>
    <xf numFmtId="0" fontId="0" fillId="16" borderId="92" xfId="0" applyFill="1" applyBorder="1" applyAlignment="1">
      <alignment horizontal="center"/>
    </xf>
    <xf numFmtId="0" fontId="0" fillId="0" borderId="92" xfId="0" applyBorder="1"/>
    <xf numFmtId="43" fontId="0" fillId="0" borderId="92" xfId="1" applyFont="1" applyBorder="1"/>
    <xf numFmtId="0" fontId="0" fillId="3" borderId="92" xfId="0" applyFill="1" applyBorder="1"/>
    <xf numFmtId="43" fontId="0" fillId="0" borderId="0" xfId="1" applyFont="1" applyBorder="1"/>
    <xf numFmtId="0" fontId="15" fillId="5" borderId="92" xfId="0" applyFont="1" applyFill="1" applyBorder="1" applyAlignment="1" applyProtection="1">
      <alignment horizontal="center" vertical="center" wrapText="1"/>
      <protection locked="0"/>
    </xf>
    <xf numFmtId="164" fontId="0" fillId="0" borderId="92" xfId="0" applyNumberFormat="1" applyBorder="1"/>
    <xf numFmtId="0" fontId="5" fillId="2" borderId="93" xfId="0" applyFont="1" applyFill="1" applyBorder="1" applyAlignment="1" applyProtection="1">
      <alignment horizontal="center" vertical="center" wrapText="1"/>
      <protection locked="0"/>
    </xf>
    <xf numFmtId="0" fontId="5" fillId="2" borderId="94" xfId="0" applyFont="1" applyFill="1" applyBorder="1" applyAlignment="1" applyProtection="1">
      <alignment horizontal="center" vertical="center" wrapText="1"/>
      <protection locked="0"/>
    </xf>
    <xf numFmtId="176" fontId="0" fillId="0" borderId="92" xfId="1" applyNumberFormat="1" applyFont="1" applyBorder="1"/>
    <xf numFmtId="164" fontId="4" fillId="0" borderId="92" xfId="1" applyNumberFormat="1" applyFont="1" applyBorder="1"/>
    <xf numFmtId="0" fontId="62" fillId="0" borderId="0" xfId="0" applyFont="1"/>
    <xf numFmtId="0" fontId="0" fillId="3" borderId="0" xfId="0" applyFill="1"/>
    <xf numFmtId="0" fontId="13" fillId="3" borderId="0" xfId="0" applyFont="1" applyFill="1"/>
    <xf numFmtId="0" fontId="13" fillId="3" borderId="95" xfId="0" applyFont="1" applyFill="1" applyBorder="1"/>
    <xf numFmtId="164" fontId="0" fillId="3" borderId="0" xfId="1" applyNumberFormat="1" applyFont="1" applyFill="1"/>
    <xf numFmtId="0" fontId="0" fillId="28" borderId="0" xfId="0" applyFill="1"/>
    <xf numFmtId="0" fontId="0" fillId="0" borderId="1" xfId="0" applyBorder="1" applyAlignment="1">
      <alignment horizontal="left" vertical="center" wrapText="1"/>
    </xf>
    <xf numFmtId="0" fontId="18" fillId="5" borderId="1" xfId="5" applyNumberFormat="1" applyFont="1" applyFill="1" applyBorder="1" applyAlignment="1">
      <alignment vertical="center"/>
    </xf>
    <xf numFmtId="0" fontId="63" fillId="5" borderId="0" xfId="0" applyFont="1" applyFill="1"/>
    <xf numFmtId="14" fontId="0" fillId="0" borderId="1" xfId="0" applyNumberFormat="1" applyBorder="1"/>
    <xf numFmtId="164" fontId="0" fillId="0" borderId="1" xfId="1" applyNumberFormat="1" applyFont="1" applyBorder="1"/>
    <xf numFmtId="9" fontId="0" fillId="0" borderId="1" xfId="2" applyFont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4" fontId="0" fillId="30" borderId="0" xfId="0" applyNumberFormat="1" applyFill="1"/>
    <xf numFmtId="4" fontId="0" fillId="31" borderId="0" xfId="0" applyNumberFormat="1" applyFill="1"/>
    <xf numFmtId="4" fontId="0" fillId="28" borderId="0" xfId="0" applyNumberFormat="1" applyFill="1"/>
    <xf numFmtId="4" fontId="0" fillId="32" borderId="0" xfId="0" applyNumberFormat="1" applyFill="1"/>
    <xf numFmtId="4" fontId="0" fillId="4" borderId="0" xfId="0" applyNumberFormat="1" applyFill="1"/>
    <xf numFmtId="4" fontId="0" fillId="33" borderId="0" xfId="0" applyNumberFormat="1" applyFill="1"/>
    <xf numFmtId="4" fontId="0" fillId="21" borderId="0" xfId="0" applyNumberFormat="1" applyFill="1"/>
    <xf numFmtId="4" fontId="0" fillId="0" borderId="0" xfId="0" applyNumberFormat="1"/>
    <xf numFmtId="164" fontId="0" fillId="21" borderId="0" xfId="1" applyNumberFormat="1" applyFont="1" applyFill="1"/>
    <xf numFmtId="0" fontId="0" fillId="0" borderId="0" xfId="0" pivotButton="1"/>
    <xf numFmtId="0" fontId="0" fillId="21" borderId="0" xfId="0" applyFill="1" applyProtection="1">
      <protection locked="0"/>
    </xf>
    <xf numFmtId="3" fontId="0" fillId="0" borderId="0" xfId="0" applyNumberFormat="1"/>
    <xf numFmtId="164" fontId="4" fillId="28" borderId="19" xfId="1" applyNumberFormat="1" applyFont="1" applyFill="1" applyBorder="1"/>
    <xf numFmtId="14" fontId="4" fillId="28" borderId="19" xfId="1" applyNumberFormat="1" applyFont="1" applyFill="1" applyBorder="1"/>
    <xf numFmtId="0" fontId="0" fillId="0" borderId="0" xfId="0" applyAlignment="1">
      <alignment horizontal="left"/>
    </xf>
    <xf numFmtId="164" fontId="4" fillId="0" borderId="0" xfId="0" applyNumberFormat="1" applyFont="1"/>
    <xf numFmtId="164" fontId="4" fillId="28" borderId="4" xfId="1" applyNumberFormat="1" applyFont="1" applyFill="1" applyBorder="1"/>
    <xf numFmtId="164" fontId="0" fillId="30" borderId="0" xfId="1" applyNumberFormat="1" applyFont="1" applyFill="1"/>
    <xf numFmtId="164" fontId="0" fillId="30" borderId="0" xfId="0" applyNumberFormat="1" applyFill="1"/>
    <xf numFmtId="164" fontId="4" fillId="28" borderId="0" xfId="1" applyNumberFormat="1" applyFont="1" applyFill="1"/>
    <xf numFmtId="166" fontId="4" fillId="28" borderId="4" xfId="2" applyNumberFormat="1" applyFont="1" applyFill="1" applyBorder="1"/>
    <xf numFmtId="164" fontId="4" fillId="34" borderId="4" xfId="1" applyNumberFormat="1" applyFont="1" applyFill="1" applyBorder="1"/>
    <xf numFmtId="14" fontId="4" fillId="34" borderId="4" xfId="1" applyNumberFormat="1" applyFont="1" applyFill="1" applyBorder="1"/>
    <xf numFmtId="0" fontId="32" fillId="7" borderId="1" xfId="0" applyFont="1" applyFill="1" applyBorder="1" applyAlignment="1" applyProtection="1">
      <alignment horizontal="center" vertical="center" wrapText="1"/>
      <protection locked="0"/>
    </xf>
    <xf numFmtId="164" fontId="32" fillId="7" borderId="1" xfId="1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1" applyNumberFormat="1" applyFont="1" applyBorder="1"/>
    <xf numFmtId="9" fontId="32" fillId="7" borderId="1" xfId="2" applyFont="1" applyFill="1" applyBorder="1" applyAlignment="1" applyProtection="1">
      <alignment horizontal="center" vertical="center" wrapText="1"/>
      <protection locked="0"/>
    </xf>
    <xf numFmtId="0" fontId="64" fillId="7" borderId="1" xfId="0" applyFont="1" applyFill="1" applyBorder="1"/>
    <xf numFmtId="9" fontId="0" fillId="0" borderId="1" xfId="2" applyFont="1" applyFill="1" applyBorder="1"/>
    <xf numFmtId="9" fontId="0" fillId="28" borderId="1" xfId="2" applyFont="1" applyFill="1" applyBorder="1"/>
    <xf numFmtId="9" fontId="0" fillId="0" borderId="0" xfId="2" applyFont="1" applyFill="1" applyBorder="1"/>
    <xf numFmtId="173" fontId="4" fillId="0" borderId="0" xfId="6" applyNumberFormat="1" applyFont="1"/>
    <xf numFmtId="0" fontId="27" fillId="2" borderId="0" xfId="0" applyFont="1" applyFill="1"/>
    <xf numFmtId="0" fontId="65" fillId="35" borderId="0" xfId="0" applyFont="1" applyFill="1"/>
    <xf numFmtId="173" fontId="65" fillId="35" borderId="0" xfId="6" applyNumberFormat="1" applyFont="1" applyFill="1"/>
    <xf numFmtId="173" fontId="0" fillId="0" borderId="0" xfId="6" applyNumberFormat="1" applyFont="1" applyProtection="1">
      <protection locked="0"/>
    </xf>
    <xf numFmtId="0" fontId="64" fillId="22" borderId="0" xfId="0" applyFont="1" applyFill="1" applyProtection="1">
      <protection locked="0"/>
    </xf>
    <xf numFmtId="0" fontId="13" fillId="35" borderId="0" xfId="0" applyFont="1" applyFill="1" applyProtection="1">
      <protection locked="0"/>
    </xf>
    <xf numFmtId="173" fontId="13" fillId="35" borderId="0" xfId="6" applyNumberFormat="1" applyFont="1" applyFill="1" applyProtection="1">
      <protection locked="0"/>
    </xf>
    <xf numFmtId="173" fontId="5" fillId="2" borderId="26" xfId="6" applyNumberFormat="1" applyFont="1" applyFill="1" applyBorder="1" applyAlignment="1" applyProtection="1">
      <alignment horizontal="center" vertical="center" wrapText="1"/>
      <protection locked="0"/>
    </xf>
    <xf numFmtId="173" fontId="0" fillId="0" borderId="0" xfId="6" applyNumberFormat="1" applyFont="1"/>
    <xf numFmtId="173" fontId="0" fillId="12" borderId="0" xfId="6" applyNumberFormat="1" applyFont="1" applyFill="1"/>
    <xf numFmtId="16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164" fontId="0" fillId="0" borderId="92" xfId="1" applyNumberFormat="1" applyFont="1" applyBorder="1"/>
    <xf numFmtId="173" fontId="4" fillId="0" borderId="4" xfId="6" applyNumberFormat="1" applyFont="1" applyBorder="1"/>
    <xf numFmtId="164" fontId="0" fillId="0" borderId="0" xfId="0" applyNumberFormat="1" applyProtection="1">
      <protection locked="0"/>
    </xf>
    <xf numFmtId="164" fontId="0" fillId="4" borderId="0" xfId="1" applyNumberFormat="1" applyFont="1" applyFill="1"/>
    <xf numFmtId="3" fontId="0" fillId="4" borderId="0" xfId="0" applyNumberFormat="1" applyFill="1"/>
    <xf numFmtId="1" fontId="0" fillId="4" borderId="0" xfId="0" applyNumberFormat="1" applyFill="1"/>
    <xf numFmtId="177" fontId="0" fillId="4" borderId="0" xfId="1" applyNumberFormat="1" applyFont="1" applyFill="1"/>
    <xf numFmtId="9" fontId="0" fillId="0" borderId="0" xfId="0" applyNumberFormat="1" applyProtection="1">
      <protection locked="0"/>
    </xf>
    <xf numFmtId="9" fontId="4" fillId="0" borderId="4" xfId="2" applyFont="1" applyBorder="1"/>
    <xf numFmtId="164" fontId="5" fillId="2" borderId="94" xfId="1" applyNumberFormat="1" applyFont="1" applyFill="1" applyBorder="1" applyAlignment="1" applyProtection="1">
      <alignment horizontal="center" vertical="center" wrapText="1"/>
      <protection locked="0"/>
    </xf>
    <xf numFmtId="164" fontId="0" fillId="12" borderId="0" xfId="1" applyNumberFormat="1" applyFont="1" applyFill="1"/>
    <xf numFmtId="164" fontId="66" fillId="2" borderId="0" xfId="0" applyNumberFormat="1" applyFont="1" applyFill="1" applyAlignment="1">
      <alignment horizontal="center"/>
    </xf>
    <xf numFmtId="164" fontId="5" fillId="2" borderId="62" xfId="1" applyNumberFormat="1" applyFont="1" applyFill="1" applyBorder="1" applyAlignment="1">
      <alignment vertical="center"/>
    </xf>
    <xf numFmtId="164" fontId="5" fillId="2" borderId="26" xfId="1" applyNumberFormat="1" applyFont="1" applyFill="1" applyBorder="1" applyAlignment="1">
      <alignment vertical="center"/>
    </xf>
    <xf numFmtId="164" fontId="5" fillId="2" borderId="27" xfId="1" applyNumberFormat="1" applyFont="1" applyFill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17" fillId="11" borderId="43" xfId="4" applyFont="1" applyFill="1" applyBorder="1" applyAlignment="1">
      <alignment horizontal="center" vertical="center"/>
    </xf>
    <xf numFmtId="0" fontId="17" fillId="11" borderId="0" xfId="4" applyFont="1" applyFill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7" fillId="11" borderId="1" xfId="4" applyFont="1" applyFill="1" applyBorder="1" applyAlignment="1">
      <alignment horizontal="left" vertical="center"/>
    </xf>
    <xf numFmtId="164" fontId="5" fillId="2" borderId="52" xfId="1" applyNumberFormat="1" applyFont="1" applyFill="1" applyBorder="1" applyAlignment="1">
      <alignment horizontal="center" vertical="center"/>
    </xf>
    <xf numFmtId="164" fontId="5" fillId="2" borderId="53" xfId="1" applyNumberFormat="1" applyFont="1" applyFill="1" applyBorder="1" applyAlignment="1">
      <alignment horizontal="center" vertical="center"/>
    </xf>
    <xf numFmtId="164" fontId="5" fillId="2" borderId="54" xfId="1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0" fillId="0" borderId="0" xfId="0" applyAlignment="1">
      <alignment horizontal="right" indent="1"/>
    </xf>
    <xf numFmtId="0" fontId="1" fillId="2" borderId="1" xfId="0" applyFont="1" applyFill="1" applyBorder="1" applyAlignment="1">
      <alignment horizontal="center" vertical="center"/>
    </xf>
    <xf numFmtId="0" fontId="32" fillId="19" borderId="67" xfId="0" applyFont="1" applyFill="1" applyBorder="1" applyAlignment="1" applyProtection="1">
      <alignment horizontal="center" vertical="center"/>
      <protection locked="0"/>
    </xf>
    <xf numFmtId="0" fontId="32" fillId="19" borderId="0" xfId="0" applyFont="1" applyFill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9" fontId="4" fillId="0" borderId="1" xfId="2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5" fillId="2" borderId="94" xfId="1" applyFont="1" applyFill="1" applyBorder="1" applyAlignment="1" applyProtection="1">
      <alignment horizontal="left" vertical="center" wrapText="1"/>
      <protection locked="0"/>
    </xf>
    <xf numFmtId="0" fontId="13" fillId="5" borderId="65" xfId="0" applyFont="1" applyFill="1" applyBorder="1" applyAlignment="1">
      <alignment horizontal="center"/>
    </xf>
    <xf numFmtId="0" fontId="38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61" fillId="22" borderId="0" xfId="7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14" fontId="27" fillId="22" borderId="73" xfId="0" applyNumberFormat="1" applyFont="1" applyFill="1" applyBorder="1" applyAlignment="1">
      <alignment horizontal="left" vertical="center" wrapText="1"/>
    </xf>
    <xf numFmtId="14" fontId="27" fillId="22" borderId="74" xfId="0" applyNumberFormat="1" applyFont="1" applyFill="1" applyBorder="1" applyAlignment="1">
      <alignment horizontal="left" vertical="center" wrapText="1"/>
    </xf>
    <xf numFmtId="0" fontId="42" fillId="5" borderId="83" xfId="0" applyFont="1" applyFill="1" applyBorder="1" applyAlignment="1">
      <alignment horizontal="center" vertical="center"/>
    </xf>
    <xf numFmtId="0" fontId="2" fillId="18" borderId="70" xfId="0" applyFont="1" applyFill="1" applyBorder="1" applyAlignment="1">
      <alignment horizontal="right" vertical="center" wrapText="1"/>
    </xf>
    <xf numFmtId="0" fontId="2" fillId="18" borderId="63" xfId="0" applyFont="1" applyFill="1" applyBorder="1" applyAlignment="1">
      <alignment horizontal="right" vertical="center" wrapText="1"/>
    </xf>
    <xf numFmtId="0" fontId="27" fillId="22" borderId="75" xfId="0" applyFont="1" applyFill="1" applyBorder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22" borderId="76" xfId="0" applyFont="1" applyFill="1" applyBorder="1" applyAlignment="1">
      <alignment horizontal="left" vertical="center" wrapText="1"/>
    </xf>
    <xf numFmtId="0" fontId="2" fillId="18" borderId="59" xfId="0" applyFont="1" applyFill="1" applyBorder="1" applyAlignment="1">
      <alignment horizontal="right" vertical="center" wrapText="1"/>
    </xf>
    <xf numFmtId="0" fontId="2" fillId="18" borderId="61" xfId="0" applyFont="1" applyFill="1" applyBorder="1" applyAlignment="1">
      <alignment horizontal="right" vertical="center" wrapText="1"/>
    </xf>
    <xf numFmtId="0" fontId="27" fillId="22" borderId="1" xfId="0" applyFont="1" applyFill="1" applyBorder="1" applyAlignment="1">
      <alignment horizontal="left" vertical="center" wrapText="1" indent="1"/>
    </xf>
    <xf numFmtId="0" fontId="41" fillId="5" borderId="56" xfId="0" applyFont="1" applyFill="1" applyBorder="1" applyAlignment="1">
      <alignment horizontal="center" vertical="center"/>
    </xf>
    <xf numFmtId="0" fontId="41" fillId="5" borderId="43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right" vertical="center" wrapText="1"/>
    </xf>
    <xf numFmtId="0" fontId="2" fillId="18" borderId="58" xfId="0" applyFont="1" applyFill="1" applyBorder="1" applyAlignment="1">
      <alignment horizontal="right" vertical="center" wrapText="1"/>
    </xf>
    <xf numFmtId="14" fontId="27" fillId="22" borderId="0" xfId="0" applyNumberFormat="1" applyFont="1" applyFill="1" applyAlignment="1">
      <alignment horizontal="left" vertical="center" wrapText="1"/>
    </xf>
    <xf numFmtId="0" fontId="2" fillId="5" borderId="57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7" fillId="22" borderId="77" xfId="0" applyFont="1" applyFill="1" applyBorder="1" applyAlignment="1">
      <alignment horizontal="left" vertical="center" wrapText="1"/>
    </xf>
    <xf numFmtId="0" fontId="27" fillId="22" borderId="78" xfId="0" applyFont="1" applyFill="1" applyBorder="1" applyAlignment="1">
      <alignment horizontal="left" vertical="center" wrapText="1"/>
    </xf>
    <xf numFmtId="0" fontId="27" fillId="22" borderId="79" xfId="0" applyFont="1" applyFill="1" applyBorder="1" applyAlignment="1">
      <alignment horizontal="left" vertical="center" wrapText="1"/>
    </xf>
    <xf numFmtId="0" fontId="27" fillId="22" borderId="69" xfId="0" applyFont="1" applyFill="1" applyBorder="1" applyAlignment="1">
      <alignment horizontal="left" vertical="center" wrapText="1" indent="1"/>
    </xf>
    <xf numFmtId="0" fontId="41" fillId="5" borderId="70" xfId="0" applyFont="1" applyFill="1" applyBorder="1" applyAlignment="1">
      <alignment horizontal="center" vertical="center"/>
    </xf>
    <xf numFmtId="0" fontId="27" fillId="22" borderId="80" xfId="0" applyFont="1" applyFill="1" applyBorder="1" applyAlignment="1">
      <alignment horizontal="left" vertical="center" wrapText="1" indent="1"/>
    </xf>
    <xf numFmtId="0" fontId="27" fillId="22" borderId="81" xfId="0" applyFont="1" applyFill="1" applyBorder="1" applyAlignment="1">
      <alignment horizontal="left" vertical="center" wrapText="1" indent="1"/>
    </xf>
    <xf numFmtId="0" fontId="27" fillId="22" borderId="82" xfId="0" applyFont="1" applyFill="1" applyBorder="1" applyAlignment="1">
      <alignment horizontal="left" vertical="center" wrapText="1" indent="1"/>
    </xf>
    <xf numFmtId="0" fontId="2" fillId="18" borderId="75" xfId="0" applyFont="1" applyFill="1" applyBorder="1" applyAlignment="1">
      <alignment horizontal="left" vertical="center" wrapText="1" inden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45" fillId="18" borderId="84" xfId="0" applyFont="1" applyFill="1" applyBorder="1" applyAlignment="1">
      <alignment horizontal="center" vertical="center" wrapText="1"/>
    </xf>
    <xf numFmtId="0" fontId="45" fillId="18" borderId="86" xfId="0" applyFont="1" applyFill="1" applyBorder="1" applyAlignment="1">
      <alignment horizontal="center" vertical="center" wrapText="1"/>
    </xf>
    <xf numFmtId="0" fontId="58" fillId="25" borderId="84" xfId="0" applyFont="1" applyFill="1" applyBorder="1" applyAlignment="1">
      <alignment horizontal="center" vertical="center" wrapText="1"/>
    </xf>
    <xf numFmtId="0" fontId="58" fillId="25" borderId="85" xfId="0" applyFont="1" applyFill="1" applyBorder="1" applyAlignment="1">
      <alignment horizontal="center" vertical="center" wrapText="1"/>
    </xf>
    <xf numFmtId="0" fontId="58" fillId="25" borderId="86" xfId="0" applyFont="1" applyFill="1" applyBorder="1" applyAlignment="1">
      <alignment horizontal="center" vertical="center" wrapText="1"/>
    </xf>
    <xf numFmtId="0" fontId="2" fillId="18" borderId="77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7" fillId="22" borderId="75" xfId="0" applyFont="1" applyFill="1" applyBorder="1" applyAlignment="1">
      <alignment horizontal="left" vertical="center" wrapText="1" indent="1"/>
    </xf>
    <xf numFmtId="0" fontId="27" fillId="22" borderId="0" xfId="0" applyFont="1" applyFill="1" applyAlignment="1">
      <alignment horizontal="left" vertical="center" wrapText="1" indent="1"/>
    </xf>
    <xf numFmtId="0" fontId="27" fillId="22" borderId="76" xfId="0" applyFont="1" applyFill="1" applyBorder="1" applyAlignment="1">
      <alignment horizontal="left" vertical="center" wrapText="1" indent="1"/>
    </xf>
    <xf numFmtId="0" fontId="27" fillId="22" borderId="77" xfId="0" applyFont="1" applyFill="1" applyBorder="1" applyAlignment="1">
      <alignment horizontal="left" vertical="center" wrapText="1" indent="1"/>
    </xf>
    <xf numFmtId="0" fontId="27" fillId="22" borderId="78" xfId="0" applyFont="1" applyFill="1" applyBorder="1" applyAlignment="1">
      <alignment horizontal="left" vertical="center" wrapText="1" indent="1"/>
    </xf>
    <xf numFmtId="0" fontId="27" fillId="22" borderId="79" xfId="0" applyFont="1" applyFill="1" applyBorder="1" applyAlignment="1">
      <alignment horizontal="left" vertical="center" wrapText="1" indent="1"/>
    </xf>
    <xf numFmtId="0" fontId="41" fillId="5" borderId="75" xfId="0" applyFont="1" applyFill="1" applyBorder="1" applyAlignment="1">
      <alignment horizontal="center" vertical="center"/>
    </xf>
    <xf numFmtId="0" fontId="41" fillId="5" borderId="77" xfId="0" applyFont="1" applyFill="1" applyBorder="1" applyAlignment="1">
      <alignment horizontal="center" vertical="center"/>
    </xf>
    <xf numFmtId="0" fontId="46" fillId="22" borderId="84" xfId="0" applyFont="1" applyFill="1" applyBorder="1" applyAlignment="1">
      <alignment horizontal="center" vertical="center" wrapText="1"/>
    </xf>
    <xf numFmtId="0" fontId="46" fillId="22" borderId="85" xfId="0" applyFont="1" applyFill="1" applyBorder="1" applyAlignment="1">
      <alignment horizontal="center" vertical="center" wrapText="1"/>
    </xf>
    <xf numFmtId="164" fontId="1" fillId="21" borderId="91" xfId="1" applyNumberFormat="1" applyFont="1" applyFill="1" applyBorder="1" applyAlignment="1">
      <alignment horizontal="center" vertical="center"/>
    </xf>
  </cellXfs>
  <cellStyles count="8">
    <cellStyle name="20 % - Accent1" xfId="3" builtinId="30"/>
    <cellStyle name="Milliers" xfId="1" builtinId="3"/>
    <cellStyle name="Milliers 2" xfId="5" xr:uid="{D08DB033-B380-4065-A3E8-A3C104940C71}"/>
    <cellStyle name="Monétaire" xfId="6" builtinId="4"/>
    <cellStyle name="Normal" xfId="0" builtinId="0"/>
    <cellStyle name="Normal 2" xfId="7" xr:uid="{F585B758-9EBF-475F-BB40-3BFEE0534B76}"/>
    <cellStyle name="Normal 3" xfId="4" xr:uid="{F811DF99-36E7-44D3-B27C-BBD855ABBD68}"/>
    <cellStyle name="Pourcentage" xfId="2" builtinId="5"/>
  </cellStyles>
  <dxfs count="379"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fgColor rgb="FFFF99CC"/>
          <bgColor rgb="FF000000"/>
        </patternFill>
      </fill>
    </dxf>
    <dxf>
      <fill>
        <patternFill patternType="solid">
          <fgColor rgb="FFFF99CC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23C08"/>
      </font>
      <fill>
        <patternFill>
          <bgColor theme="6" tint="0.59996337778862885"/>
        </patternFill>
      </fill>
    </dxf>
    <dxf>
      <numFmt numFmtId="164" formatCode="_-* #,##0_-;\-* #,##0_-;_-* &quot;-&quot;??_-;_-@_-"/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2D44EA"/>
        </patternFill>
      </fill>
    </dxf>
    <dxf>
      <fill>
        <patternFill>
          <bgColor rgb="FF2D44E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3300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numFmt numFmtId="164" formatCode="_-* #,##0_-;\-* #,##0_-;_-* &quot;-&quot;??_-;_-@_-"/>
    </dxf>
  </dxfs>
  <tableStyles count="0" defaultTableStyle="TableStyleMedium2" defaultPivotStyle="PivotStyleLight16"/>
  <colors>
    <mruColors>
      <color rgb="FFBDC4F9"/>
      <color rgb="FF89B6FF"/>
      <color rgb="FF0053DA"/>
      <color rgb="FFFF99CC"/>
      <color rgb="FF2D44EA"/>
      <color rgb="FFFFFFCC"/>
      <color rgb="FFFFFF66"/>
      <color rgb="FF648CFC"/>
      <color rgb="FF29539C"/>
      <color rgb="FF94A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styles" Target="styles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 b="1"/>
              <a:t>CIR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SYNTHESE!$C$4</c:f>
              <c:strCache>
                <c:ptCount val="1"/>
                <c:pt idx="0">
                  <c:v> CIR </c:v>
                </c:pt>
              </c:strCache>
            </c:strRef>
          </c:tx>
          <c:spPr>
            <a:solidFill>
              <a:srgbClr val="0053DA"/>
            </a:solidFill>
          </c:spPr>
          <c:explosion val="1"/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7DA-B249-A38E4B8F3CEE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7DA-B249-A38E4B8F3CEE}"/>
              </c:ext>
            </c:extLst>
          </c:dPt>
          <c:dPt>
            <c:idx val="2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7DA-B249-A38E4B8F3CEE}"/>
              </c:ext>
            </c:extLst>
          </c:dPt>
          <c:dPt>
            <c:idx val="3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A-49BE-9293-0F10D2CF02AD}"/>
              </c:ext>
            </c:extLst>
          </c:dPt>
          <c:dPt>
            <c:idx val="4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7DA-B249-A38E4B8F3CEE}"/>
              </c:ext>
            </c:extLst>
          </c:dPt>
          <c:dPt>
            <c:idx val="5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7DA-B249-A38E4B8F3CEE}"/>
              </c:ext>
            </c:extLst>
          </c:dPt>
          <c:dPt>
            <c:idx val="6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B0-41DA-8F5F-DB4C8AB2A479}"/>
              </c:ext>
            </c:extLst>
          </c:dPt>
          <c:dPt>
            <c:idx val="7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B0-41DA-8F5F-DB4C8AB2A479}"/>
              </c:ext>
            </c:extLst>
          </c:dPt>
          <c:dPt>
            <c:idx val="8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B0-41DA-8F5F-DB4C8AB2A479}"/>
              </c:ext>
            </c:extLst>
          </c:dPt>
          <c:dPt>
            <c:idx val="9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B0-41DA-8F5F-DB4C8AB2A479}"/>
              </c:ext>
            </c:extLst>
          </c:dPt>
          <c:dPt>
            <c:idx val="10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B0-41DA-8F5F-DB4C8AB2A479}"/>
              </c:ext>
            </c:extLst>
          </c:dPt>
          <c:dLbls>
            <c:dLbl>
              <c:idx val="0"/>
              <c:layout>
                <c:manualLayout>
                  <c:x val="0.15236303785563118"/>
                  <c:y val="0.1475157851354508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25-47DA-B249-A38E4B8F3CEE}"/>
                </c:ext>
              </c:extLst>
            </c:dLbl>
            <c:dLbl>
              <c:idx val="1"/>
              <c:layout>
                <c:manualLayout>
                  <c:x val="8.7408457358847155E-2"/>
                  <c:y val="-6.64672648720505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25-47DA-B249-A38E4B8F3CEE}"/>
                </c:ext>
              </c:extLst>
            </c:dLbl>
            <c:dLbl>
              <c:idx val="8"/>
              <c:layout>
                <c:manualLayout>
                  <c:x val="0.18904302845050547"/>
                  <c:y val="1.09270951952185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B0-41DA-8F5F-DB4C8AB2A47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SYNTHESE!$B$5:$B$18</c15:sqref>
                  </c15:fullRef>
                </c:ext>
              </c:extLst>
              <c:f>(SYNTHESE!$B$5:$B$6,SYNTHESE!$B$8,SYNTHESE!$B$10:$B$13,SYNTHESE!$B$15:$B$18)</c:f>
              <c:strCache>
                <c:ptCount val="11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fonctionnement</c:v>
                </c:pt>
                <c:pt idx="3">
                  <c:v>Dépenses de défense de brevets</c:v>
                </c:pt>
                <c:pt idx="4">
                  <c:v>Dotations aux amortissements des brevets</c:v>
                </c:pt>
                <c:pt idx="5">
                  <c:v>Dépenses de normalisation</c:v>
                </c:pt>
                <c:pt idx="6">
                  <c:v>Dépenses de primes et cotisations assurances brevets</c:v>
                </c:pt>
                <c:pt idx="7">
                  <c:v>Dépenses engagées auprès de prestataires externes privés ou publics français</c:v>
                </c:pt>
                <c:pt idx="8">
                  <c:v>Dépenses engagées auprès de prestataires externes privés ou publics communautaires</c:v>
                </c:pt>
                <c:pt idx="9">
                  <c:v>Dépenses engagées auprès de prestataires français avec lien de dépendance</c:v>
                </c:pt>
                <c:pt idx="10">
                  <c:v>Dépenses engagées auprès de prestataires communautaires avec lien de dépendance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SYNTHESE!$C$5:$C$18</c15:sqref>
                  </c15:fullRef>
                </c:ext>
              </c:extLst>
              <c:f>(SYNTHESE!$C$5:$C$6,SYNTHESE!$C$8,SYNTHESE!$C$10:$C$13,SYNTHESE!$C$15:$C$18)</c:f>
              <c:numCache>
                <c:formatCode>_-* #\ ##0_-;\-* #\ ##0_-;_-* "-"??_-;_-@_-</c:formatCode>
                <c:ptCount val="11"/>
                <c:pt idx="0">
                  <c:v>203475.58764846023</c:v>
                </c:pt>
                <c:pt idx="1">
                  <c:v>2048200.6980022709</c:v>
                </c:pt>
                <c:pt idx="2">
                  <c:v>981584.29037042777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170877.26</c:v>
                </c:pt>
                <c:pt idx="8">
                  <c:v>66109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SYNTHESE!$C$7</c15:sqref>
                  <c15:spPr xmlns:c15="http://schemas.microsoft.com/office/drawing/2012/chart">
                    <a:solidFill>
                      <a:srgbClr val="0053DA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SYNTHESE!$C$9</c15:sqref>
                  <c15:spPr xmlns:c15="http://schemas.microsoft.com/office/drawing/2012/chart">
                    <a:solidFill>
                      <a:schemeClr val="accent1">
                        <a:lumMod val="40000"/>
                        <a:lumOff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2"/>
                    <c:layout>
                      <c:manualLayout>
                        <c:x val="-4.1382553491652985E-2"/>
                        <c:y val="0.1283933685438183"/>
                      </c:manualLayout>
                    </c:layout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9-41BA-4209-A36E-DFE98055CDA6}"/>
                      </c:ext>
                    </c:extLst>
                  </c15:dLbl>
                </c15:categoryFilterException>
                <c15:categoryFilterException>
                  <c15:sqref>SYNTHESE!$C$14</c15:sqref>
                  <c15:spPr xmlns:c15="http://schemas.microsoft.com/office/drawing/2012/chart">
                    <a:solidFill>
                      <a:schemeClr val="tx2">
                        <a:lumMod val="75000"/>
                        <a:lumOff val="2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C-7025-47DA-B249-A38E4B8F3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45105745319489"/>
          <c:y val="0.14061374691703246"/>
          <c:w val="0.53509788509361023"/>
          <c:h val="0.73183438077113416"/>
        </c:manualLayout>
      </c:layout>
      <c:pieChart>
        <c:varyColors val="1"/>
        <c:ser>
          <c:idx val="0"/>
          <c:order val="0"/>
          <c:tx>
            <c:strRef>
              <c:f>SYNTHESE!$D$4</c:f>
              <c:strCache>
                <c:ptCount val="1"/>
                <c:pt idx="0">
                  <c:v> CII </c:v>
                </c:pt>
              </c:strCache>
            </c:strRef>
          </c:tx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(SYNTHESE!$B$5:$B$6,SYNTHESE!$B$9:$B$10,SYNTHESE!$B$15)</c:f>
              <c:strCache>
                <c:ptCount val="5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prise et maintenance de brevets</c:v>
                </c:pt>
                <c:pt idx="3">
                  <c:v>Dépenses de défense de brevets</c:v>
                </c:pt>
                <c:pt idx="4">
                  <c:v>Dépenses engagées auprès de prestataires externes privés ou publics français</c:v>
                </c:pt>
              </c:strCache>
            </c:strRef>
          </c:cat>
          <c:val>
            <c:numRef>
              <c:f>(SYNTHESE!$D$5:$D$6,SYNTHESE!$D$9:$D$10,SYNTHESE!$D$15)</c:f>
            </c:numRef>
          </c:val>
          <c:extLst>
            <c:ext xmlns:c16="http://schemas.microsoft.com/office/drawing/2014/chart" uri="{C3380CC4-5D6E-409C-BE32-E72D297353CC}">
              <c16:uniqueId val="{0000000A-66AB-4F0A-8A49-DC6151705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PPT!$S$29</c:f>
              <c:strCache>
                <c:ptCount val="1"/>
                <c:pt idx="0">
                  <c:v>Heures CIR</c:v>
                </c:pt>
              </c:strCache>
            </c:strRef>
          </c:tx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6-4E8B-AF8C-3D94126844AB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3C6-4E8B-AF8C-3D94126844AB}"/>
              </c:ext>
            </c:extLst>
          </c:dPt>
          <c:dPt>
            <c:idx val="2"/>
            <c:bubble3D val="0"/>
            <c:spPr>
              <a:solidFill>
                <a:srgbClr val="192D4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3C6-4E8B-AF8C-3D94126844AB}"/>
              </c:ext>
            </c:extLst>
          </c:dPt>
          <c:dLbls>
            <c:dLbl>
              <c:idx val="0"/>
              <c:layout>
                <c:manualLayout>
                  <c:x val="2.4731723916616457E-2"/>
                  <c:y val="1.837726706018128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C6-4E8B-AF8C-3D94126844AB}"/>
                </c:ext>
              </c:extLst>
            </c:dLbl>
            <c:dLbl>
              <c:idx val="1"/>
              <c:layout>
                <c:manualLayout>
                  <c:x val="-6.5424547782212171E-3"/>
                  <c:y val="6.615816141665294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C6-4E8B-AF8C-3D94126844AB}"/>
                </c:ext>
              </c:extLst>
            </c:dLbl>
            <c:dLbl>
              <c:idx val="2"/>
              <c:layout>
                <c:manualLayout>
                  <c:x val="-6.991614428884955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C6-4E8B-AF8C-3D94126844A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PPT!$R$30:$R$38</c15:sqref>
                  </c15:fullRef>
                </c:ext>
              </c:extLst>
              <c:f>(PPT!$R$30:$R$34,PPT!$R$36,PPT!$R$38)</c:f>
              <c:strCache>
                <c:ptCount val="3"/>
                <c:pt idx="0">
                  <c:v>Chercheur</c:v>
                </c:pt>
                <c:pt idx="1">
                  <c:v>Technicien</c:v>
                </c:pt>
                <c:pt idx="2">
                  <c:v>Stagiaire/apprenti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PPT!$S$30:$S$38</c15:sqref>
                  </c15:fullRef>
                </c:ext>
              </c:extLst>
              <c:f>(PPT!$S$30:$S$34,PPT!$S$36,PPT!$S$38)</c:f>
              <c:numCache>
                <c:formatCode>_-* #\ ##0_-;\-* #\ ##0_-;_-* "-"??_-;_-@_-</c:formatCode>
                <c:ptCount val="3"/>
                <c:pt idx="0">
                  <c:v>25796.136000000017</c:v>
                </c:pt>
                <c:pt idx="1">
                  <c:v>15399.840000000002</c:v>
                </c:pt>
                <c:pt idx="2">
                  <c:v>2619.83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PPT!$S$35</c15:sqref>
                  <c15:spPr xmlns:c15="http://schemas.microsoft.com/office/drawing/2012/chart">
                    <a:solidFill>
                      <a:srgbClr val="BDC4F9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1"/>
                    <c:layout>
                      <c:manualLayout>
                        <c:x val="4.8218030544034125E-2"/>
                        <c:y val="0.12128996259719693"/>
                      </c:manualLayout>
                    </c:layout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D-06A0-48EA-A677-5450500C08D0}"/>
                      </c:ext>
                    </c:extLst>
                  </c15:dLbl>
                </c15:categoryFilterException>
                <c15:categoryFilterException>
                  <c15:sqref>PPT!$S$37</c15:sqref>
                  <c15:spPr xmlns:c15="http://schemas.microsoft.com/office/drawing/2012/chart">
                    <a:solidFill>
                      <a:srgbClr val="FD6917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2"/>
                    <c:layout>
                      <c:manualLayout>
                        <c:x val="-9.4025159560866642E-2"/>
                        <c:y val="9.5561788712943033E-2"/>
                      </c:manualLayout>
                    </c:layout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F-06A0-48EA-A677-5450500C08D0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C3C6-4E8B-AF8C-3D9412684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PPT!$T$29</c15:sqref>
                        </c15:formulaRef>
                      </c:ext>
                    </c:extLst>
                    <c:strCache>
                      <c:ptCount val="1"/>
                      <c:pt idx="0">
                        <c:v>Dépenses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3-89E5-4294-BA70-88B36F592AF2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89E5-4294-BA70-88B36F592AF2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89E5-4294-BA70-88B36F592AF2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PPT!$R$30:$R$38</c15:sqref>
                        </c15:fullRef>
                        <c15:formulaRef>
                          <c15:sqref>(PPT!$R$30:$R$34,PPT!$R$36,PPT!$R$38)</c15:sqref>
                        </c15:formulaRef>
                      </c:ext>
                    </c:extLst>
                    <c:strCache>
                      <c:ptCount val="3"/>
                      <c:pt idx="0">
                        <c:v>Chercheur</c:v>
                      </c:pt>
                      <c:pt idx="1">
                        <c:v>Technicien</c:v>
                      </c:pt>
                      <c:pt idx="2">
                        <c:v>Stagiaire/apprenti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PPT!$T$30:$T$38</c15:sqref>
                        </c15:fullRef>
                        <c15:formulaRef>
                          <c15:sqref>(PPT!$T$30:$T$34,PPT!$T$36,PPT!$T$38)</c15:sqref>
                        </c15:formulaRef>
                      </c:ext>
                    </c:extLst>
                    <c:numCache>
                      <c:formatCode>_-* #\ ##0_-;\-* #\ ##0_-;_-* "-"??_-;_-@_-</c:formatCode>
                      <c:ptCount val="3"/>
                      <c:pt idx="0">
                        <c:v>1503600.8920527666</c:v>
                      </c:pt>
                      <c:pt idx="1">
                        <c:v>506000.55988307431</c:v>
                      </c:pt>
                      <c:pt idx="2">
                        <c:v>22993.145606446524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PPT!$T$35</c15:sqref>
                        <c15:spPr xmlns:c15="http://schemas.microsoft.com/office/drawing/2012/chart">
                          <a:solidFill>
                            <a:schemeClr val="accent3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  <c15:categoryFilterException>
                        <c15:sqref>PPT!$T$37</c15:sqref>
                        <c15:spPr xmlns:c15="http://schemas.microsoft.com/office/drawing/2012/chart">
                          <a:solidFill>
                            <a:schemeClr val="accent5"/>
                          </a:solidFill>
                          <a:ln w="19050">
                            <a:solidFill>
                              <a:schemeClr val="lt1"/>
                            </a:solidFill>
                          </a:ln>
                          <a:effectLst/>
                        </c15:spPr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1-C3C6-4E8B-AF8C-3D94126844AB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PPT!$AI$29</c:f>
              <c:strCache>
                <c:ptCount val="1"/>
                <c:pt idx="0">
                  <c:v>Heures CII</c:v>
                </c:pt>
              </c:strCache>
            </c:strRef>
          </c:tx>
          <c:spPr>
            <a:solidFill>
              <a:srgbClr val="0000FF"/>
            </a:solidFill>
          </c:spPr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3-43D3-8AA3-5CC26836FD27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3-43D3-8AA3-5CC26836FD27}"/>
              </c:ext>
            </c:extLst>
          </c:dPt>
          <c:dPt>
            <c:idx val="2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73-43D3-8AA3-5CC26836FD27}"/>
              </c:ext>
            </c:extLst>
          </c:dPt>
          <c:dPt>
            <c:idx val="3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73-43D3-8AA3-5CC26836FD27}"/>
              </c:ext>
            </c:extLst>
          </c:dPt>
          <c:dPt>
            <c:idx val="4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PPT!$AH$30:$AH$38</c:f>
              <c:strCache>
                <c:ptCount val="5"/>
                <c:pt idx="0">
                  <c:v>Chercheur</c:v>
                </c:pt>
                <c:pt idx="1">
                  <c:v>Technicien</c:v>
                </c:pt>
                <c:pt idx="2">
                  <c:v>Thésard</c:v>
                </c:pt>
                <c:pt idx="3">
                  <c:v>Stagiaire/apprenti</c:v>
                </c:pt>
                <c:pt idx="4">
                  <c:v>Profil à risque (acheteur, qualité)</c:v>
                </c:pt>
              </c:strCache>
            </c:strRef>
          </c:cat>
          <c:val>
            <c:numRef>
              <c:f>PPT!$AI$30:$AI$38</c:f>
              <c:numCache>
                <c:formatCode>_-* #\ ##0_-;\-* #\ ##0_-;_-*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73-43D3-8AA3-5CC26836FD27}"/>
            </c:ext>
          </c:extLst>
        </c:ser>
        <c:ser>
          <c:idx val="1"/>
          <c:order val="1"/>
          <c:tx>
            <c:strRef>
              <c:f>PPT!$AJ$29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573-43D3-8AA3-5CC26836FD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573-43D3-8AA3-5CC26836FD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573-43D3-8AA3-5CC26836FD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573-43D3-8AA3-5CC26836FD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PPT!$AH$30:$AH$38</c:f>
              <c:strCache>
                <c:ptCount val="5"/>
                <c:pt idx="0">
                  <c:v>Chercheur</c:v>
                </c:pt>
                <c:pt idx="1">
                  <c:v>Technicien</c:v>
                </c:pt>
                <c:pt idx="2">
                  <c:v>Thésard</c:v>
                </c:pt>
                <c:pt idx="3">
                  <c:v>Stagiaire/apprenti</c:v>
                </c:pt>
                <c:pt idx="4">
                  <c:v>Profil à risque (acheteur, qualité)</c:v>
                </c:pt>
              </c:strCache>
            </c:strRef>
          </c:cat>
          <c:val>
            <c:numRef>
              <c:f>PPT!$AJ$30:$AJ$38</c:f>
              <c:numCache>
                <c:formatCode>_-* #\ ##0_-;\-* #\ ##0_-;_-*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73-43D3-8AA3-5CC26836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762000</xdr:colOff>
      <xdr:row>3</xdr:row>
      <xdr:rowOff>13607</xdr:rowOff>
    </xdr:from>
    <xdr:to>
      <xdr:col>16</xdr:col>
      <xdr:colOff>758617</xdr:colOff>
      <xdr:row>24</xdr:row>
      <xdr:rowOff>317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A3E3DA5-BFC0-6E96-5054-522BF9BD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544286"/>
          <a:ext cx="8907118" cy="42163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342900</xdr:rowOff>
    </xdr:from>
    <xdr:to>
      <xdr:col>3</xdr:col>
      <xdr:colOff>1077144</xdr:colOff>
      <xdr:row>16</xdr:row>
      <xdr:rowOff>723953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9DB0468-0731-5DFA-C733-0100C14C5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62550"/>
          <a:ext cx="5868219" cy="381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0</xdr:col>
          <xdr:colOff>2571750</xdr:colOff>
          <xdr:row>1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6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179</xdr:row>
      <xdr:rowOff>133350</xdr:rowOff>
    </xdr:from>
    <xdr:to>
      <xdr:col>5</xdr:col>
      <xdr:colOff>209550</xdr:colOff>
      <xdr:row>184</xdr:row>
      <xdr:rowOff>142875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45C59CF8-5E64-49E4-B18D-1C73C3CA9816}"/>
            </a:ext>
          </a:extLst>
        </xdr:cNvPr>
        <xdr:cNvSpPr txBox="1"/>
      </xdr:nvSpPr>
      <xdr:spPr>
        <a:xfrm>
          <a:off x="0" y="37118925"/>
          <a:ext cx="689610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W2BC</a:t>
          </a:r>
          <a:r>
            <a:rPr lang="fr-FR" sz="1100" baseline="0"/>
            <a:t> : déduction complète : </a:t>
          </a:r>
          <a:r>
            <a:rPr lang="fr-FR" sz="1100"/>
            <a:t>43 250</a:t>
          </a:r>
        </a:p>
        <a:p>
          <a:r>
            <a:rPr lang="fr-FR" sz="1100"/>
            <a:t>ADEME : déduction</a:t>
          </a:r>
          <a:r>
            <a:rPr lang="fr-FR" sz="1100" baseline="0"/>
            <a:t> subvention et avance remboursable : 390 244 et 260 133</a:t>
          </a:r>
        </a:p>
        <a:p>
          <a:r>
            <a:rPr lang="fr-FR" sz="1100" baseline="0"/>
            <a:t>BPI france relance : solde subvention : déduction de zéro car déjà purgé</a:t>
          </a:r>
        </a:p>
        <a:p>
          <a:r>
            <a:rPr lang="fr-FR" sz="1100" baseline="0"/>
            <a:t>I-Nov : Déduction de 399 844 : 299 882 de subvention et  99 962 d'avances remboursables</a:t>
          </a:r>
        </a:p>
        <a:p>
          <a:r>
            <a:rPr lang="fr-FR" sz="1100"/>
            <a:t>ANRT</a:t>
          </a:r>
          <a:r>
            <a:rPr lang="fr-FR" sz="1100" baseline="0"/>
            <a:t> : Déduction de 12 375 de thèse ANRT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161925</xdr:rowOff>
        </xdr:from>
        <xdr:to>
          <xdr:col>14</xdr:col>
          <xdr:colOff>571500</xdr:colOff>
          <xdr:row>4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5</xdr:row>
          <xdr:rowOff>104775</xdr:rowOff>
        </xdr:from>
        <xdr:to>
          <xdr:col>14</xdr:col>
          <xdr:colOff>571500</xdr:colOff>
          <xdr:row>7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</xdr:row>
          <xdr:rowOff>180975</xdr:rowOff>
        </xdr:from>
        <xdr:to>
          <xdr:col>14</xdr:col>
          <xdr:colOff>552450</xdr:colOff>
          <xdr:row>11</xdr:row>
          <xdr:rowOff>28575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12</xdr:row>
          <xdr:rowOff>76200</xdr:rowOff>
        </xdr:from>
        <xdr:to>
          <xdr:col>14</xdr:col>
          <xdr:colOff>504825</xdr:colOff>
          <xdr:row>14</xdr:row>
          <xdr:rowOff>66675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masquer les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15</xdr:row>
          <xdr:rowOff>76200</xdr:rowOff>
        </xdr:from>
        <xdr:to>
          <xdr:col>14</xdr:col>
          <xdr:colOff>457200</xdr:colOff>
          <xdr:row>17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7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les 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8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5</xdr:row>
          <xdr:rowOff>104775</xdr:rowOff>
        </xdr:from>
        <xdr:to>
          <xdr:col>12</xdr:col>
          <xdr:colOff>571500</xdr:colOff>
          <xdr:row>7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8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8</xdr:row>
          <xdr:rowOff>180975</xdr:rowOff>
        </xdr:from>
        <xdr:to>
          <xdr:col>12</xdr:col>
          <xdr:colOff>552450</xdr:colOff>
          <xdr:row>11</xdr:row>
          <xdr:rowOff>28575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8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1600200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des colonnes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781050</xdr:colOff>
          <xdr:row>1</xdr:row>
          <xdr:rowOff>200025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Etirer les formules à droite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333375</xdr:colOff>
          <xdr:row>1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352425</xdr:colOff>
          <xdr:row>1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C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Immo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123825</xdr:rowOff>
        </xdr:from>
        <xdr:to>
          <xdr:col>5</xdr:col>
          <xdr:colOff>542925</xdr:colOff>
          <xdr:row>0</xdr:row>
          <xdr:rowOff>323850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C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1047750</xdr:colOff>
          <xdr:row>0</xdr:row>
          <xdr:rowOff>19050</xdr:rowOff>
        </xdr:from>
        <xdr:to>
          <xdr:col>9</xdr:col>
          <xdr:colOff>742950</xdr:colOff>
          <xdr:row>1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0</xdr:rowOff>
        </xdr:from>
        <xdr:to>
          <xdr:col>6</xdr:col>
          <xdr:colOff>123825</xdr:colOff>
          <xdr:row>1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1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B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19050</xdr:colOff>
          <xdr:row>1</xdr:row>
          <xdr:rowOff>19050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B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ST Q1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19050</xdr:colOff>
          <xdr:row>1</xdr:row>
          <xdr:rowOff>19050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C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38100</xdr:colOff>
          <xdr:row>1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D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53974</xdr:colOff>
      <xdr:row>2</xdr:row>
      <xdr:rowOff>132556</xdr:rowOff>
    </xdr:from>
    <xdr:to>
      <xdr:col>13</xdr:col>
      <xdr:colOff>317499</xdr:colOff>
      <xdr:row>24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1A5C17-E4F2-4FE4-9285-3214B112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28574</xdr:colOff>
      <xdr:row>26</xdr:row>
      <xdr:rowOff>11112</xdr:rowOff>
    </xdr:from>
    <xdr:to>
      <xdr:col>13</xdr:col>
      <xdr:colOff>349250</xdr:colOff>
      <xdr:row>50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3066F64-02BD-6046-8188-27070DF8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744951</xdr:colOff>
      <xdr:row>39</xdr:row>
      <xdr:rowOff>143886</xdr:rowOff>
    </xdr:from>
    <xdr:to>
      <xdr:col>28</xdr:col>
      <xdr:colOff>189326</xdr:colOff>
      <xdr:row>57</xdr:row>
      <xdr:rowOff>170242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4AA474-D5F0-CFC0-55A8-7E97D3C7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751568</xdr:colOff>
      <xdr:row>39</xdr:row>
      <xdr:rowOff>170997</xdr:rowOff>
    </xdr:from>
    <xdr:to>
      <xdr:col>43</xdr:col>
      <xdr:colOff>464911</xdr:colOff>
      <xdr:row>58</xdr:row>
      <xdr:rowOff>6853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7198004-0715-45FA-83B9-C11998B5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971550</xdr:colOff>
          <xdr:row>0</xdr:row>
          <xdr:rowOff>152400</xdr:rowOff>
        </xdr:from>
        <xdr:to>
          <xdr:col>2</xdr:col>
          <xdr:colOff>3838575</xdr:colOff>
          <xdr:row>1</xdr:row>
          <xdr:rowOff>304800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24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Prévisionnel JEI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iserveur\DOCUMENTS%20METHODOLOGIE%20AUDIT\BUSINOVE%20-%20Dossier%20Unique%20de%20Mission_2012_v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Biotech\PILI\2025\2%20-%20Valorisation%20des%20D&#233;penses\0_FTRA\Traitement%20subvention%20-%20ADEME.xlsx" TargetMode="External"/><Relationship Id="rId1" Type="http://schemas.openxmlformats.org/officeDocument/2006/relationships/externalLinkPath" Target="0_FTRA/Traitement%20subvention%20-%20ADEME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Biotech\PILI\2025\2%20-%20Valorisation%20des%20D&#233;penses\0_FTRA\Traitement%20subvention%20-%20INOV.xlsx" TargetMode="External"/><Relationship Id="rId1" Type="http://schemas.openxmlformats.org/officeDocument/2006/relationships/externalLinkPath" Target="0_FTRA/Traitement%20subvention%20-%20INOV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Biotech\PILI\2025\2%20-%20Valorisation%20des%20D&#233;penses\0_FTRA\2025%20-%20PILI%20-%20Amortissements%20V2.xlsx" TargetMode="External"/><Relationship Id="rId1" Type="http://schemas.openxmlformats.org/officeDocument/2006/relationships/externalLinkPath" Target="0_FTRA/2025%20-%20PILI%20-%20Amortissements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ommaire"/>
      <sheetName val="Lot1 Société"/>
      <sheetName val="Lot2 Projets R&amp;D"/>
      <sheetName val="Lot3 Valorisation financière"/>
      <sheetName val="Lot4 Dossier Justificatif"/>
      <sheetName val="Lot5 Entretiens - Documents"/>
      <sheetName val="Lot6 Workflow mission"/>
      <sheetName val="Données Listes"/>
      <sheetName val="Projets Vierges"/>
      <sheetName val="Lot1_Société"/>
      <sheetName val="Lot2_Projets_R&amp;D"/>
      <sheetName val="Lot3_Valorisation_financière"/>
      <sheetName val="Lot4_Dossier_Justificatif"/>
      <sheetName val="Lot5_Entretiens_-_Documents"/>
      <sheetName val="Lot6_Workflow_mission"/>
      <sheetName val="Données_Listes"/>
      <sheetName val="Projets_Vierges"/>
      <sheetName val="Lot1_Société1"/>
      <sheetName val="Lot2_Projets_R&amp;D1"/>
      <sheetName val="Lot3_Valorisation_financière1"/>
      <sheetName val="Lot4_Dossier_Justificatif1"/>
      <sheetName val="Lot5_Entretiens_-_Documents1"/>
      <sheetName val="Lot6_Workflow_mission1"/>
      <sheetName val="Données_Listes1"/>
      <sheetName val="Projets_Vierges1"/>
      <sheetName val="Lot1_Société5"/>
      <sheetName val="Lot2_Projets_R&amp;D5"/>
      <sheetName val="Lot3_Valorisation_financière5"/>
      <sheetName val="Lot4_Dossier_Justificatif5"/>
      <sheetName val="Lot5_Entretiens_-_Documents5"/>
      <sheetName val="Lot6_Workflow_mission5"/>
      <sheetName val="Données_Listes5"/>
      <sheetName val="Projets_Vierges5"/>
      <sheetName val="Lot1_Société2"/>
      <sheetName val="Lot2_Projets_R&amp;D2"/>
      <sheetName val="Lot3_Valorisation_financière2"/>
      <sheetName val="Lot4_Dossier_Justificatif2"/>
      <sheetName val="Lot5_Entretiens_-_Documents2"/>
      <sheetName val="Lot6_Workflow_mission2"/>
      <sheetName val="Données_Listes2"/>
      <sheetName val="Projets_Vierges2"/>
      <sheetName val="Lot1_Société4"/>
      <sheetName val="Lot2_Projets_R&amp;D4"/>
      <sheetName val="Lot3_Valorisation_financière4"/>
      <sheetName val="Lot4_Dossier_Justificatif4"/>
      <sheetName val="Lot5_Entretiens_-_Documents4"/>
      <sheetName val="Lot6_Workflow_mission4"/>
      <sheetName val="Données_Listes4"/>
      <sheetName val="Projets_Vierges4"/>
      <sheetName val="Lot1_Société3"/>
      <sheetName val="Lot2_Projets_R&amp;D3"/>
      <sheetName val="Lot3_Valorisation_financière3"/>
      <sheetName val="Lot4_Dossier_Justificatif3"/>
      <sheetName val="Lot5_Entretiens_-_Documents3"/>
      <sheetName val="Lot6_Workflow_mission3"/>
      <sheetName val="Données_Listes3"/>
      <sheetName val="Projets_Vierges3"/>
      <sheetName val="Lot1_Société6"/>
      <sheetName val="Lot2_Projets_R&amp;D6"/>
      <sheetName val="Lot3_Valorisation_financière6"/>
      <sheetName val="Lot4_Dossier_Justificatif6"/>
      <sheetName val="Lot5_Entretiens_-_Documents6"/>
      <sheetName val="Lot6_Workflow_mission6"/>
      <sheetName val="Données_Listes6"/>
      <sheetName val="Projets_Vierges6"/>
      <sheetName val="Lot1_Société7"/>
      <sheetName val="Lot2_Projets_R&amp;D7"/>
      <sheetName val="Lot3_Valorisation_financière7"/>
      <sheetName val="Lot4_Dossier_Justificatif7"/>
      <sheetName val="Lot5_Entretiens_-_Documents7"/>
      <sheetName val="Lot6_Workflow_mission7"/>
      <sheetName val="Données_Listes7"/>
      <sheetName val="Projets_Vierges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-- Sélectionner --</v>
          </cell>
          <cell r="C2" t="str">
            <v>-- Sélectionner --</v>
          </cell>
          <cell r="D2" t="str">
            <v>-- Sélectionner --</v>
          </cell>
          <cell r="E2" t="str">
            <v>-- Sélectionner --</v>
          </cell>
          <cell r="F2" t="str">
            <v>-- Sélectionner --</v>
          </cell>
          <cell r="G2" t="str">
            <v>-- Sélectionner --</v>
          </cell>
          <cell r="H2" t="str">
            <v>-- Sélectionner --</v>
          </cell>
          <cell r="I2" t="str">
            <v>-- Sélectionner --</v>
          </cell>
        </row>
        <row r="3">
          <cell r="B3" t="str">
            <v>Janvier</v>
          </cell>
          <cell r="C3" t="str">
            <v>Administration</v>
          </cell>
          <cell r="D3" t="str">
            <v>cyclique</v>
          </cell>
          <cell r="E3" t="str">
            <v>A1 Automatique</v>
          </cell>
          <cell r="F3" t="str">
            <v>Gestion Interne</v>
          </cell>
          <cell r="G3" t="str">
            <v>1 - Analyses (chimiques, bactériologiques)</v>
          </cell>
          <cell r="H3" t="str">
            <v>1 - Analyses (chimiques, bactériologiques)</v>
          </cell>
          <cell r="I3" t="str">
            <v>Client - Oral</v>
          </cell>
        </row>
        <row r="4">
          <cell r="B4" t="str">
            <v>Février</v>
          </cell>
          <cell r="C4" t="str">
            <v>Association</v>
          </cell>
          <cell r="D4" t="str">
            <v>limité dans le temps</v>
          </cell>
          <cell r="E4" t="str">
            <v>A2 Electronique</v>
          </cell>
          <cell r="F4" t="str">
            <v>Prestataire Externe</v>
          </cell>
          <cell r="G4" t="str">
            <v>2 - Essais (mécaniques, de corrosion, d'endurance)</v>
          </cell>
          <cell r="H4" t="str">
            <v>2 - Essais (mécaniques, de corrosion, d'endurance)</v>
          </cell>
          <cell r="I4" t="str">
            <v>Client - Doc</v>
          </cell>
        </row>
        <row r="5">
          <cell r="B5" t="str">
            <v>Mars</v>
          </cell>
          <cell r="C5" t="str">
            <v xml:space="preserve">Auto-Entrepreneur </v>
          </cell>
          <cell r="D5" t="str">
            <v>permanent</v>
          </cell>
          <cell r="E5" t="str">
            <v>A3 Génie électronique</v>
          </cell>
          <cell r="F5" t="str">
            <v>Expert Comptable</v>
          </cell>
          <cell r="G5" t="str">
            <v>3 - Mesures et contrôles</v>
          </cell>
          <cell r="H5" t="str">
            <v>3 - Mesures et contrôles</v>
          </cell>
          <cell r="I5" t="str">
            <v>Web - Page</v>
          </cell>
        </row>
        <row r="6">
          <cell r="B6" t="str">
            <v>Avril</v>
          </cell>
          <cell r="C6" t="str">
            <v>EIRL</v>
          </cell>
          <cell r="D6" t="str">
            <v>Attente Client</v>
          </cell>
          <cell r="E6" t="str">
            <v>A4 Télécommunications</v>
          </cell>
          <cell r="F6" t="str">
            <v>Expert Fiscaliste</v>
          </cell>
          <cell r="G6" t="str">
            <v>4 - Certification</v>
          </cell>
          <cell r="H6" t="str">
            <v>4 - Certification</v>
          </cell>
          <cell r="I6" t="str">
            <v>Web - Fichier</v>
          </cell>
        </row>
        <row r="7">
          <cell r="B7" t="str">
            <v>Mai</v>
          </cell>
          <cell r="C7" t="str">
            <v>Entreprise Individuelle</v>
          </cell>
          <cell r="D7" t="str">
            <v>NA</v>
          </cell>
          <cell r="E7" t="str">
            <v>A5 Informatique</v>
          </cell>
          <cell r="F7" t="str">
            <v>Hors CIR</v>
          </cell>
          <cell r="G7" t="str">
            <v>5 - Assistance technique, conseil</v>
          </cell>
          <cell r="H7" t="str">
            <v>5 - Assistance technique, conseil</v>
          </cell>
          <cell r="I7" t="str">
            <v>Autre</v>
          </cell>
        </row>
        <row r="8">
          <cell r="B8" t="str">
            <v>Juin</v>
          </cell>
          <cell r="C8" t="str">
            <v>EURL</v>
          </cell>
          <cell r="E8" t="str">
            <v>A6 Optique</v>
          </cell>
          <cell r="F8" t="str">
            <v>Client</v>
          </cell>
          <cell r="G8" t="str">
            <v>6 - Recherches sur contrat</v>
          </cell>
          <cell r="H8" t="str">
            <v>6 - Recherches sur contrat</v>
          </cell>
          <cell r="I8" t="str">
            <v>Attente Client</v>
          </cell>
        </row>
        <row r="9">
          <cell r="B9" t="str">
            <v>Juillet</v>
          </cell>
          <cell r="C9" t="str">
            <v>Fondation</v>
          </cell>
          <cell r="E9" t="str">
            <v>B1 Biologie</v>
          </cell>
          <cell r="F9" t="str">
            <v>Attente Client</v>
          </cell>
          <cell r="G9" t="str">
            <v>7 - Formation</v>
          </cell>
          <cell r="H9" t="str">
            <v>7 - Formation</v>
          </cell>
          <cell r="I9" t="str">
            <v>NA</v>
          </cell>
        </row>
        <row r="10">
          <cell r="B10" t="str">
            <v>Août</v>
          </cell>
          <cell r="C10" t="str">
            <v>GIE</v>
          </cell>
          <cell r="E10" t="str">
            <v>B2 Botanique</v>
          </cell>
          <cell r="F10" t="str">
            <v>NA</v>
          </cell>
          <cell r="G10" t="str">
            <v>8 - Simulation, modélisation, calcul</v>
          </cell>
          <cell r="H10" t="str">
            <v>8 - Simulation, modélisation, calcul</v>
          </cell>
        </row>
        <row r="11">
          <cell r="B11" t="str">
            <v>Septembre</v>
          </cell>
          <cell r="C11" t="str">
            <v>SA</v>
          </cell>
          <cell r="E11" t="str">
            <v>C Chimie</v>
          </cell>
          <cell r="G11" t="str">
            <v>9 - Expertises, audit</v>
          </cell>
          <cell r="H11" t="str">
            <v>9 - Expertises, audit</v>
          </cell>
        </row>
        <row r="12">
          <cell r="B12" t="str">
            <v>Octobre</v>
          </cell>
          <cell r="C12" t="str">
            <v>SARL</v>
          </cell>
          <cell r="E12" t="str">
            <v>E Economie, Sciences de la Gestion</v>
          </cell>
          <cell r="G12" t="str">
            <v>10 - Commercial</v>
          </cell>
          <cell r="H12" t="str">
            <v>10 - Commercial</v>
          </cell>
        </row>
        <row r="13">
          <cell r="B13" t="str">
            <v>Novembre</v>
          </cell>
          <cell r="C13" t="str">
            <v xml:space="preserve">SARL à capital variable </v>
          </cell>
          <cell r="E13" t="str">
            <v>G1 Génie des matériaux</v>
          </cell>
          <cell r="G13" t="str">
            <v>11 - Essais cliniques non précisés</v>
          </cell>
          <cell r="H13" t="str">
            <v>11 - Essais cliniques non précisés</v>
          </cell>
        </row>
        <row r="14">
          <cell r="B14" t="str">
            <v>Décembre</v>
          </cell>
          <cell r="C14" t="str">
            <v>SAS</v>
          </cell>
          <cell r="E14" t="str">
            <v>G2 Génie civil</v>
          </cell>
          <cell r="G14" t="str">
            <v>12 - Essais cliniques Ph I à IIIb</v>
          </cell>
          <cell r="H14" t="str">
            <v>12 - Essais cliniques Ph I à IIIb</v>
          </cell>
        </row>
        <row r="15">
          <cell r="B15" t="str">
            <v>Attente Client</v>
          </cell>
          <cell r="C15" t="str">
            <v>SASU</v>
          </cell>
          <cell r="E15" t="str">
            <v>G3 Mécanique</v>
          </cell>
          <cell r="G15" t="str">
            <v>13 - Essais cliniques Ph IV</v>
          </cell>
          <cell r="H15" t="str">
            <v>13 - Essais cliniques Ph IV</v>
          </cell>
        </row>
        <row r="16">
          <cell r="B16" t="str">
            <v>NA</v>
          </cell>
          <cell r="C16" t="str">
            <v>SCI</v>
          </cell>
          <cell r="E16" t="str">
            <v>G4 Acoustique</v>
          </cell>
          <cell r="G16" t="str">
            <v>14 - Essais cliniques vétérinaires préAMM</v>
          </cell>
          <cell r="H16" t="str">
            <v>14 - Essais cliniques vétérinaires préAMM</v>
          </cell>
        </row>
        <row r="17">
          <cell r="C17" t="str">
            <v>SCOP</v>
          </cell>
          <cell r="E17" t="str">
            <v>H1 Sciences médicales</v>
          </cell>
          <cell r="G17" t="str">
            <v>Attente Client</v>
          </cell>
          <cell r="H17" t="str">
            <v>Attente Client</v>
          </cell>
        </row>
        <row r="18">
          <cell r="C18" t="str">
            <v>SNC</v>
          </cell>
          <cell r="E18" t="str">
            <v>H2 Sciences pharmacologiques</v>
          </cell>
          <cell r="G18" t="str">
            <v>NA</v>
          </cell>
          <cell r="H18" t="str">
            <v>NA</v>
          </cell>
        </row>
        <row r="19">
          <cell r="C19" t="str">
            <v>Attente Client</v>
          </cell>
          <cell r="E19" t="str">
            <v>J Sciences juridiques, Sciences politiques</v>
          </cell>
        </row>
        <row r="20">
          <cell r="C20" t="str">
            <v>NA</v>
          </cell>
          <cell r="E20" t="str">
            <v>K Sciences agronomiques et alimentaires</v>
          </cell>
        </row>
        <row r="21">
          <cell r="E21" t="str">
            <v>L Littérature, Langues, Linguistique, Sciences de l'art, Histoire, Archéologie</v>
          </cell>
        </row>
        <row r="22">
          <cell r="E22" t="str">
            <v>O Océan, Atmosphère, Terre, Environnement naturel</v>
          </cell>
        </row>
        <row r="23">
          <cell r="E23" t="str">
            <v>M Mathématiques</v>
          </cell>
        </row>
        <row r="24">
          <cell r="E24" t="str">
            <v>P Physique fondamentale</v>
          </cell>
        </row>
        <row r="25">
          <cell r="E25" t="str">
            <v>R Philosophie, Psychologie, Sciences de l'éducation, Information et Communication</v>
          </cell>
        </row>
        <row r="26">
          <cell r="E26" t="str">
            <v>S Sociologie, Démographie, Ethnologie, Anthropologie, Géographie, Aménagement de l'espace</v>
          </cell>
        </row>
        <row r="27">
          <cell r="E27" t="str">
            <v>T1 Thermique</v>
          </cell>
        </row>
        <row r="28">
          <cell r="E28" t="str">
            <v>T2 Energétique</v>
          </cell>
        </row>
        <row r="29">
          <cell r="E29" t="str">
            <v>T3 Génie des procédés</v>
          </cell>
        </row>
        <row r="30">
          <cell r="E30" t="str">
            <v>Z Etudes pluridisciplinaires particulières sur un pays, un continent</v>
          </cell>
        </row>
        <row r="31">
          <cell r="E31" t="str">
            <v>Attente Client</v>
          </cell>
        </row>
        <row r="32">
          <cell r="E32" t="str">
            <v>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-- Sélectionner --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-- Sélectionner --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 t="str">
            <v>-- Sélectionner --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B2" t="str">
            <v>-- Sélectionner --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 t="str">
            <v>-- Sélectionner --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B2" t="str">
            <v>-- Sélectionner --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>
        <row r="2">
          <cell r="B2" t="str">
            <v>-- Sélectionner --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>
        <row r="2">
          <cell r="B2" t="str">
            <v>-- Sélectionner --</v>
          </cell>
        </row>
      </sheetData>
      <sheetData sheetId="7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nthèse"/>
      <sheetName val="paramétrage"/>
      <sheetName val="Convention initiale"/>
      <sheetName val="ERDA EC1"/>
      <sheetName val="ERDA EC2"/>
      <sheetName val="ERDA Final"/>
      <sheetName val="Feuil1"/>
    </sheetNames>
    <sheetDataSet>
      <sheetData sheetId="0" refreshError="1"/>
      <sheetData sheetId="1" refreshError="1"/>
      <sheetData sheetId="2" refreshError="1"/>
      <sheetData sheetId="3">
        <row r="297">
          <cell r="P297">
            <v>259547.09146232062</v>
          </cell>
        </row>
        <row r="298">
          <cell r="P298">
            <v>282912.40396327735</v>
          </cell>
        </row>
      </sheetData>
      <sheetData sheetId="4">
        <row r="186">
          <cell r="C186">
            <v>306246.11444062321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nthèse"/>
      <sheetName val="paramétrage"/>
      <sheetName val="Convention initiale"/>
      <sheetName val="ERDA EC1"/>
      <sheetName val="Feuil1"/>
      <sheetName val="ERDA EC2"/>
      <sheetName val="ERDA Final"/>
    </sheetNames>
    <sheetDataSet>
      <sheetData sheetId="0"/>
      <sheetData sheetId="1"/>
      <sheetData sheetId="2"/>
      <sheetData sheetId="3">
        <row r="213">
          <cell r="P213">
            <v>285086.90853767935</v>
          </cell>
        </row>
        <row r="214">
          <cell r="P214">
            <v>406353.95716216229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  <sheetName val="Synthèse Amortissements 2025"/>
    </sheetNames>
    <sheetDataSet>
      <sheetData sheetId="0" refreshError="1"/>
      <sheetData sheetId="1">
        <row r="3">
          <cell r="B3" t="str">
            <v>Étiquettes de lignes</v>
          </cell>
          <cell r="C3" t="str">
            <v>Somme de Valeur clôture 2025</v>
          </cell>
          <cell r="N3" t="str">
            <v>Étiquettes de lignes</v>
          </cell>
          <cell r="O3" t="str">
            <v>Somme de Dotation 2025</v>
          </cell>
        </row>
        <row r="4">
          <cell r="B4" t="str">
            <v xml:space="preserve"> 201000 - Frais augmentation de capital</v>
          </cell>
          <cell r="C4">
            <v>48374.99</v>
          </cell>
          <cell r="N4" t="str">
            <v>68111000 - Dot.amort.s/immobil.incorporel.</v>
          </cell>
          <cell r="O4">
            <v>694227.35605000018</v>
          </cell>
        </row>
        <row r="5">
          <cell r="B5" t="str">
            <v xml:space="preserve"> 203000 - Frais de recherche et développement</v>
          </cell>
          <cell r="C5">
            <v>5819799</v>
          </cell>
          <cell r="N5" t="str">
            <v>28010000 - Amort.fraisd'etablissem.</v>
          </cell>
          <cell r="O5">
            <v>9674.9979999999996</v>
          </cell>
        </row>
        <row r="6">
          <cell r="B6" t="str">
            <v xml:space="preserve"> 205000 - Concessions et droits similaires</v>
          </cell>
          <cell r="C6">
            <v>118373.95999999999</v>
          </cell>
          <cell r="N6" t="str">
            <v>DE</v>
          </cell>
          <cell r="O6">
            <v>9674.9979999999996</v>
          </cell>
        </row>
        <row r="7">
          <cell r="B7" t="str">
            <v xml:space="preserve"> 215400 - Matériel industriel</v>
          </cell>
          <cell r="C7">
            <v>1298822.6400000004</v>
          </cell>
          <cell r="N7" t="str">
            <v>28030000 - Amortis.fraisrecherche&amp;dévelop</v>
          </cell>
          <cell r="O7">
            <v>680927.40000000014</v>
          </cell>
        </row>
        <row r="8">
          <cell r="B8" t="str">
            <v xml:space="preserve"> 218100 - Installations et Agencement</v>
          </cell>
          <cell r="C8">
            <v>687322.48</v>
          </cell>
          <cell r="N8" t="str">
            <v>DE</v>
          </cell>
          <cell r="O8">
            <v>680927.40000000014</v>
          </cell>
        </row>
        <row r="9">
          <cell r="B9" t="str">
            <v xml:space="preserve"> 218300 - Matériel de bureau &amp; informatique</v>
          </cell>
          <cell r="C9">
            <v>19356.640000000003</v>
          </cell>
          <cell r="N9" t="str">
            <v>28050000 - Amortis.brevetslogiciels</v>
          </cell>
          <cell r="O9">
            <v>3624.9580499999997</v>
          </cell>
        </row>
        <row r="10">
          <cell r="B10" t="str">
            <v xml:space="preserve"> 218400 - Mobilier</v>
          </cell>
          <cell r="C10">
            <v>43587.19</v>
          </cell>
          <cell r="N10" t="str">
            <v>DE</v>
          </cell>
          <cell r="O10">
            <v>3232.5100499999999</v>
          </cell>
        </row>
        <row r="11">
          <cell r="B11" t="str">
            <v>Total général</v>
          </cell>
          <cell r="C11">
            <v>8035636.9000000004</v>
          </cell>
          <cell r="N11" t="str">
            <v>RI</v>
          </cell>
          <cell r="O11">
            <v>392.44799999999998</v>
          </cell>
        </row>
        <row r="12">
          <cell r="N12" t="str">
            <v>68112000 - Dot.amort.s/immobil.corporel.</v>
          </cell>
          <cell r="O12">
            <v>213942.69452299998</v>
          </cell>
        </row>
        <row r="13">
          <cell r="N13" t="str">
            <v>28154000 - Amortis.install.mat.industriel</v>
          </cell>
          <cell r="O13">
            <v>137724.89629999999</v>
          </cell>
        </row>
        <row r="14">
          <cell r="N14" t="str">
            <v>DE</v>
          </cell>
          <cell r="O14">
            <v>126678.29629999999</v>
          </cell>
        </row>
        <row r="15">
          <cell r="N15" t="str">
            <v>RI</v>
          </cell>
          <cell r="O15">
            <v>11046.6</v>
          </cell>
        </row>
        <row r="16">
          <cell r="N16" t="str">
            <v>28181000 - Amort.aaidivers</v>
          </cell>
          <cell r="O16">
            <v>64661.510999999991</v>
          </cell>
        </row>
        <row r="17">
          <cell r="N17" t="str">
            <v>DE</v>
          </cell>
          <cell r="O17">
            <v>8962.7350000000006</v>
          </cell>
        </row>
        <row r="18">
          <cell r="N18" t="str">
            <v>RI</v>
          </cell>
          <cell r="O18">
            <v>55698.775999999991</v>
          </cell>
        </row>
        <row r="19">
          <cell r="N19" t="str">
            <v>28183000 - Amortis.matér.bureauetinformat.</v>
          </cell>
          <cell r="O19">
            <v>2838.8492230000006</v>
          </cell>
        </row>
        <row r="20">
          <cell r="N20" t="str">
            <v>CO</v>
          </cell>
          <cell r="O20">
            <v>2705.6812230000005</v>
          </cell>
        </row>
        <row r="21">
          <cell r="N21" t="str">
            <v>RI</v>
          </cell>
          <cell r="O21">
            <v>133.16800000000001</v>
          </cell>
        </row>
        <row r="22">
          <cell r="N22" t="str">
            <v>28184000 - Amort.mobilier</v>
          </cell>
          <cell r="O22">
            <v>8717.4380000000001</v>
          </cell>
        </row>
        <row r="23">
          <cell r="N23" t="str">
            <v>CO</v>
          </cell>
          <cell r="O23">
            <v>3637.4380000000001</v>
          </cell>
        </row>
        <row r="24">
          <cell r="N24" t="str">
            <v>DE</v>
          </cell>
          <cell r="O24">
            <v>5080</v>
          </cell>
        </row>
        <row r="25">
          <cell r="N25" t="str">
            <v>681120 - Dot.amort.s/immobil.corporel.</v>
          </cell>
          <cell r="O25">
            <v>3294.4299999999994</v>
          </cell>
        </row>
        <row r="26">
          <cell r="N26" t="str">
            <v>281540 - AMORTIS. INSTALL.MAT.INDUSTRIEL</v>
          </cell>
          <cell r="O26">
            <v>1737.0299999999997</v>
          </cell>
        </row>
        <row r="27">
          <cell r="N27" t="str">
            <v>DE</v>
          </cell>
          <cell r="O27">
            <v>1430.6899999999998</v>
          </cell>
        </row>
        <row r="28">
          <cell r="N28" t="str">
            <v>RI</v>
          </cell>
          <cell r="O28">
            <v>306.33999999999997</v>
          </cell>
        </row>
        <row r="29">
          <cell r="N29" t="str">
            <v>281810 - Amortissements Agencements</v>
          </cell>
          <cell r="O29">
            <v>1557.3999999999999</v>
          </cell>
        </row>
        <row r="30">
          <cell r="N30" t="str">
            <v>DE</v>
          </cell>
          <cell r="O30">
            <v>1557.3999999999999</v>
          </cell>
        </row>
        <row r="31">
          <cell r="N31" t="str">
            <v>681110 - Dotations sur immos incorporelles</v>
          </cell>
          <cell r="O31">
            <v>11763.09</v>
          </cell>
        </row>
        <row r="32">
          <cell r="N32" t="str">
            <v>280500 - AMORTIS. BREVETS LOGICIELS</v>
          </cell>
          <cell r="O32">
            <v>11763.09</v>
          </cell>
        </row>
        <row r="33">
          <cell r="N33" t="str">
            <v>CO</v>
          </cell>
          <cell r="O33">
            <v>11763.09</v>
          </cell>
        </row>
        <row r="34">
          <cell r="N34" t="str">
            <v>Total général</v>
          </cell>
          <cell r="O34">
            <v>923227.57057299989</v>
          </cell>
        </row>
        <row r="61">
          <cell r="B61" t="str">
            <v>N°</v>
          </cell>
          <cell r="C61" t="str">
            <v>Désignation</v>
          </cell>
          <cell r="D61" t="str">
            <v>Compte</v>
          </cell>
          <cell r="E61" t="str">
            <v>Date d'acqu.</v>
          </cell>
          <cell r="F61" t="str">
            <v>Valeur ouverture</v>
          </cell>
          <cell r="G61" t="str">
            <v>Entrées
et
Virement</v>
          </cell>
          <cell r="H61" t="str">
            <v>Sorties
et
Virement</v>
          </cell>
          <cell r="I61" t="str">
            <v>Valeur clôture 2025</v>
          </cell>
          <cell r="J61" t="str">
            <v>M</v>
          </cell>
          <cell r="K61" t="str">
            <v>Durée</v>
          </cell>
          <cell r="L61" t="str">
            <v>Taux (%)</v>
          </cell>
          <cell r="M61" t="str">
            <v>Compte Amort. Cumulés</v>
          </cell>
          <cell r="N61" t="str">
            <v>Compte Dot. Résultat</v>
          </cell>
          <cell r="O61" t="str">
            <v>Centre de cout</v>
          </cell>
        </row>
        <row r="62">
          <cell r="B62">
            <v>2</v>
          </cell>
          <cell r="C62" t="str">
            <v>Frais d'augm. K 30.03.2021</v>
          </cell>
          <cell r="D62" t="str">
            <v xml:space="preserve"> 201000 - Frais augmentation de capital</v>
          </cell>
          <cell r="E62" t="str">
            <v>30/03/2021</v>
          </cell>
          <cell r="F62">
            <v>48374.99</v>
          </cell>
          <cell r="I62">
            <v>48374.99</v>
          </cell>
          <cell r="J62" t="str">
            <v>L</v>
          </cell>
          <cell r="K62" t="str">
            <v>60</v>
          </cell>
          <cell r="L62">
            <v>20</v>
          </cell>
          <cell r="M62" t="str">
            <v>28010000 - Amort.fraisd'etablissem.</v>
          </cell>
          <cell r="N62" t="str">
            <v>68111000 - Dot.amort.s/immobil.incorporel.</v>
          </cell>
          <cell r="O62" t="str">
            <v>DE</v>
          </cell>
        </row>
        <row r="63">
          <cell r="B63">
            <v>3</v>
          </cell>
          <cell r="C63" t="str">
            <v>Projet Chic V1</v>
          </cell>
          <cell r="D63" t="str">
            <v xml:space="preserve"> 203000 - Frais de recherche et développement</v>
          </cell>
          <cell r="E63" t="str">
            <v>30/09/2021</v>
          </cell>
          <cell r="F63">
            <v>989475</v>
          </cell>
          <cell r="I63">
            <v>989475</v>
          </cell>
          <cell r="J63" t="str">
            <v>L</v>
          </cell>
          <cell r="K63" t="str">
            <v>60</v>
          </cell>
          <cell r="L63">
            <v>20</v>
          </cell>
          <cell r="M63" t="str">
            <v>28030000 - Amortis.fraisrecherche&amp;dévelop</v>
          </cell>
          <cell r="N63" t="str">
            <v>68111000 - Dot.amort.s/immobil.incorporel.</v>
          </cell>
          <cell r="O63" t="str">
            <v>DE</v>
          </cell>
        </row>
        <row r="64">
          <cell r="B64">
            <v>4</v>
          </cell>
          <cell r="C64" t="str">
            <v>Tec V2 Complement 2S 2022 - ac</v>
          </cell>
          <cell r="D64" t="str">
            <v xml:space="preserve"> 203000 - Frais de recherche et développement</v>
          </cell>
          <cell r="E64" t="str">
            <v>01/11/2022</v>
          </cell>
          <cell r="F64">
            <v>1876342</v>
          </cell>
          <cell r="I64">
            <v>1876342</v>
          </cell>
          <cell r="J64" t="str">
            <v>L</v>
          </cell>
          <cell r="K64" t="str">
            <v>120</v>
          </cell>
          <cell r="L64">
            <v>10</v>
          </cell>
          <cell r="M64" t="str">
            <v>28030000 - Amortis.fraisrecherche&amp;dévelop</v>
          </cell>
          <cell r="N64" t="str">
            <v>68111000 - Dot.amort.s/immobil.incorporel.</v>
          </cell>
          <cell r="O64" t="str">
            <v>DE</v>
          </cell>
        </row>
        <row r="65">
          <cell r="B65">
            <v>5</v>
          </cell>
          <cell r="C65" t="str">
            <v>Brevet 21305843.1 Kemiwatt</v>
          </cell>
          <cell r="D65" t="str">
            <v xml:space="preserve"> 205000 - Concessions et droits similaires</v>
          </cell>
          <cell r="E65" t="str">
            <v>21/06/2021</v>
          </cell>
          <cell r="F65">
            <v>4591.84</v>
          </cell>
          <cell r="I65">
            <v>4591.84</v>
          </cell>
          <cell r="J65" t="str">
            <v>L</v>
          </cell>
          <cell r="K65" t="str">
            <v>240</v>
          </cell>
          <cell r="L65">
            <v>5</v>
          </cell>
          <cell r="M65" t="str">
            <v>28050000 - Amortis.brevetslogiciels</v>
          </cell>
          <cell r="N65" t="str">
            <v>68111000 - Dot.amort.s/immobil.incorporel.</v>
          </cell>
          <cell r="O65" t="str">
            <v>RI</v>
          </cell>
        </row>
        <row r="66">
          <cell r="B66">
            <v>6</v>
          </cell>
          <cell r="C66" t="str">
            <v>Demande brevet europeen EUROPE</v>
          </cell>
          <cell r="D66" t="str">
            <v xml:space="preserve"> 205000 - Concessions et droits similaires</v>
          </cell>
          <cell r="E66" t="str">
            <v>04/03/2022</v>
          </cell>
          <cell r="F66">
            <v>891</v>
          </cell>
          <cell r="I66">
            <v>891</v>
          </cell>
          <cell r="J66" t="str">
            <v>L</v>
          </cell>
          <cell r="K66" t="str">
            <v>240</v>
          </cell>
          <cell r="L66">
            <v>5</v>
          </cell>
          <cell r="M66" t="str">
            <v>28050000 - Amortis.brevetslogiciels</v>
          </cell>
          <cell r="N66" t="str">
            <v>68111000 - Dot.amort.s/immobil.incorporel.</v>
          </cell>
          <cell r="O66" t="str">
            <v>RI</v>
          </cell>
        </row>
        <row r="67">
          <cell r="B67">
            <v>7</v>
          </cell>
          <cell r="C67" t="str">
            <v>Demande brevet</v>
          </cell>
          <cell r="D67" t="str">
            <v xml:space="preserve"> 205000 - Concessions et droits similaires</v>
          </cell>
          <cell r="E67" t="str">
            <v>21/06/2022</v>
          </cell>
          <cell r="F67">
            <v>2366.12</v>
          </cell>
          <cell r="I67">
            <v>2366.12</v>
          </cell>
          <cell r="J67" t="str">
            <v>L</v>
          </cell>
          <cell r="K67" t="str">
            <v>240</v>
          </cell>
          <cell r="L67">
            <v>5</v>
          </cell>
          <cell r="M67" t="str">
            <v>28050000 - Amortis.brevetslogiciels</v>
          </cell>
          <cell r="N67" t="str">
            <v>68111000 - Dot.amort.s/immobil.incorporel.</v>
          </cell>
          <cell r="O67" t="str">
            <v>RI</v>
          </cell>
        </row>
        <row r="68">
          <cell r="B68">
            <v>18</v>
          </cell>
          <cell r="C68" t="str">
            <v>Dell Lattitude 3420 Core i5</v>
          </cell>
          <cell r="D68" t="str">
            <v xml:space="preserve"> 218300 - Matériel de bureau &amp; informatique</v>
          </cell>
          <cell r="E68" t="str">
            <v>26/04/2022</v>
          </cell>
          <cell r="F68">
            <v>902.99</v>
          </cell>
          <cell r="I68">
            <v>902.99</v>
          </cell>
          <cell r="J68" t="str">
            <v>L</v>
          </cell>
          <cell r="K68" t="str">
            <v>36</v>
          </cell>
          <cell r="L68">
            <v>33.33</v>
          </cell>
          <cell r="M68" t="str">
            <v>28183000 - Amortis.matér.bureauetinformat.</v>
          </cell>
          <cell r="N68" t="str">
            <v>68112000 - Dot.amort.s/immobil.corporel.</v>
          </cell>
          <cell r="O68" t="str">
            <v>CO</v>
          </cell>
        </row>
        <row r="69">
          <cell r="B69">
            <v>20</v>
          </cell>
          <cell r="C69" t="str">
            <v>PC Portable</v>
          </cell>
          <cell r="D69" t="str">
            <v xml:space="preserve"> 218300 - Matériel de bureau &amp; informatique</v>
          </cell>
          <cell r="E69" t="str">
            <v>15/01/2023</v>
          </cell>
          <cell r="F69">
            <v>574.16999999999996</v>
          </cell>
          <cell r="I69">
            <v>574.16999999999996</v>
          </cell>
          <cell r="J69" t="str">
            <v>L</v>
          </cell>
          <cell r="K69" t="str">
            <v>36</v>
          </cell>
          <cell r="L69">
            <v>33.33</v>
          </cell>
          <cell r="M69" t="str">
            <v>28183000 - Amortis.matér.bureauetinformat.</v>
          </cell>
          <cell r="N69" t="str">
            <v>68112000 - Dot.amort.s/immobil.corporel.</v>
          </cell>
          <cell r="O69" t="str">
            <v>CO</v>
          </cell>
        </row>
        <row r="70">
          <cell r="B70">
            <v>22</v>
          </cell>
          <cell r="C70" t="str">
            <v>BACK MARKET 5 ordi pour les no</v>
          </cell>
          <cell r="D70" t="str">
            <v xml:space="preserve"> 218300 - Matériel de bureau &amp; informatique</v>
          </cell>
          <cell r="E70" t="str">
            <v>27/09/2023</v>
          </cell>
          <cell r="F70">
            <v>1295.45</v>
          </cell>
          <cell r="I70">
            <v>1295.45</v>
          </cell>
          <cell r="J70" t="str">
            <v>L</v>
          </cell>
          <cell r="K70" t="str">
            <v>36</v>
          </cell>
          <cell r="L70">
            <v>33.33</v>
          </cell>
          <cell r="M70" t="str">
            <v>28183000 - Amortis.matér.bureauetinformat.</v>
          </cell>
          <cell r="N70" t="str">
            <v>68112000 - Dot.amort.s/immobil.corporel.</v>
          </cell>
          <cell r="O70" t="str">
            <v>CO</v>
          </cell>
        </row>
        <row r="71">
          <cell r="B71">
            <v>11</v>
          </cell>
          <cell r="C71" t="str">
            <v>DARTY PC portable HP Pack 14s</v>
          </cell>
          <cell r="D71" t="str">
            <v xml:space="preserve"> 218300 - Matériel de bureau &amp; informatique</v>
          </cell>
          <cell r="E71" t="str">
            <v>30/09/2020</v>
          </cell>
          <cell r="F71">
            <v>582.49</v>
          </cell>
          <cell r="I71">
            <v>582.49</v>
          </cell>
          <cell r="J71" t="str">
            <v>L</v>
          </cell>
          <cell r="K71" t="str">
            <v>36</v>
          </cell>
          <cell r="L71">
            <v>33.33</v>
          </cell>
          <cell r="M71" t="str">
            <v>28183000 - Amortis.matér.bureauetinformat.</v>
          </cell>
          <cell r="N71" t="str">
            <v>68112000 - Dot.amort.s/immobil.corporel.</v>
          </cell>
          <cell r="O71" t="str">
            <v>CO</v>
          </cell>
        </row>
        <row r="72">
          <cell r="B72">
            <v>12</v>
          </cell>
          <cell r="C72" t="str">
            <v>"MacBook Air 13.3"" 512Go SSD8</v>
          </cell>
          <cell r="D72" t="str">
            <v xml:space="preserve"> 218300 - Matériel de bureau &amp; informatique</v>
          </cell>
          <cell r="E72" t="str">
            <v>01/10/2020</v>
          </cell>
          <cell r="F72">
            <v>1237.52</v>
          </cell>
          <cell r="I72">
            <v>1237.52</v>
          </cell>
          <cell r="J72" t="str">
            <v>L</v>
          </cell>
          <cell r="K72" t="str">
            <v>36</v>
          </cell>
          <cell r="L72">
            <v>33.33</v>
          </cell>
          <cell r="M72" t="str">
            <v>28183000 - Amortis.matér.bureauetinformat.</v>
          </cell>
          <cell r="N72" t="str">
            <v>68112000 - Dot.amort.s/immobil.corporel.</v>
          </cell>
          <cell r="O72" t="str">
            <v>CO</v>
          </cell>
        </row>
        <row r="73">
          <cell r="B73">
            <v>13</v>
          </cell>
          <cell r="C73" t="str">
            <v>Dell Latitude E5470 CORE I7</v>
          </cell>
          <cell r="D73" t="str">
            <v xml:space="preserve"> 218300 - Matériel de bureau &amp; informatique</v>
          </cell>
          <cell r="E73" t="str">
            <v>25/01/2021</v>
          </cell>
          <cell r="F73">
            <v>565.83000000000004</v>
          </cell>
          <cell r="I73">
            <v>565.83000000000004</v>
          </cell>
          <cell r="J73" t="str">
            <v>L</v>
          </cell>
          <cell r="K73" t="str">
            <v>36</v>
          </cell>
          <cell r="L73">
            <v>33.33</v>
          </cell>
          <cell r="M73" t="str">
            <v>28183000 - Amortis.matér.bureauetinformat.</v>
          </cell>
          <cell r="N73" t="str">
            <v>68112000 - Dot.amort.s/immobil.corporel.</v>
          </cell>
          <cell r="O73" t="str">
            <v>CO</v>
          </cell>
        </row>
        <row r="74">
          <cell r="B74">
            <v>14</v>
          </cell>
          <cell r="C74" t="str">
            <v>Dell Latitude E5470 CORE I7</v>
          </cell>
          <cell r="D74" t="str">
            <v xml:space="preserve"> 218300 - Matériel de bureau &amp; informatique</v>
          </cell>
          <cell r="E74" t="str">
            <v>25/01/2021</v>
          </cell>
          <cell r="F74">
            <v>565.83000000000004</v>
          </cell>
          <cell r="I74">
            <v>565.83000000000004</v>
          </cell>
          <cell r="J74" t="str">
            <v>L</v>
          </cell>
          <cell r="K74" t="str">
            <v>36</v>
          </cell>
          <cell r="L74">
            <v>33.33</v>
          </cell>
          <cell r="M74" t="str">
            <v>28183000 - Amortis.matér.bureauetinformat.</v>
          </cell>
          <cell r="N74" t="str">
            <v>68112000 - Dot.amort.s/immobil.corporel.</v>
          </cell>
          <cell r="O74" t="str">
            <v>CO</v>
          </cell>
        </row>
        <row r="75">
          <cell r="B75">
            <v>15</v>
          </cell>
          <cell r="C75" t="str">
            <v>Dell Latitude E5470 CORE I7</v>
          </cell>
          <cell r="D75" t="str">
            <v xml:space="preserve"> 218300 - Matériel de bureau &amp; informatique</v>
          </cell>
          <cell r="E75" t="str">
            <v>25/01/2021</v>
          </cell>
          <cell r="F75">
            <v>565.83000000000004</v>
          </cell>
          <cell r="I75">
            <v>565.83000000000004</v>
          </cell>
          <cell r="J75" t="str">
            <v>L</v>
          </cell>
          <cell r="K75" t="str">
            <v>36</v>
          </cell>
          <cell r="L75">
            <v>33.33</v>
          </cell>
          <cell r="M75" t="str">
            <v>28183000 - Amortis.matér.bureauetinformat.</v>
          </cell>
          <cell r="N75" t="str">
            <v>68112000 - Dot.amort.s/immobil.corporel.</v>
          </cell>
          <cell r="O75" t="str">
            <v>CO</v>
          </cell>
        </row>
        <row r="76">
          <cell r="B76">
            <v>16</v>
          </cell>
          <cell r="C76" t="str">
            <v>Apple macbook pro Z0Y8000EX</v>
          </cell>
          <cell r="D76" t="str">
            <v xml:space="preserve"> 218300 - Matériel de bureau &amp; informatique</v>
          </cell>
          <cell r="E76" t="str">
            <v>04/05/2021</v>
          </cell>
          <cell r="F76">
            <v>2349.17</v>
          </cell>
          <cell r="I76">
            <v>2349.17</v>
          </cell>
          <cell r="J76" t="str">
            <v>L</v>
          </cell>
          <cell r="K76" t="str">
            <v>36</v>
          </cell>
          <cell r="L76">
            <v>33.33</v>
          </cell>
          <cell r="M76" t="str">
            <v>28183000 - Amortis.matér.bureauetinformat.</v>
          </cell>
          <cell r="N76" t="str">
            <v>68112000 - Dot.amort.s/immobil.corporel.</v>
          </cell>
          <cell r="O76" t="str">
            <v>CO</v>
          </cell>
        </row>
        <row r="77">
          <cell r="B77">
            <v>17</v>
          </cell>
          <cell r="C77" t="str">
            <v>"Dell Lattitude E6540 15"" Cor</v>
          </cell>
          <cell r="D77" t="str">
            <v xml:space="preserve"> 218300 - Matériel de bureau &amp; informatique</v>
          </cell>
          <cell r="E77" t="str">
            <v>07/06/2021</v>
          </cell>
          <cell r="F77">
            <v>725.69</v>
          </cell>
          <cell r="I77">
            <v>725.69</v>
          </cell>
          <cell r="J77" t="str">
            <v>L</v>
          </cell>
          <cell r="K77" t="str">
            <v>36</v>
          </cell>
          <cell r="L77">
            <v>33.33</v>
          </cell>
          <cell r="M77" t="str">
            <v>28183000 - Amortis.matér.bureauetinformat.</v>
          </cell>
          <cell r="N77" t="str">
            <v>68112000 - Dot.amort.s/immobil.corporel.</v>
          </cell>
          <cell r="O77" t="str">
            <v>CO</v>
          </cell>
        </row>
        <row r="78">
          <cell r="B78">
            <v>23</v>
          </cell>
          <cell r="C78" t="str">
            <v>BACK MARKET HP Envy 14-EB1030N</v>
          </cell>
          <cell r="D78" t="str">
            <v xml:space="preserve"> 218300 - Matériel de bureau &amp; informatique</v>
          </cell>
          <cell r="E78" t="str">
            <v>20/04/2023</v>
          </cell>
          <cell r="F78">
            <v>1805.99</v>
          </cell>
          <cell r="I78">
            <v>1805.99</v>
          </cell>
          <cell r="J78" t="str">
            <v>L</v>
          </cell>
          <cell r="K78" t="str">
            <v>36</v>
          </cell>
          <cell r="L78">
            <v>33.33</v>
          </cell>
          <cell r="M78" t="str">
            <v>28183000 - Amortis.matér.bureauetinformat.</v>
          </cell>
          <cell r="N78" t="str">
            <v>68112000 - Dot.amort.s/immobil.corporel.</v>
          </cell>
          <cell r="O78" t="str">
            <v>CO</v>
          </cell>
        </row>
        <row r="79">
          <cell r="B79">
            <v>19</v>
          </cell>
          <cell r="C79" t="str">
            <v>NDF ADENIS IPHONE RECONDITIONN</v>
          </cell>
          <cell r="D79" t="str">
            <v xml:space="preserve"> 218300 - Matériel de bureau &amp; informatique</v>
          </cell>
          <cell r="E79" t="str">
            <v>24/09/2022</v>
          </cell>
          <cell r="F79">
            <v>1042.8800000000001</v>
          </cell>
          <cell r="I79">
            <v>1042.8800000000001</v>
          </cell>
          <cell r="J79" t="str">
            <v>L</v>
          </cell>
          <cell r="K79" t="str">
            <v>36</v>
          </cell>
          <cell r="L79">
            <v>33.33</v>
          </cell>
          <cell r="M79" t="str">
            <v>28183000 - Amortis.matér.bureauetinformat.</v>
          </cell>
          <cell r="N79" t="str">
            <v>68112000 - Dot.amort.s/immobil.corporel.</v>
          </cell>
          <cell r="O79" t="str">
            <v>CO</v>
          </cell>
        </row>
        <row r="80">
          <cell r="B80">
            <v>34</v>
          </cell>
          <cell r="C80" t="str">
            <v>BACK MARKET DELL LATITUDE 5490</v>
          </cell>
          <cell r="D80" t="str">
            <v xml:space="preserve"> 218300 - Matériel de bureau &amp; informatique</v>
          </cell>
          <cell r="E80" t="str">
            <v>18/12/2023</v>
          </cell>
          <cell r="F80">
            <v>449.23</v>
          </cell>
          <cell r="I80">
            <v>449.23</v>
          </cell>
          <cell r="J80" t="str">
            <v>L</v>
          </cell>
          <cell r="K80" t="str">
            <v>36</v>
          </cell>
          <cell r="L80">
            <v>33.33</v>
          </cell>
          <cell r="M80" t="str">
            <v>28183000 - Amortis.matér.bureauetinformat.</v>
          </cell>
          <cell r="N80" t="str">
            <v>68112000 - Dot.amort.s/immobil.corporel.</v>
          </cell>
          <cell r="O80" t="str">
            <v>CO</v>
          </cell>
        </row>
        <row r="81">
          <cell r="B81">
            <v>21</v>
          </cell>
          <cell r="C81" t="str">
            <v>IKEA Bureaux + chaises nouveau</v>
          </cell>
          <cell r="D81" t="str">
            <v xml:space="preserve"> 218400 - Mobilier</v>
          </cell>
          <cell r="E81" t="str">
            <v>28/09/2023</v>
          </cell>
          <cell r="F81">
            <v>698.97</v>
          </cell>
          <cell r="I81">
            <v>698.97</v>
          </cell>
          <cell r="J81" t="str">
            <v>L</v>
          </cell>
          <cell r="K81" t="str">
            <v>60</v>
          </cell>
          <cell r="L81">
            <v>20</v>
          </cell>
          <cell r="M81" t="str">
            <v>28184000 - Amort.mobilier</v>
          </cell>
          <cell r="N81" t="str">
            <v>68112000 - Dot.amort.s/immobil.corporel.</v>
          </cell>
          <cell r="O81" t="str">
            <v>CO</v>
          </cell>
        </row>
        <row r="82">
          <cell r="B82">
            <v>35</v>
          </cell>
          <cell r="C82" t="str">
            <v>BACK MARKET DELL LATITUDE 5490</v>
          </cell>
          <cell r="D82" t="str">
            <v xml:space="preserve"> 218300 - Matériel de bureau &amp; informatique</v>
          </cell>
          <cell r="E82" t="str">
            <v>18/12/2023</v>
          </cell>
          <cell r="F82">
            <v>449.23</v>
          </cell>
          <cell r="I82">
            <v>449.23</v>
          </cell>
          <cell r="J82" t="str">
            <v>L</v>
          </cell>
          <cell r="K82" t="str">
            <v>36</v>
          </cell>
          <cell r="L82">
            <v>33.33</v>
          </cell>
          <cell r="M82" t="str">
            <v>28183000 - Amortis.matér.bureauetinformat.</v>
          </cell>
          <cell r="N82" t="str">
            <v>68112000 - Dot.amort.s/immobil.corporel.</v>
          </cell>
          <cell r="O82" t="str">
            <v>CO</v>
          </cell>
        </row>
        <row r="83">
          <cell r="B83">
            <v>36</v>
          </cell>
          <cell r="C83" t="str">
            <v>BACK MARKET DELL LATITUDE 5490</v>
          </cell>
          <cell r="D83" t="str">
            <v xml:space="preserve"> 218300 - Matériel de bureau &amp; informatique</v>
          </cell>
          <cell r="E83" t="str">
            <v>18/12/2023</v>
          </cell>
          <cell r="F83">
            <v>449.24</v>
          </cell>
          <cell r="I83">
            <v>449.24</v>
          </cell>
          <cell r="J83" t="str">
            <v>L</v>
          </cell>
          <cell r="K83" t="str">
            <v>36</v>
          </cell>
          <cell r="L83">
            <v>33.33</v>
          </cell>
          <cell r="M83" t="str">
            <v>28183000 - Amortis.matér.bureauetinformat.</v>
          </cell>
          <cell r="N83" t="str">
            <v>68112000 - Dot.amort.s/immobil.corporel.</v>
          </cell>
          <cell r="O83" t="str">
            <v>CO</v>
          </cell>
        </row>
        <row r="84">
          <cell r="B84">
            <v>25</v>
          </cell>
          <cell r="C84" t="str">
            <v>TRICYCLE OFFICE 15 chaises vis</v>
          </cell>
          <cell r="D84" t="str">
            <v xml:space="preserve"> 218400 - Mobilier</v>
          </cell>
          <cell r="E84" t="str">
            <v>17/11/2023</v>
          </cell>
          <cell r="F84">
            <v>1946</v>
          </cell>
          <cell r="I84">
            <v>1946</v>
          </cell>
          <cell r="J84" t="str">
            <v>L</v>
          </cell>
          <cell r="K84" t="str">
            <v>60</v>
          </cell>
          <cell r="L84">
            <v>20</v>
          </cell>
          <cell r="M84" t="str">
            <v>28184000 - Amort.mobilier</v>
          </cell>
          <cell r="N84" t="str">
            <v>68112000 - Dot.amort.s/immobil.corporel.</v>
          </cell>
          <cell r="O84" t="str">
            <v>CO</v>
          </cell>
        </row>
        <row r="85">
          <cell r="B85">
            <v>26</v>
          </cell>
          <cell r="C85" t="str">
            <v>Manutan Armoire bureau + march</v>
          </cell>
          <cell r="D85" t="str">
            <v xml:space="preserve"> 218400 - Mobilier</v>
          </cell>
          <cell r="E85" t="str">
            <v>25/11/2023</v>
          </cell>
          <cell r="F85">
            <v>1280.9000000000001</v>
          </cell>
          <cell r="I85">
            <v>1280.9000000000001</v>
          </cell>
          <cell r="J85" t="str">
            <v>L</v>
          </cell>
          <cell r="K85" t="str">
            <v>60</v>
          </cell>
          <cell r="L85">
            <v>20</v>
          </cell>
          <cell r="M85" t="str">
            <v>28184000 - Amort.mobilier</v>
          </cell>
          <cell r="N85" t="str">
            <v>68112000 - Dot.amort.s/immobil.corporel.</v>
          </cell>
          <cell r="O85" t="str">
            <v>CO</v>
          </cell>
        </row>
        <row r="86">
          <cell r="B86">
            <v>27</v>
          </cell>
          <cell r="C86" t="str">
            <v xml:space="preserve">BIKKOM 2 Bureaux réunions + 4 </v>
          </cell>
          <cell r="D86" t="str">
            <v xml:space="preserve"> 218400 - Mobilier</v>
          </cell>
          <cell r="E86" t="str">
            <v>27/11/2023</v>
          </cell>
          <cell r="F86">
            <v>3035.44</v>
          </cell>
          <cell r="I86">
            <v>3035.44</v>
          </cell>
          <cell r="J86" t="str">
            <v>L</v>
          </cell>
          <cell r="K86" t="str">
            <v>60</v>
          </cell>
          <cell r="L86">
            <v>20</v>
          </cell>
          <cell r="M86" t="str">
            <v>28184000 - Amort.mobilier</v>
          </cell>
          <cell r="N86" t="str">
            <v>68112000 - Dot.amort.s/immobil.corporel.</v>
          </cell>
          <cell r="O86" t="str">
            <v>CO</v>
          </cell>
        </row>
        <row r="87">
          <cell r="B87">
            <v>29</v>
          </cell>
          <cell r="C87" t="str">
            <v>OFFICEEASY KIT VISIOCONFERENCE</v>
          </cell>
          <cell r="D87" t="str">
            <v xml:space="preserve"> 218300 - Matériel de bureau &amp; informatique</v>
          </cell>
          <cell r="E87" t="str">
            <v>02/12/2023</v>
          </cell>
          <cell r="F87">
            <v>1722.7</v>
          </cell>
          <cell r="I87">
            <v>1722.7</v>
          </cell>
          <cell r="J87" t="str">
            <v>L</v>
          </cell>
          <cell r="K87" t="str">
            <v>12</v>
          </cell>
          <cell r="L87">
            <v>100</v>
          </cell>
          <cell r="M87" t="str">
            <v>28183000 - Amortis.matér.bureauetinformat.</v>
          </cell>
          <cell r="N87" t="str">
            <v>68112000 - Dot.amort.s/immobil.corporel.</v>
          </cell>
          <cell r="O87" t="str">
            <v>CO</v>
          </cell>
        </row>
        <row r="88">
          <cell r="B88">
            <v>30</v>
          </cell>
          <cell r="C88" t="str">
            <v>TRICYCLE OFFICE-24 Fauteuils e</v>
          </cell>
          <cell r="D88" t="str">
            <v xml:space="preserve"> 218400 - Mobilier</v>
          </cell>
          <cell r="E88" t="str">
            <v>26/09/2023</v>
          </cell>
          <cell r="F88">
            <v>3447</v>
          </cell>
          <cell r="I88">
            <v>3447</v>
          </cell>
          <cell r="J88" t="str">
            <v>L</v>
          </cell>
          <cell r="K88" t="str">
            <v>60</v>
          </cell>
          <cell r="L88">
            <v>20</v>
          </cell>
          <cell r="M88" t="str">
            <v>28184000 - Amort.mobilier</v>
          </cell>
          <cell r="N88" t="str">
            <v>68112000 - Dot.amort.s/immobil.corporel.</v>
          </cell>
          <cell r="O88" t="str">
            <v>CO</v>
          </cell>
        </row>
        <row r="89">
          <cell r="B89">
            <v>47</v>
          </cell>
          <cell r="C89" t="str">
            <v>BACK MARKET Dell Latitude 5490</v>
          </cell>
          <cell r="D89" t="str">
            <v xml:space="preserve"> 218300 - Matériel de bureau &amp; informatique</v>
          </cell>
          <cell r="E89" t="str">
            <v>27/03/2024</v>
          </cell>
          <cell r="F89">
            <v>1338.13</v>
          </cell>
          <cell r="I89">
            <v>1338.13</v>
          </cell>
          <cell r="J89" t="str">
            <v>L</v>
          </cell>
          <cell r="K89" t="str">
            <v>60</v>
          </cell>
          <cell r="L89">
            <v>20</v>
          </cell>
          <cell r="M89" t="str">
            <v>28183000 - Amortis.matér.bureauetinformat.</v>
          </cell>
          <cell r="N89" t="str">
            <v>68112000 - Dot.amort.s/immobil.corporel.</v>
          </cell>
          <cell r="O89" t="str">
            <v>CO</v>
          </cell>
        </row>
        <row r="90">
          <cell r="B90">
            <v>54</v>
          </cell>
          <cell r="C90" t="str">
            <v>Lenovo  ThinkBook 16 G6 IRL</v>
          </cell>
          <cell r="D90" t="str">
            <v xml:space="preserve"> 218300 - Matériel de bureau &amp; informatique</v>
          </cell>
          <cell r="E90" t="str">
            <v>29/05/2024</v>
          </cell>
          <cell r="F90">
            <v>665.84</v>
          </cell>
          <cell r="I90">
            <v>665.84</v>
          </cell>
          <cell r="J90" t="str">
            <v>L</v>
          </cell>
          <cell r="K90" t="str">
            <v>60</v>
          </cell>
          <cell r="L90">
            <v>20</v>
          </cell>
          <cell r="M90" t="str">
            <v>28183000 - Amortis.matér.bureauetinformat.</v>
          </cell>
          <cell r="N90" t="str">
            <v>68112000 - Dot.amort.s/immobil.corporel.</v>
          </cell>
          <cell r="O90" t="str">
            <v>RI</v>
          </cell>
        </row>
        <row r="91">
          <cell r="B91">
            <v>8</v>
          </cell>
          <cell r="C91" t="str">
            <v>Datacolor</v>
          </cell>
          <cell r="D91" t="str">
            <v xml:space="preserve"> 215400 - Matériel industriel</v>
          </cell>
          <cell r="E91" t="str">
            <v>26/04/2019</v>
          </cell>
          <cell r="F91">
            <v>8100.4</v>
          </cell>
          <cell r="I91">
            <v>8100.4</v>
          </cell>
          <cell r="J91" t="str">
            <v>L</v>
          </cell>
          <cell r="K91" t="str">
            <v>120</v>
          </cell>
          <cell r="L91">
            <v>10</v>
          </cell>
          <cell r="M91" t="str">
            <v>28154000 - Amortis.install.mat.industriel</v>
          </cell>
          <cell r="N91" t="str">
            <v>68112000 - Dot.amort.s/immobil.corporel.</v>
          </cell>
          <cell r="O91" t="str">
            <v>DE</v>
          </cell>
        </row>
        <row r="92">
          <cell r="B92">
            <v>9</v>
          </cell>
          <cell r="C92" t="str">
            <v>PM 100 Broyeur 1218160114 N</v>
          </cell>
          <cell r="D92" t="str">
            <v xml:space="preserve"> 215400 - Matériel industriel</v>
          </cell>
          <cell r="E92" t="str">
            <v>21/12/2020</v>
          </cell>
          <cell r="F92">
            <v>9908.3700000000008</v>
          </cell>
          <cell r="I92">
            <v>9908.3700000000008</v>
          </cell>
          <cell r="J92" t="str">
            <v>L</v>
          </cell>
          <cell r="K92" t="str">
            <v>120</v>
          </cell>
          <cell r="L92">
            <v>10</v>
          </cell>
          <cell r="M92" t="str">
            <v>28154000 - Amortis.install.mat.industriel</v>
          </cell>
          <cell r="N92" t="str">
            <v>68112000 - Dot.amort.s/immobil.corporel.</v>
          </cell>
          <cell r="O92" t="str">
            <v>DE</v>
          </cell>
        </row>
        <row r="93">
          <cell r="B93">
            <v>10</v>
          </cell>
          <cell r="C93" t="str">
            <v>Pilote Roussillon V2020 - 2022</v>
          </cell>
          <cell r="D93" t="str">
            <v xml:space="preserve"> 215400 - Matériel industriel</v>
          </cell>
          <cell r="E93" t="str">
            <v>01/11/2022</v>
          </cell>
          <cell r="F93">
            <v>569271.62</v>
          </cell>
          <cell r="I93">
            <v>569271.62</v>
          </cell>
          <cell r="J93" t="str">
            <v>L</v>
          </cell>
          <cell r="K93" t="str">
            <v>120</v>
          </cell>
          <cell r="L93">
            <v>10</v>
          </cell>
          <cell r="M93" t="str">
            <v>28154000 - Amortis.install.mat.industriel</v>
          </cell>
          <cell r="N93" t="str">
            <v>68112000 - Dot.amort.s/immobil.corporel.</v>
          </cell>
          <cell r="O93" t="str">
            <v>DE</v>
          </cell>
        </row>
        <row r="94">
          <cell r="B94">
            <v>37</v>
          </cell>
          <cell r="C94" t="str">
            <v>VCHIC 2023</v>
          </cell>
          <cell r="D94" t="str">
            <v xml:space="preserve"> 203000 - Frais de recherche et développement</v>
          </cell>
          <cell r="E94" t="str">
            <v>31/12/2023</v>
          </cell>
          <cell r="F94">
            <v>1129027</v>
          </cell>
          <cell r="I94">
            <v>1129027</v>
          </cell>
          <cell r="J94" t="str">
            <v>L</v>
          </cell>
          <cell r="K94" t="str">
            <v>120</v>
          </cell>
          <cell r="L94">
            <v>10</v>
          </cell>
          <cell r="M94" t="str">
            <v>28030000 - Amortis.fraisrecherche&amp;dévelop</v>
          </cell>
          <cell r="N94" t="str">
            <v>68111000 - Dot.amort.s/immobil.incorporel.</v>
          </cell>
          <cell r="O94" t="str">
            <v>DE</v>
          </cell>
        </row>
        <row r="95">
          <cell r="B95">
            <v>38</v>
          </cell>
          <cell r="C95" t="str">
            <v>V2020 PHOENIX</v>
          </cell>
          <cell r="D95" t="str">
            <v xml:space="preserve"> 203000 - Frais de recherche et développement</v>
          </cell>
          <cell r="E95" t="str">
            <v>31/12/2023</v>
          </cell>
          <cell r="F95">
            <v>658136</v>
          </cell>
          <cell r="I95">
            <v>658136</v>
          </cell>
          <cell r="J95" t="str">
            <v>L</v>
          </cell>
          <cell r="K95" t="str">
            <v>120</v>
          </cell>
          <cell r="L95">
            <v>10</v>
          </cell>
          <cell r="M95" t="str">
            <v>28030000 - Amortis.fraisrecherche&amp;dévelop</v>
          </cell>
          <cell r="N95" t="str">
            <v>68111000 - Dot.amort.s/immobil.incorporel.</v>
          </cell>
          <cell r="O95" t="str">
            <v>DE</v>
          </cell>
        </row>
        <row r="96">
          <cell r="B96">
            <v>43</v>
          </cell>
          <cell r="C96" t="str">
            <v>KAVE Buffet Beyla 4 portes Chê</v>
          </cell>
          <cell r="D96" t="str">
            <v xml:space="preserve"> 218400 - Mobilier</v>
          </cell>
          <cell r="E96" t="str">
            <v>07/12/2023</v>
          </cell>
          <cell r="F96">
            <v>1641.89</v>
          </cell>
          <cell r="I96">
            <v>1641.89</v>
          </cell>
          <cell r="J96" t="str">
            <v>L</v>
          </cell>
          <cell r="K96" t="str">
            <v>60</v>
          </cell>
          <cell r="L96">
            <v>20</v>
          </cell>
          <cell r="M96" t="str">
            <v>28184000 - Amort.mobilier</v>
          </cell>
          <cell r="N96" t="str">
            <v>68112000 - Dot.amort.s/immobil.corporel.</v>
          </cell>
          <cell r="O96" t="str">
            <v>CO</v>
          </cell>
        </row>
        <row r="97">
          <cell r="B97">
            <v>32</v>
          </cell>
          <cell r="C97" t="str">
            <v>MESTRELAB RESEARCH Licence</v>
          </cell>
          <cell r="D97" t="str">
            <v xml:space="preserve"> 205000 - Concessions et droits similaires</v>
          </cell>
          <cell r="E97" t="str">
            <v>15/11/2023</v>
          </cell>
          <cell r="F97">
            <v>9698.5</v>
          </cell>
          <cell r="I97">
            <v>9698.5</v>
          </cell>
          <cell r="J97" t="str">
            <v>L</v>
          </cell>
          <cell r="K97" t="str">
            <v>36</v>
          </cell>
          <cell r="L97">
            <v>33.33</v>
          </cell>
          <cell r="M97" t="str">
            <v>28050000 - Amortis.brevetslogiciels</v>
          </cell>
          <cell r="N97" t="str">
            <v>68111000 - Dot.amort.s/immobil.incorporel.</v>
          </cell>
          <cell r="O97" t="str">
            <v>DE</v>
          </cell>
        </row>
        <row r="98">
          <cell r="B98">
            <v>33</v>
          </cell>
          <cell r="C98" t="str">
            <v>Pilote Roussillon Ecart de DIE</v>
          </cell>
          <cell r="D98" t="str">
            <v xml:space="preserve"> 215400 - Matériel industriel</v>
          </cell>
          <cell r="E98" t="str">
            <v>01/01/2023</v>
          </cell>
          <cell r="F98">
            <v>2503</v>
          </cell>
          <cell r="I98">
            <v>2503</v>
          </cell>
          <cell r="J98" t="str">
            <v>L</v>
          </cell>
          <cell r="K98" t="str">
            <v>108</v>
          </cell>
          <cell r="L98">
            <v>11.11</v>
          </cell>
          <cell r="M98" t="str">
            <v>28154000 - Amortis.install.mat.industriel</v>
          </cell>
          <cell r="N98" t="str">
            <v>68112000 - Dot.amort.s/immobil.corporel.</v>
          </cell>
          <cell r="O98" t="str">
            <v>DE</v>
          </cell>
        </row>
        <row r="99">
          <cell r="B99">
            <v>46</v>
          </cell>
          <cell r="C99" t="str">
            <v>OfficeEasy.fr Kit visioconfére</v>
          </cell>
          <cell r="D99" t="str">
            <v xml:space="preserve"> 218300 - Matériel de bureau &amp; informatique</v>
          </cell>
          <cell r="E99" t="str">
            <v>17/02/2024</v>
          </cell>
          <cell r="F99">
            <v>1322.8</v>
          </cell>
          <cell r="I99">
            <v>1322.8</v>
          </cell>
          <cell r="J99" t="str">
            <v>L</v>
          </cell>
          <cell r="K99" t="str">
            <v>60</v>
          </cell>
          <cell r="L99">
            <v>20</v>
          </cell>
          <cell r="M99" t="str">
            <v>28183000 - Amortis.matér.bureauetinformat.</v>
          </cell>
          <cell r="N99" t="str">
            <v>68112000 - Dot.amort.s/immobil.corporel.</v>
          </cell>
          <cell r="O99" t="str">
            <v>CO</v>
          </cell>
        </row>
        <row r="100">
          <cell r="B100">
            <v>44</v>
          </cell>
          <cell r="C100" t="str">
            <v>Pilote Roussillon 2023</v>
          </cell>
          <cell r="D100" t="str">
            <v xml:space="preserve"> 215400 - Matériel industriel</v>
          </cell>
          <cell r="E100" t="str">
            <v>31/12/2023</v>
          </cell>
          <cell r="F100">
            <v>580763</v>
          </cell>
          <cell r="I100">
            <v>580763</v>
          </cell>
          <cell r="J100" t="str">
            <v>L</v>
          </cell>
          <cell r="K100" t="str">
            <v>120</v>
          </cell>
          <cell r="L100">
            <v>10</v>
          </cell>
          <cell r="M100" t="str">
            <v>28154000 - Amortis.install.mat.industriel</v>
          </cell>
          <cell r="N100" t="str">
            <v>68112000 - Dot.amort.s/immobil.corporel.</v>
          </cell>
          <cell r="O100" t="str">
            <v>DE</v>
          </cell>
        </row>
        <row r="101">
          <cell r="B101">
            <v>45</v>
          </cell>
          <cell r="C101" t="str">
            <v>Kilo Roussillon 2023</v>
          </cell>
          <cell r="D101" t="str">
            <v xml:space="preserve"> 215400 - Matériel industriel</v>
          </cell>
          <cell r="E101" t="str">
            <v>31/12/2023</v>
          </cell>
          <cell r="F101">
            <v>33218</v>
          </cell>
          <cell r="I101">
            <v>33218</v>
          </cell>
          <cell r="J101" t="str">
            <v>L</v>
          </cell>
          <cell r="K101" t="str">
            <v>120</v>
          </cell>
          <cell r="L101">
            <v>10</v>
          </cell>
          <cell r="M101" t="str">
            <v>28154000 - Amortis.install.mat.industriel</v>
          </cell>
          <cell r="N101" t="str">
            <v>68112000 - Dot.amort.s/immobil.corporel.</v>
          </cell>
          <cell r="O101" t="str">
            <v>DE</v>
          </cell>
        </row>
        <row r="102">
          <cell r="B102">
            <v>48</v>
          </cell>
          <cell r="C102" t="str">
            <v>CIPRAL Travaux Labo KB cloison</v>
          </cell>
          <cell r="D102" t="str">
            <v xml:space="preserve"> 218100 - Installations et Agencement</v>
          </cell>
          <cell r="E102" t="str">
            <v>01/01/2024</v>
          </cell>
          <cell r="F102">
            <v>3775.05</v>
          </cell>
          <cell r="I102">
            <v>3775.05</v>
          </cell>
          <cell r="J102" t="str">
            <v>L</v>
          </cell>
          <cell r="K102" t="str">
            <v>120</v>
          </cell>
          <cell r="L102">
            <v>10</v>
          </cell>
          <cell r="M102" t="str">
            <v>28181000 - Amort.aaidivers</v>
          </cell>
          <cell r="N102" t="str">
            <v>68112000 - Dot.amort.s/immobil.corporel.</v>
          </cell>
          <cell r="O102" t="str">
            <v>RI</v>
          </cell>
        </row>
        <row r="103">
          <cell r="B103">
            <v>49</v>
          </cell>
          <cell r="C103" t="str">
            <v>CIPRAL Travaux ancien Local _P</v>
          </cell>
          <cell r="D103" t="str">
            <v xml:space="preserve"> 218100 - Installations et Agencement</v>
          </cell>
          <cell r="E103" t="str">
            <v>01/01/2024</v>
          </cell>
          <cell r="F103">
            <v>1745</v>
          </cell>
          <cell r="I103">
            <v>1745</v>
          </cell>
          <cell r="J103" t="str">
            <v>L</v>
          </cell>
          <cell r="K103" t="str">
            <v>120</v>
          </cell>
          <cell r="L103">
            <v>10</v>
          </cell>
          <cell r="M103" t="str">
            <v>28181000 - Amort.aaidivers</v>
          </cell>
          <cell r="N103" t="str">
            <v>68112000 - Dot.amort.s/immobil.corporel.</v>
          </cell>
          <cell r="O103" t="str">
            <v>DE</v>
          </cell>
        </row>
        <row r="104">
          <cell r="B104">
            <v>50</v>
          </cell>
          <cell r="C104" t="str">
            <v>CIPRAL Travaux Labo KB Cloison</v>
          </cell>
          <cell r="D104" t="str">
            <v xml:space="preserve"> 218100 - Installations et Agencement</v>
          </cell>
          <cell r="E104" t="str">
            <v>01/01/2024</v>
          </cell>
          <cell r="F104">
            <v>9325.5400000000009</v>
          </cell>
          <cell r="I104">
            <v>9325.5400000000009</v>
          </cell>
          <cell r="J104" t="str">
            <v>L</v>
          </cell>
          <cell r="K104" t="str">
            <v>120</v>
          </cell>
          <cell r="L104">
            <v>10</v>
          </cell>
          <cell r="M104" t="str">
            <v>28181000 - Amort.aaidivers</v>
          </cell>
          <cell r="N104" t="str">
            <v>68112000 - Dot.amort.s/immobil.corporel.</v>
          </cell>
          <cell r="O104" t="str">
            <v>RI</v>
          </cell>
        </row>
        <row r="105">
          <cell r="B105">
            <v>52</v>
          </cell>
          <cell r="C105" t="str">
            <v>3BCLIM Situation finale Clim e</v>
          </cell>
          <cell r="D105" t="str">
            <v xml:space="preserve"> 218100 - Installations et Agencement</v>
          </cell>
          <cell r="E105" t="str">
            <v>01/01/2024</v>
          </cell>
          <cell r="F105">
            <v>26719.35</v>
          </cell>
          <cell r="I105">
            <v>26719.35</v>
          </cell>
          <cell r="J105" t="str">
            <v>L</v>
          </cell>
          <cell r="K105" t="str">
            <v>120</v>
          </cell>
          <cell r="L105">
            <v>10</v>
          </cell>
          <cell r="M105" t="str">
            <v>28181000 - Amort.aaidivers</v>
          </cell>
          <cell r="N105" t="str">
            <v>68112000 - Dot.amort.s/immobil.corporel.</v>
          </cell>
          <cell r="O105" t="str">
            <v>DE</v>
          </cell>
        </row>
        <row r="106">
          <cell r="B106">
            <v>51</v>
          </cell>
          <cell r="C106" t="str">
            <v>CIPRAL Travaux Labo KB Solde c</v>
          </cell>
          <cell r="D106" t="str">
            <v xml:space="preserve"> 218100 - Installations et Agencement</v>
          </cell>
          <cell r="E106" t="str">
            <v>01/01/2024</v>
          </cell>
          <cell r="F106">
            <v>38582.97</v>
          </cell>
          <cell r="I106">
            <v>38582.97</v>
          </cell>
          <cell r="J106" t="str">
            <v>L</v>
          </cell>
          <cell r="K106" t="str">
            <v>120</v>
          </cell>
          <cell r="L106">
            <v>10</v>
          </cell>
          <cell r="M106" t="str">
            <v>28181000 - Amort.aaidivers</v>
          </cell>
          <cell r="N106" t="str">
            <v>68112000 - Dot.amort.s/immobil.corporel.</v>
          </cell>
          <cell r="O106" t="str">
            <v>RI</v>
          </cell>
        </row>
        <row r="107">
          <cell r="B107">
            <v>53</v>
          </cell>
          <cell r="C107" t="str">
            <v>METTLER TOLEDO pH mètre portab</v>
          </cell>
          <cell r="D107" t="str">
            <v xml:space="preserve"> 215400 - Matériel industriel</v>
          </cell>
          <cell r="E107" t="str">
            <v>01/06/2024</v>
          </cell>
          <cell r="F107">
            <v>569.25</v>
          </cell>
          <cell r="I107">
            <v>569.25</v>
          </cell>
          <cell r="J107" t="str">
            <v>L</v>
          </cell>
          <cell r="K107" t="str">
            <v>60</v>
          </cell>
          <cell r="L107">
            <v>20</v>
          </cell>
          <cell r="M107" t="str">
            <v>28154000 - Amortis.install.mat.industriel</v>
          </cell>
          <cell r="N107" t="str">
            <v>68112000 - Dot.amort.s/immobil.corporel.</v>
          </cell>
          <cell r="O107" t="str">
            <v>DE</v>
          </cell>
        </row>
        <row r="108">
          <cell r="B108">
            <v>55</v>
          </cell>
          <cell r="C108" t="str">
            <v xml:space="preserve">CEDRE Meubles de tri poubelle </v>
          </cell>
          <cell r="D108" t="str">
            <v xml:space="preserve"> 218400 - Mobilier</v>
          </cell>
          <cell r="E108" t="str">
            <v>01/05/2024</v>
          </cell>
          <cell r="F108">
            <v>0</v>
          </cell>
          <cell r="G108">
            <v>1250</v>
          </cell>
          <cell r="H108">
            <v>0</v>
          </cell>
          <cell r="I108">
            <v>1250</v>
          </cell>
          <cell r="J108" t="str">
            <v>L</v>
          </cell>
          <cell r="K108" t="str">
            <v>60</v>
          </cell>
          <cell r="L108">
            <v>20</v>
          </cell>
          <cell r="M108" t="str">
            <v>28184000 - Amort.mobilier</v>
          </cell>
          <cell r="N108" t="str">
            <v>68112000 - Dot.amort.s/immobil.corporel.</v>
          </cell>
          <cell r="O108" t="str">
            <v>CO</v>
          </cell>
        </row>
        <row r="109">
          <cell r="B109">
            <v>56</v>
          </cell>
          <cell r="C109" t="str">
            <v>CAMIF 1 Canapé 4 places et 1 C</v>
          </cell>
          <cell r="D109" t="str">
            <v xml:space="preserve"> 218400 - Mobilier</v>
          </cell>
          <cell r="E109" t="str">
            <v>01/10/2024</v>
          </cell>
          <cell r="F109">
            <v>0</v>
          </cell>
          <cell r="G109">
            <v>1581.67</v>
          </cell>
          <cell r="H109">
            <v>0</v>
          </cell>
          <cell r="I109">
            <v>1581.67</v>
          </cell>
          <cell r="J109" t="str">
            <v>L</v>
          </cell>
          <cell r="K109" t="str">
            <v>60</v>
          </cell>
          <cell r="L109">
            <v>20</v>
          </cell>
          <cell r="M109" t="str">
            <v>28184000 - Amort.mobilier</v>
          </cell>
          <cell r="N109" t="str">
            <v>68112000 - Dot.amort.s/immobil.corporel.</v>
          </cell>
          <cell r="O109" t="str">
            <v>CO</v>
          </cell>
        </row>
        <row r="110">
          <cell r="B110">
            <v>57</v>
          </cell>
          <cell r="C110" t="str">
            <v>DENIOS Détecteur de gaz Dräger</v>
          </cell>
          <cell r="D110" t="str">
            <v xml:space="preserve"> 218100 - Installations et Agencement</v>
          </cell>
          <cell r="E110" t="str">
            <v>08/10/2024</v>
          </cell>
          <cell r="F110">
            <v>1208</v>
          </cell>
          <cell r="I110">
            <v>1208</v>
          </cell>
          <cell r="J110" t="str">
            <v>L</v>
          </cell>
          <cell r="K110" t="str">
            <v>120</v>
          </cell>
          <cell r="L110">
            <v>10</v>
          </cell>
          <cell r="M110" t="str">
            <v>28181000 - Amort.aaidivers</v>
          </cell>
          <cell r="N110" t="str">
            <v>68112000 - Dot.amort.s/immobil.corporel.</v>
          </cell>
          <cell r="O110" t="str">
            <v>DE</v>
          </cell>
        </row>
        <row r="111">
          <cell r="B111">
            <v>58</v>
          </cell>
          <cell r="C111" t="str">
            <v>ATELIERS CLOUP Pompe à vide po</v>
          </cell>
          <cell r="D111" t="str">
            <v xml:space="preserve"> 215400 - Matériel industriel</v>
          </cell>
          <cell r="E111" t="str">
            <v>01/10/2024</v>
          </cell>
          <cell r="F111">
            <v>3016.7</v>
          </cell>
          <cell r="I111">
            <v>3016.7</v>
          </cell>
          <cell r="J111" t="str">
            <v>L</v>
          </cell>
          <cell r="K111" t="str">
            <v>60</v>
          </cell>
          <cell r="L111">
            <v>20</v>
          </cell>
          <cell r="M111" t="str">
            <v>28154000 - Amortis.install.mat.industriel</v>
          </cell>
          <cell r="N111" t="str">
            <v>68112000 - Dot.amort.s/immobil.corporel.</v>
          </cell>
          <cell r="O111" t="str">
            <v>DE</v>
          </cell>
        </row>
        <row r="112">
          <cell r="B112">
            <v>59</v>
          </cell>
          <cell r="C112" t="str">
            <v xml:space="preserve">ATELIERS CLOUP BALANCE ENTRIS </v>
          </cell>
          <cell r="D112" t="str">
            <v xml:space="preserve"> 215400 - Matériel industriel</v>
          </cell>
          <cell r="E112" t="str">
            <v>15/11/2024</v>
          </cell>
          <cell r="F112">
            <v>1160</v>
          </cell>
          <cell r="I112">
            <v>1160</v>
          </cell>
          <cell r="J112" t="str">
            <v>L</v>
          </cell>
          <cell r="K112" t="str">
            <v>60</v>
          </cell>
          <cell r="L112">
            <v>20</v>
          </cell>
          <cell r="M112" t="str">
            <v>28154000 - Amortis.install.mat.industriel</v>
          </cell>
          <cell r="N112" t="str">
            <v>68112000 - Dot.amort.s/immobil.corporel.</v>
          </cell>
          <cell r="O112" t="str">
            <v>DE</v>
          </cell>
        </row>
        <row r="113">
          <cell r="B113">
            <v>60</v>
          </cell>
          <cell r="C113" t="str">
            <v xml:space="preserve">DENIOS Sécurité développement </v>
          </cell>
          <cell r="D113" t="str">
            <v xml:space="preserve"> 215400 - Matériel industriel</v>
          </cell>
          <cell r="E113" t="str">
            <v>29/11/2024</v>
          </cell>
          <cell r="F113">
            <v>1774.6</v>
          </cell>
          <cell r="I113">
            <v>1774.6</v>
          </cell>
          <cell r="J113" t="str">
            <v>L</v>
          </cell>
          <cell r="K113" t="str">
            <v>60</v>
          </cell>
          <cell r="L113">
            <v>20</v>
          </cell>
          <cell r="M113" t="str">
            <v>28154000 - Amortis.install.mat.industriel</v>
          </cell>
          <cell r="N113" t="str">
            <v>68112000 - Dot.amort.s/immobil.corporel.</v>
          </cell>
          <cell r="O113" t="str">
            <v>DE</v>
          </cell>
        </row>
        <row r="114">
          <cell r="B114">
            <v>61</v>
          </cell>
          <cell r="C114" t="str">
            <v>GazDetect DÃ©tecteur NO2 + Mai</v>
          </cell>
          <cell r="D114" t="str">
            <v xml:space="preserve"> 218100 - Installations et Agencement</v>
          </cell>
          <cell r="E114" t="str">
            <v>08/10/2024</v>
          </cell>
          <cell r="F114">
            <v>911</v>
          </cell>
          <cell r="I114">
            <v>911</v>
          </cell>
          <cell r="J114" t="str">
            <v>L</v>
          </cell>
          <cell r="K114" t="str">
            <v>120</v>
          </cell>
          <cell r="L114">
            <v>10</v>
          </cell>
          <cell r="M114" t="str">
            <v>28181000 - Amort.aaidivers</v>
          </cell>
          <cell r="N114" t="str">
            <v>68112000 - Dot.amort.s/immobil.corporel.</v>
          </cell>
          <cell r="O114" t="str">
            <v>DE</v>
          </cell>
        </row>
        <row r="115">
          <cell r="B115">
            <v>62</v>
          </cell>
          <cell r="C115" t="str">
            <v>DENIOS Bac de rétention souple</v>
          </cell>
          <cell r="D115" t="str">
            <v xml:space="preserve"> 218100 - Installations et Agencement</v>
          </cell>
          <cell r="E115" t="str">
            <v>06/11/2024</v>
          </cell>
          <cell r="F115">
            <v>507</v>
          </cell>
          <cell r="I115">
            <v>507</v>
          </cell>
          <cell r="J115" t="str">
            <v>L</v>
          </cell>
          <cell r="K115" t="str">
            <v>120</v>
          </cell>
          <cell r="L115">
            <v>10</v>
          </cell>
          <cell r="M115" t="str">
            <v>28181000 - Amort.aaidivers</v>
          </cell>
          <cell r="N115" t="str">
            <v>68112000 - Dot.amort.s/immobil.corporel.</v>
          </cell>
          <cell r="O115" t="str">
            <v>DE</v>
          </cell>
        </row>
        <row r="116">
          <cell r="B116">
            <v>63</v>
          </cell>
          <cell r="C116" t="str">
            <v>agelab Meuble sous paillasse m</v>
          </cell>
          <cell r="D116" t="str">
            <v xml:space="preserve"> 218400 - Mobilier</v>
          </cell>
          <cell r="E116" t="str">
            <v>17/10/2024</v>
          </cell>
          <cell r="F116">
            <v>0</v>
          </cell>
          <cell r="G116">
            <v>879.73</v>
          </cell>
          <cell r="H116">
            <v>0</v>
          </cell>
          <cell r="I116">
            <v>879.73</v>
          </cell>
          <cell r="J116" t="str">
            <v>L</v>
          </cell>
          <cell r="K116" t="str">
            <v>60</v>
          </cell>
          <cell r="L116">
            <v>20</v>
          </cell>
          <cell r="M116" t="str">
            <v>28184000 - Amort.mobilier</v>
          </cell>
          <cell r="N116" t="str">
            <v>68112000 - Dot.amort.s/immobil.corporel.</v>
          </cell>
          <cell r="O116" t="str">
            <v>CO</v>
          </cell>
        </row>
        <row r="117">
          <cell r="B117">
            <v>64</v>
          </cell>
          <cell r="C117" t="str">
            <v>agelab RÃ©novation Labo Roussi</v>
          </cell>
          <cell r="D117" t="str">
            <v xml:space="preserve"> 218400 - Mobilier</v>
          </cell>
          <cell r="E117" t="str">
            <v>25/10/2024</v>
          </cell>
          <cell r="F117">
            <v>0</v>
          </cell>
          <cell r="G117">
            <v>25400</v>
          </cell>
          <cell r="H117">
            <v>0</v>
          </cell>
          <cell r="I117">
            <v>25400</v>
          </cell>
          <cell r="J117" t="str">
            <v>L</v>
          </cell>
          <cell r="K117" t="str">
            <v>60</v>
          </cell>
          <cell r="L117">
            <v>20</v>
          </cell>
          <cell r="M117" t="str">
            <v>28184000 - Amort.mobilier</v>
          </cell>
          <cell r="N117" t="str">
            <v>68112000 - Dot.amort.s/immobil.corporel.</v>
          </cell>
          <cell r="O117" t="str">
            <v>DE</v>
          </cell>
        </row>
        <row r="118">
          <cell r="B118">
            <v>65</v>
          </cell>
          <cell r="C118" t="str">
            <v>COTE Déplacement de 2 coffrets</v>
          </cell>
          <cell r="D118" t="str">
            <v xml:space="preserve"> 218100 - Installations et Agencement</v>
          </cell>
          <cell r="E118" t="str">
            <v>31/08/2024</v>
          </cell>
          <cell r="F118">
            <v>4148.32</v>
          </cell>
          <cell r="I118">
            <v>4148.32</v>
          </cell>
          <cell r="J118" t="str">
            <v>L</v>
          </cell>
          <cell r="K118" t="str">
            <v>120</v>
          </cell>
          <cell r="L118">
            <v>10</v>
          </cell>
          <cell r="M118" t="str">
            <v>28181000 - Amort.aaidivers</v>
          </cell>
          <cell r="N118" t="str">
            <v>68112000 - Dot.amort.s/immobil.corporel.</v>
          </cell>
          <cell r="O118" t="str">
            <v>DE</v>
          </cell>
        </row>
        <row r="119">
          <cell r="B119">
            <v>66</v>
          </cell>
          <cell r="C119" t="str">
            <v>FISHER SCIENTIFIC Balance Defe</v>
          </cell>
          <cell r="D119" t="str">
            <v xml:space="preserve"> 215400 - Matériel industriel</v>
          </cell>
          <cell r="E119" t="str">
            <v>29/11/2024</v>
          </cell>
          <cell r="F119">
            <v>1075.54</v>
          </cell>
          <cell r="I119">
            <v>1075.54</v>
          </cell>
          <cell r="J119" t="str">
            <v>L</v>
          </cell>
          <cell r="K119" t="str">
            <v>60</v>
          </cell>
          <cell r="L119">
            <v>20</v>
          </cell>
          <cell r="M119" t="str">
            <v>28154000 - Amortis.install.mat.industriel</v>
          </cell>
          <cell r="N119" t="str">
            <v>68112000 - Dot.amort.s/immobil.corporel.</v>
          </cell>
          <cell r="O119" t="str">
            <v>DE</v>
          </cell>
        </row>
        <row r="120">
          <cell r="B120">
            <v>67</v>
          </cell>
          <cell r="C120" t="str">
            <v>Agelab Solde Paillasse Labo KB</v>
          </cell>
          <cell r="D120" t="str">
            <v xml:space="preserve"> 215400 - Matériel industriel</v>
          </cell>
          <cell r="E120" t="str">
            <v>25/01/2024</v>
          </cell>
          <cell r="F120">
            <v>48900</v>
          </cell>
          <cell r="I120">
            <v>48900</v>
          </cell>
          <cell r="J120" t="str">
            <v>L</v>
          </cell>
          <cell r="K120" t="str">
            <v>60</v>
          </cell>
          <cell r="L120">
            <v>20</v>
          </cell>
          <cell r="M120" t="str">
            <v>28154000 - Amortis.install.mat.industriel</v>
          </cell>
          <cell r="N120" t="str">
            <v>68112000 - Dot.amort.s/immobil.corporel.</v>
          </cell>
          <cell r="O120" t="str">
            <v>RI</v>
          </cell>
        </row>
        <row r="121">
          <cell r="B121">
            <v>69</v>
          </cell>
          <cell r="C121" t="str">
            <v>HEIDOLPH</v>
          </cell>
          <cell r="D121" t="str">
            <v xml:space="preserve"> 215400 - Matériel industriel</v>
          </cell>
          <cell r="E121" t="str">
            <v>09/02/2024</v>
          </cell>
          <cell r="F121">
            <v>1827.78</v>
          </cell>
          <cell r="I121">
            <v>1827.78</v>
          </cell>
          <cell r="J121" t="str">
            <v>L</v>
          </cell>
          <cell r="K121" t="str">
            <v>60</v>
          </cell>
          <cell r="L121">
            <v>20</v>
          </cell>
          <cell r="M121" t="str">
            <v>28154000 - Amortis.install.mat.industriel</v>
          </cell>
          <cell r="N121" t="str">
            <v>68112000 - Dot.amort.s/immobil.corporel.</v>
          </cell>
          <cell r="O121" t="str">
            <v>DE</v>
          </cell>
        </row>
        <row r="122">
          <cell r="B122">
            <v>70</v>
          </cell>
          <cell r="C122" t="str">
            <v>HEIDOLPH équipement KB</v>
          </cell>
          <cell r="D122" t="str">
            <v xml:space="preserve"> 215400 - Matériel industriel</v>
          </cell>
          <cell r="E122" t="str">
            <v>01/04/2024</v>
          </cell>
          <cell r="F122">
            <v>6333</v>
          </cell>
          <cell r="I122">
            <v>6333</v>
          </cell>
          <cell r="J122" t="str">
            <v>L</v>
          </cell>
          <cell r="K122" t="str">
            <v>60</v>
          </cell>
          <cell r="L122">
            <v>20</v>
          </cell>
          <cell r="M122" t="str">
            <v>28154000 - Amortis.install.mat.industriel</v>
          </cell>
          <cell r="N122" t="str">
            <v>68112000 - Dot.amort.s/immobil.corporel.</v>
          </cell>
          <cell r="O122" t="str">
            <v>RI</v>
          </cell>
        </row>
        <row r="123">
          <cell r="B123">
            <v>71</v>
          </cell>
          <cell r="C123" t="str">
            <v>HEIDOLPH Heat-On Multi-Well Ho</v>
          </cell>
          <cell r="D123" t="str">
            <v xml:space="preserve"> 215400 - Matériel industriel</v>
          </cell>
          <cell r="E123" t="str">
            <v>08/05/2024</v>
          </cell>
          <cell r="F123">
            <v>2370.5</v>
          </cell>
          <cell r="I123">
            <v>2370.5</v>
          </cell>
          <cell r="J123" t="str">
            <v>L</v>
          </cell>
          <cell r="K123" t="str">
            <v>60</v>
          </cell>
          <cell r="L123">
            <v>20</v>
          </cell>
          <cell r="M123" t="str">
            <v>28154000 - Amortis.install.mat.industriel</v>
          </cell>
          <cell r="N123" t="str">
            <v>68112000 - Dot.amort.s/immobil.corporel.</v>
          </cell>
          <cell r="O123" t="str">
            <v>DE</v>
          </cell>
        </row>
        <row r="124">
          <cell r="B124">
            <v>72</v>
          </cell>
          <cell r="C124" t="str">
            <v>PROLIANS Nettoyeur HP Eau CH H</v>
          </cell>
          <cell r="D124" t="str">
            <v xml:space="preserve"> 215400 - Matériel industriel</v>
          </cell>
          <cell r="E124" t="str">
            <v>02/10/2024</v>
          </cell>
          <cell r="F124">
            <v>2065</v>
          </cell>
          <cell r="I124">
            <v>2065</v>
          </cell>
          <cell r="J124" t="str">
            <v>L</v>
          </cell>
          <cell r="K124" t="str">
            <v>60</v>
          </cell>
          <cell r="L124">
            <v>20</v>
          </cell>
          <cell r="M124" t="str">
            <v>28154000 - Amortis.install.mat.industriel</v>
          </cell>
          <cell r="N124" t="str">
            <v>68112000 - Dot.amort.s/immobil.corporel.</v>
          </cell>
          <cell r="O124" t="str">
            <v>DE</v>
          </cell>
        </row>
        <row r="125">
          <cell r="B125">
            <v>73</v>
          </cell>
          <cell r="C125" t="str">
            <v>HEIDOLPH SCIENTIFIC PRODUCTS G</v>
          </cell>
          <cell r="D125" t="str">
            <v xml:space="preserve"> 215400 - Matériel industriel</v>
          </cell>
          <cell r="E125" t="str">
            <v>25/11/2024</v>
          </cell>
          <cell r="F125">
            <v>2263.5</v>
          </cell>
          <cell r="I125">
            <v>2263.5</v>
          </cell>
          <cell r="J125" t="str">
            <v>L</v>
          </cell>
          <cell r="K125" t="str">
            <v>60</v>
          </cell>
          <cell r="L125">
            <v>20</v>
          </cell>
          <cell r="M125" t="str">
            <v>28154000 - Amortis.install.mat.industriel</v>
          </cell>
          <cell r="N125" t="str">
            <v>68112000 - Dot.amort.s/immobil.corporel.</v>
          </cell>
          <cell r="O125" t="str">
            <v>DE</v>
          </cell>
        </row>
        <row r="126">
          <cell r="B126">
            <v>74</v>
          </cell>
          <cell r="C126" t="str">
            <v>HEIDOLPH SCIENTIFIC PRODUCTS G</v>
          </cell>
          <cell r="D126" t="str">
            <v xml:space="preserve"> 215400 - Matériel industriel</v>
          </cell>
          <cell r="E126" t="str">
            <v>25/11/2024</v>
          </cell>
          <cell r="F126">
            <v>2970</v>
          </cell>
          <cell r="I126">
            <v>2970</v>
          </cell>
          <cell r="J126" t="str">
            <v>L</v>
          </cell>
          <cell r="K126" t="str">
            <v>60</v>
          </cell>
          <cell r="L126">
            <v>20</v>
          </cell>
          <cell r="M126" t="str">
            <v>28154000 - Amortis.install.mat.industriel</v>
          </cell>
          <cell r="N126" t="str">
            <v>68112000 - Dot.amort.s/immobil.corporel.</v>
          </cell>
          <cell r="O126" t="str">
            <v>DE</v>
          </cell>
        </row>
        <row r="127">
          <cell r="B127">
            <v>75</v>
          </cell>
          <cell r="C127" t="str">
            <v>PHENOMENEX SecurityGuard Cartr</v>
          </cell>
          <cell r="D127" t="str">
            <v xml:space="preserve"> 215400 - Matériel industriel</v>
          </cell>
          <cell r="E127" t="str">
            <v>10/12/2024</v>
          </cell>
          <cell r="F127">
            <v>1187</v>
          </cell>
          <cell r="I127">
            <v>1187</v>
          </cell>
          <cell r="J127" t="str">
            <v>L</v>
          </cell>
          <cell r="K127" t="str">
            <v>60</v>
          </cell>
          <cell r="L127">
            <v>20</v>
          </cell>
          <cell r="M127" t="str">
            <v>28154000 - Amortis.install.mat.industriel</v>
          </cell>
          <cell r="N127" t="str">
            <v>68112000 - Dot.amort.s/immobil.corporel.</v>
          </cell>
          <cell r="O127" t="str">
            <v>DE</v>
          </cell>
        </row>
        <row r="128">
          <cell r="B128">
            <v>76</v>
          </cell>
          <cell r="C128" t="str">
            <v>CIPRAL Solde fin Travaux KB</v>
          </cell>
          <cell r="D128" t="str">
            <v xml:space="preserve"> 218100 - Installations et Agencement</v>
          </cell>
          <cell r="E128" t="str">
            <v>01/07/2024</v>
          </cell>
          <cell r="F128">
            <v>1730</v>
          </cell>
          <cell r="I128">
            <v>1730</v>
          </cell>
          <cell r="J128" t="str">
            <v>L</v>
          </cell>
          <cell r="K128" t="str">
            <v>120</v>
          </cell>
          <cell r="L128">
            <v>10</v>
          </cell>
          <cell r="M128" t="str">
            <v>28181000 - Amort.aaidivers</v>
          </cell>
          <cell r="N128" t="str">
            <v>68112000 - Dot.amort.s/immobil.corporel.</v>
          </cell>
          <cell r="O128" t="str">
            <v>RI</v>
          </cell>
        </row>
        <row r="129">
          <cell r="B129">
            <v>77</v>
          </cell>
          <cell r="C129" t="str">
            <v>CIPRAL Solde levé de réserve t</v>
          </cell>
          <cell r="D129" t="str">
            <v xml:space="preserve"> 218100 - Installations et Agencement</v>
          </cell>
          <cell r="E129" t="str">
            <v>01/07/2024</v>
          </cell>
          <cell r="F129">
            <v>121.8</v>
          </cell>
          <cell r="I129">
            <v>121.8</v>
          </cell>
          <cell r="J129" t="str">
            <v>L</v>
          </cell>
          <cell r="K129" t="str">
            <v>120</v>
          </cell>
          <cell r="L129">
            <v>10</v>
          </cell>
          <cell r="M129" t="str">
            <v>28181000 - Amort.aaidivers</v>
          </cell>
          <cell r="N129" t="str">
            <v>68112000 - Dot.amort.s/immobil.corporel.</v>
          </cell>
          <cell r="O129" t="str">
            <v>DE</v>
          </cell>
        </row>
        <row r="130">
          <cell r="B130">
            <v>78</v>
          </cell>
          <cell r="C130" t="str">
            <v>CIPRAL Travaux KB Cipral</v>
          </cell>
          <cell r="D130" t="str">
            <v xml:space="preserve"> 218100 - Installations et Agencement</v>
          </cell>
          <cell r="E130" t="str">
            <v>01/07/2024</v>
          </cell>
          <cell r="F130">
            <v>2468</v>
          </cell>
          <cell r="I130">
            <v>2468</v>
          </cell>
          <cell r="J130" t="str">
            <v>L</v>
          </cell>
          <cell r="K130" t="str">
            <v>120</v>
          </cell>
          <cell r="L130">
            <v>10</v>
          </cell>
          <cell r="M130" t="str">
            <v>28181000 - Amort.aaidivers</v>
          </cell>
          <cell r="N130" t="str">
            <v>68112000 - Dot.amort.s/immobil.corporel.</v>
          </cell>
          <cell r="O130" t="str">
            <v>RI</v>
          </cell>
        </row>
        <row r="131">
          <cell r="B131">
            <v>79</v>
          </cell>
          <cell r="C131" t="str">
            <v>BACK MARKET 2 Dell Latitude 54</v>
          </cell>
          <cell r="D131" t="str">
            <v xml:space="preserve"> 218300 - Matériel de bureau &amp; informatique</v>
          </cell>
          <cell r="E131" t="str">
            <v>31/12/2024</v>
          </cell>
          <cell r="F131">
            <v>745.63</v>
          </cell>
          <cell r="I131">
            <v>745.63</v>
          </cell>
          <cell r="J131" t="str">
            <v>L</v>
          </cell>
          <cell r="K131" t="str">
            <v>60</v>
          </cell>
          <cell r="L131">
            <v>20</v>
          </cell>
          <cell r="M131" t="str">
            <v>28183000 - Amortis.matér.bureauetinformat.</v>
          </cell>
          <cell r="N131" t="str">
            <v>68112000 - Dot.amort.s/immobil.corporel.</v>
          </cell>
          <cell r="O131" t="str">
            <v>CO</v>
          </cell>
        </row>
        <row r="132">
          <cell r="B132">
            <v>80</v>
          </cell>
          <cell r="C132" t="str">
            <v>agelab meubles pour labo</v>
          </cell>
          <cell r="D132" t="str">
            <v xml:space="preserve"> 218400 - Mobilier</v>
          </cell>
          <cell r="E132" t="str">
            <v>21/04/2024</v>
          </cell>
          <cell r="F132">
            <v>0</v>
          </cell>
          <cell r="G132">
            <v>2425.59</v>
          </cell>
          <cell r="H132">
            <v>0</v>
          </cell>
          <cell r="I132">
            <v>2425.59</v>
          </cell>
          <cell r="J132" t="str">
            <v>L</v>
          </cell>
          <cell r="K132" t="str">
            <v>60</v>
          </cell>
          <cell r="L132">
            <v>20</v>
          </cell>
          <cell r="M132" t="str">
            <v>28184000 - Amort.mobilier</v>
          </cell>
          <cell r="N132" t="str">
            <v>68112000 - Dot.amort.s/immobil.corporel.</v>
          </cell>
          <cell r="O132" t="str">
            <v>CO</v>
          </cell>
        </row>
        <row r="133">
          <cell r="B133">
            <v>81</v>
          </cell>
          <cell r="C133" t="str">
            <v>Fmge Travaux &amp; équipement Labo</v>
          </cell>
          <cell r="D133" t="str">
            <v xml:space="preserve"> 218100 - Installations et Agencement</v>
          </cell>
          <cell r="E133" t="str">
            <v>30/01/2024</v>
          </cell>
          <cell r="F133">
            <v>685.2</v>
          </cell>
          <cell r="I133">
            <v>685.2</v>
          </cell>
          <cell r="J133" t="str">
            <v>L</v>
          </cell>
          <cell r="K133" t="str">
            <v>120</v>
          </cell>
          <cell r="L133">
            <v>10</v>
          </cell>
          <cell r="M133" t="str">
            <v>28181000 - Amort.aaidivers</v>
          </cell>
          <cell r="N133" t="str">
            <v>68112000 - Dot.amort.s/immobil.corporel.</v>
          </cell>
          <cell r="O133" t="str">
            <v>DE</v>
          </cell>
        </row>
        <row r="134">
          <cell r="B134">
            <v>82</v>
          </cell>
          <cell r="C134" t="str">
            <v>EXELL SECURITE Travaux-KB : tr</v>
          </cell>
          <cell r="D134" t="str">
            <v xml:space="preserve"> 218100 - Installations et Agencement</v>
          </cell>
          <cell r="E134" t="str">
            <v>01/04/2024</v>
          </cell>
          <cell r="F134">
            <v>494.4</v>
          </cell>
          <cell r="I134">
            <v>494.4</v>
          </cell>
          <cell r="J134" t="str">
            <v>L</v>
          </cell>
          <cell r="K134" t="str">
            <v>120</v>
          </cell>
          <cell r="L134">
            <v>10</v>
          </cell>
          <cell r="M134" t="str">
            <v>28181000 - Amort.aaidivers</v>
          </cell>
          <cell r="N134" t="str">
            <v>68112000 - Dot.amort.s/immobil.corporel.</v>
          </cell>
          <cell r="O134" t="str">
            <v>RI</v>
          </cell>
        </row>
        <row r="135">
          <cell r="B135">
            <v>83</v>
          </cell>
          <cell r="C135" t="str">
            <v>15-12-2023 3BCLIM SOLDE LOT CV</v>
          </cell>
          <cell r="D135" t="str">
            <v xml:space="preserve"> 218100 - Installations et Agencement</v>
          </cell>
          <cell r="E135" t="str">
            <v>01/01/2024</v>
          </cell>
          <cell r="F135">
            <v>10833.37</v>
          </cell>
          <cell r="I135">
            <v>10833.37</v>
          </cell>
          <cell r="J135" t="str">
            <v>L</v>
          </cell>
          <cell r="K135" t="str">
            <v>120</v>
          </cell>
          <cell r="L135">
            <v>10</v>
          </cell>
          <cell r="M135" t="str">
            <v>28181000 - Amort.aaidivers</v>
          </cell>
          <cell r="N135" t="str">
            <v>68112000 - Dot.amort.s/immobil.corporel.</v>
          </cell>
          <cell r="O135" t="str">
            <v>DE</v>
          </cell>
        </row>
        <row r="136">
          <cell r="B136">
            <v>84</v>
          </cell>
          <cell r="C136" t="str">
            <v>18-10-2023 ALGOCHEM</v>
          </cell>
          <cell r="D136" t="str">
            <v xml:space="preserve"> 218100 - Installations et Agencement</v>
          </cell>
          <cell r="E136" t="str">
            <v>01/01/2024</v>
          </cell>
          <cell r="F136">
            <v>17475</v>
          </cell>
          <cell r="I136">
            <v>17475</v>
          </cell>
          <cell r="J136" t="str">
            <v>L</v>
          </cell>
          <cell r="K136" t="str">
            <v>120</v>
          </cell>
          <cell r="L136">
            <v>10</v>
          </cell>
          <cell r="M136" t="str">
            <v>28181000 - Amort.aaidivers</v>
          </cell>
          <cell r="N136" t="str">
            <v>68112000 - Dot.amort.s/immobil.corporel.</v>
          </cell>
          <cell r="O136" t="str">
            <v>DE</v>
          </cell>
        </row>
        <row r="137">
          <cell r="B137">
            <v>85</v>
          </cell>
          <cell r="C137" t="str">
            <v>31-12-2023 LABO BUREAUX KB 202</v>
          </cell>
          <cell r="D137" t="str">
            <v xml:space="preserve"> 218100 - Installations et Agencement</v>
          </cell>
          <cell r="E137" t="str">
            <v>01/01/2024</v>
          </cell>
          <cell r="F137">
            <v>499317</v>
          </cell>
          <cell r="I137">
            <v>499317</v>
          </cell>
          <cell r="J137" t="str">
            <v>L</v>
          </cell>
          <cell r="K137" t="str">
            <v>120</v>
          </cell>
          <cell r="L137">
            <v>10</v>
          </cell>
          <cell r="M137" t="str">
            <v>28181000 - Amort.aaidivers</v>
          </cell>
          <cell r="N137" t="str">
            <v>68112000 - Dot.amort.s/immobil.corporel.</v>
          </cell>
          <cell r="O137" t="str">
            <v>RI</v>
          </cell>
        </row>
        <row r="138">
          <cell r="B138">
            <v>86</v>
          </cell>
          <cell r="C138" t="str">
            <v>ALTEA SERVICES Raccord SSi con</v>
          </cell>
          <cell r="D138" t="str">
            <v xml:space="preserve"> 218100 - Installations et Agencement</v>
          </cell>
          <cell r="E138" t="str">
            <v>01/06/2024</v>
          </cell>
          <cell r="F138">
            <v>1117.5</v>
          </cell>
          <cell r="I138">
            <v>1117.5</v>
          </cell>
          <cell r="J138" t="str">
            <v>L</v>
          </cell>
          <cell r="K138" t="str">
            <v>120</v>
          </cell>
          <cell r="L138">
            <v>10</v>
          </cell>
          <cell r="M138" t="str">
            <v>28181000 - Amort.aaidivers</v>
          </cell>
          <cell r="N138" t="str">
            <v>68112000 - Dot.amort.s/immobil.corporel.</v>
          </cell>
          <cell r="O138" t="str">
            <v>DE</v>
          </cell>
        </row>
        <row r="139">
          <cell r="B139">
            <v>87</v>
          </cell>
          <cell r="C139" t="str">
            <v>Fmge Instal elec KB phonebox R</v>
          </cell>
          <cell r="D139" t="str">
            <v xml:space="preserve"> 218100 - Installations et Agencement</v>
          </cell>
          <cell r="E139" t="str">
            <v>01/06/2024</v>
          </cell>
          <cell r="F139">
            <v>769.5</v>
          </cell>
          <cell r="I139">
            <v>769.5</v>
          </cell>
          <cell r="J139" t="str">
            <v>L</v>
          </cell>
          <cell r="K139" t="str">
            <v>120</v>
          </cell>
          <cell r="L139">
            <v>10</v>
          </cell>
          <cell r="M139" t="str">
            <v>28181000 - Amort.aaidivers</v>
          </cell>
          <cell r="N139" t="str">
            <v>68112000 - Dot.amort.s/immobil.corporel.</v>
          </cell>
          <cell r="O139" t="str">
            <v>RI</v>
          </cell>
        </row>
        <row r="140">
          <cell r="B140">
            <v>88</v>
          </cell>
          <cell r="C140" t="str">
            <v>EXELL SECURITE Travaux-KB : tr</v>
          </cell>
          <cell r="D140" t="str">
            <v xml:space="preserve"> 218100 - Installations et Agencement</v>
          </cell>
          <cell r="E140" t="str">
            <v>01/06/2024</v>
          </cell>
          <cell r="F140">
            <v>525.29999999999995</v>
          </cell>
          <cell r="I140">
            <v>525.29999999999995</v>
          </cell>
          <cell r="J140" t="str">
            <v>L</v>
          </cell>
          <cell r="K140" t="str">
            <v>120</v>
          </cell>
          <cell r="L140">
            <v>10</v>
          </cell>
          <cell r="M140" t="str">
            <v>28181000 - Amort.aaidivers</v>
          </cell>
          <cell r="N140" t="str">
            <v>68112000 - Dot.amort.s/immobil.corporel.</v>
          </cell>
          <cell r="O140" t="str">
            <v>RI</v>
          </cell>
        </row>
        <row r="141">
          <cell r="B141">
            <v>89</v>
          </cell>
          <cell r="C141" t="str">
            <v>EXELL SECURITE Travaux d'aména</v>
          </cell>
          <cell r="D141" t="str">
            <v xml:space="preserve"> 218100 - Installations et Agencement</v>
          </cell>
          <cell r="E141" t="str">
            <v>01/09/2024</v>
          </cell>
          <cell r="F141">
            <v>401.7</v>
          </cell>
          <cell r="I141">
            <v>401.7</v>
          </cell>
          <cell r="J141" t="str">
            <v>L</v>
          </cell>
          <cell r="K141" t="str">
            <v>120</v>
          </cell>
          <cell r="L141">
            <v>10</v>
          </cell>
          <cell r="M141" t="str">
            <v>28181000 - Amort.aaidivers</v>
          </cell>
          <cell r="N141" t="str">
            <v>68112000 - Dot.amort.s/immobil.corporel.</v>
          </cell>
          <cell r="O141" t="str">
            <v>DE</v>
          </cell>
        </row>
        <row r="142">
          <cell r="B142">
            <v>90</v>
          </cell>
          <cell r="C142" t="str">
            <v>DENIOS DÃ©tecteur de cyanure p</v>
          </cell>
          <cell r="D142" t="str">
            <v xml:space="preserve"> 218100 - Installations et Agencement</v>
          </cell>
          <cell r="E142" t="str">
            <v>11/12/2024</v>
          </cell>
          <cell r="F142">
            <v>1208</v>
          </cell>
          <cell r="I142">
            <v>1208</v>
          </cell>
          <cell r="J142" t="str">
            <v>L</v>
          </cell>
          <cell r="K142" t="str">
            <v>120</v>
          </cell>
          <cell r="L142">
            <v>10</v>
          </cell>
          <cell r="M142" t="str">
            <v>28181000 - Amort.aaidivers</v>
          </cell>
          <cell r="N142" t="str">
            <v>68112000 - Dot.amort.s/immobil.corporel.</v>
          </cell>
          <cell r="O142" t="str">
            <v>DE</v>
          </cell>
        </row>
        <row r="143">
          <cell r="B143">
            <v>91</v>
          </cell>
          <cell r="C143" t="str">
            <v>DE DIETRICH PROCESS SYSTEMS Es</v>
          </cell>
          <cell r="D143" t="str">
            <v xml:space="preserve"> 218100 - Installations et Agencement</v>
          </cell>
          <cell r="E143" t="str">
            <v>25/01/2024</v>
          </cell>
          <cell r="F143">
            <v>7920</v>
          </cell>
          <cell r="I143">
            <v>7920</v>
          </cell>
          <cell r="J143" t="str">
            <v>L</v>
          </cell>
          <cell r="K143" t="str">
            <v>120</v>
          </cell>
          <cell r="L143">
            <v>10</v>
          </cell>
          <cell r="M143" t="str">
            <v>28181000 - Amort.aaidivers</v>
          </cell>
          <cell r="N143" t="str">
            <v>68112000 - Dot.amort.s/immobil.corporel.</v>
          </cell>
          <cell r="O143" t="str">
            <v>DE</v>
          </cell>
        </row>
        <row r="144">
          <cell r="B144">
            <v>92</v>
          </cell>
          <cell r="C144" t="str">
            <v>OPTIMUS Accessoires KL Roussil</v>
          </cell>
          <cell r="D144" t="str">
            <v xml:space="preserve"> 218100 - Installations et Agencement</v>
          </cell>
          <cell r="E144" t="str">
            <v>08/01/2024</v>
          </cell>
          <cell r="F144">
            <v>488.2</v>
          </cell>
          <cell r="I144">
            <v>488.2</v>
          </cell>
          <cell r="J144" t="str">
            <v>L</v>
          </cell>
          <cell r="K144" t="str">
            <v>120</v>
          </cell>
          <cell r="L144">
            <v>10</v>
          </cell>
          <cell r="M144" t="str">
            <v>28181000 - Amort.aaidivers</v>
          </cell>
          <cell r="N144" t="str">
            <v>68112000 - Dot.amort.s/immobil.corporel.</v>
          </cell>
          <cell r="O144" t="str">
            <v>DE</v>
          </cell>
        </row>
        <row r="145">
          <cell r="B145">
            <v>93</v>
          </cell>
          <cell r="C145" t="str">
            <v>Foure Lagadec Modification bac</v>
          </cell>
          <cell r="D145" t="str">
            <v xml:space="preserve"> 218100 - Installations et Agencement</v>
          </cell>
          <cell r="E145" t="str">
            <v>25/03/2024</v>
          </cell>
          <cell r="F145">
            <v>336.5</v>
          </cell>
          <cell r="I145">
            <v>336.5</v>
          </cell>
          <cell r="J145" t="str">
            <v>L</v>
          </cell>
          <cell r="K145" t="str">
            <v>120</v>
          </cell>
          <cell r="L145">
            <v>10</v>
          </cell>
          <cell r="M145" t="str">
            <v>28181000 - Amort.aaidivers</v>
          </cell>
          <cell r="N145" t="str">
            <v>68112000 - Dot.amort.s/immobil.corporel.</v>
          </cell>
          <cell r="O145" t="str">
            <v>DE</v>
          </cell>
        </row>
        <row r="146">
          <cell r="B146">
            <v>94</v>
          </cell>
          <cell r="C146" t="str">
            <v>Foure Lagadec MODIFICATION D U</v>
          </cell>
          <cell r="D146" t="str">
            <v xml:space="preserve"> 218100 - Installations et Agencement</v>
          </cell>
          <cell r="E146" t="str">
            <v>01/04/2024</v>
          </cell>
          <cell r="F146">
            <v>588.5</v>
          </cell>
          <cell r="I146">
            <v>588.5</v>
          </cell>
          <cell r="J146" t="str">
            <v>L</v>
          </cell>
          <cell r="K146" t="str">
            <v>120</v>
          </cell>
          <cell r="L146">
            <v>10</v>
          </cell>
          <cell r="M146" t="str">
            <v>28181000 - Amort.aaidivers</v>
          </cell>
          <cell r="N146" t="str">
            <v>68112000 - Dot.amort.s/immobil.corporel.</v>
          </cell>
          <cell r="O146" t="str">
            <v>DE</v>
          </cell>
        </row>
        <row r="147">
          <cell r="B147">
            <v>95</v>
          </cell>
          <cell r="C147" t="str">
            <v>Foure Lagadec support filtre e</v>
          </cell>
          <cell r="D147" t="str">
            <v xml:space="preserve"> 218100 - Installations et Agencement</v>
          </cell>
          <cell r="E147" t="str">
            <v>01/05/2024</v>
          </cell>
          <cell r="F147">
            <v>4283</v>
          </cell>
          <cell r="I147">
            <v>4283</v>
          </cell>
          <cell r="J147" t="str">
            <v>L</v>
          </cell>
          <cell r="K147" t="str">
            <v>120</v>
          </cell>
          <cell r="L147">
            <v>10</v>
          </cell>
          <cell r="M147" t="str">
            <v>28181000 - Amort.aaidivers</v>
          </cell>
          <cell r="N147" t="str">
            <v>68112000 - Dot.amort.s/immobil.corporel.</v>
          </cell>
          <cell r="O147" t="str">
            <v>DE</v>
          </cell>
        </row>
        <row r="148">
          <cell r="B148">
            <v>96</v>
          </cell>
          <cell r="C148" t="str">
            <v xml:space="preserve">Espace équipement Armoires KL </v>
          </cell>
          <cell r="D148" t="str">
            <v xml:space="preserve"> 218100 - Installations et Agencement</v>
          </cell>
          <cell r="E148" t="str">
            <v>01/07/2024</v>
          </cell>
          <cell r="F148">
            <v>1874</v>
          </cell>
          <cell r="I148">
            <v>1874</v>
          </cell>
          <cell r="J148" t="str">
            <v>L</v>
          </cell>
          <cell r="K148" t="str">
            <v>120</v>
          </cell>
          <cell r="L148">
            <v>10</v>
          </cell>
          <cell r="M148" t="str">
            <v>28181000 - Amort.aaidivers</v>
          </cell>
          <cell r="N148" t="str">
            <v>68112000 - Dot.amort.s/immobil.corporel.</v>
          </cell>
          <cell r="O148" t="str">
            <v>DE</v>
          </cell>
        </row>
        <row r="149">
          <cell r="B149">
            <v>97</v>
          </cell>
          <cell r="C149" t="str">
            <v>Foure Lagadec Pose aÃ©rotherme</v>
          </cell>
          <cell r="D149" t="str">
            <v xml:space="preserve"> 218100 - Installations et Agencement</v>
          </cell>
          <cell r="E149" t="str">
            <v>20/12/2024</v>
          </cell>
          <cell r="F149">
            <v>3985.8</v>
          </cell>
          <cell r="I149">
            <v>3985.8</v>
          </cell>
          <cell r="J149" t="str">
            <v>L</v>
          </cell>
          <cell r="K149" t="str">
            <v>120</v>
          </cell>
          <cell r="L149">
            <v>10</v>
          </cell>
          <cell r="M149" t="str">
            <v>28181000 - Amort.aaidivers</v>
          </cell>
          <cell r="N149" t="str">
            <v>68112000 - Dot.amort.s/immobil.corporel.</v>
          </cell>
          <cell r="O149" t="str">
            <v>DE</v>
          </cell>
        </row>
        <row r="150">
          <cell r="B150">
            <v>98</v>
          </cell>
          <cell r="C150" t="str">
            <v>COTE Travaux raccordement élec</v>
          </cell>
          <cell r="D150" t="str">
            <v xml:space="preserve"> 218100 - Installations et Agencement</v>
          </cell>
          <cell r="E150" t="str">
            <v>30/11/2024</v>
          </cell>
          <cell r="F150">
            <v>1860.11</v>
          </cell>
          <cell r="I150">
            <v>1860.11</v>
          </cell>
          <cell r="J150" t="str">
            <v>L</v>
          </cell>
          <cell r="K150" t="str">
            <v>120</v>
          </cell>
          <cell r="L150">
            <v>10</v>
          </cell>
          <cell r="M150" t="str">
            <v>28181000 - Amort.aaidivers</v>
          </cell>
          <cell r="N150" t="str">
            <v>68112000 - Dot.amort.s/immobil.corporel.</v>
          </cell>
          <cell r="O150" t="str">
            <v>DE</v>
          </cell>
        </row>
        <row r="151">
          <cell r="B151">
            <v>99</v>
          </cell>
          <cell r="C151" t="str">
            <v>agelab extraction armoire prod</v>
          </cell>
          <cell r="D151" t="str">
            <v xml:space="preserve"> 218100 - Installations et Agencement</v>
          </cell>
          <cell r="E151" t="str">
            <v>03/12/2024</v>
          </cell>
          <cell r="F151">
            <v>1210</v>
          </cell>
          <cell r="I151">
            <v>1210</v>
          </cell>
          <cell r="J151" t="str">
            <v>L</v>
          </cell>
          <cell r="K151" t="str">
            <v>120</v>
          </cell>
          <cell r="L151">
            <v>10</v>
          </cell>
          <cell r="M151" t="str">
            <v>28181000 - Amort.aaidivers</v>
          </cell>
          <cell r="N151" t="str">
            <v>68112000 - Dot.amort.s/immobil.corporel.</v>
          </cell>
          <cell r="O151" t="str">
            <v>DE</v>
          </cell>
        </row>
        <row r="152">
          <cell r="B152">
            <v>100</v>
          </cell>
          <cell r="C152" t="str">
            <v xml:space="preserve">31-12-2023 V2023 PHOENIX PRÉV </v>
          </cell>
          <cell r="D152" t="str">
            <v xml:space="preserve"> 203000 - Frais de recherche et développement</v>
          </cell>
          <cell r="E152" t="str">
            <v>01/01/2024</v>
          </cell>
          <cell r="F152">
            <v>338902</v>
          </cell>
          <cell r="I152">
            <v>338902</v>
          </cell>
          <cell r="J152" t="str">
            <v>L</v>
          </cell>
          <cell r="K152" t="str">
            <v>120</v>
          </cell>
          <cell r="L152">
            <v>10</v>
          </cell>
          <cell r="M152" t="str">
            <v>28030000 - Amortis.fraisrecherche&amp;dévelop</v>
          </cell>
          <cell r="N152" t="str">
            <v>68111000 - Dot.amort.s/immobil.incorporel.</v>
          </cell>
          <cell r="O152" t="str">
            <v>DE</v>
          </cell>
        </row>
        <row r="153">
          <cell r="B153">
            <v>101</v>
          </cell>
          <cell r="C153" t="str">
            <v>Démonstration Roussillon</v>
          </cell>
          <cell r="D153" t="str">
            <v xml:space="preserve"> 203000 - Frais de recherche et développement</v>
          </cell>
          <cell r="E153" t="str">
            <v>01/01/2024</v>
          </cell>
          <cell r="F153">
            <v>827917</v>
          </cell>
          <cell r="I153">
            <v>827917</v>
          </cell>
          <cell r="J153" t="str">
            <v>L</v>
          </cell>
          <cell r="K153" t="str">
            <v>120</v>
          </cell>
          <cell r="L153">
            <v>10</v>
          </cell>
          <cell r="M153" t="str">
            <v>28030000 - Amortis.fraisrecherche&amp;dévelop</v>
          </cell>
          <cell r="N153" t="str">
            <v>68111000 - Dot.amort.s/immobil.incorporel.</v>
          </cell>
          <cell r="O153" t="str">
            <v>DE</v>
          </cell>
        </row>
        <row r="154">
          <cell r="B154">
            <v>102</v>
          </cell>
          <cell r="C154" t="str">
            <v>PHENOMENEX Rezex RFQ-Fast Acid</v>
          </cell>
          <cell r="D154" t="str">
            <v xml:space="preserve"> 215400 - Matériel industriel</v>
          </cell>
          <cell r="E154" t="str">
            <v>11/12/2024</v>
          </cell>
          <cell r="F154">
            <v>1588.5</v>
          </cell>
          <cell r="I154">
            <v>1588.5</v>
          </cell>
          <cell r="J154" t="str">
            <v>L</v>
          </cell>
          <cell r="K154" t="str">
            <v>60</v>
          </cell>
          <cell r="L154">
            <v>20</v>
          </cell>
          <cell r="M154" t="str">
            <v>28154000 - Amortis.install.mat.industriel</v>
          </cell>
          <cell r="N154" t="str">
            <v>68112000 - Dot.amort.s/immobil.corporel.</v>
          </cell>
          <cell r="O154" t="str">
            <v>DE</v>
          </cell>
        </row>
        <row r="155">
          <cell r="B155">
            <v>103</v>
          </cell>
          <cell r="C155" t="str">
            <v>DMR Services Pose éclairage AT</v>
          </cell>
          <cell r="D155" t="str">
            <v xml:space="preserve"> 215400 - Matériel industriel</v>
          </cell>
          <cell r="E155" t="str">
            <v>29/02/2024</v>
          </cell>
          <cell r="F155">
            <v>4763</v>
          </cell>
          <cell r="I155">
            <v>4763</v>
          </cell>
          <cell r="J155" t="str">
            <v>L</v>
          </cell>
          <cell r="K155" t="str">
            <v>60</v>
          </cell>
          <cell r="L155">
            <v>20</v>
          </cell>
          <cell r="M155" t="str">
            <v>28154000 - Amortis.install.mat.industriel</v>
          </cell>
          <cell r="N155" t="str">
            <v>68112000 - Dot.amort.s/immobil.corporel.</v>
          </cell>
          <cell r="O155" t="str">
            <v>DE</v>
          </cell>
        </row>
        <row r="156">
          <cell r="B156">
            <v>104</v>
          </cell>
          <cell r="C156" t="str">
            <v>eurofiltration Plaques de filt</v>
          </cell>
          <cell r="D156" t="str">
            <v xml:space="preserve"> 215400 - Matériel industriel</v>
          </cell>
          <cell r="E156" t="str">
            <v>05/03/2024</v>
          </cell>
          <cell r="F156">
            <v>1273</v>
          </cell>
          <cell r="I156">
            <v>1273</v>
          </cell>
          <cell r="J156" t="str">
            <v>L</v>
          </cell>
          <cell r="K156" t="str">
            <v>60</v>
          </cell>
          <cell r="L156">
            <v>20</v>
          </cell>
          <cell r="M156" t="str">
            <v>28154000 - Amortis.install.mat.industriel</v>
          </cell>
          <cell r="N156" t="str">
            <v>68112000 - Dot.amort.s/immobil.corporel.</v>
          </cell>
          <cell r="O156" t="str">
            <v>DE</v>
          </cell>
        </row>
        <row r="157">
          <cell r="B157">
            <v>105</v>
          </cell>
          <cell r="C157" t="str">
            <v>eurofiltration Filtres pour le</v>
          </cell>
          <cell r="D157" t="str">
            <v xml:space="preserve"> 215400 - Matériel industriel</v>
          </cell>
          <cell r="E157" t="str">
            <v>18/09/2024</v>
          </cell>
          <cell r="F157">
            <v>1019</v>
          </cell>
          <cell r="I157">
            <v>1019</v>
          </cell>
          <cell r="J157" t="str">
            <v>L</v>
          </cell>
          <cell r="K157" t="str">
            <v>60</v>
          </cell>
          <cell r="L157">
            <v>20</v>
          </cell>
          <cell r="M157" t="str">
            <v>28154000 - Amortis.install.mat.industriel</v>
          </cell>
          <cell r="N157" t="str">
            <v>68112000 - Dot.amort.s/immobil.corporel.</v>
          </cell>
          <cell r="O157" t="str">
            <v>DE</v>
          </cell>
        </row>
        <row r="158">
          <cell r="B158">
            <v>106</v>
          </cell>
          <cell r="C158" t="str">
            <v>DONADON Material Hastelloy</v>
          </cell>
          <cell r="D158" t="str">
            <v xml:space="preserve"> 215400 - Matériel industriel</v>
          </cell>
          <cell r="E158" t="str">
            <v>14/10/2024</v>
          </cell>
          <cell r="F158">
            <v>2447</v>
          </cell>
          <cell r="I158">
            <v>2447</v>
          </cell>
          <cell r="J158" t="str">
            <v>L</v>
          </cell>
          <cell r="K158" t="str">
            <v>60</v>
          </cell>
          <cell r="L158">
            <v>20</v>
          </cell>
          <cell r="M158" t="str">
            <v>28154000 - Amortis.install.mat.industriel</v>
          </cell>
          <cell r="N158" t="str">
            <v>68112000 - Dot.amort.s/immobil.corporel.</v>
          </cell>
          <cell r="O158" t="str">
            <v>DE</v>
          </cell>
        </row>
        <row r="159">
          <cell r="B159" t="str">
            <v>TEMP-107</v>
          </cell>
          <cell r="C159" t="str">
            <v>FISHER SCIENTIFIC - SPECTROMÈTRE UV LABO ROUSSILLON</v>
          </cell>
          <cell r="D159" t="str">
            <v xml:space="preserve"> 215400 - Matériel industriel</v>
          </cell>
          <cell r="E159">
            <v>45689</v>
          </cell>
          <cell r="G159">
            <v>4512.6000000000004</v>
          </cell>
          <cell r="I159">
            <v>4512.6000000000004</v>
          </cell>
          <cell r="J159" t="str">
            <v>L</v>
          </cell>
          <cell r="K159">
            <v>60</v>
          </cell>
          <cell r="L159">
            <v>20</v>
          </cell>
          <cell r="M159" t="str">
            <v>281540 - AMORTIS. INSTALL.MAT.INDUSTRIEL</v>
          </cell>
          <cell r="N159" t="str">
            <v>681120 - Dot.amort.s/immobil.corporel.</v>
          </cell>
          <cell r="O159" t="str">
            <v>DE</v>
          </cell>
        </row>
        <row r="160">
          <cell r="B160" t="str">
            <v>TEMP-108</v>
          </cell>
          <cell r="C160" t="str">
            <v>PROMINENT - Pompe Addition KL</v>
          </cell>
          <cell r="D160" t="str">
            <v xml:space="preserve"> 218100 - Installations et Agencement</v>
          </cell>
          <cell r="E160">
            <v>45689</v>
          </cell>
          <cell r="G160">
            <v>2427.5500000000002</v>
          </cell>
          <cell r="I160">
            <v>2427.5500000000002</v>
          </cell>
          <cell r="J160" t="str">
            <v>L</v>
          </cell>
          <cell r="K160">
            <v>60</v>
          </cell>
          <cell r="L160">
            <v>20</v>
          </cell>
          <cell r="M160" t="str">
            <v>281540 - AMORTIS. INSTALL.MAT.INDUSTRIEL</v>
          </cell>
          <cell r="N160" t="str">
            <v>681120 - Dot.amort.s/immobil.corporel.</v>
          </cell>
          <cell r="O160" t="str">
            <v>DE</v>
          </cell>
        </row>
        <row r="161">
          <cell r="B161" t="str">
            <v>TEMP-109</v>
          </cell>
          <cell r="C161" t="str">
            <v>DENIOS - DÉTECTEUR HCN POUR KEENB</v>
          </cell>
          <cell r="D161" t="str">
            <v xml:space="preserve"> 215400 - Matériel industriel</v>
          </cell>
          <cell r="E161">
            <v>45748</v>
          </cell>
          <cell r="F161">
            <v>0</v>
          </cell>
          <cell r="G161">
            <v>2042.28</v>
          </cell>
          <cell r="H161">
            <v>0</v>
          </cell>
          <cell r="I161">
            <v>2042.28</v>
          </cell>
          <cell r="J161" t="str">
            <v>L</v>
          </cell>
          <cell r="K161">
            <v>60</v>
          </cell>
          <cell r="L161">
            <v>20</v>
          </cell>
          <cell r="M161" t="str">
            <v>281540 - AMORTIS. INSTALL.MAT.INDUSTRIEL</v>
          </cell>
          <cell r="N161" t="str">
            <v>681120 - Dot.amort.s/immobil.corporel.</v>
          </cell>
          <cell r="O161" t="str">
            <v>RI</v>
          </cell>
        </row>
        <row r="162">
          <cell r="B162" t="str">
            <v>TEMP-110</v>
          </cell>
          <cell r="C162" t="str">
            <v>ERP Finance Sage FRP1000</v>
          </cell>
          <cell r="D162" t="str">
            <v xml:space="preserve"> 205000 - Concessions et droits similaires</v>
          </cell>
          <cell r="E162">
            <v>45809</v>
          </cell>
          <cell r="F162">
            <v>0</v>
          </cell>
          <cell r="G162">
            <v>100826.5</v>
          </cell>
          <cell r="H162">
            <v>0</v>
          </cell>
          <cell r="I162">
            <v>100826.5</v>
          </cell>
          <cell r="J162" t="str">
            <v>L</v>
          </cell>
          <cell r="K162">
            <v>60</v>
          </cell>
          <cell r="L162">
            <v>20</v>
          </cell>
          <cell r="M162" t="str">
            <v>280500 - AMORTIS. BREVETS LOGICIELS</v>
          </cell>
          <cell r="N162" t="str">
            <v>681110 - Dotations sur immos incorporelles</v>
          </cell>
          <cell r="O162" t="str">
            <v>CO</v>
          </cell>
        </row>
        <row r="163">
          <cell r="B163" t="str">
            <v>TEMP-111</v>
          </cell>
          <cell r="C163" t="str">
            <v>APIE - BACS DE RÉTENTION ACIER GALVANISÉ 2 IBC OU 3 PALETTES EUROPES (COMPATIBLE RACKS)</v>
          </cell>
          <cell r="D163" t="str">
            <v xml:space="preserve"> 215400 - Matériel industriel</v>
          </cell>
          <cell r="E163">
            <v>45870</v>
          </cell>
          <cell r="G163">
            <v>1900</v>
          </cell>
          <cell r="I163">
            <v>1900</v>
          </cell>
          <cell r="J163" t="str">
            <v>L</v>
          </cell>
          <cell r="K163">
            <v>60</v>
          </cell>
          <cell r="L163">
            <v>20</v>
          </cell>
          <cell r="M163" t="str">
            <v>281540 - AMORTIS. INSTALL.MAT.INDUSTRIEL</v>
          </cell>
          <cell r="N163" t="str">
            <v>681120 - Dot.amort.s/immobil.corporel.</v>
          </cell>
          <cell r="O163" t="str">
            <v>DE</v>
          </cell>
        </row>
        <row r="164">
          <cell r="B164" t="str">
            <v>TEMP-112</v>
          </cell>
          <cell r="C164" t="str">
            <v>COTE - PRISES LABORATOIRE, PRISES ATEX, ALIMENTATION CLIM + AIR, PLANS</v>
          </cell>
          <cell r="D164" t="str">
            <v xml:space="preserve"> 218100 - Installations et Agencement</v>
          </cell>
          <cell r="E164">
            <v>45870</v>
          </cell>
          <cell r="G164">
            <v>4149.82</v>
          </cell>
          <cell r="I164">
            <v>4149.82</v>
          </cell>
          <cell r="J164" t="str">
            <v>L</v>
          </cell>
          <cell r="K164">
            <v>120</v>
          </cell>
          <cell r="L164">
            <v>10</v>
          </cell>
          <cell r="M164" t="str">
            <v>281810 - Amortissements Agencements</v>
          </cell>
          <cell r="N164" t="str">
            <v>681120 - Dot.amort.s/immobil.corporel.</v>
          </cell>
          <cell r="O164" t="str">
            <v>DE</v>
          </cell>
        </row>
        <row r="165">
          <cell r="B165" t="str">
            <v>TEMP-113</v>
          </cell>
          <cell r="C165" t="str">
            <v>LOPEZ PLOMBERIE ELECTRICITE - CHAUFFAGE / CLIMATISATION LABORATOIRE + APPORT D'AIR LABORATOIRE</v>
          </cell>
          <cell r="D165" t="str">
            <v xml:space="preserve"> 218100 - Installations et Agencement</v>
          </cell>
          <cell r="E165">
            <v>45870</v>
          </cell>
          <cell r="G165">
            <v>26000</v>
          </cell>
          <cell r="I165">
            <v>26000</v>
          </cell>
          <cell r="J165" t="str">
            <v>L</v>
          </cell>
          <cell r="K165">
            <v>120</v>
          </cell>
          <cell r="L165">
            <v>10</v>
          </cell>
          <cell r="M165" t="str">
            <v>281810 - Amortissements Agencements</v>
          </cell>
          <cell r="N165" t="str">
            <v>681120 - Dot.amort.s/immobil.corporel.</v>
          </cell>
          <cell r="O165" t="str">
            <v>DE</v>
          </cell>
        </row>
        <row r="166">
          <cell r="B166" t="str">
            <v>TEMP-114</v>
          </cell>
          <cell r="C166" t="str">
            <v>LOPEZ PLOMBERIE ELECTRICITE - RACCORDEMENT ASPIRATION LABORATOIRE</v>
          </cell>
          <cell r="D166" t="str">
            <v xml:space="preserve"> 218100 - Installations et Agencement</v>
          </cell>
          <cell r="E166">
            <v>45870</v>
          </cell>
          <cell r="G166">
            <v>3620</v>
          </cell>
          <cell r="I166">
            <v>3620</v>
          </cell>
          <cell r="J166" t="str">
            <v>L</v>
          </cell>
          <cell r="K166">
            <v>120</v>
          </cell>
          <cell r="L166">
            <v>10</v>
          </cell>
          <cell r="M166" t="str">
            <v>281810 - Amortissements Agencements</v>
          </cell>
          <cell r="N166" t="str">
            <v>681120 - Dot.amort.s/immobil.corporel.</v>
          </cell>
          <cell r="O166" t="str">
            <v>DE</v>
          </cell>
        </row>
        <row r="167">
          <cell r="B167" t="str">
            <v>TEMP-115</v>
          </cell>
          <cell r="C167" t="str">
            <v>SCMI - Double porte atelier</v>
          </cell>
          <cell r="D167" t="str">
            <v xml:space="preserve"> 218100 - Installations et Agencement</v>
          </cell>
          <cell r="E167">
            <v>45901</v>
          </cell>
          <cell r="F167">
            <v>0</v>
          </cell>
          <cell r="G167">
            <v>4510</v>
          </cell>
          <cell r="H167">
            <v>0</v>
          </cell>
          <cell r="I167">
            <v>4510</v>
          </cell>
          <cell r="J167" t="str">
            <v>L</v>
          </cell>
          <cell r="K167">
            <v>120</v>
          </cell>
          <cell r="L167">
            <v>10</v>
          </cell>
          <cell r="M167" t="str">
            <v>281810 - Amortissements Agencements</v>
          </cell>
          <cell r="N167" t="str">
            <v>681120 - Dot.amort.s/immobil.corporel.</v>
          </cell>
          <cell r="O167" t="str">
            <v>DE</v>
          </cell>
        </row>
        <row r="204">
          <cell r="B204" t="str">
            <v>Activation IEC au 01/01/2025</v>
          </cell>
        </row>
        <row r="206">
          <cell r="B206" t="str">
            <v>(*) : C = Cédée, P = Perte, R = Rebut, S = Sinistre, V = Vol</v>
          </cell>
        </row>
      </sheetData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xel Lopez" id="{8A14008D-280F-4885-A0E1-5DCECC99CC53}" userId="S::a.lopez@businove.com::705db035-9bc7-4c77-a828-aa073053c159" providerId="AD"/>
  <person displayName="Aglaé SAUDRAIS" id="{4C5E0A47-8BAB-4B48-93BF-699FDB757C57}" userId="S::a.saudrais@businove.com::9f0ab32f-3e85-4180-a088-aff834477247" providerId="AD"/>
  <person displayName="Jules LeHouedec" id="{96B9FA46-3D79-4ACB-8AFA-579B23196C89}" userId="S::j.lehouedec@businove.com::50960f6b-87fd-480c-89a0-b1c81c2c8524" providerId="AD"/>
</personList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R&#233;capitulatif%20de%20paie%20d&#233;taill&#233;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SUIVI_DES_TEMPS_EURECIA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GrandLivre.xlsx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71.764856712965" createdVersion="8" refreshedVersion="8" minRefreshableVersion="3" recordCount="5439" xr:uid="{075032B0-EB31-47B0-A7BA-E5320B2DA94F}">
  <cacheSource type="worksheet">
    <worksheetSource ref="A1:I1048576" sheet="BDD" r:id="rId2"/>
  </cacheSource>
  <cacheFields count="9">
    <cacheField name="Matricule" numFmtId="41">
      <sharedItems containsString="0" containsBlank="1" containsNumber="1" containsInteger="1" minValue="1" maxValue="63" count="55">
        <n v="61"/>
        <n v="28"/>
        <n v="1"/>
        <n v="51"/>
        <n v="44"/>
        <n v="42"/>
        <n v="18"/>
        <n v="11"/>
        <n v="3"/>
        <n v="7"/>
        <n v="5"/>
        <n v="29"/>
        <n v="32"/>
        <n v="41"/>
        <n v="46"/>
        <n v="24"/>
        <n v="19"/>
        <n v="62"/>
        <n v="37"/>
        <n v="6"/>
        <n v="4"/>
        <n v="26"/>
        <n v="56"/>
        <n v="12"/>
        <n v="54"/>
        <n v="38"/>
        <n v="13"/>
        <n v="57"/>
        <n v="48"/>
        <n v="31"/>
        <n v="8"/>
        <n v="53"/>
        <n v="39"/>
        <n v="21"/>
        <n v="17"/>
        <n v="33"/>
        <n v="63"/>
        <n v="35"/>
        <n v="36"/>
        <n v="58"/>
        <n v="16"/>
        <n v="22"/>
        <n v="49"/>
        <n v="50"/>
        <n v="14"/>
        <n v="30"/>
        <n v="40"/>
        <n v="45"/>
        <n v="55"/>
        <n v="60"/>
        <n v="34"/>
        <n v="43"/>
        <n v="59"/>
        <n v="23"/>
        <m/>
      </sharedItems>
    </cacheField>
    <cacheField name="Nom" numFmtId="41">
      <sharedItems containsBlank="1" count="54">
        <s v="AATILA-EL-HAMSI"/>
        <s v="ADENIS"/>
        <s v="AMILLASTRE"/>
        <s v="AUDIC"/>
        <s v="BABA-HAMED"/>
        <s v="BAMOGO"/>
        <s v="BARRY"/>
        <s v="BAYLAC"/>
        <s v="BLACHE"/>
        <s v="BLANCHARD-SLOOTMAN"/>
        <s v="BOISSONNAT"/>
        <s v="BOLLE"/>
        <s v="BONNAUD"/>
        <s v="BROQUAIRE"/>
        <s v="BUCHE"/>
        <s v="CANU"/>
        <s v="CHABRET"/>
        <s v="CHOTARD"/>
        <s v="COMBRET"/>
        <s v="COTTET"/>
        <s v="CREPIN"/>
        <s v="DE-ALMEIDA"/>
        <s v="DEJARDIN"/>
        <s v="DENARD"/>
        <s v="DENIZET"/>
        <s v="DRAME"/>
        <s v="FERNANDEZ"/>
        <s v="GARNIER"/>
        <s v="GHANEM"/>
        <s v="GIL"/>
        <s v="GOMES-DA-CRUZ"/>
        <s v="GOUTIERRE"/>
        <s v="LACONDEMINE"/>
        <s v="MARTINEZ"/>
        <s v="MASSEBOEUF"/>
        <s v="MENANTEAU"/>
        <s v="MOALIC"/>
        <s v="PEROCHEAU"/>
        <s v="PINCHART"/>
        <s v="POUDEROUX"/>
        <s v="RAMOS-AZNAR"/>
        <s v="REZEAU"/>
        <s v="RULLIERE"/>
        <s v="SANCHEZ"/>
        <s v="SCHIAVON"/>
        <s v="SIMONNEY"/>
        <s v="SLIMANE"/>
        <s v="SOUFI"/>
        <s v="TERRANGLE"/>
        <s v="THOMAS"/>
        <s v="TRAORE"/>
        <s v="ZIANI"/>
        <s v="ZIMBERLIN"/>
        <m/>
      </sharedItems>
    </cacheField>
    <cacheField name="Prénom" numFmtId="41">
      <sharedItems containsBlank="1" count="52">
        <s v="Hajar"/>
        <s v="Marie-Sarah"/>
        <s v="Emilie"/>
        <s v="Benoît"/>
        <s v="Walid"/>
        <s v="Lionel"/>
        <s v="Benjamin"/>
        <s v="Audrey"/>
        <s v="Jérémie"/>
        <s v="Vincent"/>
        <s v="Guillaume"/>
        <s v="Pierre-Yves"/>
        <s v="Marine"/>
        <s v="Ameline"/>
        <s v="Gaëlle"/>
        <s v="Nicolas"/>
        <s v="Oceane"/>
        <s v="Tilio"/>
        <s v="Yves"/>
        <s v="Kevin"/>
        <s v="Lucie"/>
        <s v="Marie-Léa"/>
        <s v="Thibault"/>
        <s v="Marjorie"/>
        <s v="Aisatou"/>
        <s v="Bob"/>
        <s v="Jules-Lucas-Luden"/>
        <s v="Tatiana"/>
        <s v="Filipe"/>
        <s v="Anne-Sophie"/>
        <s v="Julie"/>
        <s v="Anthony"/>
        <s v="Loïc"/>
        <s v="Mylène"/>
        <s v="Briac"/>
        <s v="Clément"/>
        <s v="Alain"/>
        <s v="Jules"/>
        <s v="Nuria"/>
        <s v="Marie"/>
        <s v="PAULINE"/>
        <s v="Maud"/>
        <s v="Caroline"/>
        <s v="Pascal"/>
        <s v="Mehdi"/>
        <s v="Imane"/>
        <s v="Garance"/>
        <s v="Paul"/>
        <s v="Pierre"/>
        <s v="Hatouma"/>
        <s v="Gilles"/>
        <m/>
      </sharedItems>
    </cacheField>
    <cacheField name="Nom-Projet/Entete-Mat" numFmtId="41">
      <sharedItems containsBlank="1" count="4">
        <s v="_x000a__x000a__x000a_Base S."/>
        <s v="_x000a__x000a__x000a_Salarial"/>
        <s v="_x000a__x000a__x000a_Patronal"/>
        <m/>
      </sharedItems>
    </cacheField>
    <cacheField name="Code" numFmtId="41">
      <sharedItems containsBlank="1"/>
    </cacheField>
    <cacheField name="Libellé" numFmtId="41">
      <sharedItems containsBlank="1" count="165">
        <s v="Salaire de base"/>
        <s v="Sous-total Salaire de base"/>
        <s v="Maladie non professionnelle (T)"/>
        <s v="Absence événement familial (sans retenue) (T)"/>
        <s v="Paternité (T)"/>
        <s v="Congé non rémunéré (T)"/>
        <s v="Maternité (T)"/>
        <s v="Préavis non effectué payé (T)"/>
        <s v="  Delta tassage absences"/>
        <s v="Absence pour sortie"/>
        <s v="Maladie non professionnelle "/>
        <s v="Maintien absence maladie 50%"/>
        <s v="Maintien absence maladie 100%"/>
        <s v="IJSS brutes"/>
        <s v="Absence événement familial (sans retenue) "/>
        <s v="Absence rémunérée "/>
        <s v="Maintien absence paternité/accueil de l'enfant 100%"/>
        <s v="Paternité "/>
        <s v="Congé sans solde "/>
        <s v="Temps partiel thérapeutique (MNP) "/>
        <s v="Annulation absence "/>
        <s v="Férié chômé non payé "/>
        <s v="Absence pour entrée"/>
        <s v="Maternité "/>
        <s v="Maintien absence congé pathologique pré-natal 100%"/>
        <s v="Maintien absence maternité 100%"/>
        <s v="Sous-total Absences"/>
        <s v="Congés payés pris (j)"/>
        <s v="Congés payés acquis (j)"/>
        <s v="Congés payés"/>
        <s v="Indemnités de congés payés"/>
        <s v="Variable individuel"/>
        <s v="RTT pris (j)"/>
        <s v="RTT acquis (j)"/>
        <s v="RTT et autres repos"/>
        <s v="Variable collaboratif"/>
        <s v="Rappel salaire de base sur congés payés (02/2025)"/>
        <s v="Rappel sur salaire de base (02/2025)"/>
        <s v="Rappel sur salaire de base (03/2025)"/>
        <s v="Jours de congés acquis par fractionnement"/>
        <s v="Indemnité compensatrice de congés payés"/>
        <s v="Indemnité de RTT"/>
        <s v="Prime invention"/>
        <s v="Indemnité de précarité"/>
        <s v="AN GSC"/>
        <s v="Rappel sur salaire de base (04/2025)"/>
        <s v="Régul sur le salaire de base 03/25"/>
        <s v="Prime d'ancienneté"/>
        <s v="Rappel salaire de base sur congés payés (03/2025)"/>
        <s v="Jours de congés ancienneté acquis"/>
        <s v="Indemnité compensatrice de préavis"/>
        <s v="Rappel de salaire de base (02/2025)"/>
        <s v="Indemnité compensatrice de RTT"/>
        <s v="CP supplémentaires pris"/>
        <s v="Indemnités Jours de repos 10%"/>
        <s v="Prime d'ancienneté régul septembre 2025"/>
        <s v="Mise à jour coefficient 250"/>
        <s v="Sous-total Primes"/>
        <s v="Heures normales travaillées"/>
        <s v="Jours travaillés (forfait jour)"/>
        <s v="Total heures travaillées"/>
        <s v="Ajustement du net"/>
        <s v="Brut recalculé **********"/>
        <s v="Salaire Brut"/>
        <s v="Brut AL Avec RS"/>
        <s v="  Plafond SS"/>
        <s v="  Plafond GMP"/>
        <s v="  Tranche A"/>
        <s v="  Tranche B"/>
        <s v="  Tranche 2"/>
        <s v="Maladie - maternité - invalidité - décès - exo part app"/>
        <s v="Maladie - maternité - invalidité - décès"/>
        <s v="Contribution Solidarité Autonomie - exo part apprenti"/>
        <s v="Contribution Solidarité Autonomie"/>
        <s v="Vieillesse déplafonnée - exo part apprenti"/>
        <s v="Vieillesse déplafonnée"/>
        <s v="Vieillesse plafonnée - exo part apprenti"/>
        <s v="Vieillesse plafonnée"/>
        <s v="Allocations familiales - exo part apprenti"/>
        <s v="Allocations familiales"/>
        <s v="Accident du travail - exo part apprenti"/>
        <s v="Accident du travail"/>
        <s v="FNAL plafonné"/>
        <s v="Réduction générale des cotisations patronales"/>
        <s v="Exonération cotisation sur HC/HS"/>
        <s v="Déduction forfaitaire/heures supplémentaires"/>
        <s v="CSG déductible"/>
        <s v="CSG non déductible et CRDS"/>
        <s v="CSG intégralement non déductible / CRDS"/>
        <s v="Contribution ART.L137-12 CSS"/>
        <s v="Allocations familiales (complément)"/>
        <s v="Maladie (complément)"/>
        <s v="Contribution au dialogue social"/>
        <s v="Assurance chômage TrA+TrB - exo part apprenti"/>
        <s v="Assurance chômage TrA+TrB"/>
        <s v="AGS"/>
        <s v="APEC TrA"/>
        <s v="APEC TrB"/>
        <s v="Retraite TU1 - exo part apprenti"/>
        <s v="Retraite TU1"/>
        <s v="Retraite TU2"/>
        <s v="Contribution d'Equilibre Général TU1 - exo part apprent"/>
        <s v="Contribution d'Equilibre Général TU1"/>
        <s v="Contribution d'Equilibre Général TU2"/>
        <s v="Contribution d'Equilibre Technique TU1"/>
        <s v="Contribution d'Equilibre Technique TU2"/>
        <s v="Réduct. générale des cotisat. pat. retraite"/>
        <s v="Prévoyance cadre TrA"/>
        <s v="Prévoyance cadre TrB"/>
        <s v="Prévoyance non cadre TrA"/>
        <s v="Mutuelle isolée, régul. 06/2025"/>
        <s v="Mutuelle isolée, régul. 02/2025"/>
        <s v="Mutuelle isolée, régul 11/2025"/>
        <s v="Mutuelle isolée, régul 10/2025"/>
        <s v="Mutuelle duo conjoint, régul. 06/2025"/>
        <s v="Mutuelle duo enfant"/>
        <s v="Mutuelle duo"/>
        <s v="Mutuelle famille, régul. 06/2025"/>
        <s v="Mutuelle famille, régul. 05/2025"/>
        <s v="Mutuelle famille, régul. 04/2025"/>
        <s v="Mutuelle famille, régul. 03/2025"/>
        <s v="Mutuelle famille"/>
        <s v="Mutuelle duo conjoint"/>
        <s v="Mutuelle isolée, régul 09/2025"/>
        <s v="Mutuelle isolée"/>
        <s v="Contribution formation prof. (légal)"/>
        <s v="Contribution CPF-CDD"/>
        <s v="Taxe d'apprentissage "/>
        <s v="Taxe d'apprentissage (Libératoire)"/>
        <s v="Total des retenues déductibles"/>
        <s v="Total des retenues non déductibles"/>
        <s v="Total des retenues"/>
        <s v="Net imposable"/>
        <s v="Réintégration fiscale"/>
        <s v="Remboursement transport"/>
        <s v="Rmboursement transport"/>
        <s v="Impôt sur le revenu prélevé à la source - PAS"/>
        <s v="Net à payer avant impôt sur le revenu"/>
        <s v="Rémunération Nette Fiscale"/>
        <s v="Montant net social"/>
        <s v="Forfait annuel NAVIGO Toutes Zones"/>
        <s v="Abonnement Transport"/>
        <s v="Régul. transport 07/24-06/25"/>
        <s v="Régul.Transport 07/25-08/25"/>
        <s v="IJSS nettes"/>
        <s v="Remboursement  transport 03 2025 à 07/2025 "/>
        <s v="Remboursement transport 08/2025 à 09/2025"/>
        <s v="Forfait mensuel NAVIGO Toutes Zones"/>
        <s v="Acomptes"/>
        <s v="Régul. transport 03/23-06/25"/>
        <s v="Remboursement abonnement transport"/>
        <s v="Exonération sur HC/HS/RTT : montant net fiscal"/>
        <s v="Remboursement transport 08/2025 à 10/2025"/>
        <s v="Forfait IMAGINE R' Toutes Zones avec Frais de Dossier"/>
        <s v="Remboursement  transport 08/2025 et 10/2025"/>
        <s v="Remboursement transport juin et juillet 2025"/>
        <s v="Régul. abonnement transport 06/2025"/>
        <s v="Régularisation sur le net à payer"/>
        <s v="Régularisation sur le net à payer 06/2025"/>
        <s v="Indemnité de rupture conventionnelle (CSG)"/>
        <s v="Indemnité de rupture conventionnelle exonérée"/>
        <s v="Régul. NAVIGO 06/2025"/>
        <s v="Remboursement transport 09/24 - 01/25"/>
        <s v="Indemnité de licenciement exonérée"/>
        <m/>
      </sharedItems>
    </cacheField>
    <cacheField name="Heures" numFmtId="41">
      <sharedItems containsString="0" containsBlank="1" containsNumber="1" minValue="-24147.97" maxValue="138760.5"/>
    </cacheField>
    <cacheField name="Typologie" numFmtId="41">
      <sharedItems containsBlank="1" count="12">
        <m/>
        <s v="CB "/>
        <s v="HTRAV-"/>
        <s v="JTRAV-"/>
        <s v="JTRAV-RTT"/>
        <s v="JTRAV+"/>
        <s v="HTRAV+"/>
        <s v="SB"/>
        <s v="CSPO"/>
        <s v="Contrôle CSPO"/>
        <s v="Acc à la rem"/>
        <s v="CB" u="1"/>
      </sharedItems>
    </cacheField>
    <cacheField name="Eligibilité" numFmtId="41">
      <sharedItems containsBlank="1" count="3">
        <m/>
        <s v="Non"/>
        <s v="Ou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77.717616435184" createdVersion="8" refreshedVersion="8" minRefreshableVersion="3" recordCount="6525" xr:uid="{66448BE1-CA50-41C5-8541-EEB4F92FBDEB}">
  <cacheSource type="worksheet">
    <worksheetSource name="TableauC11" r:id="rId2"/>
  </cacheSource>
  <cacheFields count="23">
    <cacheField name="Etablissement" numFmtId="49">
      <sharedItems/>
    </cacheField>
    <cacheField name="Nom" numFmtId="49">
      <sharedItems count="43">
        <s v="AUDIC"/>
        <s v="BABA-HAMED"/>
        <s v="BLANCHARD-SLOOTMAN"/>
        <s v="BOISSONNAT"/>
        <s v="CHOTARD"/>
        <s v="COTTET"/>
        <s v="DENIZET"/>
        <s v="DRAMÉ"/>
        <s v="GHANEM"/>
        <s v="GOMES"/>
        <s v="MARTINEZ"/>
        <s v="MOALIC"/>
        <s v="TERRANGLE"/>
        <s v="TRAORE"/>
        <s v="ZIMBERLIN"/>
        <s v="AATILA EL HAMSI"/>
        <s v="BAMOGO"/>
        <s v="BROQUAIRE"/>
        <s v="COMBRET"/>
        <s v="EL BAHLAOUI"/>
        <s v="GOUTIERRE"/>
        <s v="PEROCHEAU"/>
        <s v="REZEAU"/>
        <s v="SANCHEZ"/>
        <s v="SLIMANE"/>
        <s v="THOMAS"/>
        <s v="AMILLASTRÉ"/>
        <s v="BARRY"/>
        <s v="BAYLAC"/>
        <s v="BONNAUD"/>
        <s v="BUCHE"/>
        <s v="CANU"/>
        <s v="CHABRET"/>
        <s v="CRÉPIN"/>
        <s v="DE ALMEIDA"/>
        <s v="DENARD"/>
        <s v="FERNANDEZ"/>
        <s v="GIL"/>
        <s v="MENANTEAU"/>
        <s v="POUDEROUX"/>
        <s v="RAMOS"/>
        <s v="RULLIÈRE"/>
        <s v="SCHIAVON"/>
      </sharedItems>
    </cacheField>
    <cacheField name="Prenom" numFmtId="49">
      <sharedItems count="41">
        <s v="Benoît"/>
        <s v="Walid"/>
        <s v="Vincent"/>
        <s v="Guillaume"/>
        <s v="Tilio"/>
        <s v="Kevin"/>
        <s v="Audrey"/>
        <s v="Aisatou"/>
        <s v="Tatiana"/>
        <s v="Filipe"/>
        <s v="Anthony"/>
        <s v="Briac"/>
        <s v="Garance"/>
        <s v="Hatouma"/>
        <s v="Pierre"/>
        <s v="Hajar"/>
        <s v="Lionel"/>
        <s v="Ameline"/>
        <s v="Yves"/>
        <s v="Sephora"/>
        <s v="Anne-Sophie"/>
        <s v="Clément"/>
        <s v="Marie"/>
        <s v="Maud"/>
        <s v="Mehdi"/>
        <s v="Emilie"/>
        <s v="Benjamin"/>
        <s v="Marine"/>
        <s v="Gaëlle"/>
        <s v="Nicolas"/>
        <s v="Océane"/>
        <s v="Lucie"/>
        <s v="Marie-Léa"/>
        <s v="Marjorie"/>
        <s v="Bob"/>
        <s v="Mylène"/>
        <s v="Jules"/>
        <s v="Nuria"/>
        <s v="Pauline"/>
        <s v="Caroline"/>
        <s v="Paul"/>
      </sharedItems>
    </cacheField>
    <cacheField name="Matricule" numFmtId="49">
      <sharedItems count="44">
        <s v="00051"/>
        <s v="00044"/>
        <s v="00007"/>
        <s v="00005"/>
        <s v="00062"/>
        <s v="00006"/>
        <s v="00054"/>
        <s v="00038"/>
        <s v="00048"/>
        <s v="00008"/>
        <s v="00021"/>
        <s v="00063"/>
        <s v="00055"/>
        <s v="00043"/>
        <s v="00023"/>
        <s v="00061"/>
        <s v="00042"/>
        <s v="00041"/>
        <s v="00037"/>
        <s v="00000"/>
        <s v="00053"/>
        <s v="00035"/>
        <s v="00022"/>
        <s v="00050"/>
        <s v="00040"/>
        <s v="00034"/>
        <s v="00001"/>
        <s v="00018"/>
        <s v="00011"/>
        <s v="00032"/>
        <s v="00046"/>
        <s v="00024"/>
        <s v="00019"/>
        <s v="00004"/>
        <s v="00026"/>
        <s v="00012"/>
        <s v="00013"/>
        <s v="00031"/>
        <s v="00033"/>
        <s v="00058"/>
        <s v="00016"/>
        <s v="00049"/>
        <s v="00014"/>
        <s v="00060"/>
      </sharedItems>
    </cacheField>
    <cacheField name="NbJours" numFmtId="4">
      <sharedItems containsSemiMixedTypes="0" containsString="0" containsNumber="1" minValue="0" maxValue="1.58"/>
    </cacheField>
    <cacheField name="NbHeures" numFmtId="4">
      <sharedItems containsSemiMixedTypes="0" containsString="0" containsNumber="1" minValue="0.2" maxValue="12"/>
    </cacheField>
    <cacheField name="Plan1" numFmtId="49">
      <sharedItems/>
    </cacheField>
    <cacheField name="Plan2" numFmtId="49">
      <sharedItems count="10">
        <s v="BIOP"/>
        <s v="BIOR"/>
        <s v="PH23"/>
        <s v="LISA"/>
        <s v="OASI"/>
        <s v="CHIC"/>
        <s v="PALO"/>
        <s v="PH20"/>
        <s v="PHVB"/>
        <s v="DEMO"/>
      </sharedItems>
    </cacheField>
    <cacheField name="Plan3" numFmtId="49">
      <sharedItems/>
    </cacheField>
    <cacheField name="DateActivite" numFmtId="14">
      <sharedItems containsSemiMixedTypes="0" containsNonDate="0" containsDate="1" containsString="0" minDate="2025-01-02T00:00:00" maxDate="2026-01-01T00:00:00" count="251">
        <d v="2025-01-31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1-06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2-03T00:00:00"/>
        <d v="2025-02-04T00:00:00"/>
        <d v="2025-02-05T00:00:00"/>
        <d v="2025-02-06T00:00:00"/>
        <d v="2025-02-07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7-11T00:00:00"/>
        <d v="2025-04-22T00:00:00"/>
        <d v="2025-04-23T00:00:00"/>
        <d v="2025-04-24T00:00:00"/>
        <d v="2025-04-25T00:00:00"/>
        <d v="2025-04-28T00:00:00"/>
        <d v="2025-04-29T00:00:00"/>
        <d v="2025-04-30T00:00:00"/>
        <d v="2025-05-05T00:00:00"/>
        <d v="2025-05-06T00:00:00"/>
        <d v="2025-05-07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6-02T00:00:00"/>
        <d v="2025-06-03T00:00:00"/>
        <d v="2025-06-04T00:00:00"/>
        <d v="2025-06-05T00:00:00"/>
        <d v="2025-06-06T00:00:00"/>
        <d v="2025-06-10T00:00:00"/>
        <d v="2025-06-11T00:00:00"/>
        <d v="2025-06-12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2-10T00:00:00"/>
        <d v="2025-04-02T00:00:00"/>
        <d v="2025-04-08T00:00:00"/>
        <d v="2025-04-16T00:00:00"/>
        <d v="2025-06-27T00:00:00"/>
        <d v="2025-07-03T00:00:00"/>
        <d v="2025-07-04T00:00:00"/>
        <d v="2025-07-07T00:00:00"/>
        <d v="2025-07-16T00:00:00"/>
        <d v="2025-07-17T00:00:00"/>
        <d v="2025-07-21T00:00:00"/>
        <d v="2025-07-23T00:00:00"/>
        <d v="2025-07-30T00:00:00"/>
        <d v="2025-07-31T00:00:00"/>
        <d v="2025-09-01T00:00:00"/>
        <d v="2025-09-30T00:00:00"/>
        <d v="2025-10-01T00:00:00"/>
        <d v="2025-10-08T00:00:00"/>
        <d v="2025-10-10T00:00:00"/>
        <d v="2025-10-13T00:00:00"/>
        <d v="2025-10-14T00:00:00"/>
        <d v="2025-10-15T00:00:00"/>
        <d v="2025-10-16T00:00:00"/>
        <d v="2025-10-17T00:00:00"/>
        <d v="2025-10-22T00:00:00"/>
        <d v="2025-10-24T00:00:00"/>
        <d v="2025-10-29T00:00:00"/>
        <d v="2025-10-30T00:00:00"/>
        <d v="2025-10-31T00:00:00"/>
        <d v="2025-11-04T00:00:00"/>
        <d v="2025-11-05T00:00:00"/>
        <d v="2025-12-01T00:00:00"/>
        <d v="2025-12-03T00:00:00"/>
        <d v="2025-12-19T00:00:00"/>
        <d v="2025-12-22T00:00:00"/>
        <d v="2025-12-23T00:00:00"/>
        <d v="2025-07-18T00:00:00"/>
        <d v="2025-07-24T00:00:00"/>
        <d v="2025-07-25T00:00:00"/>
        <d v="2025-08-06T00:00:00"/>
        <d v="2025-08-29T00:00:00"/>
        <d v="2025-09-10T00:00:00"/>
        <d v="2025-09-16T00:00:00"/>
        <d v="2025-09-22T00:00:00"/>
        <d v="2025-09-25T00:00:00"/>
        <d v="2025-09-26T00:00:00"/>
        <d v="2025-10-06T00:00:00"/>
        <d v="2025-10-07T00:00:00"/>
        <d v="2025-11-03T00:00:00"/>
        <d v="2025-11-07T00:00:00"/>
        <d v="2025-12-05T00:00:00"/>
        <d v="2025-12-10T00:00:00"/>
        <d v="2025-12-17T00:00:00"/>
        <d v="2025-04-01T00:00:00"/>
        <d v="2025-04-03T00:00:00"/>
        <d v="2025-04-07T00:00:00"/>
        <d v="2025-04-09T00:00:00"/>
        <d v="2025-04-15T00:00:00"/>
        <d v="2025-06-13T00:00:00"/>
        <d v="2025-06-26T00:00:00"/>
        <d v="2025-06-30T00:00:00"/>
        <d v="2025-07-01T00:00:00"/>
        <d v="2025-07-02T00:00:00"/>
        <d v="2025-07-09T00:00:00"/>
        <d v="2025-07-10T00:00:00"/>
        <d v="2025-07-15T00:00:00"/>
        <d v="2025-07-28T00:00:00"/>
        <d v="2025-09-02T00:00:00"/>
        <d v="2025-09-03T00:00:00"/>
        <d v="2025-09-04T00:00:00"/>
        <d v="2025-09-05T00:00:00"/>
        <d v="2025-10-23T00:00:00"/>
        <d v="2025-10-27T00:00:00"/>
        <d v="2025-11-18T00:00:00"/>
        <d v="2025-11-19T00:00:00"/>
        <d v="2025-11-27T00:00:00"/>
        <d v="2025-11-28T00:00:00"/>
        <d v="2025-12-02T00:00:00"/>
        <d v="2025-12-04T00:00:00"/>
        <d v="2025-12-08T00:00:00"/>
        <d v="2025-12-16T00:00:00"/>
        <d v="2025-02-28T00:00:00"/>
        <d v="2025-07-22T00:00:00"/>
        <d v="2025-07-29T00:00:00"/>
        <d v="2025-08-04T00:00:00"/>
        <d v="2025-08-05T00:00:00"/>
        <d v="2025-08-28T00:00:00"/>
        <d v="2025-09-08T00:00:00"/>
        <d v="2025-09-09T00:00:00"/>
        <d v="2025-09-11T00:00:00"/>
        <d v="2025-09-15T00:00:00"/>
        <d v="2025-09-23T00:00:00"/>
        <d v="2025-09-24T00:00:00"/>
        <d v="2025-09-29T00:00:00"/>
        <d v="2025-10-03T00:00:00"/>
        <d v="2025-10-09T00:00:00"/>
        <d v="2025-10-20T00:00:00"/>
        <d v="2025-10-21T00:00:00"/>
        <d v="2025-10-28T00:00:00"/>
        <d v="2025-11-17T00:00:00"/>
        <d v="2025-11-24T00:00:00"/>
        <d v="2025-11-25T00:00:00"/>
        <d v="2025-11-26T00:00:00"/>
        <d v="2025-12-09T00:00:00"/>
        <d v="2025-12-15T00:00:00"/>
        <d v="2025-03-31T00:00:00"/>
        <d v="2025-04-14T00:00:00"/>
        <d v="2025-05-02T00:00:00"/>
        <d v="2025-04-04T00:00:00"/>
        <d v="2025-04-11T00:00:00"/>
        <d v="2025-04-18T00:00:00"/>
        <d v="2025-10-02T00:00:00"/>
        <d v="2025-12-18T00:00:00"/>
        <d v="2025-04-17T00:00:00"/>
        <d v="2025-05-09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5T00:00:00"/>
        <d v="2025-08-26T00:00:00"/>
        <d v="2025-08-27T00:00:00"/>
        <d v="2025-09-12T00:00:00"/>
        <d v="2025-11-06T00:00:00"/>
        <d v="2025-11-10T00:00:00"/>
        <d v="2025-11-12T00:00:00"/>
        <d v="2025-11-13T00:00:00"/>
        <d v="2025-11-20T00:00:00"/>
        <d v="2025-11-21T00:00:00"/>
        <d v="2025-07-08T00:00:00"/>
        <d v="2025-08-01T00:00:00"/>
        <d v="2025-08-21T00:00:00"/>
        <d v="2025-08-22T00:00:00"/>
        <d v="2025-04-10T00:00:00"/>
        <d v="2025-05-30T00:00:00"/>
        <d v="2025-12-11T00:00:00"/>
        <d v="2025-12-12T00:00:00"/>
        <d v="2025-12-24T00:00:00"/>
        <d v="2025-12-26T00:00:00"/>
        <d v="2025-12-29T00:00:00"/>
        <d v="2025-12-30T00:00:00"/>
        <d v="2025-12-31T00:00:00"/>
        <d v="2025-01-02T00:00:00"/>
        <d v="2025-01-03T00:00:00"/>
        <d v="2025-11-14T00:00:00"/>
        <d v="2025-09-17T00:00:00"/>
        <d v="2025-09-18T00:00:00"/>
        <d v="2025-09-19T00:00:00"/>
      </sharedItems>
      <fieldGroup par="22"/>
    </cacheField>
    <cacheField name="DescriptionFeuilleTemps" numFmtId="49">
      <sharedItems/>
    </cacheField>
    <cacheField name="Commentaires" numFmtId="49">
      <sharedItems/>
    </cacheField>
    <cacheField name="Source" numFmtId="49">
      <sharedItems/>
    </cacheField>
    <cacheField name="ERD_CAT" numFmtId="49">
      <sharedItems/>
    </cacheField>
    <cacheField name="ERD_LOT" numFmtId="49">
      <sharedItems/>
    </cacheField>
    <cacheField name="ERD_NOM" numFmtId="49">
      <sharedItems/>
    </cacheField>
    <cacheField name="TAXCREDIT" numFmtId="49">
      <sharedItems/>
    </cacheField>
    <cacheField name="Période" numFmtId="49">
      <sharedItems/>
    </cacheField>
    <cacheField name="Période - Année" numFmtId="49">
      <sharedItems/>
    </cacheField>
    <cacheField name="Période - Mois" numFmtId="49">
      <sharedItems containsSemiMixedTypes="0" containsString="0" containsNumber="1" containsInteger="1" minValue="1" maxValue="12"/>
    </cacheField>
    <cacheField name="Période - Trimestre" numFmtId="49">
      <sharedItems/>
    </cacheField>
    <cacheField name="Jours (DateActivite)" numFmtId="0" databaseField="0">
      <fieldGroup base="9">
        <rangePr groupBy="days" startDate="2025-01-02T00:00:00" endDate="2026-01-01T00:00:00"/>
        <groupItems count="368">
          <s v="&lt;02/01/2025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1/01/2026"/>
        </groupItems>
      </fieldGroup>
    </cacheField>
    <cacheField name="Mois (DateActivite)" numFmtId="0" databaseField="0">
      <fieldGroup base="9">
        <rangePr groupBy="months" startDate="2025-01-02T00:00:00" endDate="2026-01-01T00:00:00"/>
        <groupItems count="14">
          <s v="&lt;02/01/202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1/0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86.472620949076" createdVersion="8" refreshedVersion="8" minRefreshableVersion="3" recordCount="22136" xr:uid="{2223E9CF-150D-48BC-A096-A4717B130CC2}">
  <cacheSource type="worksheet">
    <worksheetSource ref="A1:Q1048576" sheet="B - GL" r:id="rId2"/>
  </cacheSource>
  <cacheFields count="17">
    <cacheField name="Compte Général - Code" numFmtId="0">
      <sharedItems containsBlank="1"/>
    </cacheField>
    <cacheField name="Eligibilité compte" numFmtId="0">
      <sharedItems containsBlank="1" containsMixedTypes="1" containsNumber="1" containsInteger="1" minValue="0" maxValue="390244" count="22">
        <s v="PHOENIX EC2"/>
        <s v="AR"/>
        <s v="CIFRE"/>
        <s v="?"/>
        <s v="BIOP"/>
        <s v="PHOENIX EC1"/>
        <n v="0"/>
        <s v="SUB"/>
        <s v="ST / Veille"/>
        <s v="ST"/>
        <s v="Veille"/>
        <s v="ST / BREVET"/>
        <s v="VEILLE / BREVET"/>
        <s v="BREVET"/>
        <m/>
        <s v="Montant encaissé"/>
        <n v="390244"/>
        <n v="299882"/>
        <n v="12375"/>
        <n v="344025"/>
        <s v="Montant remboursé"/>
        <n v="60000"/>
      </sharedItems>
    </cacheField>
    <cacheField name="Compte Général - Libellé" numFmtId="0">
      <sharedItems containsBlank="1" containsMixedTypes="1" containsNumber="1" minValue="-261922.91" maxValue="15000"/>
    </cacheField>
    <cacheField name="Journal - Code" numFmtId="0">
      <sharedItems containsBlank="1"/>
    </cacheField>
    <cacheField name="Solde Tenue de Compte" numFmtId="0">
      <sharedItems containsBlank="1" containsMixedTypes="1" containsNumber="1" minValue="-11548670.57" maxValue="11548670.57"/>
    </cacheField>
    <cacheField name="Ecriture - Date" numFmtId="0">
      <sharedItems containsDate="1" containsBlank="1" containsMixedTypes="1" minDate="2025-01-01T00:00:00" maxDate="1900-01-01T23:16:05"/>
    </cacheField>
    <cacheField name="Ecriture - Libellé" numFmtId="0">
      <sharedItems containsBlank="1"/>
    </cacheField>
    <cacheField name="ELIGIBILITE ST" numFmtId="0">
      <sharedItems containsBlank="1"/>
    </cacheField>
    <cacheField name="ELIGIBILITE BREVET" numFmtId="0">
      <sharedItems containsBlank="1"/>
    </cacheField>
    <cacheField name="ELIGIBILITE VEILLE" numFmtId="0">
      <sharedItems containsBlank="1" containsMixedTypes="1" containsNumber="1" minValue="0" maxValue="286694.74"/>
    </cacheField>
    <cacheField name="Ecriture - Numéro" numFmtId="0">
      <sharedItems containsBlank="1" containsMixedTypes="1" containsNumber="1" containsInteger="1" minValue="20850" maxValue="97988"/>
    </cacheField>
    <cacheField name="Pièce - Référence Externe" numFmtId="0">
      <sharedItems containsBlank="1"/>
    </cacheField>
    <cacheField name="Tiers - Libellé" numFmtId="0">
      <sharedItems containsBlank="1" containsMixedTypes="1" containsNumber="1" containsInteger="1" minValue="0" maxValue="0"/>
    </cacheField>
    <cacheField name="Période - Trimestres" numFmtId="0">
      <sharedItems containsBlank="1"/>
    </cacheField>
    <cacheField name="FR_Section" numFmtId="0">
      <sharedItems containsBlank="1"/>
    </cacheField>
    <cacheField name="FR_CodeLiasse" numFmtId="0">
      <sharedItems containsBlank="1"/>
    </cacheField>
    <cacheField name="FR_Rubriq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101.689046064814" createdVersion="8" refreshedVersion="8" minRefreshableVersion="3" recordCount="35" xr:uid="{23EF642B-9FD3-406A-8753-A008F2A082D5}">
  <cacheSource type="worksheet">
    <worksheetSource ref="I4:AE39" sheet="VALO_ST"/>
  </cacheSource>
  <cacheFields count="23">
    <cacheField name="N° SIREN" numFmtId="164">
      <sharedItems containsString="0" containsBlank="1" containsNumber="1" containsInteger="1" minValue="180070039" maxValue="938271392" count="15">
        <n v="451416747"/>
        <n v="197534712"/>
        <n v="481273423"/>
        <n v="180070039"/>
        <n v="197601651"/>
        <n v="784262644"/>
        <n v="424864668"/>
        <m/>
        <n v="938271392"/>
        <n v="810453332"/>
        <n v="180089013" u="1"/>
        <n v="193113842" u="1"/>
        <n v="692015266" u="1"/>
        <n v="197619042" u="1"/>
        <n v="513504399" u="1"/>
      </sharedItems>
    </cacheField>
    <cacheField name="Organisme" numFmtId="164">
      <sharedItems containsBlank="1" count="16">
        <s v="Activation"/>
        <s v="CNAM"/>
        <s v="EVAE"/>
        <s v="INRAE"/>
        <s v="INSA ROUEN"/>
        <s v="SAESPCI"/>
        <s v="SDTECH"/>
        <s v="TAROS"/>
        <s v="UNIVERSITE DE TOULOUSE"/>
        <s v="Conseil CPP"/>
        <m/>
        <s v="CNRS" u="1"/>
        <s v="Université Paul Sabatier" u="1"/>
        <s v="LIS France" u="1"/>
        <s v="Université de Rouen" u="1"/>
        <s v="Upscience" u="1"/>
      </sharedItems>
    </cacheField>
    <cacheField name="rattachement projet" numFmtId="164">
      <sharedItems containsBlank="1"/>
    </cacheField>
    <cacheField name="Résumé des travaux" numFmtId="164">
      <sharedItems containsBlank="1"/>
    </cacheField>
    <cacheField name="Type de travaux" numFmtId="164">
      <sharedItems containsBlank="1"/>
    </cacheField>
    <cacheField name="Adresse " numFmtId="164">
      <sharedItems containsBlank="1" count="16">
        <s v="10 rue Jacquard 69680 Chassieu"/>
        <s v="292 rue Saint-Martin 75141 PARIS"/>
        <s v="11 rue Arthur III 44200 Nantes"/>
        <s v="147 rue de l'université Paris 75338"/>
        <s v="685 Avenue de l'université Saint etienne du rouvray"/>
        <s v="10 Rue Vauquelin Paris"/>
        <s v="3, Rue de la Bergerie, 30100 ALES"/>
        <s v="Emil-Figge-Str. 76 a 44227 Dortmund Germany"/>
        <s v="118 Route de Narbonne CEDEX 9 31062 TOULOUSE"/>
        <s v="11 rue de la Rochette 38090 Vaulx-Milieu FRANCE"/>
        <m/>
        <s v="3 rue Michel Ange, 75016 Paris" u="1"/>
        <s v="118 route de Narbonne, 31400 Toulouse" u="1"/>
        <s v="67 rue de la gare, 50510 Cerences" u="1"/>
        <s v="1 rue Thomas Becket, 76130 Mont-Saint-Aignan" u="1"/>
        <s v="Talhouët, 56250 Saint Nolff" u="1"/>
      </sharedItems>
    </cacheField>
    <cacheField name="Nationalité" numFmtId="164">
      <sharedItems containsBlank="1"/>
    </cacheField>
    <cacheField name="Lien de dépendance" numFmtId="164">
      <sharedItems containsBlank="1"/>
    </cacheField>
    <cacheField name="Agrément" numFmtId="164">
      <sharedItems containsBlank="1" count="3">
        <s v="CIR"/>
        <s v="CICO"/>
        <m/>
      </sharedItems>
    </cacheField>
    <cacheField name="Début Agrément" numFmtId="164">
      <sharedItems containsString="0" containsBlank="1" containsNumber="1" containsInteger="1" minValue="2022" maxValue="2025"/>
    </cacheField>
    <cacheField name="Fin Agrément" numFmtId="164">
      <sharedItems containsString="0" containsBlank="1" containsNumber="1" containsInteger="1" minValue="2025" maxValue="2029"/>
    </cacheField>
    <cacheField name="Montant HT" numFmtId="164">
      <sharedItems containsString="0" containsBlank="1" containsNumber="1" minValue="249" maxValue="363089"/>
    </cacheField>
    <cacheField name="Eligibilité" numFmtId="164">
      <sharedItems containsBlank="1"/>
    </cacheField>
    <cacheField name="Montant CIR" numFmtId="164">
      <sharedItems containsSemiMixedTypes="0" containsString="0" containsNumber="1" minValue="0" maxValue="76080"/>
    </cacheField>
    <cacheField name="x" numFmtId="164">
      <sharedItems containsNonDate="0" containsString="0" containsBlank="1"/>
    </cacheField>
    <cacheField name="Montant CII" numFmtId="164">
      <sharedItems containsSemiMixedTypes="0" containsString="0" containsNumber="1" containsInteger="1" minValue="0" maxValue="0"/>
    </cacheField>
    <cacheField name="x2" numFmtId="164">
      <sharedItems containsNonDate="0" containsString="0" containsBlank="1"/>
    </cacheField>
    <cacheField name="Montant   CIC" numFmtId="164">
      <sharedItems containsSemiMixedTypes="0" containsString="0" containsNumber="1" containsInteger="1" minValue="0" maxValue="0"/>
    </cacheField>
    <cacheField name="x3" numFmtId="164">
      <sharedItems containsNonDate="0" containsString="0" containsBlank="1"/>
    </cacheField>
    <cacheField name="Montant  CICO" numFmtId="164">
      <sharedItems containsSemiMixedTypes="0" containsString="0" containsNumber="1" containsInteger="1" minValue="0" maxValue="363089"/>
    </cacheField>
    <cacheField name="x4" numFmtId="0">
      <sharedItems containsNonDate="0" containsString="0" containsBlank="1"/>
    </cacheField>
    <cacheField name="Ligne 2069-AS-D" numFmtId="0">
      <sharedItems count="4">
        <s v="16a"/>
        <s v="82a"/>
        <s v="16b"/>
        <s v=""/>
      </sharedItems>
    </cacheField>
    <cacheField name="montant" numFmtId="164">
      <sharedItems containsSemiMixedTypes="0" containsString="0" containsNumber="1" minValue="0" maxValue="760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9">
  <r>
    <x v="0"/>
    <x v="0"/>
    <x v="0"/>
    <x v="0"/>
    <m/>
    <x v="0"/>
    <n v="606.67999999999995"/>
    <x v="0"/>
    <x v="0"/>
  </r>
  <r>
    <x v="0"/>
    <x v="0"/>
    <x v="0"/>
    <x v="1"/>
    <m/>
    <x v="0"/>
    <n v="4828.92"/>
    <x v="0"/>
    <x v="0"/>
  </r>
  <r>
    <x v="1"/>
    <x v="1"/>
    <x v="1"/>
    <x v="0"/>
    <m/>
    <x v="0"/>
    <n v="987.96"/>
    <x v="0"/>
    <x v="0"/>
  </r>
  <r>
    <x v="1"/>
    <x v="1"/>
    <x v="1"/>
    <x v="1"/>
    <m/>
    <x v="0"/>
    <n v="37200"/>
    <x v="0"/>
    <x v="0"/>
  </r>
  <r>
    <x v="2"/>
    <x v="2"/>
    <x v="2"/>
    <x v="0"/>
    <m/>
    <x v="0"/>
    <n v="1976.04"/>
    <x v="0"/>
    <x v="0"/>
  </r>
  <r>
    <x v="2"/>
    <x v="2"/>
    <x v="2"/>
    <x v="1"/>
    <m/>
    <x v="0"/>
    <n v="58754.67"/>
    <x v="0"/>
    <x v="0"/>
  </r>
  <r>
    <x v="3"/>
    <x v="3"/>
    <x v="3"/>
    <x v="0"/>
    <m/>
    <x v="0"/>
    <n v="494.01"/>
    <x v="0"/>
    <x v="0"/>
  </r>
  <r>
    <x v="3"/>
    <x v="3"/>
    <x v="3"/>
    <x v="1"/>
    <m/>
    <x v="0"/>
    <n v="11025"/>
    <x v="0"/>
    <x v="0"/>
  </r>
  <r>
    <x v="4"/>
    <x v="4"/>
    <x v="4"/>
    <x v="0"/>
    <m/>
    <x v="0"/>
    <n v="1152.69"/>
    <x v="0"/>
    <x v="0"/>
  </r>
  <r>
    <x v="4"/>
    <x v="4"/>
    <x v="4"/>
    <x v="1"/>
    <m/>
    <x v="0"/>
    <n v="18806.689999999999"/>
    <x v="0"/>
    <x v="0"/>
  </r>
  <r>
    <x v="5"/>
    <x v="5"/>
    <x v="5"/>
    <x v="0"/>
    <m/>
    <x v="0"/>
    <n v="1976.04"/>
    <x v="0"/>
    <x v="0"/>
  </r>
  <r>
    <x v="5"/>
    <x v="5"/>
    <x v="5"/>
    <x v="1"/>
    <m/>
    <x v="0"/>
    <n v="43724.57"/>
    <x v="0"/>
    <x v="0"/>
  </r>
  <r>
    <x v="6"/>
    <x v="6"/>
    <x v="6"/>
    <x v="0"/>
    <m/>
    <x v="0"/>
    <n v="1976.04"/>
    <x v="0"/>
    <x v="0"/>
  </r>
  <r>
    <x v="6"/>
    <x v="6"/>
    <x v="6"/>
    <x v="1"/>
    <m/>
    <x v="0"/>
    <n v="56815.11"/>
    <x v="0"/>
    <x v="0"/>
  </r>
  <r>
    <x v="7"/>
    <x v="7"/>
    <x v="7"/>
    <x v="0"/>
    <m/>
    <x v="0"/>
    <n v="1976.04"/>
    <x v="0"/>
    <x v="0"/>
  </r>
  <r>
    <x v="7"/>
    <x v="7"/>
    <x v="7"/>
    <x v="1"/>
    <m/>
    <x v="0"/>
    <n v="55620.61"/>
    <x v="0"/>
    <x v="0"/>
  </r>
  <r>
    <x v="8"/>
    <x v="8"/>
    <x v="8"/>
    <x v="1"/>
    <m/>
    <x v="0"/>
    <n v="120000"/>
    <x v="0"/>
    <x v="0"/>
  </r>
  <r>
    <x v="9"/>
    <x v="9"/>
    <x v="9"/>
    <x v="0"/>
    <m/>
    <x v="0"/>
    <n v="1976.04"/>
    <x v="0"/>
    <x v="0"/>
  </r>
  <r>
    <x v="9"/>
    <x v="9"/>
    <x v="9"/>
    <x v="1"/>
    <m/>
    <x v="0"/>
    <n v="58221.32"/>
    <x v="0"/>
    <x v="0"/>
  </r>
  <r>
    <x v="10"/>
    <x v="10"/>
    <x v="10"/>
    <x v="0"/>
    <m/>
    <x v="0"/>
    <n v="1976.04"/>
    <x v="0"/>
    <x v="0"/>
  </r>
  <r>
    <x v="10"/>
    <x v="10"/>
    <x v="10"/>
    <x v="1"/>
    <m/>
    <x v="0"/>
    <n v="120000"/>
    <x v="0"/>
    <x v="0"/>
  </r>
  <r>
    <x v="11"/>
    <x v="11"/>
    <x v="11"/>
    <x v="0"/>
    <m/>
    <x v="0"/>
    <n v="1976.04"/>
    <x v="0"/>
    <x v="0"/>
  </r>
  <r>
    <x v="11"/>
    <x v="11"/>
    <x v="11"/>
    <x v="1"/>
    <m/>
    <x v="0"/>
    <n v="65399.96"/>
    <x v="0"/>
    <x v="0"/>
  </r>
  <r>
    <x v="12"/>
    <x v="12"/>
    <x v="12"/>
    <x v="0"/>
    <m/>
    <x v="0"/>
    <n v="1976.04"/>
    <x v="0"/>
    <x v="0"/>
  </r>
  <r>
    <x v="12"/>
    <x v="12"/>
    <x v="12"/>
    <x v="1"/>
    <m/>
    <x v="0"/>
    <n v="53639.42"/>
    <x v="0"/>
    <x v="0"/>
  </r>
  <r>
    <x v="13"/>
    <x v="13"/>
    <x v="13"/>
    <x v="0"/>
    <m/>
    <x v="0"/>
    <n v="1482.03"/>
    <x v="0"/>
    <x v="0"/>
  </r>
  <r>
    <x v="13"/>
    <x v="13"/>
    <x v="13"/>
    <x v="1"/>
    <m/>
    <x v="0"/>
    <n v="25264.37"/>
    <x v="0"/>
    <x v="0"/>
  </r>
  <r>
    <x v="14"/>
    <x v="14"/>
    <x v="14"/>
    <x v="0"/>
    <m/>
    <x v="0"/>
    <n v="1844.25"/>
    <x v="0"/>
    <x v="0"/>
  </r>
  <r>
    <x v="14"/>
    <x v="14"/>
    <x v="14"/>
    <x v="1"/>
    <m/>
    <x v="0"/>
    <n v="47966.78"/>
    <x v="0"/>
    <x v="0"/>
  </r>
  <r>
    <x v="15"/>
    <x v="15"/>
    <x v="15"/>
    <x v="0"/>
    <m/>
    <x v="0"/>
    <n v="1976.04"/>
    <x v="0"/>
    <x v="0"/>
  </r>
  <r>
    <x v="15"/>
    <x v="15"/>
    <x v="15"/>
    <x v="1"/>
    <m/>
    <x v="0"/>
    <n v="57201.64"/>
    <x v="0"/>
    <x v="0"/>
  </r>
  <r>
    <x v="16"/>
    <x v="16"/>
    <x v="16"/>
    <x v="0"/>
    <m/>
    <x v="0"/>
    <n v="1976.04"/>
    <x v="0"/>
    <x v="0"/>
  </r>
  <r>
    <x v="16"/>
    <x v="16"/>
    <x v="16"/>
    <x v="1"/>
    <m/>
    <x v="0"/>
    <n v="35002.879999999997"/>
    <x v="0"/>
    <x v="0"/>
  </r>
  <r>
    <x v="17"/>
    <x v="17"/>
    <x v="17"/>
    <x v="0"/>
    <m/>
    <x v="0"/>
    <n v="606.67999999999995"/>
    <x v="0"/>
    <x v="0"/>
  </r>
  <r>
    <x v="17"/>
    <x v="17"/>
    <x v="17"/>
    <x v="1"/>
    <m/>
    <x v="0"/>
    <n v="5765.88"/>
    <x v="0"/>
    <x v="0"/>
  </r>
  <r>
    <x v="18"/>
    <x v="18"/>
    <x v="18"/>
    <x v="0"/>
    <m/>
    <x v="0"/>
    <n v="1976.04"/>
    <x v="0"/>
    <x v="0"/>
  </r>
  <r>
    <x v="18"/>
    <x v="18"/>
    <x v="18"/>
    <x v="1"/>
    <m/>
    <x v="0"/>
    <n v="87500.04"/>
    <x v="0"/>
    <x v="0"/>
  </r>
  <r>
    <x v="19"/>
    <x v="19"/>
    <x v="19"/>
    <x v="0"/>
    <m/>
    <x v="0"/>
    <n v="1976.04"/>
    <x v="0"/>
    <x v="0"/>
  </r>
  <r>
    <x v="19"/>
    <x v="19"/>
    <x v="19"/>
    <x v="1"/>
    <m/>
    <x v="0"/>
    <n v="60000"/>
    <x v="0"/>
    <x v="0"/>
  </r>
  <r>
    <x v="20"/>
    <x v="20"/>
    <x v="20"/>
    <x v="0"/>
    <m/>
    <x v="0"/>
    <n v="1976.04"/>
    <x v="0"/>
    <x v="0"/>
  </r>
  <r>
    <x v="20"/>
    <x v="20"/>
    <x v="20"/>
    <x v="1"/>
    <m/>
    <x v="0"/>
    <n v="61666.7"/>
    <x v="0"/>
    <x v="0"/>
  </r>
  <r>
    <x v="21"/>
    <x v="21"/>
    <x v="21"/>
    <x v="0"/>
    <m/>
    <x v="0"/>
    <n v="1976.04"/>
    <x v="0"/>
    <x v="0"/>
  </r>
  <r>
    <x v="21"/>
    <x v="21"/>
    <x v="21"/>
    <x v="1"/>
    <m/>
    <x v="0"/>
    <n v="35126.410000000003"/>
    <x v="0"/>
    <x v="0"/>
  </r>
  <r>
    <x v="22"/>
    <x v="22"/>
    <x v="22"/>
    <x v="0"/>
    <m/>
    <x v="0"/>
    <n v="823.35"/>
    <x v="0"/>
    <x v="0"/>
  </r>
  <r>
    <x v="22"/>
    <x v="22"/>
    <x v="22"/>
    <x v="1"/>
    <m/>
    <x v="0"/>
    <n v="23696.959999999999"/>
    <x v="0"/>
    <x v="0"/>
  </r>
  <r>
    <x v="23"/>
    <x v="23"/>
    <x v="23"/>
    <x v="0"/>
    <m/>
    <x v="0"/>
    <n v="1976.04"/>
    <x v="0"/>
    <x v="0"/>
  </r>
  <r>
    <x v="23"/>
    <x v="23"/>
    <x v="23"/>
    <x v="1"/>
    <m/>
    <x v="0"/>
    <n v="35147.25"/>
    <x v="0"/>
    <x v="0"/>
  </r>
  <r>
    <x v="24"/>
    <x v="24"/>
    <x v="7"/>
    <x v="0"/>
    <m/>
    <x v="0"/>
    <n v="1213.3599999999999"/>
    <x v="0"/>
    <x v="0"/>
  </r>
  <r>
    <x v="24"/>
    <x v="24"/>
    <x v="7"/>
    <x v="1"/>
    <m/>
    <x v="0"/>
    <n v="7928.08"/>
    <x v="0"/>
    <x v="0"/>
  </r>
  <r>
    <x v="25"/>
    <x v="25"/>
    <x v="24"/>
    <x v="0"/>
    <m/>
    <x v="0"/>
    <n v="1976.04"/>
    <x v="0"/>
    <x v="0"/>
  </r>
  <r>
    <x v="25"/>
    <x v="25"/>
    <x v="24"/>
    <x v="1"/>
    <m/>
    <x v="0"/>
    <n v="36525.919999999998"/>
    <x v="0"/>
    <x v="0"/>
  </r>
  <r>
    <x v="26"/>
    <x v="26"/>
    <x v="25"/>
    <x v="0"/>
    <m/>
    <x v="0"/>
    <n v="1976.04"/>
    <x v="0"/>
    <x v="0"/>
  </r>
  <r>
    <x v="26"/>
    <x v="26"/>
    <x v="25"/>
    <x v="1"/>
    <m/>
    <x v="0"/>
    <n v="57201.64"/>
    <x v="0"/>
    <x v="0"/>
  </r>
  <r>
    <x v="27"/>
    <x v="27"/>
    <x v="26"/>
    <x v="0"/>
    <m/>
    <x v="0"/>
    <n v="455.01"/>
    <x v="0"/>
    <x v="0"/>
  </r>
  <r>
    <x v="27"/>
    <x v="27"/>
    <x v="26"/>
    <x v="1"/>
    <m/>
    <x v="0"/>
    <n v="1979.28"/>
    <x v="0"/>
    <x v="0"/>
  </r>
  <r>
    <x v="28"/>
    <x v="28"/>
    <x v="27"/>
    <x v="0"/>
    <m/>
    <x v="0"/>
    <n v="494.01"/>
    <x v="0"/>
    <x v="0"/>
  </r>
  <r>
    <x v="28"/>
    <x v="28"/>
    <x v="27"/>
    <x v="1"/>
    <m/>
    <x v="0"/>
    <n v="9646.89"/>
    <x v="0"/>
    <x v="0"/>
  </r>
  <r>
    <x v="29"/>
    <x v="29"/>
    <x v="6"/>
    <x v="0"/>
    <m/>
    <x v="0"/>
    <n v="1976.04"/>
    <x v="0"/>
    <x v="0"/>
  </r>
  <r>
    <x v="29"/>
    <x v="29"/>
    <x v="6"/>
    <x v="1"/>
    <m/>
    <x v="0"/>
    <n v="35147.25"/>
    <x v="0"/>
    <x v="0"/>
  </r>
  <r>
    <x v="30"/>
    <x v="30"/>
    <x v="28"/>
    <x v="0"/>
    <m/>
    <x v="0"/>
    <n v="1976.04"/>
    <x v="0"/>
    <x v="0"/>
  </r>
  <r>
    <x v="30"/>
    <x v="30"/>
    <x v="28"/>
    <x v="1"/>
    <m/>
    <x v="0"/>
    <n v="57305.81"/>
    <x v="0"/>
    <x v="0"/>
  </r>
  <r>
    <x v="31"/>
    <x v="31"/>
    <x v="29"/>
    <x v="1"/>
    <m/>
    <x v="0"/>
    <n v="57600"/>
    <x v="0"/>
    <x v="0"/>
  </r>
  <r>
    <x v="32"/>
    <x v="32"/>
    <x v="30"/>
    <x v="0"/>
    <m/>
    <x v="0"/>
    <n v="1976.04"/>
    <x v="0"/>
    <x v="0"/>
  </r>
  <r>
    <x v="32"/>
    <x v="32"/>
    <x v="30"/>
    <x v="1"/>
    <m/>
    <x v="0"/>
    <n v="47673.02"/>
    <x v="0"/>
    <x v="0"/>
  </r>
  <r>
    <x v="33"/>
    <x v="33"/>
    <x v="31"/>
    <x v="0"/>
    <m/>
    <x v="0"/>
    <n v="1976.04"/>
    <x v="0"/>
    <x v="0"/>
  </r>
  <r>
    <x v="33"/>
    <x v="33"/>
    <x v="31"/>
    <x v="1"/>
    <m/>
    <x v="0"/>
    <n v="40779.949999999997"/>
    <x v="0"/>
    <x v="0"/>
  </r>
  <r>
    <x v="34"/>
    <x v="34"/>
    <x v="32"/>
    <x v="0"/>
    <m/>
    <x v="0"/>
    <n v="1482.03"/>
    <x v="0"/>
    <x v="0"/>
  </r>
  <r>
    <x v="34"/>
    <x v="34"/>
    <x v="32"/>
    <x v="1"/>
    <m/>
    <x v="0"/>
    <n v="66999.960000000006"/>
    <x v="0"/>
    <x v="0"/>
  </r>
  <r>
    <x v="35"/>
    <x v="35"/>
    <x v="33"/>
    <x v="0"/>
    <m/>
    <x v="0"/>
    <n v="1976.04"/>
    <x v="0"/>
    <x v="0"/>
  </r>
  <r>
    <x v="35"/>
    <x v="35"/>
    <x v="33"/>
    <x v="1"/>
    <m/>
    <x v="0"/>
    <n v="35002.879999999997"/>
    <x v="0"/>
    <x v="0"/>
  </r>
  <r>
    <x v="36"/>
    <x v="36"/>
    <x v="34"/>
    <x v="0"/>
    <m/>
    <x v="0"/>
    <n v="606.67999999999995"/>
    <x v="0"/>
    <x v="0"/>
  </r>
  <r>
    <x v="36"/>
    <x v="36"/>
    <x v="34"/>
    <x v="1"/>
    <m/>
    <x v="0"/>
    <n v="5765.88"/>
    <x v="0"/>
    <x v="0"/>
  </r>
  <r>
    <x v="37"/>
    <x v="37"/>
    <x v="35"/>
    <x v="0"/>
    <m/>
    <x v="0"/>
    <n v="1976.04"/>
    <x v="0"/>
    <x v="0"/>
  </r>
  <r>
    <x v="37"/>
    <x v="37"/>
    <x v="35"/>
    <x v="1"/>
    <m/>
    <x v="0"/>
    <n v="37863.279999999999"/>
    <x v="0"/>
    <x v="0"/>
  </r>
  <r>
    <x v="38"/>
    <x v="38"/>
    <x v="36"/>
    <x v="0"/>
    <m/>
    <x v="0"/>
    <n v="1976.04"/>
    <x v="0"/>
    <x v="0"/>
  </r>
  <r>
    <x v="38"/>
    <x v="38"/>
    <x v="36"/>
    <x v="1"/>
    <m/>
    <x v="0"/>
    <n v="122916.69"/>
    <x v="0"/>
    <x v="0"/>
  </r>
  <r>
    <x v="39"/>
    <x v="39"/>
    <x v="37"/>
    <x v="0"/>
    <m/>
    <x v="0"/>
    <n v="1152.69"/>
    <x v="0"/>
    <x v="0"/>
  </r>
  <r>
    <x v="39"/>
    <x v="39"/>
    <x v="37"/>
    <x v="1"/>
    <m/>
    <x v="0"/>
    <n v="19889.66"/>
    <x v="0"/>
    <x v="0"/>
  </r>
  <r>
    <x v="40"/>
    <x v="40"/>
    <x v="38"/>
    <x v="0"/>
    <m/>
    <x v="0"/>
    <n v="1976.04"/>
    <x v="0"/>
    <x v="0"/>
  </r>
  <r>
    <x v="40"/>
    <x v="40"/>
    <x v="38"/>
    <x v="1"/>
    <m/>
    <x v="0"/>
    <n v="54383.06"/>
    <x v="0"/>
    <x v="0"/>
  </r>
  <r>
    <x v="41"/>
    <x v="41"/>
    <x v="39"/>
    <x v="0"/>
    <m/>
    <x v="0"/>
    <n v="1976.04"/>
    <x v="0"/>
    <x v="0"/>
  </r>
  <r>
    <x v="41"/>
    <x v="41"/>
    <x v="39"/>
    <x v="1"/>
    <m/>
    <x v="0"/>
    <n v="54787.31"/>
    <x v="0"/>
    <x v="0"/>
  </r>
  <r>
    <x v="42"/>
    <x v="42"/>
    <x v="40"/>
    <x v="1"/>
    <m/>
    <x v="0"/>
    <n v="69166.64"/>
    <x v="0"/>
    <x v="0"/>
  </r>
  <r>
    <x v="43"/>
    <x v="43"/>
    <x v="41"/>
    <x v="0"/>
    <m/>
    <x v="0"/>
    <n v="2140.71"/>
    <x v="0"/>
    <x v="0"/>
  </r>
  <r>
    <x v="43"/>
    <x v="43"/>
    <x v="41"/>
    <x v="1"/>
    <m/>
    <x v="0"/>
    <n v="59383.77"/>
    <x v="0"/>
    <x v="0"/>
  </r>
  <r>
    <x v="44"/>
    <x v="44"/>
    <x v="42"/>
    <x v="0"/>
    <m/>
    <x v="0"/>
    <n v="1976.04"/>
    <x v="0"/>
    <x v="0"/>
  </r>
  <r>
    <x v="44"/>
    <x v="44"/>
    <x v="42"/>
    <x v="1"/>
    <m/>
    <x v="0"/>
    <n v="56453.91"/>
    <x v="0"/>
    <x v="0"/>
  </r>
  <r>
    <x v="45"/>
    <x v="45"/>
    <x v="43"/>
    <x v="0"/>
    <m/>
    <x v="0"/>
    <n v="329.34"/>
    <x v="0"/>
    <x v="0"/>
  </r>
  <r>
    <x v="45"/>
    <x v="45"/>
    <x v="43"/>
    <x v="1"/>
    <m/>
    <x v="0"/>
    <n v="16166.66"/>
    <x v="0"/>
    <x v="0"/>
  </r>
  <r>
    <x v="46"/>
    <x v="46"/>
    <x v="44"/>
    <x v="0"/>
    <m/>
    <x v="0"/>
    <n v="1213.3599999999999"/>
    <x v="0"/>
    <x v="0"/>
  </r>
  <r>
    <x v="46"/>
    <x v="46"/>
    <x v="44"/>
    <x v="1"/>
    <m/>
    <x v="0"/>
    <n v="9369.6"/>
    <x v="0"/>
    <x v="0"/>
  </r>
  <r>
    <x v="47"/>
    <x v="47"/>
    <x v="45"/>
    <x v="0"/>
    <m/>
    <x v="0"/>
    <n v="1152.69"/>
    <x v="0"/>
    <x v="0"/>
  </r>
  <r>
    <x v="47"/>
    <x v="47"/>
    <x v="45"/>
    <x v="1"/>
    <m/>
    <x v="0"/>
    <n v="25083.31"/>
    <x v="0"/>
    <x v="0"/>
  </r>
  <r>
    <x v="48"/>
    <x v="48"/>
    <x v="46"/>
    <x v="0"/>
    <m/>
    <x v="0"/>
    <n v="1213.3599999999999"/>
    <x v="0"/>
    <x v="0"/>
  </r>
  <r>
    <x v="48"/>
    <x v="48"/>
    <x v="46"/>
    <x v="1"/>
    <m/>
    <x v="0"/>
    <n v="7928.08"/>
    <x v="0"/>
    <x v="0"/>
  </r>
  <r>
    <x v="49"/>
    <x v="49"/>
    <x v="47"/>
    <x v="0"/>
    <m/>
    <x v="0"/>
    <n v="164.67"/>
    <x v="0"/>
    <x v="0"/>
  </r>
  <r>
    <x v="49"/>
    <x v="49"/>
    <x v="47"/>
    <x v="1"/>
    <m/>
    <x v="0"/>
    <n v="2870.15"/>
    <x v="0"/>
    <x v="0"/>
  </r>
  <r>
    <x v="50"/>
    <x v="49"/>
    <x v="48"/>
    <x v="0"/>
    <m/>
    <x v="0"/>
    <n v="1976.04"/>
    <x v="0"/>
    <x v="0"/>
  </r>
  <r>
    <x v="50"/>
    <x v="49"/>
    <x v="48"/>
    <x v="1"/>
    <m/>
    <x v="0"/>
    <n v="34434.21"/>
    <x v="0"/>
    <x v="0"/>
  </r>
  <r>
    <x v="51"/>
    <x v="50"/>
    <x v="49"/>
    <x v="0"/>
    <m/>
    <x v="0"/>
    <n v="164.67"/>
    <x v="0"/>
    <x v="0"/>
  </r>
  <r>
    <x v="51"/>
    <x v="50"/>
    <x v="49"/>
    <x v="1"/>
    <m/>
    <x v="0"/>
    <n v="2736.98"/>
    <x v="0"/>
    <x v="0"/>
  </r>
  <r>
    <x v="52"/>
    <x v="51"/>
    <x v="50"/>
    <x v="0"/>
    <m/>
    <x v="0"/>
    <n v="1152.69"/>
    <x v="0"/>
    <x v="0"/>
  </r>
  <r>
    <x v="52"/>
    <x v="51"/>
    <x v="50"/>
    <x v="1"/>
    <m/>
    <x v="0"/>
    <n v="46666.69"/>
    <x v="0"/>
    <x v="0"/>
  </r>
  <r>
    <x v="53"/>
    <x v="52"/>
    <x v="48"/>
    <x v="0"/>
    <m/>
    <x v="0"/>
    <n v="329.34"/>
    <x v="0"/>
    <x v="0"/>
  </r>
  <r>
    <x v="53"/>
    <x v="52"/>
    <x v="48"/>
    <x v="1"/>
    <m/>
    <x v="0"/>
    <n v="4400"/>
    <x v="0"/>
    <x v="0"/>
  </r>
  <r>
    <x v="0"/>
    <x v="0"/>
    <x v="0"/>
    <x v="0"/>
    <m/>
    <x v="1"/>
    <n v="606.67999999999995"/>
    <x v="0"/>
    <x v="0"/>
  </r>
  <r>
    <x v="0"/>
    <x v="0"/>
    <x v="0"/>
    <x v="1"/>
    <m/>
    <x v="1"/>
    <n v="4828.92"/>
    <x v="1"/>
    <x v="1"/>
  </r>
  <r>
    <x v="1"/>
    <x v="1"/>
    <x v="1"/>
    <x v="0"/>
    <m/>
    <x v="1"/>
    <n v="987.96"/>
    <x v="0"/>
    <x v="0"/>
  </r>
  <r>
    <x v="1"/>
    <x v="1"/>
    <x v="1"/>
    <x v="1"/>
    <m/>
    <x v="1"/>
    <n v="37200"/>
    <x v="1"/>
    <x v="1"/>
  </r>
  <r>
    <x v="2"/>
    <x v="2"/>
    <x v="2"/>
    <x v="0"/>
    <m/>
    <x v="1"/>
    <n v="1976.04"/>
    <x v="0"/>
    <x v="0"/>
  </r>
  <r>
    <x v="2"/>
    <x v="2"/>
    <x v="2"/>
    <x v="1"/>
    <m/>
    <x v="1"/>
    <n v="58754.67"/>
    <x v="1"/>
    <x v="1"/>
  </r>
  <r>
    <x v="3"/>
    <x v="3"/>
    <x v="3"/>
    <x v="0"/>
    <m/>
    <x v="1"/>
    <n v="494.01"/>
    <x v="0"/>
    <x v="0"/>
  </r>
  <r>
    <x v="3"/>
    <x v="3"/>
    <x v="3"/>
    <x v="1"/>
    <m/>
    <x v="1"/>
    <n v="11025"/>
    <x v="1"/>
    <x v="1"/>
  </r>
  <r>
    <x v="4"/>
    <x v="4"/>
    <x v="4"/>
    <x v="0"/>
    <m/>
    <x v="1"/>
    <n v="1152.69"/>
    <x v="0"/>
    <x v="0"/>
  </r>
  <r>
    <x v="4"/>
    <x v="4"/>
    <x v="4"/>
    <x v="1"/>
    <m/>
    <x v="1"/>
    <n v="18806.689999999999"/>
    <x v="1"/>
    <x v="1"/>
  </r>
  <r>
    <x v="5"/>
    <x v="5"/>
    <x v="5"/>
    <x v="0"/>
    <m/>
    <x v="1"/>
    <n v="1976.04"/>
    <x v="0"/>
    <x v="0"/>
  </r>
  <r>
    <x v="5"/>
    <x v="5"/>
    <x v="5"/>
    <x v="1"/>
    <m/>
    <x v="1"/>
    <n v="43724.57"/>
    <x v="1"/>
    <x v="1"/>
  </r>
  <r>
    <x v="6"/>
    <x v="6"/>
    <x v="6"/>
    <x v="0"/>
    <m/>
    <x v="1"/>
    <n v="1976.04"/>
    <x v="0"/>
    <x v="0"/>
  </r>
  <r>
    <x v="6"/>
    <x v="6"/>
    <x v="6"/>
    <x v="1"/>
    <m/>
    <x v="1"/>
    <n v="56815.11"/>
    <x v="1"/>
    <x v="1"/>
  </r>
  <r>
    <x v="7"/>
    <x v="7"/>
    <x v="7"/>
    <x v="0"/>
    <m/>
    <x v="1"/>
    <n v="1976.04"/>
    <x v="0"/>
    <x v="0"/>
  </r>
  <r>
    <x v="7"/>
    <x v="7"/>
    <x v="7"/>
    <x v="1"/>
    <m/>
    <x v="1"/>
    <n v="55620.61"/>
    <x v="1"/>
    <x v="1"/>
  </r>
  <r>
    <x v="8"/>
    <x v="8"/>
    <x v="8"/>
    <x v="1"/>
    <m/>
    <x v="1"/>
    <n v="120000"/>
    <x v="1"/>
    <x v="1"/>
  </r>
  <r>
    <x v="9"/>
    <x v="9"/>
    <x v="9"/>
    <x v="0"/>
    <m/>
    <x v="1"/>
    <n v="1976.04"/>
    <x v="0"/>
    <x v="0"/>
  </r>
  <r>
    <x v="9"/>
    <x v="9"/>
    <x v="9"/>
    <x v="1"/>
    <m/>
    <x v="1"/>
    <n v="58221.32"/>
    <x v="1"/>
    <x v="1"/>
  </r>
  <r>
    <x v="10"/>
    <x v="10"/>
    <x v="10"/>
    <x v="0"/>
    <m/>
    <x v="1"/>
    <n v="1976.04"/>
    <x v="0"/>
    <x v="0"/>
  </r>
  <r>
    <x v="10"/>
    <x v="10"/>
    <x v="10"/>
    <x v="1"/>
    <m/>
    <x v="1"/>
    <n v="120000"/>
    <x v="1"/>
    <x v="1"/>
  </r>
  <r>
    <x v="11"/>
    <x v="11"/>
    <x v="11"/>
    <x v="0"/>
    <m/>
    <x v="1"/>
    <n v="1976.04"/>
    <x v="0"/>
    <x v="0"/>
  </r>
  <r>
    <x v="11"/>
    <x v="11"/>
    <x v="11"/>
    <x v="1"/>
    <m/>
    <x v="1"/>
    <n v="65399.96"/>
    <x v="1"/>
    <x v="1"/>
  </r>
  <r>
    <x v="12"/>
    <x v="12"/>
    <x v="12"/>
    <x v="0"/>
    <m/>
    <x v="1"/>
    <n v="1976.04"/>
    <x v="0"/>
    <x v="0"/>
  </r>
  <r>
    <x v="12"/>
    <x v="12"/>
    <x v="12"/>
    <x v="1"/>
    <m/>
    <x v="1"/>
    <n v="53639.42"/>
    <x v="1"/>
    <x v="1"/>
  </r>
  <r>
    <x v="13"/>
    <x v="13"/>
    <x v="13"/>
    <x v="0"/>
    <m/>
    <x v="1"/>
    <n v="1482.03"/>
    <x v="0"/>
    <x v="0"/>
  </r>
  <r>
    <x v="13"/>
    <x v="13"/>
    <x v="13"/>
    <x v="1"/>
    <m/>
    <x v="1"/>
    <n v="25264.37"/>
    <x v="1"/>
    <x v="1"/>
  </r>
  <r>
    <x v="14"/>
    <x v="14"/>
    <x v="14"/>
    <x v="0"/>
    <m/>
    <x v="1"/>
    <n v="1844.25"/>
    <x v="0"/>
    <x v="0"/>
  </r>
  <r>
    <x v="14"/>
    <x v="14"/>
    <x v="14"/>
    <x v="1"/>
    <m/>
    <x v="1"/>
    <n v="47966.78"/>
    <x v="1"/>
    <x v="1"/>
  </r>
  <r>
    <x v="15"/>
    <x v="15"/>
    <x v="15"/>
    <x v="0"/>
    <m/>
    <x v="1"/>
    <n v="1976.04"/>
    <x v="0"/>
    <x v="0"/>
  </r>
  <r>
    <x v="15"/>
    <x v="15"/>
    <x v="15"/>
    <x v="1"/>
    <m/>
    <x v="1"/>
    <n v="57201.64"/>
    <x v="1"/>
    <x v="1"/>
  </r>
  <r>
    <x v="16"/>
    <x v="16"/>
    <x v="16"/>
    <x v="0"/>
    <m/>
    <x v="1"/>
    <n v="1976.04"/>
    <x v="0"/>
    <x v="0"/>
  </r>
  <r>
    <x v="16"/>
    <x v="16"/>
    <x v="16"/>
    <x v="1"/>
    <m/>
    <x v="1"/>
    <n v="35002.879999999997"/>
    <x v="1"/>
    <x v="1"/>
  </r>
  <r>
    <x v="17"/>
    <x v="17"/>
    <x v="17"/>
    <x v="0"/>
    <m/>
    <x v="1"/>
    <n v="606.67999999999995"/>
    <x v="0"/>
    <x v="0"/>
  </r>
  <r>
    <x v="17"/>
    <x v="17"/>
    <x v="17"/>
    <x v="1"/>
    <m/>
    <x v="1"/>
    <n v="5765.88"/>
    <x v="1"/>
    <x v="1"/>
  </r>
  <r>
    <x v="18"/>
    <x v="18"/>
    <x v="18"/>
    <x v="0"/>
    <m/>
    <x v="1"/>
    <n v="1976.04"/>
    <x v="0"/>
    <x v="0"/>
  </r>
  <r>
    <x v="18"/>
    <x v="18"/>
    <x v="18"/>
    <x v="1"/>
    <m/>
    <x v="1"/>
    <n v="87500.04"/>
    <x v="1"/>
    <x v="1"/>
  </r>
  <r>
    <x v="19"/>
    <x v="19"/>
    <x v="19"/>
    <x v="0"/>
    <m/>
    <x v="1"/>
    <n v="1976.04"/>
    <x v="0"/>
    <x v="0"/>
  </r>
  <r>
    <x v="19"/>
    <x v="19"/>
    <x v="19"/>
    <x v="1"/>
    <m/>
    <x v="1"/>
    <n v="60000"/>
    <x v="1"/>
    <x v="1"/>
  </r>
  <r>
    <x v="20"/>
    <x v="20"/>
    <x v="20"/>
    <x v="0"/>
    <m/>
    <x v="1"/>
    <n v="1976.04"/>
    <x v="0"/>
    <x v="0"/>
  </r>
  <r>
    <x v="20"/>
    <x v="20"/>
    <x v="20"/>
    <x v="1"/>
    <m/>
    <x v="1"/>
    <n v="61666.7"/>
    <x v="1"/>
    <x v="1"/>
  </r>
  <r>
    <x v="21"/>
    <x v="21"/>
    <x v="21"/>
    <x v="0"/>
    <m/>
    <x v="1"/>
    <n v="1976.04"/>
    <x v="0"/>
    <x v="0"/>
  </r>
  <r>
    <x v="21"/>
    <x v="21"/>
    <x v="21"/>
    <x v="1"/>
    <m/>
    <x v="1"/>
    <n v="35126.410000000003"/>
    <x v="1"/>
    <x v="1"/>
  </r>
  <r>
    <x v="22"/>
    <x v="22"/>
    <x v="22"/>
    <x v="0"/>
    <m/>
    <x v="1"/>
    <n v="823.35"/>
    <x v="0"/>
    <x v="0"/>
  </r>
  <r>
    <x v="22"/>
    <x v="22"/>
    <x v="22"/>
    <x v="1"/>
    <m/>
    <x v="1"/>
    <n v="23696.959999999999"/>
    <x v="1"/>
    <x v="1"/>
  </r>
  <r>
    <x v="23"/>
    <x v="23"/>
    <x v="23"/>
    <x v="0"/>
    <m/>
    <x v="1"/>
    <n v="1976.04"/>
    <x v="0"/>
    <x v="0"/>
  </r>
  <r>
    <x v="23"/>
    <x v="23"/>
    <x v="23"/>
    <x v="1"/>
    <m/>
    <x v="1"/>
    <n v="35147.25"/>
    <x v="1"/>
    <x v="1"/>
  </r>
  <r>
    <x v="24"/>
    <x v="24"/>
    <x v="7"/>
    <x v="0"/>
    <m/>
    <x v="1"/>
    <n v="1213.3599999999999"/>
    <x v="0"/>
    <x v="0"/>
  </r>
  <r>
    <x v="24"/>
    <x v="24"/>
    <x v="7"/>
    <x v="1"/>
    <m/>
    <x v="1"/>
    <n v="7928.08"/>
    <x v="1"/>
    <x v="1"/>
  </r>
  <r>
    <x v="25"/>
    <x v="25"/>
    <x v="24"/>
    <x v="0"/>
    <m/>
    <x v="1"/>
    <n v="1976.04"/>
    <x v="0"/>
    <x v="0"/>
  </r>
  <r>
    <x v="25"/>
    <x v="25"/>
    <x v="24"/>
    <x v="1"/>
    <m/>
    <x v="1"/>
    <n v="36525.919999999998"/>
    <x v="1"/>
    <x v="1"/>
  </r>
  <r>
    <x v="26"/>
    <x v="26"/>
    <x v="25"/>
    <x v="0"/>
    <m/>
    <x v="1"/>
    <n v="1976.04"/>
    <x v="0"/>
    <x v="0"/>
  </r>
  <r>
    <x v="26"/>
    <x v="26"/>
    <x v="25"/>
    <x v="1"/>
    <m/>
    <x v="1"/>
    <n v="57201.64"/>
    <x v="1"/>
    <x v="1"/>
  </r>
  <r>
    <x v="27"/>
    <x v="27"/>
    <x v="26"/>
    <x v="0"/>
    <m/>
    <x v="1"/>
    <n v="455.01"/>
    <x v="0"/>
    <x v="0"/>
  </r>
  <r>
    <x v="27"/>
    <x v="27"/>
    <x v="26"/>
    <x v="1"/>
    <m/>
    <x v="1"/>
    <n v="1979.28"/>
    <x v="1"/>
    <x v="1"/>
  </r>
  <r>
    <x v="28"/>
    <x v="28"/>
    <x v="27"/>
    <x v="0"/>
    <m/>
    <x v="1"/>
    <n v="494.01"/>
    <x v="0"/>
    <x v="0"/>
  </r>
  <r>
    <x v="28"/>
    <x v="28"/>
    <x v="27"/>
    <x v="1"/>
    <m/>
    <x v="1"/>
    <n v="9646.89"/>
    <x v="1"/>
    <x v="1"/>
  </r>
  <r>
    <x v="29"/>
    <x v="29"/>
    <x v="6"/>
    <x v="0"/>
    <m/>
    <x v="1"/>
    <n v="1976.04"/>
    <x v="0"/>
    <x v="0"/>
  </r>
  <r>
    <x v="29"/>
    <x v="29"/>
    <x v="6"/>
    <x v="1"/>
    <m/>
    <x v="1"/>
    <n v="35147.25"/>
    <x v="1"/>
    <x v="1"/>
  </r>
  <r>
    <x v="30"/>
    <x v="30"/>
    <x v="28"/>
    <x v="0"/>
    <m/>
    <x v="1"/>
    <n v="1976.04"/>
    <x v="0"/>
    <x v="0"/>
  </r>
  <r>
    <x v="30"/>
    <x v="30"/>
    <x v="28"/>
    <x v="1"/>
    <m/>
    <x v="1"/>
    <n v="57305.81"/>
    <x v="1"/>
    <x v="1"/>
  </r>
  <r>
    <x v="31"/>
    <x v="31"/>
    <x v="29"/>
    <x v="1"/>
    <m/>
    <x v="1"/>
    <n v="57600"/>
    <x v="1"/>
    <x v="1"/>
  </r>
  <r>
    <x v="32"/>
    <x v="32"/>
    <x v="30"/>
    <x v="0"/>
    <m/>
    <x v="1"/>
    <n v="1976.04"/>
    <x v="0"/>
    <x v="0"/>
  </r>
  <r>
    <x v="32"/>
    <x v="32"/>
    <x v="30"/>
    <x v="1"/>
    <m/>
    <x v="1"/>
    <n v="47673.02"/>
    <x v="1"/>
    <x v="1"/>
  </r>
  <r>
    <x v="33"/>
    <x v="33"/>
    <x v="31"/>
    <x v="0"/>
    <m/>
    <x v="1"/>
    <n v="1976.04"/>
    <x v="0"/>
    <x v="0"/>
  </r>
  <r>
    <x v="33"/>
    <x v="33"/>
    <x v="31"/>
    <x v="1"/>
    <m/>
    <x v="1"/>
    <n v="40779.949999999997"/>
    <x v="1"/>
    <x v="1"/>
  </r>
  <r>
    <x v="34"/>
    <x v="34"/>
    <x v="32"/>
    <x v="0"/>
    <m/>
    <x v="1"/>
    <n v="1482.03"/>
    <x v="0"/>
    <x v="0"/>
  </r>
  <r>
    <x v="34"/>
    <x v="34"/>
    <x v="32"/>
    <x v="1"/>
    <m/>
    <x v="1"/>
    <n v="66999.960000000006"/>
    <x v="1"/>
    <x v="1"/>
  </r>
  <r>
    <x v="35"/>
    <x v="35"/>
    <x v="33"/>
    <x v="0"/>
    <m/>
    <x v="1"/>
    <n v="1976.04"/>
    <x v="0"/>
    <x v="0"/>
  </r>
  <r>
    <x v="35"/>
    <x v="35"/>
    <x v="33"/>
    <x v="1"/>
    <m/>
    <x v="1"/>
    <n v="35002.879999999997"/>
    <x v="1"/>
    <x v="1"/>
  </r>
  <r>
    <x v="36"/>
    <x v="36"/>
    <x v="34"/>
    <x v="0"/>
    <m/>
    <x v="1"/>
    <n v="606.67999999999995"/>
    <x v="0"/>
    <x v="0"/>
  </r>
  <r>
    <x v="36"/>
    <x v="36"/>
    <x v="34"/>
    <x v="1"/>
    <m/>
    <x v="1"/>
    <n v="5765.88"/>
    <x v="1"/>
    <x v="1"/>
  </r>
  <r>
    <x v="37"/>
    <x v="37"/>
    <x v="35"/>
    <x v="0"/>
    <m/>
    <x v="1"/>
    <n v="1976.04"/>
    <x v="0"/>
    <x v="0"/>
  </r>
  <r>
    <x v="37"/>
    <x v="37"/>
    <x v="35"/>
    <x v="1"/>
    <m/>
    <x v="1"/>
    <n v="37863.279999999999"/>
    <x v="1"/>
    <x v="1"/>
  </r>
  <r>
    <x v="38"/>
    <x v="38"/>
    <x v="36"/>
    <x v="0"/>
    <m/>
    <x v="1"/>
    <n v="1976.04"/>
    <x v="0"/>
    <x v="0"/>
  </r>
  <r>
    <x v="38"/>
    <x v="38"/>
    <x v="36"/>
    <x v="1"/>
    <m/>
    <x v="1"/>
    <n v="122916.69"/>
    <x v="1"/>
    <x v="1"/>
  </r>
  <r>
    <x v="39"/>
    <x v="39"/>
    <x v="37"/>
    <x v="0"/>
    <m/>
    <x v="1"/>
    <n v="1152.69"/>
    <x v="0"/>
    <x v="0"/>
  </r>
  <r>
    <x v="39"/>
    <x v="39"/>
    <x v="37"/>
    <x v="1"/>
    <m/>
    <x v="1"/>
    <n v="19889.66"/>
    <x v="1"/>
    <x v="1"/>
  </r>
  <r>
    <x v="40"/>
    <x v="40"/>
    <x v="38"/>
    <x v="0"/>
    <m/>
    <x v="1"/>
    <n v="1976.04"/>
    <x v="0"/>
    <x v="0"/>
  </r>
  <r>
    <x v="40"/>
    <x v="40"/>
    <x v="38"/>
    <x v="1"/>
    <m/>
    <x v="1"/>
    <n v="54383.06"/>
    <x v="1"/>
    <x v="1"/>
  </r>
  <r>
    <x v="41"/>
    <x v="41"/>
    <x v="39"/>
    <x v="0"/>
    <m/>
    <x v="1"/>
    <n v="1976.04"/>
    <x v="0"/>
    <x v="0"/>
  </r>
  <r>
    <x v="41"/>
    <x v="41"/>
    <x v="39"/>
    <x v="1"/>
    <m/>
    <x v="1"/>
    <n v="54787.31"/>
    <x v="1"/>
    <x v="1"/>
  </r>
  <r>
    <x v="42"/>
    <x v="42"/>
    <x v="40"/>
    <x v="1"/>
    <m/>
    <x v="1"/>
    <n v="69166.64"/>
    <x v="1"/>
    <x v="1"/>
  </r>
  <r>
    <x v="43"/>
    <x v="43"/>
    <x v="41"/>
    <x v="0"/>
    <m/>
    <x v="1"/>
    <n v="2140.71"/>
    <x v="0"/>
    <x v="0"/>
  </r>
  <r>
    <x v="43"/>
    <x v="43"/>
    <x v="41"/>
    <x v="1"/>
    <m/>
    <x v="1"/>
    <n v="59383.77"/>
    <x v="1"/>
    <x v="1"/>
  </r>
  <r>
    <x v="44"/>
    <x v="44"/>
    <x v="42"/>
    <x v="0"/>
    <m/>
    <x v="1"/>
    <n v="1976.04"/>
    <x v="0"/>
    <x v="0"/>
  </r>
  <r>
    <x v="44"/>
    <x v="44"/>
    <x v="42"/>
    <x v="1"/>
    <m/>
    <x v="1"/>
    <n v="56453.91"/>
    <x v="1"/>
    <x v="1"/>
  </r>
  <r>
    <x v="45"/>
    <x v="45"/>
    <x v="43"/>
    <x v="0"/>
    <m/>
    <x v="1"/>
    <n v="329.34"/>
    <x v="0"/>
    <x v="0"/>
  </r>
  <r>
    <x v="45"/>
    <x v="45"/>
    <x v="43"/>
    <x v="1"/>
    <m/>
    <x v="1"/>
    <n v="16166.66"/>
    <x v="1"/>
    <x v="1"/>
  </r>
  <r>
    <x v="46"/>
    <x v="46"/>
    <x v="44"/>
    <x v="0"/>
    <m/>
    <x v="1"/>
    <n v="1213.3599999999999"/>
    <x v="0"/>
    <x v="0"/>
  </r>
  <r>
    <x v="46"/>
    <x v="46"/>
    <x v="44"/>
    <x v="1"/>
    <m/>
    <x v="1"/>
    <n v="9369.6"/>
    <x v="1"/>
    <x v="1"/>
  </r>
  <r>
    <x v="47"/>
    <x v="47"/>
    <x v="45"/>
    <x v="0"/>
    <m/>
    <x v="1"/>
    <n v="1152.69"/>
    <x v="0"/>
    <x v="0"/>
  </r>
  <r>
    <x v="47"/>
    <x v="47"/>
    <x v="45"/>
    <x v="1"/>
    <m/>
    <x v="1"/>
    <n v="25083.31"/>
    <x v="1"/>
    <x v="1"/>
  </r>
  <r>
    <x v="48"/>
    <x v="48"/>
    <x v="46"/>
    <x v="0"/>
    <m/>
    <x v="1"/>
    <n v="1213.3599999999999"/>
    <x v="0"/>
    <x v="0"/>
  </r>
  <r>
    <x v="48"/>
    <x v="48"/>
    <x v="46"/>
    <x v="1"/>
    <m/>
    <x v="1"/>
    <n v="7928.08"/>
    <x v="1"/>
    <x v="1"/>
  </r>
  <r>
    <x v="49"/>
    <x v="49"/>
    <x v="47"/>
    <x v="0"/>
    <m/>
    <x v="1"/>
    <n v="164.67"/>
    <x v="0"/>
    <x v="0"/>
  </r>
  <r>
    <x v="49"/>
    <x v="49"/>
    <x v="47"/>
    <x v="1"/>
    <m/>
    <x v="1"/>
    <n v="2870.15"/>
    <x v="1"/>
    <x v="1"/>
  </r>
  <r>
    <x v="50"/>
    <x v="49"/>
    <x v="48"/>
    <x v="0"/>
    <m/>
    <x v="1"/>
    <n v="1976.04"/>
    <x v="0"/>
    <x v="0"/>
  </r>
  <r>
    <x v="50"/>
    <x v="49"/>
    <x v="48"/>
    <x v="1"/>
    <m/>
    <x v="1"/>
    <n v="34434.21"/>
    <x v="1"/>
    <x v="1"/>
  </r>
  <r>
    <x v="51"/>
    <x v="50"/>
    <x v="49"/>
    <x v="0"/>
    <m/>
    <x v="1"/>
    <n v="164.67"/>
    <x v="0"/>
    <x v="0"/>
  </r>
  <r>
    <x v="51"/>
    <x v="50"/>
    <x v="49"/>
    <x v="1"/>
    <m/>
    <x v="1"/>
    <n v="2736.98"/>
    <x v="1"/>
    <x v="1"/>
  </r>
  <r>
    <x v="52"/>
    <x v="51"/>
    <x v="50"/>
    <x v="0"/>
    <m/>
    <x v="1"/>
    <n v="1152.69"/>
    <x v="0"/>
    <x v="0"/>
  </r>
  <r>
    <x v="52"/>
    <x v="51"/>
    <x v="50"/>
    <x v="1"/>
    <m/>
    <x v="1"/>
    <n v="46666.69"/>
    <x v="1"/>
    <x v="1"/>
  </r>
  <r>
    <x v="53"/>
    <x v="52"/>
    <x v="48"/>
    <x v="0"/>
    <m/>
    <x v="1"/>
    <n v="329.34"/>
    <x v="0"/>
    <x v="0"/>
  </r>
  <r>
    <x v="53"/>
    <x v="52"/>
    <x v="48"/>
    <x v="1"/>
    <m/>
    <x v="1"/>
    <n v="4400"/>
    <x v="1"/>
    <x v="1"/>
  </r>
  <r>
    <x v="4"/>
    <x v="4"/>
    <x v="4"/>
    <x v="0"/>
    <m/>
    <x v="2"/>
    <n v="-296.39999999999998"/>
    <x v="0"/>
    <x v="0"/>
  </r>
  <r>
    <x v="4"/>
    <x v="4"/>
    <x v="4"/>
    <x v="1"/>
    <m/>
    <x v="2"/>
    <n v="-4877.3500000000004"/>
    <x v="0"/>
    <x v="0"/>
  </r>
  <r>
    <x v="7"/>
    <x v="7"/>
    <x v="7"/>
    <x v="0"/>
    <m/>
    <x v="2"/>
    <n v="-504.14"/>
    <x v="0"/>
    <x v="0"/>
  </r>
  <r>
    <x v="7"/>
    <x v="7"/>
    <x v="7"/>
    <x v="1"/>
    <m/>
    <x v="2"/>
    <n v="-14687.33"/>
    <x v="0"/>
    <x v="0"/>
  </r>
  <r>
    <x v="16"/>
    <x v="16"/>
    <x v="16"/>
    <x v="0"/>
    <m/>
    <x v="2"/>
    <n v="-217"/>
    <x v="0"/>
    <x v="0"/>
  </r>
  <r>
    <x v="16"/>
    <x v="16"/>
    <x v="16"/>
    <x v="1"/>
    <m/>
    <x v="2"/>
    <n v="-3940.19"/>
    <x v="0"/>
    <x v="0"/>
  </r>
  <r>
    <x v="22"/>
    <x v="22"/>
    <x v="22"/>
    <x v="0"/>
    <m/>
    <x v="2"/>
    <n v="-30.4"/>
    <x v="0"/>
    <x v="0"/>
  </r>
  <r>
    <x v="22"/>
    <x v="22"/>
    <x v="22"/>
    <x v="1"/>
    <m/>
    <x v="2"/>
    <n v="-886"/>
    <x v="0"/>
    <x v="0"/>
  </r>
  <r>
    <x v="44"/>
    <x v="44"/>
    <x v="42"/>
    <x v="0"/>
    <m/>
    <x v="2"/>
    <n v="-53.2"/>
    <x v="0"/>
    <x v="0"/>
  </r>
  <r>
    <x v="44"/>
    <x v="44"/>
    <x v="42"/>
    <x v="1"/>
    <m/>
    <x v="2"/>
    <n v="-1105.3900000000001"/>
    <x v="0"/>
    <x v="0"/>
  </r>
  <r>
    <x v="46"/>
    <x v="46"/>
    <x v="44"/>
    <x v="0"/>
    <m/>
    <x v="2"/>
    <n v="-56"/>
    <x v="0"/>
    <x v="0"/>
  </r>
  <r>
    <x v="46"/>
    <x v="46"/>
    <x v="44"/>
    <x v="1"/>
    <m/>
    <x v="2"/>
    <n v="-414.44"/>
    <x v="0"/>
    <x v="0"/>
  </r>
  <r>
    <x v="10"/>
    <x v="10"/>
    <x v="10"/>
    <x v="0"/>
    <m/>
    <x v="3"/>
    <n v="-22.8"/>
    <x v="0"/>
    <x v="0"/>
  </r>
  <r>
    <x v="10"/>
    <x v="10"/>
    <x v="10"/>
    <x v="0"/>
    <m/>
    <x v="4"/>
    <n v="-121.6"/>
    <x v="0"/>
    <x v="0"/>
  </r>
  <r>
    <x v="10"/>
    <x v="10"/>
    <x v="10"/>
    <x v="1"/>
    <m/>
    <x v="4"/>
    <n v="-6769.29"/>
    <x v="0"/>
    <x v="0"/>
  </r>
  <r>
    <x v="14"/>
    <x v="14"/>
    <x v="14"/>
    <x v="0"/>
    <m/>
    <x v="5"/>
    <n v="-38"/>
    <x v="0"/>
    <x v="0"/>
  </r>
  <r>
    <x v="14"/>
    <x v="14"/>
    <x v="14"/>
    <x v="1"/>
    <m/>
    <x v="5"/>
    <n v="-879.47"/>
    <x v="0"/>
    <x v="0"/>
  </r>
  <r>
    <x v="14"/>
    <x v="14"/>
    <x v="14"/>
    <x v="0"/>
    <m/>
    <x v="6"/>
    <n v="-121.6"/>
    <x v="0"/>
    <x v="0"/>
  </r>
  <r>
    <x v="14"/>
    <x v="14"/>
    <x v="14"/>
    <x v="1"/>
    <m/>
    <x v="6"/>
    <n v="-2965.14"/>
    <x v="0"/>
    <x v="0"/>
  </r>
  <r>
    <x v="44"/>
    <x v="44"/>
    <x v="42"/>
    <x v="0"/>
    <m/>
    <x v="6"/>
    <n v="-491.47"/>
    <x v="0"/>
    <x v="0"/>
  </r>
  <r>
    <x v="44"/>
    <x v="44"/>
    <x v="42"/>
    <x v="1"/>
    <m/>
    <x v="6"/>
    <n v="-14289.36"/>
    <x v="0"/>
    <x v="0"/>
  </r>
  <r>
    <x v="19"/>
    <x v="19"/>
    <x v="19"/>
    <x v="0"/>
    <m/>
    <x v="7"/>
    <n v="-136.80000000000001"/>
    <x v="0"/>
    <x v="0"/>
  </r>
  <r>
    <x v="19"/>
    <x v="19"/>
    <x v="19"/>
    <x v="1"/>
    <m/>
    <x v="7"/>
    <n v="-3846.18"/>
    <x v="0"/>
    <x v="0"/>
  </r>
  <r>
    <x v="4"/>
    <x v="4"/>
    <x v="4"/>
    <x v="0"/>
    <m/>
    <x v="8"/>
    <n v="27.86"/>
    <x v="0"/>
    <x v="0"/>
  </r>
  <r>
    <x v="4"/>
    <x v="4"/>
    <x v="4"/>
    <x v="1"/>
    <m/>
    <x v="8"/>
    <n v="495.99"/>
    <x v="0"/>
    <x v="0"/>
  </r>
  <r>
    <x v="7"/>
    <x v="7"/>
    <x v="7"/>
    <x v="0"/>
    <m/>
    <x v="8"/>
    <n v="10.130000000000001"/>
    <x v="0"/>
    <x v="0"/>
  </r>
  <r>
    <x v="7"/>
    <x v="7"/>
    <x v="7"/>
    <x v="1"/>
    <m/>
    <x v="8"/>
    <n v="647.96"/>
    <x v="0"/>
    <x v="0"/>
  </r>
  <r>
    <x v="10"/>
    <x v="10"/>
    <x v="10"/>
    <x v="0"/>
    <m/>
    <x v="8"/>
    <n v="32.93"/>
    <x v="0"/>
    <x v="0"/>
  </r>
  <r>
    <x v="14"/>
    <x v="14"/>
    <x v="14"/>
    <x v="0"/>
    <m/>
    <x v="8"/>
    <n v="-154.54"/>
    <x v="0"/>
    <x v="0"/>
  </r>
  <r>
    <x v="14"/>
    <x v="14"/>
    <x v="14"/>
    <x v="1"/>
    <m/>
    <x v="8"/>
    <n v="-3166.17"/>
    <x v="0"/>
    <x v="0"/>
  </r>
  <r>
    <x v="16"/>
    <x v="16"/>
    <x v="16"/>
    <x v="0"/>
    <m/>
    <x v="8"/>
    <n v="52.33"/>
    <x v="0"/>
    <x v="0"/>
  </r>
  <r>
    <x v="16"/>
    <x v="16"/>
    <x v="16"/>
    <x v="1"/>
    <m/>
    <x v="8"/>
    <n v="999.91"/>
    <x v="0"/>
    <x v="0"/>
  </r>
  <r>
    <x v="19"/>
    <x v="19"/>
    <x v="19"/>
    <x v="0"/>
    <m/>
    <x v="8"/>
    <n v="10.130000000000001"/>
    <x v="0"/>
    <x v="0"/>
  </r>
  <r>
    <x v="22"/>
    <x v="22"/>
    <x v="22"/>
    <x v="0"/>
    <m/>
    <x v="8"/>
    <n v="-134.27000000000001"/>
    <x v="0"/>
    <x v="0"/>
  </r>
  <r>
    <x v="22"/>
    <x v="22"/>
    <x v="22"/>
    <x v="1"/>
    <m/>
    <x v="8"/>
    <n v="-3913.24"/>
    <x v="0"/>
    <x v="0"/>
  </r>
  <r>
    <x v="44"/>
    <x v="44"/>
    <x v="42"/>
    <x v="0"/>
    <m/>
    <x v="8"/>
    <n v="7.59"/>
    <x v="0"/>
    <x v="0"/>
  </r>
  <r>
    <x v="46"/>
    <x v="46"/>
    <x v="44"/>
    <x v="0"/>
    <m/>
    <x v="8"/>
    <n v="9.33"/>
    <x v="0"/>
    <x v="0"/>
  </r>
  <r>
    <x v="46"/>
    <x v="46"/>
    <x v="44"/>
    <x v="1"/>
    <m/>
    <x v="8"/>
    <n v="54.05"/>
    <x v="0"/>
    <x v="0"/>
  </r>
  <r>
    <x v="3"/>
    <x v="3"/>
    <x v="3"/>
    <x v="0"/>
    <m/>
    <x v="9"/>
    <n v="-12.67"/>
    <x v="0"/>
    <x v="0"/>
  </r>
  <r>
    <x v="3"/>
    <x v="3"/>
    <x v="3"/>
    <x v="1"/>
    <m/>
    <x v="9"/>
    <n v="-282.76"/>
    <x v="0"/>
    <x v="0"/>
  </r>
  <r>
    <x v="4"/>
    <x v="4"/>
    <x v="4"/>
    <x v="0"/>
    <m/>
    <x v="9"/>
    <n v="-96.27"/>
    <x v="0"/>
    <x v="0"/>
  </r>
  <r>
    <x v="4"/>
    <x v="4"/>
    <x v="4"/>
    <x v="1"/>
    <m/>
    <x v="9"/>
    <n v="-1570.69"/>
    <x v="0"/>
    <x v="0"/>
  </r>
  <r>
    <x v="13"/>
    <x v="13"/>
    <x v="13"/>
    <x v="0"/>
    <m/>
    <x v="9"/>
    <n v="-12.67"/>
    <x v="0"/>
    <x v="0"/>
  </r>
  <r>
    <x v="13"/>
    <x v="13"/>
    <x v="13"/>
    <x v="1"/>
    <m/>
    <x v="9"/>
    <n v="-218.62"/>
    <x v="0"/>
    <x v="0"/>
  </r>
  <r>
    <x v="27"/>
    <x v="27"/>
    <x v="26"/>
    <x v="0"/>
    <m/>
    <x v="9"/>
    <n v="-18.670000000000002"/>
    <x v="0"/>
    <x v="0"/>
  </r>
  <r>
    <x v="27"/>
    <x v="27"/>
    <x v="26"/>
    <x v="1"/>
    <m/>
    <x v="9"/>
    <n v="-81.209999999999994"/>
    <x v="0"/>
    <x v="0"/>
  </r>
  <r>
    <x v="28"/>
    <x v="28"/>
    <x v="27"/>
    <x v="0"/>
    <m/>
    <x v="9"/>
    <n v="-88.67"/>
    <x v="0"/>
    <x v="0"/>
  </r>
  <r>
    <x v="28"/>
    <x v="28"/>
    <x v="27"/>
    <x v="1"/>
    <m/>
    <x v="9"/>
    <n v="-1731.52"/>
    <x v="0"/>
    <x v="0"/>
  </r>
  <r>
    <x v="43"/>
    <x v="43"/>
    <x v="41"/>
    <x v="0"/>
    <m/>
    <x v="9"/>
    <n v="-103.87"/>
    <x v="0"/>
    <x v="0"/>
  </r>
  <r>
    <x v="43"/>
    <x v="43"/>
    <x v="41"/>
    <x v="1"/>
    <m/>
    <x v="9"/>
    <n v="-2899.34"/>
    <x v="0"/>
    <x v="0"/>
  </r>
  <r>
    <x v="47"/>
    <x v="47"/>
    <x v="45"/>
    <x v="0"/>
    <m/>
    <x v="9"/>
    <n v="-111.47"/>
    <x v="0"/>
    <x v="0"/>
  </r>
  <r>
    <x v="47"/>
    <x v="47"/>
    <x v="45"/>
    <x v="1"/>
    <m/>
    <x v="9"/>
    <n v="-2425.67"/>
    <x v="0"/>
    <x v="0"/>
  </r>
  <r>
    <x v="51"/>
    <x v="50"/>
    <x v="49"/>
    <x v="0"/>
    <m/>
    <x v="9"/>
    <n v="-88.67"/>
    <x v="0"/>
    <x v="0"/>
  </r>
  <r>
    <x v="51"/>
    <x v="50"/>
    <x v="49"/>
    <x v="1"/>
    <m/>
    <x v="9"/>
    <n v="-1473.78"/>
    <x v="0"/>
    <x v="0"/>
  </r>
  <r>
    <x v="4"/>
    <x v="4"/>
    <x v="4"/>
    <x v="0"/>
    <m/>
    <x v="10"/>
    <n v="-243.2"/>
    <x v="0"/>
    <x v="0"/>
  </r>
  <r>
    <x v="4"/>
    <x v="4"/>
    <x v="4"/>
    <x v="1"/>
    <m/>
    <x v="10"/>
    <n v="-3967.93"/>
    <x v="0"/>
    <x v="0"/>
  </r>
  <r>
    <x v="5"/>
    <x v="5"/>
    <x v="5"/>
    <x v="0"/>
    <m/>
    <x v="10"/>
    <n v="-15.2"/>
    <x v="0"/>
    <x v="0"/>
  </r>
  <r>
    <x v="5"/>
    <x v="5"/>
    <x v="5"/>
    <x v="1"/>
    <m/>
    <x v="10"/>
    <n v="-296.82"/>
    <x v="0"/>
    <x v="0"/>
  </r>
  <r>
    <x v="7"/>
    <x v="7"/>
    <x v="7"/>
    <x v="0"/>
    <m/>
    <x v="10"/>
    <n v="-45.6"/>
    <x v="0"/>
    <x v="0"/>
  </r>
  <r>
    <x v="7"/>
    <x v="7"/>
    <x v="7"/>
    <x v="1"/>
    <m/>
    <x v="10"/>
    <n v="-1295.92"/>
    <x v="0"/>
    <x v="0"/>
  </r>
  <r>
    <x v="9"/>
    <x v="9"/>
    <x v="9"/>
    <x v="0"/>
    <m/>
    <x v="10"/>
    <n v="-15.2"/>
    <x v="0"/>
    <x v="0"/>
  </r>
  <r>
    <x v="9"/>
    <x v="9"/>
    <x v="9"/>
    <x v="1"/>
    <m/>
    <x v="10"/>
    <n v="-450.69"/>
    <x v="0"/>
    <x v="0"/>
  </r>
  <r>
    <x v="11"/>
    <x v="11"/>
    <x v="11"/>
    <x v="0"/>
    <m/>
    <x v="10"/>
    <n v="-15.2"/>
    <x v="0"/>
    <x v="0"/>
  </r>
  <r>
    <x v="11"/>
    <x v="11"/>
    <x v="11"/>
    <x v="1"/>
    <m/>
    <x v="10"/>
    <n v="-515.37"/>
    <x v="0"/>
    <x v="0"/>
  </r>
  <r>
    <x v="13"/>
    <x v="13"/>
    <x v="13"/>
    <x v="0"/>
    <m/>
    <x v="10"/>
    <n v="-22.8"/>
    <x v="0"/>
    <x v="0"/>
  </r>
  <r>
    <x v="13"/>
    <x v="13"/>
    <x v="13"/>
    <x v="1"/>
    <m/>
    <x v="10"/>
    <n v="-379.2"/>
    <x v="0"/>
    <x v="0"/>
  </r>
  <r>
    <x v="14"/>
    <x v="14"/>
    <x v="14"/>
    <x v="0"/>
    <m/>
    <x v="10"/>
    <n v="-30.4"/>
    <x v="0"/>
    <x v="0"/>
  </r>
  <r>
    <x v="14"/>
    <x v="14"/>
    <x v="14"/>
    <x v="1"/>
    <m/>
    <x v="10"/>
    <n v="-848.6"/>
    <x v="0"/>
    <x v="0"/>
  </r>
  <r>
    <x v="16"/>
    <x v="16"/>
    <x v="16"/>
    <x v="0"/>
    <m/>
    <x v="10"/>
    <n v="-133"/>
    <x v="0"/>
    <x v="0"/>
  </r>
  <r>
    <x v="16"/>
    <x v="16"/>
    <x v="16"/>
    <x v="1"/>
    <m/>
    <x v="10"/>
    <n v="-2374.79"/>
    <x v="0"/>
    <x v="0"/>
  </r>
  <r>
    <x v="18"/>
    <x v="18"/>
    <x v="18"/>
    <x v="0"/>
    <m/>
    <x v="10"/>
    <n v="-7.6"/>
    <x v="0"/>
    <x v="0"/>
  </r>
  <r>
    <x v="18"/>
    <x v="18"/>
    <x v="18"/>
    <x v="1"/>
    <m/>
    <x v="10"/>
    <n v="-342.3"/>
    <x v="0"/>
    <x v="0"/>
  </r>
  <r>
    <x v="22"/>
    <x v="22"/>
    <x v="22"/>
    <x v="0"/>
    <m/>
    <x v="10"/>
    <n v="-22.8"/>
    <x v="0"/>
    <x v="0"/>
  </r>
  <r>
    <x v="22"/>
    <x v="22"/>
    <x v="22"/>
    <x v="1"/>
    <m/>
    <x v="10"/>
    <n v="-664.5"/>
    <x v="0"/>
    <x v="0"/>
  </r>
  <r>
    <x v="26"/>
    <x v="26"/>
    <x v="25"/>
    <x v="0"/>
    <m/>
    <x v="10"/>
    <n v="-38"/>
    <x v="0"/>
    <x v="0"/>
  </r>
  <r>
    <x v="26"/>
    <x v="26"/>
    <x v="25"/>
    <x v="1"/>
    <m/>
    <x v="10"/>
    <n v="-1053.5999999999999"/>
    <x v="0"/>
    <x v="0"/>
  </r>
  <r>
    <x v="32"/>
    <x v="32"/>
    <x v="30"/>
    <x v="0"/>
    <m/>
    <x v="10"/>
    <n v="-15.2"/>
    <x v="0"/>
    <x v="0"/>
  </r>
  <r>
    <x v="32"/>
    <x v="32"/>
    <x v="30"/>
    <x v="1"/>
    <m/>
    <x v="10"/>
    <n v="-369.21"/>
    <x v="0"/>
    <x v="0"/>
  </r>
  <r>
    <x v="33"/>
    <x v="33"/>
    <x v="31"/>
    <x v="0"/>
    <m/>
    <x v="10"/>
    <n v="-38"/>
    <x v="0"/>
    <x v="0"/>
  </r>
  <r>
    <x v="33"/>
    <x v="33"/>
    <x v="31"/>
    <x v="1"/>
    <m/>
    <x v="10"/>
    <n v="-790.88"/>
    <x v="0"/>
    <x v="0"/>
  </r>
  <r>
    <x v="37"/>
    <x v="37"/>
    <x v="35"/>
    <x v="0"/>
    <m/>
    <x v="10"/>
    <n v="-30.4"/>
    <x v="0"/>
    <x v="0"/>
  </r>
  <r>
    <x v="37"/>
    <x v="37"/>
    <x v="35"/>
    <x v="1"/>
    <m/>
    <x v="10"/>
    <n v="-586.54999999999995"/>
    <x v="0"/>
    <x v="0"/>
  </r>
  <r>
    <x v="38"/>
    <x v="38"/>
    <x v="36"/>
    <x v="0"/>
    <m/>
    <x v="10"/>
    <n v="-22.8"/>
    <x v="0"/>
    <x v="0"/>
  </r>
  <r>
    <x v="38"/>
    <x v="38"/>
    <x v="36"/>
    <x v="1"/>
    <m/>
    <x v="10"/>
    <n v="-1384.59"/>
    <x v="0"/>
    <x v="0"/>
  </r>
  <r>
    <x v="46"/>
    <x v="46"/>
    <x v="44"/>
    <x v="0"/>
    <m/>
    <x v="10"/>
    <n v="-42"/>
    <x v="0"/>
    <x v="0"/>
  </r>
  <r>
    <x v="46"/>
    <x v="46"/>
    <x v="44"/>
    <x v="1"/>
    <m/>
    <x v="10"/>
    <n v="-324.32"/>
    <x v="0"/>
    <x v="0"/>
  </r>
  <r>
    <x v="48"/>
    <x v="48"/>
    <x v="46"/>
    <x v="0"/>
    <m/>
    <x v="10"/>
    <n v="-21"/>
    <x v="0"/>
    <x v="0"/>
  </r>
  <r>
    <x v="48"/>
    <x v="48"/>
    <x v="46"/>
    <x v="1"/>
    <m/>
    <x v="10"/>
    <n v="-137.21"/>
    <x v="0"/>
    <x v="0"/>
  </r>
  <r>
    <x v="50"/>
    <x v="49"/>
    <x v="48"/>
    <x v="0"/>
    <m/>
    <x v="10"/>
    <n v="-15.2"/>
    <x v="0"/>
    <x v="0"/>
  </r>
  <r>
    <x v="50"/>
    <x v="49"/>
    <x v="48"/>
    <x v="1"/>
    <m/>
    <x v="10"/>
    <n v="-267.69"/>
    <x v="0"/>
    <x v="0"/>
  </r>
  <r>
    <x v="4"/>
    <x v="4"/>
    <x v="4"/>
    <x v="0"/>
    <m/>
    <x v="11"/>
    <n v="1570.7"/>
    <x v="0"/>
    <x v="0"/>
  </r>
  <r>
    <x v="4"/>
    <x v="4"/>
    <x v="4"/>
    <x v="1"/>
    <m/>
    <x v="11"/>
    <n v="1570.7"/>
    <x v="0"/>
    <x v="0"/>
  </r>
  <r>
    <x v="4"/>
    <x v="4"/>
    <x v="4"/>
    <x v="0"/>
    <m/>
    <x v="12"/>
    <n v="5207.91"/>
    <x v="0"/>
    <x v="0"/>
  </r>
  <r>
    <x v="4"/>
    <x v="4"/>
    <x v="4"/>
    <x v="1"/>
    <m/>
    <x v="12"/>
    <n v="5207.91"/>
    <x v="0"/>
    <x v="0"/>
  </r>
  <r>
    <x v="5"/>
    <x v="5"/>
    <x v="5"/>
    <x v="0"/>
    <m/>
    <x v="12"/>
    <n v="296.82"/>
    <x v="0"/>
    <x v="0"/>
  </r>
  <r>
    <x v="5"/>
    <x v="5"/>
    <x v="5"/>
    <x v="1"/>
    <m/>
    <x v="12"/>
    <n v="296.82"/>
    <x v="0"/>
    <x v="0"/>
  </r>
  <r>
    <x v="7"/>
    <x v="7"/>
    <x v="7"/>
    <x v="0"/>
    <m/>
    <x v="12"/>
    <n v="15335.29"/>
    <x v="0"/>
    <x v="0"/>
  </r>
  <r>
    <x v="7"/>
    <x v="7"/>
    <x v="7"/>
    <x v="1"/>
    <m/>
    <x v="12"/>
    <n v="15335.29"/>
    <x v="0"/>
    <x v="0"/>
  </r>
  <r>
    <x v="9"/>
    <x v="9"/>
    <x v="9"/>
    <x v="0"/>
    <m/>
    <x v="12"/>
    <n v="450.69"/>
    <x v="0"/>
    <x v="0"/>
  </r>
  <r>
    <x v="9"/>
    <x v="9"/>
    <x v="9"/>
    <x v="1"/>
    <m/>
    <x v="12"/>
    <n v="450.69"/>
    <x v="0"/>
    <x v="0"/>
  </r>
  <r>
    <x v="11"/>
    <x v="11"/>
    <x v="11"/>
    <x v="0"/>
    <m/>
    <x v="12"/>
    <n v="515.37"/>
    <x v="0"/>
    <x v="0"/>
  </r>
  <r>
    <x v="11"/>
    <x v="11"/>
    <x v="11"/>
    <x v="1"/>
    <m/>
    <x v="12"/>
    <n v="515.37"/>
    <x v="0"/>
    <x v="0"/>
  </r>
  <r>
    <x v="13"/>
    <x v="13"/>
    <x v="13"/>
    <x v="0"/>
    <m/>
    <x v="12"/>
    <n v="379.2"/>
    <x v="0"/>
    <x v="0"/>
  </r>
  <r>
    <x v="13"/>
    <x v="13"/>
    <x v="13"/>
    <x v="1"/>
    <m/>
    <x v="12"/>
    <n v="379.2"/>
    <x v="0"/>
    <x v="0"/>
  </r>
  <r>
    <x v="14"/>
    <x v="14"/>
    <x v="14"/>
    <x v="0"/>
    <m/>
    <x v="12"/>
    <n v="848.6"/>
    <x v="0"/>
    <x v="0"/>
  </r>
  <r>
    <x v="14"/>
    <x v="14"/>
    <x v="14"/>
    <x v="1"/>
    <m/>
    <x v="12"/>
    <n v="848.6"/>
    <x v="0"/>
    <x v="0"/>
  </r>
  <r>
    <x v="16"/>
    <x v="16"/>
    <x v="16"/>
    <x v="0"/>
    <m/>
    <x v="12"/>
    <n v="5454.01"/>
    <x v="0"/>
    <x v="0"/>
  </r>
  <r>
    <x v="16"/>
    <x v="16"/>
    <x v="16"/>
    <x v="1"/>
    <m/>
    <x v="12"/>
    <n v="5454.01"/>
    <x v="0"/>
    <x v="0"/>
  </r>
  <r>
    <x v="18"/>
    <x v="18"/>
    <x v="18"/>
    <x v="0"/>
    <m/>
    <x v="12"/>
    <n v="342.3"/>
    <x v="0"/>
    <x v="0"/>
  </r>
  <r>
    <x v="18"/>
    <x v="18"/>
    <x v="18"/>
    <x v="1"/>
    <m/>
    <x v="12"/>
    <n v="342.3"/>
    <x v="0"/>
    <x v="0"/>
  </r>
  <r>
    <x v="22"/>
    <x v="22"/>
    <x v="22"/>
    <x v="0"/>
    <m/>
    <x v="12"/>
    <n v="886"/>
    <x v="0"/>
    <x v="0"/>
  </r>
  <r>
    <x v="22"/>
    <x v="22"/>
    <x v="22"/>
    <x v="1"/>
    <m/>
    <x v="12"/>
    <n v="886"/>
    <x v="0"/>
    <x v="0"/>
  </r>
  <r>
    <x v="26"/>
    <x v="26"/>
    <x v="25"/>
    <x v="0"/>
    <m/>
    <x v="12"/>
    <n v="1053.5999999999999"/>
    <x v="0"/>
    <x v="0"/>
  </r>
  <r>
    <x v="26"/>
    <x v="26"/>
    <x v="25"/>
    <x v="1"/>
    <m/>
    <x v="12"/>
    <n v="1053.5999999999999"/>
    <x v="0"/>
    <x v="0"/>
  </r>
  <r>
    <x v="32"/>
    <x v="32"/>
    <x v="30"/>
    <x v="0"/>
    <m/>
    <x v="12"/>
    <n v="369.21"/>
    <x v="0"/>
    <x v="0"/>
  </r>
  <r>
    <x v="32"/>
    <x v="32"/>
    <x v="30"/>
    <x v="1"/>
    <m/>
    <x v="12"/>
    <n v="369.21"/>
    <x v="0"/>
    <x v="0"/>
  </r>
  <r>
    <x v="33"/>
    <x v="33"/>
    <x v="31"/>
    <x v="0"/>
    <m/>
    <x v="12"/>
    <n v="810.23"/>
    <x v="0"/>
    <x v="0"/>
  </r>
  <r>
    <x v="33"/>
    <x v="33"/>
    <x v="31"/>
    <x v="1"/>
    <m/>
    <x v="12"/>
    <n v="810.23"/>
    <x v="0"/>
    <x v="0"/>
  </r>
  <r>
    <x v="37"/>
    <x v="37"/>
    <x v="35"/>
    <x v="0"/>
    <m/>
    <x v="12"/>
    <n v="602.03"/>
    <x v="0"/>
    <x v="0"/>
  </r>
  <r>
    <x v="37"/>
    <x v="37"/>
    <x v="35"/>
    <x v="1"/>
    <m/>
    <x v="12"/>
    <n v="602.03"/>
    <x v="0"/>
    <x v="0"/>
  </r>
  <r>
    <x v="38"/>
    <x v="38"/>
    <x v="36"/>
    <x v="0"/>
    <m/>
    <x v="12"/>
    <n v="1384.59"/>
    <x v="0"/>
    <x v="0"/>
  </r>
  <r>
    <x v="38"/>
    <x v="38"/>
    <x v="36"/>
    <x v="1"/>
    <m/>
    <x v="12"/>
    <n v="1384.59"/>
    <x v="0"/>
    <x v="0"/>
  </r>
  <r>
    <x v="44"/>
    <x v="44"/>
    <x v="42"/>
    <x v="0"/>
    <m/>
    <x v="12"/>
    <n v="1105.3900000000001"/>
    <x v="0"/>
    <x v="0"/>
  </r>
  <r>
    <x v="44"/>
    <x v="44"/>
    <x v="42"/>
    <x v="1"/>
    <m/>
    <x v="12"/>
    <n v="1105.3900000000001"/>
    <x v="0"/>
    <x v="0"/>
  </r>
  <r>
    <x v="50"/>
    <x v="49"/>
    <x v="48"/>
    <x v="0"/>
    <m/>
    <x v="12"/>
    <n v="274.14"/>
    <x v="0"/>
    <x v="0"/>
  </r>
  <r>
    <x v="50"/>
    <x v="49"/>
    <x v="48"/>
    <x v="1"/>
    <m/>
    <x v="12"/>
    <n v="274.14"/>
    <x v="0"/>
    <x v="0"/>
  </r>
  <r>
    <x v="4"/>
    <x v="4"/>
    <x v="4"/>
    <x v="0"/>
    <m/>
    <x v="13"/>
    <n v="-3716.42"/>
    <x v="0"/>
    <x v="0"/>
  </r>
  <r>
    <x v="4"/>
    <x v="4"/>
    <x v="4"/>
    <x v="1"/>
    <m/>
    <x v="13"/>
    <n v="-3716.42"/>
    <x v="0"/>
    <x v="0"/>
  </r>
  <r>
    <x v="7"/>
    <x v="7"/>
    <x v="7"/>
    <x v="0"/>
    <m/>
    <x v="13"/>
    <n v="-3898.18"/>
    <x v="0"/>
    <x v="0"/>
  </r>
  <r>
    <x v="7"/>
    <x v="7"/>
    <x v="7"/>
    <x v="1"/>
    <m/>
    <x v="13"/>
    <n v="-3898.18"/>
    <x v="0"/>
    <x v="0"/>
  </r>
  <r>
    <x v="10"/>
    <x v="10"/>
    <x v="10"/>
    <x v="0"/>
    <m/>
    <x v="13"/>
    <n v="-2242.6799999999998"/>
    <x v="0"/>
    <x v="0"/>
  </r>
  <r>
    <x v="10"/>
    <x v="10"/>
    <x v="10"/>
    <x v="1"/>
    <m/>
    <x v="13"/>
    <n v="-2242.6799999999998"/>
    <x v="0"/>
    <x v="0"/>
  </r>
  <r>
    <x v="11"/>
    <x v="11"/>
    <x v="11"/>
    <x v="0"/>
    <m/>
    <x v="13"/>
    <n v="-509.7"/>
    <x v="0"/>
    <x v="0"/>
  </r>
  <r>
    <x v="11"/>
    <x v="11"/>
    <x v="11"/>
    <x v="1"/>
    <m/>
    <x v="13"/>
    <n v="-509.7"/>
    <x v="0"/>
    <x v="0"/>
  </r>
  <r>
    <x v="16"/>
    <x v="16"/>
    <x v="16"/>
    <x v="0"/>
    <m/>
    <x v="13"/>
    <n v="-2280.85"/>
    <x v="0"/>
    <x v="0"/>
  </r>
  <r>
    <x v="16"/>
    <x v="16"/>
    <x v="16"/>
    <x v="1"/>
    <m/>
    <x v="13"/>
    <n v="-2280.85"/>
    <x v="0"/>
    <x v="0"/>
  </r>
  <r>
    <x v="22"/>
    <x v="22"/>
    <x v="22"/>
    <x v="0"/>
    <m/>
    <x v="13"/>
    <n v="-124.41"/>
    <x v="0"/>
    <x v="0"/>
  </r>
  <r>
    <x v="22"/>
    <x v="22"/>
    <x v="22"/>
    <x v="1"/>
    <m/>
    <x v="13"/>
    <n v="-124.41"/>
    <x v="0"/>
    <x v="0"/>
  </r>
  <r>
    <x v="34"/>
    <x v="34"/>
    <x v="32"/>
    <x v="0"/>
    <m/>
    <x v="13"/>
    <n v="-2548.5"/>
    <x v="0"/>
    <x v="0"/>
  </r>
  <r>
    <x v="34"/>
    <x v="34"/>
    <x v="32"/>
    <x v="1"/>
    <m/>
    <x v="13"/>
    <n v="-2548.5"/>
    <x v="0"/>
    <x v="0"/>
  </r>
  <r>
    <x v="37"/>
    <x v="37"/>
    <x v="35"/>
    <x v="0"/>
    <m/>
    <x v="13"/>
    <n v="-1115.54"/>
    <x v="0"/>
    <x v="0"/>
  </r>
  <r>
    <x v="37"/>
    <x v="37"/>
    <x v="35"/>
    <x v="1"/>
    <m/>
    <x v="13"/>
    <n v="-1115.54"/>
    <x v="0"/>
    <x v="0"/>
  </r>
  <r>
    <x v="38"/>
    <x v="38"/>
    <x v="36"/>
    <x v="0"/>
    <m/>
    <x v="13"/>
    <n v="-106.62"/>
    <x v="0"/>
    <x v="0"/>
  </r>
  <r>
    <x v="38"/>
    <x v="38"/>
    <x v="36"/>
    <x v="1"/>
    <m/>
    <x v="13"/>
    <n v="-106.62"/>
    <x v="0"/>
    <x v="0"/>
  </r>
  <r>
    <x v="44"/>
    <x v="44"/>
    <x v="42"/>
    <x v="0"/>
    <m/>
    <x v="13"/>
    <n v="-12348.78"/>
    <x v="0"/>
    <x v="0"/>
  </r>
  <r>
    <x v="44"/>
    <x v="44"/>
    <x v="42"/>
    <x v="1"/>
    <m/>
    <x v="13"/>
    <n v="-12348.78"/>
    <x v="0"/>
    <x v="0"/>
  </r>
  <r>
    <x v="6"/>
    <x v="6"/>
    <x v="6"/>
    <x v="0"/>
    <m/>
    <x v="14"/>
    <n v="-30.4"/>
    <x v="2"/>
    <x v="0"/>
  </r>
  <r>
    <x v="10"/>
    <x v="10"/>
    <x v="10"/>
    <x v="0"/>
    <m/>
    <x v="14"/>
    <n v="-22.8"/>
    <x v="2"/>
    <x v="0"/>
  </r>
  <r>
    <x v="12"/>
    <x v="12"/>
    <x v="12"/>
    <x v="0"/>
    <m/>
    <x v="14"/>
    <n v="-30.4"/>
    <x v="2"/>
    <x v="0"/>
  </r>
  <r>
    <x v="14"/>
    <x v="14"/>
    <x v="14"/>
    <x v="0"/>
    <m/>
    <x v="14"/>
    <n v="-7.6"/>
    <x v="2"/>
    <x v="0"/>
  </r>
  <r>
    <x v="34"/>
    <x v="34"/>
    <x v="32"/>
    <x v="0"/>
    <m/>
    <x v="14"/>
    <n v="-22.8"/>
    <x v="2"/>
    <x v="0"/>
  </r>
  <r>
    <x v="35"/>
    <x v="35"/>
    <x v="33"/>
    <x v="0"/>
    <m/>
    <x v="14"/>
    <n v="-7.6"/>
    <x v="2"/>
    <x v="0"/>
  </r>
  <r>
    <x v="49"/>
    <x v="49"/>
    <x v="47"/>
    <x v="0"/>
    <m/>
    <x v="14"/>
    <n v="-7.6"/>
    <x v="2"/>
    <x v="0"/>
  </r>
  <r>
    <x v="7"/>
    <x v="7"/>
    <x v="7"/>
    <x v="0"/>
    <m/>
    <x v="15"/>
    <n v="-15.2"/>
    <x v="2"/>
    <x v="0"/>
  </r>
  <r>
    <x v="11"/>
    <x v="11"/>
    <x v="11"/>
    <x v="0"/>
    <m/>
    <x v="15"/>
    <n v="-3.8"/>
    <x v="2"/>
    <x v="0"/>
  </r>
  <r>
    <x v="14"/>
    <x v="14"/>
    <x v="14"/>
    <x v="0"/>
    <m/>
    <x v="15"/>
    <n v="-38"/>
    <x v="2"/>
    <x v="0"/>
  </r>
  <r>
    <x v="15"/>
    <x v="15"/>
    <x v="15"/>
    <x v="0"/>
    <m/>
    <x v="15"/>
    <n v="-12.4"/>
    <x v="2"/>
    <x v="0"/>
  </r>
  <r>
    <x v="20"/>
    <x v="20"/>
    <x v="20"/>
    <x v="0"/>
    <m/>
    <x v="15"/>
    <n v="-7.6"/>
    <x v="2"/>
    <x v="0"/>
  </r>
  <r>
    <x v="44"/>
    <x v="44"/>
    <x v="42"/>
    <x v="0"/>
    <m/>
    <x v="15"/>
    <n v="-0.5"/>
    <x v="2"/>
    <x v="0"/>
  </r>
  <r>
    <x v="10"/>
    <x v="10"/>
    <x v="10"/>
    <x v="0"/>
    <m/>
    <x v="16"/>
    <n v="6769.29"/>
    <x v="0"/>
    <x v="0"/>
  </r>
  <r>
    <x v="10"/>
    <x v="10"/>
    <x v="10"/>
    <x v="1"/>
    <m/>
    <x v="16"/>
    <n v="6769.29"/>
    <x v="0"/>
    <x v="0"/>
  </r>
  <r>
    <x v="11"/>
    <x v="11"/>
    <x v="11"/>
    <x v="0"/>
    <m/>
    <x v="16"/>
    <n v="1103.82"/>
    <x v="0"/>
    <x v="0"/>
  </r>
  <r>
    <x v="11"/>
    <x v="11"/>
    <x v="11"/>
    <x v="1"/>
    <m/>
    <x v="16"/>
    <n v="1103.82"/>
    <x v="0"/>
    <x v="0"/>
  </r>
  <r>
    <x v="34"/>
    <x v="34"/>
    <x v="32"/>
    <x v="0"/>
    <m/>
    <x v="16"/>
    <n v="4380.6899999999996"/>
    <x v="0"/>
    <x v="0"/>
  </r>
  <r>
    <x v="34"/>
    <x v="34"/>
    <x v="32"/>
    <x v="1"/>
    <m/>
    <x v="16"/>
    <n v="4380.6899999999996"/>
    <x v="0"/>
    <x v="0"/>
  </r>
  <r>
    <x v="37"/>
    <x v="37"/>
    <x v="35"/>
    <x v="0"/>
    <m/>
    <x v="16"/>
    <n v="1869.81"/>
    <x v="0"/>
    <x v="0"/>
  </r>
  <r>
    <x v="37"/>
    <x v="37"/>
    <x v="35"/>
    <x v="1"/>
    <m/>
    <x v="16"/>
    <n v="1869.81"/>
    <x v="0"/>
    <x v="0"/>
  </r>
  <r>
    <x v="11"/>
    <x v="11"/>
    <x v="11"/>
    <x v="0"/>
    <m/>
    <x v="17"/>
    <n v="-38"/>
    <x v="0"/>
    <x v="0"/>
  </r>
  <r>
    <x v="11"/>
    <x v="11"/>
    <x v="11"/>
    <x v="1"/>
    <m/>
    <x v="17"/>
    <n v="-1103.82"/>
    <x v="0"/>
    <x v="0"/>
  </r>
  <r>
    <x v="34"/>
    <x v="34"/>
    <x v="32"/>
    <x v="0"/>
    <m/>
    <x v="17"/>
    <n v="-129.19999999999999"/>
    <x v="0"/>
    <x v="0"/>
  </r>
  <r>
    <x v="34"/>
    <x v="34"/>
    <x v="32"/>
    <x v="1"/>
    <m/>
    <x v="17"/>
    <n v="-4380.6899999999996"/>
    <x v="0"/>
    <x v="0"/>
  </r>
  <r>
    <x v="37"/>
    <x v="37"/>
    <x v="35"/>
    <x v="0"/>
    <m/>
    <x v="17"/>
    <n v="-98.8"/>
    <x v="0"/>
    <x v="0"/>
  </r>
  <r>
    <x v="37"/>
    <x v="37"/>
    <x v="35"/>
    <x v="1"/>
    <m/>
    <x v="17"/>
    <n v="-1869.81"/>
    <x v="0"/>
    <x v="0"/>
  </r>
  <r>
    <x v="13"/>
    <x v="13"/>
    <x v="13"/>
    <x v="0"/>
    <m/>
    <x v="18"/>
    <n v="-4.3"/>
    <x v="0"/>
    <x v="0"/>
  </r>
  <r>
    <x v="13"/>
    <x v="13"/>
    <x v="13"/>
    <x v="1"/>
    <m/>
    <x v="18"/>
    <n v="-74.2"/>
    <x v="0"/>
    <x v="0"/>
  </r>
  <r>
    <x v="14"/>
    <x v="14"/>
    <x v="14"/>
    <x v="0"/>
    <m/>
    <x v="18"/>
    <n v="-83.6"/>
    <x v="0"/>
    <x v="0"/>
  </r>
  <r>
    <x v="14"/>
    <x v="14"/>
    <x v="14"/>
    <x v="1"/>
    <m/>
    <x v="18"/>
    <n v="-2058.19"/>
    <x v="0"/>
    <x v="0"/>
  </r>
  <r>
    <x v="24"/>
    <x v="24"/>
    <x v="7"/>
    <x v="0"/>
    <m/>
    <x v="18"/>
    <n v="-7"/>
    <x v="0"/>
    <x v="0"/>
  </r>
  <r>
    <x v="24"/>
    <x v="24"/>
    <x v="7"/>
    <x v="1"/>
    <m/>
    <x v="18"/>
    <n v="-45.74"/>
    <x v="0"/>
    <x v="0"/>
  </r>
  <r>
    <x v="46"/>
    <x v="46"/>
    <x v="44"/>
    <x v="0"/>
    <m/>
    <x v="18"/>
    <n v="-133"/>
    <x v="0"/>
    <x v="0"/>
  </r>
  <r>
    <x v="46"/>
    <x v="46"/>
    <x v="44"/>
    <x v="1"/>
    <m/>
    <x v="18"/>
    <n v="-1025.97"/>
    <x v="0"/>
    <x v="0"/>
  </r>
  <r>
    <x v="52"/>
    <x v="51"/>
    <x v="50"/>
    <x v="0"/>
    <m/>
    <x v="18"/>
    <n v="-38"/>
    <x v="0"/>
    <x v="0"/>
  </r>
  <r>
    <x v="52"/>
    <x v="51"/>
    <x v="50"/>
    <x v="1"/>
    <m/>
    <x v="18"/>
    <n v="-1538.43"/>
    <x v="0"/>
    <x v="0"/>
  </r>
  <r>
    <x v="16"/>
    <x v="16"/>
    <x v="16"/>
    <x v="0"/>
    <m/>
    <x v="19"/>
    <n v="-129.19"/>
    <x v="0"/>
    <x v="0"/>
  </r>
  <r>
    <x v="16"/>
    <x v="16"/>
    <x v="16"/>
    <x v="1"/>
    <m/>
    <x v="19"/>
    <n v="-2251.2800000000002"/>
    <x v="0"/>
    <x v="0"/>
  </r>
  <r>
    <x v="16"/>
    <x v="16"/>
    <x v="16"/>
    <x v="0"/>
    <m/>
    <x v="20"/>
    <n v="-12.16"/>
    <x v="2"/>
    <x v="0"/>
  </r>
  <r>
    <x v="30"/>
    <x v="30"/>
    <x v="28"/>
    <x v="0"/>
    <m/>
    <x v="20"/>
    <n v="-38"/>
    <x v="2"/>
    <x v="0"/>
  </r>
  <r>
    <x v="40"/>
    <x v="40"/>
    <x v="38"/>
    <x v="0"/>
    <m/>
    <x v="20"/>
    <n v="-30.4"/>
    <x v="2"/>
    <x v="0"/>
  </r>
  <r>
    <x v="27"/>
    <x v="27"/>
    <x v="26"/>
    <x v="0"/>
    <m/>
    <x v="21"/>
    <n v="-21"/>
    <x v="0"/>
    <x v="0"/>
  </r>
  <r>
    <x v="27"/>
    <x v="27"/>
    <x v="26"/>
    <x v="1"/>
    <m/>
    <x v="21"/>
    <n v="-91.35"/>
    <x v="0"/>
    <x v="0"/>
  </r>
  <r>
    <x v="27"/>
    <x v="27"/>
    <x v="26"/>
    <x v="0"/>
    <m/>
    <x v="22"/>
    <n v="-25.67"/>
    <x v="0"/>
    <x v="0"/>
  </r>
  <r>
    <x v="27"/>
    <x v="27"/>
    <x v="26"/>
    <x v="1"/>
    <m/>
    <x v="22"/>
    <n v="-111.66"/>
    <x v="0"/>
    <x v="0"/>
  </r>
  <r>
    <x v="39"/>
    <x v="39"/>
    <x v="37"/>
    <x v="0"/>
    <m/>
    <x v="22"/>
    <n v="-81.069999999999993"/>
    <x v="0"/>
    <x v="0"/>
  </r>
  <r>
    <x v="39"/>
    <x v="39"/>
    <x v="37"/>
    <x v="1"/>
    <m/>
    <x v="22"/>
    <n v="-1398.86"/>
    <x v="0"/>
    <x v="0"/>
  </r>
  <r>
    <x v="43"/>
    <x v="43"/>
    <x v="41"/>
    <x v="0"/>
    <m/>
    <x v="22"/>
    <n v="-60.8"/>
    <x v="0"/>
    <x v="0"/>
  </r>
  <r>
    <x v="43"/>
    <x v="43"/>
    <x v="41"/>
    <x v="1"/>
    <m/>
    <x v="22"/>
    <n v="-1697.12"/>
    <x v="0"/>
    <x v="0"/>
  </r>
  <r>
    <x v="44"/>
    <x v="44"/>
    <x v="42"/>
    <x v="0"/>
    <m/>
    <x v="23"/>
    <n v="-136.80000000000001"/>
    <x v="0"/>
    <x v="0"/>
  </r>
  <r>
    <x v="44"/>
    <x v="44"/>
    <x v="42"/>
    <x v="1"/>
    <m/>
    <x v="23"/>
    <n v="-3956.97"/>
    <x v="0"/>
    <x v="0"/>
  </r>
  <r>
    <x v="44"/>
    <x v="44"/>
    <x v="42"/>
    <x v="0"/>
    <m/>
    <x v="24"/>
    <n v="4763.12"/>
    <x v="0"/>
    <x v="0"/>
  </r>
  <r>
    <x v="44"/>
    <x v="44"/>
    <x v="42"/>
    <x v="1"/>
    <m/>
    <x v="24"/>
    <n v="4763.12"/>
    <x v="0"/>
    <x v="0"/>
  </r>
  <r>
    <x v="44"/>
    <x v="44"/>
    <x v="42"/>
    <x v="0"/>
    <m/>
    <x v="25"/>
    <n v="13483.21"/>
    <x v="0"/>
    <x v="0"/>
  </r>
  <r>
    <x v="44"/>
    <x v="44"/>
    <x v="42"/>
    <x v="1"/>
    <m/>
    <x v="25"/>
    <n v="13483.21"/>
    <x v="0"/>
    <x v="0"/>
  </r>
  <r>
    <x v="3"/>
    <x v="3"/>
    <x v="3"/>
    <x v="0"/>
    <m/>
    <x v="26"/>
    <n v="-12.67"/>
    <x v="0"/>
    <x v="0"/>
  </r>
  <r>
    <x v="3"/>
    <x v="3"/>
    <x v="3"/>
    <x v="1"/>
    <m/>
    <x v="26"/>
    <n v="-282.76"/>
    <x v="1"/>
    <x v="1"/>
  </r>
  <r>
    <x v="4"/>
    <x v="4"/>
    <x v="4"/>
    <x v="0"/>
    <m/>
    <x v="26"/>
    <n v="-608.01"/>
    <x v="0"/>
    <x v="0"/>
  </r>
  <r>
    <x v="4"/>
    <x v="4"/>
    <x v="4"/>
    <x v="1"/>
    <m/>
    <x v="26"/>
    <n v="-6857.79"/>
    <x v="1"/>
    <x v="1"/>
  </r>
  <r>
    <x v="5"/>
    <x v="5"/>
    <x v="5"/>
    <x v="0"/>
    <m/>
    <x v="26"/>
    <n v="-15.2"/>
    <x v="0"/>
    <x v="0"/>
  </r>
  <r>
    <x v="6"/>
    <x v="6"/>
    <x v="6"/>
    <x v="0"/>
    <m/>
    <x v="26"/>
    <n v="-30.4"/>
    <x v="0"/>
    <x v="0"/>
  </r>
  <r>
    <x v="7"/>
    <x v="7"/>
    <x v="7"/>
    <x v="0"/>
    <m/>
    <x v="26"/>
    <n v="-554.80999999999995"/>
    <x v="0"/>
    <x v="0"/>
  </r>
  <r>
    <x v="7"/>
    <x v="7"/>
    <x v="7"/>
    <x v="1"/>
    <m/>
    <x v="26"/>
    <n v="-3898.18"/>
    <x v="1"/>
    <x v="1"/>
  </r>
  <r>
    <x v="9"/>
    <x v="9"/>
    <x v="9"/>
    <x v="0"/>
    <m/>
    <x v="26"/>
    <n v="-15.2"/>
    <x v="0"/>
    <x v="0"/>
  </r>
  <r>
    <x v="10"/>
    <x v="10"/>
    <x v="10"/>
    <x v="0"/>
    <m/>
    <x v="26"/>
    <n v="-134.27000000000001"/>
    <x v="0"/>
    <x v="0"/>
  </r>
  <r>
    <x v="10"/>
    <x v="10"/>
    <x v="10"/>
    <x v="1"/>
    <m/>
    <x v="26"/>
    <n v="-2242.6799999999998"/>
    <x v="1"/>
    <x v="1"/>
  </r>
  <r>
    <x v="11"/>
    <x v="11"/>
    <x v="11"/>
    <x v="0"/>
    <m/>
    <x v="26"/>
    <n v="-57"/>
    <x v="0"/>
    <x v="0"/>
  </r>
  <r>
    <x v="11"/>
    <x v="11"/>
    <x v="11"/>
    <x v="1"/>
    <m/>
    <x v="26"/>
    <n v="-509.7"/>
    <x v="1"/>
    <x v="1"/>
  </r>
  <r>
    <x v="12"/>
    <x v="12"/>
    <x v="12"/>
    <x v="0"/>
    <m/>
    <x v="26"/>
    <n v="-30.4"/>
    <x v="0"/>
    <x v="0"/>
  </r>
  <r>
    <x v="13"/>
    <x v="13"/>
    <x v="13"/>
    <x v="0"/>
    <m/>
    <x v="26"/>
    <n v="-39.770000000000003"/>
    <x v="0"/>
    <x v="0"/>
  </r>
  <r>
    <x v="13"/>
    <x v="13"/>
    <x v="13"/>
    <x v="1"/>
    <m/>
    <x v="26"/>
    <n v="-292.82"/>
    <x v="1"/>
    <x v="1"/>
  </r>
  <r>
    <x v="14"/>
    <x v="14"/>
    <x v="14"/>
    <x v="0"/>
    <m/>
    <x v="26"/>
    <n v="-473.74"/>
    <x v="0"/>
    <x v="0"/>
  </r>
  <r>
    <x v="14"/>
    <x v="14"/>
    <x v="14"/>
    <x v="1"/>
    <m/>
    <x v="26"/>
    <n v="-9068.9699999999993"/>
    <x v="1"/>
    <x v="1"/>
  </r>
  <r>
    <x v="15"/>
    <x v="15"/>
    <x v="15"/>
    <x v="0"/>
    <m/>
    <x v="26"/>
    <n v="-12.4"/>
    <x v="0"/>
    <x v="0"/>
  </r>
  <r>
    <x v="16"/>
    <x v="16"/>
    <x v="16"/>
    <x v="0"/>
    <m/>
    <x v="26"/>
    <n v="-426.86"/>
    <x v="0"/>
    <x v="0"/>
  </r>
  <r>
    <x v="16"/>
    <x v="16"/>
    <x v="16"/>
    <x v="1"/>
    <m/>
    <x v="26"/>
    <n v="-4393.1899999999996"/>
    <x v="1"/>
    <x v="1"/>
  </r>
  <r>
    <x v="18"/>
    <x v="18"/>
    <x v="18"/>
    <x v="0"/>
    <m/>
    <x v="26"/>
    <n v="-7.6"/>
    <x v="0"/>
    <x v="0"/>
  </r>
  <r>
    <x v="19"/>
    <x v="19"/>
    <x v="19"/>
    <x v="0"/>
    <m/>
    <x v="26"/>
    <n v="-126.67"/>
    <x v="0"/>
    <x v="0"/>
  </r>
  <r>
    <x v="19"/>
    <x v="19"/>
    <x v="19"/>
    <x v="1"/>
    <m/>
    <x v="26"/>
    <n v="-3846.18"/>
    <x v="1"/>
    <x v="1"/>
  </r>
  <r>
    <x v="20"/>
    <x v="20"/>
    <x v="20"/>
    <x v="0"/>
    <m/>
    <x v="26"/>
    <n v="-7.6"/>
    <x v="0"/>
    <x v="0"/>
  </r>
  <r>
    <x v="22"/>
    <x v="22"/>
    <x v="22"/>
    <x v="0"/>
    <m/>
    <x v="26"/>
    <n v="-187.47"/>
    <x v="0"/>
    <x v="0"/>
  </r>
  <r>
    <x v="22"/>
    <x v="22"/>
    <x v="22"/>
    <x v="1"/>
    <m/>
    <x v="26"/>
    <n v="-4702.1499999999996"/>
    <x v="1"/>
    <x v="1"/>
  </r>
  <r>
    <x v="24"/>
    <x v="24"/>
    <x v="7"/>
    <x v="0"/>
    <m/>
    <x v="26"/>
    <n v="-7"/>
    <x v="0"/>
    <x v="0"/>
  </r>
  <r>
    <x v="24"/>
    <x v="24"/>
    <x v="7"/>
    <x v="1"/>
    <m/>
    <x v="26"/>
    <n v="-45.74"/>
    <x v="1"/>
    <x v="1"/>
  </r>
  <r>
    <x v="26"/>
    <x v="26"/>
    <x v="25"/>
    <x v="0"/>
    <m/>
    <x v="26"/>
    <n v="-38"/>
    <x v="0"/>
    <x v="0"/>
  </r>
  <r>
    <x v="27"/>
    <x v="27"/>
    <x v="26"/>
    <x v="0"/>
    <m/>
    <x v="26"/>
    <n v="-65.34"/>
    <x v="0"/>
    <x v="0"/>
  </r>
  <r>
    <x v="27"/>
    <x v="27"/>
    <x v="26"/>
    <x v="1"/>
    <m/>
    <x v="26"/>
    <n v="-284.22000000000003"/>
    <x v="1"/>
    <x v="1"/>
  </r>
  <r>
    <x v="28"/>
    <x v="28"/>
    <x v="27"/>
    <x v="0"/>
    <m/>
    <x v="26"/>
    <n v="-88.67"/>
    <x v="0"/>
    <x v="0"/>
  </r>
  <r>
    <x v="28"/>
    <x v="28"/>
    <x v="27"/>
    <x v="1"/>
    <m/>
    <x v="26"/>
    <n v="-1731.52"/>
    <x v="1"/>
    <x v="1"/>
  </r>
  <r>
    <x v="32"/>
    <x v="32"/>
    <x v="30"/>
    <x v="0"/>
    <m/>
    <x v="26"/>
    <n v="-15.2"/>
    <x v="0"/>
    <x v="0"/>
  </r>
  <r>
    <x v="33"/>
    <x v="33"/>
    <x v="31"/>
    <x v="0"/>
    <m/>
    <x v="26"/>
    <n v="-38"/>
    <x v="0"/>
    <x v="0"/>
  </r>
  <r>
    <x v="33"/>
    <x v="33"/>
    <x v="31"/>
    <x v="1"/>
    <m/>
    <x v="26"/>
    <n v="19.350000000000001"/>
    <x v="1"/>
    <x v="1"/>
  </r>
  <r>
    <x v="34"/>
    <x v="34"/>
    <x v="32"/>
    <x v="0"/>
    <m/>
    <x v="26"/>
    <n v="-152"/>
    <x v="0"/>
    <x v="0"/>
  </r>
  <r>
    <x v="34"/>
    <x v="34"/>
    <x v="32"/>
    <x v="1"/>
    <m/>
    <x v="26"/>
    <n v="-2548.5"/>
    <x v="1"/>
    <x v="1"/>
  </r>
  <r>
    <x v="35"/>
    <x v="35"/>
    <x v="33"/>
    <x v="0"/>
    <m/>
    <x v="26"/>
    <n v="-7.6"/>
    <x v="0"/>
    <x v="0"/>
  </r>
  <r>
    <x v="37"/>
    <x v="37"/>
    <x v="35"/>
    <x v="0"/>
    <m/>
    <x v="26"/>
    <n v="-129.19999999999999"/>
    <x v="0"/>
    <x v="0"/>
  </r>
  <r>
    <x v="37"/>
    <x v="37"/>
    <x v="35"/>
    <x v="1"/>
    <m/>
    <x v="26"/>
    <n v="-1100.06"/>
    <x v="1"/>
    <x v="1"/>
  </r>
  <r>
    <x v="38"/>
    <x v="38"/>
    <x v="36"/>
    <x v="0"/>
    <m/>
    <x v="26"/>
    <n v="-22.8"/>
    <x v="0"/>
    <x v="0"/>
  </r>
  <r>
    <x v="38"/>
    <x v="38"/>
    <x v="36"/>
    <x v="1"/>
    <m/>
    <x v="26"/>
    <n v="-106.62"/>
    <x v="1"/>
    <x v="1"/>
  </r>
  <r>
    <x v="39"/>
    <x v="39"/>
    <x v="37"/>
    <x v="0"/>
    <m/>
    <x v="26"/>
    <n v="-81.069999999999993"/>
    <x v="0"/>
    <x v="0"/>
  </r>
  <r>
    <x v="39"/>
    <x v="39"/>
    <x v="37"/>
    <x v="1"/>
    <m/>
    <x v="26"/>
    <n v="-1398.86"/>
    <x v="1"/>
    <x v="1"/>
  </r>
  <r>
    <x v="43"/>
    <x v="43"/>
    <x v="41"/>
    <x v="0"/>
    <m/>
    <x v="26"/>
    <n v="-164.67"/>
    <x v="0"/>
    <x v="0"/>
  </r>
  <r>
    <x v="43"/>
    <x v="43"/>
    <x v="41"/>
    <x v="1"/>
    <m/>
    <x v="26"/>
    <n v="-4596.46"/>
    <x v="1"/>
    <x v="1"/>
  </r>
  <r>
    <x v="44"/>
    <x v="44"/>
    <x v="42"/>
    <x v="0"/>
    <m/>
    <x v="26"/>
    <n v="-674.38"/>
    <x v="0"/>
    <x v="0"/>
  </r>
  <r>
    <x v="44"/>
    <x v="44"/>
    <x v="42"/>
    <x v="1"/>
    <m/>
    <x v="26"/>
    <n v="-12348.78"/>
    <x v="1"/>
    <x v="1"/>
  </r>
  <r>
    <x v="46"/>
    <x v="46"/>
    <x v="44"/>
    <x v="0"/>
    <m/>
    <x v="26"/>
    <n v="-221.67"/>
    <x v="0"/>
    <x v="0"/>
  </r>
  <r>
    <x v="46"/>
    <x v="46"/>
    <x v="44"/>
    <x v="1"/>
    <m/>
    <x v="26"/>
    <n v="-1710.68"/>
    <x v="1"/>
    <x v="1"/>
  </r>
  <r>
    <x v="47"/>
    <x v="47"/>
    <x v="45"/>
    <x v="0"/>
    <m/>
    <x v="26"/>
    <n v="-111.47"/>
    <x v="0"/>
    <x v="0"/>
  </r>
  <r>
    <x v="47"/>
    <x v="47"/>
    <x v="45"/>
    <x v="1"/>
    <m/>
    <x v="26"/>
    <n v="-2425.67"/>
    <x v="1"/>
    <x v="1"/>
  </r>
  <r>
    <x v="48"/>
    <x v="48"/>
    <x v="46"/>
    <x v="0"/>
    <m/>
    <x v="26"/>
    <n v="-21"/>
    <x v="0"/>
    <x v="0"/>
  </r>
  <r>
    <x v="48"/>
    <x v="48"/>
    <x v="46"/>
    <x v="1"/>
    <m/>
    <x v="26"/>
    <n v="-137.21"/>
    <x v="1"/>
    <x v="1"/>
  </r>
  <r>
    <x v="49"/>
    <x v="49"/>
    <x v="47"/>
    <x v="0"/>
    <m/>
    <x v="26"/>
    <n v="-7.6"/>
    <x v="0"/>
    <x v="0"/>
  </r>
  <r>
    <x v="50"/>
    <x v="49"/>
    <x v="48"/>
    <x v="0"/>
    <m/>
    <x v="26"/>
    <n v="-15.2"/>
    <x v="0"/>
    <x v="0"/>
  </r>
  <r>
    <x v="50"/>
    <x v="49"/>
    <x v="48"/>
    <x v="1"/>
    <m/>
    <x v="26"/>
    <n v="6.45"/>
    <x v="1"/>
    <x v="1"/>
  </r>
  <r>
    <x v="51"/>
    <x v="50"/>
    <x v="49"/>
    <x v="0"/>
    <m/>
    <x v="26"/>
    <n v="-88.67"/>
    <x v="0"/>
    <x v="0"/>
  </r>
  <r>
    <x v="51"/>
    <x v="50"/>
    <x v="49"/>
    <x v="1"/>
    <m/>
    <x v="26"/>
    <n v="-1473.78"/>
    <x v="1"/>
    <x v="1"/>
  </r>
  <r>
    <x v="52"/>
    <x v="51"/>
    <x v="50"/>
    <x v="0"/>
    <m/>
    <x v="26"/>
    <n v="-38"/>
    <x v="0"/>
    <x v="0"/>
  </r>
  <r>
    <x v="52"/>
    <x v="51"/>
    <x v="50"/>
    <x v="1"/>
    <m/>
    <x v="26"/>
    <n v="-1538.43"/>
    <x v="1"/>
    <x v="1"/>
  </r>
  <r>
    <x v="0"/>
    <x v="0"/>
    <x v="0"/>
    <x v="0"/>
    <m/>
    <x v="27"/>
    <n v="2"/>
    <x v="0"/>
    <x v="0"/>
  </r>
  <r>
    <x v="1"/>
    <x v="1"/>
    <x v="1"/>
    <x v="0"/>
    <m/>
    <x v="27"/>
    <n v="27"/>
    <x v="0"/>
    <x v="0"/>
  </r>
  <r>
    <x v="2"/>
    <x v="2"/>
    <x v="2"/>
    <x v="0"/>
    <m/>
    <x v="27"/>
    <n v="25.5"/>
    <x v="0"/>
    <x v="0"/>
  </r>
  <r>
    <x v="3"/>
    <x v="3"/>
    <x v="3"/>
    <x v="0"/>
    <m/>
    <x v="27"/>
    <n v="8.5"/>
    <x v="0"/>
    <x v="0"/>
  </r>
  <r>
    <x v="4"/>
    <x v="4"/>
    <x v="4"/>
    <x v="0"/>
    <m/>
    <x v="27"/>
    <n v="21.5"/>
    <x v="0"/>
    <x v="0"/>
  </r>
  <r>
    <x v="5"/>
    <x v="5"/>
    <x v="5"/>
    <x v="0"/>
    <m/>
    <x v="27"/>
    <n v="26.5"/>
    <x v="0"/>
    <x v="0"/>
  </r>
  <r>
    <x v="6"/>
    <x v="6"/>
    <x v="6"/>
    <x v="0"/>
    <m/>
    <x v="27"/>
    <n v="28.5"/>
    <x v="0"/>
    <x v="0"/>
  </r>
  <r>
    <x v="7"/>
    <x v="7"/>
    <x v="7"/>
    <x v="0"/>
    <m/>
    <x v="27"/>
    <n v="27"/>
    <x v="0"/>
    <x v="0"/>
  </r>
  <r>
    <x v="9"/>
    <x v="9"/>
    <x v="9"/>
    <x v="0"/>
    <m/>
    <x v="27"/>
    <n v="29"/>
    <x v="0"/>
    <x v="0"/>
  </r>
  <r>
    <x v="10"/>
    <x v="10"/>
    <x v="10"/>
    <x v="0"/>
    <m/>
    <x v="27"/>
    <n v="21"/>
    <x v="0"/>
    <x v="0"/>
  </r>
  <r>
    <x v="11"/>
    <x v="11"/>
    <x v="11"/>
    <x v="0"/>
    <m/>
    <x v="27"/>
    <n v="22"/>
    <x v="0"/>
    <x v="0"/>
  </r>
  <r>
    <x v="12"/>
    <x v="12"/>
    <x v="12"/>
    <x v="0"/>
    <m/>
    <x v="27"/>
    <n v="27.5"/>
    <x v="0"/>
    <x v="0"/>
  </r>
  <r>
    <x v="13"/>
    <x v="13"/>
    <x v="13"/>
    <x v="0"/>
    <m/>
    <x v="27"/>
    <n v="22.5"/>
    <x v="0"/>
    <x v="0"/>
  </r>
  <r>
    <x v="14"/>
    <x v="14"/>
    <x v="14"/>
    <x v="0"/>
    <m/>
    <x v="27"/>
    <n v="33"/>
    <x v="0"/>
    <x v="0"/>
  </r>
  <r>
    <x v="15"/>
    <x v="15"/>
    <x v="15"/>
    <x v="0"/>
    <m/>
    <x v="27"/>
    <n v="24.5"/>
    <x v="0"/>
    <x v="0"/>
  </r>
  <r>
    <x v="16"/>
    <x v="16"/>
    <x v="16"/>
    <x v="0"/>
    <m/>
    <x v="27"/>
    <n v="25.5"/>
    <x v="0"/>
    <x v="0"/>
  </r>
  <r>
    <x v="17"/>
    <x v="17"/>
    <x v="17"/>
    <x v="0"/>
    <m/>
    <x v="27"/>
    <n v="5"/>
    <x v="0"/>
    <x v="0"/>
  </r>
  <r>
    <x v="18"/>
    <x v="18"/>
    <x v="18"/>
    <x v="0"/>
    <m/>
    <x v="27"/>
    <n v="30"/>
    <x v="0"/>
    <x v="0"/>
  </r>
  <r>
    <x v="19"/>
    <x v="19"/>
    <x v="19"/>
    <x v="0"/>
    <m/>
    <x v="27"/>
    <n v="20"/>
    <x v="0"/>
    <x v="0"/>
  </r>
  <r>
    <x v="20"/>
    <x v="20"/>
    <x v="20"/>
    <x v="0"/>
    <m/>
    <x v="27"/>
    <n v="25"/>
    <x v="0"/>
    <x v="0"/>
  </r>
  <r>
    <x v="21"/>
    <x v="21"/>
    <x v="21"/>
    <x v="0"/>
    <m/>
    <x v="27"/>
    <n v="30"/>
    <x v="0"/>
    <x v="0"/>
  </r>
  <r>
    <x v="22"/>
    <x v="22"/>
    <x v="22"/>
    <x v="0"/>
    <m/>
    <x v="27"/>
    <n v="10"/>
    <x v="0"/>
    <x v="0"/>
  </r>
  <r>
    <x v="23"/>
    <x v="23"/>
    <x v="23"/>
    <x v="0"/>
    <m/>
    <x v="27"/>
    <n v="22.5"/>
    <x v="0"/>
    <x v="0"/>
  </r>
  <r>
    <x v="24"/>
    <x v="24"/>
    <x v="7"/>
    <x v="0"/>
    <m/>
    <x v="27"/>
    <n v="20"/>
    <x v="0"/>
    <x v="0"/>
  </r>
  <r>
    <x v="25"/>
    <x v="25"/>
    <x v="24"/>
    <x v="0"/>
    <m/>
    <x v="27"/>
    <n v="27.5"/>
    <x v="0"/>
    <x v="0"/>
  </r>
  <r>
    <x v="26"/>
    <x v="26"/>
    <x v="25"/>
    <x v="0"/>
    <m/>
    <x v="27"/>
    <n v="26"/>
    <x v="0"/>
    <x v="0"/>
  </r>
  <r>
    <x v="28"/>
    <x v="28"/>
    <x v="27"/>
    <x v="0"/>
    <m/>
    <x v="27"/>
    <n v="5.5"/>
    <x v="0"/>
    <x v="0"/>
  </r>
  <r>
    <x v="29"/>
    <x v="29"/>
    <x v="6"/>
    <x v="0"/>
    <m/>
    <x v="27"/>
    <n v="24"/>
    <x v="0"/>
    <x v="0"/>
  </r>
  <r>
    <x v="30"/>
    <x v="30"/>
    <x v="28"/>
    <x v="0"/>
    <m/>
    <x v="27"/>
    <n v="23"/>
    <x v="0"/>
    <x v="0"/>
  </r>
  <r>
    <x v="31"/>
    <x v="31"/>
    <x v="29"/>
    <x v="0"/>
    <m/>
    <x v="27"/>
    <n v="21.5"/>
    <x v="0"/>
    <x v="0"/>
  </r>
  <r>
    <x v="32"/>
    <x v="32"/>
    <x v="30"/>
    <x v="0"/>
    <m/>
    <x v="27"/>
    <n v="28"/>
    <x v="0"/>
    <x v="0"/>
  </r>
  <r>
    <x v="33"/>
    <x v="33"/>
    <x v="31"/>
    <x v="0"/>
    <m/>
    <x v="27"/>
    <n v="32"/>
    <x v="0"/>
    <x v="0"/>
  </r>
  <r>
    <x v="34"/>
    <x v="34"/>
    <x v="32"/>
    <x v="0"/>
    <m/>
    <x v="27"/>
    <n v="18.5"/>
    <x v="0"/>
    <x v="0"/>
  </r>
  <r>
    <x v="35"/>
    <x v="35"/>
    <x v="33"/>
    <x v="0"/>
    <m/>
    <x v="27"/>
    <n v="35"/>
    <x v="0"/>
    <x v="0"/>
  </r>
  <r>
    <x v="36"/>
    <x v="36"/>
    <x v="34"/>
    <x v="0"/>
    <m/>
    <x v="27"/>
    <n v="1"/>
    <x v="0"/>
    <x v="0"/>
  </r>
  <r>
    <x v="37"/>
    <x v="37"/>
    <x v="35"/>
    <x v="0"/>
    <m/>
    <x v="27"/>
    <n v="32"/>
    <x v="0"/>
    <x v="0"/>
  </r>
  <r>
    <x v="38"/>
    <x v="38"/>
    <x v="36"/>
    <x v="0"/>
    <m/>
    <x v="27"/>
    <n v="24"/>
    <x v="0"/>
    <x v="0"/>
  </r>
  <r>
    <x v="39"/>
    <x v="39"/>
    <x v="37"/>
    <x v="0"/>
    <m/>
    <x v="27"/>
    <n v="3.5"/>
    <x v="0"/>
    <x v="0"/>
  </r>
  <r>
    <x v="40"/>
    <x v="40"/>
    <x v="38"/>
    <x v="0"/>
    <m/>
    <x v="27"/>
    <n v="26.5"/>
    <x v="0"/>
    <x v="0"/>
  </r>
  <r>
    <x v="41"/>
    <x v="41"/>
    <x v="39"/>
    <x v="0"/>
    <m/>
    <x v="27"/>
    <n v="27.5"/>
    <x v="0"/>
    <x v="0"/>
  </r>
  <r>
    <x v="42"/>
    <x v="42"/>
    <x v="40"/>
    <x v="0"/>
    <m/>
    <x v="27"/>
    <n v="17.5"/>
    <x v="0"/>
    <x v="0"/>
  </r>
  <r>
    <x v="43"/>
    <x v="43"/>
    <x v="41"/>
    <x v="0"/>
    <m/>
    <x v="27"/>
    <n v="12.5"/>
    <x v="0"/>
    <x v="0"/>
  </r>
  <r>
    <x v="44"/>
    <x v="44"/>
    <x v="42"/>
    <x v="0"/>
    <m/>
    <x v="27"/>
    <n v="23"/>
    <x v="0"/>
    <x v="0"/>
  </r>
  <r>
    <x v="45"/>
    <x v="45"/>
    <x v="43"/>
    <x v="0"/>
    <m/>
    <x v="27"/>
    <n v="30"/>
    <x v="0"/>
    <x v="0"/>
  </r>
  <r>
    <x v="46"/>
    <x v="46"/>
    <x v="44"/>
    <x v="0"/>
    <m/>
    <x v="27"/>
    <n v="25"/>
    <x v="0"/>
    <x v="0"/>
  </r>
  <r>
    <x v="47"/>
    <x v="47"/>
    <x v="45"/>
    <x v="0"/>
    <m/>
    <x v="27"/>
    <n v="30"/>
    <x v="0"/>
    <x v="0"/>
  </r>
  <r>
    <x v="48"/>
    <x v="48"/>
    <x v="46"/>
    <x v="0"/>
    <m/>
    <x v="27"/>
    <n v="20"/>
    <x v="0"/>
    <x v="0"/>
  </r>
  <r>
    <x v="49"/>
    <x v="49"/>
    <x v="47"/>
    <x v="0"/>
    <m/>
    <x v="27"/>
    <n v="3"/>
    <x v="0"/>
    <x v="0"/>
  </r>
  <r>
    <x v="50"/>
    <x v="49"/>
    <x v="48"/>
    <x v="0"/>
    <m/>
    <x v="27"/>
    <n v="30.5"/>
    <x v="0"/>
    <x v="0"/>
  </r>
  <r>
    <x v="51"/>
    <x v="50"/>
    <x v="49"/>
    <x v="0"/>
    <m/>
    <x v="27"/>
    <n v="7.5"/>
    <x v="0"/>
    <x v="0"/>
  </r>
  <r>
    <x v="52"/>
    <x v="51"/>
    <x v="50"/>
    <x v="0"/>
    <m/>
    <x v="27"/>
    <n v="5.5"/>
    <x v="0"/>
    <x v="0"/>
  </r>
  <r>
    <x v="53"/>
    <x v="52"/>
    <x v="48"/>
    <x v="0"/>
    <m/>
    <x v="27"/>
    <n v="25"/>
    <x v="0"/>
    <x v="0"/>
  </r>
  <r>
    <x v="0"/>
    <x v="0"/>
    <x v="0"/>
    <x v="0"/>
    <m/>
    <x v="28"/>
    <n v="8.33"/>
    <x v="0"/>
    <x v="0"/>
  </r>
  <r>
    <x v="1"/>
    <x v="1"/>
    <x v="1"/>
    <x v="0"/>
    <m/>
    <x v="28"/>
    <n v="25.01"/>
    <x v="0"/>
    <x v="0"/>
  </r>
  <r>
    <x v="2"/>
    <x v="2"/>
    <x v="2"/>
    <x v="0"/>
    <m/>
    <x v="28"/>
    <n v="25"/>
    <x v="0"/>
    <x v="0"/>
  </r>
  <r>
    <x v="3"/>
    <x v="3"/>
    <x v="3"/>
    <x v="0"/>
    <m/>
    <x v="28"/>
    <n v="6.11"/>
    <x v="0"/>
    <x v="0"/>
  </r>
  <r>
    <x v="4"/>
    <x v="4"/>
    <x v="4"/>
    <x v="0"/>
    <m/>
    <x v="28"/>
    <n v="13.4"/>
    <x v="0"/>
    <x v="0"/>
  </r>
  <r>
    <x v="5"/>
    <x v="5"/>
    <x v="5"/>
    <x v="0"/>
    <m/>
    <x v="28"/>
    <n v="25"/>
    <x v="0"/>
    <x v="0"/>
  </r>
  <r>
    <x v="6"/>
    <x v="6"/>
    <x v="6"/>
    <x v="0"/>
    <m/>
    <x v="28"/>
    <n v="25"/>
    <x v="0"/>
    <x v="0"/>
  </r>
  <r>
    <x v="7"/>
    <x v="7"/>
    <x v="7"/>
    <x v="0"/>
    <m/>
    <x v="28"/>
    <n v="24.99"/>
    <x v="0"/>
    <x v="0"/>
  </r>
  <r>
    <x v="9"/>
    <x v="9"/>
    <x v="9"/>
    <x v="0"/>
    <m/>
    <x v="28"/>
    <n v="24.99"/>
    <x v="0"/>
    <x v="0"/>
  </r>
  <r>
    <x v="10"/>
    <x v="10"/>
    <x v="10"/>
    <x v="0"/>
    <m/>
    <x v="28"/>
    <n v="25"/>
    <x v="0"/>
    <x v="0"/>
  </r>
  <r>
    <x v="11"/>
    <x v="11"/>
    <x v="11"/>
    <x v="0"/>
    <m/>
    <x v="28"/>
    <n v="24.99"/>
    <x v="0"/>
    <x v="0"/>
  </r>
  <r>
    <x v="12"/>
    <x v="12"/>
    <x v="12"/>
    <x v="0"/>
    <m/>
    <x v="28"/>
    <n v="25"/>
    <x v="0"/>
    <x v="0"/>
  </r>
  <r>
    <x v="13"/>
    <x v="13"/>
    <x v="13"/>
    <x v="0"/>
    <m/>
    <x v="28"/>
    <n v="18.48"/>
    <x v="0"/>
    <x v="0"/>
  </r>
  <r>
    <x v="14"/>
    <x v="14"/>
    <x v="14"/>
    <x v="0"/>
    <m/>
    <x v="28"/>
    <n v="25"/>
    <x v="0"/>
    <x v="0"/>
  </r>
  <r>
    <x v="15"/>
    <x v="15"/>
    <x v="15"/>
    <x v="0"/>
    <m/>
    <x v="28"/>
    <n v="25"/>
    <x v="0"/>
    <x v="0"/>
  </r>
  <r>
    <x v="16"/>
    <x v="16"/>
    <x v="16"/>
    <x v="0"/>
    <m/>
    <x v="28"/>
    <n v="24.99"/>
    <x v="0"/>
    <x v="0"/>
  </r>
  <r>
    <x v="17"/>
    <x v="17"/>
    <x v="17"/>
    <x v="0"/>
    <m/>
    <x v="28"/>
    <n v="8.33"/>
    <x v="0"/>
    <x v="0"/>
  </r>
  <r>
    <x v="18"/>
    <x v="18"/>
    <x v="18"/>
    <x v="0"/>
    <m/>
    <x v="28"/>
    <n v="25"/>
    <x v="0"/>
    <x v="0"/>
  </r>
  <r>
    <x v="19"/>
    <x v="19"/>
    <x v="19"/>
    <x v="0"/>
    <m/>
    <x v="28"/>
    <n v="25"/>
    <x v="0"/>
    <x v="0"/>
  </r>
  <r>
    <x v="20"/>
    <x v="20"/>
    <x v="20"/>
    <x v="0"/>
    <m/>
    <x v="28"/>
    <n v="25"/>
    <x v="0"/>
    <x v="0"/>
  </r>
  <r>
    <x v="21"/>
    <x v="21"/>
    <x v="21"/>
    <x v="0"/>
    <m/>
    <x v="28"/>
    <n v="25"/>
    <x v="0"/>
    <x v="0"/>
  </r>
  <r>
    <x v="22"/>
    <x v="22"/>
    <x v="22"/>
    <x v="0"/>
    <m/>
    <x v="28"/>
    <n v="8.1999999999999993"/>
    <x v="0"/>
    <x v="0"/>
  </r>
  <r>
    <x v="23"/>
    <x v="23"/>
    <x v="23"/>
    <x v="0"/>
    <m/>
    <x v="28"/>
    <n v="25"/>
    <x v="0"/>
    <x v="0"/>
  </r>
  <r>
    <x v="24"/>
    <x v="24"/>
    <x v="7"/>
    <x v="0"/>
    <m/>
    <x v="28"/>
    <n v="16.59"/>
    <x v="0"/>
    <x v="0"/>
  </r>
  <r>
    <x v="25"/>
    <x v="25"/>
    <x v="24"/>
    <x v="0"/>
    <m/>
    <x v="28"/>
    <n v="25"/>
    <x v="0"/>
    <x v="0"/>
  </r>
  <r>
    <x v="26"/>
    <x v="26"/>
    <x v="25"/>
    <x v="0"/>
    <m/>
    <x v="28"/>
    <n v="25"/>
    <x v="0"/>
    <x v="0"/>
  </r>
  <r>
    <x v="28"/>
    <x v="28"/>
    <x v="27"/>
    <x v="0"/>
    <m/>
    <x v="28"/>
    <n v="5.14"/>
    <x v="0"/>
    <x v="0"/>
  </r>
  <r>
    <x v="29"/>
    <x v="29"/>
    <x v="6"/>
    <x v="0"/>
    <m/>
    <x v="28"/>
    <n v="25"/>
    <x v="0"/>
    <x v="0"/>
  </r>
  <r>
    <x v="30"/>
    <x v="30"/>
    <x v="28"/>
    <x v="0"/>
    <m/>
    <x v="28"/>
    <n v="25.01"/>
    <x v="0"/>
    <x v="0"/>
  </r>
  <r>
    <x v="31"/>
    <x v="31"/>
    <x v="29"/>
    <x v="0"/>
    <m/>
    <x v="28"/>
    <n v="25"/>
    <x v="0"/>
    <x v="0"/>
  </r>
  <r>
    <x v="32"/>
    <x v="32"/>
    <x v="30"/>
    <x v="0"/>
    <m/>
    <x v="28"/>
    <n v="25"/>
    <x v="0"/>
    <x v="0"/>
  </r>
  <r>
    <x v="33"/>
    <x v="33"/>
    <x v="31"/>
    <x v="0"/>
    <m/>
    <x v="28"/>
    <n v="24.99"/>
    <x v="0"/>
    <x v="0"/>
  </r>
  <r>
    <x v="34"/>
    <x v="34"/>
    <x v="32"/>
    <x v="0"/>
    <m/>
    <x v="28"/>
    <n v="25"/>
    <x v="0"/>
    <x v="0"/>
  </r>
  <r>
    <x v="35"/>
    <x v="35"/>
    <x v="33"/>
    <x v="0"/>
    <m/>
    <x v="28"/>
    <n v="25"/>
    <x v="0"/>
    <x v="0"/>
  </r>
  <r>
    <x v="36"/>
    <x v="36"/>
    <x v="34"/>
    <x v="0"/>
    <m/>
    <x v="28"/>
    <n v="8.33"/>
    <x v="0"/>
    <x v="0"/>
  </r>
  <r>
    <x v="37"/>
    <x v="37"/>
    <x v="35"/>
    <x v="0"/>
    <m/>
    <x v="28"/>
    <n v="24.99"/>
    <x v="0"/>
    <x v="0"/>
  </r>
  <r>
    <x v="38"/>
    <x v="38"/>
    <x v="36"/>
    <x v="0"/>
    <m/>
    <x v="28"/>
    <n v="25"/>
    <x v="0"/>
    <x v="0"/>
  </r>
  <r>
    <x v="39"/>
    <x v="39"/>
    <x v="37"/>
    <x v="0"/>
    <m/>
    <x v="28"/>
    <n v="13.54"/>
    <x v="0"/>
    <x v="0"/>
  </r>
  <r>
    <x v="40"/>
    <x v="40"/>
    <x v="38"/>
    <x v="0"/>
    <m/>
    <x v="28"/>
    <n v="25"/>
    <x v="0"/>
    <x v="0"/>
  </r>
  <r>
    <x v="41"/>
    <x v="41"/>
    <x v="39"/>
    <x v="0"/>
    <m/>
    <x v="28"/>
    <n v="25"/>
    <x v="0"/>
    <x v="0"/>
  </r>
  <r>
    <x v="42"/>
    <x v="42"/>
    <x v="40"/>
    <x v="0"/>
    <m/>
    <x v="28"/>
    <n v="25"/>
    <x v="0"/>
    <x v="0"/>
  </r>
  <r>
    <x v="43"/>
    <x v="43"/>
    <x v="41"/>
    <x v="0"/>
    <m/>
    <x v="28"/>
    <n v="24.75"/>
    <x v="0"/>
    <x v="0"/>
  </r>
  <r>
    <x v="44"/>
    <x v="44"/>
    <x v="42"/>
    <x v="0"/>
    <m/>
    <x v="28"/>
    <n v="25"/>
    <x v="0"/>
    <x v="0"/>
  </r>
  <r>
    <x v="45"/>
    <x v="45"/>
    <x v="43"/>
    <x v="0"/>
    <m/>
    <x v="28"/>
    <n v="4.16"/>
    <x v="0"/>
    <x v="0"/>
  </r>
  <r>
    <x v="46"/>
    <x v="46"/>
    <x v="44"/>
    <x v="0"/>
    <m/>
    <x v="28"/>
    <n v="16.739999999999998"/>
    <x v="0"/>
    <x v="0"/>
  </r>
  <r>
    <x v="47"/>
    <x v="47"/>
    <x v="45"/>
    <x v="0"/>
    <m/>
    <x v="28"/>
    <n v="13.12"/>
    <x v="0"/>
    <x v="0"/>
  </r>
  <r>
    <x v="48"/>
    <x v="48"/>
    <x v="46"/>
    <x v="0"/>
    <m/>
    <x v="28"/>
    <n v="16.670000000000002"/>
    <x v="0"/>
    <x v="0"/>
  </r>
  <r>
    <x v="49"/>
    <x v="49"/>
    <x v="47"/>
    <x v="0"/>
    <m/>
    <x v="28"/>
    <n v="2.08"/>
    <x v="0"/>
    <x v="0"/>
  </r>
  <r>
    <x v="50"/>
    <x v="49"/>
    <x v="48"/>
    <x v="0"/>
    <m/>
    <x v="28"/>
    <n v="24.99"/>
    <x v="0"/>
    <x v="0"/>
  </r>
  <r>
    <x v="51"/>
    <x v="50"/>
    <x v="49"/>
    <x v="0"/>
    <m/>
    <x v="28"/>
    <n v="0.97"/>
    <x v="0"/>
    <x v="0"/>
  </r>
  <r>
    <x v="52"/>
    <x v="51"/>
    <x v="50"/>
    <x v="0"/>
    <m/>
    <x v="28"/>
    <n v="14.17"/>
    <x v="0"/>
    <x v="0"/>
  </r>
  <r>
    <x v="53"/>
    <x v="52"/>
    <x v="48"/>
    <x v="0"/>
    <m/>
    <x v="28"/>
    <n v="4.16"/>
    <x v="0"/>
    <x v="0"/>
  </r>
  <r>
    <x v="0"/>
    <x v="0"/>
    <x v="0"/>
    <x v="0"/>
    <m/>
    <x v="29"/>
    <n v="-2"/>
    <x v="3"/>
    <x v="0"/>
  </r>
  <r>
    <x v="0"/>
    <x v="0"/>
    <x v="0"/>
    <x v="1"/>
    <m/>
    <x v="29"/>
    <n v="-111.42"/>
    <x v="0"/>
    <x v="0"/>
  </r>
  <r>
    <x v="1"/>
    <x v="1"/>
    <x v="1"/>
    <x v="0"/>
    <m/>
    <x v="29"/>
    <n v="-27"/>
    <x v="3"/>
    <x v="0"/>
  </r>
  <r>
    <x v="1"/>
    <x v="1"/>
    <x v="1"/>
    <x v="1"/>
    <m/>
    <x v="29"/>
    <n v="-3862.48"/>
    <x v="0"/>
    <x v="0"/>
  </r>
  <r>
    <x v="2"/>
    <x v="2"/>
    <x v="2"/>
    <x v="0"/>
    <m/>
    <x v="29"/>
    <n v="-25.5"/>
    <x v="3"/>
    <x v="0"/>
  </r>
  <r>
    <x v="2"/>
    <x v="2"/>
    <x v="2"/>
    <x v="1"/>
    <m/>
    <x v="29"/>
    <n v="-5657.81"/>
    <x v="0"/>
    <x v="0"/>
  </r>
  <r>
    <x v="3"/>
    <x v="3"/>
    <x v="3"/>
    <x v="0"/>
    <m/>
    <x v="29"/>
    <n v="-4"/>
    <x v="3"/>
    <x v="0"/>
  </r>
  <r>
    <x v="3"/>
    <x v="3"/>
    <x v="3"/>
    <x v="1"/>
    <m/>
    <x v="29"/>
    <n v="-678.36"/>
    <x v="0"/>
    <x v="0"/>
  </r>
  <r>
    <x v="4"/>
    <x v="4"/>
    <x v="4"/>
    <x v="0"/>
    <m/>
    <x v="29"/>
    <n v="-5.5"/>
    <x v="3"/>
    <x v="0"/>
  </r>
  <r>
    <x v="4"/>
    <x v="4"/>
    <x v="4"/>
    <x v="1"/>
    <m/>
    <x v="29"/>
    <n v="-681.89"/>
    <x v="0"/>
    <x v="0"/>
  </r>
  <r>
    <x v="5"/>
    <x v="5"/>
    <x v="5"/>
    <x v="0"/>
    <m/>
    <x v="29"/>
    <n v="-26.5"/>
    <x v="3"/>
    <x v="0"/>
  </r>
  <r>
    <x v="5"/>
    <x v="5"/>
    <x v="5"/>
    <x v="1"/>
    <m/>
    <x v="29"/>
    <n v="-4518.2700000000004"/>
    <x v="0"/>
    <x v="0"/>
  </r>
  <r>
    <x v="6"/>
    <x v="6"/>
    <x v="6"/>
    <x v="0"/>
    <m/>
    <x v="29"/>
    <n v="-28.5"/>
    <x v="3"/>
    <x v="0"/>
  </r>
  <r>
    <x v="6"/>
    <x v="6"/>
    <x v="6"/>
    <x v="1"/>
    <m/>
    <x v="29"/>
    <n v="-6232.54"/>
    <x v="0"/>
    <x v="0"/>
  </r>
  <r>
    <x v="7"/>
    <x v="7"/>
    <x v="7"/>
    <x v="0"/>
    <m/>
    <x v="29"/>
    <n v="-27"/>
    <x v="3"/>
    <x v="0"/>
  </r>
  <r>
    <x v="7"/>
    <x v="7"/>
    <x v="7"/>
    <x v="1"/>
    <m/>
    <x v="29"/>
    <n v="-5811.63"/>
    <x v="0"/>
    <x v="0"/>
  </r>
  <r>
    <x v="9"/>
    <x v="9"/>
    <x v="9"/>
    <x v="0"/>
    <m/>
    <x v="29"/>
    <n v="-29"/>
    <x v="3"/>
    <x v="0"/>
  </r>
  <r>
    <x v="9"/>
    <x v="9"/>
    <x v="9"/>
    <x v="1"/>
    <m/>
    <x v="29"/>
    <n v="-6507.69"/>
    <x v="0"/>
    <x v="0"/>
  </r>
  <r>
    <x v="10"/>
    <x v="10"/>
    <x v="10"/>
    <x v="0"/>
    <m/>
    <x v="29"/>
    <n v="-21"/>
    <x v="3"/>
    <x v="0"/>
  </r>
  <r>
    <x v="10"/>
    <x v="10"/>
    <x v="10"/>
    <x v="1"/>
    <m/>
    <x v="29"/>
    <n v="-9690.84"/>
    <x v="0"/>
    <x v="0"/>
  </r>
  <r>
    <x v="11"/>
    <x v="11"/>
    <x v="11"/>
    <x v="0"/>
    <m/>
    <x v="29"/>
    <n v="-22"/>
    <x v="3"/>
    <x v="0"/>
  </r>
  <r>
    <x v="11"/>
    <x v="11"/>
    <x v="11"/>
    <x v="1"/>
    <m/>
    <x v="29"/>
    <n v="-5576.07"/>
    <x v="0"/>
    <x v="0"/>
  </r>
  <r>
    <x v="12"/>
    <x v="12"/>
    <x v="12"/>
    <x v="0"/>
    <m/>
    <x v="29"/>
    <n v="-27.5"/>
    <x v="3"/>
    <x v="0"/>
  </r>
  <r>
    <x v="12"/>
    <x v="12"/>
    <x v="12"/>
    <x v="1"/>
    <m/>
    <x v="29"/>
    <n v="-5722.95"/>
    <x v="0"/>
    <x v="0"/>
  </r>
  <r>
    <x v="13"/>
    <x v="13"/>
    <x v="13"/>
    <x v="0"/>
    <m/>
    <x v="29"/>
    <n v="-16.5"/>
    <x v="3"/>
    <x v="0"/>
  </r>
  <r>
    <x v="13"/>
    <x v="13"/>
    <x v="13"/>
    <x v="1"/>
    <m/>
    <x v="29"/>
    <n v="-2127.94"/>
    <x v="0"/>
    <x v="0"/>
  </r>
  <r>
    <x v="14"/>
    <x v="14"/>
    <x v="14"/>
    <x v="0"/>
    <m/>
    <x v="29"/>
    <n v="-33"/>
    <x v="3"/>
    <x v="0"/>
  </r>
  <r>
    <x v="14"/>
    <x v="14"/>
    <x v="14"/>
    <x v="1"/>
    <m/>
    <x v="29"/>
    <n v="-5741"/>
    <x v="0"/>
    <x v="0"/>
  </r>
  <r>
    <x v="15"/>
    <x v="15"/>
    <x v="15"/>
    <x v="0"/>
    <m/>
    <x v="29"/>
    <n v="-24.5"/>
    <x v="3"/>
    <x v="0"/>
  </r>
  <r>
    <x v="15"/>
    <x v="15"/>
    <x v="15"/>
    <x v="1"/>
    <m/>
    <x v="29"/>
    <n v="-5372.1"/>
    <x v="0"/>
    <x v="0"/>
  </r>
  <r>
    <x v="16"/>
    <x v="16"/>
    <x v="16"/>
    <x v="0"/>
    <m/>
    <x v="29"/>
    <n v="-25.1"/>
    <x v="3"/>
    <x v="0"/>
  </r>
  <r>
    <x v="16"/>
    <x v="16"/>
    <x v="16"/>
    <x v="1"/>
    <m/>
    <x v="29"/>
    <n v="-3484.47"/>
    <x v="0"/>
    <x v="0"/>
  </r>
  <r>
    <x v="17"/>
    <x v="17"/>
    <x v="17"/>
    <x v="0"/>
    <m/>
    <x v="29"/>
    <n v="-5"/>
    <x v="3"/>
    <x v="0"/>
  </r>
  <r>
    <x v="17"/>
    <x v="17"/>
    <x v="17"/>
    <x v="1"/>
    <m/>
    <x v="29"/>
    <n v="-332.6"/>
    <x v="0"/>
    <x v="0"/>
  </r>
  <r>
    <x v="18"/>
    <x v="18"/>
    <x v="18"/>
    <x v="0"/>
    <m/>
    <x v="29"/>
    <n v="-30"/>
    <x v="3"/>
    <x v="0"/>
  </r>
  <r>
    <x v="18"/>
    <x v="18"/>
    <x v="18"/>
    <x v="1"/>
    <m/>
    <x v="29"/>
    <n v="-10071.57"/>
    <x v="0"/>
    <x v="0"/>
  </r>
  <r>
    <x v="19"/>
    <x v="19"/>
    <x v="19"/>
    <x v="0"/>
    <m/>
    <x v="29"/>
    <n v="-20"/>
    <x v="3"/>
    <x v="0"/>
  </r>
  <r>
    <x v="19"/>
    <x v="19"/>
    <x v="19"/>
    <x v="1"/>
    <m/>
    <x v="29"/>
    <n v="-4614.67"/>
    <x v="0"/>
    <x v="0"/>
  </r>
  <r>
    <x v="20"/>
    <x v="20"/>
    <x v="20"/>
    <x v="0"/>
    <m/>
    <x v="29"/>
    <n v="-25"/>
    <x v="3"/>
    <x v="0"/>
  </r>
  <r>
    <x v="20"/>
    <x v="20"/>
    <x v="20"/>
    <x v="1"/>
    <m/>
    <x v="29"/>
    <n v="-5929.88"/>
    <x v="0"/>
    <x v="0"/>
  </r>
  <r>
    <x v="21"/>
    <x v="21"/>
    <x v="21"/>
    <x v="0"/>
    <m/>
    <x v="29"/>
    <n v="-30"/>
    <x v="3"/>
    <x v="0"/>
  </r>
  <r>
    <x v="21"/>
    <x v="21"/>
    <x v="21"/>
    <x v="1"/>
    <m/>
    <x v="29"/>
    <n v="-4125.8500000000004"/>
    <x v="0"/>
    <x v="0"/>
  </r>
  <r>
    <x v="23"/>
    <x v="23"/>
    <x v="23"/>
    <x v="0"/>
    <m/>
    <x v="29"/>
    <n v="-22.5"/>
    <x v="3"/>
    <x v="0"/>
  </r>
  <r>
    <x v="23"/>
    <x v="23"/>
    <x v="23"/>
    <x v="1"/>
    <m/>
    <x v="29"/>
    <n v="-3193.35"/>
    <x v="0"/>
    <x v="0"/>
  </r>
  <r>
    <x v="24"/>
    <x v="24"/>
    <x v="7"/>
    <x v="0"/>
    <m/>
    <x v="29"/>
    <n v="-19"/>
    <x v="3"/>
    <x v="0"/>
  </r>
  <r>
    <x v="24"/>
    <x v="24"/>
    <x v="7"/>
    <x v="1"/>
    <m/>
    <x v="29"/>
    <n v="-868.89"/>
    <x v="0"/>
    <x v="0"/>
  </r>
  <r>
    <x v="25"/>
    <x v="25"/>
    <x v="24"/>
    <x v="0"/>
    <m/>
    <x v="29"/>
    <n v="-27.5"/>
    <x v="3"/>
    <x v="0"/>
  </r>
  <r>
    <x v="25"/>
    <x v="25"/>
    <x v="24"/>
    <x v="1"/>
    <m/>
    <x v="29"/>
    <n v="-3872.77"/>
    <x v="0"/>
    <x v="0"/>
  </r>
  <r>
    <x v="26"/>
    <x v="26"/>
    <x v="25"/>
    <x v="0"/>
    <m/>
    <x v="29"/>
    <n v="-26"/>
    <x v="3"/>
    <x v="0"/>
  </r>
  <r>
    <x v="26"/>
    <x v="26"/>
    <x v="25"/>
    <x v="1"/>
    <m/>
    <x v="29"/>
    <n v="-5740.23"/>
    <x v="0"/>
    <x v="0"/>
  </r>
  <r>
    <x v="28"/>
    <x v="28"/>
    <x v="27"/>
    <x v="0"/>
    <m/>
    <x v="29"/>
    <n v="-5"/>
    <x v="3"/>
    <x v="0"/>
  </r>
  <r>
    <x v="28"/>
    <x v="28"/>
    <x v="27"/>
    <x v="1"/>
    <m/>
    <x v="29"/>
    <n v="-741.95"/>
    <x v="0"/>
    <x v="0"/>
  </r>
  <r>
    <x v="29"/>
    <x v="29"/>
    <x v="6"/>
    <x v="0"/>
    <m/>
    <x v="29"/>
    <n v="-24"/>
    <x v="3"/>
    <x v="0"/>
  </r>
  <r>
    <x v="29"/>
    <x v="29"/>
    <x v="6"/>
    <x v="1"/>
    <m/>
    <x v="29"/>
    <n v="-3316.05"/>
    <x v="0"/>
    <x v="0"/>
  </r>
  <r>
    <x v="30"/>
    <x v="30"/>
    <x v="28"/>
    <x v="0"/>
    <m/>
    <x v="29"/>
    <n v="-23"/>
    <x v="3"/>
    <x v="0"/>
  </r>
  <r>
    <x v="30"/>
    <x v="30"/>
    <x v="28"/>
    <x v="1"/>
    <m/>
    <x v="29"/>
    <n v="-5047.76"/>
    <x v="0"/>
    <x v="0"/>
  </r>
  <r>
    <x v="31"/>
    <x v="31"/>
    <x v="29"/>
    <x v="0"/>
    <m/>
    <x v="29"/>
    <n v="-21.5"/>
    <x v="3"/>
    <x v="0"/>
  </r>
  <r>
    <x v="31"/>
    <x v="31"/>
    <x v="29"/>
    <x v="1"/>
    <m/>
    <x v="29"/>
    <n v="-4762.32"/>
    <x v="0"/>
    <x v="0"/>
  </r>
  <r>
    <x v="32"/>
    <x v="32"/>
    <x v="30"/>
    <x v="0"/>
    <m/>
    <x v="29"/>
    <n v="-28"/>
    <x v="3"/>
    <x v="0"/>
  </r>
  <r>
    <x v="32"/>
    <x v="32"/>
    <x v="30"/>
    <x v="1"/>
    <m/>
    <x v="29"/>
    <n v="-5093.26"/>
    <x v="0"/>
    <x v="0"/>
  </r>
  <r>
    <x v="33"/>
    <x v="33"/>
    <x v="31"/>
    <x v="0"/>
    <m/>
    <x v="29"/>
    <n v="-32"/>
    <x v="3"/>
    <x v="0"/>
  </r>
  <r>
    <x v="33"/>
    <x v="33"/>
    <x v="31"/>
    <x v="1"/>
    <m/>
    <x v="29"/>
    <n v="-5136.46"/>
    <x v="0"/>
    <x v="0"/>
  </r>
  <r>
    <x v="34"/>
    <x v="34"/>
    <x v="32"/>
    <x v="0"/>
    <m/>
    <x v="29"/>
    <n v="-18.5"/>
    <x v="3"/>
    <x v="0"/>
  </r>
  <r>
    <x v="34"/>
    <x v="34"/>
    <x v="32"/>
    <x v="1"/>
    <m/>
    <x v="29"/>
    <n v="-4766.59"/>
    <x v="0"/>
    <x v="0"/>
  </r>
  <r>
    <x v="35"/>
    <x v="35"/>
    <x v="33"/>
    <x v="0"/>
    <m/>
    <x v="29"/>
    <n v="-35"/>
    <x v="3"/>
    <x v="0"/>
  </r>
  <r>
    <x v="35"/>
    <x v="35"/>
    <x v="33"/>
    <x v="1"/>
    <m/>
    <x v="29"/>
    <n v="-4778.1099999999997"/>
    <x v="0"/>
    <x v="0"/>
  </r>
  <r>
    <x v="36"/>
    <x v="36"/>
    <x v="34"/>
    <x v="0"/>
    <m/>
    <x v="29"/>
    <n v="-1"/>
    <x v="3"/>
    <x v="0"/>
  </r>
  <r>
    <x v="36"/>
    <x v="36"/>
    <x v="34"/>
    <x v="1"/>
    <m/>
    <x v="29"/>
    <n v="-66.52"/>
    <x v="0"/>
    <x v="0"/>
  </r>
  <r>
    <x v="37"/>
    <x v="37"/>
    <x v="35"/>
    <x v="0"/>
    <m/>
    <x v="29"/>
    <n v="-32"/>
    <x v="3"/>
    <x v="0"/>
  </r>
  <r>
    <x v="37"/>
    <x v="37"/>
    <x v="35"/>
    <x v="1"/>
    <m/>
    <x v="29"/>
    <n v="-4695.68"/>
    <x v="0"/>
    <x v="0"/>
  </r>
  <r>
    <x v="38"/>
    <x v="38"/>
    <x v="36"/>
    <x v="0"/>
    <m/>
    <x v="29"/>
    <n v="-24"/>
    <x v="3"/>
    <x v="0"/>
  </r>
  <r>
    <x v="38"/>
    <x v="38"/>
    <x v="36"/>
    <x v="1"/>
    <m/>
    <x v="29"/>
    <n v="-11229.06"/>
    <x v="0"/>
    <x v="0"/>
  </r>
  <r>
    <x v="39"/>
    <x v="39"/>
    <x v="37"/>
    <x v="0"/>
    <m/>
    <x v="29"/>
    <n v="-3.5"/>
    <x v="3"/>
    <x v="0"/>
  </r>
  <r>
    <x v="39"/>
    <x v="39"/>
    <x v="37"/>
    <x v="1"/>
    <m/>
    <x v="29"/>
    <n v="-458.92"/>
    <x v="0"/>
    <x v="0"/>
  </r>
  <r>
    <x v="40"/>
    <x v="40"/>
    <x v="38"/>
    <x v="0"/>
    <m/>
    <x v="29"/>
    <n v="-26.5"/>
    <x v="3"/>
    <x v="0"/>
  </r>
  <r>
    <x v="40"/>
    <x v="40"/>
    <x v="38"/>
    <x v="1"/>
    <m/>
    <x v="29"/>
    <n v="-5388.69"/>
    <x v="0"/>
    <x v="0"/>
  </r>
  <r>
    <x v="41"/>
    <x v="41"/>
    <x v="39"/>
    <x v="0"/>
    <m/>
    <x v="29"/>
    <n v="-27.5"/>
    <x v="3"/>
    <x v="0"/>
  </r>
  <r>
    <x v="41"/>
    <x v="41"/>
    <x v="39"/>
    <x v="1"/>
    <m/>
    <x v="29"/>
    <n v="-5747.66"/>
    <x v="0"/>
    <x v="0"/>
  </r>
  <r>
    <x v="42"/>
    <x v="42"/>
    <x v="40"/>
    <x v="0"/>
    <m/>
    <x v="29"/>
    <n v="-17.5"/>
    <x v="3"/>
    <x v="0"/>
  </r>
  <r>
    <x v="42"/>
    <x v="42"/>
    <x v="40"/>
    <x v="1"/>
    <m/>
    <x v="29"/>
    <n v="-4624.28"/>
    <x v="0"/>
    <x v="0"/>
  </r>
  <r>
    <x v="43"/>
    <x v="43"/>
    <x v="41"/>
    <x v="0"/>
    <m/>
    <x v="29"/>
    <n v="-12.5"/>
    <x v="3"/>
    <x v="0"/>
  </r>
  <r>
    <x v="43"/>
    <x v="43"/>
    <x v="41"/>
    <x v="1"/>
    <m/>
    <x v="29"/>
    <n v="-2651.4"/>
    <x v="0"/>
    <x v="0"/>
  </r>
  <r>
    <x v="44"/>
    <x v="44"/>
    <x v="42"/>
    <x v="0"/>
    <m/>
    <x v="29"/>
    <n v="-23"/>
    <x v="3"/>
    <x v="0"/>
  </r>
  <r>
    <x v="44"/>
    <x v="44"/>
    <x v="42"/>
    <x v="1"/>
    <m/>
    <x v="29"/>
    <n v="-4981.99"/>
    <x v="0"/>
    <x v="0"/>
  </r>
  <r>
    <x v="45"/>
    <x v="45"/>
    <x v="43"/>
    <x v="0"/>
    <m/>
    <x v="29"/>
    <n v="-1"/>
    <x v="3"/>
    <x v="0"/>
  </r>
  <r>
    <x v="45"/>
    <x v="45"/>
    <x v="43"/>
    <x v="1"/>
    <m/>
    <x v="29"/>
    <n v="-373.02"/>
    <x v="0"/>
    <x v="0"/>
  </r>
  <r>
    <x v="46"/>
    <x v="46"/>
    <x v="44"/>
    <x v="0"/>
    <m/>
    <x v="29"/>
    <n v="-24"/>
    <x v="3"/>
    <x v="0"/>
  </r>
  <r>
    <x v="46"/>
    <x v="46"/>
    <x v="44"/>
    <x v="1"/>
    <m/>
    <x v="29"/>
    <n v="-1297.1300000000001"/>
    <x v="0"/>
    <x v="0"/>
  </r>
  <r>
    <x v="47"/>
    <x v="47"/>
    <x v="45"/>
    <x v="0"/>
    <m/>
    <x v="29"/>
    <n v="-12"/>
    <x v="3"/>
    <x v="0"/>
  </r>
  <r>
    <x v="47"/>
    <x v="47"/>
    <x v="45"/>
    <x v="1"/>
    <m/>
    <x v="29"/>
    <n v="-1984.32"/>
    <x v="0"/>
    <x v="0"/>
  </r>
  <r>
    <x v="48"/>
    <x v="48"/>
    <x v="46"/>
    <x v="0"/>
    <m/>
    <x v="29"/>
    <n v="-19"/>
    <x v="3"/>
    <x v="0"/>
  </r>
  <r>
    <x v="48"/>
    <x v="48"/>
    <x v="46"/>
    <x v="1"/>
    <m/>
    <x v="29"/>
    <n v="-868.9"/>
    <x v="0"/>
    <x v="0"/>
  </r>
  <r>
    <x v="50"/>
    <x v="49"/>
    <x v="48"/>
    <x v="0"/>
    <m/>
    <x v="29"/>
    <n v="-30.5"/>
    <x v="3"/>
    <x v="0"/>
  </r>
  <r>
    <x v="50"/>
    <x v="49"/>
    <x v="48"/>
    <x v="1"/>
    <m/>
    <x v="29"/>
    <n v="-4000.39"/>
    <x v="0"/>
    <x v="0"/>
  </r>
  <r>
    <x v="51"/>
    <x v="50"/>
    <x v="49"/>
    <x v="0"/>
    <m/>
    <x v="29"/>
    <n v="-7"/>
    <x v="3"/>
    <x v="0"/>
  </r>
  <r>
    <x v="51"/>
    <x v="50"/>
    <x v="49"/>
    <x v="1"/>
    <m/>
    <x v="29"/>
    <n v="-884.12"/>
    <x v="0"/>
    <x v="0"/>
  </r>
  <r>
    <x v="52"/>
    <x v="51"/>
    <x v="50"/>
    <x v="0"/>
    <m/>
    <x v="29"/>
    <n v="-5.5"/>
    <x v="3"/>
    <x v="0"/>
  </r>
  <r>
    <x v="52"/>
    <x v="51"/>
    <x v="50"/>
    <x v="1"/>
    <m/>
    <x v="29"/>
    <n v="-1692.05"/>
    <x v="0"/>
    <x v="0"/>
  </r>
  <r>
    <x v="53"/>
    <x v="52"/>
    <x v="48"/>
    <x v="0"/>
    <m/>
    <x v="29"/>
    <n v="-2"/>
    <x v="3"/>
    <x v="0"/>
  </r>
  <r>
    <x v="53"/>
    <x v="52"/>
    <x v="48"/>
    <x v="1"/>
    <m/>
    <x v="29"/>
    <n v="-203.05"/>
    <x v="0"/>
    <x v="0"/>
  </r>
  <r>
    <x v="0"/>
    <x v="0"/>
    <x v="0"/>
    <x v="0"/>
    <m/>
    <x v="30"/>
    <n v="111.42"/>
    <x v="0"/>
    <x v="0"/>
  </r>
  <r>
    <x v="0"/>
    <x v="0"/>
    <x v="0"/>
    <x v="1"/>
    <m/>
    <x v="30"/>
    <n v="111.42"/>
    <x v="0"/>
    <x v="0"/>
  </r>
  <r>
    <x v="1"/>
    <x v="1"/>
    <x v="1"/>
    <x v="0"/>
    <m/>
    <x v="30"/>
    <n v="6439.46"/>
    <x v="0"/>
    <x v="0"/>
  </r>
  <r>
    <x v="1"/>
    <x v="1"/>
    <x v="1"/>
    <x v="1"/>
    <m/>
    <x v="30"/>
    <n v="6439.46"/>
    <x v="0"/>
    <x v="0"/>
  </r>
  <r>
    <x v="2"/>
    <x v="2"/>
    <x v="2"/>
    <x v="0"/>
    <m/>
    <x v="30"/>
    <n v="5889.62"/>
    <x v="0"/>
    <x v="0"/>
  </r>
  <r>
    <x v="2"/>
    <x v="2"/>
    <x v="2"/>
    <x v="1"/>
    <m/>
    <x v="30"/>
    <n v="5889.62"/>
    <x v="0"/>
    <x v="0"/>
  </r>
  <r>
    <x v="3"/>
    <x v="3"/>
    <x v="3"/>
    <x v="0"/>
    <m/>
    <x v="30"/>
    <n v="678.36"/>
    <x v="0"/>
    <x v="0"/>
  </r>
  <r>
    <x v="3"/>
    <x v="3"/>
    <x v="3"/>
    <x v="1"/>
    <m/>
    <x v="30"/>
    <n v="678.36"/>
    <x v="0"/>
    <x v="0"/>
  </r>
  <r>
    <x v="4"/>
    <x v="4"/>
    <x v="4"/>
    <x v="0"/>
    <m/>
    <x v="30"/>
    <n v="714.19"/>
    <x v="0"/>
    <x v="0"/>
  </r>
  <r>
    <x v="4"/>
    <x v="4"/>
    <x v="4"/>
    <x v="1"/>
    <m/>
    <x v="30"/>
    <n v="714.19"/>
    <x v="0"/>
    <x v="0"/>
  </r>
  <r>
    <x v="5"/>
    <x v="5"/>
    <x v="5"/>
    <x v="0"/>
    <m/>
    <x v="30"/>
    <n v="4556.0200000000004"/>
    <x v="0"/>
    <x v="0"/>
  </r>
  <r>
    <x v="5"/>
    <x v="5"/>
    <x v="5"/>
    <x v="1"/>
    <m/>
    <x v="30"/>
    <n v="4556.0200000000004"/>
    <x v="0"/>
    <x v="0"/>
  </r>
  <r>
    <x v="6"/>
    <x v="6"/>
    <x v="6"/>
    <x v="0"/>
    <m/>
    <x v="30"/>
    <n v="6428.49"/>
    <x v="0"/>
    <x v="0"/>
  </r>
  <r>
    <x v="6"/>
    <x v="6"/>
    <x v="6"/>
    <x v="1"/>
    <m/>
    <x v="30"/>
    <n v="6428.49"/>
    <x v="0"/>
    <x v="0"/>
  </r>
  <r>
    <x v="7"/>
    <x v="7"/>
    <x v="7"/>
    <x v="0"/>
    <m/>
    <x v="30"/>
    <n v="5883.96"/>
    <x v="0"/>
    <x v="0"/>
  </r>
  <r>
    <x v="7"/>
    <x v="7"/>
    <x v="7"/>
    <x v="1"/>
    <m/>
    <x v="30"/>
    <n v="5883.96"/>
    <x v="0"/>
    <x v="0"/>
  </r>
  <r>
    <x v="9"/>
    <x v="9"/>
    <x v="9"/>
    <x v="0"/>
    <m/>
    <x v="30"/>
    <n v="6761.43"/>
    <x v="0"/>
    <x v="0"/>
  </r>
  <r>
    <x v="9"/>
    <x v="9"/>
    <x v="9"/>
    <x v="1"/>
    <m/>
    <x v="30"/>
    <n v="6761.43"/>
    <x v="0"/>
    <x v="0"/>
  </r>
  <r>
    <x v="10"/>
    <x v="10"/>
    <x v="10"/>
    <x v="0"/>
    <m/>
    <x v="30"/>
    <n v="11993.01"/>
    <x v="0"/>
    <x v="0"/>
  </r>
  <r>
    <x v="10"/>
    <x v="10"/>
    <x v="10"/>
    <x v="1"/>
    <m/>
    <x v="30"/>
    <n v="11993.01"/>
    <x v="0"/>
    <x v="0"/>
  </r>
  <r>
    <x v="11"/>
    <x v="11"/>
    <x v="11"/>
    <x v="0"/>
    <m/>
    <x v="30"/>
    <n v="5639.62"/>
    <x v="0"/>
    <x v="0"/>
  </r>
  <r>
    <x v="11"/>
    <x v="11"/>
    <x v="11"/>
    <x v="1"/>
    <m/>
    <x v="30"/>
    <n v="5639.62"/>
    <x v="0"/>
    <x v="0"/>
  </r>
  <r>
    <x v="12"/>
    <x v="12"/>
    <x v="12"/>
    <x v="0"/>
    <m/>
    <x v="30"/>
    <n v="5992.65"/>
    <x v="0"/>
    <x v="0"/>
  </r>
  <r>
    <x v="12"/>
    <x v="12"/>
    <x v="12"/>
    <x v="1"/>
    <m/>
    <x v="30"/>
    <n v="5992.65"/>
    <x v="0"/>
    <x v="0"/>
  </r>
  <r>
    <x v="13"/>
    <x v="13"/>
    <x v="13"/>
    <x v="0"/>
    <m/>
    <x v="30"/>
    <n v="2143.41"/>
    <x v="0"/>
    <x v="0"/>
  </r>
  <r>
    <x v="13"/>
    <x v="13"/>
    <x v="13"/>
    <x v="1"/>
    <m/>
    <x v="30"/>
    <n v="2143.41"/>
    <x v="0"/>
    <x v="0"/>
  </r>
  <r>
    <x v="14"/>
    <x v="14"/>
    <x v="14"/>
    <x v="0"/>
    <m/>
    <x v="30"/>
    <n v="5782.47"/>
    <x v="0"/>
    <x v="0"/>
  </r>
  <r>
    <x v="14"/>
    <x v="14"/>
    <x v="14"/>
    <x v="1"/>
    <m/>
    <x v="30"/>
    <n v="5782.47"/>
    <x v="0"/>
    <x v="0"/>
  </r>
  <r>
    <x v="15"/>
    <x v="15"/>
    <x v="15"/>
    <x v="0"/>
    <m/>
    <x v="30"/>
    <n v="5780.39"/>
    <x v="0"/>
    <x v="0"/>
  </r>
  <r>
    <x v="15"/>
    <x v="15"/>
    <x v="15"/>
    <x v="1"/>
    <m/>
    <x v="30"/>
    <n v="5780.39"/>
    <x v="0"/>
    <x v="0"/>
  </r>
  <r>
    <x v="16"/>
    <x v="16"/>
    <x v="16"/>
    <x v="0"/>
    <m/>
    <x v="30"/>
    <n v="3566.88"/>
    <x v="0"/>
    <x v="0"/>
  </r>
  <r>
    <x v="16"/>
    <x v="16"/>
    <x v="16"/>
    <x v="1"/>
    <m/>
    <x v="30"/>
    <n v="3566.88"/>
    <x v="0"/>
    <x v="0"/>
  </r>
  <r>
    <x v="17"/>
    <x v="17"/>
    <x v="17"/>
    <x v="0"/>
    <m/>
    <x v="30"/>
    <n v="332.6"/>
    <x v="0"/>
    <x v="0"/>
  </r>
  <r>
    <x v="17"/>
    <x v="17"/>
    <x v="17"/>
    <x v="1"/>
    <m/>
    <x v="30"/>
    <n v="332.6"/>
    <x v="0"/>
    <x v="0"/>
  </r>
  <r>
    <x v="18"/>
    <x v="18"/>
    <x v="18"/>
    <x v="0"/>
    <m/>
    <x v="30"/>
    <n v="10961.9"/>
    <x v="0"/>
    <x v="0"/>
  </r>
  <r>
    <x v="18"/>
    <x v="18"/>
    <x v="18"/>
    <x v="1"/>
    <m/>
    <x v="30"/>
    <n v="10961.9"/>
    <x v="0"/>
    <x v="0"/>
  </r>
  <r>
    <x v="19"/>
    <x v="19"/>
    <x v="19"/>
    <x v="0"/>
    <m/>
    <x v="30"/>
    <n v="4927.92"/>
    <x v="0"/>
    <x v="0"/>
  </r>
  <r>
    <x v="19"/>
    <x v="19"/>
    <x v="19"/>
    <x v="1"/>
    <m/>
    <x v="30"/>
    <n v="4927.92"/>
    <x v="0"/>
    <x v="0"/>
  </r>
  <r>
    <x v="20"/>
    <x v="20"/>
    <x v="20"/>
    <x v="0"/>
    <m/>
    <x v="30"/>
    <n v="6342.07"/>
    <x v="0"/>
    <x v="0"/>
  </r>
  <r>
    <x v="20"/>
    <x v="20"/>
    <x v="20"/>
    <x v="1"/>
    <m/>
    <x v="30"/>
    <n v="6342.07"/>
    <x v="0"/>
    <x v="0"/>
  </r>
  <r>
    <x v="21"/>
    <x v="21"/>
    <x v="21"/>
    <x v="0"/>
    <m/>
    <x v="30"/>
    <n v="4428.3999999999996"/>
    <x v="0"/>
    <x v="0"/>
  </r>
  <r>
    <x v="21"/>
    <x v="21"/>
    <x v="21"/>
    <x v="1"/>
    <m/>
    <x v="30"/>
    <n v="4428.3999999999996"/>
    <x v="0"/>
    <x v="0"/>
  </r>
  <r>
    <x v="23"/>
    <x v="23"/>
    <x v="23"/>
    <x v="0"/>
    <m/>
    <x v="30"/>
    <n v="3600.32"/>
    <x v="0"/>
    <x v="0"/>
  </r>
  <r>
    <x v="23"/>
    <x v="23"/>
    <x v="23"/>
    <x v="1"/>
    <m/>
    <x v="30"/>
    <n v="3600.32"/>
    <x v="0"/>
    <x v="0"/>
  </r>
  <r>
    <x v="24"/>
    <x v="24"/>
    <x v="7"/>
    <x v="0"/>
    <m/>
    <x v="30"/>
    <n v="874.94"/>
    <x v="0"/>
    <x v="0"/>
  </r>
  <r>
    <x v="24"/>
    <x v="24"/>
    <x v="7"/>
    <x v="1"/>
    <m/>
    <x v="30"/>
    <n v="874.94"/>
    <x v="0"/>
    <x v="0"/>
  </r>
  <r>
    <x v="25"/>
    <x v="25"/>
    <x v="24"/>
    <x v="0"/>
    <m/>
    <x v="30"/>
    <n v="4108.24"/>
    <x v="0"/>
    <x v="0"/>
  </r>
  <r>
    <x v="25"/>
    <x v="25"/>
    <x v="24"/>
    <x v="1"/>
    <m/>
    <x v="30"/>
    <n v="4108.24"/>
    <x v="0"/>
    <x v="0"/>
  </r>
  <r>
    <x v="26"/>
    <x v="26"/>
    <x v="25"/>
    <x v="0"/>
    <m/>
    <x v="30"/>
    <n v="5906.28"/>
    <x v="0"/>
    <x v="0"/>
  </r>
  <r>
    <x v="26"/>
    <x v="26"/>
    <x v="25"/>
    <x v="1"/>
    <m/>
    <x v="30"/>
    <n v="5906.28"/>
    <x v="0"/>
    <x v="0"/>
  </r>
  <r>
    <x v="28"/>
    <x v="28"/>
    <x v="27"/>
    <x v="0"/>
    <m/>
    <x v="30"/>
    <n v="741.95"/>
    <x v="0"/>
    <x v="0"/>
  </r>
  <r>
    <x v="28"/>
    <x v="28"/>
    <x v="27"/>
    <x v="1"/>
    <m/>
    <x v="30"/>
    <n v="741.95"/>
    <x v="0"/>
    <x v="0"/>
  </r>
  <r>
    <x v="29"/>
    <x v="29"/>
    <x v="6"/>
    <x v="0"/>
    <m/>
    <x v="30"/>
    <n v="3458.81"/>
    <x v="0"/>
    <x v="0"/>
  </r>
  <r>
    <x v="29"/>
    <x v="29"/>
    <x v="6"/>
    <x v="1"/>
    <m/>
    <x v="30"/>
    <n v="3458.81"/>
    <x v="0"/>
    <x v="0"/>
  </r>
  <r>
    <x v="30"/>
    <x v="30"/>
    <x v="28"/>
    <x v="0"/>
    <m/>
    <x v="30"/>
    <n v="5293.96"/>
    <x v="0"/>
    <x v="0"/>
  </r>
  <r>
    <x v="30"/>
    <x v="30"/>
    <x v="28"/>
    <x v="1"/>
    <m/>
    <x v="30"/>
    <n v="5293.96"/>
    <x v="0"/>
    <x v="0"/>
  </r>
  <r>
    <x v="31"/>
    <x v="31"/>
    <x v="29"/>
    <x v="0"/>
    <m/>
    <x v="30"/>
    <n v="4876.97"/>
    <x v="0"/>
    <x v="0"/>
  </r>
  <r>
    <x v="31"/>
    <x v="31"/>
    <x v="29"/>
    <x v="1"/>
    <m/>
    <x v="30"/>
    <n v="4876.97"/>
    <x v="0"/>
    <x v="0"/>
  </r>
  <r>
    <x v="32"/>
    <x v="32"/>
    <x v="30"/>
    <x v="0"/>
    <m/>
    <x v="30"/>
    <n v="5164.74"/>
    <x v="0"/>
    <x v="0"/>
  </r>
  <r>
    <x v="32"/>
    <x v="32"/>
    <x v="30"/>
    <x v="1"/>
    <m/>
    <x v="30"/>
    <n v="5164.74"/>
    <x v="0"/>
    <x v="0"/>
  </r>
  <r>
    <x v="33"/>
    <x v="33"/>
    <x v="31"/>
    <x v="0"/>
    <m/>
    <x v="30"/>
    <n v="5188.7"/>
    <x v="0"/>
    <x v="0"/>
  </r>
  <r>
    <x v="33"/>
    <x v="33"/>
    <x v="31"/>
    <x v="1"/>
    <m/>
    <x v="30"/>
    <n v="5188.7"/>
    <x v="0"/>
    <x v="0"/>
  </r>
  <r>
    <x v="34"/>
    <x v="34"/>
    <x v="32"/>
    <x v="0"/>
    <m/>
    <x v="30"/>
    <n v="4997.47"/>
    <x v="0"/>
    <x v="0"/>
  </r>
  <r>
    <x v="34"/>
    <x v="34"/>
    <x v="32"/>
    <x v="1"/>
    <m/>
    <x v="30"/>
    <n v="4997.47"/>
    <x v="0"/>
    <x v="0"/>
  </r>
  <r>
    <x v="35"/>
    <x v="35"/>
    <x v="33"/>
    <x v="0"/>
    <m/>
    <x v="30"/>
    <n v="5015.13"/>
    <x v="0"/>
    <x v="0"/>
  </r>
  <r>
    <x v="35"/>
    <x v="35"/>
    <x v="33"/>
    <x v="1"/>
    <m/>
    <x v="30"/>
    <n v="5015.13"/>
    <x v="0"/>
    <x v="0"/>
  </r>
  <r>
    <x v="36"/>
    <x v="36"/>
    <x v="34"/>
    <x v="0"/>
    <m/>
    <x v="30"/>
    <n v="66.52"/>
    <x v="0"/>
    <x v="0"/>
  </r>
  <r>
    <x v="36"/>
    <x v="36"/>
    <x v="34"/>
    <x v="1"/>
    <m/>
    <x v="30"/>
    <n v="66.52"/>
    <x v="0"/>
    <x v="0"/>
  </r>
  <r>
    <x v="37"/>
    <x v="37"/>
    <x v="35"/>
    <x v="0"/>
    <m/>
    <x v="30"/>
    <n v="4771.78"/>
    <x v="0"/>
    <x v="0"/>
  </r>
  <r>
    <x v="37"/>
    <x v="37"/>
    <x v="35"/>
    <x v="1"/>
    <m/>
    <x v="30"/>
    <n v="4771.78"/>
    <x v="0"/>
    <x v="0"/>
  </r>
  <r>
    <x v="38"/>
    <x v="38"/>
    <x v="36"/>
    <x v="0"/>
    <m/>
    <x v="30"/>
    <n v="13679.49"/>
    <x v="0"/>
    <x v="0"/>
  </r>
  <r>
    <x v="38"/>
    <x v="38"/>
    <x v="36"/>
    <x v="1"/>
    <m/>
    <x v="30"/>
    <n v="13679.49"/>
    <x v="0"/>
    <x v="0"/>
  </r>
  <r>
    <x v="39"/>
    <x v="39"/>
    <x v="37"/>
    <x v="0"/>
    <m/>
    <x v="30"/>
    <n v="458.92"/>
    <x v="0"/>
    <x v="0"/>
  </r>
  <r>
    <x v="39"/>
    <x v="39"/>
    <x v="37"/>
    <x v="1"/>
    <m/>
    <x v="30"/>
    <n v="458.92"/>
    <x v="0"/>
    <x v="0"/>
  </r>
  <r>
    <x v="40"/>
    <x v="40"/>
    <x v="38"/>
    <x v="0"/>
    <m/>
    <x v="30"/>
    <n v="5800.53"/>
    <x v="0"/>
    <x v="0"/>
  </r>
  <r>
    <x v="40"/>
    <x v="40"/>
    <x v="38"/>
    <x v="1"/>
    <m/>
    <x v="30"/>
    <n v="5800.53"/>
    <x v="0"/>
    <x v="0"/>
  </r>
  <r>
    <x v="41"/>
    <x v="41"/>
    <x v="39"/>
    <x v="0"/>
    <m/>
    <x v="30"/>
    <n v="6119.67"/>
    <x v="0"/>
    <x v="0"/>
  </r>
  <r>
    <x v="41"/>
    <x v="41"/>
    <x v="39"/>
    <x v="1"/>
    <m/>
    <x v="30"/>
    <n v="6119.67"/>
    <x v="0"/>
    <x v="0"/>
  </r>
  <r>
    <x v="42"/>
    <x v="42"/>
    <x v="40"/>
    <x v="0"/>
    <m/>
    <x v="30"/>
    <n v="4906.47"/>
    <x v="0"/>
    <x v="0"/>
  </r>
  <r>
    <x v="42"/>
    <x v="42"/>
    <x v="40"/>
    <x v="1"/>
    <m/>
    <x v="30"/>
    <n v="4906.47"/>
    <x v="0"/>
    <x v="0"/>
  </r>
  <r>
    <x v="43"/>
    <x v="43"/>
    <x v="41"/>
    <x v="0"/>
    <m/>
    <x v="30"/>
    <n v="2694.98"/>
    <x v="0"/>
    <x v="0"/>
  </r>
  <r>
    <x v="43"/>
    <x v="43"/>
    <x v="41"/>
    <x v="1"/>
    <m/>
    <x v="30"/>
    <n v="2694.98"/>
    <x v="0"/>
    <x v="0"/>
  </r>
  <r>
    <x v="44"/>
    <x v="44"/>
    <x v="42"/>
    <x v="0"/>
    <m/>
    <x v="30"/>
    <n v="5227.37"/>
    <x v="0"/>
    <x v="0"/>
  </r>
  <r>
    <x v="44"/>
    <x v="44"/>
    <x v="42"/>
    <x v="1"/>
    <m/>
    <x v="30"/>
    <n v="5227.37"/>
    <x v="0"/>
    <x v="0"/>
  </r>
  <r>
    <x v="45"/>
    <x v="45"/>
    <x v="43"/>
    <x v="0"/>
    <m/>
    <x v="30"/>
    <n v="396.01"/>
    <x v="0"/>
    <x v="0"/>
  </r>
  <r>
    <x v="45"/>
    <x v="45"/>
    <x v="43"/>
    <x v="1"/>
    <m/>
    <x v="30"/>
    <n v="396.01"/>
    <x v="0"/>
    <x v="0"/>
  </r>
  <r>
    <x v="46"/>
    <x v="46"/>
    <x v="44"/>
    <x v="0"/>
    <m/>
    <x v="30"/>
    <n v="1300.7"/>
    <x v="0"/>
    <x v="0"/>
  </r>
  <r>
    <x v="46"/>
    <x v="46"/>
    <x v="44"/>
    <x v="1"/>
    <m/>
    <x v="30"/>
    <n v="1300.7"/>
    <x v="0"/>
    <x v="0"/>
  </r>
  <r>
    <x v="47"/>
    <x v="47"/>
    <x v="45"/>
    <x v="0"/>
    <m/>
    <x v="30"/>
    <n v="2015.16"/>
    <x v="0"/>
    <x v="0"/>
  </r>
  <r>
    <x v="47"/>
    <x v="47"/>
    <x v="45"/>
    <x v="1"/>
    <m/>
    <x v="30"/>
    <n v="2015.16"/>
    <x v="0"/>
    <x v="0"/>
  </r>
  <r>
    <x v="48"/>
    <x v="48"/>
    <x v="46"/>
    <x v="0"/>
    <m/>
    <x v="30"/>
    <n v="872.93"/>
    <x v="0"/>
    <x v="0"/>
  </r>
  <r>
    <x v="48"/>
    <x v="48"/>
    <x v="46"/>
    <x v="1"/>
    <m/>
    <x v="30"/>
    <n v="872.93"/>
    <x v="0"/>
    <x v="0"/>
  </r>
  <r>
    <x v="50"/>
    <x v="49"/>
    <x v="48"/>
    <x v="0"/>
    <m/>
    <x v="30"/>
    <n v="4049.2"/>
    <x v="0"/>
    <x v="0"/>
  </r>
  <r>
    <x v="50"/>
    <x v="49"/>
    <x v="48"/>
    <x v="1"/>
    <m/>
    <x v="30"/>
    <n v="4049.2"/>
    <x v="0"/>
    <x v="0"/>
  </r>
  <r>
    <x v="51"/>
    <x v="50"/>
    <x v="49"/>
    <x v="0"/>
    <m/>
    <x v="30"/>
    <n v="884.12"/>
    <x v="0"/>
    <x v="0"/>
  </r>
  <r>
    <x v="51"/>
    <x v="50"/>
    <x v="49"/>
    <x v="1"/>
    <m/>
    <x v="30"/>
    <n v="884.12"/>
    <x v="0"/>
    <x v="0"/>
  </r>
  <r>
    <x v="52"/>
    <x v="51"/>
    <x v="50"/>
    <x v="0"/>
    <m/>
    <x v="30"/>
    <n v="1692.05"/>
    <x v="0"/>
    <x v="0"/>
  </r>
  <r>
    <x v="52"/>
    <x v="51"/>
    <x v="50"/>
    <x v="1"/>
    <m/>
    <x v="30"/>
    <n v="1692.05"/>
    <x v="0"/>
    <x v="0"/>
  </r>
  <r>
    <x v="53"/>
    <x v="52"/>
    <x v="48"/>
    <x v="0"/>
    <m/>
    <x v="30"/>
    <n v="211.2"/>
    <x v="0"/>
    <x v="0"/>
  </r>
  <r>
    <x v="53"/>
    <x v="52"/>
    <x v="48"/>
    <x v="1"/>
    <m/>
    <x v="30"/>
    <n v="211.2"/>
    <x v="0"/>
    <x v="0"/>
  </r>
  <r>
    <x v="1"/>
    <x v="1"/>
    <x v="1"/>
    <x v="1"/>
    <s v="H03"/>
    <x v="31"/>
    <n v="1286.5"/>
    <x v="0"/>
    <x v="0"/>
  </r>
  <r>
    <x v="2"/>
    <x v="2"/>
    <x v="2"/>
    <x v="1"/>
    <s v="H03"/>
    <x v="31"/>
    <n v="1723.66"/>
    <x v="0"/>
    <x v="0"/>
  </r>
  <r>
    <x v="3"/>
    <x v="3"/>
    <x v="3"/>
    <x v="1"/>
    <s v="H03"/>
    <x v="31"/>
    <n v="2296.88"/>
    <x v="0"/>
    <x v="0"/>
  </r>
  <r>
    <x v="4"/>
    <x v="4"/>
    <x v="4"/>
    <x v="1"/>
    <s v="H03"/>
    <x v="31"/>
    <n v="671.67"/>
    <x v="0"/>
    <x v="0"/>
  </r>
  <r>
    <x v="5"/>
    <x v="5"/>
    <x v="5"/>
    <x v="1"/>
    <s v="H03"/>
    <x v="31"/>
    <n v="1607.81"/>
    <x v="0"/>
    <x v="0"/>
  </r>
  <r>
    <x v="6"/>
    <x v="6"/>
    <x v="6"/>
    <x v="1"/>
    <s v="H03"/>
    <x v="31"/>
    <n v="3697.97"/>
    <x v="0"/>
    <x v="0"/>
  </r>
  <r>
    <x v="7"/>
    <x v="7"/>
    <x v="7"/>
    <x v="1"/>
    <s v="H03"/>
    <x v="31"/>
    <n v="2641.41"/>
    <x v="0"/>
    <x v="0"/>
  </r>
  <r>
    <x v="8"/>
    <x v="8"/>
    <x v="8"/>
    <x v="1"/>
    <s v="H03"/>
    <x v="31"/>
    <n v="14832"/>
    <x v="0"/>
    <x v="0"/>
  </r>
  <r>
    <x v="9"/>
    <x v="9"/>
    <x v="9"/>
    <x v="1"/>
    <s v="H03"/>
    <x v="31"/>
    <n v="3447.28"/>
    <x v="0"/>
    <x v="0"/>
  </r>
  <r>
    <x v="10"/>
    <x v="10"/>
    <x v="10"/>
    <x v="1"/>
    <s v="H03"/>
    <x v="31"/>
    <n v="14832"/>
    <x v="0"/>
    <x v="0"/>
  </r>
  <r>
    <x v="11"/>
    <x v="11"/>
    <x v="11"/>
    <x v="1"/>
    <s v="H03"/>
    <x v="31"/>
    <n v="2224.25"/>
    <x v="0"/>
    <x v="0"/>
  </r>
  <r>
    <x v="12"/>
    <x v="12"/>
    <x v="12"/>
    <x v="1"/>
    <s v="H03"/>
    <x v="31"/>
    <n v="2756.25"/>
    <x v="0"/>
    <x v="0"/>
  </r>
  <r>
    <x v="13"/>
    <x v="13"/>
    <x v="13"/>
    <x v="1"/>
    <s v="H03"/>
    <x v="31"/>
    <n v="1583.33"/>
    <x v="0"/>
    <x v="0"/>
  </r>
  <r>
    <x v="14"/>
    <x v="14"/>
    <x v="14"/>
    <x v="1"/>
    <s v="H03"/>
    <x v="31"/>
    <n v="1837.5"/>
    <x v="0"/>
    <x v="0"/>
  </r>
  <r>
    <x v="15"/>
    <x v="15"/>
    <x v="15"/>
    <x v="1"/>
    <s v="H03"/>
    <x v="31"/>
    <n v="3169.69"/>
    <x v="0"/>
    <x v="0"/>
  </r>
  <r>
    <x v="16"/>
    <x v="16"/>
    <x v="16"/>
    <x v="1"/>
    <s v="H03"/>
    <x v="31"/>
    <n v="1012.5"/>
    <x v="0"/>
    <x v="0"/>
  </r>
  <r>
    <x v="18"/>
    <x v="18"/>
    <x v="18"/>
    <x v="1"/>
    <s v="H03"/>
    <x v="31"/>
    <n v="2625.21"/>
    <x v="0"/>
    <x v="0"/>
  </r>
  <r>
    <x v="19"/>
    <x v="19"/>
    <x v="19"/>
    <x v="1"/>
    <s v="H03"/>
    <x v="31"/>
    <n v="1875"/>
    <x v="0"/>
    <x v="0"/>
  </r>
  <r>
    <x v="20"/>
    <x v="20"/>
    <x v="20"/>
    <x v="1"/>
    <s v="H03"/>
    <x v="31"/>
    <n v="3750"/>
    <x v="0"/>
    <x v="0"/>
  </r>
  <r>
    <x v="21"/>
    <x v="21"/>
    <x v="21"/>
    <x v="1"/>
    <s v="H03"/>
    <x v="31"/>
    <n v="1739.58"/>
    <x v="0"/>
    <x v="0"/>
  </r>
  <r>
    <x v="23"/>
    <x v="23"/>
    <x v="23"/>
    <x v="1"/>
    <s v="H03"/>
    <x v="31"/>
    <n v="2453.65"/>
    <x v="0"/>
    <x v="0"/>
  </r>
  <r>
    <x v="25"/>
    <x v="25"/>
    <x v="24"/>
    <x v="1"/>
    <s v="H03"/>
    <x v="31"/>
    <n v="2093.75"/>
    <x v="0"/>
    <x v="0"/>
  </r>
  <r>
    <x v="26"/>
    <x v="26"/>
    <x v="25"/>
    <x v="1"/>
    <s v="H03"/>
    <x v="31"/>
    <n v="2205"/>
    <x v="0"/>
    <x v="0"/>
  </r>
  <r>
    <x v="28"/>
    <x v="28"/>
    <x v="27"/>
    <x v="1"/>
    <s v="H03"/>
    <x v="31"/>
    <n v="2009.77"/>
    <x v="0"/>
    <x v="0"/>
  </r>
  <r>
    <x v="29"/>
    <x v="29"/>
    <x v="6"/>
    <x v="1"/>
    <s v="H03"/>
    <x v="31"/>
    <n v="2103.13"/>
    <x v="0"/>
    <x v="0"/>
  </r>
  <r>
    <x v="30"/>
    <x v="30"/>
    <x v="28"/>
    <x v="1"/>
    <s v="H03"/>
    <x v="31"/>
    <n v="3385.63"/>
    <x v="0"/>
    <x v="0"/>
  </r>
  <r>
    <x v="32"/>
    <x v="32"/>
    <x v="30"/>
    <x v="1"/>
    <s v="H03"/>
    <x v="31"/>
    <n v="650"/>
    <x v="0"/>
    <x v="0"/>
  </r>
  <r>
    <x v="33"/>
    <x v="33"/>
    <x v="31"/>
    <x v="1"/>
    <s v="H03"/>
    <x v="31"/>
    <n v="1540.21"/>
    <x v="0"/>
    <x v="0"/>
  </r>
  <r>
    <x v="34"/>
    <x v="34"/>
    <x v="32"/>
    <x v="1"/>
    <s v="H03"/>
    <x v="31"/>
    <n v="3489.58"/>
    <x v="0"/>
    <x v="0"/>
  </r>
  <r>
    <x v="35"/>
    <x v="35"/>
    <x v="33"/>
    <x v="1"/>
    <s v="H03"/>
    <x v="31"/>
    <n v="2025"/>
    <x v="0"/>
    <x v="0"/>
  </r>
  <r>
    <x v="37"/>
    <x v="37"/>
    <x v="35"/>
    <x v="1"/>
    <s v="H03"/>
    <x v="31"/>
    <n v="1821.09"/>
    <x v="0"/>
    <x v="0"/>
  </r>
  <r>
    <x v="38"/>
    <x v="38"/>
    <x v="36"/>
    <x v="1"/>
    <s v="H03"/>
    <x v="31"/>
    <n v="7500"/>
    <x v="0"/>
    <x v="0"/>
  </r>
  <r>
    <x v="40"/>
    <x v="40"/>
    <x v="38"/>
    <x v="1"/>
    <s v="H03"/>
    <x v="31"/>
    <n v="2866.5"/>
    <x v="0"/>
    <x v="0"/>
  </r>
  <r>
    <x v="41"/>
    <x v="41"/>
    <x v="39"/>
    <x v="1"/>
    <s v="H03"/>
    <x v="31"/>
    <n v="3169.69"/>
    <x v="0"/>
    <x v="0"/>
  </r>
  <r>
    <x v="42"/>
    <x v="42"/>
    <x v="40"/>
    <x v="1"/>
    <s v="H03"/>
    <x v="31"/>
    <n v="4062.5"/>
    <x v="0"/>
    <x v="0"/>
  </r>
  <r>
    <x v="43"/>
    <x v="43"/>
    <x v="41"/>
    <x v="1"/>
    <s v="H03"/>
    <x v="31"/>
    <n v="2113.13"/>
    <x v="0"/>
    <x v="0"/>
  </r>
  <r>
    <x v="44"/>
    <x v="44"/>
    <x v="42"/>
    <x v="1"/>
    <s v="H03"/>
    <x v="31"/>
    <n v="2641.41"/>
    <x v="0"/>
    <x v="0"/>
  </r>
  <r>
    <x v="45"/>
    <x v="45"/>
    <x v="43"/>
    <x v="1"/>
    <s v="H03"/>
    <x v="31"/>
    <n v="1455"/>
    <x v="0"/>
    <x v="0"/>
  </r>
  <r>
    <x v="47"/>
    <x v="47"/>
    <x v="45"/>
    <x v="1"/>
    <s v="H03"/>
    <x v="31"/>
    <n v="250"/>
    <x v="0"/>
    <x v="0"/>
  </r>
  <r>
    <x v="50"/>
    <x v="49"/>
    <x v="48"/>
    <x v="1"/>
    <s v="H03"/>
    <x v="31"/>
    <n v="633.33000000000004"/>
    <x v="0"/>
    <x v="0"/>
  </r>
  <r>
    <x v="51"/>
    <x v="50"/>
    <x v="49"/>
    <x v="1"/>
    <s v="H03"/>
    <x v="31"/>
    <n v="684.24"/>
    <x v="0"/>
    <x v="0"/>
  </r>
  <r>
    <x v="2"/>
    <x v="2"/>
    <x v="2"/>
    <x v="0"/>
    <m/>
    <x v="32"/>
    <n v="12"/>
    <x v="4"/>
    <x v="0"/>
  </r>
  <r>
    <x v="4"/>
    <x v="4"/>
    <x v="4"/>
    <x v="0"/>
    <m/>
    <x v="32"/>
    <n v="7"/>
    <x v="4"/>
    <x v="0"/>
  </r>
  <r>
    <x v="5"/>
    <x v="5"/>
    <x v="5"/>
    <x v="0"/>
    <m/>
    <x v="32"/>
    <n v="13.5"/>
    <x v="4"/>
    <x v="0"/>
  </r>
  <r>
    <x v="6"/>
    <x v="6"/>
    <x v="6"/>
    <x v="0"/>
    <m/>
    <x v="32"/>
    <n v="12"/>
    <x v="4"/>
    <x v="0"/>
  </r>
  <r>
    <x v="7"/>
    <x v="7"/>
    <x v="7"/>
    <x v="0"/>
    <m/>
    <x v="32"/>
    <n v="1.5"/>
    <x v="4"/>
    <x v="0"/>
  </r>
  <r>
    <x v="9"/>
    <x v="9"/>
    <x v="9"/>
    <x v="0"/>
    <m/>
    <x v="32"/>
    <n v="12"/>
    <x v="4"/>
    <x v="0"/>
  </r>
  <r>
    <x v="10"/>
    <x v="10"/>
    <x v="10"/>
    <x v="0"/>
    <m/>
    <x v="32"/>
    <n v="7"/>
    <x v="4"/>
    <x v="0"/>
  </r>
  <r>
    <x v="11"/>
    <x v="11"/>
    <x v="11"/>
    <x v="0"/>
    <m/>
    <x v="32"/>
    <n v="14"/>
    <x v="4"/>
    <x v="0"/>
  </r>
  <r>
    <x v="12"/>
    <x v="12"/>
    <x v="12"/>
    <x v="0"/>
    <m/>
    <x v="32"/>
    <n v="12"/>
    <x v="4"/>
    <x v="0"/>
  </r>
  <r>
    <x v="13"/>
    <x v="13"/>
    <x v="13"/>
    <x v="0"/>
    <m/>
    <x v="32"/>
    <n v="7"/>
    <x v="4"/>
    <x v="0"/>
  </r>
  <r>
    <x v="14"/>
    <x v="14"/>
    <x v="14"/>
    <x v="0"/>
    <m/>
    <x v="32"/>
    <n v="5"/>
    <x v="4"/>
    <x v="0"/>
  </r>
  <r>
    <x v="15"/>
    <x v="15"/>
    <x v="15"/>
    <x v="0"/>
    <m/>
    <x v="32"/>
    <n v="9.5"/>
    <x v="4"/>
    <x v="0"/>
  </r>
  <r>
    <x v="16"/>
    <x v="16"/>
    <x v="16"/>
    <x v="0"/>
    <m/>
    <x v="32"/>
    <n v="9.5"/>
    <x v="4"/>
    <x v="0"/>
  </r>
  <r>
    <x v="18"/>
    <x v="18"/>
    <x v="18"/>
    <x v="0"/>
    <m/>
    <x v="32"/>
    <n v="12"/>
    <x v="4"/>
    <x v="0"/>
  </r>
  <r>
    <x v="19"/>
    <x v="19"/>
    <x v="19"/>
    <x v="0"/>
    <m/>
    <x v="32"/>
    <n v="7"/>
    <x v="4"/>
    <x v="0"/>
  </r>
  <r>
    <x v="20"/>
    <x v="20"/>
    <x v="20"/>
    <x v="0"/>
    <m/>
    <x v="32"/>
    <n v="13"/>
    <x v="4"/>
    <x v="0"/>
  </r>
  <r>
    <x v="21"/>
    <x v="21"/>
    <x v="21"/>
    <x v="0"/>
    <m/>
    <x v="32"/>
    <n v="12"/>
    <x v="4"/>
    <x v="0"/>
  </r>
  <r>
    <x v="23"/>
    <x v="23"/>
    <x v="23"/>
    <x v="0"/>
    <m/>
    <x v="32"/>
    <n v="13"/>
    <x v="4"/>
    <x v="0"/>
  </r>
  <r>
    <x v="25"/>
    <x v="25"/>
    <x v="24"/>
    <x v="0"/>
    <m/>
    <x v="32"/>
    <n v="12"/>
    <x v="4"/>
    <x v="0"/>
  </r>
  <r>
    <x v="26"/>
    <x v="26"/>
    <x v="25"/>
    <x v="0"/>
    <m/>
    <x v="32"/>
    <n v="12"/>
    <x v="4"/>
    <x v="0"/>
  </r>
  <r>
    <x v="28"/>
    <x v="28"/>
    <x v="27"/>
    <x v="0"/>
    <m/>
    <x v="32"/>
    <n v="3"/>
    <x v="4"/>
    <x v="0"/>
  </r>
  <r>
    <x v="29"/>
    <x v="29"/>
    <x v="6"/>
    <x v="0"/>
    <m/>
    <x v="32"/>
    <n v="12.5"/>
    <x v="4"/>
    <x v="0"/>
  </r>
  <r>
    <x v="30"/>
    <x v="30"/>
    <x v="28"/>
    <x v="0"/>
    <m/>
    <x v="32"/>
    <n v="12"/>
    <x v="4"/>
    <x v="0"/>
  </r>
  <r>
    <x v="31"/>
    <x v="31"/>
    <x v="29"/>
    <x v="0"/>
    <m/>
    <x v="32"/>
    <n v="5.5"/>
    <x v="4"/>
    <x v="0"/>
  </r>
  <r>
    <x v="32"/>
    <x v="32"/>
    <x v="30"/>
    <x v="0"/>
    <m/>
    <x v="32"/>
    <n v="12"/>
    <x v="4"/>
    <x v="0"/>
  </r>
  <r>
    <x v="33"/>
    <x v="33"/>
    <x v="31"/>
    <x v="0"/>
    <m/>
    <x v="32"/>
    <n v="12"/>
    <x v="4"/>
    <x v="0"/>
  </r>
  <r>
    <x v="34"/>
    <x v="34"/>
    <x v="32"/>
    <x v="0"/>
    <m/>
    <x v="32"/>
    <n v="10.5"/>
    <x v="4"/>
    <x v="0"/>
  </r>
  <r>
    <x v="35"/>
    <x v="35"/>
    <x v="33"/>
    <x v="0"/>
    <m/>
    <x v="32"/>
    <n v="12"/>
    <x v="4"/>
    <x v="0"/>
  </r>
  <r>
    <x v="37"/>
    <x v="37"/>
    <x v="35"/>
    <x v="0"/>
    <m/>
    <x v="32"/>
    <n v="12"/>
    <x v="4"/>
    <x v="0"/>
  </r>
  <r>
    <x v="38"/>
    <x v="38"/>
    <x v="36"/>
    <x v="0"/>
    <m/>
    <x v="32"/>
    <n v="4"/>
    <x v="4"/>
    <x v="0"/>
  </r>
  <r>
    <x v="39"/>
    <x v="39"/>
    <x v="37"/>
    <x v="0"/>
    <m/>
    <x v="32"/>
    <n v="7.5"/>
    <x v="4"/>
    <x v="0"/>
  </r>
  <r>
    <x v="40"/>
    <x v="40"/>
    <x v="38"/>
    <x v="0"/>
    <m/>
    <x v="32"/>
    <n v="9.5"/>
    <x v="4"/>
    <x v="0"/>
  </r>
  <r>
    <x v="41"/>
    <x v="41"/>
    <x v="39"/>
    <x v="0"/>
    <m/>
    <x v="32"/>
    <n v="13"/>
    <x v="4"/>
    <x v="0"/>
  </r>
  <r>
    <x v="42"/>
    <x v="42"/>
    <x v="40"/>
    <x v="0"/>
    <m/>
    <x v="32"/>
    <n v="6"/>
    <x v="4"/>
    <x v="0"/>
  </r>
  <r>
    <x v="43"/>
    <x v="43"/>
    <x v="41"/>
    <x v="0"/>
    <m/>
    <x v="32"/>
    <n v="12.5"/>
    <x v="4"/>
    <x v="0"/>
  </r>
  <r>
    <x v="44"/>
    <x v="44"/>
    <x v="42"/>
    <x v="0"/>
    <m/>
    <x v="32"/>
    <n v="12"/>
    <x v="4"/>
    <x v="0"/>
  </r>
  <r>
    <x v="47"/>
    <x v="47"/>
    <x v="45"/>
    <x v="0"/>
    <m/>
    <x v="32"/>
    <n v="2"/>
    <x v="4"/>
    <x v="0"/>
  </r>
  <r>
    <x v="50"/>
    <x v="49"/>
    <x v="48"/>
    <x v="0"/>
    <m/>
    <x v="32"/>
    <n v="12"/>
    <x v="4"/>
    <x v="0"/>
  </r>
  <r>
    <x v="52"/>
    <x v="51"/>
    <x v="50"/>
    <x v="0"/>
    <m/>
    <x v="32"/>
    <n v="6"/>
    <x v="4"/>
    <x v="0"/>
  </r>
  <r>
    <x v="2"/>
    <x v="2"/>
    <x v="2"/>
    <x v="0"/>
    <m/>
    <x v="33"/>
    <n v="12"/>
    <x v="0"/>
    <x v="0"/>
  </r>
  <r>
    <x v="3"/>
    <x v="3"/>
    <x v="3"/>
    <x v="0"/>
    <m/>
    <x v="33"/>
    <n v="2.93"/>
    <x v="0"/>
    <x v="0"/>
  </r>
  <r>
    <x v="4"/>
    <x v="4"/>
    <x v="4"/>
    <x v="0"/>
    <m/>
    <x v="33"/>
    <n v="6.43"/>
    <x v="0"/>
    <x v="0"/>
  </r>
  <r>
    <x v="5"/>
    <x v="5"/>
    <x v="5"/>
    <x v="0"/>
    <m/>
    <x v="33"/>
    <n v="12"/>
    <x v="0"/>
    <x v="0"/>
  </r>
  <r>
    <x v="6"/>
    <x v="6"/>
    <x v="6"/>
    <x v="0"/>
    <m/>
    <x v="33"/>
    <n v="12"/>
    <x v="0"/>
    <x v="0"/>
  </r>
  <r>
    <x v="7"/>
    <x v="7"/>
    <x v="7"/>
    <x v="0"/>
    <m/>
    <x v="33"/>
    <n v="12"/>
    <x v="0"/>
    <x v="0"/>
  </r>
  <r>
    <x v="9"/>
    <x v="9"/>
    <x v="9"/>
    <x v="0"/>
    <m/>
    <x v="33"/>
    <n v="12"/>
    <x v="0"/>
    <x v="0"/>
  </r>
  <r>
    <x v="10"/>
    <x v="10"/>
    <x v="10"/>
    <x v="0"/>
    <m/>
    <x v="33"/>
    <n v="12"/>
    <x v="0"/>
    <x v="0"/>
  </r>
  <r>
    <x v="11"/>
    <x v="11"/>
    <x v="11"/>
    <x v="0"/>
    <m/>
    <x v="33"/>
    <n v="12"/>
    <x v="0"/>
    <x v="0"/>
  </r>
  <r>
    <x v="12"/>
    <x v="12"/>
    <x v="12"/>
    <x v="0"/>
    <m/>
    <x v="33"/>
    <n v="12"/>
    <x v="0"/>
    <x v="0"/>
  </r>
  <r>
    <x v="13"/>
    <x v="13"/>
    <x v="13"/>
    <x v="0"/>
    <m/>
    <x v="33"/>
    <n v="8.8699999999999992"/>
    <x v="0"/>
    <x v="0"/>
  </r>
  <r>
    <x v="14"/>
    <x v="14"/>
    <x v="14"/>
    <x v="0"/>
    <m/>
    <x v="33"/>
    <n v="2.1"/>
    <x v="0"/>
    <x v="0"/>
  </r>
  <r>
    <x v="15"/>
    <x v="15"/>
    <x v="15"/>
    <x v="0"/>
    <m/>
    <x v="33"/>
    <n v="12"/>
    <x v="0"/>
    <x v="0"/>
  </r>
  <r>
    <x v="16"/>
    <x v="16"/>
    <x v="16"/>
    <x v="0"/>
    <m/>
    <x v="33"/>
    <n v="12"/>
    <x v="0"/>
    <x v="0"/>
  </r>
  <r>
    <x v="18"/>
    <x v="18"/>
    <x v="18"/>
    <x v="0"/>
    <m/>
    <x v="33"/>
    <n v="12"/>
    <x v="0"/>
    <x v="0"/>
  </r>
  <r>
    <x v="19"/>
    <x v="19"/>
    <x v="19"/>
    <x v="0"/>
    <m/>
    <x v="33"/>
    <n v="12"/>
    <x v="0"/>
    <x v="0"/>
  </r>
  <r>
    <x v="20"/>
    <x v="20"/>
    <x v="20"/>
    <x v="0"/>
    <m/>
    <x v="33"/>
    <n v="12"/>
    <x v="0"/>
    <x v="0"/>
  </r>
  <r>
    <x v="21"/>
    <x v="21"/>
    <x v="21"/>
    <x v="0"/>
    <m/>
    <x v="33"/>
    <n v="12"/>
    <x v="0"/>
    <x v="0"/>
  </r>
  <r>
    <x v="22"/>
    <x v="22"/>
    <x v="22"/>
    <x v="0"/>
    <m/>
    <x v="33"/>
    <n v="3.94"/>
    <x v="0"/>
    <x v="0"/>
  </r>
  <r>
    <x v="23"/>
    <x v="23"/>
    <x v="23"/>
    <x v="0"/>
    <m/>
    <x v="33"/>
    <n v="12"/>
    <x v="0"/>
    <x v="0"/>
  </r>
  <r>
    <x v="25"/>
    <x v="25"/>
    <x v="24"/>
    <x v="0"/>
    <m/>
    <x v="33"/>
    <n v="12"/>
    <x v="0"/>
    <x v="0"/>
  </r>
  <r>
    <x v="26"/>
    <x v="26"/>
    <x v="25"/>
    <x v="0"/>
    <m/>
    <x v="33"/>
    <n v="12"/>
    <x v="0"/>
    <x v="0"/>
  </r>
  <r>
    <x v="28"/>
    <x v="28"/>
    <x v="27"/>
    <x v="0"/>
    <m/>
    <x v="33"/>
    <n v="2.4700000000000002"/>
    <x v="0"/>
    <x v="0"/>
  </r>
  <r>
    <x v="29"/>
    <x v="29"/>
    <x v="6"/>
    <x v="0"/>
    <m/>
    <x v="33"/>
    <n v="12"/>
    <x v="0"/>
    <x v="0"/>
  </r>
  <r>
    <x v="30"/>
    <x v="30"/>
    <x v="28"/>
    <x v="0"/>
    <m/>
    <x v="33"/>
    <n v="12"/>
    <x v="0"/>
    <x v="0"/>
  </r>
  <r>
    <x v="31"/>
    <x v="31"/>
    <x v="29"/>
    <x v="0"/>
    <m/>
    <x v="33"/>
    <n v="6.36"/>
    <x v="0"/>
    <x v="0"/>
  </r>
  <r>
    <x v="32"/>
    <x v="32"/>
    <x v="30"/>
    <x v="0"/>
    <m/>
    <x v="33"/>
    <n v="12"/>
    <x v="0"/>
    <x v="0"/>
  </r>
  <r>
    <x v="33"/>
    <x v="33"/>
    <x v="31"/>
    <x v="0"/>
    <m/>
    <x v="33"/>
    <n v="12"/>
    <x v="0"/>
    <x v="0"/>
  </r>
  <r>
    <x v="34"/>
    <x v="34"/>
    <x v="32"/>
    <x v="0"/>
    <m/>
    <x v="33"/>
    <n v="10.59"/>
    <x v="0"/>
    <x v="0"/>
  </r>
  <r>
    <x v="35"/>
    <x v="35"/>
    <x v="33"/>
    <x v="0"/>
    <m/>
    <x v="33"/>
    <n v="12"/>
    <x v="0"/>
    <x v="0"/>
  </r>
  <r>
    <x v="37"/>
    <x v="37"/>
    <x v="35"/>
    <x v="0"/>
    <m/>
    <x v="33"/>
    <n v="12"/>
    <x v="0"/>
    <x v="0"/>
  </r>
  <r>
    <x v="38"/>
    <x v="38"/>
    <x v="36"/>
    <x v="0"/>
    <m/>
    <x v="33"/>
    <n v="12"/>
    <x v="0"/>
    <x v="0"/>
  </r>
  <r>
    <x v="39"/>
    <x v="39"/>
    <x v="37"/>
    <x v="0"/>
    <m/>
    <x v="33"/>
    <n v="6.5"/>
    <x v="0"/>
    <x v="0"/>
  </r>
  <r>
    <x v="40"/>
    <x v="40"/>
    <x v="38"/>
    <x v="0"/>
    <m/>
    <x v="33"/>
    <n v="12"/>
    <x v="0"/>
    <x v="0"/>
  </r>
  <r>
    <x v="41"/>
    <x v="41"/>
    <x v="39"/>
    <x v="0"/>
    <m/>
    <x v="33"/>
    <n v="12"/>
    <x v="0"/>
    <x v="0"/>
  </r>
  <r>
    <x v="42"/>
    <x v="42"/>
    <x v="40"/>
    <x v="0"/>
    <m/>
    <x v="33"/>
    <n v="6.36"/>
    <x v="0"/>
    <x v="0"/>
  </r>
  <r>
    <x v="43"/>
    <x v="43"/>
    <x v="41"/>
    <x v="0"/>
    <m/>
    <x v="33"/>
    <n v="12.63"/>
    <x v="0"/>
    <x v="0"/>
  </r>
  <r>
    <x v="44"/>
    <x v="44"/>
    <x v="42"/>
    <x v="0"/>
    <m/>
    <x v="33"/>
    <n v="12"/>
    <x v="0"/>
    <x v="0"/>
  </r>
  <r>
    <x v="45"/>
    <x v="45"/>
    <x v="43"/>
    <x v="0"/>
    <m/>
    <x v="33"/>
    <n v="2"/>
    <x v="0"/>
    <x v="0"/>
  </r>
  <r>
    <x v="47"/>
    <x v="47"/>
    <x v="45"/>
    <x v="0"/>
    <m/>
    <x v="33"/>
    <n v="6.3"/>
    <x v="0"/>
    <x v="0"/>
  </r>
  <r>
    <x v="49"/>
    <x v="49"/>
    <x v="47"/>
    <x v="0"/>
    <m/>
    <x v="33"/>
    <n v="1"/>
    <x v="0"/>
    <x v="0"/>
  </r>
  <r>
    <x v="50"/>
    <x v="49"/>
    <x v="48"/>
    <x v="0"/>
    <m/>
    <x v="33"/>
    <n v="12"/>
    <x v="0"/>
    <x v="0"/>
  </r>
  <r>
    <x v="51"/>
    <x v="50"/>
    <x v="49"/>
    <x v="0"/>
    <m/>
    <x v="33"/>
    <n v="0.47"/>
    <x v="0"/>
    <x v="0"/>
  </r>
  <r>
    <x v="52"/>
    <x v="51"/>
    <x v="50"/>
    <x v="0"/>
    <m/>
    <x v="33"/>
    <n v="6.97"/>
    <x v="0"/>
    <x v="0"/>
  </r>
  <r>
    <x v="53"/>
    <x v="52"/>
    <x v="48"/>
    <x v="0"/>
    <m/>
    <x v="33"/>
    <n v="2"/>
    <x v="0"/>
    <x v="0"/>
  </r>
  <r>
    <x v="2"/>
    <x v="2"/>
    <x v="2"/>
    <x v="0"/>
    <m/>
    <x v="34"/>
    <n v="-12"/>
    <x v="0"/>
    <x v="0"/>
  </r>
  <r>
    <x v="4"/>
    <x v="4"/>
    <x v="4"/>
    <x v="0"/>
    <m/>
    <x v="34"/>
    <n v="-7"/>
    <x v="0"/>
    <x v="0"/>
  </r>
  <r>
    <x v="5"/>
    <x v="5"/>
    <x v="5"/>
    <x v="0"/>
    <m/>
    <x v="34"/>
    <n v="-13.5"/>
    <x v="0"/>
    <x v="0"/>
  </r>
  <r>
    <x v="6"/>
    <x v="6"/>
    <x v="6"/>
    <x v="0"/>
    <m/>
    <x v="34"/>
    <n v="-12"/>
    <x v="0"/>
    <x v="0"/>
  </r>
  <r>
    <x v="7"/>
    <x v="7"/>
    <x v="7"/>
    <x v="0"/>
    <m/>
    <x v="34"/>
    <n v="-1.5"/>
    <x v="0"/>
    <x v="0"/>
  </r>
  <r>
    <x v="9"/>
    <x v="9"/>
    <x v="9"/>
    <x v="0"/>
    <m/>
    <x v="34"/>
    <n v="-12"/>
    <x v="0"/>
    <x v="0"/>
  </r>
  <r>
    <x v="10"/>
    <x v="10"/>
    <x v="10"/>
    <x v="0"/>
    <m/>
    <x v="34"/>
    <n v="-11"/>
    <x v="0"/>
    <x v="0"/>
  </r>
  <r>
    <x v="11"/>
    <x v="11"/>
    <x v="11"/>
    <x v="0"/>
    <m/>
    <x v="34"/>
    <n v="-20"/>
    <x v="0"/>
    <x v="0"/>
  </r>
  <r>
    <x v="12"/>
    <x v="12"/>
    <x v="12"/>
    <x v="0"/>
    <m/>
    <x v="34"/>
    <n v="-12"/>
    <x v="0"/>
    <x v="0"/>
  </r>
  <r>
    <x v="13"/>
    <x v="13"/>
    <x v="13"/>
    <x v="0"/>
    <m/>
    <x v="34"/>
    <n v="-7"/>
    <x v="0"/>
    <x v="0"/>
  </r>
  <r>
    <x v="14"/>
    <x v="14"/>
    <x v="14"/>
    <x v="0"/>
    <m/>
    <x v="34"/>
    <n v="-5"/>
    <x v="0"/>
    <x v="0"/>
  </r>
  <r>
    <x v="15"/>
    <x v="15"/>
    <x v="15"/>
    <x v="0"/>
    <m/>
    <x v="34"/>
    <n v="-9.5"/>
    <x v="0"/>
    <x v="0"/>
  </r>
  <r>
    <x v="16"/>
    <x v="16"/>
    <x v="16"/>
    <x v="0"/>
    <m/>
    <x v="34"/>
    <n v="-9.5"/>
    <x v="0"/>
    <x v="0"/>
  </r>
  <r>
    <x v="18"/>
    <x v="18"/>
    <x v="18"/>
    <x v="0"/>
    <m/>
    <x v="34"/>
    <n v="-14"/>
    <x v="0"/>
    <x v="0"/>
  </r>
  <r>
    <x v="19"/>
    <x v="19"/>
    <x v="19"/>
    <x v="0"/>
    <m/>
    <x v="34"/>
    <n v="-7"/>
    <x v="0"/>
    <x v="0"/>
  </r>
  <r>
    <x v="20"/>
    <x v="20"/>
    <x v="20"/>
    <x v="0"/>
    <m/>
    <x v="34"/>
    <n v="-16"/>
    <x v="0"/>
    <x v="0"/>
  </r>
  <r>
    <x v="21"/>
    <x v="21"/>
    <x v="21"/>
    <x v="0"/>
    <m/>
    <x v="34"/>
    <n v="-12"/>
    <x v="0"/>
    <x v="0"/>
  </r>
  <r>
    <x v="23"/>
    <x v="23"/>
    <x v="23"/>
    <x v="0"/>
    <m/>
    <x v="34"/>
    <n v="-13"/>
    <x v="0"/>
    <x v="0"/>
  </r>
  <r>
    <x v="25"/>
    <x v="25"/>
    <x v="24"/>
    <x v="0"/>
    <m/>
    <x v="34"/>
    <n v="-12"/>
    <x v="0"/>
    <x v="0"/>
  </r>
  <r>
    <x v="26"/>
    <x v="26"/>
    <x v="25"/>
    <x v="0"/>
    <m/>
    <x v="34"/>
    <n v="-12"/>
    <x v="0"/>
    <x v="0"/>
  </r>
  <r>
    <x v="28"/>
    <x v="28"/>
    <x v="27"/>
    <x v="0"/>
    <m/>
    <x v="34"/>
    <n v="-3"/>
    <x v="0"/>
    <x v="0"/>
  </r>
  <r>
    <x v="29"/>
    <x v="29"/>
    <x v="6"/>
    <x v="0"/>
    <m/>
    <x v="34"/>
    <n v="-15.5"/>
    <x v="0"/>
    <x v="0"/>
  </r>
  <r>
    <x v="30"/>
    <x v="30"/>
    <x v="28"/>
    <x v="0"/>
    <m/>
    <x v="34"/>
    <n v="-12"/>
    <x v="0"/>
    <x v="0"/>
  </r>
  <r>
    <x v="31"/>
    <x v="31"/>
    <x v="29"/>
    <x v="0"/>
    <m/>
    <x v="34"/>
    <n v="-5.5"/>
    <x v="0"/>
    <x v="0"/>
  </r>
  <r>
    <x v="32"/>
    <x v="32"/>
    <x v="30"/>
    <x v="0"/>
    <m/>
    <x v="34"/>
    <n v="-12"/>
    <x v="0"/>
    <x v="0"/>
  </r>
  <r>
    <x v="33"/>
    <x v="33"/>
    <x v="31"/>
    <x v="0"/>
    <m/>
    <x v="34"/>
    <n v="-12"/>
    <x v="0"/>
    <x v="0"/>
  </r>
  <r>
    <x v="34"/>
    <x v="34"/>
    <x v="32"/>
    <x v="0"/>
    <m/>
    <x v="34"/>
    <n v="-10.5"/>
    <x v="0"/>
    <x v="0"/>
  </r>
  <r>
    <x v="35"/>
    <x v="35"/>
    <x v="33"/>
    <x v="0"/>
    <m/>
    <x v="34"/>
    <n v="-12"/>
    <x v="0"/>
    <x v="0"/>
  </r>
  <r>
    <x v="37"/>
    <x v="37"/>
    <x v="35"/>
    <x v="0"/>
    <m/>
    <x v="34"/>
    <n v="-12"/>
    <x v="0"/>
    <x v="0"/>
  </r>
  <r>
    <x v="38"/>
    <x v="38"/>
    <x v="36"/>
    <x v="0"/>
    <m/>
    <x v="34"/>
    <n v="-4"/>
    <x v="0"/>
    <x v="0"/>
  </r>
  <r>
    <x v="39"/>
    <x v="39"/>
    <x v="37"/>
    <x v="0"/>
    <m/>
    <x v="34"/>
    <n v="-7.5"/>
    <x v="0"/>
    <x v="0"/>
  </r>
  <r>
    <x v="40"/>
    <x v="40"/>
    <x v="38"/>
    <x v="0"/>
    <m/>
    <x v="34"/>
    <n v="-9.5"/>
    <x v="0"/>
    <x v="0"/>
  </r>
  <r>
    <x v="41"/>
    <x v="41"/>
    <x v="39"/>
    <x v="0"/>
    <m/>
    <x v="34"/>
    <n v="-13"/>
    <x v="0"/>
    <x v="0"/>
  </r>
  <r>
    <x v="42"/>
    <x v="42"/>
    <x v="40"/>
    <x v="0"/>
    <m/>
    <x v="34"/>
    <n v="-8"/>
    <x v="0"/>
    <x v="0"/>
  </r>
  <r>
    <x v="43"/>
    <x v="43"/>
    <x v="41"/>
    <x v="0"/>
    <m/>
    <x v="34"/>
    <n v="-12.5"/>
    <x v="0"/>
    <x v="0"/>
  </r>
  <r>
    <x v="44"/>
    <x v="44"/>
    <x v="42"/>
    <x v="0"/>
    <m/>
    <x v="34"/>
    <n v="-12"/>
    <x v="0"/>
    <x v="0"/>
  </r>
  <r>
    <x v="46"/>
    <x v="46"/>
    <x v="44"/>
    <x v="0"/>
    <m/>
    <x v="34"/>
    <n v="-4"/>
    <x v="0"/>
    <x v="0"/>
  </r>
  <r>
    <x v="47"/>
    <x v="47"/>
    <x v="45"/>
    <x v="0"/>
    <m/>
    <x v="34"/>
    <n v="-2"/>
    <x v="0"/>
    <x v="0"/>
  </r>
  <r>
    <x v="50"/>
    <x v="49"/>
    <x v="48"/>
    <x v="0"/>
    <m/>
    <x v="34"/>
    <n v="-12"/>
    <x v="0"/>
    <x v="0"/>
  </r>
  <r>
    <x v="52"/>
    <x v="51"/>
    <x v="50"/>
    <x v="0"/>
    <m/>
    <x v="34"/>
    <n v="-6"/>
    <x v="0"/>
    <x v="0"/>
  </r>
  <r>
    <x v="1"/>
    <x v="1"/>
    <x v="1"/>
    <x v="1"/>
    <s v="H03.1"/>
    <x v="35"/>
    <n v="1543.8"/>
    <x v="0"/>
    <x v="0"/>
  </r>
  <r>
    <x v="11"/>
    <x v="11"/>
    <x v="11"/>
    <x v="1"/>
    <s v="H03.1"/>
    <x v="35"/>
    <n v="4018"/>
    <x v="0"/>
    <x v="0"/>
  </r>
  <r>
    <x v="18"/>
    <x v="18"/>
    <x v="18"/>
    <x v="1"/>
    <s v="H03.1"/>
    <x v="35"/>
    <n v="5249.79"/>
    <x v="0"/>
    <x v="0"/>
  </r>
  <r>
    <x v="32"/>
    <x v="32"/>
    <x v="30"/>
    <x v="1"/>
    <s v="H03.1"/>
    <x v="35"/>
    <n v="580"/>
    <x v="0"/>
    <x v="0"/>
  </r>
  <r>
    <x v="34"/>
    <x v="34"/>
    <x v="32"/>
    <x v="1"/>
    <s v="H03.1"/>
    <x v="35"/>
    <n v="2680"/>
    <x v="0"/>
    <x v="0"/>
  </r>
  <r>
    <x v="38"/>
    <x v="38"/>
    <x v="36"/>
    <x v="1"/>
    <s v="H03.1"/>
    <x v="35"/>
    <n v="6000"/>
    <x v="0"/>
    <x v="0"/>
  </r>
  <r>
    <x v="42"/>
    <x v="42"/>
    <x v="40"/>
    <x v="1"/>
    <s v="H03.1"/>
    <x v="35"/>
    <n v="3250"/>
    <x v="0"/>
    <x v="0"/>
  </r>
  <r>
    <x v="45"/>
    <x v="45"/>
    <x v="43"/>
    <x v="1"/>
    <s v="H03.1"/>
    <x v="35"/>
    <n v="1455"/>
    <x v="0"/>
    <x v="0"/>
  </r>
  <r>
    <x v="47"/>
    <x v="47"/>
    <x v="45"/>
    <x v="1"/>
    <s v="H03.1"/>
    <x v="35"/>
    <n v="250"/>
    <x v="0"/>
    <x v="0"/>
  </r>
  <r>
    <x v="2"/>
    <x v="2"/>
    <x v="2"/>
    <x v="1"/>
    <s v="B08"/>
    <x v="36"/>
    <n v="-141.69999999999999"/>
    <x v="0"/>
    <x v="0"/>
  </r>
  <r>
    <x v="2"/>
    <x v="2"/>
    <x v="2"/>
    <x v="1"/>
    <s v="B08"/>
    <x v="37"/>
    <n v="399.79"/>
    <x v="0"/>
    <x v="0"/>
  </r>
  <r>
    <x v="2"/>
    <x v="2"/>
    <x v="2"/>
    <x v="1"/>
    <s v="B08"/>
    <x v="38"/>
    <n v="399.79"/>
    <x v="0"/>
    <x v="0"/>
  </r>
  <r>
    <x v="18"/>
    <x v="18"/>
    <x v="18"/>
    <x v="1"/>
    <s v="B08"/>
    <x v="38"/>
    <n v="500"/>
    <x v="0"/>
    <x v="0"/>
  </r>
  <r>
    <x v="2"/>
    <x v="2"/>
    <x v="2"/>
    <x v="0"/>
    <s v="D02"/>
    <x v="39"/>
    <n v="2"/>
    <x v="0"/>
    <x v="0"/>
  </r>
  <r>
    <x v="5"/>
    <x v="5"/>
    <x v="5"/>
    <x v="0"/>
    <s v="D02"/>
    <x v="39"/>
    <n v="2"/>
    <x v="0"/>
    <x v="0"/>
  </r>
  <r>
    <x v="7"/>
    <x v="7"/>
    <x v="7"/>
    <x v="0"/>
    <s v="D02"/>
    <x v="39"/>
    <n v="1"/>
    <x v="0"/>
    <x v="0"/>
  </r>
  <r>
    <x v="10"/>
    <x v="10"/>
    <x v="10"/>
    <x v="0"/>
    <s v="D02"/>
    <x v="39"/>
    <n v="1"/>
    <x v="0"/>
    <x v="0"/>
  </r>
  <r>
    <x v="12"/>
    <x v="12"/>
    <x v="12"/>
    <x v="0"/>
    <s v="D02"/>
    <x v="39"/>
    <n v="2"/>
    <x v="0"/>
    <x v="0"/>
  </r>
  <r>
    <x v="14"/>
    <x v="14"/>
    <x v="14"/>
    <x v="0"/>
    <s v="D02"/>
    <x v="39"/>
    <n v="2"/>
    <x v="0"/>
    <x v="0"/>
  </r>
  <r>
    <x v="15"/>
    <x v="15"/>
    <x v="15"/>
    <x v="0"/>
    <s v="D02"/>
    <x v="39"/>
    <n v="1"/>
    <x v="0"/>
    <x v="0"/>
  </r>
  <r>
    <x v="16"/>
    <x v="16"/>
    <x v="16"/>
    <x v="0"/>
    <s v="D02"/>
    <x v="39"/>
    <n v="2"/>
    <x v="0"/>
    <x v="0"/>
  </r>
  <r>
    <x v="19"/>
    <x v="19"/>
    <x v="19"/>
    <x v="0"/>
    <s v="D02"/>
    <x v="39"/>
    <n v="2"/>
    <x v="0"/>
    <x v="0"/>
  </r>
  <r>
    <x v="20"/>
    <x v="20"/>
    <x v="20"/>
    <x v="0"/>
    <s v="D02"/>
    <x v="39"/>
    <n v="2"/>
    <x v="0"/>
    <x v="0"/>
  </r>
  <r>
    <x v="25"/>
    <x v="25"/>
    <x v="24"/>
    <x v="0"/>
    <s v="D02"/>
    <x v="39"/>
    <n v="2"/>
    <x v="0"/>
    <x v="0"/>
  </r>
  <r>
    <x v="26"/>
    <x v="26"/>
    <x v="25"/>
    <x v="0"/>
    <s v="D02"/>
    <x v="39"/>
    <n v="2"/>
    <x v="0"/>
    <x v="0"/>
  </r>
  <r>
    <x v="29"/>
    <x v="29"/>
    <x v="6"/>
    <x v="0"/>
    <s v="D02"/>
    <x v="39"/>
    <n v="1"/>
    <x v="0"/>
    <x v="0"/>
  </r>
  <r>
    <x v="30"/>
    <x v="30"/>
    <x v="28"/>
    <x v="0"/>
    <s v="D02"/>
    <x v="39"/>
    <n v="2"/>
    <x v="0"/>
    <x v="0"/>
  </r>
  <r>
    <x v="32"/>
    <x v="32"/>
    <x v="30"/>
    <x v="0"/>
    <s v="D02"/>
    <x v="39"/>
    <n v="2"/>
    <x v="0"/>
    <x v="0"/>
  </r>
  <r>
    <x v="33"/>
    <x v="33"/>
    <x v="31"/>
    <x v="0"/>
    <s v="D02"/>
    <x v="39"/>
    <n v="2"/>
    <x v="0"/>
    <x v="0"/>
  </r>
  <r>
    <x v="37"/>
    <x v="37"/>
    <x v="35"/>
    <x v="0"/>
    <s v="D02"/>
    <x v="39"/>
    <n v="2"/>
    <x v="0"/>
    <x v="0"/>
  </r>
  <r>
    <x v="38"/>
    <x v="38"/>
    <x v="36"/>
    <x v="0"/>
    <s v="D02"/>
    <x v="39"/>
    <n v="1"/>
    <x v="0"/>
    <x v="0"/>
  </r>
  <r>
    <x v="40"/>
    <x v="40"/>
    <x v="38"/>
    <x v="0"/>
    <s v="D02"/>
    <x v="39"/>
    <n v="1"/>
    <x v="0"/>
    <x v="0"/>
  </r>
  <r>
    <x v="42"/>
    <x v="42"/>
    <x v="40"/>
    <x v="0"/>
    <s v="D02"/>
    <x v="39"/>
    <n v="2"/>
    <x v="0"/>
    <x v="0"/>
  </r>
  <r>
    <x v="44"/>
    <x v="44"/>
    <x v="42"/>
    <x v="0"/>
    <s v="D02"/>
    <x v="39"/>
    <n v="1"/>
    <x v="0"/>
    <x v="0"/>
  </r>
  <r>
    <x v="50"/>
    <x v="49"/>
    <x v="48"/>
    <x v="0"/>
    <s v="D02"/>
    <x v="39"/>
    <n v="2"/>
    <x v="0"/>
    <x v="0"/>
  </r>
  <r>
    <x v="3"/>
    <x v="3"/>
    <x v="3"/>
    <x v="1"/>
    <m/>
    <x v="40"/>
    <n v="1129.06"/>
    <x v="0"/>
    <x v="0"/>
  </r>
  <r>
    <x v="4"/>
    <x v="4"/>
    <x v="4"/>
    <x v="1"/>
    <m/>
    <x v="40"/>
    <n v="2527.58"/>
    <x v="0"/>
    <x v="0"/>
  </r>
  <r>
    <x v="13"/>
    <x v="13"/>
    <x v="13"/>
    <x v="1"/>
    <m/>
    <x v="40"/>
    <n v="786.72"/>
    <x v="0"/>
    <x v="0"/>
  </r>
  <r>
    <x v="22"/>
    <x v="22"/>
    <x v="22"/>
    <x v="1"/>
    <m/>
    <x v="40"/>
    <n v="2214.69"/>
    <x v="0"/>
    <x v="0"/>
  </r>
  <r>
    <x v="24"/>
    <x v="24"/>
    <x v="7"/>
    <x v="1"/>
    <m/>
    <x v="40"/>
    <n v="45.73"/>
    <x v="0"/>
    <x v="0"/>
  </r>
  <r>
    <x v="28"/>
    <x v="28"/>
    <x v="27"/>
    <x v="1"/>
    <m/>
    <x v="40"/>
    <n v="349.81"/>
    <x v="0"/>
    <x v="0"/>
  </r>
  <r>
    <x v="45"/>
    <x v="45"/>
    <x v="43"/>
    <x v="1"/>
    <m/>
    <x v="40"/>
    <n v="11546.69"/>
    <x v="0"/>
    <x v="0"/>
  </r>
  <r>
    <x v="46"/>
    <x v="46"/>
    <x v="44"/>
    <x v="1"/>
    <m/>
    <x v="40"/>
    <n v="54.05"/>
    <x v="0"/>
    <x v="0"/>
  </r>
  <r>
    <x v="47"/>
    <x v="47"/>
    <x v="45"/>
    <x v="1"/>
    <m/>
    <x v="40"/>
    <n v="3138.38"/>
    <x v="0"/>
    <x v="0"/>
  </r>
  <r>
    <x v="48"/>
    <x v="48"/>
    <x v="46"/>
    <x v="1"/>
    <m/>
    <x v="40"/>
    <n v="45.73"/>
    <x v="0"/>
    <x v="0"/>
  </r>
  <r>
    <x v="49"/>
    <x v="49"/>
    <x v="47"/>
    <x v="1"/>
    <m/>
    <x v="40"/>
    <n v="397.34"/>
    <x v="0"/>
    <x v="0"/>
  </r>
  <r>
    <x v="51"/>
    <x v="50"/>
    <x v="49"/>
    <x v="1"/>
    <m/>
    <x v="40"/>
    <n v="514.54999999999995"/>
    <x v="0"/>
    <x v="0"/>
  </r>
  <r>
    <x v="53"/>
    <x v="52"/>
    <x v="48"/>
    <x v="1"/>
    <m/>
    <x v="40"/>
    <n v="2411.79"/>
    <x v="0"/>
    <x v="0"/>
  </r>
  <r>
    <x v="3"/>
    <x v="3"/>
    <x v="3"/>
    <x v="1"/>
    <s v="B09"/>
    <x v="41"/>
    <n v="508.77"/>
    <x v="0"/>
    <x v="0"/>
  </r>
  <r>
    <x v="3"/>
    <x v="3"/>
    <x v="3"/>
    <x v="1"/>
    <s v="D02"/>
    <x v="42"/>
    <n v="400"/>
    <x v="0"/>
    <x v="0"/>
  </r>
  <r>
    <x v="9"/>
    <x v="9"/>
    <x v="9"/>
    <x v="1"/>
    <s v="D02"/>
    <x v="42"/>
    <n v="1066.7"/>
    <x v="0"/>
    <x v="0"/>
  </r>
  <r>
    <x v="10"/>
    <x v="10"/>
    <x v="10"/>
    <x v="1"/>
    <s v="D02"/>
    <x v="42"/>
    <n v="1733.4"/>
    <x v="0"/>
    <x v="0"/>
  </r>
  <r>
    <x v="19"/>
    <x v="19"/>
    <x v="19"/>
    <x v="1"/>
    <s v="D02"/>
    <x v="42"/>
    <n v="1733.4"/>
    <x v="0"/>
    <x v="0"/>
  </r>
  <r>
    <x v="20"/>
    <x v="20"/>
    <x v="20"/>
    <x v="1"/>
    <s v="D02"/>
    <x v="42"/>
    <n v="2000"/>
    <x v="0"/>
    <x v="0"/>
  </r>
  <r>
    <x v="28"/>
    <x v="28"/>
    <x v="27"/>
    <x v="1"/>
    <s v="D02"/>
    <x v="42"/>
    <n v="400"/>
    <x v="0"/>
    <x v="0"/>
  </r>
  <r>
    <x v="30"/>
    <x v="30"/>
    <x v="28"/>
    <x v="1"/>
    <s v="D02"/>
    <x v="42"/>
    <n v="666.7"/>
    <x v="0"/>
    <x v="0"/>
  </r>
  <r>
    <x v="33"/>
    <x v="33"/>
    <x v="31"/>
    <x v="1"/>
    <s v="D02"/>
    <x v="42"/>
    <n v="400"/>
    <x v="0"/>
    <x v="0"/>
  </r>
  <r>
    <x v="40"/>
    <x v="40"/>
    <x v="38"/>
    <x v="1"/>
    <s v="D02"/>
    <x v="42"/>
    <n v="1000"/>
    <x v="0"/>
    <x v="0"/>
  </r>
  <r>
    <x v="44"/>
    <x v="44"/>
    <x v="42"/>
    <x v="1"/>
    <s v="D02"/>
    <x v="42"/>
    <n v="1000"/>
    <x v="0"/>
    <x v="0"/>
  </r>
  <r>
    <x v="4"/>
    <x v="4"/>
    <x v="4"/>
    <x v="1"/>
    <m/>
    <x v="43"/>
    <n v="4623.62"/>
    <x v="0"/>
    <x v="0"/>
  </r>
  <r>
    <x v="51"/>
    <x v="50"/>
    <x v="49"/>
    <x v="1"/>
    <m/>
    <x v="43"/>
    <n v="3615.97"/>
    <x v="0"/>
    <x v="0"/>
  </r>
  <r>
    <x v="8"/>
    <x v="8"/>
    <x v="8"/>
    <x v="1"/>
    <s v="A06.b"/>
    <x v="44"/>
    <n v="730.2"/>
    <x v="0"/>
    <x v="0"/>
  </r>
  <r>
    <x v="14"/>
    <x v="14"/>
    <x v="14"/>
    <x v="1"/>
    <s v="B08"/>
    <x v="45"/>
    <n v="477.3"/>
    <x v="0"/>
    <x v="0"/>
  </r>
  <r>
    <x v="14"/>
    <x v="14"/>
    <x v="14"/>
    <x v="1"/>
    <s v="B08"/>
    <x v="46"/>
    <n v="-799.96"/>
    <x v="0"/>
    <x v="0"/>
  </r>
  <r>
    <x v="15"/>
    <x v="15"/>
    <x v="15"/>
    <x v="1"/>
    <s v="D09"/>
    <x v="42"/>
    <n v="666.7"/>
    <x v="0"/>
    <x v="0"/>
  </r>
  <r>
    <x v="20"/>
    <x v="20"/>
    <x v="20"/>
    <x v="1"/>
    <s v="D09"/>
    <x v="42"/>
    <n v="666.7"/>
    <x v="0"/>
    <x v="0"/>
  </r>
  <r>
    <x v="35"/>
    <x v="35"/>
    <x v="33"/>
    <x v="1"/>
    <s v="D09"/>
    <x v="42"/>
    <n v="666.7"/>
    <x v="0"/>
    <x v="0"/>
  </r>
  <r>
    <x v="16"/>
    <x v="16"/>
    <x v="16"/>
    <x v="0"/>
    <s v="D01"/>
    <x v="47"/>
    <n v="23635.56"/>
    <x v="0"/>
    <x v="0"/>
  </r>
  <r>
    <x v="16"/>
    <x v="16"/>
    <x v="16"/>
    <x v="1"/>
    <s v="D01"/>
    <x v="47"/>
    <n v="709.05"/>
    <x v="0"/>
    <x v="0"/>
  </r>
  <r>
    <x v="21"/>
    <x v="21"/>
    <x v="21"/>
    <x v="0"/>
    <s v="D01"/>
    <x v="47"/>
    <n v="30623.73"/>
    <x v="0"/>
    <x v="0"/>
  </r>
  <r>
    <x v="21"/>
    <x v="21"/>
    <x v="21"/>
    <x v="1"/>
    <s v="D01"/>
    <x v="47"/>
    <n v="918.69"/>
    <x v="0"/>
    <x v="0"/>
  </r>
  <r>
    <x v="23"/>
    <x v="23"/>
    <x v="23"/>
    <x v="0"/>
    <s v="D01"/>
    <x v="47"/>
    <n v="30623.73"/>
    <x v="0"/>
    <x v="0"/>
  </r>
  <r>
    <x v="23"/>
    <x v="23"/>
    <x v="23"/>
    <x v="1"/>
    <s v="D01"/>
    <x v="47"/>
    <n v="1837.41"/>
    <x v="0"/>
    <x v="0"/>
  </r>
  <r>
    <x v="29"/>
    <x v="29"/>
    <x v="6"/>
    <x v="0"/>
    <s v="D01"/>
    <x v="47"/>
    <n v="30623.73"/>
    <x v="0"/>
    <x v="0"/>
  </r>
  <r>
    <x v="29"/>
    <x v="29"/>
    <x v="6"/>
    <x v="1"/>
    <s v="D01"/>
    <x v="47"/>
    <n v="918.69"/>
    <x v="0"/>
    <x v="0"/>
  </r>
  <r>
    <x v="33"/>
    <x v="33"/>
    <x v="31"/>
    <x v="0"/>
    <s v="D01"/>
    <x v="47"/>
    <n v="32762.7"/>
    <x v="0"/>
    <x v="0"/>
  </r>
  <r>
    <x v="33"/>
    <x v="33"/>
    <x v="31"/>
    <x v="1"/>
    <s v="D01"/>
    <x v="47"/>
    <n v="982.89"/>
    <x v="0"/>
    <x v="0"/>
  </r>
  <r>
    <x v="35"/>
    <x v="35"/>
    <x v="33"/>
    <x v="0"/>
    <s v="D01"/>
    <x v="47"/>
    <n v="12810.26"/>
    <x v="0"/>
    <x v="0"/>
  </r>
  <r>
    <x v="35"/>
    <x v="35"/>
    <x v="33"/>
    <x v="1"/>
    <s v="D01"/>
    <x v="47"/>
    <n v="384.3"/>
    <x v="0"/>
    <x v="0"/>
  </r>
  <r>
    <x v="37"/>
    <x v="37"/>
    <x v="35"/>
    <x v="0"/>
    <s v="D01"/>
    <x v="47"/>
    <n v="10663.86"/>
    <x v="0"/>
    <x v="0"/>
  </r>
  <r>
    <x v="37"/>
    <x v="37"/>
    <x v="35"/>
    <x v="1"/>
    <s v="D01"/>
    <x v="47"/>
    <n v="319.92"/>
    <x v="0"/>
    <x v="0"/>
  </r>
  <r>
    <x v="50"/>
    <x v="49"/>
    <x v="48"/>
    <x v="0"/>
    <s v="D01"/>
    <x v="47"/>
    <n v="6772.38"/>
    <x v="0"/>
    <x v="0"/>
  </r>
  <r>
    <x v="50"/>
    <x v="49"/>
    <x v="48"/>
    <x v="1"/>
    <s v="D01"/>
    <x v="47"/>
    <n v="203.16"/>
    <x v="0"/>
    <x v="0"/>
  </r>
  <r>
    <x v="18"/>
    <x v="18"/>
    <x v="18"/>
    <x v="1"/>
    <s v="B08"/>
    <x v="48"/>
    <n v="-92.3"/>
    <x v="0"/>
    <x v="0"/>
  </r>
  <r>
    <x v="18"/>
    <x v="18"/>
    <x v="18"/>
    <x v="0"/>
    <s v="D02"/>
    <x v="49"/>
    <n v="5"/>
    <x v="0"/>
    <x v="0"/>
  </r>
  <r>
    <x v="19"/>
    <x v="19"/>
    <x v="19"/>
    <x v="1"/>
    <s v="I06"/>
    <x v="50"/>
    <n v="3846.18"/>
    <x v="0"/>
    <x v="0"/>
  </r>
  <r>
    <x v="22"/>
    <x v="22"/>
    <x v="22"/>
    <x v="0"/>
    <s v="I06"/>
    <x v="50"/>
    <n v="106.4"/>
    <x v="0"/>
    <x v="0"/>
  </r>
  <r>
    <x v="22"/>
    <x v="22"/>
    <x v="22"/>
    <x v="1"/>
    <s v="I06"/>
    <x v="50"/>
    <n v="3100.99"/>
    <x v="0"/>
    <x v="0"/>
  </r>
  <r>
    <x v="22"/>
    <x v="22"/>
    <x v="22"/>
    <x v="1"/>
    <s v="B08"/>
    <x v="51"/>
    <n v="299.24"/>
    <x v="0"/>
    <x v="0"/>
  </r>
  <r>
    <x v="22"/>
    <x v="22"/>
    <x v="22"/>
    <x v="0"/>
    <s v="I04"/>
    <x v="52"/>
    <n v="4"/>
    <x v="0"/>
    <x v="0"/>
  </r>
  <r>
    <x v="22"/>
    <x v="22"/>
    <x v="22"/>
    <x v="1"/>
    <s v="I04"/>
    <x v="52"/>
    <n v="885.88"/>
    <x v="0"/>
    <x v="0"/>
  </r>
  <r>
    <x v="45"/>
    <x v="45"/>
    <x v="43"/>
    <x v="0"/>
    <s v="I04"/>
    <x v="52"/>
    <n v="2"/>
    <x v="0"/>
    <x v="0"/>
  </r>
  <r>
    <x v="45"/>
    <x v="45"/>
    <x v="43"/>
    <x v="1"/>
    <s v="I04"/>
    <x v="52"/>
    <n v="746.04"/>
    <x v="0"/>
    <x v="0"/>
  </r>
  <r>
    <x v="49"/>
    <x v="49"/>
    <x v="47"/>
    <x v="0"/>
    <s v="I04"/>
    <x v="52"/>
    <n v="1"/>
    <x v="0"/>
    <x v="0"/>
  </r>
  <r>
    <x v="49"/>
    <x v="49"/>
    <x v="47"/>
    <x v="1"/>
    <s v="I04"/>
    <x v="52"/>
    <n v="132.44999999999999"/>
    <x v="0"/>
    <x v="0"/>
  </r>
  <r>
    <x v="46"/>
    <x v="46"/>
    <x v="44"/>
    <x v="0"/>
    <m/>
    <x v="53"/>
    <n v="4"/>
    <x v="0"/>
    <x v="0"/>
  </r>
  <r>
    <x v="31"/>
    <x v="31"/>
    <x v="29"/>
    <x v="0"/>
    <s v="B04.1"/>
    <x v="54"/>
    <n v="5.5"/>
    <x v="0"/>
    <x v="0"/>
  </r>
  <r>
    <x v="31"/>
    <x v="31"/>
    <x v="29"/>
    <x v="1"/>
    <s v="B04.1"/>
    <x v="54"/>
    <n v="1679"/>
    <x v="0"/>
    <x v="0"/>
  </r>
  <r>
    <x v="42"/>
    <x v="42"/>
    <x v="40"/>
    <x v="0"/>
    <s v="B04.1"/>
    <x v="54"/>
    <n v="6.5"/>
    <x v="0"/>
    <x v="0"/>
  </r>
  <r>
    <x v="42"/>
    <x v="42"/>
    <x v="40"/>
    <x v="1"/>
    <s v="B04.1"/>
    <x v="54"/>
    <n v="2411.41"/>
    <x v="0"/>
    <x v="0"/>
  </r>
  <r>
    <x v="50"/>
    <x v="49"/>
    <x v="48"/>
    <x v="0"/>
    <s v="D01"/>
    <x v="55"/>
    <n v="2329.13"/>
    <x v="0"/>
    <x v="0"/>
  </r>
  <r>
    <x v="50"/>
    <x v="49"/>
    <x v="48"/>
    <x v="1"/>
    <s v="D01"/>
    <x v="55"/>
    <n v="69.87"/>
    <x v="0"/>
    <x v="0"/>
  </r>
  <r>
    <x v="50"/>
    <x v="49"/>
    <x v="48"/>
    <x v="1"/>
    <s v="D02"/>
    <x v="56"/>
    <n v="1422.84"/>
    <x v="0"/>
    <x v="0"/>
  </r>
  <r>
    <x v="1"/>
    <x v="1"/>
    <x v="1"/>
    <x v="1"/>
    <m/>
    <x v="57"/>
    <n v="2830.3"/>
    <x v="1"/>
    <x v="1"/>
  </r>
  <r>
    <x v="2"/>
    <x v="2"/>
    <x v="2"/>
    <x v="1"/>
    <m/>
    <x v="57"/>
    <n v="2381.54"/>
    <x v="1"/>
    <x v="1"/>
  </r>
  <r>
    <x v="3"/>
    <x v="3"/>
    <x v="3"/>
    <x v="1"/>
    <m/>
    <x v="57"/>
    <n v="4334.71"/>
    <x v="1"/>
    <x v="1"/>
  </r>
  <r>
    <x v="4"/>
    <x v="4"/>
    <x v="4"/>
    <x v="1"/>
    <m/>
    <x v="57"/>
    <n v="7822.87"/>
    <x v="1"/>
    <x v="1"/>
  </r>
  <r>
    <x v="5"/>
    <x v="5"/>
    <x v="5"/>
    <x v="1"/>
    <m/>
    <x v="57"/>
    <n v="1607.81"/>
    <x v="1"/>
    <x v="1"/>
  </r>
  <r>
    <x v="6"/>
    <x v="6"/>
    <x v="6"/>
    <x v="1"/>
    <m/>
    <x v="57"/>
    <n v="3697.97"/>
    <x v="1"/>
    <x v="1"/>
  </r>
  <r>
    <x v="7"/>
    <x v="7"/>
    <x v="7"/>
    <x v="1"/>
    <m/>
    <x v="57"/>
    <n v="2641.41"/>
    <x v="1"/>
    <x v="1"/>
  </r>
  <r>
    <x v="8"/>
    <x v="8"/>
    <x v="8"/>
    <x v="1"/>
    <m/>
    <x v="57"/>
    <n v="15562.2"/>
    <x v="1"/>
    <x v="1"/>
  </r>
  <r>
    <x v="9"/>
    <x v="9"/>
    <x v="9"/>
    <x v="1"/>
    <m/>
    <x v="57"/>
    <n v="4513.9799999999996"/>
    <x v="1"/>
    <x v="1"/>
  </r>
  <r>
    <x v="10"/>
    <x v="10"/>
    <x v="10"/>
    <x v="1"/>
    <m/>
    <x v="57"/>
    <n v="16565.400000000001"/>
    <x v="1"/>
    <x v="1"/>
  </r>
  <r>
    <x v="11"/>
    <x v="11"/>
    <x v="11"/>
    <x v="1"/>
    <m/>
    <x v="57"/>
    <n v="6242.25"/>
    <x v="1"/>
    <x v="1"/>
  </r>
  <r>
    <x v="12"/>
    <x v="12"/>
    <x v="12"/>
    <x v="1"/>
    <m/>
    <x v="57"/>
    <n v="2756.25"/>
    <x v="1"/>
    <x v="1"/>
  </r>
  <r>
    <x v="13"/>
    <x v="13"/>
    <x v="13"/>
    <x v="1"/>
    <m/>
    <x v="57"/>
    <n v="2370.0500000000002"/>
    <x v="1"/>
    <x v="1"/>
  </r>
  <r>
    <x v="14"/>
    <x v="14"/>
    <x v="14"/>
    <x v="1"/>
    <m/>
    <x v="57"/>
    <n v="1514.84"/>
    <x v="1"/>
    <x v="1"/>
  </r>
  <r>
    <x v="15"/>
    <x v="15"/>
    <x v="15"/>
    <x v="1"/>
    <m/>
    <x v="57"/>
    <n v="3836.39"/>
    <x v="1"/>
    <x v="1"/>
  </r>
  <r>
    <x v="16"/>
    <x v="16"/>
    <x v="16"/>
    <x v="1"/>
    <m/>
    <x v="57"/>
    <n v="1721.55"/>
    <x v="1"/>
    <x v="1"/>
  </r>
  <r>
    <x v="18"/>
    <x v="18"/>
    <x v="18"/>
    <x v="1"/>
    <m/>
    <x v="57"/>
    <n v="8282.7000000000007"/>
    <x v="1"/>
    <x v="1"/>
  </r>
  <r>
    <x v="19"/>
    <x v="19"/>
    <x v="19"/>
    <x v="1"/>
    <m/>
    <x v="57"/>
    <n v="7454.58"/>
    <x v="1"/>
    <x v="1"/>
  </r>
  <r>
    <x v="20"/>
    <x v="20"/>
    <x v="20"/>
    <x v="1"/>
    <m/>
    <x v="57"/>
    <n v="6416.7"/>
    <x v="1"/>
    <x v="1"/>
  </r>
  <r>
    <x v="21"/>
    <x v="21"/>
    <x v="21"/>
    <x v="1"/>
    <m/>
    <x v="57"/>
    <n v="2658.27"/>
    <x v="1"/>
    <x v="1"/>
  </r>
  <r>
    <x v="22"/>
    <x v="22"/>
    <x v="22"/>
    <x v="1"/>
    <m/>
    <x v="57"/>
    <n v="6500.8"/>
    <x v="1"/>
    <x v="1"/>
  </r>
  <r>
    <x v="23"/>
    <x v="23"/>
    <x v="23"/>
    <x v="1"/>
    <m/>
    <x v="57"/>
    <n v="4291.0600000000004"/>
    <x v="1"/>
    <x v="1"/>
  </r>
  <r>
    <x v="24"/>
    <x v="24"/>
    <x v="7"/>
    <x v="1"/>
    <m/>
    <x v="57"/>
    <n v="45.73"/>
    <x v="1"/>
    <x v="1"/>
  </r>
  <r>
    <x v="25"/>
    <x v="25"/>
    <x v="24"/>
    <x v="1"/>
    <m/>
    <x v="57"/>
    <n v="2093.75"/>
    <x v="1"/>
    <x v="1"/>
  </r>
  <r>
    <x v="26"/>
    <x v="26"/>
    <x v="25"/>
    <x v="1"/>
    <m/>
    <x v="57"/>
    <n v="2205"/>
    <x v="1"/>
    <x v="1"/>
  </r>
  <r>
    <x v="28"/>
    <x v="28"/>
    <x v="27"/>
    <x v="1"/>
    <m/>
    <x v="57"/>
    <n v="2759.58"/>
    <x v="1"/>
    <x v="1"/>
  </r>
  <r>
    <x v="29"/>
    <x v="29"/>
    <x v="6"/>
    <x v="1"/>
    <m/>
    <x v="57"/>
    <n v="3021.82"/>
    <x v="1"/>
    <x v="1"/>
  </r>
  <r>
    <x v="30"/>
    <x v="30"/>
    <x v="28"/>
    <x v="1"/>
    <m/>
    <x v="57"/>
    <n v="4052.33"/>
    <x v="1"/>
    <x v="1"/>
  </r>
  <r>
    <x v="31"/>
    <x v="31"/>
    <x v="29"/>
    <x v="1"/>
    <m/>
    <x v="57"/>
    <n v="1679"/>
    <x v="1"/>
    <x v="1"/>
  </r>
  <r>
    <x v="32"/>
    <x v="32"/>
    <x v="30"/>
    <x v="1"/>
    <m/>
    <x v="57"/>
    <n v="1230"/>
    <x v="1"/>
    <x v="1"/>
  </r>
  <r>
    <x v="33"/>
    <x v="33"/>
    <x v="31"/>
    <x v="1"/>
    <m/>
    <x v="57"/>
    <n v="2923.1"/>
    <x v="1"/>
    <x v="1"/>
  </r>
  <r>
    <x v="34"/>
    <x v="34"/>
    <x v="32"/>
    <x v="1"/>
    <m/>
    <x v="57"/>
    <n v="6169.58"/>
    <x v="1"/>
    <x v="1"/>
  </r>
  <r>
    <x v="35"/>
    <x v="35"/>
    <x v="33"/>
    <x v="1"/>
    <m/>
    <x v="57"/>
    <n v="3076"/>
    <x v="1"/>
    <x v="1"/>
  </r>
  <r>
    <x v="37"/>
    <x v="37"/>
    <x v="35"/>
    <x v="1"/>
    <m/>
    <x v="57"/>
    <n v="2141.0100000000002"/>
    <x v="1"/>
    <x v="1"/>
  </r>
  <r>
    <x v="38"/>
    <x v="38"/>
    <x v="36"/>
    <x v="1"/>
    <m/>
    <x v="57"/>
    <n v="13500"/>
    <x v="1"/>
    <x v="1"/>
  </r>
  <r>
    <x v="40"/>
    <x v="40"/>
    <x v="38"/>
    <x v="1"/>
    <m/>
    <x v="57"/>
    <n v="3866.5"/>
    <x v="1"/>
    <x v="1"/>
  </r>
  <r>
    <x v="41"/>
    <x v="41"/>
    <x v="39"/>
    <x v="1"/>
    <m/>
    <x v="57"/>
    <n v="3169.69"/>
    <x v="1"/>
    <x v="1"/>
  </r>
  <r>
    <x v="42"/>
    <x v="42"/>
    <x v="40"/>
    <x v="1"/>
    <m/>
    <x v="57"/>
    <n v="9723.91"/>
    <x v="1"/>
    <x v="1"/>
  </r>
  <r>
    <x v="43"/>
    <x v="43"/>
    <x v="41"/>
    <x v="1"/>
    <m/>
    <x v="57"/>
    <n v="2113.13"/>
    <x v="1"/>
    <x v="1"/>
  </r>
  <r>
    <x v="44"/>
    <x v="44"/>
    <x v="42"/>
    <x v="1"/>
    <m/>
    <x v="57"/>
    <n v="3641.41"/>
    <x v="1"/>
    <x v="1"/>
  </r>
  <r>
    <x v="45"/>
    <x v="45"/>
    <x v="43"/>
    <x v="1"/>
    <m/>
    <x v="57"/>
    <n v="15202.73"/>
    <x v="1"/>
    <x v="1"/>
  </r>
  <r>
    <x v="46"/>
    <x v="46"/>
    <x v="44"/>
    <x v="1"/>
    <m/>
    <x v="57"/>
    <n v="54.05"/>
    <x v="1"/>
    <x v="1"/>
  </r>
  <r>
    <x v="47"/>
    <x v="47"/>
    <x v="45"/>
    <x v="1"/>
    <m/>
    <x v="57"/>
    <n v="3638.38"/>
    <x v="1"/>
    <x v="1"/>
  </r>
  <r>
    <x v="48"/>
    <x v="48"/>
    <x v="46"/>
    <x v="1"/>
    <m/>
    <x v="57"/>
    <n v="45.73"/>
    <x v="1"/>
    <x v="1"/>
  </r>
  <r>
    <x v="49"/>
    <x v="49"/>
    <x v="47"/>
    <x v="1"/>
    <m/>
    <x v="57"/>
    <n v="529.79"/>
    <x v="1"/>
    <x v="1"/>
  </r>
  <r>
    <x v="50"/>
    <x v="49"/>
    <x v="48"/>
    <x v="1"/>
    <m/>
    <x v="57"/>
    <n v="2329.1999999999998"/>
    <x v="1"/>
    <x v="1"/>
  </r>
  <r>
    <x v="51"/>
    <x v="50"/>
    <x v="49"/>
    <x v="1"/>
    <m/>
    <x v="57"/>
    <n v="4814.76"/>
    <x v="1"/>
    <x v="1"/>
  </r>
  <r>
    <x v="53"/>
    <x v="52"/>
    <x v="48"/>
    <x v="1"/>
    <m/>
    <x v="57"/>
    <n v="2411.79"/>
    <x v="1"/>
    <x v="1"/>
  </r>
  <r>
    <x v="0"/>
    <x v="0"/>
    <x v="0"/>
    <x v="0"/>
    <m/>
    <x v="58"/>
    <n v="606.67999999999995"/>
    <x v="0"/>
    <x v="0"/>
  </r>
  <r>
    <x v="1"/>
    <x v="1"/>
    <x v="1"/>
    <x v="0"/>
    <m/>
    <x v="58"/>
    <n v="987.96"/>
    <x v="0"/>
    <x v="0"/>
  </r>
  <r>
    <x v="2"/>
    <x v="2"/>
    <x v="2"/>
    <x v="0"/>
    <m/>
    <x v="58"/>
    <n v="1976.04"/>
    <x v="0"/>
    <x v="0"/>
  </r>
  <r>
    <x v="3"/>
    <x v="3"/>
    <x v="3"/>
    <x v="0"/>
    <m/>
    <x v="58"/>
    <n v="481.34"/>
    <x v="0"/>
    <x v="0"/>
  </r>
  <r>
    <x v="4"/>
    <x v="4"/>
    <x v="4"/>
    <x v="0"/>
    <m/>
    <x v="58"/>
    <n v="544.67999999999995"/>
    <x v="0"/>
    <x v="0"/>
  </r>
  <r>
    <x v="5"/>
    <x v="5"/>
    <x v="5"/>
    <x v="0"/>
    <m/>
    <x v="58"/>
    <n v="1960.84"/>
    <x v="0"/>
    <x v="0"/>
  </r>
  <r>
    <x v="6"/>
    <x v="6"/>
    <x v="6"/>
    <x v="0"/>
    <m/>
    <x v="58"/>
    <n v="1976.04"/>
    <x v="0"/>
    <x v="0"/>
  </r>
  <r>
    <x v="7"/>
    <x v="7"/>
    <x v="7"/>
    <x v="0"/>
    <m/>
    <x v="58"/>
    <n v="1436.43"/>
    <x v="0"/>
    <x v="0"/>
  </r>
  <r>
    <x v="9"/>
    <x v="9"/>
    <x v="9"/>
    <x v="0"/>
    <m/>
    <x v="58"/>
    <n v="1960.84"/>
    <x v="0"/>
    <x v="0"/>
  </r>
  <r>
    <x v="10"/>
    <x v="10"/>
    <x v="10"/>
    <x v="0"/>
    <m/>
    <x v="58"/>
    <n v="1864.57"/>
    <x v="0"/>
    <x v="0"/>
  </r>
  <r>
    <x v="11"/>
    <x v="11"/>
    <x v="11"/>
    <x v="0"/>
    <m/>
    <x v="58"/>
    <n v="1922.84"/>
    <x v="0"/>
    <x v="0"/>
  </r>
  <r>
    <x v="12"/>
    <x v="12"/>
    <x v="12"/>
    <x v="0"/>
    <m/>
    <x v="58"/>
    <n v="1976.04"/>
    <x v="0"/>
    <x v="0"/>
  </r>
  <r>
    <x v="13"/>
    <x v="13"/>
    <x v="13"/>
    <x v="0"/>
    <m/>
    <x v="58"/>
    <n v="1442.26"/>
    <x v="0"/>
    <x v="0"/>
  </r>
  <r>
    <x v="14"/>
    <x v="14"/>
    <x v="14"/>
    <x v="0"/>
    <m/>
    <x v="58"/>
    <n v="1416.11"/>
    <x v="0"/>
    <x v="0"/>
  </r>
  <r>
    <x v="15"/>
    <x v="15"/>
    <x v="15"/>
    <x v="0"/>
    <m/>
    <x v="58"/>
    <n v="1976.04"/>
    <x v="0"/>
    <x v="0"/>
  </r>
  <r>
    <x v="16"/>
    <x v="16"/>
    <x v="16"/>
    <x v="0"/>
    <m/>
    <x v="58"/>
    <n v="1549.18"/>
    <x v="0"/>
    <x v="0"/>
  </r>
  <r>
    <x v="17"/>
    <x v="17"/>
    <x v="17"/>
    <x v="0"/>
    <m/>
    <x v="58"/>
    <n v="606.67999999999995"/>
    <x v="0"/>
    <x v="0"/>
  </r>
  <r>
    <x v="18"/>
    <x v="18"/>
    <x v="18"/>
    <x v="0"/>
    <m/>
    <x v="58"/>
    <n v="1968.44"/>
    <x v="0"/>
    <x v="0"/>
  </r>
  <r>
    <x v="19"/>
    <x v="19"/>
    <x v="19"/>
    <x v="0"/>
    <m/>
    <x v="58"/>
    <n v="1849.37"/>
    <x v="0"/>
    <x v="0"/>
  </r>
  <r>
    <x v="20"/>
    <x v="20"/>
    <x v="20"/>
    <x v="0"/>
    <m/>
    <x v="58"/>
    <n v="1976.04"/>
    <x v="0"/>
    <x v="0"/>
  </r>
  <r>
    <x v="21"/>
    <x v="21"/>
    <x v="21"/>
    <x v="0"/>
    <m/>
    <x v="58"/>
    <n v="1976.04"/>
    <x v="0"/>
    <x v="0"/>
  </r>
  <r>
    <x v="22"/>
    <x v="22"/>
    <x v="22"/>
    <x v="0"/>
    <m/>
    <x v="58"/>
    <n v="635.88"/>
    <x v="0"/>
    <x v="0"/>
  </r>
  <r>
    <x v="23"/>
    <x v="23"/>
    <x v="23"/>
    <x v="0"/>
    <m/>
    <x v="58"/>
    <n v="1976.04"/>
    <x v="0"/>
    <x v="0"/>
  </r>
  <r>
    <x v="24"/>
    <x v="24"/>
    <x v="7"/>
    <x v="0"/>
    <m/>
    <x v="58"/>
    <n v="1206.3599999999999"/>
    <x v="0"/>
    <x v="0"/>
  </r>
  <r>
    <x v="25"/>
    <x v="25"/>
    <x v="24"/>
    <x v="0"/>
    <m/>
    <x v="58"/>
    <n v="1976.04"/>
    <x v="0"/>
    <x v="0"/>
  </r>
  <r>
    <x v="26"/>
    <x v="26"/>
    <x v="25"/>
    <x v="0"/>
    <m/>
    <x v="58"/>
    <n v="1938.04"/>
    <x v="0"/>
    <x v="0"/>
  </r>
  <r>
    <x v="27"/>
    <x v="27"/>
    <x v="26"/>
    <x v="0"/>
    <m/>
    <x v="58"/>
    <n v="389.67"/>
    <x v="0"/>
    <x v="0"/>
  </r>
  <r>
    <x v="28"/>
    <x v="28"/>
    <x v="27"/>
    <x v="0"/>
    <m/>
    <x v="58"/>
    <n v="405.34"/>
    <x v="0"/>
    <x v="0"/>
  </r>
  <r>
    <x v="29"/>
    <x v="29"/>
    <x v="6"/>
    <x v="0"/>
    <m/>
    <x v="58"/>
    <n v="1976.04"/>
    <x v="0"/>
    <x v="0"/>
  </r>
  <r>
    <x v="30"/>
    <x v="30"/>
    <x v="28"/>
    <x v="0"/>
    <m/>
    <x v="58"/>
    <n v="1976.04"/>
    <x v="0"/>
    <x v="0"/>
  </r>
  <r>
    <x v="32"/>
    <x v="32"/>
    <x v="30"/>
    <x v="0"/>
    <m/>
    <x v="58"/>
    <n v="1960.84"/>
    <x v="0"/>
    <x v="0"/>
  </r>
  <r>
    <x v="33"/>
    <x v="33"/>
    <x v="31"/>
    <x v="0"/>
    <m/>
    <x v="58"/>
    <n v="1938.04"/>
    <x v="0"/>
    <x v="0"/>
  </r>
  <r>
    <x v="34"/>
    <x v="34"/>
    <x v="32"/>
    <x v="0"/>
    <m/>
    <x v="58"/>
    <n v="1352.83"/>
    <x v="0"/>
    <x v="0"/>
  </r>
  <r>
    <x v="35"/>
    <x v="35"/>
    <x v="33"/>
    <x v="0"/>
    <m/>
    <x v="58"/>
    <n v="1976.04"/>
    <x v="0"/>
    <x v="0"/>
  </r>
  <r>
    <x v="36"/>
    <x v="36"/>
    <x v="34"/>
    <x v="0"/>
    <m/>
    <x v="58"/>
    <n v="606.67999999999995"/>
    <x v="0"/>
    <x v="0"/>
  </r>
  <r>
    <x v="37"/>
    <x v="37"/>
    <x v="35"/>
    <x v="0"/>
    <m/>
    <x v="58"/>
    <n v="1846.84"/>
    <x v="0"/>
    <x v="0"/>
  </r>
  <r>
    <x v="38"/>
    <x v="38"/>
    <x v="36"/>
    <x v="0"/>
    <m/>
    <x v="58"/>
    <n v="1953.24"/>
    <x v="0"/>
    <x v="0"/>
  </r>
  <r>
    <x v="39"/>
    <x v="39"/>
    <x v="37"/>
    <x v="0"/>
    <m/>
    <x v="58"/>
    <n v="1071.6199999999999"/>
    <x v="0"/>
    <x v="0"/>
  </r>
  <r>
    <x v="40"/>
    <x v="40"/>
    <x v="38"/>
    <x v="0"/>
    <m/>
    <x v="58"/>
    <n v="1976.04"/>
    <x v="0"/>
    <x v="0"/>
  </r>
  <r>
    <x v="41"/>
    <x v="41"/>
    <x v="39"/>
    <x v="0"/>
    <m/>
    <x v="58"/>
    <n v="1976.04"/>
    <x v="0"/>
    <x v="0"/>
  </r>
  <r>
    <x v="43"/>
    <x v="43"/>
    <x v="41"/>
    <x v="0"/>
    <m/>
    <x v="58"/>
    <n v="1976.04"/>
    <x v="0"/>
    <x v="0"/>
  </r>
  <r>
    <x v="44"/>
    <x v="44"/>
    <x v="42"/>
    <x v="0"/>
    <m/>
    <x v="58"/>
    <n v="1302.1600000000001"/>
    <x v="0"/>
    <x v="0"/>
  </r>
  <r>
    <x v="45"/>
    <x v="45"/>
    <x v="43"/>
    <x v="0"/>
    <m/>
    <x v="58"/>
    <n v="329.34"/>
    <x v="0"/>
    <x v="0"/>
  </r>
  <r>
    <x v="46"/>
    <x v="46"/>
    <x v="44"/>
    <x v="0"/>
    <m/>
    <x v="58"/>
    <n v="991.69"/>
    <x v="0"/>
    <x v="0"/>
  </r>
  <r>
    <x v="47"/>
    <x v="47"/>
    <x v="45"/>
    <x v="0"/>
    <m/>
    <x v="58"/>
    <n v="1041.22"/>
    <x v="0"/>
    <x v="0"/>
  </r>
  <r>
    <x v="48"/>
    <x v="48"/>
    <x v="46"/>
    <x v="0"/>
    <m/>
    <x v="58"/>
    <n v="1192.3599999999999"/>
    <x v="0"/>
    <x v="0"/>
  </r>
  <r>
    <x v="49"/>
    <x v="49"/>
    <x v="47"/>
    <x v="0"/>
    <m/>
    <x v="58"/>
    <n v="164.67"/>
    <x v="0"/>
    <x v="0"/>
  </r>
  <r>
    <x v="50"/>
    <x v="49"/>
    <x v="48"/>
    <x v="0"/>
    <m/>
    <x v="58"/>
    <n v="1960.84"/>
    <x v="0"/>
    <x v="0"/>
  </r>
  <r>
    <x v="51"/>
    <x v="50"/>
    <x v="49"/>
    <x v="0"/>
    <m/>
    <x v="58"/>
    <n v="76"/>
    <x v="0"/>
    <x v="0"/>
  </r>
  <r>
    <x v="52"/>
    <x v="51"/>
    <x v="50"/>
    <x v="0"/>
    <m/>
    <x v="58"/>
    <n v="1114.69"/>
    <x v="0"/>
    <x v="0"/>
  </r>
  <r>
    <x v="53"/>
    <x v="52"/>
    <x v="48"/>
    <x v="0"/>
    <m/>
    <x v="58"/>
    <n v="329.34"/>
    <x v="0"/>
    <x v="0"/>
  </r>
  <r>
    <x v="31"/>
    <x v="31"/>
    <x v="29"/>
    <x v="0"/>
    <m/>
    <x v="59"/>
    <n v="187"/>
    <x v="5"/>
    <x v="0"/>
  </r>
  <r>
    <x v="34"/>
    <x v="34"/>
    <x v="32"/>
    <x v="0"/>
    <m/>
    <x v="59"/>
    <n v="31"/>
    <x v="5"/>
    <x v="0"/>
  </r>
  <r>
    <x v="42"/>
    <x v="42"/>
    <x v="40"/>
    <x v="0"/>
    <m/>
    <x v="59"/>
    <n v="175.5"/>
    <x v="5"/>
    <x v="0"/>
  </r>
  <r>
    <x v="0"/>
    <x v="0"/>
    <x v="0"/>
    <x v="0"/>
    <m/>
    <x v="60"/>
    <n v="606.67999999999995"/>
    <x v="6"/>
    <x v="0"/>
  </r>
  <r>
    <x v="1"/>
    <x v="1"/>
    <x v="1"/>
    <x v="0"/>
    <m/>
    <x v="60"/>
    <n v="987.96"/>
    <x v="6"/>
    <x v="0"/>
  </r>
  <r>
    <x v="2"/>
    <x v="2"/>
    <x v="2"/>
    <x v="0"/>
    <m/>
    <x v="60"/>
    <n v="1976.04"/>
    <x v="6"/>
    <x v="0"/>
  </r>
  <r>
    <x v="3"/>
    <x v="3"/>
    <x v="3"/>
    <x v="0"/>
    <m/>
    <x v="60"/>
    <n v="481.34"/>
    <x v="6"/>
    <x v="0"/>
  </r>
  <r>
    <x v="4"/>
    <x v="4"/>
    <x v="4"/>
    <x v="0"/>
    <m/>
    <x v="60"/>
    <n v="544.67999999999995"/>
    <x v="6"/>
    <x v="0"/>
  </r>
  <r>
    <x v="5"/>
    <x v="5"/>
    <x v="5"/>
    <x v="0"/>
    <m/>
    <x v="60"/>
    <n v="1960.84"/>
    <x v="6"/>
    <x v="0"/>
  </r>
  <r>
    <x v="6"/>
    <x v="6"/>
    <x v="6"/>
    <x v="0"/>
    <m/>
    <x v="60"/>
    <n v="1976.04"/>
    <x v="6"/>
    <x v="0"/>
  </r>
  <r>
    <x v="7"/>
    <x v="7"/>
    <x v="7"/>
    <x v="0"/>
    <m/>
    <x v="60"/>
    <n v="1436.43"/>
    <x v="6"/>
    <x v="0"/>
  </r>
  <r>
    <x v="9"/>
    <x v="9"/>
    <x v="9"/>
    <x v="0"/>
    <m/>
    <x v="60"/>
    <n v="1960.84"/>
    <x v="6"/>
    <x v="0"/>
  </r>
  <r>
    <x v="10"/>
    <x v="10"/>
    <x v="10"/>
    <x v="0"/>
    <m/>
    <x v="60"/>
    <n v="1864.57"/>
    <x v="6"/>
    <x v="0"/>
  </r>
  <r>
    <x v="11"/>
    <x v="11"/>
    <x v="11"/>
    <x v="0"/>
    <m/>
    <x v="60"/>
    <n v="1922.84"/>
    <x v="6"/>
    <x v="0"/>
  </r>
  <r>
    <x v="12"/>
    <x v="12"/>
    <x v="12"/>
    <x v="0"/>
    <m/>
    <x v="60"/>
    <n v="1976.04"/>
    <x v="6"/>
    <x v="0"/>
  </r>
  <r>
    <x v="13"/>
    <x v="13"/>
    <x v="13"/>
    <x v="0"/>
    <m/>
    <x v="60"/>
    <n v="1442.26"/>
    <x v="6"/>
    <x v="0"/>
  </r>
  <r>
    <x v="14"/>
    <x v="14"/>
    <x v="14"/>
    <x v="0"/>
    <m/>
    <x v="60"/>
    <n v="1416.11"/>
    <x v="6"/>
    <x v="0"/>
  </r>
  <r>
    <x v="15"/>
    <x v="15"/>
    <x v="15"/>
    <x v="0"/>
    <m/>
    <x v="60"/>
    <n v="1976.04"/>
    <x v="6"/>
    <x v="0"/>
  </r>
  <r>
    <x v="16"/>
    <x v="16"/>
    <x v="16"/>
    <x v="0"/>
    <m/>
    <x v="60"/>
    <n v="1549.18"/>
    <x v="6"/>
    <x v="0"/>
  </r>
  <r>
    <x v="17"/>
    <x v="17"/>
    <x v="17"/>
    <x v="0"/>
    <m/>
    <x v="60"/>
    <n v="606.67999999999995"/>
    <x v="6"/>
    <x v="0"/>
  </r>
  <r>
    <x v="18"/>
    <x v="18"/>
    <x v="18"/>
    <x v="0"/>
    <m/>
    <x v="60"/>
    <n v="1968.44"/>
    <x v="6"/>
    <x v="0"/>
  </r>
  <r>
    <x v="19"/>
    <x v="19"/>
    <x v="19"/>
    <x v="0"/>
    <m/>
    <x v="60"/>
    <n v="1849.37"/>
    <x v="6"/>
    <x v="0"/>
  </r>
  <r>
    <x v="20"/>
    <x v="20"/>
    <x v="20"/>
    <x v="0"/>
    <m/>
    <x v="60"/>
    <n v="1976.04"/>
    <x v="6"/>
    <x v="0"/>
  </r>
  <r>
    <x v="21"/>
    <x v="21"/>
    <x v="21"/>
    <x v="0"/>
    <m/>
    <x v="60"/>
    <n v="1976.04"/>
    <x v="6"/>
    <x v="0"/>
  </r>
  <r>
    <x v="22"/>
    <x v="22"/>
    <x v="22"/>
    <x v="0"/>
    <m/>
    <x v="60"/>
    <n v="635.88"/>
    <x v="6"/>
    <x v="0"/>
  </r>
  <r>
    <x v="23"/>
    <x v="23"/>
    <x v="23"/>
    <x v="0"/>
    <m/>
    <x v="60"/>
    <n v="1976.04"/>
    <x v="6"/>
    <x v="0"/>
  </r>
  <r>
    <x v="24"/>
    <x v="24"/>
    <x v="7"/>
    <x v="0"/>
    <m/>
    <x v="60"/>
    <n v="1206.3599999999999"/>
    <x v="6"/>
    <x v="0"/>
  </r>
  <r>
    <x v="25"/>
    <x v="25"/>
    <x v="24"/>
    <x v="0"/>
    <m/>
    <x v="60"/>
    <n v="1976.04"/>
    <x v="6"/>
    <x v="0"/>
  </r>
  <r>
    <x v="26"/>
    <x v="26"/>
    <x v="25"/>
    <x v="0"/>
    <m/>
    <x v="60"/>
    <n v="1938.04"/>
    <x v="6"/>
    <x v="0"/>
  </r>
  <r>
    <x v="27"/>
    <x v="27"/>
    <x v="26"/>
    <x v="0"/>
    <m/>
    <x v="60"/>
    <n v="389.67"/>
    <x v="6"/>
    <x v="0"/>
  </r>
  <r>
    <x v="28"/>
    <x v="28"/>
    <x v="27"/>
    <x v="0"/>
    <m/>
    <x v="60"/>
    <n v="405.34"/>
    <x v="6"/>
    <x v="0"/>
  </r>
  <r>
    <x v="29"/>
    <x v="29"/>
    <x v="6"/>
    <x v="0"/>
    <m/>
    <x v="60"/>
    <n v="1976.04"/>
    <x v="6"/>
    <x v="0"/>
  </r>
  <r>
    <x v="30"/>
    <x v="30"/>
    <x v="28"/>
    <x v="0"/>
    <m/>
    <x v="60"/>
    <n v="1976.04"/>
    <x v="6"/>
    <x v="0"/>
  </r>
  <r>
    <x v="32"/>
    <x v="32"/>
    <x v="30"/>
    <x v="0"/>
    <m/>
    <x v="60"/>
    <n v="1960.84"/>
    <x v="6"/>
    <x v="0"/>
  </r>
  <r>
    <x v="33"/>
    <x v="33"/>
    <x v="31"/>
    <x v="0"/>
    <m/>
    <x v="60"/>
    <n v="1938.04"/>
    <x v="6"/>
    <x v="0"/>
  </r>
  <r>
    <x v="34"/>
    <x v="34"/>
    <x v="32"/>
    <x v="0"/>
    <m/>
    <x v="60"/>
    <n v="1352.83"/>
    <x v="6"/>
    <x v="0"/>
  </r>
  <r>
    <x v="35"/>
    <x v="35"/>
    <x v="33"/>
    <x v="0"/>
    <m/>
    <x v="60"/>
    <n v="1976.04"/>
    <x v="6"/>
    <x v="0"/>
  </r>
  <r>
    <x v="36"/>
    <x v="36"/>
    <x v="34"/>
    <x v="0"/>
    <m/>
    <x v="60"/>
    <n v="606.67999999999995"/>
    <x v="6"/>
    <x v="0"/>
  </r>
  <r>
    <x v="37"/>
    <x v="37"/>
    <x v="35"/>
    <x v="0"/>
    <m/>
    <x v="60"/>
    <n v="1846.84"/>
    <x v="6"/>
    <x v="0"/>
  </r>
  <r>
    <x v="38"/>
    <x v="38"/>
    <x v="36"/>
    <x v="0"/>
    <m/>
    <x v="60"/>
    <n v="1953.24"/>
    <x v="6"/>
    <x v="0"/>
  </r>
  <r>
    <x v="39"/>
    <x v="39"/>
    <x v="37"/>
    <x v="0"/>
    <m/>
    <x v="60"/>
    <n v="1071.6199999999999"/>
    <x v="6"/>
    <x v="0"/>
  </r>
  <r>
    <x v="40"/>
    <x v="40"/>
    <x v="38"/>
    <x v="0"/>
    <m/>
    <x v="60"/>
    <n v="1976.04"/>
    <x v="6"/>
    <x v="0"/>
  </r>
  <r>
    <x v="41"/>
    <x v="41"/>
    <x v="39"/>
    <x v="0"/>
    <m/>
    <x v="60"/>
    <n v="1976.04"/>
    <x v="6"/>
    <x v="0"/>
  </r>
  <r>
    <x v="43"/>
    <x v="43"/>
    <x v="41"/>
    <x v="0"/>
    <m/>
    <x v="60"/>
    <n v="1976.04"/>
    <x v="6"/>
    <x v="0"/>
  </r>
  <r>
    <x v="44"/>
    <x v="44"/>
    <x v="42"/>
    <x v="0"/>
    <m/>
    <x v="60"/>
    <n v="1302.1600000000001"/>
    <x v="6"/>
    <x v="0"/>
  </r>
  <r>
    <x v="45"/>
    <x v="45"/>
    <x v="43"/>
    <x v="0"/>
    <m/>
    <x v="60"/>
    <n v="329.34"/>
    <x v="6"/>
    <x v="0"/>
  </r>
  <r>
    <x v="46"/>
    <x v="46"/>
    <x v="44"/>
    <x v="0"/>
    <m/>
    <x v="60"/>
    <n v="991.69"/>
    <x v="6"/>
    <x v="0"/>
  </r>
  <r>
    <x v="47"/>
    <x v="47"/>
    <x v="45"/>
    <x v="0"/>
    <m/>
    <x v="60"/>
    <n v="1041.22"/>
    <x v="6"/>
    <x v="0"/>
  </r>
  <r>
    <x v="48"/>
    <x v="48"/>
    <x v="46"/>
    <x v="0"/>
    <m/>
    <x v="60"/>
    <n v="1192.3599999999999"/>
    <x v="6"/>
    <x v="0"/>
  </r>
  <r>
    <x v="49"/>
    <x v="49"/>
    <x v="47"/>
    <x v="0"/>
    <m/>
    <x v="60"/>
    <n v="164.67"/>
    <x v="6"/>
    <x v="0"/>
  </r>
  <r>
    <x v="50"/>
    <x v="49"/>
    <x v="48"/>
    <x v="0"/>
    <m/>
    <x v="60"/>
    <n v="1960.84"/>
    <x v="6"/>
    <x v="0"/>
  </r>
  <r>
    <x v="51"/>
    <x v="50"/>
    <x v="49"/>
    <x v="0"/>
    <m/>
    <x v="60"/>
    <n v="76"/>
    <x v="6"/>
    <x v="0"/>
  </r>
  <r>
    <x v="52"/>
    <x v="51"/>
    <x v="50"/>
    <x v="0"/>
    <m/>
    <x v="60"/>
    <n v="1114.69"/>
    <x v="6"/>
    <x v="0"/>
  </r>
  <r>
    <x v="53"/>
    <x v="52"/>
    <x v="48"/>
    <x v="0"/>
    <m/>
    <x v="60"/>
    <n v="329.34"/>
    <x v="6"/>
    <x v="0"/>
  </r>
  <r>
    <x v="4"/>
    <x v="4"/>
    <x v="4"/>
    <x v="0"/>
    <m/>
    <x v="61"/>
    <n v="-520.33000000000004"/>
    <x v="0"/>
    <x v="0"/>
  </r>
  <r>
    <x v="4"/>
    <x v="4"/>
    <x v="4"/>
    <x v="1"/>
    <m/>
    <x v="61"/>
    <n v="-520.33000000000004"/>
    <x v="0"/>
    <x v="0"/>
  </r>
  <r>
    <x v="7"/>
    <x v="7"/>
    <x v="7"/>
    <x v="0"/>
    <m/>
    <x v="61"/>
    <n v="-713.23"/>
    <x v="0"/>
    <x v="0"/>
  </r>
  <r>
    <x v="7"/>
    <x v="7"/>
    <x v="7"/>
    <x v="1"/>
    <m/>
    <x v="61"/>
    <n v="-713.23"/>
    <x v="0"/>
    <x v="0"/>
  </r>
  <r>
    <x v="10"/>
    <x v="10"/>
    <x v="10"/>
    <x v="0"/>
    <m/>
    <x v="61"/>
    <n v="-410.36"/>
    <x v="0"/>
    <x v="0"/>
  </r>
  <r>
    <x v="10"/>
    <x v="10"/>
    <x v="10"/>
    <x v="1"/>
    <m/>
    <x v="61"/>
    <n v="-410.36"/>
    <x v="0"/>
    <x v="0"/>
  </r>
  <r>
    <x v="11"/>
    <x v="11"/>
    <x v="11"/>
    <x v="0"/>
    <m/>
    <x v="61"/>
    <n v="-93.27"/>
    <x v="0"/>
    <x v="0"/>
  </r>
  <r>
    <x v="11"/>
    <x v="11"/>
    <x v="11"/>
    <x v="1"/>
    <m/>
    <x v="61"/>
    <n v="-93.27"/>
    <x v="0"/>
    <x v="0"/>
  </r>
  <r>
    <x v="16"/>
    <x v="16"/>
    <x v="16"/>
    <x v="0"/>
    <m/>
    <x v="61"/>
    <n v="-413.67"/>
    <x v="0"/>
    <x v="0"/>
  </r>
  <r>
    <x v="16"/>
    <x v="16"/>
    <x v="16"/>
    <x v="1"/>
    <m/>
    <x v="61"/>
    <n v="-413.67"/>
    <x v="0"/>
    <x v="0"/>
  </r>
  <r>
    <x v="22"/>
    <x v="22"/>
    <x v="22"/>
    <x v="0"/>
    <m/>
    <x v="61"/>
    <n v="-22.77"/>
    <x v="0"/>
    <x v="0"/>
  </r>
  <r>
    <x v="22"/>
    <x v="22"/>
    <x v="22"/>
    <x v="1"/>
    <m/>
    <x v="61"/>
    <n v="-22.77"/>
    <x v="0"/>
    <x v="0"/>
  </r>
  <r>
    <x v="34"/>
    <x v="34"/>
    <x v="32"/>
    <x v="0"/>
    <m/>
    <x v="61"/>
    <n v="-466.3"/>
    <x v="0"/>
    <x v="0"/>
  </r>
  <r>
    <x v="34"/>
    <x v="34"/>
    <x v="32"/>
    <x v="1"/>
    <m/>
    <x v="61"/>
    <n v="-466.3"/>
    <x v="0"/>
    <x v="0"/>
  </r>
  <r>
    <x v="37"/>
    <x v="37"/>
    <x v="35"/>
    <x v="0"/>
    <m/>
    <x v="61"/>
    <n v="-202.31"/>
    <x v="0"/>
    <x v="0"/>
  </r>
  <r>
    <x v="37"/>
    <x v="37"/>
    <x v="35"/>
    <x v="1"/>
    <m/>
    <x v="61"/>
    <n v="-202.31"/>
    <x v="0"/>
    <x v="0"/>
  </r>
  <r>
    <x v="38"/>
    <x v="38"/>
    <x v="36"/>
    <x v="0"/>
    <m/>
    <x v="61"/>
    <n v="-19.510000000000002"/>
    <x v="0"/>
    <x v="0"/>
  </r>
  <r>
    <x v="38"/>
    <x v="38"/>
    <x v="36"/>
    <x v="1"/>
    <m/>
    <x v="61"/>
    <n v="-19.510000000000002"/>
    <x v="0"/>
    <x v="0"/>
  </r>
  <r>
    <x v="44"/>
    <x v="44"/>
    <x v="42"/>
    <x v="0"/>
    <m/>
    <x v="61"/>
    <n v="-2307.1"/>
    <x v="0"/>
    <x v="0"/>
  </r>
  <r>
    <x v="44"/>
    <x v="44"/>
    <x v="42"/>
    <x v="1"/>
    <m/>
    <x v="61"/>
    <n v="-2307.1"/>
    <x v="0"/>
    <x v="0"/>
  </r>
  <r>
    <x v="4"/>
    <x v="4"/>
    <x v="4"/>
    <x v="1"/>
    <m/>
    <x v="62"/>
    <n v="19804.07"/>
    <x v="0"/>
    <x v="0"/>
  </r>
  <r>
    <x v="7"/>
    <x v="7"/>
    <x v="7"/>
    <x v="1"/>
    <m/>
    <x v="62"/>
    <n v="54436.17"/>
    <x v="0"/>
    <x v="0"/>
  </r>
  <r>
    <x v="10"/>
    <x v="10"/>
    <x v="10"/>
    <x v="1"/>
    <m/>
    <x v="62"/>
    <n v="136624.89000000001"/>
    <x v="0"/>
    <x v="0"/>
  </r>
  <r>
    <x v="11"/>
    <x v="11"/>
    <x v="11"/>
    <x v="1"/>
    <m/>
    <x v="62"/>
    <n v="71196.06"/>
    <x v="0"/>
    <x v="0"/>
  </r>
  <r>
    <x v="16"/>
    <x v="16"/>
    <x v="16"/>
    <x v="1"/>
    <m/>
    <x v="62"/>
    <n v="32413.65"/>
    <x v="0"/>
    <x v="0"/>
  </r>
  <r>
    <x v="22"/>
    <x v="22"/>
    <x v="22"/>
    <x v="1"/>
    <m/>
    <x v="62"/>
    <n v="25495.61"/>
    <x v="0"/>
    <x v="0"/>
  </r>
  <r>
    <x v="34"/>
    <x v="34"/>
    <x v="32"/>
    <x v="1"/>
    <m/>
    <x v="62"/>
    <n v="70851.92"/>
    <x v="0"/>
    <x v="0"/>
  </r>
  <r>
    <x v="37"/>
    <x v="37"/>
    <x v="35"/>
    <x v="1"/>
    <m/>
    <x v="62"/>
    <n v="38980.33"/>
    <x v="0"/>
    <x v="0"/>
  </r>
  <r>
    <x v="38"/>
    <x v="38"/>
    <x v="36"/>
    <x v="1"/>
    <m/>
    <x v="62"/>
    <n v="138760.5"/>
    <x v="0"/>
    <x v="0"/>
  </r>
  <r>
    <x v="44"/>
    <x v="44"/>
    <x v="42"/>
    <x v="1"/>
    <m/>
    <x v="62"/>
    <n v="47991.92"/>
    <x v="0"/>
    <x v="0"/>
  </r>
  <r>
    <x v="0"/>
    <x v="0"/>
    <x v="0"/>
    <x v="1"/>
    <m/>
    <x v="63"/>
    <n v="4828.92"/>
    <x v="7"/>
    <x v="2"/>
  </r>
  <r>
    <x v="1"/>
    <x v="1"/>
    <x v="1"/>
    <x v="1"/>
    <m/>
    <x v="63"/>
    <n v="42607.28"/>
    <x v="7"/>
    <x v="2"/>
  </r>
  <r>
    <x v="2"/>
    <x v="2"/>
    <x v="2"/>
    <x v="1"/>
    <m/>
    <x v="63"/>
    <n v="61368.02"/>
    <x v="7"/>
    <x v="2"/>
  </r>
  <r>
    <x v="3"/>
    <x v="3"/>
    <x v="3"/>
    <x v="1"/>
    <m/>
    <x v="63"/>
    <n v="15076.95"/>
    <x v="7"/>
    <x v="2"/>
  </r>
  <r>
    <x v="4"/>
    <x v="4"/>
    <x v="4"/>
    <x v="1"/>
    <m/>
    <x v="63"/>
    <n v="19283.740000000002"/>
    <x v="7"/>
    <x v="2"/>
  </r>
  <r>
    <x v="5"/>
    <x v="5"/>
    <x v="5"/>
    <x v="1"/>
    <m/>
    <x v="63"/>
    <n v="45370.13"/>
    <x v="7"/>
    <x v="2"/>
  </r>
  <r>
    <x v="6"/>
    <x v="6"/>
    <x v="6"/>
    <x v="1"/>
    <m/>
    <x v="63"/>
    <n v="60709.03"/>
    <x v="7"/>
    <x v="2"/>
  </r>
  <r>
    <x v="7"/>
    <x v="7"/>
    <x v="7"/>
    <x v="1"/>
    <m/>
    <x v="63"/>
    <n v="53722.94"/>
    <x v="7"/>
    <x v="2"/>
  </r>
  <r>
    <x v="8"/>
    <x v="8"/>
    <x v="8"/>
    <x v="1"/>
    <m/>
    <x v="63"/>
    <n v="135562.20000000001"/>
    <x v="7"/>
    <x v="2"/>
  </r>
  <r>
    <x v="9"/>
    <x v="9"/>
    <x v="9"/>
    <x v="1"/>
    <m/>
    <x v="63"/>
    <n v="62989.04"/>
    <x v="7"/>
    <x v="2"/>
  </r>
  <r>
    <x v="10"/>
    <x v="10"/>
    <x v="10"/>
    <x v="1"/>
    <m/>
    <x v="63"/>
    <n v="136214.53"/>
    <x v="7"/>
    <x v="2"/>
  </r>
  <r>
    <x v="11"/>
    <x v="11"/>
    <x v="11"/>
    <x v="1"/>
    <m/>
    <x v="63"/>
    <n v="71102.789999999994"/>
    <x v="7"/>
    <x v="2"/>
  </r>
  <r>
    <x v="12"/>
    <x v="12"/>
    <x v="12"/>
    <x v="1"/>
    <m/>
    <x v="63"/>
    <n v="56665.37"/>
    <x v="7"/>
    <x v="2"/>
  </r>
  <r>
    <x v="13"/>
    <x v="13"/>
    <x v="13"/>
    <x v="1"/>
    <m/>
    <x v="63"/>
    <n v="27357.07"/>
    <x v="7"/>
    <x v="2"/>
  </r>
  <r>
    <x v="14"/>
    <x v="14"/>
    <x v="14"/>
    <x v="1"/>
    <m/>
    <x v="63"/>
    <n v="40454.120000000003"/>
    <x v="7"/>
    <x v="2"/>
  </r>
  <r>
    <x v="15"/>
    <x v="15"/>
    <x v="15"/>
    <x v="1"/>
    <m/>
    <x v="63"/>
    <n v="61446.32"/>
    <x v="7"/>
    <x v="2"/>
  </r>
  <r>
    <x v="16"/>
    <x v="16"/>
    <x v="16"/>
    <x v="1"/>
    <m/>
    <x v="63"/>
    <n v="31999.98"/>
    <x v="7"/>
    <x v="2"/>
  </r>
  <r>
    <x v="17"/>
    <x v="17"/>
    <x v="17"/>
    <x v="1"/>
    <m/>
    <x v="63"/>
    <n v="5765.88"/>
    <x v="7"/>
    <x v="2"/>
  </r>
  <r>
    <x v="18"/>
    <x v="18"/>
    <x v="18"/>
    <x v="1"/>
    <m/>
    <x v="63"/>
    <n v="96673.07"/>
    <x v="7"/>
    <x v="2"/>
  </r>
  <r>
    <x v="19"/>
    <x v="19"/>
    <x v="19"/>
    <x v="1"/>
    <m/>
    <x v="63"/>
    <n v="63921.65"/>
    <x v="7"/>
    <x v="2"/>
  </r>
  <r>
    <x v="20"/>
    <x v="20"/>
    <x v="20"/>
    <x v="1"/>
    <m/>
    <x v="63"/>
    <n v="68495.59"/>
    <x v="7"/>
    <x v="2"/>
  </r>
  <r>
    <x v="21"/>
    <x v="21"/>
    <x v="21"/>
    <x v="1"/>
    <m/>
    <x v="63"/>
    <n v="38087.230000000003"/>
    <x v="7"/>
    <x v="2"/>
  </r>
  <r>
    <x v="22"/>
    <x v="22"/>
    <x v="22"/>
    <x v="1"/>
    <m/>
    <x v="63"/>
    <n v="25472.84"/>
    <x v="7"/>
    <x v="2"/>
  </r>
  <r>
    <x v="23"/>
    <x v="23"/>
    <x v="23"/>
    <x v="1"/>
    <m/>
    <x v="63"/>
    <n v="39845.279999999999"/>
    <x v="7"/>
    <x v="2"/>
  </r>
  <r>
    <x v="24"/>
    <x v="24"/>
    <x v="7"/>
    <x v="1"/>
    <m/>
    <x v="63"/>
    <n v="7934.12"/>
    <x v="7"/>
    <x v="2"/>
  </r>
  <r>
    <x v="25"/>
    <x v="25"/>
    <x v="24"/>
    <x v="1"/>
    <m/>
    <x v="63"/>
    <n v="38855.14"/>
    <x v="7"/>
    <x v="2"/>
  </r>
  <r>
    <x v="26"/>
    <x v="26"/>
    <x v="25"/>
    <x v="1"/>
    <m/>
    <x v="63"/>
    <n v="59572.69"/>
    <x v="7"/>
    <x v="2"/>
  </r>
  <r>
    <x v="27"/>
    <x v="27"/>
    <x v="26"/>
    <x v="1"/>
    <m/>
    <x v="63"/>
    <n v="1695.06"/>
    <x v="7"/>
    <x v="2"/>
  </r>
  <r>
    <x v="28"/>
    <x v="28"/>
    <x v="27"/>
    <x v="1"/>
    <m/>
    <x v="63"/>
    <n v="10674.95"/>
    <x v="7"/>
    <x v="2"/>
  </r>
  <r>
    <x v="29"/>
    <x v="29"/>
    <x v="6"/>
    <x v="1"/>
    <m/>
    <x v="63"/>
    <n v="38311.83"/>
    <x v="7"/>
    <x v="2"/>
  </r>
  <r>
    <x v="30"/>
    <x v="30"/>
    <x v="28"/>
    <x v="1"/>
    <m/>
    <x v="63"/>
    <n v="61604.34"/>
    <x v="7"/>
    <x v="2"/>
  </r>
  <r>
    <x v="31"/>
    <x v="31"/>
    <x v="29"/>
    <x v="1"/>
    <m/>
    <x v="63"/>
    <n v="59393.65"/>
    <x v="7"/>
    <x v="2"/>
  </r>
  <r>
    <x v="32"/>
    <x v="32"/>
    <x v="30"/>
    <x v="1"/>
    <m/>
    <x v="63"/>
    <n v="48974.5"/>
    <x v="7"/>
    <x v="2"/>
  </r>
  <r>
    <x v="33"/>
    <x v="33"/>
    <x v="31"/>
    <x v="1"/>
    <m/>
    <x v="63"/>
    <n v="43774.64"/>
    <x v="7"/>
    <x v="2"/>
  </r>
  <r>
    <x v="34"/>
    <x v="34"/>
    <x v="32"/>
    <x v="1"/>
    <m/>
    <x v="63"/>
    <n v="70385.62"/>
    <x v="7"/>
    <x v="2"/>
  </r>
  <r>
    <x v="35"/>
    <x v="35"/>
    <x v="33"/>
    <x v="1"/>
    <m/>
    <x v="63"/>
    <n v="38315.9"/>
    <x v="7"/>
    <x v="2"/>
  </r>
  <r>
    <x v="36"/>
    <x v="36"/>
    <x v="34"/>
    <x v="1"/>
    <m/>
    <x v="63"/>
    <n v="5765.88"/>
    <x v="7"/>
    <x v="2"/>
  </r>
  <r>
    <x v="37"/>
    <x v="37"/>
    <x v="35"/>
    <x v="1"/>
    <m/>
    <x v="63"/>
    <n v="38778.019999999997"/>
    <x v="7"/>
    <x v="2"/>
  </r>
  <r>
    <x v="38"/>
    <x v="38"/>
    <x v="36"/>
    <x v="1"/>
    <m/>
    <x v="63"/>
    <n v="138740.99"/>
    <x v="7"/>
    <x v="2"/>
  </r>
  <r>
    <x v="39"/>
    <x v="39"/>
    <x v="37"/>
    <x v="1"/>
    <m/>
    <x v="63"/>
    <n v="18490.8"/>
    <x v="7"/>
    <x v="2"/>
  </r>
  <r>
    <x v="40"/>
    <x v="40"/>
    <x v="38"/>
    <x v="1"/>
    <m/>
    <x v="63"/>
    <n v="58661.4"/>
    <x v="7"/>
    <x v="2"/>
  </r>
  <r>
    <x v="41"/>
    <x v="41"/>
    <x v="39"/>
    <x v="1"/>
    <m/>
    <x v="63"/>
    <n v="58329.01"/>
    <x v="7"/>
    <x v="2"/>
  </r>
  <r>
    <x v="42"/>
    <x v="42"/>
    <x v="40"/>
    <x v="1"/>
    <m/>
    <x v="63"/>
    <n v="79172.740000000005"/>
    <x v="7"/>
    <x v="2"/>
  </r>
  <r>
    <x v="43"/>
    <x v="43"/>
    <x v="41"/>
    <x v="1"/>
    <m/>
    <x v="63"/>
    <n v="56944.02"/>
    <x v="7"/>
    <x v="2"/>
  </r>
  <r>
    <x v="44"/>
    <x v="44"/>
    <x v="42"/>
    <x v="1"/>
    <m/>
    <x v="63"/>
    <n v="45684.82"/>
    <x v="7"/>
    <x v="2"/>
  </r>
  <r>
    <x v="45"/>
    <x v="45"/>
    <x v="43"/>
    <x v="1"/>
    <m/>
    <x v="63"/>
    <n v="31392.38"/>
    <x v="7"/>
    <x v="2"/>
  </r>
  <r>
    <x v="46"/>
    <x v="46"/>
    <x v="44"/>
    <x v="1"/>
    <m/>
    <x v="63"/>
    <n v="7716.54"/>
    <x v="7"/>
    <x v="2"/>
  </r>
  <r>
    <x v="47"/>
    <x v="47"/>
    <x v="45"/>
    <x v="1"/>
    <m/>
    <x v="63"/>
    <n v="26326.86"/>
    <x v="7"/>
    <x v="2"/>
  </r>
  <r>
    <x v="48"/>
    <x v="48"/>
    <x v="46"/>
    <x v="1"/>
    <m/>
    <x v="63"/>
    <n v="7840.63"/>
    <x v="7"/>
    <x v="2"/>
  </r>
  <r>
    <x v="49"/>
    <x v="49"/>
    <x v="47"/>
    <x v="1"/>
    <m/>
    <x v="63"/>
    <n v="3399.94"/>
    <x v="7"/>
    <x v="2"/>
  </r>
  <r>
    <x v="50"/>
    <x v="49"/>
    <x v="48"/>
    <x v="1"/>
    <m/>
    <x v="63"/>
    <n v="36818.67"/>
    <x v="7"/>
    <x v="2"/>
  </r>
  <r>
    <x v="51"/>
    <x v="50"/>
    <x v="49"/>
    <x v="1"/>
    <m/>
    <x v="63"/>
    <n v="6077.96"/>
    <x v="7"/>
    <x v="2"/>
  </r>
  <r>
    <x v="52"/>
    <x v="51"/>
    <x v="50"/>
    <x v="1"/>
    <m/>
    <x v="63"/>
    <n v="45128.26"/>
    <x v="7"/>
    <x v="2"/>
  </r>
  <r>
    <x v="53"/>
    <x v="52"/>
    <x v="48"/>
    <x v="1"/>
    <m/>
    <x v="63"/>
    <n v="6819.94"/>
    <x v="7"/>
    <x v="2"/>
  </r>
  <r>
    <x v="0"/>
    <x v="0"/>
    <x v="0"/>
    <x v="1"/>
    <m/>
    <x v="64"/>
    <n v="4828.92"/>
    <x v="0"/>
    <x v="0"/>
  </r>
  <r>
    <x v="1"/>
    <x v="1"/>
    <x v="1"/>
    <x v="1"/>
    <m/>
    <x v="64"/>
    <n v="42607.28"/>
    <x v="0"/>
    <x v="0"/>
  </r>
  <r>
    <x v="2"/>
    <x v="2"/>
    <x v="2"/>
    <x v="1"/>
    <m/>
    <x v="64"/>
    <n v="61368.02"/>
    <x v="0"/>
    <x v="0"/>
  </r>
  <r>
    <x v="3"/>
    <x v="3"/>
    <x v="3"/>
    <x v="1"/>
    <m/>
    <x v="64"/>
    <n v="15076.95"/>
    <x v="0"/>
    <x v="0"/>
  </r>
  <r>
    <x v="4"/>
    <x v="4"/>
    <x v="4"/>
    <x v="1"/>
    <m/>
    <x v="64"/>
    <n v="19283.740000000002"/>
    <x v="0"/>
    <x v="0"/>
  </r>
  <r>
    <x v="5"/>
    <x v="5"/>
    <x v="5"/>
    <x v="1"/>
    <m/>
    <x v="64"/>
    <n v="45370.13"/>
    <x v="0"/>
    <x v="0"/>
  </r>
  <r>
    <x v="6"/>
    <x v="6"/>
    <x v="6"/>
    <x v="1"/>
    <m/>
    <x v="64"/>
    <n v="60709.03"/>
    <x v="0"/>
    <x v="0"/>
  </r>
  <r>
    <x v="7"/>
    <x v="7"/>
    <x v="7"/>
    <x v="1"/>
    <m/>
    <x v="64"/>
    <n v="53722.94"/>
    <x v="0"/>
    <x v="0"/>
  </r>
  <r>
    <x v="8"/>
    <x v="8"/>
    <x v="8"/>
    <x v="1"/>
    <m/>
    <x v="64"/>
    <n v="135562.20000000001"/>
    <x v="0"/>
    <x v="0"/>
  </r>
  <r>
    <x v="9"/>
    <x v="9"/>
    <x v="9"/>
    <x v="1"/>
    <m/>
    <x v="64"/>
    <n v="62989.04"/>
    <x v="0"/>
    <x v="0"/>
  </r>
  <r>
    <x v="10"/>
    <x v="10"/>
    <x v="10"/>
    <x v="1"/>
    <m/>
    <x v="64"/>
    <n v="136214.53"/>
    <x v="0"/>
    <x v="0"/>
  </r>
  <r>
    <x v="11"/>
    <x v="11"/>
    <x v="11"/>
    <x v="1"/>
    <m/>
    <x v="64"/>
    <n v="71102.789999999994"/>
    <x v="0"/>
    <x v="0"/>
  </r>
  <r>
    <x v="12"/>
    <x v="12"/>
    <x v="12"/>
    <x v="1"/>
    <m/>
    <x v="64"/>
    <n v="56665.37"/>
    <x v="0"/>
    <x v="0"/>
  </r>
  <r>
    <x v="13"/>
    <x v="13"/>
    <x v="13"/>
    <x v="1"/>
    <m/>
    <x v="64"/>
    <n v="27357.07"/>
    <x v="0"/>
    <x v="0"/>
  </r>
  <r>
    <x v="14"/>
    <x v="14"/>
    <x v="14"/>
    <x v="1"/>
    <m/>
    <x v="64"/>
    <n v="40454.120000000003"/>
    <x v="0"/>
    <x v="0"/>
  </r>
  <r>
    <x v="15"/>
    <x v="15"/>
    <x v="15"/>
    <x v="1"/>
    <m/>
    <x v="64"/>
    <n v="61446.32"/>
    <x v="0"/>
    <x v="0"/>
  </r>
  <r>
    <x v="16"/>
    <x v="16"/>
    <x v="16"/>
    <x v="1"/>
    <m/>
    <x v="64"/>
    <n v="31999.98"/>
    <x v="0"/>
    <x v="0"/>
  </r>
  <r>
    <x v="17"/>
    <x v="17"/>
    <x v="17"/>
    <x v="1"/>
    <m/>
    <x v="64"/>
    <n v="5765.88"/>
    <x v="0"/>
    <x v="0"/>
  </r>
  <r>
    <x v="18"/>
    <x v="18"/>
    <x v="18"/>
    <x v="1"/>
    <m/>
    <x v="64"/>
    <n v="96673.07"/>
    <x v="0"/>
    <x v="0"/>
  </r>
  <r>
    <x v="19"/>
    <x v="19"/>
    <x v="19"/>
    <x v="1"/>
    <m/>
    <x v="64"/>
    <n v="63921.65"/>
    <x v="0"/>
    <x v="0"/>
  </r>
  <r>
    <x v="20"/>
    <x v="20"/>
    <x v="20"/>
    <x v="1"/>
    <m/>
    <x v="64"/>
    <n v="68495.59"/>
    <x v="0"/>
    <x v="0"/>
  </r>
  <r>
    <x v="21"/>
    <x v="21"/>
    <x v="21"/>
    <x v="1"/>
    <m/>
    <x v="64"/>
    <n v="38087.230000000003"/>
    <x v="0"/>
    <x v="0"/>
  </r>
  <r>
    <x v="22"/>
    <x v="22"/>
    <x v="22"/>
    <x v="1"/>
    <m/>
    <x v="64"/>
    <n v="25472.84"/>
    <x v="0"/>
    <x v="0"/>
  </r>
  <r>
    <x v="23"/>
    <x v="23"/>
    <x v="23"/>
    <x v="1"/>
    <m/>
    <x v="64"/>
    <n v="39845.279999999999"/>
    <x v="0"/>
    <x v="0"/>
  </r>
  <r>
    <x v="24"/>
    <x v="24"/>
    <x v="7"/>
    <x v="1"/>
    <m/>
    <x v="64"/>
    <n v="7934.12"/>
    <x v="0"/>
    <x v="0"/>
  </r>
  <r>
    <x v="25"/>
    <x v="25"/>
    <x v="24"/>
    <x v="1"/>
    <m/>
    <x v="64"/>
    <n v="38855.14"/>
    <x v="0"/>
    <x v="0"/>
  </r>
  <r>
    <x v="26"/>
    <x v="26"/>
    <x v="25"/>
    <x v="1"/>
    <m/>
    <x v="64"/>
    <n v="59572.69"/>
    <x v="0"/>
    <x v="0"/>
  </r>
  <r>
    <x v="28"/>
    <x v="28"/>
    <x v="27"/>
    <x v="1"/>
    <m/>
    <x v="64"/>
    <n v="10674.95"/>
    <x v="0"/>
    <x v="0"/>
  </r>
  <r>
    <x v="29"/>
    <x v="29"/>
    <x v="6"/>
    <x v="1"/>
    <m/>
    <x v="64"/>
    <n v="38311.83"/>
    <x v="0"/>
    <x v="0"/>
  </r>
  <r>
    <x v="30"/>
    <x v="30"/>
    <x v="28"/>
    <x v="1"/>
    <m/>
    <x v="64"/>
    <n v="61604.34"/>
    <x v="0"/>
    <x v="0"/>
  </r>
  <r>
    <x v="31"/>
    <x v="31"/>
    <x v="29"/>
    <x v="1"/>
    <m/>
    <x v="64"/>
    <n v="59393.65"/>
    <x v="0"/>
    <x v="0"/>
  </r>
  <r>
    <x v="32"/>
    <x v="32"/>
    <x v="30"/>
    <x v="1"/>
    <m/>
    <x v="64"/>
    <n v="48974.5"/>
    <x v="0"/>
    <x v="0"/>
  </r>
  <r>
    <x v="33"/>
    <x v="33"/>
    <x v="31"/>
    <x v="1"/>
    <m/>
    <x v="64"/>
    <n v="43774.64"/>
    <x v="0"/>
    <x v="0"/>
  </r>
  <r>
    <x v="34"/>
    <x v="34"/>
    <x v="32"/>
    <x v="1"/>
    <m/>
    <x v="64"/>
    <n v="70385.62"/>
    <x v="0"/>
    <x v="0"/>
  </r>
  <r>
    <x v="35"/>
    <x v="35"/>
    <x v="33"/>
    <x v="1"/>
    <m/>
    <x v="64"/>
    <n v="38315.9"/>
    <x v="0"/>
    <x v="0"/>
  </r>
  <r>
    <x v="36"/>
    <x v="36"/>
    <x v="34"/>
    <x v="1"/>
    <m/>
    <x v="64"/>
    <n v="5765.88"/>
    <x v="0"/>
    <x v="0"/>
  </r>
  <r>
    <x v="37"/>
    <x v="37"/>
    <x v="35"/>
    <x v="1"/>
    <m/>
    <x v="64"/>
    <n v="38778.019999999997"/>
    <x v="0"/>
    <x v="0"/>
  </r>
  <r>
    <x v="38"/>
    <x v="38"/>
    <x v="36"/>
    <x v="1"/>
    <m/>
    <x v="64"/>
    <n v="138740.99"/>
    <x v="0"/>
    <x v="0"/>
  </r>
  <r>
    <x v="39"/>
    <x v="39"/>
    <x v="37"/>
    <x v="1"/>
    <m/>
    <x v="64"/>
    <n v="18490.8"/>
    <x v="0"/>
    <x v="0"/>
  </r>
  <r>
    <x v="40"/>
    <x v="40"/>
    <x v="38"/>
    <x v="1"/>
    <m/>
    <x v="64"/>
    <n v="58661.4"/>
    <x v="0"/>
    <x v="0"/>
  </r>
  <r>
    <x v="41"/>
    <x v="41"/>
    <x v="39"/>
    <x v="1"/>
    <m/>
    <x v="64"/>
    <n v="58329.01"/>
    <x v="0"/>
    <x v="0"/>
  </r>
  <r>
    <x v="42"/>
    <x v="42"/>
    <x v="40"/>
    <x v="1"/>
    <m/>
    <x v="64"/>
    <n v="79172.740000000005"/>
    <x v="0"/>
    <x v="0"/>
  </r>
  <r>
    <x v="43"/>
    <x v="43"/>
    <x v="41"/>
    <x v="1"/>
    <m/>
    <x v="64"/>
    <n v="56944.02"/>
    <x v="0"/>
    <x v="0"/>
  </r>
  <r>
    <x v="44"/>
    <x v="44"/>
    <x v="42"/>
    <x v="1"/>
    <m/>
    <x v="64"/>
    <n v="45684.82"/>
    <x v="0"/>
    <x v="0"/>
  </r>
  <r>
    <x v="45"/>
    <x v="45"/>
    <x v="43"/>
    <x v="1"/>
    <m/>
    <x v="64"/>
    <n v="31392.38"/>
    <x v="0"/>
    <x v="0"/>
  </r>
  <r>
    <x v="46"/>
    <x v="46"/>
    <x v="44"/>
    <x v="1"/>
    <m/>
    <x v="64"/>
    <n v="7716.54"/>
    <x v="0"/>
    <x v="0"/>
  </r>
  <r>
    <x v="47"/>
    <x v="47"/>
    <x v="45"/>
    <x v="1"/>
    <m/>
    <x v="64"/>
    <n v="26326.86"/>
    <x v="0"/>
    <x v="0"/>
  </r>
  <r>
    <x v="48"/>
    <x v="48"/>
    <x v="46"/>
    <x v="1"/>
    <m/>
    <x v="64"/>
    <n v="7840.63"/>
    <x v="0"/>
    <x v="0"/>
  </r>
  <r>
    <x v="49"/>
    <x v="49"/>
    <x v="47"/>
    <x v="1"/>
    <m/>
    <x v="64"/>
    <n v="3399.94"/>
    <x v="0"/>
    <x v="0"/>
  </r>
  <r>
    <x v="50"/>
    <x v="49"/>
    <x v="48"/>
    <x v="1"/>
    <m/>
    <x v="64"/>
    <n v="36818.67"/>
    <x v="0"/>
    <x v="0"/>
  </r>
  <r>
    <x v="51"/>
    <x v="50"/>
    <x v="49"/>
    <x v="1"/>
    <m/>
    <x v="64"/>
    <n v="6077.96"/>
    <x v="0"/>
    <x v="0"/>
  </r>
  <r>
    <x v="52"/>
    <x v="51"/>
    <x v="50"/>
    <x v="1"/>
    <m/>
    <x v="64"/>
    <n v="45128.26"/>
    <x v="0"/>
    <x v="0"/>
  </r>
  <r>
    <x v="53"/>
    <x v="52"/>
    <x v="48"/>
    <x v="1"/>
    <m/>
    <x v="64"/>
    <n v="6819.94"/>
    <x v="0"/>
    <x v="0"/>
  </r>
  <r>
    <x v="0"/>
    <x v="0"/>
    <x v="0"/>
    <x v="1"/>
    <m/>
    <x v="65"/>
    <n v="15700"/>
    <x v="0"/>
    <x v="0"/>
  </r>
  <r>
    <x v="1"/>
    <x v="1"/>
    <x v="1"/>
    <x v="1"/>
    <m/>
    <x v="65"/>
    <n v="25566.959999999999"/>
    <x v="0"/>
    <x v="0"/>
  </r>
  <r>
    <x v="2"/>
    <x v="2"/>
    <x v="2"/>
    <x v="1"/>
    <m/>
    <x v="65"/>
    <n v="47100"/>
    <x v="0"/>
    <x v="0"/>
  </r>
  <r>
    <x v="3"/>
    <x v="3"/>
    <x v="3"/>
    <x v="1"/>
    <m/>
    <x v="65"/>
    <n v="11395.16"/>
    <x v="0"/>
    <x v="0"/>
  </r>
  <r>
    <x v="4"/>
    <x v="4"/>
    <x v="4"/>
    <x v="1"/>
    <m/>
    <x v="65"/>
    <n v="25195.97"/>
    <x v="0"/>
    <x v="0"/>
  </r>
  <r>
    <x v="5"/>
    <x v="5"/>
    <x v="5"/>
    <x v="1"/>
    <m/>
    <x v="65"/>
    <n v="47100"/>
    <x v="0"/>
    <x v="0"/>
  </r>
  <r>
    <x v="6"/>
    <x v="6"/>
    <x v="6"/>
    <x v="1"/>
    <m/>
    <x v="65"/>
    <n v="47100"/>
    <x v="0"/>
    <x v="0"/>
  </r>
  <r>
    <x v="7"/>
    <x v="7"/>
    <x v="7"/>
    <x v="1"/>
    <m/>
    <x v="65"/>
    <n v="47100"/>
    <x v="0"/>
    <x v="0"/>
  </r>
  <r>
    <x v="8"/>
    <x v="8"/>
    <x v="8"/>
    <x v="1"/>
    <m/>
    <x v="65"/>
    <n v="47100"/>
    <x v="0"/>
    <x v="0"/>
  </r>
  <r>
    <x v="9"/>
    <x v="9"/>
    <x v="9"/>
    <x v="1"/>
    <m/>
    <x v="65"/>
    <n v="47100"/>
    <x v="0"/>
    <x v="0"/>
  </r>
  <r>
    <x v="10"/>
    <x v="10"/>
    <x v="10"/>
    <x v="1"/>
    <m/>
    <x v="65"/>
    <n v="47100"/>
    <x v="0"/>
    <x v="0"/>
  </r>
  <r>
    <x v="11"/>
    <x v="11"/>
    <x v="11"/>
    <x v="1"/>
    <m/>
    <x v="65"/>
    <n v="47100"/>
    <x v="0"/>
    <x v="0"/>
  </r>
  <r>
    <x v="12"/>
    <x v="12"/>
    <x v="12"/>
    <x v="1"/>
    <m/>
    <x v="65"/>
    <n v="47100"/>
    <x v="0"/>
    <x v="0"/>
  </r>
  <r>
    <x v="13"/>
    <x v="13"/>
    <x v="13"/>
    <x v="1"/>
    <m/>
    <x v="65"/>
    <n v="34801.67"/>
    <x v="0"/>
    <x v="0"/>
  </r>
  <r>
    <x v="14"/>
    <x v="14"/>
    <x v="14"/>
    <x v="1"/>
    <m/>
    <x v="65"/>
    <n v="37312.99"/>
    <x v="0"/>
    <x v="0"/>
  </r>
  <r>
    <x v="15"/>
    <x v="15"/>
    <x v="15"/>
    <x v="1"/>
    <m/>
    <x v="65"/>
    <n v="47100"/>
    <x v="0"/>
    <x v="0"/>
  </r>
  <r>
    <x v="16"/>
    <x v="16"/>
    <x v="16"/>
    <x v="1"/>
    <m/>
    <x v="65"/>
    <n v="44090.83"/>
    <x v="0"/>
    <x v="0"/>
  </r>
  <r>
    <x v="17"/>
    <x v="17"/>
    <x v="17"/>
    <x v="1"/>
    <m/>
    <x v="65"/>
    <n v="15700"/>
    <x v="0"/>
    <x v="0"/>
  </r>
  <r>
    <x v="18"/>
    <x v="18"/>
    <x v="18"/>
    <x v="1"/>
    <m/>
    <x v="65"/>
    <n v="47100"/>
    <x v="0"/>
    <x v="0"/>
  </r>
  <r>
    <x v="19"/>
    <x v="19"/>
    <x v="19"/>
    <x v="1"/>
    <m/>
    <x v="65"/>
    <n v="47100"/>
    <x v="0"/>
    <x v="0"/>
  </r>
  <r>
    <x v="20"/>
    <x v="20"/>
    <x v="20"/>
    <x v="1"/>
    <m/>
    <x v="65"/>
    <n v="47100"/>
    <x v="0"/>
    <x v="0"/>
  </r>
  <r>
    <x v="21"/>
    <x v="21"/>
    <x v="21"/>
    <x v="1"/>
    <m/>
    <x v="65"/>
    <n v="47100"/>
    <x v="0"/>
    <x v="0"/>
  </r>
  <r>
    <x v="22"/>
    <x v="22"/>
    <x v="22"/>
    <x v="1"/>
    <m/>
    <x v="65"/>
    <n v="15681.31"/>
    <x v="0"/>
    <x v="0"/>
  </r>
  <r>
    <x v="23"/>
    <x v="23"/>
    <x v="23"/>
    <x v="1"/>
    <m/>
    <x v="65"/>
    <n v="47100"/>
    <x v="0"/>
    <x v="0"/>
  </r>
  <r>
    <x v="24"/>
    <x v="24"/>
    <x v="7"/>
    <x v="1"/>
    <m/>
    <x v="65"/>
    <n v="31020.16"/>
    <x v="0"/>
    <x v="0"/>
  </r>
  <r>
    <x v="25"/>
    <x v="25"/>
    <x v="24"/>
    <x v="1"/>
    <m/>
    <x v="65"/>
    <n v="47100"/>
    <x v="0"/>
    <x v="0"/>
  </r>
  <r>
    <x v="26"/>
    <x v="26"/>
    <x v="25"/>
    <x v="1"/>
    <m/>
    <x v="65"/>
    <n v="47100"/>
    <x v="0"/>
    <x v="0"/>
  </r>
  <r>
    <x v="28"/>
    <x v="28"/>
    <x v="27"/>
    <x v="1"/>
    <m/>
    <x v="65"/>
    <n v="9622.58"/>
    <x v="0"/>
    <x v="0"/>
  </r>
  <r>
    <x v="29"/>
    <x v="29"/>
    <x v="6"/>
    <x v="1"/>
    <m/>
    <x v="65"/>
    <n v="47100"/>
    <x v="0"/>
    <x v="0"/>
  </r>
  <r>
    <x v="30"/>
    <x v="30"/>
    <x v="28"/>
    <x v="1"/>
    <m/>
    <x v="65"/>
    <n v="47100"/>
    <x v="0"/>
    <x v="0"/>
  </r>
  <r>
    <x v="31"/>
    <x v="31"/>
    <x v="29"/>
    <x v="1"/>
    <m/>
    <x v="65"/>
    <n v="47100"/>
    <x v="0"/>
    <x v="0"/>
  </r>
  <r>
    <x v="32"/>
    <x v="32"/>
    <x v="30"/>
    <x v="1"/>
    <m/>
    <x v="65"/>
    <n v="47100"/>
    <x v="0"/>
    <x v="0"/>
  </r>
  <r>
    <x v="33"/>
    <x v="33"/>
    <x v="31"/>
    <x v="1"/>
    <m/>
    <x v="65"/>
    <n v="47100"/>
    <x v="0"/>
    <x v="0"/>
  </r>
  <r>
    <x v="34"/>
    <x v="34"/>
    <x v="32"/>
    <x v="1"/>
    <m/>
    <x v="65"/>
    <n v="47100"/>
    <x v="0"/>
    <x v="0"/>
  </r>
  <r>
    <x v="35"/>
    <x v="35"/>
    <x v="33"/>
    <x v="1"/>
    <m/>
    <x v="65"/>
    <n v="47100"/>
    <x v="0"/>
    <x v="0"/>
  </r>
  <r>
    <x v="36"/>
    <x v="36"/>
    <x v="34"/>
    <x v="1"/>
    <m/>
    <x v="65"/>
    <n v="15700"/>
    <x v="0"/>
    <x v="0"/>
  </r>
  <r>
    <x v="37"/>
    <x v="37"/>
    <x v="35"/>
    <x v="1"/>
    <m/>
    <x v="65"/>
    <n v="47100"/>
    <x v="0"/>
    <x v="0"/>
  </r>
  <r>
    <x v="38"/>
    <x v="38"/>
    <x v="36"/>
    <x v="1"/>
    <m/>
    <x v="65"/>
    <n v="47100"/>
    <x v="0"/>
    <x v="0"/>
  </r>
  <r>
    <x v="39"/>
    <x v="39"/>
    <x v="37"/>
    <x v="1"/>
    <m/>
    <x v="65"/>
    <n v="25512.5"/>
    <x v="0"/>
    <x v="0"/>
  </r>
  <r>
    <x v="40"/>
    <x v="40"/>
    <x v="38"/>
    <x v="1"/>
    <m/>
    <x v="65"/>
    <n v="47100"/>
    <x v="0"/>
    <x v="0"/>
  </r>
  <r>
    <x v="41"/>
    <x v="41"/>
    <x v="39"/>
    <x v="1"/>
    <m/>
    <x v="65"/>
    <n v="47100"/>
    <x v="0"/>
    <x v="0"/>
  </r>
  <r>
    <x v="42"/>
    <x v="42"/>
    <x v="40"/>
    <x v="1"/>
    <m/>
    <x v="65"/>
    <n v="47100"/>
    <x v="0"/>
    <x v="0"/>
  </r>
  <r>
    <x v="43"/>
    <x v="43"/>
    <x v="41"/>
    <x v="1"/>
    <m/>
    <x v="65"/>
    <n v="47100"/>
    <x v="0"/>
    <x v="0"/>
  </r>
  <r>
    <x v="44"/>
    <x v="44"/>
    <x v="42"/>
    <x v="1"/>
    <m/>
    <x v="65"/>
    <n v="47100"/>
    <x v="0"/>
    <x v="0"/>
  </r>
  <r>
    <x v="45"/>
    <x v="45"/>
    <x v="43"/>
    <x v="1"/>
    <m/>
    <x v="65"/>
    <n v="7850"/>
    <x v="0"/>
    <x v="0"/>
  </r>
  <r>
    <x v="46"/>
    <x v="46"/>
    <x v="44"/>
    <x v="1"/>
    <m/>
    <x v="65"/>
    <n v="26040.06"/>
    <x v="0"/>
    <x v="0"/>
  </r>
  <r>
    <x v="47"/>
    <x v="47"/>
    <x v="45"/>
    <x v="1"/>
    <m/>
    <x v="65"/>
    <n v="24689.52"/>
    <x v="0"/>
    <x v="0"/>
  </r>
  <r>
    <x v="48"/>
    <x v="48"/>
    <x v="46"/>
    <x v="1"/>
    <m/>
    <x v="65"/>
    <n v="30979.46"/>
    <x v="0"/>
    <x v="0"/>
  </r>
  <r>
    <x v="49"/>
    <x v="49"/>
    <x v="47"/>
    <x v="1"/>
    <m/>
    <x v="65"/>
    <n v="3925"/>
    <x v="0"/>
    <x v="0"/>
  </r>
  <r>
    <x v="50"/>
    <x v="49"/>
    <x v="48"/>
    <x v="1"/>
    <m/>
    <x v="65"/>
    <n v="47100"/>
    <x v="0"/>
    <x v="0"/>
  </r>
  <r>
    <x v="51"/>
    <x v="50"/>
    <x v="49"/>
    <x v="1"/>
    <m/>
    <x v="65"/>
    <n v="1772.58"/>
    <x v="0"/>
    <x v="0"/>
  </r>
  <r>
    <x v="52"/>
    <x v="51"/>
    <x v="50"/>
    <x v="1"/>
    <m/>
    <x v="65"/>
    <n v="26694.23"/>
    <x v="0"/>
    <x v="0"/>
  </r>
  <r>
    <x v="53"/>
    <x v="52"/>
    <x v="48"/>
    <x v="1"/>
    <m/>
    <x v="65"/>
    <n v="7850"/>
    <x v="0"/>
    <x v="0"/>
  </r>
  <r>
    <x v="0"/>
    <x v="0"/>
    <x v="0"/>
    <x v="1"/>
    <m/>
    <x v="66"/>
    <n v="14659.28"/>
    <x v="0"/>
    <x v="0"/>
  </r>
  <r>
    <x v="1"/>
    <x v="1"/>
    <x v="1"/>
    <x v="1"/>
    <m/>
    <x v="66"/>
    <n v="23872.2"/>
    <x v="0"/>
    <x v="0"/>
  </r>
  <r>
    <x v="2"/>
    <x v="2"/>
    <x v="2"/>
    <x v="1"/>
    <m/>
    <x v="66"/>
    <n v="43977.84"/>
    <x v="0"/>
    <x v="0"/>
  </r>
  <r>
    <x v="3"/>
    <x v="3"/>
    <x v="3"/>
    <x v="1"/>
    <m/>
    <x v="66"/>
    <n v="10639.8"/>
    <x v="0"/>
    <x v="0"/>
  </r>
  <r>
    <x v="4"/>
    <x v="4"/>
    <x v="4"/>
    <x v="1"/>
    <m/>
    <x v="66"/>
    <n v="23525.78"/>
    <x v="0"/>
    <x v="0"/>
  </r>
  <r>
    <x v="5"/>
    <x v="5"/>
    <x v="5"/>
    <x v="1"/>
    <m/>
    <x v="66"/>
    <n v="43977.84"/>
    <x v="0"/>
    <x v="0"/>
  </r>
  <r>
    <x v="6"/>
    <x v="6"/>
    <x v="6"/>
    <x v="1"/>
    <m/>
    <x v="66"/>
    <n v="43977.84"/>
    <x v="0"/>
    <x v="0"/>
  </r>
  <r>
    <x v="7"/>
    <x v="7"/>
    <x v="7"/>
    <x v="1"/>
    <m/>
    <x v="66"/>
    <n v="43977.84"/>
    <x v="0"/>
    <x v="0"/>
  </r>
  <r>
    <x v="8"/>
    <x v="8"/>
    <x v="8"/>
    <x v="1"/>
    <m/>
    <x v="66"/>
    <n v="43977.84"/>
    <x v="0"/>
    <x v="0"/>
  </r>
  <r>
    <x v="9"/>
    <x v="9"/>
    <x v="9"/>
    <x v="1"/>
    <m/>
    <x v="66"/>
    <n v="43977.84"/>
    <x v="0"/>
    <x v="0"/>
  </r>
  <r>
    <x v="10"/>
    <x v="10"/>
    <x v="10"/>
    <x v="1"/>
    <m/>
    <x v="66"/>
    <n v="43977.84"/>
    <x v="0"/>
    <x v="0"/>
  </r>
  <r>
    <x v="11"/>
    <x v="11"/>
    <x v="11"/>
    <x v="1"/>
    <m/>
    <x v="66"/>
    <n v="43977.84"/>
    <x v="0"/>
    <x v="0"/>
  </r>
  <r>
    <x v="12"/>
    <x v="12"/>
    <x v="12"/>
    <x v="1"/>
    <m/>
    <x v="66"/>
    <n v="43977.84"/>
    <x v="0"/>
    <x v="0"/>
  </r>
  <r>
    <x v="13"/>
    <x v="13"/>
    <x v="13"/>
    <x v="1"/>
    <m/>
    <x v="66"/>
    <n v="32494.74"/>
    <x v="0"/>
    <x v="0"/>
  </r>
  <r>
    <x v="14"/>
    <x v="14"/>
    <x v="14"/>
    <x v="1"/>
    <m/>
    <x v="66"/>
    <n v="34839.629999999997"/>
    <x v="0"/>
    <x v="0"/>
  </r>
  <r>
    <x v="15"/>
    <x v="15"/>
    <x v="15"/>
    <x v="1"/>
    <m/>
    <x v="66"/>
    <n v="43977.84"/>
    <x v="0"/>
    <x v="0"/>
  </r>
  <r>
    <x v="16"/>
    <x v="16"/>
    <x v="16"/>
    <x v="1"/>
    <m/>
    <x v="66"/>
    <n v="41168.160000000003"/>
    <x v="0"/>
    <x v="0"/>
  </r>
  <r>
    <x v="17"/>
    <x v="17"/>
    <x v="17"/>
    <x v="1"/>
    <m/>
    <x v="66"/>
    <n v="14659.28"/>
    <x v="0"/>
    <x v="0"/>
  </r>
  <r>
    <x v="18"/>
    <x v="18"/>
    <x v="18"/>
    <x v="1"/>
    <m/>
    <x v="66"/>
    <n v="43977.84"/>
    <x v="0"/>
    <x v="0"/>
  </r>
  <r>
    <x v="19"/>
    <x v="19"/>
    <x v="19"/>
    <x v="1"/>
    <m/>
    <x v="66"/>
    <n v="43977.84"/>
    <x v="0"/>
    <x v="0"/>
  </r>
  <r>
    <x v="20"/>
    <x v="20"/>
    <x v="20"/>
    <x v="1"/>
    <m/>
    <x v="66"/>
    <n v="43977.84"/>
    <x v="0"/>
    <x v="0"/>
  </r>
  <r>
    <x v="21"/>
    <x v="21"/>
    <x v="21"/>
    <x v="1"/>
    <m/>
    <x v="66"/>
    <n v="43977.84"/>
    <x v="0"/>
    <x v="0"/>
  </r>
  <r>
    <x v="22"/>
    <x v="22"/>
    <x v="22"/>
    <x v="1"/>
    <m/>
    <x v="66"/>
    <n v="14641.83"/>
    <x v="0"/>
    <x v="0"/>
  </r>
  <r>
    <x v="23"/>
    <x v="23"/>
    <x v="23"/>
    <x v="1"/>
    <m/>
    <x v="66"/>
    <n v="43977.84"/>
    <x v="0"/>
    <x v="0"/>
  </r>
  <r>
    <x v="24"/>
    <x v="24"/>
    <x v="7"/>
    <x v="1"/>
    <m/>
    <x v="66"/>
    <n v="28963.9"/>
    <x v="0"/>
    <x v="0"/>
  </r>
  <r>
    <x v="25"/>
    <x v="25"/>
    <x v="24"/>
    <x v="1"/>
    <m/>
    <x v="66"/>
    <n v="43977.84"/>
    <x v="0"/>
    <x v="0"/>
  </r>
  <r>
    <x v="26"/>
    <x v="26"/>
    <x v="25"/>
    <x v="1"/>
    <m/>
    <x v="66"/>
    <n v="43977.84"/>
    <x v="0"/>
    <x v="0"/>
  </r>
  <r>
    <x v="28"/>
    <x v="28"/>
    <x v="27"/>
    <x v="1"/>
    <m/>
    <x v="66"/>
    <n v="8984.7199999999993"/>
    <x v="0"/>
    <x v="0"/>
  </r>
  <r>
    <x v="29"/>
    <x v="29"/>
    <x v="6"/>
    <x v="1"/>
    <m/>
    <x v="66"/>
    <n v="43977.84"/>
    <x v="0"/>
    <x v="0"/>
  </r>
  <r>
    <x v="30"/>
    <x v="30"/>
    <x v="28"/>
    <x v="1"/>
    <m/>
    <x v="66"/>
    <n v="43977.84"/>
    <x v="0"/>
    <x v="0"/>
  </r>
  <r>
    <x v="31"/>
    <x v="31"/>
    <x v="29"/>
    <x v="1"/>
    <m/>
    <x v="66"/>
    <n v="43977.84"/>
    <x v="0"/>
    <x v="0"/>
  </r>
  <r>
    <x v="32"/>
    <x v="32"/>
    <x v="30"/>
    <x v="1"/>
    <m/>
    <x v="66"/>
    <n v="43977.84"/>
    <x v="0"/>
    <x v="0"/>
  </r>
  <r>
    <x v="33"/>
    <x v="33"/>
    <x v="31"/>
    <x v="1"/>
    <m/>
    <x v="66"/>
    <n v="43977.84"/>
    <x v="0"/>
    <x v="0"/>
  </r>
  <r>
    <x v="34"/>
    <x v="34"/>
    <x v="32"/>
    <x v="1"/>
    <m/>
    <x v="66"/>
    <n v="43977.84"/>
    <x v="0"/>
    <x v="0"/>
  </r>
  <r>
    <x v="35"/>
    <x v="35"/>
    <x v="33"/>
    <x v="1"/>
    <m/>
    <x v="66"/>
    <n v="43977.84"/>
    <x v="0"/>
    <x v="0"/>
  </r>
  <r>
    <x v="36"/>
    <x v="36"/>
    <x v="34"/>
    <x v="1"/>
    <m/>
    <x v="66"/>
    <n v="14659.28"/>
    <x v="0"/>
    <x v="0"/>
  </r>
  <r>
    <x v="37"/>
    <x v="37"/>
    <x v="35"/>
    <x v="1"/>
    <m/>
    <x v="66"/>
    <n v="43977.84"/>
    <x v="0"/>
    <x v="0"/>
  </r>
  <r>
    <x v="38"/>
    <x v="38"/>
    <x v="36"/>
    <x v="1"/>
    <m/>
    <x v="66"/>
    <n v="43977.84"/>
    <x v="0"/>
    <x v="0"/>
  </r>
  <r>
    <x v="39"/>
    <x v="39"/>
    <x v="37"/>
    <x v="1"/>
    <m/>
    <x v="66"/>
    <n v="23821.33"/>
    <x v="0"/>
    <x v="0"/>
  </r>
  <r>
    <x v="40"/>
    <x v="40"/>
    <x v="38"/>
    <x v="1"/>
    <m/>
    <x v="66"/>
    <n v="43977.84"/>
    <x v="0"/>
    <x v="0"/>
  </r>
  <r>
    <x v="41"/>
    <x v="41"/>
    <x v="39"/>
    <x v="1"/>
    <m/>
    <x v="66"/>
    <n v="43977.84"/>
    <x v="0"/>
    <x v="0"/>
  </r>
  <r>
    <x v="42"/>
    <x v="42"/>
    <x v="40"/>
    <x v="1"/>
    <m/>
    <x v="66"/>
    <n v="43977.84"/>
    <x v="0"/>
    <x v="0"/>
  </r>
  <r>
    <x v="43"/>
    <x v="43"/>
    <x v="41"/>
    <x v="1"/>
    <m/>
    <x v="66"/>
    <n v="43977.84"/>
    <x v="0"/>
    <x v="0"/>
  </r>
  <r>
    <x v="44"/>
    <x v="44"/>
    <x v="42"/>
    <x v="1"/>
    <m/>
    <x v="66"/>
    <n v="43977.84"/>
    <x v="0"/>
    <x v="0"/>
  </r>
  <r>
    <x v="45"/>
    <x v="45"/>
    <x v="43"/>
    <x v="1"/>
    <m/>
    <x v="66"/>
    <n v="7329.64"/>
    <x v="0"/>
    <x v="0"/>
  </r>
  <r>
    <x v="46"/>
    <x v="46"/>
    <x v="44"/>
    <x v="1"/>
    <m/>
    <x v="66"/>
    <n v="24313.91"/>
    <x v="0"/>
    <x v="0"/>
  </r>
  <r>
    <x v="47"/>
    <x v="47"/>
    <x v="45"/>
    <x v="1"/>
    <m/>
    <x v="66"/>
    <n v="23052.9"/>
    <x v="0"/>
    <x v="0"/>
  </r>
  <r>
    <x v="48"/>
    <x v="48"/>
    <x v="46"/>
    <x v="1"/>
    <m/>
    <x v="66"/>
    <n v="28925.9"/>
    <x v="0"/>
    <x v="0"/>
  </r>
  <r>
    <x v="49"/>
    <x v="49"/>
    <x v="47"/>
    <x v="1"/>
    <m/>
    <x v="66"/>
    <n v="3664.82"/>
    <x v="0"/>
    <x v="0"/>
  </r>
  <r>
    <x v="50"/>
    <x v="49"/>
    <x v="48"/>
    <x v="1"/>
    <m/>
    <x v="66"/>
    <n v="43977.84"/>
    <x v="0"/>
    <x v="0"/>
  </r>
  <r>
    <x v="51"/>
    <x v="50"/>
    <x v="49"/>
    <x v="1"/>
    <m/>
    <x v="66"/>
    <n v="1655.08"/>
    <x v="0"/>
    <x v="0"/>
  </r>
  <r>
    <x v="52"/>
    <x v="51"/>
    <x v="50"/>
    <x v="1"/>
    <m/>
    <x v="66"/>
    <n v="24924.720000000001"/>
    <x v="0"/>
    <x v="0"/>
  </r>
  <r>
    <x v="53"/>
    <x v="52"/>
    <x v="48"/>
    <x v="1"/>
    <m/>
    <x v="66"/>
    <n v="7329.64"/>
    <x v="0"/>
    <x v="0"/>
  </r>
  <r>
    <x v="0"/>
    <x v="0"/>
    <x v="0"/>
    <x v="1"/>
    <m/>
    <x v="67"/>
    <n v="4828.92"/>
    <x v="0"/>
    <x v="0"/>
  </r>
  <r>
    <x v="1"/>
    <x v="1"/>
    <x v="1"/>
    <x v="1"/>
    <m/>
    <x v="67"/>
    <n v="25566.959999999999"/>
    <x v="0"/>
    <x v="0"/>
  </r>
  <r>
    <x v="2"/>
    <x v="2"/>
    <x v="2"/>
    <x v="1"/>
    <m/>
    <x v="67"/>
    <n v="47100"/>
    <x v="0"/>
    <x v="0"/>
  </r>
  <r>
    <x v="3"/>
    <x v="3"/>
    <x v="3"/>
    <x v="1"/>
    <m/>
    <x v="67"/>
    <n v="11395.16"/>
    <x v="0"/>
    <x v="0"/>
  </r>
  <r>
    <x v="4"/>
    <x v="4"/>
    <x v="4"/>
    <x v="1"/>
    <m/>
    <x v="67"/>
    <n v="19283.740000000002"/>
    <x v="0"/>
    <x v="0"/>
  </r>
  <r>
    <x v="5"/>
    <x v="5"/>
    <x v="5"/>
    <x v="1"/>
    <m/>
    <x v="67"/>
    <n v="45370.13"/>
    <x v="0"/>
    <x v="0"/>
  </r>
  <r>
    <x v="6"/>
    <x v="6"/>
    <x v="6"/>
    <x v="1"/>
    <m/>
    <x v="67"/>
    <n v="47100"/>
    <x v="0"/>
    <x v="0"/>
  </r>
  <r>
    <x v="7"/>
    <x v="7"/>
    <x v="7"/>
    <x v="1"/>
    <m/>
    <x v="67"/>
    <n v="47100"/>
    <x v="0"/>
    <x v="0"/>
  </r>
  <r>
    <x v="8"/>
    <x v="8"/>
    <x v="8"/>
    <x v="1"/>
    <m/>
    <x v="67"/>
    <n v="47100"/>
    <x v="0"/>
    <x v="0"/>
  </r>
  <r>
    <x v="9"/>
    <x v="9"/>
    <x v="9"/>
    <x v="1"/>
    <m/>
    <x v="67"/>
    <n v="47100"/>
    <x v="0"/>
    <x v="0"/>
  </r>
  <r>
    <x v="10"/>
    <x v="10"/>
    <x v="10"/>
    <x v="1"/>
    <m/>
    <x v="67"/>
    <n v="47100"/>
    <x v="0"/>
    <x v="0"/>
  </r>
  <r>
    <x v="11"/>
    <x v="11"/>
    <x v="11"/>
    <x v="1"/>
    <m/>
    <x v="67"/>
    <n v="47100"/>
    <x v="0"/>
    <x v="0"/>
  </r>
  <r>
    <x v="12"/>
    <x v="12"/>
    <x v="12"/>
    <x v="1"/>
    <m/>
    <x v="67"/>
    <n v="47100"/>
    <x v="0"/>
    <x v="0"/>
  </r>
  <r>
    <x v="13"/>
    <x v="13"/>
    <x v="13"/>
    <x v="1"/>
    <m/>
    <x v="67"/>
    <n v="27357.07"/>
    <x v="0"/>
    <x v="0"/>
  </r>
  <r>
    <x v="14"/>
    <x v="14"/>
    <x v="14"/>
    <x v="1"/>
    <m/>
    <x v="67"/>
    <n v="37312.99"/>
    <x v="0"/>
    <x v="0"/>
  </r>
  <r>
    <x v="15"/>
    <x v="15"/>
    <x v="15"/>
    <x v="1"/>
    <m/>
    <x v="67"/>
    <n v="47100"/>
    <x v="0"/>
    <x v="0"/>
  </r>
  <r>
    <x v="16"/>
    <x v="16"/>
    <x v="16"/>
    <x v="1"/>
    <m/>
    <x v="67"/>
    <n v="31999.98"/>
    <x v="0"/>
    <x v="0"/>
  </r>
  <r>
    <x v="17"/>
    <x v="17"/>
    <x v="17"/>
    <x v="1"/>
    <m/>
    <x v="67"/>
    <n v="5765.88"/>
    <x v="0"/>
    <x v="0"/>
  </r>
  <r>
    <x v="18"/>
    <x v="18"/>
    <x v="18"/>
    <x v="1"/>
    <m/>
    <x v="67"/>
    <n v="47100"/>
    <x v="0"/>
    <x v="0"/>
  </r>
  <r>
    <x v="19"/>
    <x v="19"/>
    <x v="19"/>
    <x v="1"/>
    <m/>
    <x v="67"/>
    <n v="47100"/>
    <x v="0"/>
    <x v="0"/>
  </r>
  <r>
    <x v="20"/>
    <x v="20"/>
    <x v="20"/>
    <x v="1"/>
    <m/>
    <x v="67"/>
    <n v="47100"/>
    <x v="0"/>
    <x v="0"/>
  </r>
  <r>
    <x v="21"/>
    <x v="21"/>
    <x v="21"/>
    <x v="1"/>
    <m/>
    <x v="67"/>
    <n v="38087.230000000003"/>
    <x v="0"/>
    <x v="0"/>
  </r>
  <r>
    <x v="22"/>
    <x v="22"/>
    <x v="22"/>
    <x v="1"/>
    <m/>
    <x v="67"/>
    <n v="15681.31"/>
    <x v="0"/>
    <x v="0"/>
  </r>
  <r>
    <x v="23"/>
    <x v="23"/>
    <x v="23"/>
    <x v="1"/>
    <m/>
    <x v="67"/>
    <n v="39845.279999999999"/>
    <x v="0"/>
    <x v="0"/>
  </r>
  <r>
    <x v="24"/>
    <x v="24"/>
    <x v="7"/>
    <x v="1"/>
    <m/>
    <x v="67"/>
    <n v="7934.12"/>
    <x v="0"/>
    <x v="0"/>
  </r>
  <r>
    <x v="25"/>
    <x v="25"/>
    <x v="24"/>
    <x v="1"/>
    <m/>
    <x v="67"/>
    <n v="38855.14"/>
    <x v="0"/>
    <x v="0"/>
  </r>
  <r>
    <x v="26"/>
    <x v="26"/>
    <x v="25"/>
    <x v="1"/>
    <m/>
    <x v="67"/>
    <n v="47100"/>
    <x v="0"/>
    <x v="0"/>
  </r>
  <r>
    <x v="28"/>
    <x v="28"/>
    <x v="27"/>
    <x v="1"/>
    <m/>
    <x v="67"/>
    <n v="9622.58"/>
    <x v="0"/>
    <x v="0"/>
  </r>
  <r>
    <x v="29"/>
    <x v="29"/>
    <x v="6"/>
    <x v="1"/>
    <m/>
    <x v="67"/>
    <n v="38311.83"/>
    <x v="0"/>
    <x v="0"/>
  </r>
  <r>
    <x v="30"/>
    <x v="30"/>
    <x v="28"/>
    <x v="1"/>
    <m/>
    <x v="67"/>
    <n v="47100"/>
    <x v="0"/>
    <x v="0"/>
  </r>
  <r>
    <x v="31"/>
    <x v="31"/>
    <x v="29"/>
    <x v="1"/>
    <m/>
    <x v="67"/>
    <n v="47100"/>
    <x v="0"/>
    <x v="0"/>
  </r>
  <r>
    <x v="32"/>
    <x v="32"/>
    <x v="30"/>
    <x v="1"/>
    <m/>
    <x v="67"/>
    <n v="47100"/>
    <x v="0"/>
    <x v="0"/>
  </r>
  <r>
    <x v="33"/>
    <x v="33"/>
    <x v="31"/>
    <x v="1"/>
    <m/>
    <x v="67"/>
    <n v="43774.64"/>
    <x v="0"/>
    <x v="0"/>
  </r>
  <r>
    <x v="34"/>
    <x v="34"/>
    <x v="32"/>
    <x v="1"/>
    <m/>
    <x v="67"/>
    <n v="47100"/>
    <x v="0"/>
    <x v="0"/>
  </r>
  <r>
    <x v="35"/>
    <x v="35"/>
    <x v="33"/>
    <x v="1"/>
    <m/>
    <x v="67"/>
    <n v="38315.9"/>
    <x v="0"/>
    <x v="0"/>
  </r>
  <r>
    <x v="36"/>
    <x v="36"/>
    <x v="34"/>
    <x v="1"/>
    <m/>
    <x v="67"/>
    <n v="5765.88"/>
    <x v="0"/>
    <x v="0"/>
  </r>
  <r>
    <x v="37"/>
    <x v="37"/>
    <x v="35"/>
    <x v="1"/>
    <m/>
    <x v="67"/>
    <n v="38778.019999999997"/>
    <x v="0"/>
    <x v="0"/>
  </r>
  <r>
    <x v="38"/>
    <x v="38"/>
    <x v="36"/>
    <x v="1"/>
    <m/>
    <x v="67"/>
    <n v="47100"/>
    <x v="0"/>
    <x v="0"/>
  </r>
  <r>
    <x v="39"/>
    <x v="39"/>
    <x v="37"/>
    <x v="1"/>
    <m/>
    <x v="67"/>
    <n v="18490.8"/>
    <x v="0"/>
    <x v="0"/>
  </r>
  <r>
    <x v="40"/>
    <x v="40"/>
    <x v="38"/>
    <x v="1"/>
    <m/>
    <x v="67"/>
    <n v="47100"/>
    <x v="0"/>
    <x v="0"/>
  </r>
  <r>
    <x v="41"/>
    <x v="41"/>
    <x v="39"/>
    <x v="1"/>
    <m/>
    <x v="67"/>
    <n v="47100"/>
    <x v="0"/>
    <x v="0"/>
  </r>
  <r>
    <x v="42"/>
    <x v="42"/>
    <x v="40"/>
    <x v="1"/>
    <m/>
    <x v="67"/>
    <n v="47100"/>
    <x v="0"/>
    <x v="0"/>
  </r>
  <r>
    <x v="43"/>
    <x v="43"/>
    <x v="41"/>
    <x v="1"/>
    <m/>
    <x v="67"/>
    <n v="47100"/>
    <x v="0"/>
    <x v="0"/>
  </r>
  <r>
    <x v="44"/>
    <x v="44"/>
    <x v="42"/>
    <x v="1"/>
    <m/>
    <x v="67"/>
    <n v="45684.82"/>
    <x v="0"/>
    <x v="0"/>
  </r>
  <r>
    <x v="45"/>
    <x v="45"/>
    <x v="43"/>
    <x v="1"/>
    <m/>
    <x v="67"/>
    <n v="7850"/>
    <x v="0"/>
    <x v="0"/>
  </r>
  <r>
    <x v="46"/>
    <x v="46"/>
    <x v="44"/>
    <x v="1"/>
    <m/>
    <x v="67"/>
    <n v="7716.54"/>
    <x v="0"/>
    <x v="0"/>
  </r>
  <r>
    <x v="47"/>
    <x v="47"/>
    <x v="45"/>
    <x v="1"/>
    <m/>
    <x v="67"/>
    <n v="24689.52"/>
    <x v="0"/>
    <x v="0"/>
  </r>
  <r>
    <x v="48"/>
    <x v="48"/>
    <x v="46"/>
    <x v="1"/>
    <m/>
    <x v="67"/>
    <n v="7840.63"/>
    <x v="0"/>
    <x v="0"/>
  </r>
  <r>
    <x v="49"/>
    <x v="49"/>
    <x v="47"/>
    <x v="1"/>
    <m/>
    <x v="67"/>
    <n v="3399.94"/>
    <x v="0"/>
    <x v="0"/>
  </r>
  <r>
    <x v="50"/>
    <x v="49"/>
    <x v="48"/>
    <x v="1"/>
    <m/>
    <x v="67"/>
    <n v="36818.67"/>
    <x v="0"/>
    <x v="0"/>
  </r>
  <r>
    <x v="51"/>
    <x v="50"/>
    <x v="49"/>
    <x v="1"/>
    <m/>
    <x v="67"/>
    <n v="1772.58"/>
    <x v="0"/>
    <x v="0"/>
  </r>
  <r>
    <x v="52"/>
    <x v="51"/>
    <x v="50"/>
    <x v="1"/>
    <m/>
    <x v="67"/>
    <n v="26694.23"/>
    <x v="0"/>
    <x v="0"/>
  </r>
  <r>
    <x v="53"/>
    <x v="52"/>
    <x v="48"/>
    <x v="1"/>
    <m/>
    <x v="67"/>
    <n v="6819.94"/>
    <x v="0"/>
    <x v="0"/>
  </r>
  <r>
    <x v="1"/>
    <x v="1"/>
    <x v="1"/>
    <x v="1"/>
    <m/>
    <x v="68"/>
    <n v="17040.32"/>
    <x v="0"/>
    <x v="0"/>
  </r>
  <r>
    <x v="2"/>
    <x v="2"/>
    <x v="2"/>
    <x v="1"/>
    <m/>
    <x v="68"/>
    <n v="14268.02"/>
    <x v="0"/>
    <x v="0"/>
  </r>
  <r>
    <x v="3"/>
    <x v="3"/>
    <x v="3"/>
    <x v="1"/>
    <m/>
    <x v="68"/>
    <n v="3681.79"/>
    <x v="0"/>
    <x v="0"/>
  </r>
  <r>
    <x v="6"/>
    <x v="6"/>
    <x v="6"/>
    <x v="1"/>
    <m/>
    <x v="68"/>
    <n v="13609.03"/>
    <x v="0"/>
    <x v="0"/>
  </r>
  <r>
    <x v="7"/>
    <x v="7"/>
    <x v="7"/>
    <x v="1"/>
    <m/>
    <x v="68"/>
    <n v="6622.94"/>
    <x v="0"/>
    <x v="0"/>
  </r>
  <r>
    <x v="8"/>
    <x v="8"/>
    <x v="8"/>
    <x v="1"/>
    <m/>
    <x v="68"/>
    <n v="88462.2"/>
    <x v="0"/>
    <x v="0"/>
  </r>
  <r>
    <x v="9"/>
    <x v="9"/>
    <x v="9"/>
    <x v="1"/>
    <m/>
    <x v="68"/>
    <n v="15889.04"/>
    <x v="0"/>
    <x v="0"/>
  </r>
  <r>
    <x v="10"/>
    <x v="10"/>
    <x v="10"/>
    <x v="1"/>
    <m/>
    <x v="68"/>
    <n v="89114.53"/>
    <x v="0"/>
    <x v="0"/>
  </r>
  <r>
    <x v="11"/>
    <x v="11"/>
    <x v="11"/>
    <x v="1"/>
    <m/>
    <x v="68"/>
    <n v="24002.79"/>
    <x v="0"/>
    <x v="0"/>
  </r>
  <r>
    <x v="12"/>
    <x v="12"/>
    <x v="12"/>
    <x v="1"/>
    <m/>
    <x v="68"/>
    <n v="9565.3700000000008"/>
    <x v="0"/>
    <x v="0"/>
  </r>
  <r>
    <x v="14"/>
    <x v="14"/>
    <x v="14"/>
    <x v="1"/>
    <m/>
    <x v="68"/>
    <n v="3141.13"/>
    <x v="0"/>
    <x v="0"/>
  </r>
  <r>
    <x v="15"/>
    <x v="15"/>
    <x v="15"/>
    <x v="1"/>
    <m/>
    <x v="68"/>
    <n v="14346.32"/>
    <x v="0"/>
    <x v="0"/>
  </r>
  <r>
    <x v="18"/>
    <x v="18"/>
    <x v="18"/>
    <x v="1"/>
    <m/>
    <x v="68"/>
    <n v="49573.07"/>
    <x v="0"/>
    <x v="0"/>
  </r>
  <r>
    <x v="19"/>
    <x v="19"/>
    <x v="19"/>
    <x v="1"/>
    <m/>
    <x v="68"/>
    <n v="16821.650000000001"/>
    <x v="0"/>
    <x v="0"/>
  </r>
  <r>
    <x v="20"/>
    <x v="20"/>
    <x v="20"/>
    <x v="1"/>
    <m/>
    <x v="68"/>
    <n v="21395.59"/>
    <x v="0"/>
    <x v="0"/>
  </r>
  <r>
    <x v="22"/>
    <x v="22"/>
    <x v="22"/>
    <x v="1"/>
    <m/>
    <x v="68"/>
    <n v="9791.5300000000007"/>
    <x v="0"/>
    <x v="0"/>
  </r>
  <r>
    <x v="26"/>
    <x v="26"/>
    <x v="25"/>
    <x v="1"/>
    <m/>
    <x v="68"/>
    <n v="12472.69"/>
    <x v="0"/>
    <x v="0"/>
  </r>
  <r>
    <x v="28"/>
    <x v="28"/>
    <x v="27"/>
    <x v="1"/>
    <m/>
    <x v="68"/>
    <n v="1052.3699999999999"/>
    <x v="0"/>
    <x v="0"/>
  </r>
  <r>
    <x v="30"/>
    <x v="30"/>
    <x v="28"/>
    <x v="1"/>
    <m/>
    <x v="68"/>
    <n v="14504.34"/>
    <x v="0"/>
    <x v="0"/>
  </r>
  <r>
    <x v="31"/>
    <x v="31"/>
    <x v="29"/>
    <x v="1"/>
    <m/>
    <x v="68"/>
    <n v="12293.65"/>
    <x v="0"/>
    <x v="0"/>
  </r>
  <r>
    <x v="32"/>
    <x v="32"/>
    <x v="30"/>
    <x v="1"/>
    <m/>
    <x v="68"/>
    <n v="1874.5"/>
    <x v="0"/>
    <x v="0"/>
  </r>
  <r>
    <x v="34"/>
    <x v="34"/>
    <x v="32"/>
    <x v="1"/>
    <m/>
    <x v="68"/>
    <n v="23285.62"/>
    <x v="0"/>
    <x v="0"/>
  </r>
  <r>
    <x v="38"/>
    <x v="38"/>
    <x v="36"/>
    <x v="1"/>
    <m/>
    <x v="68"/>
    <n v="91640.99"/>
    <x v="0"/>
    <x v="0"/>
  </r>
  <r>
    <x v="40"/>
    <x v="40"/>
    <x v="38"/>
    <x v="1"/>
    <m/>
    <x v="68"/>
    <n v="11561.4"/>
    <x v="0"/>
    <x v="0"/>
  </r>
  <r>
    <x v="41"/>
    <x v="41"/>
    <x v="39"/>
    <x v="1"/>
    <m/>
    <x v="68"/>
    <n v="11229.01"/>
    <x v="0"/>
    <x v="0"/>
  </r>
  <r>
    <x v="42"/>
    <x v="42"/>
    <x v="40"/>
    <x v="1"/>
    <m/>
    <x v="68"/>
    <n v="32072.74"/>
    <x v="0"/>
    <x v="0"/>
  </r>
  <r>
    <x v="43"/>
    <x v="43"/>
    <x v="41"/>
    <x v="1"/>
    <m/>
    <x v="68"/>
    <n v="9844.02"/>
    <x v="0"/>
    <x v="0"/>
  </r>
  <r>
    <x v="45"/>
    <x v="45"/>
    <x v="43"/>
    <x v="1"/>
    <m/>
    <x v="68"/>
    <n v="23542.38"/>
    <x v="0"/>
    <x v="0"/>
  </r>
  <r>
    <x v="47"/>
    <x v="47"/>
    <x v="45"/>
    <x v="1"/>
    <m/>
    <x v="68"/>
    <n v="1637.34"/>
    <x v="0"/>
    <x v="0"/>
  </r>
  <r>
    <x v="51"/>
    <x v="50"/>
    <x v="49"/>
    <x v="1"/>
    <m/>
    <x v="68"/>
    <n v="4305.38"/>
    <x v="0"/>
    <x v="0"/>
  </r>
  <r>
    <x v="52"/>
    <x v="51"/>
    <x v="50"/>
    <x v="1"/>
    <m/>
    <x v="68"/>
    <n v="18434.03"/>
    <x v="0"/>
    <x v="0"/>
  </r>
  <r>
    <x v="51"/>
    <x v="50"/>
    <x v="49"/>
    <x v="1"/>
    <m/>
    <x v="69"/>
    <n v="3545.16"/>
    <x v="0"/>
    <x v="0"/>
  </r>
  <r>
    <x v="0"/>
    <x v="0"/>
    <x v="0"/>
    <x v="0"/>
    <s v="SS001"/>
    <x v="70"/>
    <n v="3603.68"/>
    <x v="0"/>
    <x v="0"/>
  </r>
  <r>
    <x v="0"/>
    <x v="0"/>
    <x v="0"/>
    <x v="2"/>
    <s v="SS001"/>
    <x v="70"/>
    <n v="252.24"/>
    <x v="8"/>
    <x v="2"/>
  </r>
  <r>
    <x v="17"/>
    <x v="17"/>
    <x v="17"/>
    <x v="0"/>
    <s v="SS001"/>
    <x v="70"/>
    <n v="3603.68"/>
    <x v="0"/>
    <x v="0"/>
  </r>
  <r>
    <x v="17"/>
    <x v="17"/>
    <x v="17"/>
    <x v="2"/>
    <s v="SS001"/>
    <x v="70"/>
    <n v="252.24"/>
    <x v="8"/>
    <x v="2"/>
  </r>
  <r>
    <x v="24"/>
    <x v="24"/>
    <x v="7"/>
    <x v="0"/>
    <s v="SS001"/>
    <x v="70"/>
    <n v="7934.12"/>
    <x v="0"/>
    <x v="0"/>
  </r>
  <r>
    <x v="24"/>
    <x v="24"/>
    <x v="7"/>
    <x v="2"/>
    <s v="SS001"/>
    <x v="70"/>
    <n v="555.38"/>
    <x v="8"/>
    <x v="2"/>
  </r>
  <r>
    <x v="36"/>
    <x v="36"/>
    <x v="34"/>
    <x v="0"/>
    <s v="SS001"/>
    <x v="70"/>
    <n v="3603.68"/>
    <x v="0"/>
    <x v="0"/>
  </r>
  <r>
    <x v="36"/>
    <x v="36"/>
    <x v="34"/>
    <x v="2"/>
    <s v="SS001"/>
    <x v="70"/>
    <n v="252.24"/>
    <x v="8"/>
    <x v="2"/>
  </r>
  <r>
    <x v="46"/>
    <x v="46"/>
    <x v="44"/>
    <x v="0"/>
    <s v="SS001"/>
    <x v="70"/>
    <n v="7716.54"/>
    <x v="0"/>
    <x v="0"/>
  </r>
  <r>
    <x v="46"/>
    <x v="46"/>
    <x v="44"/>
    <x v="2"/>
    <s v="SS001"/>
    <x v="70"/>
    <n v="540.14"/>
    <x v="8"/>
    <x v="2"/>
  </r>
  <r>
    <x v="48"/>
    <x v="48"/>
    <x v="46"/>
    <x v="0"/>
    <s v="SS001"/>
    <x v="70"/>
    <n v="7840.63"/>
    <x v="0"/>
    <x v="0"/>
  </r>
  <r>
    <x v="48"/>
    <x v="48"/>
    <x v="46"/>
    <x v="2"/>
    <s v="SS001"/>
    <x v="70"/>
    <n v="548.84"/>
    <x v="8"/>
    <x v="2"/>
  </r>
  <r>
    <x v="0"/>
    <x v="0"/>
    <x v="0"/>
    <x v="0"/>
    <s v="SS001"/>
    <x v="71"/>
    <n v="1225.24"/>
    <x v="0"/>
    <x v="0"/>
  </r>
  <r>
    <x v="0"/>
    <x v="0"/>
    <x v="0"/>
    <x v="2"/>
    <s v="SS001"/>
    <x v="71"/>
    <n v="85.76"/>
    <x v="8"/>
    <x v="2"/>
  </r>
  <r>
    <x v="1"/>
    <x v="1"/>
    <x v="1"/>
    <x v="0"/>
    <s v="SS001"/>
    <x v="71"/>
    <n v="42607.28"/>
    <x v="0"/>
    <x v="0"/>
  </r>
  <r>
    <x v="1"/>
    <x v="1"/>
    <x v="1"/>
    <x v="2"/>
    <s v="SS001"/>
    <x v="71"/>
    <n v="2982.5"/>
    <x v="8"/>
    <x v="2"/>
  </r>
  <r>
    <x v="2"/>
    <x v="2"/>
    <x v="2"/>
    <x v="0"/>
    <s v="SS001"/>
    <x v="71"/>
    <n v="61368.02"/>
    <x v="0"/>
    <x v="0"/>
  </r>
  <r>
    <x v="2"/>
    <x v="2"/>
    <x v="2"/>
    <x v="2"/>
    <s v="SS001"/>
    <x v="71"/>
    <n v="4295.76"/>
    <x v="8"/>
    <x v="2"/>
  </r>
  <r>
    <x v="3"/>
    <x v="3"/>
    <x v="3"/>
    <x v="0"/>
    <s v="SS001"/>
    <x v="71"/>
    <n v="15076.95"/>
    <x v="0"/>
    <x v="0"/>
  </r>
  <r>
    <x v="3"/>
    <x v="3"/>
    <x v="3"/>
    <x v="2"/>
    <s v="SS001"/>
    <x v="71"/>
    <n v="1055.3800000000001"/>
    <x v="8"/>
    <x v="2"/>
  </r>
  <r>
    <x v="4"/>
    <x v="4"/>
    <x v="4"/>
    <x v="0"/>
    <s v="SS001"/>
    <x v="71"/>
    <n v="19283.740000000002"/>
    <x v="0"/>
    <x v="0"/>
  </r>
  <r>
    <x v="4"/>
    <x v="4"/>
    <x v="4"/>
    <x v="2"/>
    <s v="SS001"/>
    <x v="71"/>
    <n v="1349.87"/>
    <x v="8"/>
    <x v="2"/>
  </r>
  <r>
    <x v="5"/>
    <x v="5"/>
    <x v="5"/>
    <x v="0"/>
    <s v="SS001"/>
    <x v="71"/>
    <n v="45370.13"/>
    <x v="0"/>
    <x v="0"/>
  </r>
  <r>
    <x v="5"/>
    <x v="5"/>
    <x v="5"/>
    <x v="2"/>
    <s v="SS001"/>
    <x v="71"/>
    <n v="3175.93"/>
    <x v="8"/>
    <x v="2"/>
  </r>
  <r>
    <x v="6"/>
    <x v="6"/>
    <x v="6"/>
    <x v="0"/>
    <s v="SS001"/>
    <x v="71"/>
    <n v="60709.03"/>
    <x v="0"/>
    <x v="0"/>
  </r>
  <r>
    <x v="6"/>
    <x v="6"/>
    <x v="6"/>
    <x v="2"/>
    <s v="SS001"/>
    <x v="71"/>
    <n v="4249.6499999999996"/>
    <x v="8"/>
    <x v="2"/>
  </r>
  <r>
    <x v="7"/>
    <x v="7"/>
    <x v="7"/>
    <x v="0"/>
    <s v="SS001"/>
    <x v="71"/>
    <n v="53722.94"/>
    <x v="0"/>
    <x v="0"/>
  </r>
  <r>
    <x v="7"/>
    <x v="7"/>
    <x v="7"/>
    <x v="2"/>
    <s v="SS001"/>
    <x v="71"/>
    <n v="3760.62"/>
    <x v="8"/>
    <x v="2"/>
  </r>
  <r>
    <x v="8"/>
    <x v="8"/>
    <x v="8"/>
    <x v="0"/>
    <s v="SS001"/>
    <x v="71"/>
    <n v="135562.20000000001"/>
    <x v="0"/>
    <x v="0"/>
  </r>
  <r>
    <x v="8"/>
    <x v="8"/>
    <x v="8"/>
    <x v="2"/>
    <s v="SS001"/>
    <x v="71"/>
    <n v="9489.36"/>
    <x v="8"/>
    <x v="2"/>
  </r>
  <r>
    <x v="9"/>
    <x v="9"/>
    <x v="9"/>
    <x v="0"/>
    <s v="SS001"/>
    <x v="71"/>
    <n v="62989.04"/>
    <x v="0"/>
    <x v="0"/>
  </r>
  <r>
    <x v="9"/>
    <x v="9"/>
    <x v="9"/>
    <x v="2"/>
    <s v="SS001"/>
    <x v="71"/>
    <n v="4409.24"/>
    <x v="8"/>
    <x v="2"/>
  </r>
  <r>
    <x v="10"/>
    <x v="10"/>
    <x v="10"/>
    <x v="0"/>
    <s v="SS001"/>
    <x v="71"/>
    <n v="136214.53"/>
    <x v="0"/>
    <x v="0"/>
  </r>
  <r>
    <x v="10"/>
    <x v="10"/>
    <x v="10"/>
    <x v="2"/>
    <s v="SS001"/>
    <x v="71"/>
    <n v="9535.02"/>
    <x v="8"/>
    <x v="2"/>
  </r>
  <r>
    <x v="11"/>
    <x v="11"/>
    <x v="11"/>
    <x v="0"/>
    <s v="SS001"/>
    <x v="71"/>
    <n v="71102.789999999994"/>
    <x v="0"/>
    <x v="0"/>
  </r>
  <r>
    <x v="11"/>
    <x v="11"/>
    <x v="11"/>
    <x v="2"/>
    <s v="SS001"/>
    <x v="71"/>
    <n v="4977.16"/>
    <x v="8"/>
    <x v="2"/>
  </r>
  <r>
    <x v="12"/>
    <x v="12"/>
    <x v="12"/>
    <x v="0"/>
    <s v="SS001"/>
    <x v="71"/>
    <n v="56665.37"/>
    <x v="0"/>
    <x v="0"/>
  </r>
  <r>
    <x v="12"/>
    <x v="12"/>
    <x v="12"/>
    <x v="2"/>
    <s v="SS001"/>
    <x v="71"/>
    <n v="3966.55"/>
    <x v="8"/>
    <x v="2"/>
  </r>
  <r>
    <x v="13"/>
    <x v="13"/>
    <x v="13"/>
    <x v="0"/>
    <s v="SS001"/>
    <x v="71"/>
    <n v="27357.07"/>
    <x v="0"/>
    <x v="0"/>
  </r>
  <r>
    <x v="13"/>
    <x v="13"/>
    <x v="13"/>
    <x v="2"/>
    <s v="SS001"/>
    <x v="71"/>
    <n v="1915"/>
    <x v="8"/>
    <x v="2"/>
  </r>
  <r>
    <x v="14"/>
    <x v="14"/>
    <x v="14"/>
    <x v="0"/>
    <s v="SS001"/>
    <x v="71"/>
    <n v="40454.120000000003"/>
    <x v="0"/>
    <x v="0"/>
  </r>
  <r>
    <x v="14"/>
    <x v="14"/>
    <x v="14"/>
    <x v="2"/>
    <s v="SS001"/>
    <x v="71"/>
    <n v="2831.79"/>
    <x v="8"/>
    <x v="2"/>
  </r>
  <r>
    <x v="15"/>
    <x v="15"/>
    <x v="15"/>
    <x v="0"/>
    <s v="SS001"/>
    <x v="71"/>
    <n v="61446.32"/>
    <x v="0"/>
    <x v="0"/>
  </r>
  <r>
    <x v="15"/>
    <x v="15"/>
    <x v="15"/>
    <x v="2"/>
    <s v="SS001"/>
    <x v="71"/>
    <n v="4301.28"/>
    <x v="8"/>
    <x v="2"/>
  </r>
  <r>
    <x v="16"/>
    <x v="16"/>
    <x v="16"/>
    <x v="0"/>
    <s v="SS001"/>
    <x v="71"/>
    <n v="31999.98"/>
    <x v="0"/>
    <x v="0"/>
  </r>
  <r>
    <x v="16"/>
    <x v="16"/>
    <x v="16"/>
    <x v="2"/>
    <s v="SS001"/>
    <x v="71"/>
    <n v="2240.02"/>
    <x v="8"/>
    <x v="2"/>
  </r>
  <r>
    <x v="17"/>
    <x v="17"/>
    <x v="17"/>
    <x v="0"/>
    <s v="SS001"/>
    <x v="71"/>
    <n v="2162.1999999999998"/>
    <x v="0"/>
    <x v="0"/>
  </r>
  <r>
    <x v="17"/>
    <x v="17"/>
    <x v="17"/>
    <x v="2"/>
    <s v="SS001"/>
    <x v="71"/>
    <n v="151.36000000000001"/>
    <x v="8"/>
    <x v="2"/>
  </r>
  <r>
    <x v="18"/>
    <x v="18"/>
    <x v="18"/>
    <x v="0"/>
    <s v="SS001"/>
    <x v="71"/>
    <n v="96673.07"/>
    <x v="0"/>
    <x v="0"/>
  </r>
  <r>
    <x v="18"/>
    <x v="18"/>
    <x v="18"/>
    <x v="2"/>
    <s v="SS001"/>
    <x v="71"/>
    <n v="6767.12"/>
    <x v="8"/>
    <x v="2"/>
  </r>
  <r>
    <x v="19"/>
    <x v="19"/>
    <x v="19"/>
    <x v="0"/>
    <s v="SS001"/>
    <x v="71"/>
    <n v="63921.65"/>
    <x v="0"/>
    <x v="0"/>
  </r>
  <r>
    <x v="19"/>
    <x v="19"/>
    <x v="19"/>
    <x v="2"/>
    <s v="SS001"/>
    <x v="71"/>
    <n v="4474.5200000000004"/>
    <x v="8"/>
    <x v="2"/>
  </r>
  <r>
    <x v="20"/>
    <x v="20"/>
    <x v="20"/>
    <x v="0"/>
    <s v="SS001"/>
    <x v="71"/>
    <n v="68495.59"/>
    <x v="0"/>
    <x v="0"/>
  </r>
  <r>
    <x v="20"/>
    <x v="20"/>
    <x v="20"/>
    <x v="2"/>
    <s v="SS001"/>
    <x v="71"/>
    <n v="4794.71"/>
    <x v="8"/>
    <x v="2"/>
  </r>
  <r>
    <x v="21"/>
    <x v="21"/>
    <x v="21"/>
    <x v="0"/>
    <s v="SS001"/>
    <x v="71"/>
    <n v="38087.230000000003"/>
    <x v="0"/>
    <x v="0"/>
  </r>
  <r>
    <x v="21"/>
    <x v="21"/>
    <x v="21"/>
    <x v="2"/>
    <s v="SS001"/>
    <x v="71"/>
    <n v="2666.12"/>
    <x v="8"/>
    <x v="2"/>
  </r>
  <r>
    <x v="22"/>
    <x v="22"/>
    <x v="22"/>
    <x v="0"/>
    <s v="SS001"/>
    <x v="71"/>
    <n v="25472.84"/>
    <x v="0"/>
    <x v="0"/>
  </r>
  <r>
    <x v="22"/>
    <x v="22"/>
    <x v="22"/>
    <x v="2"/>
    <s v="SS001"/>
    <x v="71"/>
    <n v="1783.1"/>
    <x v="8"/>
    <x v="2"/>
  </r>
  <r>
    <x v="23"/>
    <x v="23"/>
    <x v="23"/>
    <x v="0"/>
    <s v="SS001"/>
    <x v="71"/>
    <n v="39845.279999999999"/>
    <x v="0"/>
    <x v="0"/>
  </r>
  <r>
    <x v="23"/>
    <x v="23"/>
    <x v="23"/>
    <x v="2"/>
    <s v="SS001"/>
    <x v="71"/>
    <n v="2789.16"/>
    <x v="8"/>
    <x v="2"/>
  </r>
  <r>
    <x v="25"/>
    <x v="25"/>
    <x v="24"/>
    <x v="0"/>
    <s v="SS001"/>
    <x v="71"/>
    <n v="38855.14"/>
    <x v="0"/>
    <x v="0"/>
  </r>
  <r>
    <x v="25"/>
    <x v="25"/>
    <x v="24"/>
    <x v="2"/>
    <s v="SS001"/>
    <x v="71"/>
    <n v="2719.84"/>
    <x v="8"/>
    <x v="2"/>
  </r>
  <r>
    <x v="26"/>
    <x v="26"/>
    <x v="25"/>
    <x v="0"/>
    <s v="SS001"/>
    <x v="71"/>
    <n v="59572.69"/>
    <x v="0"/>
    <x v="0"/>
  </r>
  <r>
    <x v="26"/>
    <x v="26"/>
    <x v="25"/>
    <x v="2"/>
    <s v="SS001"/>
    <x v="71"/>
    <n v="4170.1099999999997"/>
    <x v="8"/>
    <x v="2"/>
  </r>
  <r>
    <x v="28"/>
    <x v="28"/>
    <x v="27"/>
    <x v="0"/>
    <s v="SS001"/>
    <x v="71"/>
    <n v="10674.95"/>
    <x v="0"/>
    <x v="0"/>
  </r>
  <r>
    <x v="28"/>
    <x v="28"/>
    <x v="27"/>
    <x v="2"/>
    <s v="SS001"/>
    <x v="71"/>
    <n v="747.24"/>
    <x v="8"/>
    <x v="2"/>
  </r>
  <r>
    <x v="29"/>
    <x v="29"/>
    <x v="6"/>
    <x v="0"/>
    <s v="SS001"/>
    <x v="71"/>
    <n v="38311.83"/>
    <x v="0"/>
    <x v="0"/>
  </r>
  <r>
    <x v="29"/>
    <x v="29"/>
    <x v="6"/>
    <x v="2"/>
    <s v="SS001"/>
    <x v="71"/>
    <n v="2681.84"/>
    <x v="8"/>
    <x v="2"/>
  </r>
  <r>
    <x v="30"/>
    <x v="30"/>
    <x v="28"/>
    <x v="0"/>
    <s v="SS001"/>
    <x v="71"/>
    <n v="61604.34"/>
    <x v="0"/>
    <x v="0"/>
  </r>
  <r>
    <x v="30"/>
    <x v="30"/>
    <x v="28"/>
    <x v="2"/>
    <s v="SS001"/>
    <x v="71"/>
    <n v="4312.32"/>
    <x v="8"/>
    <x v="2"/>
  </r>
  <r>
    <x v="31"/>
    <x v="31"/>
    <x v="29"/>
    <x v="0"/>
    <s v="SS001"/>
    <x v="71"/>
    <n v="59393.65"/>
    <x v="0"/>
    <x v="0"/>
  </r>
  <r>
    <x v="31"/>
    <x v="31"/>
    <x v="29"/>
    <x v="2"/>
    <s v="SS001"/>
    <x v="71"/>
    <n v="4157.5600000000004"/>
    <x v="8"/>
    <x v="2"/>
  </r>
  <r>
    <x v="32"/>
    <x v="32"/>
    <x v="30"/>
    <x v="0"/>
    <s v="SS001"/>
    <x v="71"/>
    <n v="48974.5"/>
    <x v="0"/>
    <x v="0"/>
  </r>
  <r>
    <x v="32"/>
    <x v="32"/>
    <x v="30"/>
    <x v="2"/>
    <s v="SS001"/>
    <x v="71"/>
    <n v="3428.22"/>
    <x v="8"/>
    <x v="2"/>
  </r>
  <r>
    <x v="33"/>
    <x v="33"/>
    <x v="31"/>
    <x v="0"/>
    <s v="SS001"/>
    <x v="71"/>
    <n v="43774.64"/>
    <x v="0"/>
    <x v="0"/>
  </r>
  <r>
    <x v="33"/>
    <x v="33"/>
    <x v="31"/>
    <x v="2"/>
    <s v="SS001"/>
    <x v="71"/>
    <n v="3064.26"/>
    <x v="8"/>
    <x v="2"/>
  </r>
  <r>
    <x v="34"/>
    <x v="34"/>
    <x v="32"/>
    <x v="0"/>
    <s v="SS001"/>
    <x v="71"/>
    <n v="70385.62"/>
    <x v="0"/>
    <x v="0"/>
  </r>
  <r>
    <x v="34"/>
    <x v="34"/>
    <x v="32"/>
    <x v="2"/>
    <s v="SS001"/>
    <x v="71"/>
    <n v="4926.97"/>
    <x v="8"/>
    <x v="2"/>
  </r>
  <r>
    <x v="35"/>
    <x v="35"/>
    <x v="33"/>
    <x v="0"/>
    <s v="SS001"/>
    <x v="71"/>
    <n v="38315.9"/>
    <x v="0"/>
    <x v="0"/>
  </r>
  <r>
    <x v="35"/>
    <x v="35"/>
    <x v="33"/>
    <x v="2"/>
    <s v="SS001"/>
    <x v="71"/>
    <n v="2682.13"/>
    <x v="8"/>
    <x v="2"/>
  </r>
  <r>
    <x v="36"/>
    <x v="36"/>
    <x v="34"/>
    <x v="0"/>
    <s v="SS001"/>
    <x v="71"/>
    <n v="2162.1999999999998"/>
    <x v="0"/>
    <x v="0"/>
  </r>
  <r>
    <x v="36"/>
    <x v="36"/>
    <x v="34"/>
    <x v="2"/>
    <s v="SS001"/>
    <x v="71"/>
    <n v="151.36000000000001"/>
    <x v="8"/>
    <x v="2"/>
  </r>
  <r>
    <x v="37"/>
    <x v="37"/>
    <x v="35"/>
    <x v="0"/>
    <s v="SS001"/>
    <x v="71"/>
    <n v="38778.019999999997"/>
    <x v="0"/>
    <x v="0"/>
  </r>
  <r>
    <x v="37"/>
    <x v="37"/>
    <x v="35"/>
    <x v="2"/>
    <s v="SS001"/>
    <x v="71"/>
    <n v="2714.48"/>
    <x v="8"/>
    <x v="2"/>
  </r>
  <r>
    <x v="38"/>
    <x v="38"/>
    <x v="36"/>
    <x v="0"/>
    <s v="SS001"/>
    <x v="71"/>
    <n v="138740.99"/>
    <x v="0"/>
    <x v="0"/>
  </r>
  <r>
    <x v="38"/>
    <x v="38"/>
    <x v="36"/>
    <x v="2"/>
    <s v="SS001"/>
    <x v="71"/>
    <n v="9711.8799999999992"/>
    <x v="8"/>
    <x v="2"/>
  </r>
  <r>
    <x v="39"/>
    <x v="39"/>
    <x v="37"/>
    <x v="0"/>
    <s v="SS001"/>
    <x v="71"/>
    <n v="18490.8"/>
    <x v="0"/>
    <x v="0"/>
  </r>
  <r>
    <x v="39"/>
    <x v="39"/>
    <x v="37"/>
    <x v="2"/>
    <s v="SS001"/>
    <x v="71"/>
    <n v="1294.3800000000001"/>
    <x v="8"/>
    <x v="2"/>
  </r>
  <r>
    <x v="40"/>
    <x v="40"/>
    <x v="38"/>
    <x v="0"/>
    <s v="SS001"/>
    <x v="71"/>
    <n v="58661.4"/>
    <x v="0"/>
    <x v="0"/>
  </r>
  <r>
    <x v="40"/>
    <x v="40"/>
    <x v="38"/>
    <x v="2"/>
    <s v="SS001"/>
    <x v="71"/>
    <n v="4106.29"/>
    <x v="8"/>
    <x v="2"/>
  </r>
  <r>
    <x v="41"/>
    <x v="41"/>
    <x v="39"/>
    <x v="0"/>
    <s v="SS001"/>
    <x v="71"/>
    <n v="58329.01"/>
    <x v="0"/>
    <x v="0"/>
  </r>
  <r>
    <x v="41"/>
    <x v="41"/>
    <x v="39"/>
    <x v="2"/>
    <s v="SS001"/>
    <x v="71"/>
    <n v="4083.01"/>
    <x v="8"/>
    <x v="2"/>
  </r>
  <r>
    <x v="42"/>
    <x v="42"/>
    <x v="40"/>
    <x v="0"/>
    <s v="SS001"/>
    <x v="71"/>
    <n v="79172.740000000005"/>
    <x v="0"/>
    <x v="0"/>
  </r>
  <r>
    <x v="42"/>
    <x v="42"/>
    <x v="40"/>
    <x v="2"/>
    <s v="SS001"/>
    <x v="71"/>
    <n v="5542.07"/>
    <x v="8"/>
    <x v="2"/>
  </r>
  <r>
    <x v="43"/>
    <x v="43"/>
    <x v="41"/>
    <x v="0"/>
    <s v="SS001"/>
    <x v="71"/>
    <n v="56944.02"/>
    <x v="0"/>
    <x v="0"/>
  </r>
  <r>
    <x v="43"/>
    <x v="43"/>
    <x v="41"/>
    <x v="2"/>
    <s v="SS001"/>
    <x v="71"/>
    <n v="3986.07"/>
    <x v="8"/>
    <x v="2"/>
  </r>
  <r>
    <x v="44"/>
    <x v="44"/>
    <x v="42"/>
    <x v="0"/>
    <s v="SS001"/>
    <x v="71"/>
    <n v="45684.82"/>
    <x v="0"/>
    <x v="0"/>
  </r>
  <r>
    <x v="44"/>
    <x v="44"/>
    <x v="42"/>
    <x v="2"/>
    <s v="SS001"/>
    <x v="71"/>
    <n v="3197.94"/>
    <x v="8"/>
    <x v="2"/>
  </r>
  <r>
    <x v="45"/>
    <x v="45"/>
    <x v="43"/>
    <x v="0"/>
    <s v="SS001"/>
    <x v="71"/>
    <n v="31392.38"/>
    <x v="0"/>
    <x v="0"/>
  </r>
  <r>
    <x v="45"/>
    <x v="45"/>
    <x v="43"/>
    <x v="2"/>
    <s v="SS001"/>
    <x v="71"/>
    <n v="2197.46"/>
    <x v="8"/>
    <x v="2"/>
  </r>
  <r>
    <x v="47"/>
    <x v="47"/>
    <x v="45"/>
    <x v="0"/>
    <s v="SS001"/>
    <x v="71"/>
    <n v="26326.86"/>
    <x v="0"/>
    <x v="0"/>
  </r>
  <r>
    <x v="47"/>
    <x v="47"/>
    <x v="45"/>
    <x v="2"/>
    <s v="SS001"/>
    <x v="71"/>
    <n v="1842.86"/>
    <x v="8"/>
    <x v="2"/>
  </r>
  <r>
    <x v="49"/>
    <x v="49"/>
    <x v="47"/>
    <x v="0"/>
    <s v="SS001"/>
    <x v="71"/>
    <n v="3399.94"/>
    <x v="0"/>
    <x v="0"/>
  </r>
  <r>
    <x v="49"/>
    <x v="49"/>
    <x v="47"/>
    <x v="2"/>
    <s v="SS001"/>
    <x v="71"/>
    <n v="238"/>
    <x v="8"/>
    <x v="2"/>
  </r>
  <r>
    <x v="50"/>
    <x v="49"/>
    <x v="48"/>
    <x v="0"/>
    <s v="SS001"/>
    <x v="71"/>
    <n v="36818.67"/>
    <x v="0"/>
    <x v="0"/>
  </r>
  <r>
    <x v="50"/>
    <x v="49"/>
    <x v="48"/>
    <x v="2"/>
    <s v="SS001"/>
    <x v="71"/>
    <n v="2577.34"/>
    <x v="8"/>
    <x v="2"/>
  </r>
  <r>
    <x v="51"/>
    <x v="50"/>
    <x v="49"/>
    <x v="0"/>
    <s v="SS001"/>
    <x v="71"/>
    <n v="6077.96"/>
    <x v="0"/>
    <x v="0"/>
  </r>
  <r>
    <x v="51"/>
    <x v="50"/>
    <x v="49"/>
    <x v="2"/>
    <s v="SS001"/>
    <x v="71"/>
    <n v="425.46"/>
    <x v="8"/>
    <x v="2"/>
  </r>
  <r>
    <x v="52"/>
    <x v="51"/>
    <x v="50"/>
    <x v="0"/>
    <s v="SS001"/>
    <x v="71"/>
    <n v="45128.26"/>
    <x v="0"/>
    <x v="0"/>
  </r>
  <r>
    <x v="52"/>
    <x v="51"/>
    <x v="50"/>
    <x v="2"/>
    <s v="SS001"/>
    <x v="71"/>
    <n v="3159"/>
    <x v="8"/>
    <x v="2"/>
  </r>
  <r>
    <x v="53"/>
    <x v="52"/>
    <x v="48"/>
    <x v="0"/>
    <s v="SS001"/>
    <x v="71"/>
    <n v="6819.94"/>
    <x v="0"/>
    <x v="0"/>
  </r>
  <r>
    <x v="53"/>
    <x v="52"/>
    <x v="48"/>
    <x v="2"/>
    <s v="SS001"/>
    <x v="71"/>
    <n v="477.4"/>
    <x v="8"/>
    <x v="2"/>
  </r>
  <r>
    <x v="0"/>
    <x v="0"/>
    <x v="0"/>
    <x v="0"/>
    <s v="SS002"/>
    <x v="72"/>
    <n v="3603.68"/>
    <x v="0"/>
    <x v="0"/>
  </r>
  <r>
    <x v="0"/>
    <x v="0"/>
    <x v="0"/>
    <x v="2"/>
    <s v="SS002"/>
    <x v="72"/>
    <n v="10.8"/>
    <x v="8"/>
    <x v="1"/>
  </r>
  <r>
    <x v="17"/>
    <x v="17"/>
    <x v="17"/>
    <x v="0"/>
    <s v="SS002"/>
    <x v="72"/>
    <n v="3603.68"/>
    <x v="0"/>
    <x v="0"/>
  </r>
  <r>
    <x v="17"/>
    <x v="17"/>
    <x v="17"/>
    <x v="2"/>
    <s v="SS002"/>
    <x v="72"/>
    <n v="10.8"/>
    <x v="8"/>
    <x v="1"/>
  </r>
  <r>
    <x v="24"/>
    <x v="24"/>
    <x v="7"/>
    <x v="0"/>
    <s v="SS002"/>
    <x v="72"/>
    <n v="7934.12"/>
    <x v="0"/>
    <x v="0"/>
  </r>
  <r>
    <x v="24"/>
    <x v="24"/>
    <x v="7"/>
    <x v="2"/>
    <s v="SS002"/>
    <x v="72"/>
    <n v="23.79"/>
    <x v="8"/>
    <x v="1"/>
  </r>
  <r>
    <x v="36"/>
    <x v="36"/>
    <x v="34"/>
    <x v="0"/>
    <s v="SS002"/>
    <x v="72"/>
    <n v="3603.68"/>
    <x v="0"/>
    <x v="0"/>
  </r>
  <r>
    <x v="36"/>
    <x v="36"/>
    <x v="34"/>
    <x v="2"/>
    <s v="SS002"/>
    <x v="72"/>
    <n v="10.8"/>
    <x v="8"/>
    <x v="1"/>
  </r>
  <r>
    <x v="46"/>
    <x v="46"/>
    <x v="44"/>
    <x v="0"/>
    <s v="SS002"/>
    <x v="72"/>
    <n v="7716.54"/>
    <x v="0"/>
    <x v="0"/>
  </r>
  <r>
    <x v="46"/>
    <x v="46"/>
    <x v="44"/>
    <x v="2"/>
    <s v="SS002"/>
    <x v="72"/>
    <n v="23.13"/>
    <x v="8"/>
    <x v="1"/>
  </r>
  <r>
    <x v="48"/>
    <x v="48"/>
    <x v="46"/>
    <x v="0"/>
    <s v="SS002"/>
    <x v="72"/>
    <n v="7840.63"/>
    <x v="0"/>
    <x v="0"/>
  </r>
  <r>
    <x v="48"/>
    <x v="48"/>
    <x v="46"/>
    <x v="2"/>
    <s v="SS002"/>
    <x v="72"/>
    <n v="23.51"/>
    <x v="8"/>
    <x v="1"/>
  </r>
  <r>
    <x v="0"/>
    <x v="0"/>
    <x v="0"/>
    <x v="0"/>
    <s v="SS002"/>
    <x v="73"/>
    <n v="1225.24"/>
    <x v="0"/>
    <x v="0"/>
  </r>
  <r>
    <x v="0"/>
    <x v="0"/>
    <x v="0"/>
    <x v="2"/>
    <s v="SS002"/>
    <x v="73"/>
    <n v="3.68"/>
    <x v="8"/>
    <x v="1"/>
  </r>
  <r>
    <x v="1"/>
    <x v="1"/>
    <x v="1"/>
    <x v="0"/>
    <s v="SS002"/>
    <x v="73"/>
    <n v="42607.28"/>
    <x v="0"/>
    <x v="0"/>
  </r>
  <r>
    <x v="1"/>
    <x v="1"/>
    <x v="1"/>
    <x v="2"/>
    <s v="SS002"/>
    <x v="73"/>
    <n v="127.82"/>
    <x v="8"/>
    <x v="1"/>
  </r>
  <r>
    <x v="2"/>
    <x v="2"/>
    <x v="2"/>
    <x v="0"/>
    <s v="SS002"/>
    <x v="73"/>
    <n v="61368.02"/>
    <x v="0"/>
    <x v="0"/>
  </r>
  <r>
    <x v="2"/>
    <x v="2"/>
    <x v="2"/>
    <x v="2"/>
    <s v="SS002"/>
    <x v="73"/>
    <n v="184.12"/>
    <x v="8"/>
    <x v="1"/>
  </r>
  <r>
    <x v="3"/>
    <x v="3"/>
    <x v="3"/>
    <x v="0"/>
    <s v="SS002"/>
    <x v="73"/>
    <n v="15076.95"/>
    <x v="0"/>
    <x v="0"/>
  </r>
  <r>
    <x v="3"/>
    <x v="3"/>
    <x v="3"/>
    <x v="2"/>
    <s v="SS002"/>
    <x v="73"/>
    <n v="45.24"/>
    <x v="8"/>
    <x v="1"/>
  </r>
  <r>
    <x v="4"/>
    <x v="4"/>
    <x v="4"/>
    <x v="0"/>
    <s v="SS002"/>
    <x v="73"/>
    <n v="19283.740000000002"/>
    <x v="0"/>
    <x v="0"/>
  </r>
  <r>
    <x v="4"/>
    <x v="4"/>
    <x v="4"/>
    <x v="2"/>
    <s v="SS002"/>
    <x v="73"/>
    <n v="57.86"/>
    <x v="8"/>
    <x v="1"/>
  </r>
  <r>
    <x v="5"/>
    <x v="5"/>
    <x v="5"/>
    <x v="0"/>
    <s v="SS002"/>
    <x v="73"/>
    <n v="45370.13"/>
    <x v="0"/>
    <x v="0"/>
  </r>
  <r>
    <x v="5"/>
    <x v="5"/>
    <x v="5"/>
    <x v="2"/>
    <s v="SS002"/>
    <x v="73"/>
    <n v="136.1"/>
    <x v="8"/>
    <x v="1"/>
  </r>
  <r>
    <x v="6"/>
    <x v="6"/>
    <x v="6"/>
    <x v="0"/>
    <s v="SS002"/>
    <x v="73"/>
    <n v="60709.03"/>
    <x v="0"/>
    <x v="0"/>
  </r>
  <r>
    <x v="6"/>
    <x v="6"/>
    <x v="6"/>
    <x v="2"/>
    <s v="SS002"/>
    <x v="73"/>
    <n v="182.13"/>
    <x v="8"/>
    <x v="1"/>
  </r>
  <r>
    <x v="7"/>
    <x v="7"/>
    <x v="7"/>
    <x v="0"/>
    <s v="SS002"/>
    <x v="73"/>
    <n v="53722.94"/>
    <x v="0"/>
    <x v="0"/>
  </r>
  <r>
    <x v="7"/>
    <x v="7"/>
    <x v="7"/>
    <x v="2"/>
    <s v="SS002"/>
    <x v="73"/>
    <n v="161.16999999999999"/>
    <x v="8"/>
    <x v="1"/>
  </r>
  <r>
    <x v="8"/>
    <x v="8"/>
    <x v="8"/>
    <x v="0"/>
    <s v="SS002"/>
    <x v="73"/>
    <n v="135562.20000000001"/>
    <x v="0"/>
    <x v="0"/>
  </r>
  <r>
    <x v="8"/>
    <x v="8"/>
    <x v="8"/>
    <x v="2"/>
    <s v="SS002"/>
    <x v="73"/>
    <n v="406.66"/>
    <x v="8"/>
    <x v="1"/>
  </r>
  <r>
    <x v="9"/>
    <x v="9"/>
    <x v="9"/>
    <x v="0"/>
    <s v="SS002"/>
    <x v="73"/>
    <n v="62989.04"/>
    <x v="0"/>
    <x v="0"/>
  </r>
  <r>
    <x v="9"/>
    <x v="9"/>
    <x v="9"/>
    <x v="2"/>
    <s v="SS002"/>
    <x v="73"/>
    <n v="188.98"/>
    <x v="8"/>
    <x v="1"/>
  </r>
  <r>
    <x v="10"/>
    <x v="10"/>
    <x v="10"/>
    <x v="0"/>
    <s v="SS002"/>
    <x v="73"/>
    <n v="136214.53"/>
    <x v="0"/>
    <x v="0"/>
  </r>
  <r>
    <x v="10"/>
    <x v="10"/>
    <x v="10"/>
    <x v="2"/>
    <s v="SS002"/>
    <x v="73"/>
    <n v="408.64"/>
    <x v="8"/>
    <x v="1"/>
  </r>
  <r>
    <x v="11"/>
    <x v="11"/>
    <x v="11"/>
    <x v="0"/>
    <s v="SS002"/>
    <x v="73"/>
    <n v="71102.789999999994"/>
    <x v="0"/>
    <x v="0"/>
  </r>
  <r>
    <x v="11"/>
    <x v="11"/>
    <x v="11"/>
    <x v="2"/>
    <s v="SS002"/>
    <x v="73"/>
    <n v="213.31"/>
    <x v="8"/>
    <x v="1"/>
  </r>
  <r>
    <x v="12"/>
    <x v="12"/>
    <x v="12"/>
    <x v="0"/>
    <s v="SS002"/>
    <x v="73"/>
    <n v="56665.37"/>
    <x v="0"/>
    <x v="0"/>
  </r>
  <r>
    <x v="12"/>
    <x v="12"/>
    <x v="12"/>
    <x v="2"/>
    <s v="SS002"/>
    <x v="73"/>
    <n v="170.01"/>
    <x v="8"/>
    <x v="1"/>
  </r>
  <r>
    <x v="13"/>
    <x v="13"/>
    <x v="13"/>
    <x v="0"/>
    <s v="SS002"/>
    <x v="73"/>
    <n v="27357.07"/>
    <x v="0"/>
    <x v="0"/>
  </r>
  <r>
    <x v="13"/>
    <x v="13"/>
    <x v="13"/>
    <x v="2"/>
    <s v="SS002"/>
    <x v="73"/>
    <n v="82.06"/>
    <x v="8"/>
    <x v="1"/>
  </r>
  <r>
    <x v="14"/>
    <x v="14"/>
    <x v="14"/>
    <x v="0"/>
    <s v="SS002"/>
    <x v="73"/>
    <n v="40454.120000000003"/>
    <x v="0"/>
    <x v="0"/>
  </r>
  <r>
    <x v="14"/>
    <x v="14"/>
    <x v="14"/>
    <x v="2"/>
    <s v="SS002"/>
    <x v="73"/>
    <n v="121.35"/>
    <x v="8"/>
    <x v="1"/>
  </r>
  <r>
    <x v="15"/>
    <x v="15"/>
    <x v="15"/>
    <x v="0"/>
    <s v="SS002"/>
    <x v="73"/>
    <n v="61446.32"/>
    <x v="0"/>
    <x v="0"/>
  </r>
  <r>
    <x v="15"/>
    <x v="15"/>
    <x v="15"/>
    <x v="2"/>
    <s v="SS002"/>
    <x v="73"/>
    <n v="184.36"/>
    <x v="8"/>
    <x v="1"/>
  </r>
  <r>
    <x v="16"/>
    <x v="16"/>
    <x v="16"/>
    <x v="0"/>
    <s v="SS002"/>
    <x v="73"/>
    <n v="31999.98"/>
    <x v="0"/>
    <x v="0"/>
  </r>
  <r>
    <x v="16"/>
    <x v="16"/>
    <x v="16"/>
    <x v="2"/>
    <s v="SS002"/>
    <x v="73"/>
    <n v="95.99"/>
    <x v="8"/>
    <x v="1"/>
  </r>
  <r>
    <x v="17"/>
    <x v="17"/>
    <x v="17"/>
    <x v="0"/>
    <s v="SS002"/>
    <x v="73"/>
    <n v="2162.1999999999998"/>
    <x v="0"/>
    <x v="0"/>
  </r>
  <r>
    <x v="17"/>
    <x v="17"/>
    <x v="17"/>
    <x v="2"/>
    <s v="SS002"/>
    <x v="73"/>
    <n v="6.48"/>
    <x v="8"/>
    <x v="1"/>
  </r>
  <r>
    <x v="18"/>
    <x v="18"/>
    <x v="18"/>
    <x v="0"/>
    <s v="SS002"/>
    <x v="73"/>
    <n v="96673.07"/>
    <x v="0"/>
    <x v="0"/>
  </r>
  <r>
    <x v="18"/>
    <x v="18"/>
    <x v="18"/>
    <x v="2"/>
    <s v="SS002"/>
    <x v="73"/>
    <n v="290.02"/>
    <x v="8"/>
    <x v="1"/>
  </r>
  <r>
    <x v="19"/>
    <x v="19"/>
    <x v="19"/>
    <x v="0"/>
    <s v="SS002"/>
    <x v="73"/>
    <n v="63921.65"/>
    <x v="0"/>
    <x v="0"/>
  </r>
  <r>
    <x v="19"/>
    <x v="19"/>
    <x v="19"/>
    <x v="2"/>
    <s v="SS002"/>
    <x v="73"/>
    <n v="191.77"/>
    <x v="8"/>
    <x v="1"/>
  </r>
  <r>
    <x v="20"/>
    <x v="20"/>
    <x v="20"/>
    <x v="0"/>
    <s v="SS002"/>
    <x v="73"/>
    <n v="68495.59"/>
    <x v="0"/>
    <x v="0"/>
  </r>
  <r>
    <x v="20"/>
    <x v="20"/>
    <x v="20"/>
    <x v="2"/>
    <s v="SS002"/>
    <x v="73"/>
    <n v="205.49"/>
    <x v="8"/>
    <x v="1"/>
  </r>
  <r>
    <x v="21"/>
    <x v="21"/>
    <x v="21"/>
    <x v="0"/>
    <s v="SS002"/>
    <x v="73"/>
    <n v="38087.230000000003"/>
    <x v="0"/>
    <x v="0"/>
  </r>
  <r>
    <x v="21"/>
    <x v="21"/>
    <x v="21"/>
    <x v="2"/>
    <s v="SS002"/>
    <x v="73"/>
    <n v="114.25"/>
    <x v="8"/>
    <x v="1"/>
  </r>
  <r>
    <x v="22"/>
    <x v="22"/>
    <x v="22"/>
    <x v="0"/>
    <s v="SS002"/>
    <x v="73"/>
    <n v="25472.84"/>
    <x v="0"/>
    <x v="0"/>
  </r>
  <r>
    <x v="22"/>
    <x v="22"/>
    <x v="22"/>
    <x v="2"/>
    <s v="SS002"/>
    <x v="73"/>
    <n v="76.430000000000007"/>
    <x v="8"/>
    <x v="1"/>
  </r>
  <r>
    <x v="23"/>
    <x v="23"/>
    <x v="23"/>
    <x v="0"/>
    <s v="SS002"/>
    <x v="73"/>
    <n v="39845.279999999999"/>
    <x v="0"/>
    <x v="0"/>
  </r>
  <r>
    <x v="23"/>
    <x v="23"/>
    <x v="23"/>
    <x v="2"/>
    <s v="SS002"/>
    <x v="73"/>
    <n v="119.53"/>
    <x v="8"/>
    <x v="1"/>
  </r>
  <r>
    <x v="25"/>
    <x v="25"/>
    <x v="24"/>
    <x v="0"/>
    <s v="SS002"/>
    <x v="73"/>
    <n v="38855.14"/>
    <x v="0"/>
    <x v="0"/>
  </r>
  <r>
    <x v="25"/>
    <x v="25"/>
    <x v="24"/>
    <x v="2"/>
    <s v="SS002"/>
    <x v="73"/>
    <n v="116.58"/>
    <x v="8"/>
    <x v="1"/>
  </r>
  <r>
    <x v="26"/>
    <x v="26"/>
    <x v="25"/>
    <x v="0"/>
    <s v="SS002"/>
    <x v="73"/>
    <n v="59572.69"/>
    <x v="0"/>
    <x v="0"/>
  </r>
  <r>
    <x v="26"/>
    <x v="26"/>
    <x v="25"/>
    <x v="2"/>
    <s v="SS002"/>
    <x v="73"/>
    <n v="178.74"/>
    <x v="8"/>
    <x v="1"/>
  </r>
  <r>
    <x v="28"/>
    <x v="28"/>
    <x v="27"/>
    <x v="0"/>
    <s v="SS002"/>
    <x v="73"/>
    <n v="10674.95"/>
    <x v="0"/>
    <x v="0"/>
  </r>
  <r>
    <x v="28"/>
    <x v="28"/>
    <x v="27"/>
    <x v="2"/>
    <s v="SS002"/>
    <x v="73"/>
    <n v="32.03"/>
    <x v="8"/>
    <x v="1"/>
  </r>
  <r>
    <x v="29"/>
    <x v="29"/>
    <x v="6"/>
    <x v="0"/>
    <s v="SS002"/>
    <x v="73"/>
    <n v="38311.83"/>
    <x v="0"/>
    <x v="0"/>
  </r>
  <r>
    <x v="29"/>
    <x v="29"/>
    <x v="6"/>
    <x v="2"/>
    <s v="SS002"/>
    <x v="73"/>
    <n v="114.93"/>
    <x v="8"/>
    <x v="1"/>
  </r>
  <r>
    <x v="30"/>
    <x v="30"/>
    <x v="28"/>
    <x v="0"/>
    <s v="SS002"/>
    <x v="73"/>
    <n v="61604.34"/>
    <x v="0"/>
    <x v="0"/>
  </r>
  <r>
    <x v="30"/>
    <x v="30"/>
    <x v="28"/>
    <x v="2"/>
    <s v="SS002"/>
    <x v="73"/>
    <n v="184.83"/>
    <x v="8"/>
    <x v="1"/>
  </r>
  <r>
    <x v="31"/>
    <x v="31"/>
    <x v="29"/>
    <x v="0"/>
    <s v="SS002"/>
    <x v="73"/>
    <n v="59393.65"/>
    <x v="0"/>
    <x v="0"/>
  </r>
  <r>
    <x v="31"/>
    <x v="31"/>
    <x v="29"/>
    <x v="2"/>
    <s v="SS002"/>
    <x v="73"/>
    <n v="178.18"/>
    <x v="8"/>
    <x v="1"/>
  </r>
  <r>
    <x v="32"/>
    <x v="32"/>
    <x v="30"/>
    <x v="0"/>
    <s v="SS002"/>
    <x v="73"/>
    <n v="48974.5"/>
    <x v="0"/>
    <x v="0"/>
  </r>
  <r>
    <x v="32"/>
    <x v="32"/>
    <x v="30"/>
    <x v="2"/>
    <s v="SS002"/>
    <x v="73"/>
    <n v="146.91999999999999"/>
    <x v="8"/>
    <x v="1"/>
  </r>
  <r>
    <x v="33"/>
    <x v="33"/>
    <x v="31"/>
    <x v="0"/>
    <s v="SS002"/>
    <x v="73"/>
    <n v="43774.64"/>
    <x v="0"/>
    <x v="0"/>
  </r>
  <r>
    <x v="33"/>
    <x v="33"/>
    <x v="31"/>
    <x v="2"/>
    <s v="SS002"/>
    <x v="73"/>
    <n v="131.30000000000001"/>
    <x v="8"/>
    <x v="1"/>
  </r>
  <r>
    <x v="34"/>
    <x v="34"/>
    <x v="32"/>
    <x v="0"/>
    <s v="SS002"/>
    <x v="73"/>
    <n v="70385.62"/>
    <x v="0"/>
    <x v="0"/>
  </r>
  <r>
    <x v="34"/>
    <x v="34"/>
    <x v="32"/>
    <x v="2"/>
    <s v="SS002"/>
    <x v="73"/>
    <n v="211.17"/>
    <x v="8"/>
    <x v="1"/>
  </r>
  <r>
    <x v="35"/>
    <x v="35"/>
    <x v="33"/>
    <x v="0"/>
    <s v="SS002"/>
    <x v="73"/>
    <n v="38315.9"/>
    <x v="0"/>
    <x v="0"/>
  </r>
  <r>
    <x v="35"/>
    <x v="35"/>
    <x v="33"/>
    <x v="2"/>
    <s v="SS002"/>
    <x v="73"/>
    <n v="114.94"/>
    <x v="8"/>
    <x v="1"/>
  </r>
  <r>
    <x v="36"/>
    <x v="36"/>
    <x v="34"/>
    <x v="0"/>
    <s v="SS002"/>
    <x v="73"/>
    <n v="2162.1999999999998"/>
    <x v="0"/>
    <x v="0"/>
  </r>
  <r>
    <x v="36"/>
    <x v="36"/>
    <x v="34"/>
    <x v="2"/>
    <s v="SS002"/>
    <x v="73"/>
    <n v="6.48"/>
    <x v="8"/>
    <x v="1"/>
  </r>
  <r>
    <x v="37"/>
    <x v="37"/>
    <x v="35"/>
    <x v="0"/>
    <s v="SS002"/>
    <x v="73"/>
    <n v="38778.019999999997"/>
    <x v="0"/>
    <x v="0"/>
  </r>
  <r>
    <x v="37"/>
    <x v="37"/>
    <x v="35"/>
    <x v="2"/>
    <s v="SS002"/>
    <x v="73"/>
    <n v="116.33"/>
    <x v="8"/>
    <x v="1"/>
  </r>
  <r>
    <x v="38"/>
    <x v="38"/>
    <x v="36"/>
    <x v="0"/>
    <s v="SS002"/>
    <x v="73"/>
    <n v="138740.99"/>
    <x v="0"/>
    <x v="0"/>
  </r>
  <r>
    <x v="38"/>
    <x v="38"/>
    <x v="36"/>
    <x v="2"/>
    <s v="SS002"/>
    <x v="73"/>
    <n v="416.22"/>
    <x v="8"/>
    <x v="1"/>
  </r>
  <r>
    <x v="39"/>
    <x v="39"/>
    <x v="37"/>
    <x v="0"/>
    <s v="SS002"/>
    <x v="73"/>
    <n v="18490.8"/>
    <x v="0"/>
    <x v="0"/>
  </r>
  <r>
    <x v="39"/>
    <x v="39"/>
    <x v="37"/>
    <x v="2"/>
    <s v="SS002"/>
    <x v="73"/>
    <n v="55.45"/>
    <x v="8"/>
    <x v="1"/>
  </r>
  <r>
    <x v="40"/>
    <x v="40"/>
    <x v="38"/>
    <x v="0"/>
    <s v="SS002"/>
    <x v="73"/>
    <n v="58661.4"/>
    <x v="0"/>
    <x v="0"/>
  </r>
  <r>
    <x v="40"/>
    <x v="40"/>
    <x v="38"/>
    <x v="2"/>
    <s v="SS002"/>
    <x v="73"/>
    <n v="176"/>
    <x v="8"/>
    <x v="1"/>
  </r>
  <r>
    <x v="41"/>
    <x v="41"/>
    <x v="39"/>
    <x v="0"/>
    <s v="SS002"/>
    <x v="73"/>
    <n v="58329.01"/>
    <x v="0"/>
    <x v="0"/>
  </r>
  <r>
    <x v="41"/>
    <x v="41"/>
    <x v="39"/>
    <x v="2"/>
    <s v="SS002"/>
    <x v="73"/>
    <n v="175"/>
    <x v="8"/>
    <x v="1"/>
  </r>
  <r>
    <x v="42"/>
    <x v="42"/>
    <x v="40"/>
    <x v="0"/>
    <s v="SS002"/>
    <x v="73"/>
    <n v="79172.740000000005"/>
    <x v="0"/>
    <x v="0"/>
  </r>
  <r>
    <x v="42"/>
    <x v="42"/>
    <x v="40"/>
    <x v="2"/>
    <s v="SS002"/>
    <x v="73"/>
    <n v="237.52"/>
    <x v="8"/>
    <x v="1"/>
  </r>
  <r>
    <x v="43"/>
    <x v="43"/>
    <x v="41"/>
    <x v="0"/>
    <s v="SS002"/>
    <x v="73"/>
    <n v="56944.02"/>
    <x v="0"/>
    <x v="0"/>
  </r>
  <r>
    <x v="43"/>
    <x v="43"/>
    <x v="41"/>
    <x v="2"/>
    <s v="SS002"/>
    <x v="73"/>
    <n v="170.84"/>
    <x v="8"/>
    <x v="1"/>
  </r>
  <r>
    <x v="44"/>
    <x v="44"/>
    <x v="42"/>
    <x v="0"/>
    <s v="SS002"/>
    <x v="73"/>
    <n v="45684.82"/>
    <x v="0"/>
    <x v="0"/>
  </r>
  <r>
    <x v="44"/>
    <x v="44"/>
    <x v="42"/>
    <x v="2"/>
    <s v="SS002"/>
    <x v="73"/>
    <n v="137.06"/>
    <x v="8"/>
    <x v="1"/>
  </r>
  <r>
    <x v="45"/>
    <x v="45"/>
    <x v="43"/>
    <x v="0"/>
    <s v="SS002"/>
    <x v="73"/>
    <n v="31392.38"/>
    <x v="0"/>
    <x v="0"/>
  </r>
  <r>
    <x v="45"/>
    <x v="45"/>
    <x v="43"/>
    <x v="2"/>
    <s v="SS002"/>
    <x v="73"/>
    <n v="94.18"/>
    <x v="8"/>
    <x v="1"/>
  </r>
  <r>
    <x v="47"/>
    <x v="47"/>
    <x v="45"/>
    <x v="0"/>
    <s v="SS002"/>
    <x v="73"/>
    <n v="26326.86"/>
    <x v="0"/>
    <x v="0"/>
  </r>
  <r>
    <x v="47"/>
    <x v="47"/>
    <x v="45"/>
    <x v="2"/>
    <s v="SS002"/>
    <x v="73"/>
    <n v="78.98"/>
    <x v="8"/>
    <x v="1"/>
  </r>
  <r>
    <x v="49"/>
    <x v="49"/>
    <x v="47"/>
    <x v="0"/>
    <s v="SS002"/>
    <x v="73"/>
    <n v="3399.94"/>
    <x v="0"/>
    <x v="0"/>
  </r>
  <r>
    <x v="49"/>
    <x v="49"/>
    <x v="47"/>
    <x v="2"/>
    <s v="SS002"/>
    <x v="73"/>
    <n v="10.199999999999999"/>
    <x v="8"/>
    <x v="1"/>
  </r>
  <r>
    <x v="50"/>
    <x v="49"/>
    <x v="48"/>
    <x v="0"/>
    <s v="SS002"/>
    <x v="73"/>
    <n v="36818.67"/>
    <x v="0"/>
    <x v="0"/>
  </r>
  <r>
    <x v="50"/>
    <x v="49"/>
    <x v="48"/>
    <x v="2"/>
    <s v="SS002"/>
    <x v="73"/>
    <n v="110.46"/>
    <x v="8"/>
    <x v="1"/>
  </r>
  <r>
    <x v="51"/>
    <x v="50"/>
    <x v="49"/>
    <x v="0"/>
    <s v="SS002"/>
    <x v="73"/>
    <n v="6077.96"/>
    <x v="0"/>
    <x v="0"/>
  </r>
  <r>
    <x v="51"/>
    <x v="50"/>
    <x v="49"/>
    <x v="2"/>
    <s v="SS002"/>
    <x v="73"/>
    <n v="18.23"/>
    <x v="8"/>
    <x v="1"/>
  </r>
  <r>
    <x v="52"/>
    <x v="51"/>
    <x v="50"/>
    <x v="0"/>
    <s v="SS002"/>
    <x v="73"/>
    <n v="45128.26"/>
    <x v="0"/>
    <x v="0"/>
  </r>
  <r>
    <x v="52"/>
    <x v="51"/>
    <x v="50"/>
    <x v="2"/>
    <s v="SS002"/>
    <x v="73"/>
    <n v="135.38999999999999"/>
    <x v="8"/>
    <x v="1"/>
  </r>
  <r>
    <x v="53"/>
    <x v="52"/>
    <x v="48"/>
    <x v="0"/>
    <s v="SS002"/>
    <x v="73"/>
    <n v="6819.94"/>
    <x v="0"/>
    <x v="0"/>
  </r>
  <r>
    <x v="53"/>
    <x v="52"/>
    <x v="48"/>
    <x v="2"/>
    <s v="SS002"/>
    <x v="73"/>
    <n v="20.46"/>
    <x v="8"/>
    <x v="1"/>
  </r>
  <r>
    <x v="0"/>
    <x v="0"/>
    <x v="0"/>
    <x v="0"/>
    <s v="SS003"/>
    <x v="74"/>
    <n v="3603.68"/>
    <x v="0"/>
    <x v="0"/>
  </r>
  <r>
    <x v="0"/>
    <x v="0"/>
    <x v="0"/>
    <x v="2"/>
    <s v="SS003"/>
    <x v="74"/>
    <n v="72.8"/>
    <x v="8"/>
    <x v="2"/>
  </r>
  <r>
    <x v="17"/>
    <x v="17"/>
    <x v="17"/>
    <x v="0"/>
    <s v="SS003"/>
    <x v="74"/>
    <n v="3603.68"/>
    <x v="0"/>
    <x v="0"/>
  </r>
  <r>
    <x v="17"/>
    <x v="17"/>
    <x v="17"/>
    <x v="2"/>
    <s v="SS003"/>
    <x v="74"/>
    <n v="72.8"/>
    <x v="8"/>
    <x v="2"/>
  </r>
  <r>
    <x v="24"/>
    <x v="24"/>
    <x v="7"/>
    <x v="0"/>
    <s v="SS003"/>
    <x v="74"/>
    <n v="7934.12"/>
    <x v="0"/>
    <x v="0"/>
  </r>
  <r>
    <x v="24"/>
    <x v="24"/>
    <x v="7"/>
    <x v="2"/>
    <s v="SS003"/>
    <x v="74"/>
    <n v="160.28"/>
    <x v="8"/>
    <x v="2"/>
  </r>
  <r>
    <x v="36"/>
    <x v="36"/>
    <x v="34"/>
    <x v="0"/>
    <s v="SS003"/>
    <x v="74"/>
    <n v="3603.68"/>
    <x v="0"/>
    <x v="0"/>
  </r>
  <r>
    <x v="36"/>
    <x v="36"/>
    <x v="34"/>
    <x v="2"/>
    <s v="SS003"/>
    <x v="74"/>
    <n v="72.8"/>
    <x v="8"/>
    <x v="2"/>
  </r>
  <r>
    <x v="46"/>
    <x v="46"/>
    <x v="44"/>
    <x v="0"/>
    <s v="SS003"/>
    <x v="74"/>
    <n v="7716.54"/>
    <x v="0"/>
    <x v="0"/>
  </r>
  <r>
    <x v="46"/>
    <x v="46"/>
    <x v="44"/>
    <x v="2"/>
    <s v="SS003"/>
    <x v="74"/>
    <n v="155.88"/>
    <x v="8"/>
    <x v="2"/>
  </r>
  <r>
    <x v="48"/>
    <x v="48"/>
    <x v="46"/>
    <x v="0"/>
    <s v="SS003"/>
    <x v="74"/>
    <n v="7840.63"/>
    <x v="0"/>
    <x v="0"/>
  </r>
  <r>
    <x v="48"/>
    <x v="48"/>
    <x v="46"/>
    <x v="2"/>
    <s v="SS003"/>
    <x v="74"/>
    <n v="158.38999999999999"/>
    <x v="8"/>
    <x v="2"/>
  </r>
  <r>
    <x v="0"/>
    <x v="0"/>
    <x v="0"/>
    <x v="0"/>
    <s v="SS003"/>
    <x v="75"/>
    <n v="1225.24"/>
    <x v="0"/>
    <x v="0"/>
  </r>
  <r>
    <x v="0"/>
    <x v="0"/>
    <x v="0"/>
    <x v="1"/>
    <s v="SS003"/>
    <x v="75"/>
    <n v="4.92"/>
    <x v="0"/>
    <x v="0"/>
  </r>
  <r>
    <x v="0"/>
    <x v="0"/>
    <x v="0"/>
    <x v="2"/>
    <s v="SS003"/>
    <x v="75"/>
    <n v="24.76"/>
    <x v="8"/>
    <x v="2"/>
  </r>
  <r>
    <x v="1"/>
    <x v="1"/>
    <x v="1"/>
    <x v="0"/>
    <s v="SS003"/>
    <x v="75"/>
    <n v="42607.28"/>
    <x v="0"/>
    <x v="0"/>
  </r>
  <r>
    <x v="1"/>
    <x v="1"/>
    <x v="1"/>
    <x v="1"/>
    <s v="SS003"/>
    <x v="75"/>
    <n v="170.43"/>
    <x v="0"/>
    <x v="0"/>
  </r>
  <r>
    <x v="1"/>
    <x v="1"/>
    <x v="1"/>
    <x v="2"/>
    <s v="SS003"/>
    <x v="75"/>
    <n v="860.67"/>
    <x v="8"/>
    <x v="2"/>
  </r>
  <r>
    <x v="2"/>
    <x v="2"/>
    <x v="2"/>
    <x v="0"/>
    <s v="SS003"/>
    <x v="75"/>
    <n v="61368.02"/>
    <x v="0"/>
    <x v="0"/>
  </r>
  <r>
    <x v="2"/>
    <x v="2"/>
    <x v="2"/>
    <x v="1"/>
    <s v="SS003"/>
    <x v="75"/>
    <n v="245.46"/>
    <x v="0"/>
    <x v="0"/>
  </r>
  <r>
    <x v="2"/>
    <x v="2"/>
    <x v="2"/>
    <x v="2"/>
    <s v="SS003"/>
    <x v="75"/>
    <n v="1239.6199999999999"/>
    <x v="8"/>
    <x v="2"/>
  </r>
  <r>
    <x v="3"/>
    <x v="3"/>
    <x v="3"/>
    <x v="0"/>
    <s v="SS003"/>
    <x v="75"/>
    <n v="15076.95"/>
    <x v="0"/>
    <x v="0"/>
  </r>
  <r>
    <x v="3"/>
    <x v="3"/>
    <x v="3"/>
    <x v="1"/>
    <s v="SS003"/>
    <x v="75"/>
    <n v="60.31"/>
    <x v="0"/>
    <x v="0"/>
  </r>
  <r>
    <x v="3"/>
    <x v="3"/>
    <x v="3"/>
    <x v="2"/>
    <s v="SS003"/>
    <x v="75"/>
    <n v="304.56"/>
    <x v="8"/>
    <x v="2"/>
  </r>
  <r>
    <x v="4"/>
    <x v="4"/>
    <x v="4"/>
    <x v="0"/>
    <s v="SS003"/>
    <x v="75"/>
    <n v="19283.740000000002"/>
    <x v="0"/>
    <x v="0"/>
  </r>
  <r>
    <x v="4"/>
    <x v="4"/>
    <x v="4"/>
    <x v="1"/>
    <s v="SS003"/>
    <x v="75"/>
    <n v="77.14"/>
    <x v="0"/>
    <x v="0"/>
  </r>
  <r>
    <x v="4"/>
    <x v="4"/>
    <x v="4"/>
    <x v="2"/>
    <s v="SS003"/>
    <x v="75"/>
    <n v="389.54"/>
    <x v="8"/>
    <x v="2"/>
  </r>
  <r>
    <x v="5"/>
    <x v="5"/>
    <x v="5"/>
    <x v="0"/>
    <s v="SS003"/>
    <x v="75"/>
    <n v="45370.13"/>
    <x v="0"/>
    <x v="0"/>
  </r>
  <r>
    <x v="5"/>
    <x v="5"/>
    <x v="5"/>
    <x v="1"/>
    <s v="SS003"/>
    <x v="75"/>
    <n v="181.51"/>
    <x v="0"/>
    <x v="0"/>
  </r>
  <r>
    <x v="5"/>
    <x v="5"/>
    <x v="5"/>
    <x v="2"/>
    <s v="SS003"/>
    <x v="75"/>
    <n v="916.51"/>
    <x v="8"/>
    <x v="2"/>
  </r>
  <r>
    <x v="6"/>
    <x v="6"/>
    <x v="6"/>
    <x v="0"/>
    <s v="SS003"/>
    <x v="75"/>
    <n v="60709.03"/>
    <x v="0"/>
    <x v="0"/>
  </r>
  <r>
    <x v="6"/>
    <x v="6"/>
    <x v="6"/>
    <x v="1"/>
    <s v="SS003"/>
    <x v="75"/>
    <n v="242.87"/>
    <x v="0"/>
    <x v="0"/>
  </r>
  <r>
    <x v="6"/>
    <x v="6"/>
    <x v="6"/>
    <x v="2"/>
    <s v="SS003"/>
    <x v="75"/>
    <n v="1226.29"/>
    <x v="8"/>
    <x v="2"/>
  </r>
  <r>
    <x v="7"/>
    <x v="7"/>
    <x v="7"/>
    <x v="0"/>
    <s v="SS003"/>
    <x v="75"/>
    <n v="53722.94"/>
    <x v="0"/>
    <x v="0"/>
  </r>
  <r>
    <x v="7"/>
    <x v="7"/>
    <x v="7"/>
    <x v="1"/>
    <s v="SS003"/>
    <x v="75"/>
    <n v="214.9"/>
    <x v="0"/>
    <x v="0"/>
  </r>
  <r>
    <x v="7"/>
    <x v="7"/>
    <x v="7"/>
    <x v="2"/>
    <s v="SS003"/>
    <x v="75"/>
    <n v="1085.18"/>
    <x v="8"/>
    <x v="2"/>
  </r>
  <r>
    <x v="8"/>
    <x v="8"/>
    <x v="8"/>
    <x v="0"/>
    <s v="SS003"/>
    <x v="75"/>
    <n v="135562.20000000001"/>
    <x v="0"/>
    <x v="0"/>
  </r>
  <r>
    <x v="8"/>
    <x v="8"/>
    <x v="8"/>
    <x v="1"/>
    <s v="SS003"/>
    <x v="75"/>
    <n v="542.21"/>
    <x v="0"/>
    <x v="0"/>
  </r>
  <r>
    <x v="8"/>
    <x v="8"/>
    <x v="8"/>
    <x v="2"/>
    <s v="SS003"/>
    <x v="75"/>
    <n v="2738.37"/>
    <x v="8"/>
    <x v="2"/>
  </r>
  <r>
    <x v="9"/>
    <x v="9"/>
    <x v="9"/>
    <x v="0"/>
    <s v="SS003"/>
    <x v="75"/>
    <n v="62989.04"/>
    <x v="0"/>
    <x v="0"/>
  </r>
  <r>
    <x v="9"/>
    <x v="9"/>
    <x v="9"/>
    <x v="1"/>
    <s v="SS003"/>
    <x v="75"/>
    <n v="251.96"/>
    <x v="0"/>
    <x v="0"/>
  </r>
  <r>
    <x v="9"/>
    <x v="9"/>
    <x v="9"/>
    <x v="2"/>
    <s v="SS003"/>
    <x v="75"/>
    <n v="1272.4000000000001"/>
    <x v="8"/>
    <x v="2"/>
  </r>
  <r>
    <x v="10"/>
    <x v="10"/>
    <x v="10"/>
    <x v="0"/>
    <s v="SS003"/>
    <x v="75"/>
    <n v="136214.53"/>
    <x v="0"/>
    <x v="0"/>
  </r>
  <r>
    <x v="10"/>
    <x v="10"/>
    <x v="10"/>
    <x v="1"/>
    <s v="SS003"/>
    <x v="75"/>
    <n v="544.86"/>
    <x v="0"/>
    <x v="0"/>
  </r>
  <r>
    <x v="10"/>
    <x v="10"/>
    <x v="10"/>
    <x v="2"/>
    <s v="SS003"/>
    <x v="75"/>
    <n v="2751.53"/>
    <x v="8"/>
    <x v="2"/>
  </r>
  <r>
    <x v="11"/>
    <x v="11"/>
    <x v="11"/>
    <x v="0"/>
    <s v="SS003"/>
    <x v="75"/>
    <n v="71102.789999999994"/>
    <x v="0"/>
    <x v="0"/>
  </r>
  <r>
    <x v="11"/>
    <x v="11"/>
    <x v="11"/>
    <x v="1"/>
    <s v="SS003"/>
    <x v="75"/>
    <n v="284.38"/>
    <x v="0"/>
    <x v="0"/>
  </r>
  <r>
    <x v="11"/>
    <x v="11"/>
    <x v="11"/>
    <x v="2"/>
    <s v="SS003"/>
    <x v="75"/>
    <n v="1436.24"/>
    <x v="8"/>
    <x v="2"/>
  </r>
  <r>
    <x v="12"/>
    <x v="12"/>
    <x v="12"/>
    <x v="0"/>
    <s v="SS003"/>
    <x v="75"/>
    <n v="56665.37"/>
    <x v="0"/>
    <x v="0"/>
  </r>
  <r>
    <x v="12"/>
    <x v="12"/>
    <x v="12"/>
    <x v="1"/>
    <s v="SS003"/>
    <x v="75"/>
    <n v="226.7"/>
    <x v="0"/>
    <x v="0"/>
  </r>
  <r>
    <x v="12"/>
    <x v="12"/>
    <x v="12"/>
    <x v="2"/>
    <s v="SS003"/>
    <x v="75"/>
    <n v="1144.6600000000001"/>
    <x v="8"/>
    <x v="2"/>
  </r>
  <r>
    <x v="13"/>
    <x v="13"/>
    <x v="13"/>
    <x v="0"/>
    <s v="SS003"/>
    <x v="75"/>
    <n v="27357.07"/>
    <x v="0"/>
    <x v="0"/>
  </r>
  <r>
    <x v="13"/>
    <x v="13"/>
    <x v="13"/>
    <x v="1"/>
    <s v="SS003"/>
    <x v="75"/>
    <n v="109.44"/>
    <x v="0"/>
    <x v="0"/>
  </r>
  <r>
    <x v="13"/>
    <x v="13"/>
    <x v="13"/>
    <x v="2"/>
    <s v="SS003"/>
    <x v="75"/>
    <n v="552.62"/>
    <x v="8"/>
    <x v="2"/>
  </r>
  <r>
    <x v="14"/>
    <x v="14"/>
    <x v="14"/>
    <x v="0"/>
    <s v="SS003"/>
    <x v="75"/>
    <n v="40454.120000000003"/>
    <x v="0"/>
    <x v="0"/>
  </r>
  <r>
    <x v="14"/>
    <x v="14"/>
    <x v="14"/>
    <x v="1"/>
    <s v="SS003"/>
    <x v="75"/>
    <n v="161.84"/>
    <x v="0"/>
    <x v="0"/>
  </r>
  <r>
    <x v="14"/>
    <x v="14"/>
    <x v="14"/>
    <x v="2"/>
    <s v="SS003"/>
    <x v="75"/>
    <n v="817.17"/>
    <x v="8"/>
    <x v="2"/>
  </r>
  <r>
    <x v="15"/>
    <x v="15"/>
    <x v="15"/>
    <x v="0"/>
    <s v="SS003"/>
    <x v="75"/>
    <n v="61446.32"/>
    <x v="0"/>
    <x v="0"/>
  </r>
  <r>
    <x v="15"/>
    <x v="15"/>
    <x v="15"/>
    <x v="1"/>
    <s v="SS003"/>
    <x v="75"/>
    <n v="245.81"/>
    <x v="0"/>
    <x v="0"/>
  </r>
  <r>
    <x v="15"/>
    <x v="15"/>
    <x v="15"/>
    <x v="2"/>
    <s v="SS003"/>
    <x v="75"/>
    <n v="1241.18"/>
    <x v="8"/>
    <x v="2"/>
  </r>
  <r>
    <x v="16"/>
    <x v="16"/>
    <x v="16"/>
    <x v="0"/>
    <s v="SS003"/>
    <x v="75"/>
    <n v="31999.98"/>
    <x v="0"/>
    <x v="0"/>
  </r>
  <r>
    <x v="16"/>
    <x v="16"/>
    <x v="16"/>
    <x v="1"/>
    <s v="SS003"/>
    <x v="75"/>
    <n v="128.02000000000001"/>
    <x v="0"/>
    <x v="0"/>
  </r>
  <r>
    <x v="16"/>
    <x v="16"/>
    <x v="16"/>
    <x v="2"/>
    <s v="SS003"/>
    <x v="75"/>
    <n v="646.41999999999996"/>
    <x v="8"/>
    <x v="2"/>
  </r>
  <r>
    <x v="17"/>
    <x v="17"/>
    <x v="17"/>
    <x v="0"/>
    <s v="SS003"/>
    <x v="75"/>
    <n v="2162.1999999999998"/>
    <x v="0"/>
    <x v="0"/>
  </r>
  <r>
    <x v="17"/>
    <x v="17"/>
    <x v="17"/>
    <x v="1"/>
    <s v="SS003"/>
    <x v="75"/>
    <n v="8.64"/>
    <x v="0"/>
    <x v="0"/>
  </r>
  <r>
    <x v="17"/>
    <x v="17"/>
    <x v="17"/>
    <x v="2"/>
    <s v="SS003"/>
    <x v="75"/>
    <n v="43.68"/>
    <x v="8"/>
    <x v="2"/>
  </r>
  <r>
    <x v="18"/>
    <x v="18"/>
    <x v="18"/>
    <x v="0"/>
    <s v="SS003"/>
    <x v="75"/>
    <n v="96673.07"/>
    <x v="0"/>
    <x v="0"/>
  </r>
  <r>
    <x v="18"/>
    <x v="18"/>
    <x v="18"/>
    <x v="1"/>
    <s v="SS003"/>
    <x v="75"/>
    <n v="386.69"/>
    <x v="0"/>
    <x v="0"/>
  </r>
  <r>
    <x v="18"/>
    <x v="18"/>
    <x v="18"/>
    <x v="2"/>
    <s v="SS003"/>
    <x v="75"/>
    <n v="1952.82"/>
    <x v="8"/>
    <x v="2"/>
  </r>
  <r>
    <x v="19"/>
    <x v="19"/>
    <x v="19"/>
    <x v="0"/>
    <s v="SS003"/>
    <x v="75"/>
    <n v="63921.65"/>
    <x v="0"/>
    <x v="0"/>
  </r>
  <r>
    <x v="19"/>
    <x v="19"/>
    <x v="19"/>
    <x v="1"/>
    <s v="SS003"/>
    <x v="75"/>
    <n v="255.68"/>
    <x v="0"/>
    <x v="0"/>
  </r>
  <r>
    <x v="19"/>
    <x v="19"/>
    <x v="19"/>
    <x v="2"/>
    <s v="SS003"/>
    <x v="75"/>
    <n v="1291.22"/>
    <x v="8"/>
    <x v="2"/>
  </r>
  <r>
    <x v="20"/>
    <x v="20"/>
    <x v="20"/>
    <x v="0"/>
    <s v="SS003"/>
    <x v="75"/>
    <n v="68495.59"/>
    <x v="0"/>
    <x v="0"/>
  </r>
  <r>
    <x v="20"/>
    <x v="20"/>
    <x v="20"/>
    <x v="1"/>
    <s v="SS003"/>
    <x v="75"/>
    <n v="274.01"/>
    <x v="0"/>
    <x v="0"/>
  </r>
  <r>
    <x v="20"/>
    <x v="20"/>
    <x v="20"/>
    <x v="2"/>
    <s v="SS003"/>
    <x v="75"/>
    <n v="1383.63"/>
    <x v="8"/>
    <x v="2"/>
  </r>
  <r>
    <x v="21"/>
    <x v="21"/>
    <x v="21"/>
    <x v="0"/>
    <s v="SS003"/>
    <x v="75"/>
    <n v="38087.230000000003"/>
    <x v="0"/>
    <x v="0"/>
  </r>
  <r>
    <x v="21"/>
    <x v="21"/>
    <x v="21"/>
    <x v="1"/>
    <s v="SS003"/>
    <x v="75"/>
    <n v="152.36000000000001"/>
    <x v="0"/>
    <x v="0"/>
  </r>
  <r>
    <x v="21"/>
    <x v="21"/>
    <x v="21"/>
    <x v="2"/>
    <s v="SS003"/>
    <x v="75"/>
    <n v="769.37"/>
    <x v="8"/>
    <x v="2"/>
  </r>
  <r>
    <x v="22"/>
    <x v="22"/>
    <x v="22"/>
    <x v="0"/>
    <s v="SS003"/>
    <x v="75"/>
    <n v="25472.84"/>
    <x v="0"/>
    <x v="0"/>
  </r>
  <r>
    <x v="22"/>
    <x v="22"/>
    <x v="22"/>
    <x v="1"/>
    <s v="SS003"/>
    <x v="75"/>
    <n v="101.89"/>
    <x v="0"/>
    <x v="0"/>
  </r>
  <r>
    <x v="22"/>
    <x v="22"/>
    <x v="22"/>
    <x v="2"/>
    <s v="SS003"/>
    <x v="75"/>
    <n v="514.54"/>
    <x v="8"/>
    <x v="2"/>
  </r>
  <r>
    <x v="23"/>
    <x v="23"/>
    <x v="23"/>
    <x v="0"/>
    <s v="SS003"/>
    <x v="75"/>
    <n v="39845.279999999999"/>
    <x v="0"/>
    <x v="0"/>
  </r>
  <r>
    <x v="23"/>
    <x v="23"/>
    <x v="23"/>
    <x v="1"/>
    <s v="SS003"/>
    <x v="75"/>
    <n v="159.38999999999999"/>
    <x v="0"/>
    <x v="0"/>
  </r>
  <r>
    <x v="23"/>
    <x v="23"/>
    <x v="23"/>
    <x v="2"/>
    <s v="SS003"/>
    <x v="75"/>
    <n v="804.87"/>
    <x v="8"/>
    <x v="2"/>
  </r>
  <r>
    <x v="25"/>
    <x v="25"/>
    <x v="24"/>
    <x v="0"/>
    <s v="SS003"/>
    <x v="75"/>
    <n v="38855.14"/>
    <x v="0"/>
    <x v="0"/>
  </r>
  <r>
    <x v="25"/>
    <x v="25"/>
    <x v="24"/>
    <x v="1"/>
    <s v="SS003"/>
    <x v="75"/>
    <n v="155.44"/>
    <x v="0"/>
    <x v="0"/>
  </r>
  <r>
    <x v="25"/>
    <x v="25"/>
    <x v="24"/>
    <x v="2"/>
    <s v="SS003"/>
    <x v="75"/>
    <n v="784.88"/>
    <x v="8"/>
    <x v="2"/>
  </r>
  <r>
    <x v="26"/>
    <x v="26"/>
    <x v="25"/>
    <x v="0"/>
    <s v="SS003"/>
    <x v="75"/>
    <n v="59572.69"/>
    <x v="0"/>
    <x v="0"/>
  </r>
  <r>
    <x v="26"/>
    <x v="26"/>
    <x v="25"/>
    <x v="1"/>
    <s v="SS003"/>
    <x v="75"/>
    <n v="238.31"/>
    <x v="0"/>
    <x v="0"/>
  </r>
  <r>
    <x v="26"/>
    <x v="26"/>
    <x v="25"/>
    <x v="2"/>
    <s v="SS003"/>
    <x v="75"/>
    <n v="1203.33"/>
    <x v="8"/>
    <x v="2"/>
  </r>
  <r>
    <x v="28"/>
    <x v="28"/>
    <x v="27"/>
    <x v="0"/>
    <s v="SS003"/>
    <x v="75"/>
    <n v="10674.95"/>
    <x v="0"/>
    <x v="0"/>
  </r>
  <r>
    <x v="28"/>
    <x v="28"/>
    <x v="27"/>
    <x v="1"/>
    <s v="SS003"/>
    <x v="75"/>
    <n v="42.7"/>
    <x v="0"/>
    <x v="0"/>
  </r>
  <r>
    <x v="28"/>
    <x v="28"/>
    <x v="27"/>
    <x v="2"/>
    <s v="SS003"/>
    <x v="75"/>
    <n v="215.64"/>
    <x v="8"/>
    <x v="2"/>
  </r>
  <r>
    <x v="29"/>
    <x v="29"/>
    <x v="6"/>
    <x v="0"/>
    <s v="SS003"/>
    <x v="75"/>
    <n v="38311.83"/>
    <x v="0"/>
    <x v="0"/>
  </r>
  <r>
    <x v="29"/>
    <x v="29"/>
    <x v="6"/>
    <x v="1"/>
    <s v="SS003"/>
    <x v="75"/>
    <n v="153.26"/>
    <x v="0"/>
    <x v="0"/>
  </r>
  <r>
    <x v="29"/>
    <x v="29"/>
    <x v="6"/>
    <x v="2"/>
    <s v="SS003"/>
    <x v="75"/>
    <n v="773.93"/>
    <x v="8"/>
    <x v="2"/>
  </r>
  <r>
    <x v="30"/>
    <x v="30"/>
    <x v="28"/>
    <x v="0"/>
    <s v="SS003"/>
    <x v="75"/>
    <n v="61604.34"/>
    <x v="0"/>
    <x v="0"/>
  </r>
  <r>
    <x v="30"/>
    <x v="30"/>
    <x v="28"/>
    <x v="1"/>
    <s v="SS003"/>
    <x v="75"/>
    <n v="246.44"/>
    <x v="0"/>
    <x v="0"/>
  </r>
  <r>
    <x v="30"/>
    <x v="30"/>
    <x v="28"/>
    <x v="2"/>
    <s v="SS003"/>
    <x v="75"/>
    <n v="1244.3699999999999"/>
    <x v="8"/>
    <x v="2"/>
  </r>
  <r>
    <x v="31"/>
    <x v="31"/>
    <x v="29"/>
    <x v="0"/>
    <s v="SS003"/>
    <x v="75"/>
    <n v="59393.65"/>
    <x v="0"/>
    <x v="0"/>
  </r>
  <r>
    <x v="31"/>
    <x v="31"/>
    <x v="29"/>
    <x v="1"/>
    <s v="SS003"/>
    <x v="75"/>
    <n v="237.58"/>
    <x v="0"/>
    <x v="0"/>
  </r>
  <r>
    <x v="31"/>
    <x v="31"/>
    <x v="29"/>
    <x v="2"/>
    <s v="SS003"/>
    <x v="75"/>
    <n v="1199.76"/>
    <x v="8"/>
    <x v="2"/>
  </r>
  <r>
    <x v="32"/>
    <x v="32"/>
    <x v="30"/>
    <x v="0"/>
    <s v="SS003"/>
    <x v="75"/>
    <n v="48974.5"/>
    <x v="0"/>
    <x v="0"/>
  </r>
  <r>
    <x v="32"/>
    <x v="32"/>
    <x v="30"/>
    <x v="1"/>
    <s v="SS003"/>
    <x v="75"/>
    <n v="195.9"/>
    <x v="0"/>
    <x v="0"/>
  </r>
  <r>
    <x v="32"/>
    <x v="32"/>
    <x v="30"/>
    <x v="2"/>
    <s v="SS003"/>
    <x v="75"/>
    <n v="989.3"/>
    <x v="8"/>
    <x v="2"/>
  </r>
  <r>
    <x v="33"/>
    <x v="33"/>
    <x v="31"/>
    <x v="0"/>
    <s v="SS003"/>
    <x v="75"/>
    <n v="43774.64"/>
    <x v="0"/>
    <x v="0"/>
  </r>
  <r>
    <x v="33"/>
    <x v="33"/>
    <x v="31"/>
    <x v="1"/>
    <s v="SS003"/>
    <x v="75"/>
    <n v="175.07"/>
    <x v="0"/>
    <x v="0"/>
  </r>
  <r>
    <x v="33"/>
    <x v="33"/>
    <x v="31"/>
    <x v="2"/>
    <s v="SS003"/>
    <x v="75"/>
    <n v="884.23"/>
    <x v="8"/>
    <x v="2"/>
  </r>
  <r>
    <x v="34"/>
    <x v="34"/>
    <x v="32"/>
    <x v="0"/>
    <s v="SS003"/>
    <x v="75"/>
    <n v="70385.62"/>
    <x v="0"/>
    <x v="0"/>
  </r>
  <r>
    <x v="34"/>
    <x v="34"/>
    <x v="32"/>
    <x v="1"/>
    <s v="SS003"/>
    <x v="75"/>
    <n v="281.51"/>
    <x v="0"/>
    <x v="0"/>
  </r>
  <r>
    <x v="34"/>
    <x v="34"/>
    <x v="32"/>
    <x v="2"/>
    <s v="SS003"/>
    <x v="75"/>
    <n v="1421.76"/>
    <x v="8"/>
    <x v="2"/>
  </r>
  <r>
    <x v="35"/>
    <x v="35"/>
    <x v="33"/>
    <x v="0"/>
    <s v="SS003"/>
    <x v="75"/>
    <n v="38315.9"/>
    <x v="0"/>
    <x v="0"/>
  </r>
  <r>
    <x v="35"/>
    <x v="35"/>
    <x v="33"/>
    <x v="1"/>
    <s v="SS003"/>
    <x v="75"/>
    <n v="153.26"/>
    <x v="0"/>
    <x v="0"/>
  </r>
  <r>
    <x v="35"/>
    <x v="35"/>
    <x v="33"/>
    <x v="2"/>
    <s v="SS003"/>
    <x v="75"/>
    <n v="773.97"/>
    <x v="8"/>
    <x v="2"/>
  </r>
  <r>
    <x v="36"/>
    <x v="36"/>
    <x v="34"/>
    <x v="0"/>
    <s v="SS003"/>
    <x v="75"/>
    <n v="2162.1999999999998"/>
    <x v="0"/>
    <x v="0"/>
  </r>
  <r>
    <x v="36"/>
    <x v="36"/>
    <x v="34"/>
    <x v="1"/>
    <s v="SS003"/>
    <x v="75"/>
    <n v="8.64"/>
    <x v="0"/>
    <x v="0"/>
  </r>
  <r>
    <x v="36"/>
    <x v="36"/>
    <x v="34"/>
    <x v="2"/>
    <s v="SS003"/>
    <x v="75"/>
    <n v="43.68"/>
    <x v="8"/>
    <x v="2"/>
  </r>
  <r>
    <x v="37"/>
    <x v="37"/>
    <x v="35"/>
    <x v="0"/>
    <s v="SS003"/>
    <x v="75"/>
    <n v="38778.019999999997"/>
    <x v="0"/>
    <x v="0"/>
  </r>
  <r>
    <x v="37"/>
    <x v="37"/>
    <x v="35"/>
    <x v="1"/>
    <s v="SS003"/>
    <x v="75"/>
    <n v="155.11000000000001"/>
    <x v="0"/>
    <x v="0"/>
  </r>
  <r>
    <x v="37"/>
    <x v="37"/>
    <x v="35"/>
    <x v="2"/>
    <s v="SS003"/>
    <x v="75"/>
    <n v="783.31"/>
    <x v="8"/>
    <x v="2"/>
  </r>
  <r>
    <x v="38"/>
    <x v="38"/>
    <x v="36"/>
    <x v="0"/>
    <s v="SS003"/>
    <x v="75"/>
    <n v="138740.99"/>
    <x v="0"/>
    <x v="0"/>
  </r>
  <r>
    <x v="38"/>
    <x v="38"/>
    <x v="36"/>
    <x v="1"/>
    <s v="SS003"/>
    <x v="75"/>
    <n v="554.98"/>
    <x v="0"/>
    <x v="0"/>
  </r>
  <r>
    <x v="38"/>
    <x v="38"/>
    <x v="36"/>
    <x v="2"/>
    <s v="SS003"/>
    <x v="75"/>
    <n v="2802.58"/>
    <x v="8"/>
    <x v="2"/>
  </r>
  <r>
    <x v="39"/>
    <x v="39"/>
    <x v="37"/>
    <x v="0"/>
    <s v="SS003"/>
    <x v="75"/>
    <n v="18490.8"/>
    <x v="0"/>
    <x v="0"/>
  </r>
  <r>
    <x v="39"/>
    <x v="39"/>
    <x v="37"/>
    <x v="1"/>
    <s v="SS003"/>
    <x v="75"/>
    <n v="73.989999999999995"/>
    <x v="0"/>
    <x v="0"/>
  </r>
  <r>
    <x v="39"/>
    <x v="39"/>
    <x v="37"/>
    <x v="2"/>
    <s v="SS003"/>
    <x v="75"/>
    <n v="373.54"/>
    <x v="8"/>
    <x v="2"/>
  </r>
  <r>
    <x v="40"/>
    <x v="40"/>
    <x v="38"/>
    <x v="0"/>
    <s v="SS003"/>
    <x v="75"/>
    <n v="58661.4"/>
    <x v="0"/>
    <x v="0"/>
  </r>
  <r>
    <x v="40"/>
    <x v="40"/>
    <x v="38"/>
    <x v="1"/>
    <s v="SS003"/>
    <x v="75"/>
    <n v="234.68"/>
    <x v="0"/>
    <x v="0"/>
  </r>
  <r>
    <x v="40"/>
    <x v="40"/>
    <x v="38"/>
    <x v="2"/>
    <s v="SS003"/>
    <x v="75"/>
    <n v="1184.97"/>
    <x v="8"/>
    <x v="2"/>
  </r>
  <r>
    <x v="41"/>
    <x v="41"/>
    <x v="39"/>
    <x v="0"/>
    <s v="SS003"/>
    <x v="75"/>
    <n v="58329.01"/>
    <x v="0"/>
    <x v="0"/>
  </r>
  <r>
    <x v="41"/>
    <x v="41"/>
    <x v="39"/>
    <x v="1"/>
    <s v="SS003"/>
    <x v="75"/>
    <n v="233.34"/>
    <x v="0"/>
    <x v="0"/>
  </r>
  <r>
    <x v="41"/>
    <x v="41"/>
    <x v="39"/>
    <x v="2"/>
    <s v="SS003"/>
    <x v="75"/>
    <n v="1178.26"/>
    <x v="8"/>
    <x v="2"/>
  </r>
  <r>
    <x v="42"/>
    <x v="42"/>
    <x v="40"/>
    <x v="0"/>
    <s v="SS003"/>
    <x v="75"/>
    <n v="79172.740000000005"/>
    <x v="0"/>
    <x v="0"/>
  </r>
  <r>
    <x v="42"/>
    <x v="42"/>
    <x v="40"/>
    <x v="1"/>
    <s v="SS003"/>
    <x v="75"/>
    <n v="316.67"/>
    <x v="0"/>
    <x v="0"/>
  </r>
  <r>
    <x v="42"/>
    <x v="42"/>
    <x v="40"/>
    <x v="2"/>
    <s v="SS003"/>
    <x v="75"/>
    <n v="1599.27"/>
    <x v="8"/>
    <x v="2"/>
  </r>
  <r>
    <x v="43"/>
    <x v="43"/>
    <x v="41"/>
    <x v="0"/>
    <s v="SS003"/>
    <x v="75"/>
    <n v="56944.02"/>
    <x v="0"/>
    <x v="0"/>
  </r>
  <r>
    <x v="43"/>
    <x v="43"/>
    <x v="41"/>
    <x v="1"/>
    <s v="SS003"/>
    <x v="75"/>
    <n v="227.82"/>
    <x v="0"/>
    <x v="0"/>
  </r>
  <r>
    <x v="43"/>
    <x v="43"/>
    <x v="41"/>
    <x v="2"/>
    <s v="SS003"/>
    <x v="75"/>
    <n v="1150.28"/>
    <x v="8"/>
    <x v="2"/>
  </r>
  <r>
    <x v="44"/>
    <x v="44"/>
    <x v="42"/>
    <x v="0"/>
    <s v="SS003"/>
    <x v="75"/>
    <n v="45684.82"/>
    <x v="0"/>
    <x v="0"/>
  </r>
  <r>
    <x v="44"/>
    <x v="44"/>
    <x v="42"/>
    <x v="1"/>
    <s v="SS003"/>
    <x v="75"/>
    <n v="182.73"/>
    <x v="0"/>
    <x v="0"/>
  </r>
  <r>
    <x v="44"/>
    <x v="44"/>
    <x v="42"/>
    <x v="2"/>
    <s v="SS003"/>
    <x v="75"/>
    <n v="922.86"/>
    <x v="8"/>
    <x v="2"/>
  </r>
  <r>
    <x v="45"/>
    <x v="45"/>
    <x v="43"/>
    <x v="0"/>
    <s v="SS003"/>
    <x v="75"/>
    <n v="31392.38"/>
    <x v="0"/>
    <x v="0"/>
  </r>
  <r>
    <x v="45"/>
    <x v="45"/>
    <x v="43"/>
    <x v="1"/>
    <s v="SS003"/>
    <x v="75"/>
    <n v="125.57"/>
    <x v="0"/>
    <x v="0"/>
  </r>
  <r>
    <x v="45"/>
    <x v="45"/>
    <x v="43"/>
    <x v="2"/>
    <s v="SS003"/>
    <x v="75"/>
    <n v="634.13"/>
    <x v="8"/>
    <x v="2"/>
  </r>
  <r>
    <x v="47"/>
    <x v="47"/>
    <x v="45"/>
    <x v="0"/>
    <s v="SS003"/>
    <x v="75"/>
    <n v="26326.86"/>
    <x v="0"/>
    <x v="0"/>
  </r>
  <r>
    <x v="47"/>
    <x v="47"/>
    <x v="45"/>
    <x v="1"/>
    <s v="SS003"/>
    <x v="75"/>
    <n v="105.29"/>
    <x v="0"/>
    <x v="0"/>
  </r>
  <r>
    <x v="47"/>
    <x v="47"/>
    <x v="45"/>
    <x v="2"/>
    <s v="SS003"/>
    <x v="75"/>
    <n v="531.79"/>
    <x v="8"/>
    <x v="2"/>
  </r>
  <r>
    <x v="49"/>
    <x v="49"/>
    <x v="47"/>
    <x v="0"/>
    <s v="SS003"/>
    <x v="75"/>
    <n v="3399.94"/>
    <x v="0"/>
    <x v="0"/>
  </r>
  <r>
    <x v="49"/>
    <x v="49"/>
    <x v="47"/>
    <x v="1"/>
    <s v="SS003"/>
    <x v="75"/>
    <n v="13.6"/>
    <x v="0"/>
    <x v="0"/>
  </r>
  <r>
    <x v="49"/>
    <x v="49"/>
    <x v="47"/>
    <x v="2"/>
    <s v="SS003"/>
    <x v="75"/>
    <n v="68.680000000000007"/>
    <x v="8"/>
    <x v="2"/>
  </r>
  <r>
    <x v="50"/>
    <x v="49"/>
    <x v="48"/>
    <x v="0"/>
    <s v="SS003"/>
    <x v="75"/>
    <n v="36818.67"/>
    <x v="0"/>
    <x v="0"/>
  </r>
  <r>
    <x v="50"/>
    <x v="49"/>
    <x v="48"/>
    <x v="1"/>
    <s v="SS003"/>
    <x v="75"/>
    <n v="147.27000000000001"/>
    <x v="0"/>
    <x v="0"/>
  </r>
  <r>
    <x v="50"/>
    <x v="49"/>
    <x v="48"/>
    <x v="2"/>
    <s v="SS003"/>
    <x v="75"/>
    <n v="743.71"/>
    <x v="8"/>
    <x v="2"/>
  </r>
  <r>
    <x v="51"/>
    <x v="50"/>
    <x v="49"/>
    <x v="0"/>
    <s v="SS003"/>
    <x v="75"/>
    <n v="6077.96"/>
    <x v="0"/>
    <x v="0"/>
  </r>
  <r>
    <x v="51"/>
    <x v="50"/>
    <x v="49"/>
    <x v="1"/>
    <s v="SS003"/>
    <x v="75"/>
    <n v="24.31"/>
    <x v="0"/>
    <x v="0"/>
  </r>
  <r>
    <x v="51"/>
    <x v="50"/>
    <x v="49"/>
    <x v="2"/>
    <s v="SS003"/>
    <x v="75"/>
    <n v="122.77"/>
    <x v="8"/>
    <x v="2"/>
  </r>
  <r>
    <x v="52"/>
    <x v="51"/>
    <x v="50"/>
    <x v="0"/>
    <s v="SS003"/>
    <x v="75"/>
    <n v="45128.26"/>
    <x v="0"/>
    <x v="0"/>
  </r>
  <r>
    <x v="52"/>
    <x v="51"/>
    <x v="50"/>
    <x v="1"/>
    <s v="SS003"/>
    <x v="75"/>
    <n v="180.53"/>
    <x v="0"/>
    <x v="0"/>
  </r>
  <r>
    <x v="52"/>
    <x v="51"/>
    <x v="50"/>
    <x v="2"/>
    <s v="SS003"/>
    <x v="75"/>
    <n v="911.61"/>
    <x v="8"/>
    <x v="2"/>
  </r>
  <r>
    <x v="53"/>
    <x v="52"/>
    <x v="48"/>
    <x v="0"/>
    <s v="SS003"/>
    <x v="75"/>
    <n v="6819.94"/>
    <x v="0"/>
    <x v="0"/>
  </r>
  <r>
    <x v="53"/>
    <x v="52"/>
    <x v="48"/>
    <x v="1"/>
    <s v="SS003"/>
    <x v="75"/>
    <n v="27.28"/>
    <x v="0"/>
    <x v="0"/>
  </r>
  <r>
    <x v="53"/>
    <x v="52"/>
    <x v="48"/>
    <x v="2"/>
    <s v="SS003"/>
    <x v="75"/>
    <n v="137.76"/>
    <x v="8"/>
    <x v="2"/>
  </r>
  <r>
    <x v="0"/>
    <x v="0"/>
    <x v="0"/>
    <x v="0"/>
    <s v="SS004"/>
    <x v="76"/>
    <n v="3603.68"/>
    <x v="0"/>
    <x v="0"/>
  </r>
  <r>
    <x v="0"/>
    <x v="0"/>
    <x v="0"/>
    <x v="2"/>
    <s v="SS004"/>
    <x v="76"/>
    <n v="308.12"/>
    <x v="8"/>
    <x v="2"/>
  </r>
  <r>
    <x v="17"/>
    <x v="17"/>
    <x v="17"/>
    <x v="0"/>
    <s v="SS004"/>
    <x v="76"/>
    <n v="3603.68"/>
    <x v="0"/>
    <x v="0"/>
  </r>
  <r>
    <x v="17"/>
    <x v="17"/>
    <x v="17"/>
    <x v="2"/>
    <s v="SS004"/>
    <x v="76"/>
    <n v="308.12"/>
    <x v="8"/>
    <x v="2"/>
  </r>
  <r>
    <x v="24"/>
    <x v="24"/>
    <x v="7"/>
    <x v="0"/>
    <s v="SS004"/>
    <x v="76"/>
    <n v="7934.12"/>
    <x v="0"/>
    <x v="0"/>
  </r>
  <r>
    <x v="24"/>
    <x v="24"/>
    <x v="7"/>
    <x v="2"/>
    <s v="SS004"/>
    <x v="76"/>
    <n v="678.36"/>
    <x v="8"/>
    <x v="2"/>
  </r>
  <r>
    <x v="36"/>
    <x v="36"/>
    <x v="34"/>
    <x v="0"/>
    <s v="SS004"/>
    <x v="76"/>
    <n v="3603.68"/>
    <x v="0"/>
    <x v="0"/>
  </r>
  <r>
    <x v="36"/>
    <x v="36"/>
    <x v="34"/>
    <x v="2"/>
    <s v="SS004"/>
    <x v="76"/>
    <n v="308.12"/>
    <x v="8"/>
    <x v="2"/>
  </r>
  <r>
    <x v="46"/>
    <x v="46"/>
    <x v="44"/>
    <x v="0"/>
    <s v="SS004"/>
    <x v="76"/>
    <n v="7716.54"/>
    <x v="0"/>
    <x v="0"/>
  </r>
  <r>
    <x v="46"/>
    <x v="46"/>
    <x v="44"/>
    <x v="2"/>
    <s v="SS004"/>
    <x v="76"/>
    <n v="659.76"/>
    <x v="8"/>
    <x v="2"/>
  </r>
  <r>
    <x v="48"/>
    <x v="48"/>
    <x v="46"/>
    <x v="0"/>
    <s v="SS004"/>
    <x v="76"/>
    <n v="7840.63"/>
    <x v="0"/>
    <x v="0"/>
  </r>
  <r>
    <x v="48"/>
    <x v="48"/>
    <x v="46"/>
    <x v="2"/>
    <s v="SS004"/>
    <x v="76"/>
    <n v="670.37"/>
    <x v="8"/>
    <x v="2"/>
  </r>
  <r>
    <x v="0"/>
    <x v="0"/>
    <x v="0"/>
    <x v="0"/>
    <s v="SS004"/>
    <x v="77"/>
    <n v="1225.24"/>
    <x v="0"/>
    <x v="0"/>
  </r>
  <r>
    <x v="0"/>
    <x v="0"/>
    <x v="0"/>
    <x v="1"/>
    <s v="SS004"/>
    <x v="77"/>
    <n v="84.56"/>
    <x v="0"/>
    <x v="0"/>
  </r>
  <r>
    <x v="0"/>
    <x v="0"/>
    <x v="0"/>
    <x v="2"/>
    <s v="SS004"/>
    <x v="77"/>
    <n v="104.76"/>
    <x v="8"/>
    <x v="2"/>
  </r>
  <r>
    <x v="1"/>
    <x v="1"/>
    <x v="1"/>
    <x v="0"/>
    <s v="SS004"/>
    <x v="77"/>
    <n v="25566.959999999999"/>
    <x v="0"/>
    <x v="0"/>
  </r>
  <r>
    <x v="1"/>
    <x v="1"/>
    <x v="1"/>
    <x v="1"/>
    <s v="SS004"/>
    <x v="77"/>
    <n v="1764.12"/>
    <x v="0"/>
    <x v="0"/>
  </r>
  <r>
    <x v="1"/>
    <x v="1"/>
    <x v="1"/>
    <x v="2"/>
    <s v="SS004"/>
    <x v="77"/>
    <n v="2185.92"/>
    <x v="8"/>
    <x v="2"/>
  </r>
  <r>
    <x v="2"/>
    <x v="2"/>
    <x v="2"/>
    <x v="0"/>
    <s v="SS004"/>
    <x v="77"/>
    <n v="47100"/>
    <x v="0"/>
    <x v="0"/>
  </r>
  <r>
    <x v="2"/>
    <x v="2"/>
    <x v="2"/>
    <x v="1"/>
    <s v="SS004"/>
    <x v="77"/>
    <n v="3249.96"/>
    <x v="0"/>
    <x v="0"/>
  </r>
  <r>
    <x v="2"/>
    <x v="2"/>
    <x v="2"/>
    <x v="2"/>
    <s v="SS004"/>
    <x v="77"/>
    <n v="4027.08"/>
    <x v="8"/>
    <x v="2"/>
  </r>
  <r>
    <x v="3"/>
    <x v="3"/>
    <x v="3"/>
    <x v="0"/>
    <s v="SS004"/>
    <x v="77"/>
    <n v="11395.16"/>
    <x v="0"/>
    <x v="0"/>
  </r>
  <r>
    <x v="3"/>
    <x v="3"/>
    <x v="3"/>
    <x v="1"/>
    <s v="SS004"/>
    <x v="77"/>
    <n v="786.28"/>
    <x v="0"/>
    <x v="0"/>
  </r>
  <r>
    <x v="3"/>
    <x v="3"/>
    <x v="3"/>
    <x v="2"/>
    <s v="SS004"/>
    <x v="77"/>
    <n v="974.28"/>
    <x v="8"/>
    <x v="2"/>
  </r>
  <r>
    <x v="4"/>
    <x v="4"/>
    <x v="4"/>
    <x v="0"/>
    <s v="SS004"/>
    <x v="77"/>
    <n v="19283.740000000002"/>
    <x v="0"/>
    <x v="0"/>
  </r>
  <r>
    <x v="4"/>
    <x v="4"/>
    <x v="4"/>
    <x v="1"/>
    <s v="SS004"/>
    <x v="77"/>
    <n v="1330.58"/>
    <x v="0"/>
    <x v="0"/>
  </r>
  <r>
    <x v="4"/>
    <x v="4"/>
    <x v="4"/>
    <x v="2"/>
    <s v="SS004"/>
    <x v="77"/>
    <n v="1648.75"/>
    <x v="8"/>
    <x v="2"/>
  </r>
  <r>
    <x v="5"/>
    <x v="5"/>
    <x v="5"/>
    <x v="0"/>
    <s v="SS004"/>
    <x v="77"/>
    <n v="45370.13"/>
    <x v="0"/>
    <x v="0"/>
  </r>
  <r>
    <x v="5"/>
    <x v="5"/>
    <x v="5"/>
    <x v="1"/>
    <s v="SS004"/>
    <x v="77"/>
    <n v="3130.57"/>
    <x v="0"/>
    <x v="0"/>
  </r>
  <r>
    <x v="5"/>
    <x v="5"/>
    <x v="5"/>
    <x v="2"/>
    <s v="SS004"/>
    <x v="77"/>
    <n v="3879.15"/>
    <x v="8"/>
    <x v="2"/>
  </r>
  <r>
    <x v="6"/>
    <x v="6"/>
    <x v="6"/>
    <x v="0"/>
    <s v="SS004"/>
    <x v="77"/>
    <n v="47100"/>
    <x v="0"/>
    <x v="0"/>
  </r>
  <r>
    <x v="6"/>
    <x v="6"/>
    <x v="6"/>
    <x v="1"/>
    <s v="SS004"/>
    <x v="77"/>
    <n v="3249.96"/>
    <x v="0"/>
    <x v="0"/>
  </r>
  <r>
    <x v="6"/>
    <x v="6"/>
    <x v="6"/>
    <x v="2"/>
    <s v="SS004"/>
    <x v="77"/>
    <n v="4027.08"/>
    <x v="8"/>
    <x v="2"/>
  </r>
  <r>
    <x v="7"/>
    <x v="7"/>
    <x v="7"/>
    <x v="0"/>
    <s v="SS004"/>
    <x v="77"/>
    <n v="47100"/>
    <x v="0"/>
    <x v="0"/>
  </r>
  <r>
    <x v="7"/>
    <x v="7"/>
    <x v="7"/>
    <x v="1"/>
    <s v="SS004"/>
    <x v="77"/>
    <n v="3249.96"/>
    <x v="0"/>
    <x v="0"/>
  </r>
  <r>
    <x v="7"/>
    <x v="7"/>
    <x v="7"/>
    <x v="2"/>
    <s v="SS004"/>
    <x v="77"/>
    <n v="4027.08"/>
    <x v="8"/>
    <x v="2"/>
  </r>
  <r>
    <x v="8"/>
    <x v="8"/>
    <x v="8"/>
    <x v="0"/>
    <s v="SS004"/>
    <x v="77"/>
    <n v="47100"/>
    <x v="0"/>
    <x v="0"/>
  </r>
  <r>
    <x v="8"/>
    <x v="8"/>
    <x v="8"/>
    <x v="1"/>
    <s v="SS004"/>
    <x v="77"/>
    <n v="3249.96"/>
    <x v="0"/>
    <x v="0"/>
  </r>
  <r>
    <x v="8"/>
    <x v="8"/>
    <x v="8"/>
    <x v="2"/>
    <s v="SS004"/>
    <x v="77"/>
    <n v="4027.08"/>
    <x v="8"/>
    <x v="2"/>
  </r>
  <r>
    <x v="9"/>
    <x v="9"/>
    <x v="9"/>
    <x v="0"/>
    <s v="SS004"/>
    <x v="77"/>
    <n v="47100"/>
    <x v="0"/>
    <x v="0"/>
  </r>
  <r>
    <x v="9"/>
    <x v="9"/>
    <x v="9"/>
    <x v="1"/>
    <s v="SS004"/>
    <x v="77"/>
    <n v="3249.96"/>
    <x v="0"/>
    <x v="0"/>
  </r>
  <r>
    <x v="9"/>
    <x v="9"/>
    <x v="9"/>
    <x v="2"/>
    <s v="SS004"/>
    <x v="77"/>
    <n v="4027.08"/>
    <x v="8"/>
    <x v="2"/>
  </r>
  <r>
    <x v="10"/>
    <x v="10"/>
    <x v="10"/>
    <x v="0"/>
    <s v="SS004"/>
    <x v="77"/>
    <n v="47100"/>
    <x v="0"/>
    <x v="0"/>
  </r>
  <r>
    <x v="10"/>
    <x v="10"/>
    <x v="10"/>
    <x v="1"/>
    <s v="SS004"/>
    <x v="77"/>
    <n v="3249.96"/>
    <x v="0"/>
    <x v="0"/>
  </r>
  <r>
    <x v="10"/>
    <x v="10"/>
    <x v="10"/>
    <x v="2"/>
    <s v="SS004"/>
    <x v="77"/>
    <n v="4027.08"/>
    <x v="8"/>
    <x v="2"/>
  </r>
  <r>
    <x v="11"/>
    <x v="11"/>
    <x v="11"/>
    <x v="0"/>
    <s v="SS004"/>
    <x v="77"/>
    <n v="47100"/>
    <x v="0"/>
    <x v="0"/>
  </r>
  <r>
    <x v="11"/>
    <x v="11"/>
    <x v="11"/>
    <x v="1"/>
    <s v="SS004"/>
    <x v="77"/>
    <n v="3249.96"/>
    <x v="0"/>
    <x v="0"/>
  </r>
  <r>
    <x v="11"/>
    <x v="11"/>
    <x v="11"/>
    <x v="2"/>
    <s v="SS004"/>
    <x v="77"/>
    <n v="4027.08"/>
    <x v="8"/>
    <x v="2"/>
  </r>
  <r>
    <x v="12"/>
    <x v="12"/>
    <x v="12"/>
    <x v="0"/>
    <s v="SS004"/>
    <x v="77"/>
    <n v="47100"/>
    <x v="0"/>
    <x v="0"/>
  </r>
  <r>
    <x v="12"/>
    <x v="12"/>
    <x v="12"/>
    <x v="1"/>
    <s v="SS004"/>
    <x v="77"/>
    <n v="3249.96"/>
    <x v="0"/>
    <x v="0"/>
  </r>
  <r>
    <x v="12"/>
    <x v="12"/>
    <x v="12"/>
    <x v="2"/>
    <s v="SS004"/>
    <x v="77"/>
    <n v="4027.07"/>
    <x v="8"/>
    <x v="2"/>
  </r>
  <r>
    <x v="13"/>
    <x v="13"/>
    <x v="13"/>
    <x v="0"/>
    <s v="SS004"/>
    <x v="77"/>
    <n v="27357.07"/>
    <x v="0"/>
    <x v="0"/>
  </r>
  <r>
    <x v="13"/>
    <x v="13"/>
    <x v="13"/>
    <x v="1"/>
    <s v="SS004"/>
    <x v="77"/>
    <n v="1887.64"/>
    <x v="0"/>
    <x v="0"/>
  </r>
  <r>
    <x v="13"/>
    <x v="13"/>
    <x v="13"/>
    <x v="2"/>
    <s v="SS004"/>
    <x v="77"/>
    <n v="2339.0300000000002"/>
    <x v="8"/>
    <x v="2"/>
  </r>
  <r>
    <x v="14"/>
    <x v="14"/>
    <x v="14"/>
    <x v="0"/>
    <s v="SS004"/>
    <x v="77"/>
    <n v="37312.99"/>
    <x v="0"/>
    <x v="0"/>
  </r>
  <r>
    <x v="14"/>
    <x v="14"/>
    <x v="14"/>
    <x v="1"/>
    <s v="SS004"/>
    <x v="77"/>
    <n v="2574.6"/>
    <x v="0"/>
    <x v="0"/>
  </r>
  <r>
    <x v="14"/>
    <x v="14"/>
    <x v="14"/>
    <x v="2"/>
    <s v="SS004"/>
    <x v="77"/>
    <n v="3190.28"/>
    <x v="8"/>
    <x v="2"/>
  </r>
  <r>
    <x v="15"/>
    <x v="15"/>
    <x v="15"/>
    <x v="0"/>
    <s v="SS004"/>
    <x v="77"/>
    <n v="47100"/>
    <x v="0"/>
    <x v="0"/>
  </r>
  <r>
    <x v="15"/>
    <x v="15"/>
    <x v="15"/>
    <x v="1"/>
    <s v="SS004"/>
    <x v="77"/>
    <n v="3249.96"/>
    <x v="0"/>
    <x v="0"/>
  </r>
  <r>
    <x v="15"/>
    <x v="15"/>
    <x v="15"/>
    <x v="2"/>
    <s v="SS004"/>
    <x v="77"/>
    <n v="4027.08"/>
    <x v="8"/>
    <x v="2"/>
  </r>
  <r>
    <x v="16"/>
    <x v="16"/>
    <x v="16"/>
    <x v="0"/>
    <s v="SS004"/>
    <x v="77"/>
    <n v="31999.98"/>
    <x v="0"/>
    <x v="0"/>
  </r>
  <r>
    <x v="16"/>
    <x v="16"/>
    <x v="16"/>
    <x v="1"/>
    <s v="SS004"/>
    <x v="77"/>
    <n v="2207.98"/>
    <x v="0"/>
    <x v="0"/>
  </r>
  <r>
    <x v="16"/>
    <x v="16"/>
    <x v="16"/>
    <x v="2"/>
    <s v="SS004"/>
    <x v="77"/>
    <n v="2736.03"/>
    <x v="8"/>
    <x v="2"/>
  </r>
  <r>
    <x v="17"/>
    <x v="17"/>
    <x v="17"/>
    <x v="0"/>
    <s v="SS004"/>
    <x v="77"/>
    <n v="2162.1999999999998"/>
    <x v="0"/>
    <x v="0"/>
  </r>
  <r>
    <x v="17"/>
    <x v="17"/>
    <x v="17"/>
    <x v="1"/>
    <s v="SS004"/>
    <x v="77"/>
    <n v="149.19999999999999"/>
    <x v="0"/>
    <x v="0"/>
  </r>
  <r>
    <x v="17"/>
    <x v="17"/>
    <x v="17"/>
    <x v="2"/>
    <s v="SS004"/>
    <x v="77"/>
    <n v="184.88"/>
    <x v="8"/>
    <x v="2"/>
  </r>
  <r>
    <x v="18"/>
    <x v="18"/>
    <x v="18"/>
    <x v="0"/>
    <s v="SS004"/>
    <x v="77"/>
    <n v="47100"/>
    <x v="0"/>
    <x v="0"/>
  </r>
  <r>
    <x v="18"/>
    <x v="18"/>
    <x v="18"/>
    <x v="1"/>
    <s v="SS004"/>
    <x v="77"/>
    <n v="3249.96"/>
    <x v="0"/>
    <x v="0"/>
  </r>
  <r>
    <x v="18"/>
    <x v="18"/>
    <x v="18"/>
    <x v="2"/>
    <s v="SS004"/>
    <x v="77"/>
    <n v="4027.08"/>
    <x v="8"/>
    <x v="2"/>
  </r>
  <r>
    <x v="19"/>
    <x v="19"/>
    <x v="19"/>
    <x v="0"/>
    <s v="SS004"/>
    <x v="77"/>
    <n v="47100"/>
    <x v="0"/>
    <x v="0"/>
  </r>
  <r>
    <x v="19"/>
    <x v="19"/>
    <x v="19"/>
    <x v="1"/>
    <s v="SS004"/>
    <x v="77"/>
    <n v="3249.96"/>
    <x v="0"/>
    <x v="0"/>
  </r>
  <r>
    <x v="19"/>
    <x v="19"/>
    <x v="19"/>
    <x v="2"/>
    <s v="SS004"/>
    <x v="77"/>
    <n v="4027.08"/>
    <x v="8"/>
    <x v="2"/>
  </r>
  <r>
    <x v="20"/>
    <x v="20"/>
    <x v="20"/>
    <x v="0"/>
    <s v="SS004"/>
    <x v="77"/>
    <n v="47100"/>
    <x v="0"/>
    <x v="0"/>
  </r>
  <r>
    <x v="20"/>
    <x v="20"/>
    <x v="20"/>
    <x v="1"/>
    <s v="SS004"/>
    <x v="77"/>
    <n v="3249.96"/>
    <x v="0"/>
    <x v="0"/>
  </r>
  <r>
    <x v="20"/>
    <x v="20"/>
    <x v="20"/>
    <x v="2"/>
    <s v="SS004"/>
    <x v="77"/>
    <n v="4027.08"/>
    <x v="8"/>
    <x v="2"/>
  </r>
  <r>
    <x v="21"/>
    <x v="21"/>
    <x v="21"/>
    <x v="0"/>
    <s v="SS004"/>
    <x v="77"/>
    <n v="38087.230000000003"/>
    <x v="0"/>
    <x v="0"/>
  </r>
  <r>
    <x v="21"/>
    <x v="21"/>
    <x v="21"/>
    <x v="1"/>
    <s v="SS004"/>
    <x v="77"/>
    <n v="2628.02"/>
    <x v="0"/>
    <x v="0"/>
  </r>
  <r>
    <x v="21"/>
    <x v="21"/>
    <x v="21"/>
    <x v="2"/>
    <s v="SS004"/>
    <x v="77"/>
    <n v="3256.48"/>
    <x v="8"/>
    <x v="2"/>
  </r>
  <r>
    <x v="22"/>
    <x v="22"/>
    <x v="22"/>
    <x v="0"/>
    <s v="SS004"/>
    <x v="77"/>
    <n v="15681.31"/>
    <x v="0"/>
    <x v="0"/>
  </r>
  <r>
    <x v="22"/>
    <x v="22"/>
    <x v="22"/>
    <x v="1"/>
    <s v="SS004"/>
    <x v="77"/>
    <n v="1082.03"/>
    <x v="0"/>
    <x v="0"/>
  </r>
  <r>
    <x v="22"/>
    <x v="22"/>
    <x v="22"/>
    <x v="2"/>
    <s v="SS004"/>
    <x v="77"/>
    <n v="1340.76"/>
    <x v="8"/>
    <x v="2"/>
  </r>
  <r>
    <x v="23"/>
    <x v="23"/>
    <x v="23"/>
    <x v="0"/>
    <s v="SS004"/>
    <x v="77"/>
    <n v="39845.279999999999"/>
    <x v="0"/>
    <x v="0"/>
  </r>
  <r>
    <x v="23"/>
    <x v="23"/>
    <x v="23"/>
    <x v="1"/>
    <s v="SS004"/>
    <x v="77"/>
    <n v="2749.36"/>
    <x v="0"/>
    <x v="0"/>
  </r>
  <r>
    <x v="23"/>
    <x v="23"/>
    <x v="23"/>
    <x v="2"/>
    <s v="SS004"/>
    <x v="77"/>
    <n v="3406.79"/>
    <x v="8"/>
    <x v="2"/>
  </r>
  <r>
    <x v="25"/>
    <x v="25"/>
    <x v="24"/>
    <x v="0"/>
    <s v="SS004"/>
    <x v="77"/>
    <n v="38855.14"/>
    <x v="0"/>
    <x v="0"/>
  </r>
  <r>
    <x v="25"/>
    <x v="25"/>
    <x v="24"/>
    <x v="1"/>
    <s v="SS004"/>
    <x v="77"/>
    <n v="2681.02"/>
    <x v="0"/>
    <x v="0"/>
  </r>
  <r>
    <x v="25"/>
    <x v="25"/>
    <x v="24"/>
    <x v="2"/>
    <s v="SS004"/>
    <x v="77"/>
    <n v="3322.13"/>
    <x v="8"/>
    <x v="2"/>
  </r>
  <r>
    <x v="26"/>
    <x v="26"/>
    <x v="25"/>
    <x v="0"/>
    <s v="SS004"/>
    <x v="77"/>
    <n v="47100"/>
    <x v="0"/>
    <x v="0"/>
  </r>
  <r>
    <x v="26"/>
    <x v="26"/>
    <x v="25"/>
    <x v="1"/>
    <s v="SS004"/>
    <x v="77"/>
    <n v="3249.96"/>
    <x v="0"/>
    <x v="0"/>
  </r>
  <r>
    <x v="26"/>
    <x v="26"/>
    <x v="25"/>
    <x v="2"/>
    <s v="SS004"/>
    <x v="77"/>
    <n v="4027.08"/>
    <x v="8"/>
    <x v="2"/>
  </r>
  <r>
    <x v="28"/>
    <x v="28"/>
    <x v="27"/>
    <x v="0"/>
    <s v="SS004"/>
    <x v="77"/>
    <n v="9622.58"/>
    <x v="0"/>
    <x v="0"/>
  </r>
  <r>
    <x v="28"/>
    <x v="28"/>
    <x v="27"/>
    <x v="1"/>
    <s v="SS004"/>
    <x v="77"/>
    <n v="663.96"/>
    <x v="0"/>
    <x v="0"/>
  </r>
  <r>
    <x v="28"/>
    <x v="28"/>
    <x v="27"/>
    <x v="2"/>
    <s v="SS004"/>
    <x v="77"/>
    <n v="822.74"/>
    <x v="8"/>
    <x v="2"/>
  </r>
  <r>
    <x v="29"/>
    <x v="29"/>
    <x v="6"/>
    <x v="0"/>
    <s v="SS004"/>
    <x v="77"/>
    <n v="38311.83"/>
    <x v="0"/>
    <x v="0"/>
  </r>
  <r>
    <x v="29"/>
    <x v="29"/>
    <x v="6"/>
    <x v="1"/>
    <s v="SS004"/>
    <x v="77"/>
    <n v="2643.49"/>
    <x v="0"/>
    <x v="0"/>
  </r>
  <r>
    <x v="29"/>
    <x v="29"/>
    <x v="6"/>
    <x v="2"/>
    <s v="SS004"/>
    <x v="77"/>
    <n v="3275.68"/>
    <x v="8"/>
    <x v="2"/>
  </r>
  <r>
    <x v="30"/>
    <x v="30"/>
    <x v="28"/>
    <x v="0"/>
    <s v="SS004"/>
    <x v="77"/>
    <n v="47100"/>
    <x v="0"/>
    <x v="0"/>
  </r>
  <r>
    <x v="30"/>
    <x v="30"/>
    <x v="28"/>
    <x v="1"/>
    <s v="SS004"/>
    <x v="77"/>
    <n v="3249.96"/>
    <x v="0"/>
    <x v="0"/>
  </r>
  <r>
    <x v="30"/>
    <x v="30"/>
    <x v="28"/>
    <x v="2"/>
    <s v="SS004"/>
    <x v="77"/>
    <n v="4027.08"/>
    <x v="8"/>
    <x v="2"/>
  </r>
  <r>
    <x v="31"/>
    <x v="31"/>
    <x v="29"/>
    <x v="0"/>
    <s v="SS004"/>
    <x v="77"/>
    <n v="47100"/>
    <x v="0"/>
    <x v="0"/>
  </r>
  <r>
    <x v="31"/>
    <x v="31"/>
    <x v="29"/>
    <x v="1"/>
    <s v="SS004"/>
    <x v="77"/>
    <n v="3249.96"/>
    <x v="0"/>
    <x v="0"/>
  </r>
  <r>
    <x v="31"/>
    <x v="31"/>
    <x v="29"/>
    <x v="2"/>
    <s v="SS004"/>
    <x v="77"/>
    <n v="4027.08"/>
    <x v="8"/>
    <x v="2"/>
  </r>
  <r>
    <x v="32"/>
    <x v="32"/>
    <x v="30"/>
    <x v="0"/>
    <s v="SS004"/>
    <x v="77"/>
    <n v="47100"/>
    <x v="0"/>
    <x v="0"/>
  </r>
  <r>
    <x v="32"/>
    <x v="32"/>
    <x v="30"/>
    <x v="1"/>
    <s v="SS004"/>
    <x v="77"/>
    <n v="3249.95"/>
    <x v="0"/>
    <x v="0"/>
  </r>
  <r>
    <x v="32"/>
    <x v="32"/>
    <x v="30"/>
    <x v="2"/>
    <s v="SS004"/>
    <x v="77"/>
    <n v="4027.07"/>
    <x v="8"/>
    <x v="2"/>
  </r>
  <r>
    <x v="33"/>
    <x v="33"/>
    <x v="31"/>
    <x v="0"/>
    <s v="SS004"/>
    <x v="77"/>
    <n v="43774.64"/>
    <x v="0"/>
    <x v="0"/>
  </r>
  <r>
    <x v="33"/>
    <x v="33"/>
    <x v="31"/>
    <x v="1"/>
    <s v="SS004"/>
    <x v="77"/>
    <n v="3020.43"/>
    <x v="0"/>
    <x v="0"/>
  </r>
  <r>
    <x v="33"/>
    <x v="33"/>
    <x v="31"/>
    <x v="2"/>
    <s v="SS004"/>
    <x v="77"/>
    <n v="3742.73"/>
    <x v="8"/>
    <x v="2"/>
  </r>
  <r>
    <x v="34"/>
    <x v="34"/>
    <x v="32"/>
    <x v="0"/>
    <s v="SS004"/>
    <x v="77"/>
    <n v="47100"/>
    <x v="0"/>
    <x v="0"/>
  </r>
  <r>
    <x v="34"/>
    <x v="34"/>
    <x v="32"/>
    <x v="1"/>
    <s v="SS004"/>
    <x v="77"/>
    <n v="3249.96"/>
    <x v="0"/>
    <x v="0"/>
  </r>
  <r>
    <x v="34"/>
    <x v="34"/>
    <x v="32"/>
    <x v="2"/>
    <s v="SS004"/>
    <x v="77"/>
    <n v="4027.08"/>
    <x v="8"/>
    <x v="2"/>
  </r>
  <r>
    <x v="35"/>
    <x v="35"/>
    <x v="33"/>
    <x v="0"/>
    <s v="SS004"/>
    <x v="77"/>
    <n v="38315.9"/>
    <x v="0"/>
    <x v="0"/>
  </r>
  <r>
    <x v="35"/>
    <x v="35"/>
    <x v="33"/>
    <x v="1"/>
    <s v="SS004"/>
    <x v="77"/>
    <n v="2643.79"/>
    <x v="0"/>
    <x v="0"/>
  </r>
  <r>
    <x v="35"/>
    <x v="35"/>
    <x v="33"/>
    <x v="2"/>
    <s v="SS004"/>
    <x v="77"/>
    <n v="3276.01"/>
    <x v="8"/>
    <x v="2"/>
  </r>
  <r>
    <x v="36"/>
    <x v="36"/>
    <x v="34"/>
    <x v="0"/>
    <s v="SS004"/>
    <x v="77"/>
    <n v="2162.1999999999998"/>
    <x v="0"/>
    <x v="0"/>
  </r>
  <r>
    <x v="36"/>
    <x v="36"/>
    <x v="34"/>
    <x v="1"/>
    <s v="SS004"/>
    <x v="77"/>
    <n v="149.19999999999999"/>
    <x v="0"/>
    <x v="0"/>
  </r>
  <r>
    <x v="36"/>
    <x v="36"/>
    <x v="34"/>
    <x v="2"/>
    <s v="SS004"/>
    <x v="77"/>
    <n v="184.88"/>
    <x v="8"/>
    <x v="2"/>
  </r>
  <r>
    <x v="37"/>
    <x v="37"/>
    <x v="35"/>
    <x v="0"/>
    <s v="SS004"/>
    <x v="77"/>
    <n v="38778.019999999997"/>
    <x v="0"/>
    <x v="0"/>
  </r>
  <r>
    <x v="37"/>
    <x v="37"/>
    <x v="35"/>
    <x v="1"/>
    <s v="SS004"/>
    <x v="77"/>
    <n v="2675.67"/>
    <x v="0"/>
    <x v="0"/>
  </r>
  <r>
    <x v="37"/>
    <x v="37"/>
    <x v="35"/>
    <x v="2"/>
    <s v="SS004"/>
    <x v="77"/>
    <n v="3315.5"/>
    <x v="8"/>
    <x v="2"/>
  </r>
  <r>
    <x v="38"/>
    <x v="38"/>
    <x v="36"/>
    <x v="0"/>
    <s v="SS004"/>
    <x v="77"/>
    <n v="47100"/>
    <x v="0"/>
    <x v="0"/>
  </r>
  <r>
    <x v="38"/>
    <x v="38"/>
    <x v="36"/>
    <x v="1"/>
    <s v="SS004"/>
    <x v="77"/>
    <n v="3249.96"/>
    <x v="0"/>
    <x v="0"/>
  </r>
  <r>
    <x v="38"/>
    <x v="38"/>
    <x v="36"/>
    <x v="2"/>
    <s v="SS004"/>
    <x v="77"/>
    <n v="4027.08"/>
    <x v="8"/>
    <x v="2"/>
  </r>
  <r>
    <x v="39"/>
    <x v="39"/>
    <x v="37"/>
    <x v="0"/>
    <s v="SS004"/>
    <x v="77"/>
    <n v="18490.8"/>
    <x v="0"/>
    <x v="0"/>
  </r>
  <r>
    <x v="39"/>
    <x v="39"/>
    <x v="37"/>
    <x v="1"/>
    <s v="SS004"/>
    <x v="77"/>
    <n v="1275.8900000000001"/>
    <x v="0"/>
    <x v="0"/>
  </r>
  <r>
    <x v="39"/>
    <x v="39"/>
    <x v="37"/>
    <x v="2"/>
    <s v="SS004"/>
    <x v="77"/>
    <n v="1580.98"/>
    <x v="8"/>
    <x v="2"/>
  </r>
  <r>
    <x v="40"/>
    <x v="40"/>
    <x v="38"/>
    <x v="0"/>
    <s v="SS004"/>
    <x v="77"/>
    <n v="47100"/>
    <x v="0"/>
    <x v="0"/>
  </r>
  <r>
    <x v="40"/>
    <x v="40"/>
    <x v="38"/>
    <x v="1"/>
    <s v="SS004"/>
    <x v="77"/>
    <n v="3249.95"/>
    <x v="0"/>
    <x v="0"/>
  </r>
  <r>
    <x v="40"/>
    <x v="40"/>
    <x v="38"/>
    <x v="2"/>
    <s v="SS004"/>
    <x v="77"/>
    <n v="4027.07"/>
    <x v="8"/>
    <x v="2"/>
  </r>
  <r>
    <x v="41"/>
    <x v="41"/>
    <x v="39"/>
    <x v="0"/>
    <s v="SS004"/>
    <x v="77"/>
    <n v="47100"/>
    <x v="0"/>
    <x v="0"/>
  </r>
  <r>
    <x v="41"/>
    <x v="41"/>
    <x v="39"/>
    <x v="1"/>
    <s v="SS004"/>
    <x v="77"/>
    <n v="3249.96"/>
    <x v="0"/>
    <x v="0"/>
  </r>
  <r>
    <x v="41"/>
    <x v="41"/>
    <x v="39"/>
    <x v="2"/>
    <s v="SS004"/>
    <x v="77"/>
    <n v="4027.08"/>
    <x v="8"/>
    <x v="2"/>
  </r>
  <r>
    <x v="42"/>
    <x v="42"/>
    <x v="40"/>
    <x v="0"/>
    <s v="SS004"/>
    <x v="77"/>
    <n v="47100"/>
    <x v="0"/>
    <x v="0"/>
  </r>
  <r>
    <x v="42"/>
    <x v="42"/>
    <x v="40"/>
    <x v="1"/>
    <s v="SS004"/>
    <x v="77"/>
    <n v="3249.96"/>
    <x v="0"/>
    <x v="0"/>
  </r>
  <r>
    <x v="42"/>
    <x v="42"/>
    <x v="40"/>
    <x v="2"/>
    <s v="SS004"/>
    <x v="77"/>
    <n v="4027.08"/>
    <x v="8"/>
    <x v="2"/>
  </r>
  <r>
    <x v="43"/>
    <x v="43"/>
    <x v="41"/>
    <x v="0"/>
    <s v="SS004"/>
    <x v="77"/>
    <n v="47100"/>
    <x v="0"/>
    <x v="0"/>
  </r>
  <r>
    <x v="43"/>
    <x v="43"/>
    <x v="41"/>
    <x v="1"/>
    <s v="SS004"/>
    <x v="77"/>
    <n v="3249.96"/>
    <x v="0"/>
    <x v="0"/>
  </r>
  <r>
    <x v="43"/>
    <x v="43"/>
    <x v="41"/>
    <x v="2"/>
    <s v="SS004"/>
    <x v="77"/>
    <n v="4027.07"/>
    <x v="8"/>
    <x v="2"/>
  </r>
  <r>
    <x v="44"/>
    <x v="44"/>
    <x v="42"/>
    <x v="0"/>
    <s v="SS004"/>
    <x v="77"/>
    <n v="45684.82"/>
    <x v="0"/>
    <x v="0"/>
  </r>
  <r>
    <x v="44"/>
    <x v="44"/>
    <x v="42"/>
    <x v="1"/>
    <s v="SS004"/>
    <x v="77"/>
    <n v="3152.28"/>
    <x v="0"/>
    <x v="0"/>
  </r>
  <r>
    <x v="44"/>
    <x v="44"/>
    <x v="42"/>
    <x v="2"/>
    <s v="SS004"/>
    <x v="77"/>
    <n v="3906.07"/>
    <x v="8"/>
    <x v="2"/>
  </r>
  <r>
    <x v="45"/>
    <x v="45"/>
    <x v="43"/>
    <x v="0"/>
    <s v="SS004"/>
    <x v="77"/>
    <n v="7850"/>
    <x v="0"/>
    <x v="0"/>
  </r>
  <r>
    <x v="45"/>
    <x v="45"/>
    <x v="43"/>
    <x v="1"/>
    <s v="SS004"/>
    <x v="77"/>
    <n v="541.66"/>
    <x v="0"/>
    <x v="0"/>
  </r>
  <r>
    <x v="45"/>
    <x v="45"/>
    <x v="43"/>
    <x v="2"/>
    <s v="SS004"/>
    <x v="77"/>
    <n v="671.18"/>
    <x v="8"/>
    <x v="2"/>
  </r>
  <r>
    <x v="47"/>
    <x v="47"/>
    <x v="45"/>
    <x v="0"/>
    <s v="SS004"/>
    <x v="77"/>
    <n v="24689.52"/>
    <x v="0"/>
    <x v="0"/>
  </r>
  <r>
    <x v="47"/>
    <x v="47"/>
    <x v="45"/>
    <x v="1"/>
    <s v="SS004"/>
    <x v="77"/>
    <n v="1703.58"/>
    <x v="0"/>
    <x v="0"/>
  </r>
  <r>
    <x v="47"/>
    <x v="47"/>
    <x v="45"/>
    <x v="2"/>
    <s v="SS004"/>
    <x v="77"/>
    <n v="2110.9299999999998"/>
    <x v="8"/>
    <x v="2"/>
  </r>
  <r>
    <x v="49"/>
    <x v="49"/>
    <x v="47"/>
    <x v="0"/>
    <s v="SS004"/>
    <x v="77"/>
    <n v="3399.94"/>
    <x v="0"/>
    <x v="0"/>
  </r>
  <r>
    <x v="49"/>
    <x v="49"/>
    <x v="47"/>
    <x v="1"/>
    <s v="SS004"/>
    <x v="77"/>
    <n v="234.6"/>
    <x v="0"/>
    <x v="0"/>
  </r>
  <r>
    <x v="49"/>
    <x v="49"/>
    <x v="47"/>
    <x v="2"/>
    <s v="SS004"/>
    <x v="77"/>
    <n v="290.69"/>
    <x v="8"/>
    <x v="2"/>
  </r>
  <r>
    <x v="50"/>
    <x v="49"/>
    <x v="48"/>
    <x v="0"/>
    <s v="SS004"/>
    <x v="77"/>
    <n v="36818.67"/>
    <x v="0"/>
    <x v="0"/>
  </r>
  <r>
    <x v="50"/>
    <x v="49"/>
    <x v="48"/>
    <x v="1"/>
    <s v="SS004"/>
    <x v="77"/>
    <n v="2540.5300000000002"/>
    <x v="0"/>
    <x v="0"/>
  </r>
  <r>
    <x v="50"/>
    <x v="49"/>
    <x v="48"/>
    <x v="2"/>
    <s v="SS004"/>
    <x v="77"/>
    <n v="3148.01"/>
    <x v="8"/>
    <x v="2"/>
  </r>
  <r>
    <x v="51"/>
    <x v="50"/>
    <x v="49"/>
    <x v="0"/>
    <s v="SS004"/>
    <x v="77"/>
    <n v="1772.58"/>
    <x v="0"/>
    <x v="0"/>
  </r>
  <r>
    <x v="51"/>
    <x v="50"/>
    <x v="49"/>
    <x v="1"/>
    <s v="SS004"/>
    <x v="77"/>
    <n v="122.31"/>
    <x v="0"/>
    <x v="0"/>
  </r>
  <r>
    <x v="51"/>
    <x v="50"/>
    <x v="49"/>
    <x v="2"/>
    <s v="SS004"/>
    <x v="77"/>
    <n v="151.56"/>
    <x v="8"/>
    <x v="2"/>
  </r>
  <r>
    <x v="52"/>
    <x v="51"/>
    <x v="50"/>
    <x v="0"/>
    <s v="SS004"/>
    <x v="77"/>
    <n v="26694.23"/>
    <x v="0"/>
    <x v="0"/>
  </r>
  <r>
    <x v="52"/>
    <x v="51"/>
    <x v="50"/>
    <x v="1"/>
    <s v="SS004"/>
    <x v="77"/>
    <n v="1841.93"/>
    <x v="0"/>
    <x v="0"/>
  </r>
  <r>
    <x v="52"/>
    <x v="51"/>
    <x v="50"/>
    <x v="2"/>
    <s v="SS004"/>
    <x v="77"/>
    <n v="2282.36"/>
    <x v="8"/>
    <x v="2"/>
  </r>
  <r>
    <x v="53"/>
    <x v="52"/>
    <x v="48"/>
    <x v="0"/>
    <s v="SS004"/>
    <x v="77"/>
    <n v="6819.94"/>
    <x v="0"/>
    <x v="0"/>
  </r>
  <r>
    <x v="53"/>
    <x v="52"/>
    <x v="48"/>
    <x v="1"/>
    <s v="SS004"/>
    <x v="77"/>
    <n v="470.57"/>
    <x v="0"/>
    <x v="0"/>
  </r>
  <r>
    <x v="53"/>
    <x v="52"/>
    <x v="48"/>
    <x v="2"/>
    <s v="SS004"/>
    <x v="77"/>
    <n v="583.11"/>
    <x v="8"/>
    <x v="2"/>
  </r>
  <r>
    <x v="0"/>
    <x v="0"/>
    <x v="0"/>
    <x v="0"/>
    <s v="SS005"/>
    <x v="78"/>
    <n v="3603.68"/>
    <x v="0"/>
    <x v="0"/>
  </r>
  <r>
    <x v="0"/>
    <x v="0"/>
    <x v="0"/>
    <x v="2"/>
    <s v="SS005"/>
    <x v="78"/>
    <n v="124.32"/>
    <x v="8"/>
    <x v="2"/>
  </r>
  <r>
    <x v="17"/>
    <x v="17"/>
    <x v="17"/>
    <x v="0"/>
    <s v="SS005"/>
    <x v="78"/>
    <n v="3603.68"/>
    <x v="0"/>
    <x v="0"/>
  </r>
  <r>
    <x v="17"/>
    <x v="17"/>
    <x v="17"/>
    <x v="2"/>
    <s v="SS005"/>
    <x v="78"/>
    <n v="124.32"/>
    <x v="8"/>
    <x v="2"/>
  </r>
  <r>
    <x v="24"/>
    <x v="24"/>
    <x v="7"/>
    <x v="0"/>
    <s v="SS005"/>
    <x v="78"/>
    <n v="7934.12"/>
    <x v="0"/>
    <x v="0"/>
  </r>
  <r>
    <x v="24"/>
    <x v="24"/>
    <x v="7"/>
    <x v="2"/>
    <s v="SS005"/>
    <x v="78"/>
    <n v="273.72000000000003"/>
    <x v="8"/>
    <x v="2"/>
  </r>
  <r>
    <x v="36"/>
    <x v="36"/>
    <x v="34"/>
    <x v="0"/>
    <s v="SS005"/>
    <x v="78"/>
    <n v="3603.68"/>
    <x v="0"/>
    <x v="0"/>
  </r>
  <r>
    <x v="36"/>
    <x v="36"/>
    <x v="34"/>
    <x v="2"/>
    <s v="SS005"/>
    <x v="78"/>
    <n v="124.32"/>
    <x v="8"/>
    <x v="2"/>
  </r>
  <r>
    <x v="46"/>
    <x v="46"/>
    <x v="44"/>
    <x v="0"/>
    <s v="SS005"/>
    <x v="78"/>
    <n v="7716.54"/>
    <x v="0"/>
    <x v="0"/>
  </r>
  <r>
    <x v="46"/>
    <x v="46"/>
    <x v="44"/>
    <x v="2"/>
    <s v="SS005"/>
    <x v="78"/>
    <n v="266.23"/>
    <x v="8"/>
    <x v="2"/>
  </r>
  <r>
    <x v="48"/>
    <x v="48"/>
    <x v="46"/>
    <x v="0"/>
    <s v="SS005"/>
    <x v="78"/>
    <n v="7840.63"/>
    <x v="0"/>
    <x v="0"/>
  </r>
  <r>
    <x v="48"/>
    <x v="48"/>
    <x v="46"/>
    <x v="2"/>
    <s v="SS005"/>
    <x v="78"/>
    <n v="270.5"/>
    <x v="8"/>
    <x v="2"/>
  </r>
  <r>
    <x v="0"/>
    <x v="0"/>
    <x v="0"/>
    <x v="0"/>
    <s v="SS005"/>
    <x v="79"/>
    <n v="1225.24"/>
    <x v="0"/>
    <x v="0"/>
  </r>
  <r>
    <x v="0"/>
    <x v="0"/>
    <x v="0"/>
    <x v="2"/>
    <s v="SS005"/>
    <x v="79"/>
    <n v="42.28"/>
    <x v="8"/>
    <x v="2"/>
  </r>
  <r>
    <x v="1"/>
    <x v="1"/>
    <x v="1"/>
    <x v="0"/>
    <s v="SS005"/>
    <x v="79"/>
    <n v="42607.28"/>
    <x v="0"/>
    <x v="0"/>
  </r>
  <r>
    <x v="1"/>
    <x v="1"/>
    <x v="1"/>
    <x v="2"/>
    <s v="SS005"/>
    <x v="79"/>
    <n v="1469.96"/>
    <x v="8"/>
    <x v="2"/>
  </r>
  <r>
    <x v="2"/>
    <x v="2"/>
    <x v="2"/>
    <x v="0"/>
    <s v="SS005"/>
    <x v="79"/>
    <n v="61368.02"/>
    <x v="0"/>
    <x v="0"/>
  </r>
  <r>
    <x v="2"/>
    <x v="2"/>
    <x v="2"/>
    <x v="2"/>
    <s v="SS005"/>
    <x v="79"/>
    <n v="2117.21"/>
    <x v="8"/>
    <x v="2"/>
  </r>
  <r>
    <x v="3"/>
    <x v="3"/>
    <x v="3"/>
    <x v="0"/>
    <s v="SS005"/>
    <x v="79"/>
    <n v="15076.95"/>
    <x v="0"/>
    <x v="0"/>
  </r>
  <r>
    <x v="3"/>
    <x v="3"/>
    <x v="3"/>
    <x v="2"/>
    <s v="SS005"/>
    <x v="79"/>
    <n v="520.16"/>
    <x v="8"/>
    <x v="2"/>
  </r>
  <r>
    <x v="4"/>
    <x v="4"/>
    <x v="4"/>
    <x v="0"/>
    <s v="SS005"/>
    <x v="79"/>
    <n v="19283.740000000002"/>
    <x v="0"/>
    <x v="0"/>
  </r>
  <r>
    <x v="4"/>
    <x v="4"/>
    <x v="4"/>
    <x v="2"/>
    <s v="SS005"/>
    <x v="79"/>
    <n v="665.28"/>
    <x v="8"/>
    <x v="2"/>
  </r>
  <r>
    <x v="5"/>
    <x v="5"/>
    <x v="5"/>
    <x v="0"/>
    <s v="SS005"/>
    <x v="79"/>
    <n v="45370.13"/>
    <x v="0"/>
    <x v="0"/>
  </r>
  <r>
    <x v="5"/>
    <x v="5"/>
    <x v="5"/>
    <x v="2"/>
    <s v="SS005"/>
    <x v="79"/>
    <n v="1565.27"/>
    <x v="8"/>
    <x v="2"/>
  </r>
  <r>
    <x v="6"/>
    <x v="6"/>
    <x v="6"/>
    <x v="0"/>
    <s v="SS005"/>
    <x v="79"/>
    <n v="60709.03"/>
    <x v="0"/>
    <x v="0"/>
  </r>
  <r>
    <x v="6"/>
    <x v="6"/>
    <x v="6"/>
    <x v="2"/>
    <s v="SS005"/>
    <x v="79"/>
    <n v="2094.44"/>
    <x v="8"/>
    <x v="2"/>
  </r>
  <r>
    <x v="7"/>
    <x v="7"/>
    <x v="7"/>
    <x v="0"/>
    <s v="SS005"/>
    <x v="79"/>
    <n v="53722.94"/>
    <x v="0"/>
    <x v="0"/>
  </r>
  <r>
    <x v="7"/>
    <x v="7"/>
    <x v="7"/>
    <x v="2"/>
    <s v="SS005"/>
    <x v="79"/>
    <n v="1853.44"/>
    <x v="8"/>
    <x v="2"/>
  </r>
  <r>
    <x v="8"/>
    <x v="8"/>
    <x v="8"/>
    <x v="0"/>
    <s v="SS005"/>
    <x v="79"/>
    <n v="135562.20000000001"/>
    <x v="0"/>
    <x v="0"/>
  </r>
  <r>
    <x v="8"/>
    <x v="8"/>
    <x v="8"/>
    <x v="2"/>
    <s v="SS005"/>
    <x v="79"/>
    <n v="4676.8999999999996"/>
    <x v="8"/>
    <x v="2"/>
  </r>
  <r>
    <x v="9"/>
    <x v="9"/>
    <x v="9"/>
    <x v="0"/>
    <s v="SS005"/>
    <x v="79"/>
    <n v="62989.04"/>
    <x v="0"/>
    <x v="0"/>
  </r>
  <r>
    <x v="9"/>
    <x v="9"/>
    <x v="9"/>
    <x v="2"/>
    <s v="SS005"/>
    <x v="79"/>
    <n v="2173.13"/>
    <x v="8"/>
    <x v="2"/>
  </r>
  <r>
    <x v="10"/>
    <x v="10"/>
    <x v="10"/>
    <x v="0"/>
    <s v="SS005"/>
    <x v="79"/>
    <n v="136214.53"/>
    <x v="0"/>
    <x v="0"/>
  </r>
  <r>
    <x v="10"/>
    <x v="10"/>
    <x v="10"/>
    <x v="2"/>
    <s v="SS005"/>
    <x v="79"/>
    <n v="4699.3999999999996"/>
    <x v="8"/>
    <x v="2"/>
  </r>
  <r>
    <x v="11"/>
    <x v="11"/>
    <x v="11"/>
    <x v="0"/>
    <s v="SS005"/>
    <x v="79"/>
    <n v="71102.789999999994"/>
    <x v="0"/>
    <x v="0"/>
  </r>
  <r>
    <x v="11"/>
    <x v="11"/>
    <x v="11"/>
    <x v="2"/>
    <s v="SS005"/>
    <x v="79"/>
    <n v="2453"/>
    <x v="8"/>
    <x v="2"/>
  </r>
  <r>
    <x v="12"/>
    <x v="12"/>
    <x v="12"/>
    <x v="0"/>
    <s v="SS005"/>
    <x v="79"/>
    <n v="56665.37"/>
    <x v="0"/>
    <x v="0"/>
  </r>
  <r>
    <x v="12"/>
    <x v="12"/>
    <x v="12"/>
    <x v="2"/>
    <s v="SS005"/>
    <x v="79"/>
    <n v="1954.97"/>
    <x v="8"/>
    <x v="2"/>
  </r>
  <r>
    <x v="13"/>
    <x v="13"/>
    <x v="13"/>
    <x v="0"/>
    <s v="SS005"/>
    <x v="79"/>
    <n v="27357.07"/>
    <x v="0"/>
    <x v="0"/>
  </r>
  <r>
    <x v="13"/>
    <x v="13"/>
    <x v="13"/>
    <x v="2"/>
    <s v="SS005"/>
    <x v="79"/>
    <n v="943.83"/>
    <x v="8"/>
    <x v="2"/>
  </r>
  <r>
    <x v="14"/>
    <x v="14"/>
    <x v="14"/>
    <x v="0"/>
    <s v="SS005"/>
    <x v="79"/>
    <n v="40454.120000000003"/>
    <x v="0"/>
    <x v="0"/>
  </r>
  <r>
    <x v="14"/>
    <x v="14"/>
    <x v="14"/>
    <x v="2"/>
    <s v="SS005"/>
    <x v="79"/>
    <n v="1395.66"/>
    <x v="8"/>
    <x v="2"/>
  </r>
  <r>
    <x v="15"/>
    <x v="15"/>
    <x v="15"/>
    <x v="0"/>
    <s v="SS005"/>
    <x v="79"/>
    <n v="61446.32"/>
    <x v="0"/>
    <x v="0"/>
  </r>
  <r>
    <x v="15"/>
    <x v="15"/>
    <x v="15"/>
    <x v="2"/>
    <s v="SS005"/>
    <x v="79"/>
    <n v="2119.88"/>
    <x v="8"/>
    <x v="2"/>
  </r>
  <r>
    <x v="16"/>
    <x v="16"/>
    <x v="16"/>
    <x v="0"/>
    <s v="SS005"/>
    <x v="79"/>
    <n v="31999.98"/>
    <x v="0"/>
    <x v="0"/>
  </r>
  <r>
    <x v="16"/>
    <x v="16"/>
    <x v="16"/>
    <x v="2"/>
    <s v="SS005"/>
    <x v="79"/>
    <n v="1104"/>
    <x v="8"/>
    <x v="2"/>
  </r>
  <r>
    <x v="17"/>
    <x v="17"/>
    <x v="17"/>
    <x v="0"/>
    <s v="SS005"/>
    <x v="79"/>
    <n v="2162.1999999999998"/>
    <x v="0"/>
    <x v="0"/>
  </r>
  <r>
    <x v="17"/>
    <x v="17"/>
    <x v="17"/>
    <x v="2"/>
    <s v="SS005"/>
    <x v="79"/>
    <n v="74.599999999999994"/>
    <x v="8"/>
    <x v="2"/>
  </r>
  <r>
    <x v="18"/>
    <x v="18"/>
    <x v="18"/>
    <x v="0"/>
    <s v="SS005"/>
    <x v="79"/>
    <n v="96673.07"/>
    <x v="0"/>
    <x v="0"/>
  </r>
  <r>
    <x v="18"/>
    <x v="18"/>
    <x v="18"/>
    <x v="2"/>
    <s v="SS005"/>
    <x v="79"/>
    <n v="3335.23"/>
    <x v="8"/>
    <x v="2"/>
  </r>
  <r>
    <x v="19"/>
    <x v="19"/>
    <x v="19"/>
    <x v="0"/>
    <s v="SS005"/>
    <x v="79"/>
    <n v="63921.65"/>
    <x v="0"/>
    <x v="0"/>
  </r>
  <r>
    <x v="19"/>
    <x v="19"/>
    <x v="19"/>
    <x v="2"/>
    <s v="SS005"/>
    <x v="79"/>
    <n v="2205.29"/>
    <x v="8"/>
    <x v="2"/>
  </r>
  <r>
    <x v="20"/>
    <x v="20"/>
    <x v="20"/>
    <x v="0"/>
    <s v="SS005"/>
    <x v="79"/>
    <n v="68495.59"/>
    <x v="0"/>
    <x v="0"/>
  </r>
  <r>
    <x v="20"/>
    <x v="20"/>
    <x v="20"/>
    <x v="2"/>
    <s v="SS005"/>
    <x v="79"/>
    <n v="2363.09"/>
    <x v="8"/>
    <x v="2"/>
  </r>
  <r>
    <x v="21"/>
    <x v="21"/>
    <x v="21"/>
    <x v="0"/>
    <s v="SS005"/>
    <x v="79"/>
    <n v="38087.230000000003"/>
    <x v="0"/>
    <x v="0"/>
  </r>
  <r>
    <x v="21"/>
    <x v="21"/>
    <x v="21"/>
    <x v="2"/>
    <s v="SS005"/>
    <x v="79"/>
    <n v="1314"/>
    <x v="8"/>
    <x v="2"/>
  </r>
  <r>
    <x v="22"/>
    <x v="22"/>
    <x v="22"/>
    <x v="0"/>
    <s v="SS005"/>
    <x v="79"/>
    <n v="25472.84"/>
    <x v="0"/>
    <x v="0"/>
  </r>
  <r>
    <x v="22"/>
    <x v="22"/>
    <x v="22"/>
    <x v="2"/>
    <s v="SS005"/>
    <x v="79"/>
    <n v="878.81"/>
    <x v="8"/>
    <x v="2"/>
  </r>
  <r>
    <x v="23"/>
    <x v="23"/>
    <x v="23"/>
    <x v="0"/>
    <s v="SS005"/>
    <x v="79"/>
    <n v="39845.279999999999"/>
    <x v="0"/>
    <x v="0"/>
  </r>
  <r>
    <x v="23"/>
    <x v="23"/>
    <x v="23"/>
    <x v="2"/>
    <s v="SS005"/>
    <x v="79"/>
    <n v="1374.64"/>
    <x v="8"/>
    <x v="2"/>
  </r>
  <r>
    <x v="25"/>
    <x v="25"/>
    <x v="24"/>
    <x v="0"/>
    <s v="SS005"/>
    <x v="79"/>
    <n v="38855.14"/>
    <x v="0"/>
    <x v="0"/>
  </r>
  <r>
    <x v="25"/>
    <x v="25"/>
    <x v="24"/>
    <x v="2"/>
    <s v="SS005"/>
    <x v="79"/>
    <n v="1340.47"/>
    <x v="8"/>
    <x v="2"/>
  </r>
  <r>
    <x v="26"/>
    <x v="26"/>
    <x v="25"/>
    <x v="0"/>
    <s v="SS005"/>
    <x v="79"/>
    <n v="59572.69"/>
    <x v="0"/>
    <x v="0"/>
  </r>
  <r>
    <x v="26"/>
    <x v="26"/>
    <x v="25"/>
    <x v="2"/>
    <s v="SS005"/>
    <x v="79"/>
    <n v="2055.2399999999998"/>
    <x v="8"/>
    <x v="2"/>
  </r>
  <r>
    <x v="28"/>
    <x v="28"/>
    <x v="27"/>
    <x v="0"/>
    <s v="SS005"/>
    <x v="79"/>
    <n v="10674.95"/>
    <x v="0"/>
    <x v="0"/>
  </r>
  <r>
    <x v="28"/>
    <x v="28"/>
    <x v="27"/>
    <x v="2"/>
    <s v="SS005"/>
    <x v="79"/>
    <n v="368.29"/>
    <x v="8"/>
    <x v="2"/>
  </r>
  <r>
    <x v="29"/>
    <x v="29"/>
    <x v="6"/>
    <x v="0"/>
    <s v="SS005"/>
    <x v="79"/>
    <n v="38311.83"/>
    <x v="0"/>
    <x v="0"/>
  </r>
  <r>
    <x v="29"/>
    <x v="29"/>
    <x v="6"/>
    <x v="2"/>
    <s v="SS005"/>
    <x v="79"/>
    <n v="1321.75"/>
    <x v="8"/>
    <x v="2"/>
  </r>
  <r>
    <x v="30"/>
    <x v="30"/>
    <x v="28"/>
    <x v="0"/>
    <s v="SS005"/>
    <x v="79"/>
    <n v="61604.34"/>
    <x v="0"/>
    <x v="0"/>
  </r>
  <r>
    <x v="30"/>
    <x v="30"/>
    <x v="28"/>
    <x v="2"/>
    <s v="SS005"/>
    <x v="79"/>
    <n v="2125.33"/>
    <x v="8"/>
    <x v="2"/>
  </r>
  <r>
    <x v="31"/>
    <x v="31"/>
    <x v="29"/>
    <x v="0"/>
    <s v="SS005"/>
    <x v="79"/>
    <n v="59393.65"/>
    <x v="0"/>
    <x v="0"/>
  </r>
  <r>
    <x v="31"/>
    <x v="31"/>
    <x v="29"/>
    <x v="2"/>
    <s v="SS005"/>
    <x v="79"/>
    <n v="2049.09"/>
    <x v="8"/>
    <x v="2"/>
  </r>
  <r>
    <x v="32"/>
    <x v="32"/>
    <x v="30"/>
    <x v="0"/>
    <s v="SS005"/>
    <x v="79"/>
    <n v="48974.5"/>
    <x v="0"/>
    <x v="0"/>
  </r>
  <r>
    <x v="32"/>
    <x v="32"/>
    <x v="30"/>
    <x v="2"/>
    <s v="SS005"/>
    <x v="79"/>
    <n v="1689.59"/>
    <x v="8"/>
    <x v="2"/>
  </r>
  <r>
    <x v="33"/>
    <x v="33"/>
    <x v="31"/>
    <x v="0"/>
    <s v="SS005"/>
    <x v="79"/>
    <n v="43774.64"/>
    <x v="0"/>
    <x v="0"/>
  </r>
  <r>
    <x v="33"/>
    <x v="33"/>
    <x v="31"/>
    <x v="2"/>
    <s v="SS005"/>
    <x v="79"/>
    <n v="1510.21"/>
    <x v="8"/>
    <x v="2"/>
  </r>
  <r>
    <x v="34"/>
    <x v="34"/>
    <x v="32"/>
    <x v="0"/>
    <s v="SS005"/>
    <x v="79"/>
    <n v="70385.62"/>
    <x v="0"/>
    <x v="0"/>
  </r>
  <r>
    <x v="34"/>
    <x v="34"/>
    <x v="32"/>
    <x v="2"/>
    <s v="SS005"/>
    <x v="79"/>
    <n v="2428.2600000000002"/>
    <x v="8"/>
    <x v="2"/>
  </r>
  <r>
    <x v="35"/>
    <x v="35"/>
    <x v="33"/>
    <x v="0"/>
    <s v="SS005"/>
    <x v="79"/>
    <n v="38315.9"/>
    <x v="0"/>
    <x v="0"/>
  </r>
  <r>
    <x v="35"/>
    <x v="35"/>
    <x v="33"/>
    <x v="2"/>
    <s v="SS005"/>
    <x v="79"/>
    <n v="1321.89"/>
    <x v="8"/>
    <x v="2"/>
  </r>
  <r>
    <x v="36"/>
    <x v="36"/>
    <x v="34"/>
    <x v="0"/>
    <s v="SS005"/>
    <x v="79"/>
    <n v="2162.1999999999998"/>
    <x v="0"/>
    <x v="0"/>
  </r>
  <r>
    <x v="36"/>
    <x v="36"/>
    <x v="34"/>
    <x v="2"/>
    <s v="SS005"/>
    <x v="79"/>
    <n v="74.599999999999994"/>
    <x v="8"/>
    <x v="2"/>
  </r>
  <r>
    <x v="37"/>
    <x v="37"/>
    <x v="35"/>
    <x v="0"/>
    <s v="SS005"/>
    <x v="79"/>
    <n v="38778.019999999997"/>
    <x v="0"/>
    <x v="0"/>
  </r>
  <r>
    <x v="37"/>
    <x v="37"/>
    <x v="35"/>
    <x v="2"/>
    <s v="SS005"/>
    <x v="79"/>
    <n v="1337.83"/>
    <x v="8"/>
    <x v="2"/>
  </r>
  <r>
    <x v="38"/>
    <x v="38"/>
    <x v="36"/>
    <x v="0"/>
    <s v="SS005"/>
    <x v="79"/>
    <n v="138740.99"/>
    <x v="0"/>
    <x v="0"/>
  </r>
  <r>
    <x v="38"/>
    <x v="38"/>
    <x v="36"/>
    <x v="2"/>
    <s v="SS005"/>
    <x v="79"/>
    <n v="4786.59"/>
    <x v="8"/>
    <x v="2"/>
  </r>
  <r>
    <x v="39"/>
    <x v="39"/>
    <x v="37"/>
    <x v="0"/>
    <s v="SS005"/>
    <x v="79"/>
    <n v="18490.8"/>
    <x v="0"/>
    <x v="0"/>
  </r>
  <r>
    <x v="39"/>
    <x v="39"/>
    <x v="37"/>
    <x v="2"/>
    <s v="SS005"/>
    <x v="79"/>
    <n v="637.95000000000005"/>
    <x v="8"/>
    <x v="2"/>
  </r>
  <r>
    <x v="40"/>
    <x v="40"/>
    <x v="38"/>
    <x v="0"/>
    <s v="SS005"/>
    <x v="79"/>
    <n v="58661.4"/>
    <x v="0"/>
    <x v="0"/>
  </r>
  <r>
    <x v="40"/>
    <x v="40"/>
    <x v="38"/>
    <x v="2"/>
    <s v="SS005"/>
    <x v="79"/>
    <n v="2023.84"/>
    <x v="8"/>
    <x v="2"/>
  </r>
  <r>
    <x v="41"/>
    <x v="41"/>
    <x v="39"/>
    <x v="0"/>
    <s v="SS005"/>
    <x v="79"/>
    <n v="58329.01"/>
    <x v="0"/>
    <x v="0"/>
  </r>
  <r>
    <x v="41"/>
    <x v="41"/>
    <x v="39"/>
    <x v="2"/>
    <s v="SS005"/>
    <x v="79"/>
    <n v="2012.37"/>
    <x v="8"/>
    <x v="2"/>
  </r>
  <r>
    <x v="42"/>
    <x v="42"/>
    <x v="40"/>
    <x v="0"/>
    <s v="SS005"/>
    <x v="79"/>
    <n v="79172.740000000005"/>
    <x v="0"/>
    <x v="0"/>
  </r>
  <r>
    <x v="42"/>
    <x v="42"/>
    <x v="40"/>
    <x v="2"/>
    <s v="SS005"/>
    <x v="79"/>
    <n v="2731.47"/>
    <x v="8"/>
    <x v="2"/>
  </r>
  <r>
    <x v="43"/>
    <x v="43"/>
    <x v="41"/>
    <x v="0"/>
    <s v="SS005"/>
    <x v="79"/>
    <n v="56944.02"/>
    <x v="0"/>
    <x v="0"/>
  </r>
  <r>
    <x v="43"/>
    <x v="43"/>
    <x v="41"/>
    <x v="2"/>
    <s v="SS005"/>
    <x v="79"/>
    <n v="1964.58"/>
    <x v="8"/>
    <x v="2"/>
  </r>
  <r>
    <x v="44"/>
    <x v="44"/>
    <x v="42"/>
    <x v="0"/>
    <s v="SS005"/>
    <x v="79"/>
    <n v="45684.82"/>
    <x v="0"/>
    <x v="0"/>
  </r>
  <r>
    <x v="44"/>
    <x v="44"/>
    <x v="42"/>
    <x v="2"/>
    <s v="SS005"/>
    <x v="79"/>
    <n v="1576.15"/>
    <x v="8"/>
    <x v="2"/>
  </r>
  <r>
    <x v="45"/>
    <x v="45"/>
    <x v="43"/>
    <x v="0"/>
    <s v="SS005"/>
    <x v="79"/>
    <n v="31392.38"/>
    <x v="0"/>
    <x v="0"/>
  </r>
  <r>
    <x v="45"/>
    <x v="45"/>
    <x v="43"/>
    <x v="2"/>
    <s v="SS005"/>
    <x v="79"/>
    <n v="1083.04"/>
    <x v="8"/>
    <x v="2"/>
  </r>
  <r>
    <x v="47"/>
    <x v="47"/>
    <x v="45"/>
    <x v="0"/>
    <s v="SS005"/>
    <x v="79"/>
    <n v="26326.86"/>
    <x v="0"/>
    <x v="0"/>
  </r>
  <r>
    <x v="47"/>
    <x v="47"/>
    <x v="45"/>
    <x v="2"/>
    <s v="SS005"/>
    <x v="79"/>
    <n v="908.25"/>
    <x v="8"/>
    <x v="2"/>
  </r>
  <r>
    <x v="49"/>
    <x v="49"/>
    <x v="47"/>
    <x v="0"/>
    <s v="SS005"/>
    <x v="79"/>
    <n v="3399.94"/>
    <x v="0"/>
    <x v="0"/>
  </r>
  <r>
    <x v="49"/>
    <x v="49"/>
    <x v="47"/>
    <x v="2"/>
    <s v="SS005"/>
    <x v="79"/>
    <n v="117.3"/>
    <x v="8"/>
    <x v="2"/>
  </r>
  <r>
    <x v="50"/>
    <x v="49"/>
    <x v="48"/>
    <x v="0"/>
    <s v="SS005"/>
    <x v="79"/>
    <n v="36818.67"/>
    <x v="0"/>
    <x v="0"/>
  </r>
  <r>
    <x v="50"/>
    <x v="49"/>
    <x v="48"/>
    <x v="2"/>
    <s v="SS005"/>
    <x v="79"/>
    <n v="1270.21"/>
    <x v="8"/>
    <x v="2"/>
  </r>
  <r>
    <x v="51"/>
    <x v="50"/>
    <x v="49"/>
    <x v="0"/>
    <s v="SS005"/>
    <x v="79"/>
    <n v="6077.96"/>
    <x v="0"/>
    <x v="0"/>
  </r>
  <r>
    <x v="51"/>
    <x v="50"/>
    <x v="49"/>
    <x v="2"/>
    <s v="SS005"/>
    <x v="79"/>
    <n v="209.69"/>
    <x v="8"/>
    <x v="2"/>
  </r>
  <r>
    <x v="52"/>
    <x v="51"/>
    <x v="50"/>
    <x v="0"/>
    <s v="SS005"/>
    <x v="79"/>
    <n v="45128.26"/>
    <x v="0"/>
    <x v="0"/>
  </r>
  <r>
    <x v="52"/>
    <x v="51"/>
    <x v="50"/>
    <x v="2"/>
    <s v="SS005"/>
    <x v="79"/>
    <n v="1556.92"/>
    <x v="8"/>
    <x v="2"/>
  </r>
  <r>
    <x v="53"/>
    <x v="52"/>
    <x v="48"/>
    <x v="0"/>
    <s v="SS005"/>
    <x v="79"/>
    <n v="6819.94"/>
    <x v="0"/>
    <x v="0"/>
  </r>
  <r>
    <x v="53"/>
    <x v="52"/>
    <x v="48"/>
    <x v="2"/>
    <s v="SS005"/>
    <x v="79"/>
    <n v="235.29"/>
    <x v="8"/>
    <x v="2"/>
  </r>
  <r>
    <x v="0"/>
    <x v="0"/>
    <x v="0"/>
    <x v="0"/>
    <s v="SS006"/>
    <x v="80"/>
    <n v="3603.68"/>
    <x v="0"/>
    <x v="0"/>
  </r>
  <r>
    <x v="0"/>
    <x v="0"/>
    <x v="0"/>
    <x v="2"/>
    <s v="SS006"/>
    <x v="80"/>
    <n v="32.08"/>
    <x v="8"/>
    <x v="2"/>
  </r>
  <r>
    <x v="17"/>
    <x v="17"/>
    <x v="17"/>
    <x v="0"/>
    <s v="SS006"/>
    <x v="80"/>
    <n v="3603.68"/>
    <x v="0"/>
    <x v="0"/>
  </r>
  <r>
    <x v="17"/>
    <x v="17"/>
    <x v="17"/>
    <x v="2"/>
    <s v="SS006"/>
    <x v="80"/>
    <n v="32.08"/>
    <x v="8"/>
    <x v="2"/>
  </r>
  <r>
    <x v="24"/>
    <x v="24"/>
    <x v="7"/>
    <x v="0"/>
    <s v="SS006"/>
    <x v="80"/>
    <n v="7934.12"/>
    <x v="0"/>
    <x v="0"/>
  </r>
  <r>
    <x v="24"/>
    <x v="24"/>
    <x v="7"/>
    <x v="2"/>
    <s v="SS006"/>
    <x v="80"/>
    <n v="67.45"/>
    <x v="8"/>
    <x v="2"/>
  </r>
  <r>
    <x v="36"/>
    <x v="36"/>
    <x v="34"/>
    <x v="0"/>
    <s v="SS006"/>
    <x v="80"/>
    <n v="3603.68"/>
    <x v="0"/>
    <x v="0"/>
  </r>
  <r>
    <x v="36"/>
    <x v="36"/>
    <x v="34"/>
    <x v="2"/>
    <s v="SS006"/>
    <x v="80"/>
    <n v="32.08"/>
    <x v="8"/>
    <x v="2"/>
  </r>
  <r>
    <x v="46"/>
    <x v="46"/>
    <x v="44"/>
    <x v="0"/>
    <s v="SS006"/>
    <x v="80"/>
    <n v="7716.54"/>
    <x v="0"/>
    <x v="0"/>
  </r>
  <r>
    <x v="46"/>
    <x v="46"/>
    <x v="44"/>
    <x v="2"/>
    <s v="SS006"/>
    <x v="80"/>
    <n v="65.53"/>
    <x v="8"/>
    <x v="2"/>
  </r>
  <r>
    <x v="48"/>
    <x v="48"/>
    <x v="46"/>
    <x v="0"/>
    <s v="SS006"/>
    <x v="80"/>
    <n v="7840.63"/>
    <x v="0"/>
    <x v="0"/>
  </r>
  <r>
    <x v="48"/>
    <x v="48"/>
    <x v="46"/>
    <x v="2"/>
    <s v="SS006"/>
    <x v="80"/>
    <n v="66.73"/>
    <x v="8"/>
    <x v="2"/>
  </r>
  <r>
    <x v="0"/>
    <x v="0"/>
    <x v="0"/>
    <x v="0"/>
    <s v="SS006"/>
    <x v="81"/>
    <n v="1225.24"/>
    <x v="0"/>
    <x v="0"/>
  </r>
  <r>
    <x v="0"/>
    <x v="0"/>
    <x v="0"/>
    <x v="2"/>
    <s v="SS006"/>
    <x v="81"/>
    <n v="10.92"/>
    <x v="8"/>
    <x v="2"/>
  </r>
  <r>
    <x v="1"/>
    <x v="1"/>
    <x v="1"/>
    <x v="0"/>
    <s v="SS006"/>
    <x v="81"/>
    <n v="42607.28"/>
    <x v="0"/>
    <x v="0"/>
  </r>
  <r>
    <x v="1"/>
    <x v="1"/>
    <x v="1"/>
    <x v="2"/>
    <s v="SS006"/>
    <x v="81"/>
    <n v="366.42"/>
    <x v="8"/>
    <x v="2"/>
  </r>
  <r>
    <x v="2"/>
    <x v="2"/>
    <x v="2"/>
    <x v="0"/>
    <s v="SS006"/>
    <x v="81"/>
    <n v="61368.02"/>
    <x v="0"/>
    <x v="0"/>
  </r>
  <r>
    <x v="2"/>
    <x v="2"/>
    <x v="2"/>
    <x v="2"/>
    <s v="SS006"/>
    <x v="81"/>
    <n v="529.13"/>
    <x v="8"/>
    <x v="2"/>
  </r>
  <r>
    <x v="3"/>
    <x v="3"/>
    <x v="3"/>
    <x v="0"/>
    <s v="SS006"/>
    <x v="81"/>
    <n v="15076.95"/>
    <x v="0"/>
    <x v="0"/>
  </r>
  <r>
    <x v="3"/>
    <x v="3"/>
    <x v="3"/>
    <x v="2"/>
    <s v="SS006"/>
    <x v="81"/>
    <n v="122.12"/>
    <x v="8"/>
    <x v="2"/>
  </r>
  <r>
    <x v="4"/>
    <x v="4"/>
    <x v="4"/>
    <x v="0"/>
    <s v="SS006"/>
    <x v="81"/>
    <n v="19283.740000000002"/>
    <x v="0"/>
    <x v="0"/>
  </r>
  <r>
    <x v="4"/>
    <x v="4"/>
    <x v="4"/>
    <x v="2"/>
    <s v="SS006"/>
    <x v="81"/>
    <n v="167.14"/>
    <x v="8"/>
    <x v="2"/>
  </r>
  <r>
    <x v="5"/>
    <x v="5"/>
    <x v="5"/>
    <x v="0"/>
    <s v="SS006"/>
    <x v="81"/>
    <n v="45370.13"/>
    <x v="0"/>
    <x v="0"/>
  </r>
  <r>
    <x v="5"/>
    <x v="5"/>
    <x v="5"/>
    <x v="2"/>
    <s v="SS006"/>
    <x v="81"/>
    <n v="391.53"/>
    <x v="8"/>
    <x v="2"/>
  </r>
  <r>
    <x v="6"/>
    <x v="6"/>
    <x v="6"/>
    <x v="0"/>
    <s v="SS006"/>
    <x v="81"/>
    <n v="60709.03"/>
    <x v="0"/>
    <x v="0"/>
  </r>
  <r>
    <x v="6"/>
    <x v="6"/>
    <x v="6"/>
    <x v="2"/>
    <s v="SS006"/>
    <x v="81"/>
    <n v="522.58000000000004"/>
    <x v="8"/>
    <x v="2"/>
  </r>
  <r>
    <x v="7"/>
    <x v="7"/>
    <x v="7"/>
    <x v="0"/>
    <s v="SS006"/>
    <x v="81"/>
    <n v="53722.94"/>
    <x v="0"/>
    <x v="0"/>
  </r>
  <r>
    <x v="7"/>
    <x v="7"/>
    <x v="7"/>
    <x v="2"/>
    <s v="SS006"/>
    <x v="81"/>
    <n v="461.48"/>
    <x v="8"/>
    <x v="2"/>
  </r>
  <r>
    <x v="8"/>
    <x v="8"/>
    <x v="8"/>
    <x v="0"/>
    <s v="SS006"/>
    <x v="81"/>
    <n v="135562.20000000001"/>
    <x v="0"/>
    <x v="0"/>
  </r>
  <r>
    <x v="8"/>
    <x v="8"/>
    <x v="8"/>
    <x v="2"/>
    <s v="SS006"/>
    <x v="81"/>
    <n v="1162.42"/>
    <x v="8"/>
    <x v="2"/>
  </r>
  <r>
    <x v="9"/>
    <x v="9"/>
    <x v="9"/>
    <x v="0"/>
    <s v="SS006"/>
    <x v="81"/>
    <n v="62989.04"/>
    <x v="0"/>
    <x v="0"/>
  </r>
  <r>
    <x v="9"/>
    <x v="9"/>
    <x v="9"/>
    <x v="2"/>
    <s v="SS006"/>
    <x v="81"/>
    <n v="541.62"/>
    <x v="8"/>
    <x v="2"/>
  </r>
  <r>
    <x v="10"/>
    <x v="10"/>
    <x v="10"/>
    <x v="0"/>
    <s v="SS006"/>
    <x v="81"/>
    <n v="136214.53"/>
    <x v="0"/>
    <x v="0"/>
  </r>
  <r>
    <x v="10"/>
    <x v="10"/>
    <x v="10"/>
    <x v="2"/>
    <s v="SS006"/>
    <x v="81"/>
    <n v="1167.06"/>
    <x v="8"/>
    <x v="2"/>
  </r>
  <r>
    <x v="11"/>
    <x v="11"/>
    <x v="11"/>
    <x v="0"/>
    <s v="SS006"/>
    <x v="81"/>
    <n v="71102.789999999994"/>
    <x v="0"/>
    <x v="0"/>
  </r>
  <r>
    <x v="11"/>
    <x v="11"/>
    <x v="11"/>
    <x v="2"/>
    <s v="SS006"/>
    <x v="81"/>
    <n v="611.65"/>
    <x v="8"/>
    <x v="2"/>
  </r>
  <r>
    <x v="12"/>
    <x v="12"/>
    <x v="12"/>
    <x v="0"/>
    <s v="SS006"/>
    <x v="81"/>
    <n v="56665.37"/>
    <x v="0"/>
    <x v="0"/>
  </r>
  <r>
    <x v="12"/>
    <x v="12"/>
    <x v="12"/>
    <x v="2"/>
    <s v="SS006"/>
    <x v="81"/>
    <n v="488.63"/>
    <x v="8"/>
    <x v="2"/>
  </r>
  <r>
    <x v="13"/>
    <x v="13"/>
    <x v="13"/>
    <x v="0"/>
    <s v="SS006"/>
    <x v="81"/>
    <n v="27357.07"/>
    <x v="0"/>
    <x v="0"/>
  </r>
  <r>
    <x v="13"/>
    <x v="13"/>
    <x v="13"/>
    <x v="2"/>
    <s v="SS006"/>
    <x v="81"/>
    <n v="233.38"/>
    <x v="8"/>
    <x v="2"/>
  </r>
  <r>
    <x v="14"/>
    <x v="14"/>
    <x v="14"/>
    <x v="0"/>
    <s v="SS006"/>
    <x v="81"/>
    <n v="40454.120000000003"/>
    <x v="0"/>
    <x v="0"/>
  </r>
  <r>
    <x v="14"/>
    <x v="14"/>
    <x v="14"/>
    <x v="2"/>
    <s v="SS006"/>
    <x v="81"/>
    <n v="351.47"/>
    <x v="8"/>
    <x v="2"/>
  </r>
  <r>
    <x v="15"/>
    <x v="15"/>
    <x v="15"/>
    <x v="0"/>
    <s v="SS006"/>
    <x v="81"/>
    <n v="61446.32"/>
    <x v="0"/>
    <x v="0"/>
  </r>
  <r>
    <x v="15"/>
    <x v="15"/>
    <x v="15"/>
    <x v="2"/>
    <s v="SS006"/>
    <x v="81"/>
    <n v="529.28"/>
    <x v="8"/>
    <x v="2"/>
  </r>
  <r>
    <x v="16"/>
    <x v="16"/>
    <x v="16"/>
    <x v="0"/>
    <s v="SS006"/>
    <x v="81"/>
    <n v="31999.98"/>
    <x v="0"/>
    <x v="0"/>
  </r>
  <r>
    <x v="16"/>
    <x v="16"/>
    <x v="16"/>
    <x v="2"/>
    <s v="SS006"/>
    <x v="81"/>
    <n v="276.33"/>
    <x v="8"/>
    <x v="2"/>
  </r>
  <r>
    <x v="17"/>
    <x v="17"/>
    <x v="17"/>
    <x v="0"/>
    <s v="SS006"/>
    <x v="81"/>
    <n v="2162.1999999999998"/>
    <x v="0"/>
    <x v="0"/>
  </r>
  <r>
    <x v="17"/>
    <x v="17"/>
    <x v="17"/>
    <x v="2"/>
    <s v="SS006"/>
    <x v="81"/>
    <n v="19.239999999999998"/>
    <x v="8"/>
    <x v="2"/>
  </r>
  <r>
    <x v="18"/>
    <x v="18"/>
    <x v="18"/>
    <x v="0"/>
    <s v="SS006"/>
    <x v="81"/>
    <n v="96673.07"/>
    <x v="0"/>
    <x v="0"/>
  </r>
  <r>
    <x v="18"/>
    <x v="18"/>
    <x v="18"/>
    <x v="2"/>
    <s v="SS006"/>
    <x v="81"/>
    <n v="830.98"/>
    <x v="8"/>
    <x v="2"/>
  </r>
  <r>
    <x v="19"/>
    <x v="19"/>
    <x v="19"/>
    <x v="0"/>
    <s v="SS006"/>
    <x v="81"/>
    <n v="63921.65"/>
    <x v="0"/>
    <x v="0"/>
  </r>
  <r>
    <x v="19"/>
    <x v="19"/>
    <x v="19"/>
    <x v="2"/>
    <s v="SS006"/>
    <x v="81"/>
    <n v="549.99"/>
    <x v="8"/>
    <x v="2"/>
  </r>
  <r>
    <x v="20"/>
    <x v="20"/>
    <x v="20"/>
    <x v="0"/>
    <s v="SS006"/>
    <x v="81"/>
    <n v="68495.59"/>
    <x v="0"/>
    <x v="0"/>
  </r>
  <r>
    <x v="20"/>
    <x v="20"/>
    <x v="20"/>
    <x v="2"/>
    <s v="SS006"/>
    <x v="81"/>
    <n v="588.70000000000005"/>
    <x v="8"/>
    <x v="2"/>
  </r>
  <r>
    <x v="21"/>
    <x v="21"/>
    <x v="21"/>
    <x v="0"/>
    <s v="SS006"/>
    <x v="81"/>
    <n v="38087.230000000003"/>
    <x v="0"/>
    <x v="0"/>
  </r>
  <r>
    <x v="21"/>
    <x v="21"/>
    <x v="21"/>
    <x v="2"/>
    <s v="SS006"/>
    <x v="81"/>
    <n v="328.04"/>
    <x v="8"/>
    <x v="2"/>
  </r>
  <r>
    <x v="22"/>
    <x v="22"/>
    <x v="22"/>
    <x v="0"/>
    <s v="SS006"/>
    <x v="81"/>
    <n v="25472.84"/>
    <x v="0"/>
    <x v="0"/>
  </r>
  <r>
    <x v="22"/>
    <x v="22"/>
    <x v="22"/>
    <x v="2"/>
    <s v="SS006"/>
    <x v="81"/>
    <n v="215.19"/>
    <x v="8"/>
    <x v="2"/>
  </r>
  <r>
    <x v="23"/>
    <x v="23"/>
    <x v="23"/>
    <x v="0"/>
    <s v="SS006"/>
    <x v="81"/>
    <n v="39845.279999999999"/>
    <x v="0"/>
    <x v="0"/>
  </r>
  <r>
    <x v="23"/>
    <x v="23"/>
    <x v="23"/>
    <x v="2"/>
    <s v="SS006"/>
    <x v="81"/>
    <n v="342.88"/>
    <x v="8"/>
    <x v="2"/>
  </r>
  <r>
    <x v="25"/>
    <x v="25"/>
    <x v="24"/>
    <x v="0"/>
    <s v="SS006"/>
    <x v="81"/>
    <n v="38855.14"/>
    <x v="0"/>
    <x v="0"/>
  </r>
  <r>
    <x v="25"/>
    <x v="25"/>
    <x v="24"/>
    <x v="2"/>
    <s v="SS006"/>
    <x v="81"/>
    <n v="334.51"/>
    <x v="8"/>
    <x v="2"/>
  </r>
  <r>
    <x v="26"/>
    <x v="26"/>
    <x v="25"/>
    <x v="0"/>
    <s v="SS006"/>
    <x v="81"/>
    <n v="59572.69"/>
    <x v="0"/>
    <x v="0"/>
  </r>
  <r>
    <x v="26"/>
    <x v="26"/>
    <x v="25"/>
    <x v="2"/>
    <s v="SS006"/>
    <x v="81"/>
    <n v="513.36"/>
    <x v="8"/>
    <x v="2"/>
  </r>
  <r>
    <x v="28"/>
    <x v="28"/>
    <x v="27"/>
    <x v="0"/>
    <s v="SS006"/>
    <x v="81"/>
    <n v="10674.95"/>
    <x v="0"/>
    <x v="0"/>
  </r>
  <r>
    <x v="28"/>
    <x v="28"/>
    <x v="27"/>
    <x v="2"/>
    <s v="SS006"/>
    <x v="81"/>
    <n v="86.47"/>
    <x v="8"/>
    <x v="2"/>
  </r>
  <r>
    <x v="29"/>
    <x v="29"/>
    <x v="6"/>
    <x v="0"/>
    <s v="SS006"/>
    <x v="81"/>
    <n v="38311.83"/>
    <x v="0"/>
    <x v="0"/>
  </r>
  <r>
    <x v="29"/>
    <x v="29"/>
    <x v="6"/>
    <x v="2"/>
    <s v="SS006"/>
    <x v="81"/>
    <n v="329.74"/>
    <x v="8"/>
    <x v="2"/>
  </r>
  <r>
    <x v="30"/>
    <x v="30"/>
    <x v="28"/>
    <x v="0"/>
    <s v="SS006"/>
    <x v="81"/>
    <n v="61604.34"/>
    <x v="0"/>
    <x v="0"/>
  </r>
  <r>
    <x v="30"/>
    <x v="30"/>
    <x v="28"/>
    <x v="2"/>
    <s v="SS006"/>
    <x v="81"/>
    <n v="529.85"/>
    <x v="8"/>
    <x v="2"/>
  </r>
  <r>
    <x v="31"/>
    <x v="31"/>
    <x v="29"/>
    <x v="0"/>
    <s v="SS006"/>
    <x v="81"/>
    <n v="59393.65"/>
    <x v="0"/>
    <x v="0"/>
  </r>
  <r>
    <x v="31"/>
    <x v="31"/>
    <x v="29"/>
    <x v="2"/>
    <s v="SS006"/>
    <x v="81"/>
    <n v="511.9"/>
    <x v="8"/>
    <x v="2"/>
  </r>
  <r>
    <x v="32"/>
    <x v="32"/>
    <x v="30"/>
    <x v="0"/>
    <s v="SS006"/>
    <x v="81"/>
    <n v="48974.5"/>
    <x v="0"/>
    <x v="0"/>
  </r>
  <r>
    <x v="32"/>
    <x v="32"/>
    <x v="30"/>
    <x v="2"/>
    <s v="SS006"/>
    <x v="81"/>
    <n v="422.3"/>
    <x v="8"/>
    <x v="2"/>
  </r>
  <r>
    <x v="33"/>
    <x v="33"/>
    <x v="31"/>
    <x v="0"/>
    <s v="SS006"/>
    <x v="81"/>
    <n v="43774.64"/>
    <x v="0"/>
    <x v="0"/>
  </r>
  <r>
    <x v="33"/>
    <x v="33"/>
    <x v="31"/>
    <x v="2"/>
    <s v="SS006"/>
    <x v="81"/>
    <n v="377.08"/>
    <x v="8"/>
    <x v="2"/>
  </r>
  <r>
    <x v="34"/>
    <x v="34"/>
    <x v="32"/>
    <x v="0"/>
    <s v="SS006"/>
    <x v="81"/>
    <n v="70385.62"/>
    <x v="0"/>
    <x v="0"/>
  </r>
  <r>
    <x v="34"/>
    <x v="34"/>
    <x v="32"/>
    <x v="2"/>
    <s v="SS006"/>
    <x v="81"/>
    <n v="603.6"/>
    <x v="8"/>
    <x v="2"/>
  </r>
  <r>
    <x v="35"/>
    <x v="35"/>
    <x v="33"/>
    <x v="0"/>
    <s v="SS006"/>
    <x v="81"/>
    <n v="38315.9"/>
    <x v="0"/>
    <x v="0"/>
  </r>
  <r>
    <x v="35"/>
    <x v="35"/>
    <x v="33"/>
    <x v="2"/>
    <s v="SS006"/>
    <x v="81"/>
    <n v="330.19"/>
    <x v="8"/>
    <x v="2"/>
  </r>
  <r>
    <x v="36"/>
    <x v="36"/>
    <x v="34"/>
    <x v="0"/>
    <s v="SS006"/>
    <x v="81"/>
    <n v="2162.1999999999998"/>
    <x v="0"/>
    <x v="0"/>
  </r>
  <r>
    <x v="36"/>
    <x v="36"/>
    <x v="34"/>
    <x v="2"/>
    <s v="SS006"/>
    <x v="81"/>
    <n v="19.239999999999998"/>
    <x v="8"/>
    <x v="2"/>
  </r>
  <r>
    <x v="37"/>
    <x v="37"/>
    <x v="35"/>
    <x v="0"/>
    <s v="SS006"/>
    <x v="81"/>
    <n v="38778.019999999997"/>
    <x v="0"/>
    <x v="0"/>
  </r>
  <r>
    <x v="37"/>
    <x v="37"/>
    <x v="35"/>
    <x v="2"/>
    <s v="SS006"/>
    <x v="81"/>
    <n v="334.76"/>
    <x v="8"/>
    <x v="2"/>
  </r>
  <r>
    <x v="38"/>
    <x v="38"/>
    <x v="36"/>
    <x v="0"/>
    <s v="SS006"/>
    <x v="81"/>
    <n v="138740.99"/>
    <x v="0"/>
    <x v="0"/>
  </r>
  <r>
    <x v="38"/>
    <x v="38"/>
    <x v="36"/>
    <x v="2"/>
    <s v="SS006"/>
    <x v="81"/>
    <n v="1191.8399999999999"/>
    <x v="8"/>
    <x v="2"/>
  </r>
  <r>
    <x v="39"/>
    <x v="39"/>
    <x v="37"/>
    <x v="0"/>
    <s v="SS006"/>
    <x v="81"/>
    <n v="18490.8"/>
    <x v="0"/>
    <x v="0"/>
  </r>
  <r>
    <x v="39"/>
    <x v="39"/>
    <x v="37"/>
    <x v="2"/>
    <s v="SS006"/>
    <x v="81"/>
    <n v="164.58"/>
    <x v="8"/>
    <x v="2"/>
  </r>
  <r>
    <x v="40"/>
    <x v="40"/>
    <x v="38"/>
    <x v="0"/>
    <s v="SS006"/>
    <x v="81"/>
    <n v="58661.4"/>
    <x v="0"/>
    <x v="0"/>
  </r>
  <r>
    <x v="40"/>
    <x v="40"/>
    <x v="38"/>
    <x v="2"/>
    <s v="SS006"/>
    <x v="81"/>
    <n v="504.92"/>
    <x v="8"/>
    <x v="2"/>
  </r>
  <r>
    <x v="41"/>
    <x v="41"/>
    <x v="39"/>
    <x v="0"/>
    <s v="SS006"/>
    <x v="81"/>
    <n v="58329.01"/>
    <x v="0"/>
    <x v="0"/>
  </r>
  <r>
    <x v="41"/>
    <x v="41"/>
    <x v="39"/>
    <x v="2"/>
    <s v="SS006"/>
    <x v="81"/>
    <n v="502.18"/>
    <x v="8"/>
    <x v="2"/>
  </r>
  <r>
    <x v="42"/>
    <x v="42"/>
    <x v="40"/>
    <x v="0"/>
    <s v="SS006"/>
    <x v="81"/>
    <n v="79172.740000000005"/>
    <x v="0"/>
    <x v="0"/>
  </r>
  <r>
    <x v="42"/>
    <x v="42"/>
    <x v="40"/>
    <x v="2"/>
    <s v="SS006"/>
    <x v="81"/>
    <n v="678.89"/>
    <x v="8"/>
    <x v="2"/>
  </r>
  <r>
    <x v="43"/>
    <x v="43"/>
    <x v="41"/>
    <x v="0"/>
    <s v="SS006"/>
    <x v="81"/>
    <n v="56944.02"/>
    <x v="0"/>
    <x v="0"/>
  </r>
  <r>
    <x v="43"/>
    <x v="43"/>
    <x v="41"/>
    <x v="2"/>
    <s v="SS006"/>
    <x v="81"/>
    <n v="490.7"/>
    <x v="8"/>
    <x v="2"/>
  </r>
  <r>
    <x v="44"/>
    <x v="44"/>
    <x v="42"/>
    <x v="0"/>
    <s v="SS006"/>
    <x v="81"/>
    <n v="45684.82"/>
    <x v="0"/>
    <x v="0"/>
  </r>
  <r>
    <x v="44"/>
    <x v="44"/>
    <x v="42"/>
    <x v="2"/>
    <s v="SS006"/>
    <x v="81"/>
    <n v="389.26"/>
    <x v="8"/>
    <x v="2"/>
  </r>
  <r>
    <x v="45"/>
    <x v="45"/>
    <x v="43"/>
    <x v="0"/>
    <s v="SS006"/>
    <x v="81"/>
    <n v="31392.38"/>
    <x v="0"/>
    <x v="0"/>
  </r>
  <r>
    <x v="45"/>
    <x v="45"/>
    <x v="43"/>
    <x v="2"/>
    <s v="SS006"/>
    <x v="81"/>
    <n v="254.28"/>
    <x v="8"/>
    <x v="2"/>
  </r>
  <r>
    <x v="47"/>
    <x v="47"/>
    <x v="45"/>
    <x v="0"/>
    <s v="SS006"/>
    <x v="81"/>
    <n v="26326.86"/>
    <x v="0"/>
    <x v="0"/>
  </r>
  <r>
    <x v="47"/>
    <x v="47"/>
    <x v="45"/>
    <x v="2"/>
    <s v="SS006"/>
    <x v="81"/>
    <n v="222.42"/>
    <x v="8"/>
    <x v="2"/>
  </r>
  <r>
    <x v="49"/>
    <x v="49"/>
    <x v="47"/>
    <x v="0"/>
    <s v="SS006"/>
    <x v="81"/>
    <n v="3399.94"/>
    <x v="0"/>
    <x v="0"/>
  </r>
  <r>
    <x v="49"/>
    <x v="49"/>
    <x v="47"/>
    <x v="2"/>
    <s v="SS006"/>
    <x v="81"/>
    <n v="30.26"/>
    <x v="8"/>
    <x v="2"/>
  </r>
  <r>
    <x v="50"/>
    <x v="49"/>
    <x v="48"/>
    <x v="0"/>
    <s v="SS006"/>
    <x v="81"/>
    <n v="36818.67"/>
    <x v="0"/>
    <x v="0"/>
  </r>
  <r>
    <x v="50"/>
    <x v="49"/>
    <x v="48"/>
    <x v="2"/>
    <s v="SS006"/>
    <x v="81"/>
    <n v="317.01"/>
    <x v="8"/>
    <x v="2"/>
  </r>
  <r>
    <x v="51"/>
    <x v="50"/>
    <x v="49"/>
    <x v="0"/>
    <s v="SS006"/>
    <x v="81"/>
    <n v="6077.96"/>
    <x v="0"/>
    <x v="0"/>
  </r>
  <r>
    <x v="51"/>
    <x v="50"/>
    <x v="49"/>
    <x v="2"/>
    <s v="SS006"/>
    <x v="81"/>
    <n v="49.23"/>
    <x v="8"/>
    <x v="2"/>
  </r>
  <r>
    <x v="52"/>
    <x v="51"/>
    <x v="50"/>
    <x v="0"/>
    <s v="SS006"/>
    <x v="81"/>
    <n v="45128.26"/>
    <x v="0"/>
    <x v="0"/>
  </r>
  <r>
    <x v="52"/>
    <x v="51"/>
    <x v="50"/>
    <x v="2"/>
    <s v="SS006"/>
    <x v="81"/>
    <n v="401.62"/>
    <x v="8"/>
    <x v="2"/>
  </r>
  <r>
    <x v="53"/>
    <x v="52"/>
    <x v="48"/>
    <x v="0"/>
    <s v="SS006"/>
    <x v="81"/>
    <n v="6819.94"/>
    <x v="0"/>
    <x v="0"/>
  </r>
  <r>
    <x v="53"/>
    <x v="52"/>
    <x v="48"/>
    <x v="2"/>
    <s v="SS006"/>
    <x v="81"/>
    <n v="55.25"/>
    <x v="8"/>
    <x v="2"/>
  </r>
  <r>
    <x v="0"/>
    <x v="0"/>
    <x v="0"/>
    <x v="0"/>
    <s v="SS007"/>
    <x v="82"/>
    <n v="4828.92"/>
    <x v="0"/>
    <x v="0"/>
  </r>
  <r>
    <x v="0"/>
    <x v="0"/>
    <x v="0"/>
    <x v="2"/>
    <s v="SS007"/>
    <x v="82"/>
    <n v="4.84"/>
    <x v="8"/>
    <x v="1"/>
  </r>
  <r>
    <x v="1"/>
    <x v="1"/>
    <x v="1"/>
    <x v="0"/>
    <s v="SS007"/>
    <x v="82"/>
    <n v="25566.959999999999"/>
    <x v="0"/>
    <x v="0"/>
  </r>
  <r>
    <x v="1"/>
    <x v="1"/>
    <x v="1"/>
    <x v="2"/>
    <s v="SS007"/>
    <x v="82"/>
    <n v="25.56"/>
    <x v="8"/>
    <x v="1"/>
  </r>
  <r>
    <x v="2"/>
    <x v="2"/>
    <x v="2"/>
    <x v="0"/>
    <s v="SS007"/>
    <x v="82"/>
    <n v="47100"/>
    <x v="0"/>
    <x v="0"/>
  </r>
  <r>
    <x v="2"/>
    <x v="2"/>
    <x v="2"/>
    <x v="2"/>
    <s v="SS007"/>
    <x v="82"/>
    <n v="47.16"/>
    <x v="8"/>
    <x v="1"/>
  </r>
  <r>
    <x v="3"/>
    <x v="3"/>
    <x v="3"/>
    <x v="0"/>
    <s v="SS007"/>
    <x v="82"/>
    <n v="11395.16"/>
    <x v="0"/>
    <x v="0"/>
  </r>
  <r>
    <x v="3"/>
    <x v="3"/>
    <x v="3"/>
    <x v="2"/>
    <s v="SS007"/>
    <x v="82"/>
    <n v="11.41"/>
    <x v="8"/>
    <x v="1"/>
  </r>
  <r>
    <x v="4"/>
    <x v="4"/>
    <x v="4"/>
    <x v="0"/>
    <s v="SS007"/>
    <x v="82"/>
    <n v="19283.740000000002"/>
    <x v="0"/>
    <x v="0"/>
  </r>
  <r>
    <x v="4"/>
    <x v="4"/>
    <x v="4"/>
    <x v="2"/>
    <s v="SS007"/>
    <x v="82"/>
    <n v="19.29"/>
    <x v="8"/>
    <x v="1"/>
  </r>
  <r>
    <x v="5"/>
    <x v="5"/>
    <x v="5"/>
    <x v="0"/>
    <s v="SS007"/>
    <x v="82"/>
    <n v="45370.13"/>
    <x v="0"/>
    <x v="0"/>
  </r>
  <r>
    <x v="5"/>
    <x v="5"/>
    <x v="5"/>
    <x v="2"/>
    <s v="SS007"/>
    <x v="82"/>
    <n v="45.37"/>
    <x v="8"/>
    <x v="1"/>
  </r>
  <r>
    <x v="6"/>
    <x v="6"/>
    <x v="6"/>
    <x v="0"/>
    <s v="SS007"/>
    <x v="82"/>
    <n v="47100"/>
    <x v="0"/>
    <x v="0"/>
  </r>
  <r>
    <x v="6"/>
    <x v="6"/>
    <x v="6"/>
    <x v="2"/>
    <s v="SS007"/>
    <x v="82"/>
    <n v="47.16"/>
    <x v="8"/>
    <x v="1"/>
  </r>
  <r>
    <x v="7"/>
    <x v="7"/>
    <x v="7"/>
    <x v="0"/>
    <s v="SS007"/>
    <x v="82"/>
    <n v="47100"/>
    <x v="0"/>
    <x v="0"/>
  </r>
  <r>
    <x v="7"/>
    <x v="7"/>
    <x v="7"/>
    <x v="2"/>
    <s v="SS007"/>
    <x v="82"/>
    <n v="47.16"/>
    <x v="8"/>
    <x v="1"/>
  </r>
  <r>
    <x v="8"/>
    <x v="8"/>
    <x v="8"/>
    <x v="0"/>
    <s v="SS007"/>
    <x v="82"/>
    <n v="47100"/>
    <x v="0"/>
    <x v="0"/>
  </r>
  <r>
    <x v="8"/>
    <x v="8"/>
    <x v="8"/>
    <x v="2"/>
    <s v="SS007"/>
    <x v="82"/>
    <n v="47.16"/>
    <x v="8"/>
    <x v="1"/>
  </r>
  <r>
    <x v="9"/>
    <x v="9"/>
    <x v="9"/>
    <x v="0"/>
    <s v="SS007"/>
    <x v="82"/>
    <n v="47100"/>
    <x v="0"/>
    <x v="0"/>
  </r>
  <r>
    <x v="9"/>
    <x v="9"/>
    <x v="9"/>
    <x v="2"/>
    <s v="SS007"/>
    <x v="82"/>
    <n v="47.16"/>
    <x v="8"/>
    <x v="1"/>
  </r>
  <r>
    <x v="10"/>
    <x v="10"/>
    <x v="10"/>
    <x v="0"/>
    <s v="SS007"/>
    <x v="82"/>
    <n v="47100"/>
    <x v="0"/>
    <x v="0"/>
  </r>
  <r>
    <x v="10"/>
    <x v="10"/>
    <x v="10"/>
    <x v="2"/>
    <s v="SS007"/>
    <x v="82"/>
    <n v="47.16"/>
    <x v="8"/>
    <x v="1"/>
  </r>
  <r>
    <x v="11"/>
    <x v="11"/>
    <x v="11"/>
    <x v="0"/>
    <s v="SS007"/>
    <x v="82"/>
    <n v="47100"/>
    <x v="0"/>
    <x v="0"/>
  </r>
  <r>
    <x v="11"/>
    <x v="11"/>
    <x v="11"/>
    <x v="2"/>
    <s v="SS007"/>
    <x v="82"/>
    <n v="47.16"/>
    <x v="8"/>
    <x v="1"/>
  </r>
  <r>
    <x v="12"/>
    <x v="12"/>
    <x v="12"/>
    <x v="0"/>
    <s v="SS007"/>
    <x v="82"/>
    <n v="47100"/>
    <x v="0"/>
    <x v="0"/>
  </r>
  <r>
    <x v="12"/>
    <x v="12"/>
    <x v="12"/>
    <x v="2"/>
    <s v="SS007"/>
    <x v="82"/>
    <n v="47.16"/>
    <x v="8"/>
    <x v="1"/>
  </r>
  <r>
    <x v="13"/>
    <x v="13"/>
    <x v="13"/>
    <x v="0"/>
    <s v="SS007"/>
    <x v="82"/>
    <n v="27357.07"/>
    <x v="0"/>
    <x v="0"/>
  </r>
  <r>
    <x v="13"/>
    <x v="13"/>
    <x v="13"/>
    <x v="2"/>
    <s v="SS007"/>
    <x v="82"/>
    <n v="27.35"/>
    <x v="8"/>
    <x v="1"/>
  </r>
  <r>
    <x v="14"/>
    <x v="14"/>
    <x v="14"/>
    <x v="0"/>
    <s v="SS007"/>
    <x v="82"/>
    <n v="37312.99"/>
    <x v="0"/>
    <x v="0"/>
  </r>
  <r>
    <x v="14"/>
    <x v="14"/>
    <x v="14"/>
    <x v="2"/>
    <s v="SS007"/>
    <x v="82"/>
    <n v="37.32"/>
    <x v="8"/>
    <x v="1"/>
  </r>
  <r>
    <x v="15"/>
    <x v="15"/>
    <x v="15"/>
    <x v="0"/>
    <s v="SS007"/>
    <x v="82"/>
    <n v="47100"/>
    <x v="0"/>
    <x v="0"/>
  </r>
  <r>
    <x v="15"/>
    <x v="15"/>
    <x v="15"/>
    <x v="2"/>
    <s v="SS007"/>
    <x v="82"/>
    <n v="47.16"/>
    <x v="8"/>
    <x v="1"/>
  </r>
  <r>
    <x v="16"/>
    <x v="16"/>
    <x v="16"/>
    <x v="0"/>
    <s v="SS007"/>
    <x v="82"/>
    <n v="31999.98"/>
    <x v="0"/>
    <x v="0"/>
  </r>
  <r>
    <x v="16"/>
    <x v="16"/>
    <x v="16"/>
    <x v="2"/>
    <s v="SS007"/>
    <x v="82"/>
    <n v="32.01"/>
    <x v="8"/>
    <x v="1"/>
  </r>
  <r>
    <x v="17"/>
    <x v="17"/>
    <x v="17"/>
    <x v="0"/>
    <s v="SS007"/>
    <x v="82"/>
    <n v="5765.88"/>
    <x v="0"/>
    <x v="0"/>
  </r>
  <r>
    <x v="17"/>
    <x v="17"/>
    <x v="17"/>
    <x v="2"/>
    <s v="SS007"/>
    <x v="82"/>
    <n v="5.76"/>
    <x v="8"/>
    <x v="1"/>
  </r>
  <r>
    <x v="18"/>
    <x v="18"/>
    <x v="18"/>
    <x v="0"/>
    <s v="SS007"/>
    <x v="82"/>
    <n v="47100"/>
    <x v="0"/>
    <x v="0"/>
  </r>
  <r>
    <x v="18"/>
    <x v="18"/>
    <x v="18"/>
    <x v="2"/>
    <s v="SS007"/>
    <x v="82"/>
    <n v="47.16"/>
    <x v="8"/>
    <x v="1"/>
  </r>
  <r>
    <x v="19"/>
    <x v="19"/>
    <x v="19"/>
    <x v="0"/>
    <s v="SS007"/>
    <x v="82"/>
    <n v="47100"/>
    <x v="0"/>
    <x v="0"/>
  </r>
  <r>
    <x v="19"/>
    <x v="19"/>
    <x v="19"/>
    <x v="2"/>
    <s v="SS007"/>
    <x v="82"/>
    <n v="47.16"/>
    <x v="8"/>
    <x v="1"/>
  </r>
  <r>
    <x v="20"/>
    <x v="20"/>
    <x v="20"/>
    <x v="0"/>
    <s v="SS007"/>
    <x v="82"/>
    <n v="47100"/>
    <x v="0"/>
    <x v="0"/>
  </r>
  <r>
    <x v="20"/>
    <x v="20"/>
    <x v="20"/>
    <x v="2"/>
    <s v="SS007"/>
    <x v="82"/>
    <n v="47.16"/>
    <x v="8"/>
    <x v="1"/>
  </r>
  <r>
    <x v="21"/>
    <x v="21"/>
    <x v="21"/>
    <x v="0"/>
    <s v="SS007"/>
    <x v="82"/>
    <n v="38087.230000000003"/>
    <x v="0"/>
    <x v="0"/>
  </r>
  <r>
    <x v="21"/>
    <x v="21"/>
    <x v="21"/>
    <x v="2"/>
    <s v="SS007"/>
    <x v="82"/>
    <n v="38.090000000000003"/>
    <x v="8"/>
    <x v="1"/>
  </r>
  <r>
    <x v="22"/>
    <x v="22"/>
    <x v="22"/>
    <x v="0"/>
    <s v="SS007"/>
    <x v="82"/>
    <n v="15681.31"/>
    <x v="0"/>
    <x v="0"/>
  </r>
  <r>
    <x v="22"/>
    <x v="22"/>
    <x v="22"/>
    <x v="2"/>
    <s v="SS007"/>
    <x v="82"/>
    <n v="15.69"/>
    <x v="8"/>
    <x v="1"/>
  </r>
  <r>
    <x v="23"/>
    <x v="23"/>
    <x v="23"/>
    <x v="0"/>
    <s v="SS007"/>
    <x v="82"/>
    <n v="39845.279999999999"/>
    <x v="0"/>
    <x v="0"/>
  </r>
  <r>
    <x v="23"/>
    <x v="23"/>
    <x v="23"/>
    <x v="2"/>
    <s v="SS007"/>
    <x v="82"/>
    <n v="39.83"/>
    <x v="8"/>
    <x v="1"/>
  </r>
  <r>
    <x v="24"/>
    <x v="24"/>
    <x v="7"/>
    <x v="0"/>
    <s v="SS007"/>
    <x v="82"/>
    <n v="7934.12"/>
    <x v="0"/>
    <x v="0"/>
  </r>
  <r>
    <x v="24"/>
    <x v="24"/>
    <x v="7"/>
    <x v="2"/>
    <s v="SS007"/>
    <x v="82"/>
    <n v="7.93"/>
    <x v="8"/>
    <x v="1"/>
  </r>
  <r>
    <x v="25"/>
    <x v="25"/>
    <x v="24"/>
    <x v="0"/>
    <s v="SS007"/>
    <x v="82"/>
    <n v="38855.14"/>
    <x v="0"/>
    <x v="0"/>
  </r>
  <r>
    <x v="25"/>
    <x v="25"/>
    <x v="24"/>
    <x v="2"/>
    <s v="SS007"/>
    <x v="82"/>
    <n v="38.869999999999997"/>
    <x v="8"/>
    <x v="1"/>
  </r>
  <r>
    <x v="26"/>
    <x v="26"/>
    <x v="25"/>
    <x v="0"/>
    <s v="SS007"/>
    <x v="82"/>
    <n v="47100"/>
    <x v="0"/>
    <x v="0"/>
  </r>
  <r>
    <x v="26"/>
    <x v="26"/>
    <x v="25"/>
    <x v="2"/>
    <s v="SS007"/>
    <x v="82"/>
    <n v="47.16"/>
    <x v="8"/>
    <x v="1"/>
  </r>
  <r>
    <x v="28"/>
    <x v="28"/>
    <x v="27"/>
    <x v="0"/>
    <s v="SS007"/>
    <x v="82"/>
    <n v="9622.58"/>
    <x v="0"/>
    <x v="0"/>
  </r>
  <r>
    <x v="28"/>
    <x v="28"/>
    <x v="27"/>
    <x v="2"/>
    <s v="SS007"/>
    <x v="82"/>
    <n v="9.6199999999999992"/>
    <x v="8"/>
    <x v="1"/>
  </r>
  <r>
    <x v="29"/>
    <x v="29"/>
    <x v="6"/>
    <x v="0"/>
    <s v="SS007"/>
    <x v="82"/>
    <n v="38311.83"/>
    <x v="0"/>
    <x v="0"/>
  </r>
  <r>
    <x v="29"/>
    <x v="29"/>
    <x v="6"/>
    <x v="2"/>
    <s v="SS007"/>
    <x v="82"/>
    <n v="38.33"/>
    <x v="8"/>
    <x v="1"/>
  </r>
  <r>
    <x v="30"/>
    <x v="30"/>
    <x v="28"/>
    <x v="0"/>
    <s v="SS007"/>
    <x v="82"/>
    <n v="47100"/>
    <x v="0"/>
    <x v="0"/>
  </r>
  <r>
    <x v="30"/>
    <x v="30"/>
    <x v="28"/>
    <x v="2"/>
    <s v="SS007"/>
    <x v="82"/>
    <n v="47.16"/>
    <x v="8"/>
    <x v="1"/>
  </r>
  <r>
    <x v="31"/>
    <x v="31"/>
    <x v="29"/>
    <x v="0"/>
    <s v="SS007"/>
    <x v="82"/>
    <n v="47100"/>
    <x v="0"/>
    <x v="0"/>
  </r>
  <r>
    <x v="31"/>
    <x v="31"/>
    <x v="29"/>
    <x v="2"/>
    <s v="SS007"/>
    <x v="82"/>
    <n v="47.16"/>
    <x v="8"/>
    <x v="1"/>
  </r>
  <r>
    <x v="32"/>
    <x v="32"/>
    <x v="30"/>
    <x v="0"/>
    <s v="SS007"/>
    <x v="82"/>
    <n v="47100"/>
    <x v="0"/>
    <x v="0"/>
  </r>
  <r>
    <x v="32"/>
    <x v="32"/>
    <x v="30"/>
    <x v="2"/>
    <s v="SS007"/>
    <x v="82"/>
    <n v="47.15"/>
    <x v="8"/>
    <x v="1"/>
  </r>
  <r>
    <x v="33"/>
    <x v="33"/>
    <x v="31"/>
    <x v="0"/>
    <s v="SS007"/>
    <x v="82"/>
    <n v="43774.64"/>
    <x v="0"/>
    <x v="0"/>
  </r>
  <r>
    <x v="33"/>
    <x v="33"/>
    <x v="31"/>
    <x v="2"/>
    <s v="SS007"/>
    <x v="82"/>
    <n v="43.77"/>
    <x v="8"/>
    <x v="1"/>
  </r>
  <r>
    <x v="34"/>
    <x v="34"/>
    <x v="32"/>
    <x v="0"/>
    <s v="SS007"/>
    <x v="82"/>
    <n v="47100"/>
    <x v="0"/>
    <x v="0"/>
  </r>
  <r>
    <x v="34"/>
    <x v="34"/>
    <x v="32"/>
    <x v="2"/>
    <s v="SS007"/>
    <x v="82"/>
    <n v="47.16"/>
    <x v="8"/>
    <x v="1"/>
  </r>
  <r>
    <x v="35"/>
    <x v="35"/>
    <x v="33"/>
    <x v="0"/>
    <s v="SS007"/>
    <x v="82"/>
    <n v="38315.9"/>
    <x v="0"/>
    <x v="0"/>
  </r>
  <r>
    <x v="35"/>
    <x v="35"/>
    <x v="33"/>
    <x v="2"/>
    <s v="SS007"/>
    <x v="82"/>
    <n v="38.32"/>
    <x v="8"/>
    <x v="1"/>
  </r>
  <r>
    <x v="36"/>
    <x v="36"/>
    <x v="34"/>
    <x v="0"/>
    <s v="SS007"/>
    <x v="82"/>
    <n v="5765.88"/>
    <x v="0"/>
    <x v="0"/>
  </r>
  <r>
    <x v="36"/>
    <x v="36"/>
    <x v="34"/>
    <x v="2"/>
    <s v="SS007"/>
    <x v="82"/>
    <n v="5.76"/>
    <x v="8"/>
    <x v="1"/>
  </r>
  <r>
    <x v="37"/>
    <x v="37"/>
    <x v="35"/>
    <x v="0"/>
    <s v="SS007"/>
    <x v="82"/>
    <n v="38778.019999999997"/>
    <x v="0"/>
    <x v="0"/>
  </r>
  <r>
    <x v="37"/>
    <x v="37"/>
    <x v="35"/>
    <x v="2"/>
    <s v="SS007"/>
    <x v="82"/>
    <n v="38.79"/>
    <x v="8"/>
    <x v="1"/>
  </r>
  <r>
    <x v="38"/>
    <x v="38"/>
    <x v="36"/>
    <x v="0"/>
    <s v="SS007"/>
    <x v="82"/>
    <n v="47100"/>
    <x v="0"/>
    <x v="0"/>
  </r>
  <r>
    <x v="38"/>
    <x v="38"/>
    <x v="36"/>
    <x v="2"/>
    <s v="SS007"/>
    <x v="82"/>
    <n v="47.16"/>
    <x v="8"/>
    <x v="1"/>
  </r>
  <r>
    <x v="39"/>
    <x v="39"/>
    <x v="37"/>
    <x v="0"/>
    <s v="SS007"/>
    <x v="82"/>
    <n v="18490.8"/>
    <x v="0"/>
    <x v="0"/>
  </r>
  <r>
    <x v="39"/>
    <x v="39"/>
    <x v="37"/>
    <x v="2"/>
    <s v="SS007"/>
    <x v="82"/>
    <n v="18.48"/>
    <x v="8"/>
    <x v="1"/>
  </r>
  <r>
    <x v="40"/>
    <x v="40"/>
    <x v="38"/>
    <x v="0"/>
    <s v="SS007"/>
    <x v="82"/>
    <n v="47100"/>
    <x v="0"/>
    <x v="0"/>
  </r>
  <r>
    <x v="40"/>
    <x v="40"/>
    <x v="38"/>
    <x v="2"/>
    <s v="SS007"/>
    <x v="82"/>
    <n v="47.15"/>
    <x v="8"/>
    <x v="1"/>
  </r>
  <r>
    <x v="41"/>
    <x v="41"/>
    <x v="39"/>
    <x v="0"/>
    <s v="SS007"/>
    <x v="82"/>
    <n v="47100"/>
    <x v="0"/>
    <x v="0"/>
  </r>
  <r>
    <x v="41"/>
    <x v="41"/>
    <x v="39"/>
    <x v="2"/>
    <s v="SS007"/>
    <x v="82"/>
    <n v="47.16"/>
    <x v="8"/>
    <x v="1"/>
  </r>
  <r>
    <x v="42"/>
    <x v="42"/>
    <x v="40"/>
    <x v="0"/>
    <s v="SS007"/>
    <x v="82"/>
    <n v="47100"/>
    <x v="0"/>
    <x v="0"/>
  </r>
  <r>
    <x v="42"/>
    <x v="42"/>
    <x v="40"/>
    <x v="2"/>
    <s v="SS007"/>
    <x v="82"/>
    <n v="47.16"/>
    <x v="8"/>
    <x v="1"/>
  </r>
  <r>
    <x v="43"/>
    <x v="43"/>
    <x v="41"/>
    <x v="0"/>
    <s v="SS007"/>
    <x v="82"/>
    <n v="47100"/>
    <x v="0"/>
    <x v="0"/>
  </r>
  <r>
    <x v="43"/>
    <x v="43"/>
    <x v="41"/>
    <x v="2"/>
    <s v="SS007"/>
    <x v="82"/>
    <n v="47.16"/>
    <x v="8"/>
    <x v="1"/>
  </r>
  <r>
    <x v="44"/>
    <x v="44"/>
    <x v="42"/>
    <x v="0"/>
    <s v="SS007"/>
    <x v="82"/>
    <n v="45684.82"/>
    <x v="0"/>
    <x v="0"/>
  </r>
  <r>
    <x v="44"/>
    <x v="44"/>
    <x v="42"/>
    <x v="2"/>
    <s v="SS007"/>
    <x v="82"/>
    <n v="45.69"/>
    <x v="8"/>
    <x v="1"/>
  </r>
  <r>
    <x v="45"/>
    <x v="45"/>
    <x v="43"/>
    <x v="0"/>
    <s v="SS007"/>
    <x v="82"/>
    <n v="7850"/>
    <x v="0"/>
    <x v="0"/>
  </r>
  <r>
    <x v="45"/>
    <x v="45"/>
    <x v="43"/>
    <x v="2"/>
    <s v="SS007"/>
    <x v="82"/>
    <n v="7.86"/>
    <x v="8"/>
    <x v="1"/>
  </r>
  <r>
    <x v="46"/>
    <x v="46"/>
    <x v="44"/>
    <x v="0"/>
    <s v="SS007"/>
    <x v="82"/>
    <n v="7716.54"/>
    <x v="0"/>
    <x v="0"/>
  </r>
  <r>
    <x v="46"/>
    <x v="46"/>
    <x v="44"/>
    <x v="2"/>
    <s v="SS007"/>
    <x v="82"/>
    <n v="7.71"/>
    <x v="8"/>
    <x v="1"/>
  </r>
  <r>
    <x v="47"/>
    <x v="47"/>
    <x v="45"/>
    <x v="0"/>
    <s v="SS007"/>
    <x v="82"/>
    <n v="24689.52"/>
    <x v="0"/>
    <x v="0"/>
  </r>
  <r>
    <x v="47"/>
    <x v="47"/>
    <x v="45"/>
    <x v="2"/>
    <s v="SS007"/>
    <x v="82"/>
    <n v="24.67"/>
    <x v="8"/>
    <x v="1"/>
  </r>
  <r>
    <x v="48"/>
    <x v="48"/>
    <x v="46"/>
    <x v="0"/>
    <s v="SS007"/>
    <x v="82"/>
    <n v="7840.63"/>
    <x v="0"/>
    <x v="0"/>
  </r>
  <r>
    <x v="48"/>
    <x v="48"/>
    <x v="46"/>
    <x v="2"/>
    <s v="SS007"/>
    <x v="82"/>
    <n v="7.83"/>
    <x v="8"/>
    <x v="1"/>
  </r>
  <r>
    <x v="49"/>
    <x v="49"/>
    <x v="47"/>
    <x v="0"/>
    <s v="SS007"/>
    <x v="82"/>
    <n v="3399.94"/>
    <x v="0"/>
    <x v="0"/>
  </r>
  <r>
    <x v="49"/>
    <x v="49"/>
    <x v="47"/>
    <x v="2"/>
    <s v="SS007"/>
    <x v="82"/>
    <n v="3.4"/>
    <x v="8"/>
    <x v="1"/>
  </r>
  <r>
    <x v="50"/>
    <x v="49"/>
    <x v="48"/>
    <x v="0"/>
    <s v="SS007"/>
    <x v="82"/>
    <n v="36818.67"/>
    <x v="0"/>
    <x v="0"/>
  </r>
  <r>
    <x v="50"/>
    <x v="49"/>
    <x v="48"/>
    <x v="2"/>
    <s v="SS007"/>
    <x v="82"/>
    <n v="36.81"/>
    <x v="8"/>
    <x v="1"/>
  </r>
  <r>
    <x v="51"/>
    <x v="50"/>
    <x v="49"/>
    <x v="0"/>
    <s v="SS007"/>
    <x v="82"/>
    <n v="1772.58"/>
    <x v="0"/>
    <x v="0"/>
  </r>
  <r>
    <x v="51"/>
    <x v="50"/>
    <x v="49"/>
    <x v="2"/>
    <s v="SS007"/>
    <x v="82"/>
    <n v="1.77"/>
    <x v="8"/>
    <x v="1"/>
  </r>
  <r>
    <x v="52"/>
    <x v="51"/>
    <x v="50"/>
    <x v="0"/>
    <s v="SS007"/>
    <x v="82"/>
    <n v="26694.23"/>
    <x v="0"/>
    <x v="0"/>
  </r>
  <r>
    <x v="52"/>
    <x v="51"/>
    <x v="50"/>
    <x v="2"/>
    <s v="SS007"/>
    <x v="82"/>
    <n v="26.71"/>
    <x v="8"/>
    <x v="1"/>
  </r>
  <r>
    <x v="53"/>
    <x v="52"/>
    <x v="48"/>
    <x v="0"/>
    <s v="SS007"/>
    <x v="82"/>
    <n v="6819.94"/>
    <x v="0"/>
    <x v="0"/>
  </r>
  <r>
    <x v="53"/>
    <x v="52"/>
    <x v="48"/>
    <x v="2"/>
    <s v="SS007"/>
    <x v="82"/>
    <n v="6.82"/>
    <x v="8"/>
    <x v="1"/>
  </r>
  <r>
    <x v="0"/>
    <x v="0"/>
    <x v="0"/>
    <x v="2"/>
    <s v="SS011.4"/>
    <x v="83"/>
    <n v="-1251.67"/>
    <x v="8"/>
    <x v="2"/>
  </r>
  <r>
    <x v="17"/>
    <x v="17"/>
    <x v="17"/>
    <x v="2"/>
    <s v="SS011.4"/>
    <x v="83"/>
    <n v="-1494.53"/>
    <x v="8"/>
    <x v="2"/>
  </r>
  <r>
    <x v="24"/>
    <x v="24"/>
    <x v="7"/>
    <x v="2"/>
    <s v="SS011.4"/>
    <x v="83"/>
    <n v="-2056.92"/>
    <x v="8"/>
    <x v="2"/>
  </r>
  <r>
    <x v="36"/>
    <x v="36"/>
    <x v="34"/>
    <x v="2"/>
    <s v="SS011.4"/>
    <x v="83"/>
    <n v="-1494.53"/>
    <x v="8"/>
    <x v="2"/>
  </r>
  <r>
    <x v="39"/>
    <x v="39"/>
    <x v="37"/>
    <x v="2"/>
    <s v="SS011.4"/>
    <x v="83"/>
    <n v="-117.09"/>
    <x v="8"/>
    <x v="2"/>
  </r>
  <r>
    <x v="46"/>
    <x v="46"/>
    <x v="44"/>
    <x v="2"/>
    <s v="SS011.4"/>
    <x v="83"/>
    <n v="-2000.53"/>
    <x v="8"/>
    <x v="2"/>
  </r>
  <r>
    <x v="48"/>
    <x v="48"/>
    <x v="46"/>
    <x v="2"/>
    <s v="SS011.4"/>
    <x v="83"/>
    <n v="-2032.68"/>
    <x v="8"/>
    <x v="2"/>
  </r>
  <r>
    <x v="31"/>
    <x v="31"/>
    <x v="29"/>
    <x v="0"/>
    <s v="SS013.2"/>
    <x v="84"/>
    <n v="1679"/>
    <x v="0"/>
    <x v="0"/>
  </r>
  <r>
    <x v="31"/>
    <x v="31"/>
    <x v="29"/>
    <x v="1"/>
    <s v="SS013.2"/>
    <x v="84"/>
    <n v="-184.35"/>
    <x v="0"/>
    <x v="0"/>
  </r>
  <r>
    <x v="42"/>
    <x v="42"/>
    <x v="40"/>
    <x v="0"/>
    <s v="SS013.2"/>
    <x v="84"/>
    <n v="2411.41"/>
    <x v="0"/>
    <x v="0"/>
  </r>
  <r>
    <x v="42"/>
    <x v="42"/>
    <x v="40"/>
    <x v="1"/>
    <s v="SS013.2"/>
    <x v="84"/>
    <n v="-261.16000000000003"/>
    <x v="0"/>
    <x v="0"/>
  </r>
  <r>
    <x v="31"/>
    <x v="31"/>
    <x v="29"/>
    <x v="0"/>
    <s v="SS014"/>
    <x v="85"/>
    <n v="38.5"/>
    <x v="0"/>
    <x v="0"/>
  </r>
  <r>
    <x v="31"/>
    <x v="31"/>
    <x v="29"/>
    <x v="2"/>
    <s v="SS014"/>
    <x v="85"/>
    <n v="-57.75"/>
    <x v="8"/>
    <x v="2"/>
  </r>
  <r>
    <x v="42"/>
    <x v="42"/>
    <x v="40"/>
    <x v="0"/>
    <s v="SS014"/>
    <x v="85"/>
    <n v="45.5"/>
    <x v="0"/>
    <x v="0"/>
  </r>
  <r>
    <x v="42"/>
    <x v="42"/>
    <x v="40"/>
    <x v="2"/>
    <s v="SS014"/>
    <x v="85"/>
    <n v="-68.25"/>
    <x v="8"/>
    <x v="2"/>
  </r>
  <r>
    <x v="0"/>
    <x v="0"/>
    <x v="0"/>
    <x v="0"/>
    <s v="SS021"/>
    <x v="86"/>
    <n v="1423.08"/>
    <x v="0"/>
    <x v="0"/>
  </r>
  <r>
    <x v="0"/>
    <x v="0"/>
    <x v="0"/>
    <x v="1"/>
    <s v="SS021"/>
    <x v="86"/>
    <n v="96.77"/>
    <x v="0"/>
    <x v="0"/>
  </r>
  <r>
    <x v="1"/>
    <x v="1"/>
    <x v="1"/>
    <x v="0"/>
    <s v="SS021"/>
    <x v="86"/>
    <n v="42856.68"/>
    <x v="0"/>
    <x v="0"/>
  </r>
  <r>
    <x v="1"/>
    <x v="1"/>
    <x v="1"/>
    <x v="1"/>
    <s v="SS021"/>
    <x v="86"/>
    <n v="2914.23"/>
    <x v="0"/>
    <x v="0"/>
  </r>
  <r>
    <x v="2"/>
    <x v="2"/>
    <x v="2"/>
    <x v="0"/>
    <s v="SS021"/>
    <x v="86"/>
    <n v="61598.21"/>
    <x v="0"/>
    <x v="0"/>
  </r>
  <r>
    <x v="2"/>
    <x v="2"/>
    <x v="2"/>
    <x v="1"/>
    <s v="SS021"/>
    <x v="86"/>
    <n v="4188.7"/>
    <x v="0"/>
    <x v="0"/>
  </r>
  <r>
    <x v="3"/>
    <x v="3"/>
    <x v="3"/>
    <x v="0"/>
    <s v="SS021"/>
    <x v="86"/>
    <n v="15134.46"/>
    <x v="0"/>
    <x v="0"/>
  </r>
  <r>
    <x v="3"/>
    <x v="3"/>
    <x v="3"/>
    <x v="1"/>
    <s v="SS021"/>
    <x v="86"/>
    <n v="1029.1500000000001"/>
    <x v="0"/>
    <x v="0"/>
  </r>
  <r>
    <x v="4"/>
    <x v="4"/>
    <x v="4"/>
    <x v="0"/>
    <s v="SS021"/>
    <x v="86"/>
    <n v="19534.740000000002"/>
    <x v="0"/>
    <x v="0"/>
  </r>
  <r>
    <x v="4"/>
    <x v="4"/>
    <x v="4"/>
    <x v="1"/>
    <s v="SS021"/>
    <x v="86"/>
    <n v="1328.38"/>
    <x v="0"/>
    <x v="0"/>
  </r>
  <r>
    <x v="5"/>
    <x v="5"/>
    <x v="5"/>
    <x v="0"/>
    <s v="SS021"/>
    <x v="86"/>
    <n v="45681.58"/>
    <x v="0"/>
    <x v="0"/>
  </r>
  <r>
    <x v="5"/>
    <x v="5"/>
    <x v="5"/>
    <x v="1"/>
    <s v="SS021"/>
    <x v="86"/>
    <n v="3106.35"/>
    <x v="0"/>
    <x v="0"/>
  </r>
  <r>
    <x v="6"/>
    <x v="6"/>
    <x v="6"/>
    <x v="0"/>
    <s v="SS021"/>
    <x v="86"/>
    <n v="61070.83"/>
    <x v="0"/>
    <x v="0"/>
  </r>
  <r>
    <x v="6"/>
    <x v="6"/>
    <x v="6"/>
    <x v="1"/>
    <s v="SS021"/>
    <x v="86"/>
    <n v="4152.83"/>
    <x v="0"/>
    <x v="0"/>
  </r>
  <r>
    <x v="7"/>
    <x v="7"/>
    <x v="7"/>
    <x v="0"/>
    <s v="SS021"/>
    <x v="86"/>
    <n v="53611.19"/>
    <x v="0"/>
    <x v="0"/>
  </r>
  <r>
    <x v="7"/>
    <x v="7"/>
    <x v="7"/>
    <x v="1"/>
    <s v="SS021"/>
    <x v="86"/>
    <n v="3645.55"/>
    <x v="0"/>
    <x v="0"/>
  </r>
  <r>
    <x v="8"/>
    <x v="8"/>
    <x v="8"/>
    <x v="0"/>
    <s v="SS021"/>
    <x v="86"/>
    <n v="135384.37"/>
    <x v="0"/>
    <x v="0"/>
  </r>
  <r>
    <x v="8"/>
    <x v="8"/>
    <x v="8"/>
    <x v="1"/>
    <s v="SS021"/>
    <x v="86"/>
    <n v="9206.11"/>
    <x v="0"/>
    <x v="0"/>
  </r>
  <r>
    <x v="9"/>
    <x v="9"/>
    <x v="9"/>
    <x v="0"/>
    <s v="SS021"/>
    <x v="86"/>
    <n v="63210.32"/>
    <x v="0"/>
    <x v="0"/>
  </r>
  <r>
    <x v="9"/>
    <x v="9"/>
    <x v="9"/>
    <x v="1"/>
    <s v="SS021"/>
    <x v="86"/>
    <n v="4298.3100000000004"/>
    <x v="0"/>
    <x v="0"/>
  </r>
  <r>
    <x v="10"/>
    <x v="10"/>
    <x v="10"/>
    <x v="0"/>
    <s v="SS021"/>
    <x v="86"/>
    <n v="136033.07"/>
    <x v="0"/>
    <x v="0"/>
  </r>
  <r>
    <x v="10"/>
    <x v="10"/>
    <x v="10"/>
    <x v="1"/>
    <s v="SS021"/>
    <x v="86"/>
    <n v="9250.27"/>
    <x v="0"/>
    <x v="0"/>
  </r>
  <r>
    <x v="11"/>
    <x v="11"/>
    <x v="11"/>
    <x v="0"/>
    <s v="SS021"/>
    <x v="86"/>
    <n v="72047.42"/>
    <x v="0"/>
    <x v="0"/>
  </r>
  <r>
    <x v="11"/>
    <x v="11"/>
    <x v="11"/>
    <x v="1"/>
    <s v="SS021"/>
    <x v="86"/>
    <n v="4899.25"/>
    <x v="0"/>
    <x v="0"/>
  </r>
  <r>
    <x v="12"/>
    <x v="12"/>
    <x v="12"/>
    <x v="0"/>
    <s v="SS021"/>
    <x v="86"/>
    <n v="56921.43"/>
    <x v="0"/>
    <x v="0"/>
  </r>
  <r>
    <x v="12"/>
    <x v="12"/>
    <x v="12"/>
    <x v="1"/>
    <s v="SS021"/>
    <x v="86"/>
    <n v="3870.69"/>
    <x v="0"/>
    <x v="0"/>
  </r>
  <r>
    <x v="13"/>
    <x v="13"/>
    <x v="13"/>
    <x v="0"/>
    <s v="SS021"/>
    <x v="86"/>
    <n v="27679.119999999999"/>
    <x v="0"/>
    <x v="0"/>
  </r>
  <r>
    <x v="13"/>
    <x v="13"/>
    <x v="13"/>
    <x v="1"/>
    <s v="SS021"/>
    <x v="86"/>
    <n v="1882.17"/>
    <x v="0"/>
    <x v="0"/>
  </r>
  <r>
    <x v="14"/>
    <x v="14"/>
    <x v="14"/>
    <x v="0"/>
    <s v="SS021"/>
    <x v="86"/>
    <n v="40761.11"/>
    <x v="0"/>
    <x v="0"/>
  </r>
  <r>
    <x v="14"/>
    <x v="14"/>
    <x v="14"/>
    <x v="1"/>
    <s v="SS021"/>
    <x v="86"/>
    <n v="2771.77"/>
    <x v="0"/>
    <x v="0"/>
  </r>
  <r>
    <x v="15"/>
    <x v="15"/>
    <x v="15"/>
    <x v="0"/>
    <s v="SS021"/>
    <x v="86"/>
    <n v="61676.06"/>
    <x v="0"/>
    <x v="0"/>
  </r>
  <r>
    <x v="15"/>
    <x v="15"/>
    <x v="15"/>
    <x v="1"/>
    <s v="SS021"/>
    <x v="86"/>
    <n v="4193.97"/>
    <x v="0"/>
    <x v="0"/>
  </r>
  <r>
    <x v="16"/>
    <x v="16"/>
    <x v="16"/>
    <x v="0"/>
    <s v="SS021"/>
    <x v="86"/>
    <n v="32428.77"/>
    <x v="0"/>
    <x v="0"/>
  </r>
  <r>
    <x v="16"/>
    <x v="16"/>
    <x v="16"/>
    <x v="1"/>
    <s v="SS021"/>
    <x v="86"/>
    <n v="2205.17"/>
    <x v="0"/>
    <x v="0"/>
  </r>
  <r>
    <x v="17"/>
    <x v="17"/>
    <x v="17"/>
    <x v="0"/>
    <s v="SS021"/>
    <x v="86"/>
    <n v="2361.3200000000002"/>
    <x v="0"/>
    <x v="0"/>
  </r>
  <r>
    <x v="17"/>
    <x v="17"/>
    <x v="17"/>
    <x v="1"/>
    <s v="SS021"/>
    <x v="86"/>
    <n v="160.57"/>
    <x v="0"/>
    <x v="0"/>
  </r>
  <r>
    <x v="18"/>
    <x v="18"/>
    <x v="18"/>
    <x v="0"/>
    <s v="SS021"/>
    <x v="86"/>
    <n v="97093.09"/>
    <x v="0"/>
    <x v="0"/>
  </r>
  <r>
    <x v="18"/>
    <x v="18"/>
    <x v="18"/>
    <x v="1"/>
    <s v="SS021"/>
    <x v="86"/>
    <n v="6602.32"/>
    <x v="0"/>
    <x v="0"/>
  </r>
  <r>
    <x v="19"/>
    <x v="19"/>
    <x v="19"/>
    <x v="0"/>
    <s v="SS021"/>
    <x v="86"/>
    <n v="64137.8"/>
    <x v="0"/>
    <x v="0"/>
  </r>
  <r>
    <x v="19"/>
    <x v="19"/>
    <x v="19"/>
    <x v="1"/>
    <s v="SS021"/>
    <x v="86"/>
    <n v="4361.3999999999996"/>
    <x v="0"/>
    <x v="0"/>
  </r>
  <r>
    <x v="20"/>
    <x v="20"/>
    <x v="20"/>
    <x v="0"/>
    <s v="SS021"/>
    <x v="86"/>
    <n v="68302.58"/>
    <x v="0"/>
    <x v="0"/>
  </r>
  <r>
    <x v="20"/>
    <x v="20"/>
    <x v="20"/>
    <x v="1"/>
    <s v="SS021"/>
    <x v="86"/>
    <n v="4644.58"/>
    <x v="0"/>
    <x v="0"/>
  </r>
  <r>
    <x v="21"/>
    <x v="21"/>
    <x v="21"/>
    <x v="0"/>
    <s v="SS021"/>
    <x v="86"/>
    <n v="38672.79"/>
    <x v="0"/>
    <x v="0"/>
  </r>
  <r>
    <x v="21"/>
    <x v="21"/>
    <x v="21"/>
    <x v="1"/>
    <s v="SS021"/>
    <x v="86"/>
    <n v="2629.74"/>
    <x v="0"/>
    <x v="0"/>
  </r>
  <r>
    <x v="22"/>
    <x v="22"/>
    <x v="22"/>
    <x v="0"/>
    <s v="SS021"/>
    <x v="86"/>
    <n v="25519.77"/>
    <x v="0"/>
    <x v="0"/>
  </r>
  <r>
    <x v="22"/>
    <x v="22"/>
    <x v="22"/>
    <x v="1"/>
    <s v="SS021"/>
    <x v="86"/>
    <n v="1735.35"/>
    <x v="0"/>
    <x v="0"/>
  </r>
  <r>
    <x v="23"/>
    <x v="23"/>
    <x v="23"/>
    <x v="0"/>
    <s v="SS021"/>
    <x v="86"/>
    <n v="40285.06"/>
    <x v="0"/>
    <x v="0"/>
  </r>
  <r>
    <x v="23"/>
    <x v="23"/>
    <x v="23"/>
    <x v="1"/>
    <s v="SS021"/>
    <x v="86"/>
    <n v="2739.37"/>
    <x v="0"/>
    <x v="0"/>
  </r>
  <r>
    <x v="25"/>
    <x v="25"/>
    <x v="24"/>
    <x v="0"/>
    <s v="SS021"/>
    <x v="86"/>
    <n v="39293.53"/>
    <x v="0"/>
    <x v="0"/>
  </r>
  <r>
    <x v="25"/>
    <x v="25"/>
    <x v="24"/>
    <x v="1"/>
    <s v="SS021"/>
    <x v="86"/>
    <n v="2671.98"/>
    <x v="0"/>
    <x v="0"/>
  </r>
  <r>
    <x v="26"/>
    <x v="26"/>
    <x v="25"/>
    <x v="0"/>
    <s v="SS021"/>
    <x v="86"/>
    <n v="60196.72"/>
    <x v="0"/>
    <x v="0"/>
  </r>
  <r>
    <x v="26"/>
    <x v="26"/>
    <x v="25"/>
    <x v="1"/>
    <s v="SS021"/>
    <x v="86"/>
    <n v="4093.4"/>
    <x v="0"/>
    <x v="0"/>
  </r>
  <r>
    <x v="28"/>
    <x v="28"/>
    <x v="27"/>
    <x v="0"/>
    <s v="SS021"/>
    <x v="86"/>
    <n v="10732.72"/>
    <x v="0"/>
    <x v="0"/>
  </r>
  <r>
    <x v="28"/>
    <x v="28"/>
    <x v="27"/>
    <x v="1"/>
    <s v="SS021"/>
    <x v="86"/>
    <n v="729.83"/>
    <x v="0"/>
    <x v="0"/>
  </r>
  <r>
    <x v="29"/>
    <x v="29"/>
    <x v="6"/>
    <x v="0"/>
    <s v="SS021"/>
    <x v="86"/>
    <n v="39133.42"/>
    <x v="0"/>
    <x v="0"/>
  </r>
  <r>
    <x v="29"/>
    <x v="29"/>
    <x v="6"/>
    <x v="1"/>
    <s v="SS021"/>
    <x v="86"/>
    <n v="2661.03"/>
    <x v="0"/>
    <x v="0"/>
  </r>
  <r>
    <x v="30"/>
    <x v="30"/>
    <x v="28"/>
    <x v="0"/>
    <s v="SS021"/>
    <x v="86"/>
    <n v="61833.21"/>
    <x v="0"/>
    <x v="0"/>
  </r>
  <r>
    <x v="30"/>
    <x v="30"/>
    <x v="28"/>
    <x v="1"/>
    <s v="SS021"/>
    <x v="86"/>
    <n v="4204.6499999999996"/>
    <x v="0"/>
    <x v="0"/>
  </r>
  <r>
    <x v="31"/>
    <x v="31"/>
    <x v="29"/>
    <x v="0"/>
    <s v="SS021"/>
    <x v="86"/>
    <n v="60402.71"/>
    <x v="0"/>
    <x v="0"/>
  </r>
  <r>
    <x v="31"/>
    <x v="31"/>
    <x v="29"/>
    <x v="1"/>
    <s v="SS021"/>
    <x v="86"/>
    <n v="4107.3500000000004"/>
    <x v="0"/>
    <x v="0"/>
  </r>
  <r>
    <x v="32"/>
    <x v="32"/>
    <x v="30"/>
    <x v="0"/>
    <s v="SS021"/>
    <x v="86"/>
    <n v="49272.86"/>
    <x v="0"/>
    <x v="0"/>
  </r>
  <r>
    <x v="32"/>
    <x v="32"/>
    <x v="30"/>
    <x v="1"/>
    <s v="SS021"/>
    <x v="86"/>
    <n v="3350.56"/>
    <x v="0"/>
    <x v="0"/>
  </r>
  <r>
    <x v="33"/>
    <x v="33"/>
    <x v="31"/>
    <x v="0"/>
    <s v="SS021"/>
    <x v="86"/>
    <n v="44219.95"/>
    <x v="0"/>
    <x v="0"/>
  </r>
  <r>
    <x v="33"/>
    <x v="33"/>
    <x v="31"/>
    <x v="1"/>
    <s v="SS021"/>
    <x v="86"/>
    <n v="3006.95"/>
    <x v="0"/>
    <x v="0"/>
  </r>
  <r>
    <x v="34"/>
    <x v="34"/>
    <x v="32"/>
    <x v="0"/>
    <s v="SS021"/>
    <x v="86"/>
    <n v="70182.19"/>
    <x v="0"/>
    <x v="0"/>
  </r>
  <r>
    <x v="34"/>
    <x v="34"/>
    <x v="32"/>
    <x v="1"/>
    <s v="SS021"/>
    <x v="86"/>
    <n v="4772.41"/>
    <x v="0"/>
    <x v="0"/>
  </r>
  <r>
    <x v="35"/>
    <x v="35"/>
    <x v="33"/>
    <x v="0"/>
    <s v="SS021"/>
    <x v="86"/>
    <n v="39137.53"/>
    <x v="0"/>
    <x v="0"/>
  </r>
  <r>
    <x v="35"/>
    <x v="35"/>
    <x v="33"/>
    <x v="1"/>
    <s v="SS021"/>
    <x v="86"/>
    <n v="2661.34"/>
    <x v="0"/>
    <x v="0"/>
  </r>
  <r>
    <x v="36"/>
    <x v="36"/>
    <x v="34"/>
    <x v="0"/>
    <s v="SS021"/>
    <x v="86"/>
    <n v="2233.3200000000002"/>
    <x v="0"/>
    <x v="0"/>
  </r>
  <r>
    <x v="36"/>
    <x v="36"/>
    <x v="34"/>
    <x v="1"/>
    <s v="SS021"/>
    <x v="86"/>
    <n v="151.88"/>
    <x v="0"/>
    <x v="0"/>
  </r>
  <r>
    <x v="37"/>
    <x v="37"/>
    <x v="35"/>
    <x v="0"/>
    <s v="SS021"/>
    <x v="86"/>
    <n v="39219.54"/>
    <x v="0"/>
    <x v="0"/>
  </r>
  <r>
    <x v="37"/>
    <x v="37"/>
    <x v="35"/>
    <x v="1"/>
    <s v="SS021"/>
    <x v="86"/>
    <n v="2666.93"/>
    <x v="0"/>
    <x v="0"/>
  </r>
  <r>
    <x v="38"/>
    <x v="38"/>
    <x v="36"/>
    <x v="0"/>
    <s v="SS021"/>
    <x v="86"/>
    <n v="138545.63"/>
    <x v="0"/>
    <x v="0"/>
  </r>
  <r>
    <x v="38"/>
    <x v="38"/>
    <x v="36"/>
    <x v="1"/>
    <s v="SS021"/>
    <x v="86"/>
    <n v="9421.09"/>
    <x v="0"/>
    <x v="0"/>
  </r>
  <r>
    <x v="39"/>
    <x v="39"/>
    <x v="37"/>
    <x v="0"/>
    <s v="SS021"/>
    <x v="86"/>
    <n v="18724.7"/>
    <x v="0"/>
    <x v="0"/>
  </r>
  <r>
    <x v="39"/>
    <x v="39"/>
    <x v="37"/>
    <x v="1"/>
    <s v="SS021"/>
    <x v="86"/>
    <n v="1273.28"/>
    <x v="0"/>
    <x v="0"/>
  </r>
  <r>
    <x v="40"/>
    <x v="40"/>
    <x v="38"/>
    <x v="0"/>
    <s v="SS021"/>
    <x v="86"/>
    <n v="58522.48"/>
    <x v="0"/>
    <x v="0"/>
  </r>
  <r>
    <x v="40"/>
    <x v="40"/>
    <x v="38"/>
    <x v="1"/>
    <s v="SS021"/>
    <x v="86"/>
    <n v="3979.52"/>
    <x v="0"/>
    <x v="0"/>
  </r>
  <r>
    <x v="41"/>
    <x v="41"/>
    <x v="39"/>
    <x v="0"/>
    <s v="SS021"/>
    <x v="86"/>
    <n v="58575.92"/>
    <x v="0"/>
    <x v="0"/>
  </r>
  <r>
    <x v="41"/>
    <x v="41"/>
    <x v="39"/>
    <x v="1"/>
    <s v="SS021"/>
    <x v="86"/>
    <n v="3983.18"/>
    <x v="0"/>
    <x v="0"/>
  </r>
  <r>
    <x v="42"/>
    <x v="42"/>
    <x v="40"/>
    <x v="0"/>
    <s v="SS021"/>
    <x v="86"/>
    <n v="79913.039999999994"/>
    <x v="0"/>
    <x v="0"/>
  </r>
  <r>
    <x v="42"/>
    <x v="42"/>
    <x v="40"/>
    <x v="1"/>
    <s v="SS021"/>
    <x v="86"/>
    <n v="5434.08"/>
    <x v="0"/>
    <x v="0"/>
  </r>
  <r>
    <x v="43"/>
    <x v="43"/>
    <x v="41"/>
    <x v="0"/>
    <s v="SS021"/>
    <x v="86"/>
    <n v="57198.55"/>
    <x v="0"/>
    <x v="0"/>
  </r>
  <r>
    <x v="43"/>
    <x v="43"/>
    <x v="41"/>
    <x v="1"/>
    <s v="SS021"/>
    <x v="86"/>
    <n v="3889.51"/>
    <x v="0"/>
    <x v="0"/>
  </r>
  <r>
    <x v="44"/>
    <x v="44"/>
    <x v="42"/>
    <x v="0"/>
    <s v="SS021"/>
    <x v="86"/>
    <n v="46763.75"/>
    <x v="0"/>
    <x v="0"/>
  </r>
  <r>
    <x v="44"/>
    <x v="44"/>
    <x v="42"/>
    <x v="1"/>
    <s v="SS021"/>
    <x v="86"/>
    <n v="3179.94"/>
    <x v="0"/>
    <x v="0"/>
  </r>
  <r>
    <x v="45"/>
    <x v="45"/>
    <x v="43"/>
    <x v="0"/>
    <s v="SS021"/>
    <x v="86"/>
    <n v="31250.34"/>
    <x v="0"/>
    <x v="0"/>
  </r>
  <r>
    <x v="45"/>
    <x v="45"/>
    <x v="43"/>
    <x v="1"/>
    <s v="SS021"/>
    <x v="86"/>
    <n v="2125.02"/>
    <x v="0"/>
    <x v="0"/>
  </r>
  <r>
    <x v="47"/>
    <x v="47"/>
    <x v="45"/>
    <x v="0"/>
    <s v="SS021"/>
    <x v="86"/>
    <n v="26502.32"/>
    <x v="0"/>
    <x v="0"/>
  </r>
  <r>
    <x v="47"/>
    <x v="47"/>
    <x v="45"/>
    <x v="1"/>
    <s v="SS021"/>
    <x v="86"/>
    <n v="1802.16"/>
    <x v="0"/>
    <x v="0"/>
  </r>
  <r>
    <x v="49"/>
    <x v="49"/>
    <x v="47"/>
    <x v="0"/>
    <s v="SS021"/>
    <x v="86"/>
    <n v="3436.7"/>
    <x v="0"/>
    <x v="0"/>
  </r>
  <r>
    <x v="49"/>
    <x v="49"/>
    <x v="47"/>
    <x v="1"/>
    <s v="SS021"/>
    <x v="86"/>
    <n v="233.7"/>
    <x v="0"/>
    <x v="0"/>
  </r>
  <r>
    <x v="50"/>
    <x v="49"/>
    <x v="48"/>
    <x v="0"/>
    <s v="SS021"/>
    <x v="86"/>
    <n v="36870.21"/>
    <x v="0"/>
    <x v="0"/>
  </r>
  <r>
    <x v="50"/>
    <x v="49"/>
    <x v="48"/>
    <x v="1"/>
    <s v="SS021"/>
    <x v="86"/>
    <n v="2507.1799999999998"/>
    <x v="0"/>
    <x v="0"/>
  </r>
  <r>
    <x v="51"/>
    <x v="50"/>
    <x v="49"/>
    <x v="0"/>
    <s v="SS021"/>
    <x v="86"/>
    <n v="6020.04"/>
    <x v="0"/>
    <x v="0"/>
  </r>
  <r>
    <x v="51"/>
    <x v="50"/>
    <x v="49"/>
    <x v="1"/>
    <s v="SS021"/>
    <x v="86"/>
    <n v="409.36"/>
    <x v="0"/>
    <x v="0"/>
  </r>
  <r>
    <x v="52"/>
    <x v="51"/>
    <x v="50"/>
    <x v="0"/>
    <s v="SS021"/>
    <x v="86"/>
    <n v="45207.1"/>
    <x v="0"/>
    <x v="0"/>
  </r>
  <r>
    <x v="52"/>
    <x v="51"/>
    <x v="50"/>
    <x v="1"/>
    <s v="SS021"/>
    <x v="86"/>
    <n v="3074.1"/>
    <x v="0"/>
    <x v="0"/>
  </r>
  <r>
    <x v="53"/>
    <x v="52"/>
    <x v="48"/>
    <x v="0"/>
    <s v="SS021"/>
    <x v="86"/>
    <n v="6893.48"/>
    <x v="0"/>
    <x v="0"/>
  </r>
  <r>
    <x v="53"/>
    <x v="52"/>
    <x v="48"/>
    <x v="1"/>
    <s v="SS021"/>
    <x v="86"/>
    <n v="468.76"/>
    <x v="0"/>
    <x v="0"/>
  </r>
  <r>
    <x v="0"/>
    <x v="0"/>
    <x v="0"/>
    <x v="0"/>
    <s v="SS022"/>
    <x v="87"/>
    <n v="1423.08"/>
    <x v="0"/>
    <x v="0"/>
  </r>
  <r>
    <x v="0"/>
    <x v="0"/>
    <x v="0"/>
    <x v="1"/>
    <s v="SS022"/>
    <x v="87"/>
    <n v="41.28"/>
    <x v="0"/>
    <x v="0"/>
  </r>
  <r>
    <x v="1"/>
    <x v="1"/>
    <x v="1"/>
    <x v="0"/>
    <s v="SS022"/>
    <x v="87"/>
    <n v="42856.68"/>
    <x v="0"/>
    <x v="0"/>
  </r>
  <r>
    <x v="1"/>
    <x v="1"/>
    <x v="1"/>
    <x v="1"/>
    <s v="SS022"/>
    <x v="87"/>
    <n v="1242.8"/>
    <x v="0"/>
    <x v="0"/>
  </r>
  <r>
    <x v="2"/>
    <x v="2"/>
    <x v="2"/>
    <x v="0"/>
    <s v="SS022"/>
    <x v="87"/>
    <n v="61598.21"/>
    <x v="0"/>
    <x v="0"/>
  </r>
  <r>
    <x v="2"/>
    <x v="2"/>
    <x v="2"/>
    <x v="1"/>
    <s v="SS022"/>
    <x v="87"/>
    <n v="1786.32"/>
    <x v="0"/>
    <x v="0"/>
  </r>
  <r>
    <x v="3"/>
    <x v="3"/>
    <x v="3"/>
    <x v="0"/>
    <s v="SS022"/>
    <x v="87"/>
    <n v="15134.46"/>
    <x v="0"/>
    <x v="0"/>
  </r>
  <r>
    <x v="3"/>
    <x v="3"/>
    <x v="3"/>
    <x v="1"/>
    <s v="SS022"/>
    <x v="87"/>
    <n v="438.9"/>
    <x v="0"/>
    <x v="0"/>
  </r>
  <r>
    <x v="4"/>
    <x v="4"/>
    <x v="4"/>
    <x v="0"/>
    <s v="SS022"/>
    <x v="87"/>
    <n v="19534.740000000002"/>
    <x v="0"/>
    <x v="0"/>
  </r>
  <r>
    <x v="4"/>
    <x v="4"/>
    <x v="4"/>
    <x v="1"/>
    <s v="SS022"/>
    <x v="87"/>
    <n v="566.51"/>
    <x v="0"/>
    <x v="0"/>
  </r>
  <r>
    <x v="5"/>
    <x v="5"/>
    <x v="5"/>
    <x v="0"/>
    <s v="SS022"/>
    <x v="87"/>
    <n v="45681.58"/>
    <x v="0"/>
    <x v="0"/>
  </r>
  <r>
    <x v="5"/>
    <x v="5"/>
    <x v="5"/>
    <x v="1"/>
    <s v="SS022"/>
    <x v="87"/>
    <n v="1324.78"/>
    <x v="0"/>
    <x v="0"/>
  </r>
  <r>
    <x v="6"/>
    <x v="6"/>
    <x v="6"/>
    <x v="0"/>
    <s v="SS022"/>
    <x v="87"/>
    <n v="61070.83"/>
    <x v="0"/>
    <x v="0"/>
  </r>
  <r>
    <x v="6"/>
    <x v="6"/>
    <x v="6"/>
    <x v="1"/>
    <s v="SS022"/>
    <x v="87"/>
    <n v="1771.03"/>
    <x v="0"/>
    <x v="0"/>
  </r>
  <r>
    <x v="7"/>
    <x v="7"/>
    <x v="7"/>
    <x v="0"/>
    <s v="SS022"/>
    <x v="87"/>
    <n v="53611.19"/>
    <x v="0"/>
    <x v="0"/>
  </r>
  <r>
    <x v="7"/>
    <x v="7"/>
    <x v="7"/>
    <x v="1"/>
    <s v="SS022"/>
    <x v="87"/>
    <n v="1554.75"/>
    <x v="0"/>
    <x v="0"/>
  </r>
  <r>
    <x v="8"/>
    <x v="8"/>
    <x v="8"/>
    <x v="0"/>
    <s v="SS022"/>
    <x v="87"/>
    <n v="135384.37"/>
    <x v="0"/>
    <x v="0"/>
  </r>
  <r>
    <x v="8"/>
    <x v="8"/>
    <x v="8"/>
    <x v="1"/>
    <s v="SS022"/>
    <x v="87"/>
    <n v="3926.13"/>
    <x v="0"/>
    <x v="0"/>
  </r>
  <r>
    <x v="9"/>
    <x v="9"/>
    <x v="9"/>
    <x v="0"/>
    <s v="SS022"/>
    <x v="87"/>
    <n v="63210.32"/>
    <x v="0"/>
    <x v="0"/>
  </r>
  <r>
    <x v="9"/>
    <x v="9"/>
    <x v="9"/>
    <x v="1"/>
    <s v="SS022"/>
    <x v="87"/>
    <n v="1833.11"/>
    <x v="0"/>
    <x v="0"/>
  </r>
  <r>
    <x v="10"/>
    <x v="10"/>
    <x v="10"/>
    <x v="0"/>
    <s v="SS022"/>
    <x v="87"/>
    <n v="136033.07"/>
    <x v="0"/>
    <x v="0"/>
  </r>
  <r>
    <x v="10"/>
    <x v="10"/>
    <x v="10"/>
    <x v="1"/>
    <s v="SS022"/>
    <x v="87"/>
    <n v="3944.98"/>
    <x v="0"/>
    <x v="0"/>
  </r>
  <r>
    <x v="11"/>
    <x v="11"/>
    <x v="11"/>
    <x v="0"/>
    <s v="SS022"/>
    <x v="87"/>
    <n v="72047.42"/>
    <x v="0"/>
    <x v="0"/>
  </r>
  <r>
    <x v="11"/>
    <x v="11"/>
    <x v="11"/>
    <x v="1"/>
    <s v="SS022"/>
    <x v="87"/>
    <n v="2089.34"/>
    <x v="0"/>
    <x v="0"/>
  </r>
  <r>
    <x v="12"/>
    <x v="12"/>
    <x v="12"/>
    <x v="0"/>
    <s v="SS022"/>
    <x v="87"/>
    <n v="56921.43"/>
    <x v="0"/>
    <x v="0"/>
  </r>
  <r>
    <x v="12"/>
    <x v="12"/>
    <x v="12"/>
    <x v="1"/>
    <s v="SS022"/>
    <x v="87"/>
    <n v="1650.76"/>
    <x v="0"/>
    <x v="0"/>
  </r>
  <r>
    <x v="13"/>
    <x v="13"/>
    <x v="13"/>
    <x v="0"/>
    <s v="SS022"/>
    <x v="87"/>
    <n v="27679.119999999999"/>
    <x v="0"/>
    <x v="0"/>
  </r>
  <r>
    <x v="13"/>
    <x v="13"/>
    <x v="13"/>
    <x v="1"/>
    <s v="SS022"/>
    <x v="87"/>
    <n v="802.68"/>
    <x v="0"/>
    <x v="0"/>
  </r>
  <r>
    <x v="14"/>
    <x v="14"/>
    <x v="14"/>
    <x v="0"/>
    <s v="SS022"/>
    <x v="87"/>
    <n v="40761.11"/>
    <x v="0"/>
    <x v="0"/>
  </r>
  <r>
    <x v="14"/>
    <x v="14"/>
    <x v="14"/>
    <x v="1"/>
    <s v="SS022"/>
    <x v="87"/>
    <n v="1182.06"/>
    <x v="0"/>
    <x v="0"/>
  </r>
  <r>
    <x v="15"/>
    <x v="15"/>
    <x v="15"/>
    <x v="0"/>
    <s v="SS022"/>
    <x v="87"/>
    <n v="61676.06"/>
    <x v="0"/>
    <x v="0"/>
  </r>
  <r>
    <x v="15"/>
    <x v="15"/>
    <x v="15"/>
    <x v="1"/>
    <s v="SS022"/>
    <x v="87"/>
    <n v="1788.58"/>
    <x v="0"/>
    <x v="0"/>
  </r>
  <r>
    <x v="16"/>
    <x v="16"/>
    <x v="16"/>
    <x v="0"/>
    <s v="SS022"/>
    <x v="87"/>
    <n v="32428.77"/>
    <x v="0"/>
    <x v="0"/>
  </r>
  <r>
    <x v="16"/>
    <x v="16"/>
    <x v="16"/>
    <x v="1"/>
    <s v="SS022"/>
    <x v="87"/>
    <n v="940.45"/>
    <x v="0"/>
    <x v="0"/>
  </r>
  <r>
    <x v="17"/>
    <x v="17"/>
    <x v="17"/>
    <x v="0"/>
    <s v="SS022"/>
    <x v="87"/>
    <n v="2361.3200000000002"/>
    <x v="0"/>
    <x v="0"/>
  </r>
  <r>
    <x v="17"/>
    <x v="17"/>
    <x v="17"/>
    <x v="1"/>
    <s v="SS022"/>
    <x v="87"/>
    <n v="68.48"/>
    <x v="0"/>
    <x v="0"/>
  </r>
  <r>
    <x v="18"/>
    <x v="18"/>
    <x v="18"/>
    <x v="0"/>
    <s v="SS022"/>
    <x v="87"/>
    <n v="97093.09"/>
    <x v="0"/>
    <x v="0"/>
  </r>
  <r>
    <x v="18"/>
    <x v="18"/>
    <x v="18"/>
    <x v="1"/>
    <s v="SS022"/>
    <x v="87"/>
    <n v="2815.7"/>
    <x v="0"/>
    <x v="0"/>
  </r>
  <r>
    <x v="19"/>
    <x v="19"/>
    <x v="19"/>
    <x v="0"/>
    <s v="SS022"/>
    <x v="87"/>
    <n v="64137.8"/>
    <x v="0"/>
    <x v="0"/>
  </r>
  <r>
    <x v="19"/>
    <x v="19"/>
    <x v="19"/>
    <x v="1"/>
    <s v="SS022"/>
    <x v="87"/>
    <n v="1859.97"/>
    <x v="0"/>
    <x v="0"/>
  </r>
  <r>
    <x v="20"/>
    <x v="20"/>
    <x v="20"/>
    <x v="0"/>
    <s v="SS022"/>
    <x v="87"/>
    <n v="68302.58"/>
    <x v="0"/>
    <x v="0"/>
  </r>
  <r>
    <x v="20"/>
    <x v="20"/>
    <x v="20"/>
    <x v="1"/>
    <s v="SS022"/>
    <x v="87"/>
    <n v="1980.77"/>
    <x v="0"/>
    <x v="0"/>
  </r>
  <r>
    <x v="21"/>
    <x v="21"/>
    <x v="21"/>
    <x v="0"/>
    <s v="SS022"/>
    <x v="87"/>
    <n v="38672.79"/>
    <x v="0"/>
    <x v="0"/>
  </r>
  <r>
    <x v="21"/>
    <x v="21"/>
    <x v="21"/>
    <x v="1"/>
    <s v="SS022"/>
    <x v="87"/>
    <n v="1121.53"/>
    <x v="0"/>
    <x v="0"/>
  </r>
  <r>
    <x v="22"/>
    <x v="22"/>
    <x v="22"/>
    <x v="0"/>
    <s v="SS022"/>
    <x v="87"/>
    <n v="25519.77"/>
    <x v="0"/>
    <x v="0"/>
  </r>
  <r>
    <x v="22"/>
    <x v="22"/>
    <x v="22"/>
    <x v="1"/>
    <s v="SS022"/>
    <x v="87"/>
    <n v="740.06"/>
    <x v="0"/>
    <x v="0"/>
  </r>
  <r>
    <x v="23"/>
    <x v="23"/>
    <x v="23"/>
    <x v="0"/>
    <s v="SS022"/>
    <x v="87"/>
    <n v="40285.06"/>
    <x v="0"/>
    <x v="0"/>
  </r>
  <r>
    <x v="23"/>
    <x v="23"/>
    <x v="23"/>
    <x v="1"/>
    <s v="SS022"/>
    <x v="87"/>
    <n v="1168.28"/>
    <x v="0"/>
    <x v="0"/>
  </r>
  <r>
    <x v="25"/>
    <x v="25"/>
    <x v="24"/>
    <x v="0"/>
    <s v="SS022"/>
    <x v="87"/>
    <n v="39293.53"/>
    <x v="0"/>
    <x v="0"/>
  </r>
  <r>
    <x v="25"/>
    <x v="25"/>
    <x v="24"/>
    <x v="1"/>
    <s v="SS022"/>
    <x v="87"/>
    <n v="1139.51"/>
    <x v="0"/>
    <x v="0"/>
  </r>
  <r>
    <x v="26"/>
    <x v="26"/>
    <x v="25"/>
    <x v="0"/>
    <s v="SS022"/>
    <x v="87"/>
    <n v="60196.72"/>
    <x v="0"/>
    <x v="0"/>
  </r>
  <r>
    <x v="26"/>
    <x v="26"/>
    <x v="25"/>
    <x v="1"/>
    <s v="SS022"/>
    <x v="87"/>
    <n v="1745.69"/>
    <x v="0"/>
    <x v="0"/>
  </r>
  <r>
    <x v="28"/>
    <x v="28"/>
    <x v="27"/>
    <x v="0"/>
    <s v="SS022"/>
    <x v="87"/>
    <n v="10732.72"/>
    <x v="0"/>
    <x v="0"/>
  </r>
  <r>
    <x v="28"/>
    <x v="28"/>
    <x v="27"/>
    <x v="1"/>
    <s v="SS022"/>
    <x v="87"/>
    <n v="311.25"/>
    <x v="0"/>
    <x v="0"/>
  </r>
  <r>
    <x v="29"/>
    <x v="29"/>
    <x v="6"/>
    <x v="0"/>
    <s v="SS022"/>
    <x v="87"/>
    <n v="39133.42"/>
    <x v="0"/>
    <x v="0"/>
  </r>
  <r>
    <x v="29"/>
    <x v="29"/>
    <x v="6"/>
    <x v="1"/>
    <s v="SS022"/>
    <x v="87"/>
    <n v="1134.9000000000001"/>
    <x v="0"/>
    <x v="0"/>
  </r>
  <r>
    <x v="30"/>
    <x v="30"/>
    <x v="28"/>
    <x v="0"/>
    <s v="SS022"/>
    <x v="87"/>
    <n v="61833.21"/>
    <x v="0"/>
    <x v="0"/>
  </r>
  <r>
    <x v="30"/>
    <x v="30"/>
    <x v="28"/>
    <x v="1"/>
    <s v="SS022"/>
    <x v="87"/>
    <n v="1793.13"/>
    <x v="0"/>
    <x v="0"/>
  </r>
  <r>
    <x v="31"/>
    <x v="31"/>
    <x v="29"/>
    <x v="0"/>
    <s v="SS022"/>
    <x v="87"/>
    <n v="60402.71"/>
    <x v="0"/>
    <x v="0"/>
  </r>
  <r>
    <x v="31"/>
    <x v="31"/>
    <x v="29"/>
    <x v="1"/>
    <s v="SS022"/>
    <x v="87"/>
    <n v="1751.66"/>
    <x v="0"/>
    <x v="0"/>
  </r>
  <r>
    <x v="32"/>
    <x v="32"/>
    <x v="30"/>
    <x v="0"/>
    <s v="SS022"/>
    <x v="87"/>
    <n v="49272.86"/>
    <x v="0"/>
    <x v="0"/>
  </r>
  <r>
    <x v="32"/>
    <x v="32"/>
    <x v="30"/>
    <x v="1"/>
    <s v="SS022"/>
    <x v="87"/>
    <n v="1428.92"/>
    <x v="0"/>
    <x v="0"/>
  </r>
  <r>
    <x v="33"/>
    <x v="33"/>
    <x v="31"/>
    <x v="0"/>
    <s v="SS022"/>
    <x v="87"/>
    <n v="44219.95"/>
    <x v="0"/>
    <x v="0"/>
  </r>
  <r>
    <x v="33"/>
    <x v="33"/>
    <x v="31"/>
    <x v="1"/>
    <s v="SS022"/>
    <x v="87"/>
    <n v="1282.3599999999999"/>
    <x v="0"/>
    <x v="0"/>
  </r>
  <r>
    <x v="34"/>
    <x v="34"/>
    <x v="32"/>
    <x v="0"/>
    <s v="SS022"/>
    <x v="87"/>
    <n v="70182.19"/>
    <x v="0"/>
    <x v="0"/>
  </r>
  <r>
    <x v="34"/>
    <x v="34"/>
    <x v="32"/>
    <x v="1"/>
    <s v="SS022"/>
    <x v="87"/>
    <n v="2035.27"/>
    <x v="0"/>
    <x v="0"/>
  </r>
  <r>
    <x v="35"/>
    <x v="35"/>
    <x v="33"/>
    <x v="0"/>
    <s v="SS022"/>
    <x v="87"/>
    <n v="39137.53"/>
    <x v="0"/>
    <x v="0"/>
  </r>
  <r>
    <x v="35"/>
    <x v="35"/>
    <x v="33"/>
    <x v="1"/>
    <s v="SS022"/>
    <x v="87"/>
    <n v="1134.99"/>
    <x v="0"/>
    <x v="0"/>
  </r>
  <r>
    <x v="36"/>
    <x v="36"/>
    <x v="34"/>
    <x v="0"/>
    <s v="SS022"/>
    <x v="87"/>
    <n v="2233.3200000000002"/>
    <x v="0"/>
    <x v="0"/>
  </r>
  <r>
    <x v="36"/>
    <x v="36"/>
    <x v="34"/>
    <x v="1"/>
    <s v="SS022"/>
    <x v="87"/>
    <n v="64.760000000000005"/>
    <x v="0"/>
    <x v="0"/>
  </r>
  <r>
    <x v="37"/>
    <x v="37"/>
    <x v="35"/>
    <x v="0"/>
    <s v="SS022"/>
    <x v="87"/>
    <n v="39219.54"/>
    <x v="0"/>
    <x v="0"/>
  </r>
  <r>
    <x v="37"/>
    <x v="37"/>
    <x v="35"/>
    <x v="1"/>
    <s v="SS022"/>
    <x v="87"/>
    <n v="1137.3499999999999"/>
    <x v="0"/>
    <x v="0"/>
  </r>
  <r>
    <x v="38"/>
    <x v="38"/>
    <x v="36"/>
    <x v="0"/>
    <s v="SS022"/>
    <x v="87"/>
    <n v="138545.63"/>
    <x v="0"/>
    <x v="0"/>
  </r>
  <r>
    <x v="38"/>
    <x v="38"/>
    <x v="36"/>
    <x v="1"/>
    <s v="SS022"/>
    <x v="87"/>
    <n v="4017.81"/>
    <x v="0"/>
    <x v="0"/>
  </r>
  <r>
    <x v="39"/>
    <x v="39"/>
    <x v="37"/>
    <x v="0"/>
    <s v="SS022"/>
    <x v="87"/>
    <n v="18724.7"/>
    <x v="0"/>
    <x v="0"/>
  </r>
  <r>
    <x v="39"/>
    <x v="39"/>
    <x v="37"/>
    <x v="1"/>
    <s v="SS022"/>
    <x v="87"/>
    <n v="543"/>
    <x v="0"/>
    <x v="0"/>
  </r>
  <r>
    <x v="40"/>
    <x v="40"/>
    <x v="38"/>
    <x v="0"/>
    <s v="SS022"/>
    <x v="87"/>
    <n v="58522.48"/>
    <x v="0"/>
    <x v="0"/>
  </r>
  <r>
    <x v="40"/>
    <x v="40"/>
    <x v="38"/>
    <x v="1"/>
    <s v="SS022"/>
    <x v="87"/>
    <n v="1697.15"/>
    <x v="0"/>
    <x v="0"/>
  </r>
  <r>
    <x v="41"/>
    <x v="41"/>
    <x v="39"/>
    <x v="0"/>
    <s v="SS022"/>
    <x v="87"/>
    <n v="58575.92"/>
    <x v="0"/>
    <x v="0"/>
  </r>
  <r>
    <x v="41"/>
    <x v="41"/>
    <x v="39"/>
    <x v="1"/>
    <s v="SS022"/>
    <x v="87"/>
    <n v="1698.72"/>
    <x v="0"/>
    <x v="0"/>
  </r>
  <r>
    <x v="42"/>
    <x v="42"/>
    <x v="40"/>
    <x v="0"/>
    <s v="SS022"/>
    <x v="87"/>
    <n v="79913.039999999994"/>
    <x v="0"/>
    <x v="0"/>
  </r>
  <r>
    <x v="42"/>
    <x v="42"/>
    <x v="40"/>
    <x v="1"/>
    <s v="SS022"/>
    <x v="87"/>
    <n v="2317.4699999999998"/>
    <x v="0"/>
    <x v="0"/>
  </r>
  <r>
    <x v="43"/>
    <x v="43"/>
    <x v="41"/>
    <x v="0"/>
    <s v="SS022"/>
    <x v="87"/>
    <n v="57198.55"/>
    <x v="0"/>
    <x v="0"/>
  </r>
  <r>
    <x v="43"/>
    <x v="43"/>
    <x v="41"/>
    <x v="1"/>
    <s v="SS022"/>
    <x v="87"/>
    <n v="1658.79"/>
    <x v="0"/>
    <x v="0"/>
  </r>
  <r>
    <x v="44"/>
    <x v="44"/>
    <x v="42"/>
    <x v="0"/>
    <s v="SS022"/>
    <x v="87"/>
    <n v="46763.75"/>
    <x v="0"/>
    <x v="0"/>
  </r>
  <r>
    <x v="44"/>
    <x v="44"/>
    <x v="42"/>
    <x v="1"/>
    <s v="SS022"/>
    <x v="87"/>
    <n v="1356.15"/>
    <x v="0"/>
    <x v="0"/>
  </r>
  <r>
    <x v="45"/>
    <x v="45"/>
    <x v="43"/>
    <x v="0"/>
    <s v="SS022"/>
    <x v="87"/>
    <n v="31250.34"/>
    <x v="0"/>
    <x v="0"/>
  </r>
  <r>
    <x v="45"/>
    <x v="45"/>
    <x v="43"/>
    <x v="1"/>
    <s v="SS022"/>
    <x v="87"/>
    <n v="906.26"/>
    <x v="0"/>
    <x v="0"/>
  </r>
  <r>
    <x v="47"/>
    <x v="47"/>
    <x v="45"/>
    <x v="0"/>
    <s v="SS022"/>
    <x v="87"/>
    <n v="26502.32"/>
    <x v="0"/>
    <x v="0"/>
  </r>
  <r>
    <x v="47"/>
    <x v="47"/>
    <x v="45"/>
    <x v="1"/>
    <s v="SS022"/>
    <x v="87"/>
    <n v="768.57"/>
    <x v="0"/>
    <x v="0"/>
  </r>
  <r>
    <x v="49"/>
    <x v="49"/>
    <x v="47"/>
    <x v="0"/>
    <s v="SS022"/>
    <x v="87"/>
    <n v="3436.7"/>
    <x v="0"/>
    <x v="0"/>
  </r>
  <r>
    <x v="49"/>
    <x v="49"/>
    <x v="47"/>
    <x v="1"/>
    <s v="SS022"/>
    <x v="87"/>
    <n v="99.66"/>
    <x v="0"/>
    <x v="0"/>
  </r>
  <r>
    <x v="50"/>
    <x v="49"/>
    <x v="48"/>
    <x v="0"/>
    <s v="SS022"/>
    <x v="87"/>
    <n v="36870.21"/>
    <x v="0"/>
    <x v="0"/>
  </r>
  <r>
    <x v="50"/>
    <x v="49"/>
    <x v="48"/>
    <x v="1"/>
    <s v="SS022"/>
    <x v="87"/>
    <n v="1069.22"/>
    <x v="0"/>
    <x v="0"/>
  </r>
  <r>
    <x v="51"/>
    <x v="50"/>
    <x v="49"/>
    <x v="0"/>
    <s v="SS022"/>
    <x v="87"/>
    <n v="6020.04"/>
    <x v="0"/>
    <x v="0"/>
  </r>
  <r>
    <x v="51"/>
    <x v="50"/>
    <x v="49"/>
    <x v="1"/>
    <s v="SS022"/>
    <x v="87"/>
    <n v="174.59"/>
    <x v="0"/>
    <x v="0"/>
  </r>
  <r>
    <x v="52"/>
    <x v="51"/>
    <x v="50"/>
    <x v="0"/>
    <s v="SS022"/>
    <x v="87"/>
    <n v="45207.1"/>
    <x v="0"/>
    <x v="0"/>
  </r>
  <r>
    <x v="52"/>
    <x v="51"/>
    <x v="50"/>
    <x v="1"/>
    <s v="SS022"/>
    <x v="87"/>
    <n v="1311"/>
    <x v="0"/>
    <x v="0"/>
  </r>
  <r>
    <x v="53"/>
    <x v="52"/>
    <x v="48"/>
    <x v="0"/>
    <s v="SS022"/>
    <x v="87"/>
    <n v="6893.48"/>
    <x v="0"/>
    <x v="0"/>
  </r>
  <r>
    <x v="53"/>
    <x v="52"/>
    <x v="48"/>
    <x v="1"/>
    <s v="SS022"/>
    <x v="87"/>
    <n v="199.91"/>
    <x v="0"/>
    <x v="0"/>
  </r>
  <r>
    <x v="45"/>
    <x v="45"/>
    <x v="43"/>
    <x v="0"/>
    <s v="SS027"/>
    <x v="88"/>
    <n v="6348.7"/>
    <x v="0"/>
    <x v="0"/>
  </r>
  <r>
    <x v="45"/>
    <x v="45"/>
    <x v="43"/>
    <x v="1"/>
    <s v="SS027"/>
    <x v="88"/>
    <n v="615.82000000000005"/>
    <x v="0"/>
    <x v="0"/>
  </r>
  <r>
    <x v="45"/>
    <x v="45"/>
    <x v="43"/>
    <x v="0"/>
    <s v="SS037"/>
    <x v="89"/>
    <n v="16200"/>
    <x v="0"/>
    <x v="0"/>
  </r>
  <r>
    <x v="45"/>
    <x v="45"/>
    <x v="43"/>
    <x v="2"/>
    <s v="SS037"/>
    <x v="89"/>
    <n v="4860"/>
    <x v="8"/>
    <x v="1"/>
  </r>
  <r>
    <x v="1"/>
    <x v="1"/>
    <x v="1"/>
    <x v="0"/>
    <s v="SS043"/>
    <x v="90"/>
    <n v="42607.28"/>
    <x v="0"/>
    <x v="0"/>
  </r>
  <r>
    <x v="1"/>
    <x v="1"/>
    <x v="1"/>
    <x v="2"/>
    <s v="SS043"/>
    <x v="90"/>
    <n v="766.93"/>
    <x v="8"/>
    <x v="2"/>
  </r>
  <r>
    <x v="8"/>
    <x v="8"/>
    <x v="8"/>
    <x v="0"/>
    <s v="SS043"/>
    <x v="90"/>
    <n v="135562.20000000001"/>
    <x v="0"/>
    <x v="0"/>
  </r>
  <r>
    <x v="8"/>
    <x v="8"/>
    <x v="8"/>
    <x v="2"/>
    <s v="SS043"/>
    <x v="90"/>
    <n v="2440.17"/>
    <x v="8"/>
    <x v="2"/>
  </r>
  <r>
    <x v="9"/>
    <x v="9"/>
    <x v="9"/>
    <x v="0"/>
    <s v="SS043"/>
    <x v="90"/>
    <n v="-0.2"/>
    <x v="0"/>
    <x v="0"/>
  </r>
  <r>
    <x v="10"/>
    <x v="10"/>
    <x v="10"/>
    <x v="0"/>
    <s v="SS043"/>
    <x v="90"/>
    <n v="136214.53"/>
    <x v="0"/>
    <x v="0"/>
  </r>
  <r>
    <x v="10"/>
    <x v="10"/>
    <x v="10"/>
    <x v="2"/>
    <s v="SS043"/>
    <x v="90"/>
    <n v="2451.87"/>
    <x v="8"/>
    <x v="2"/>
  </r>
  <r>
    <x v="11"/>
    <x v="11"/>
    <x v="11"/>
    <x v="0"/>
    <s v="SS043"/>
    <x v="90"/>
    <n v="71102.740000000005"/>
    <x v="0"/>
    <x v="0"/>
  </r>
  <r>
    <x v="11"/>
    <x v="11"/>
    <x v="11"/>
    <x v="2"/>
    <s v="SS043"/>
    <x v="90"/>
    <n v="1279.8499999999999"/>
    <x v="8"/>
    <x v="2"/>
  </r>
  <r>
    <x v="18"/>
    <x v="18"/>
    <x v="18"/>
    <x v="0"/>
    <s v="SS043"/>
    <x v="90"/>
    <n v="96673.07"/>
    <x v="0"/>
    <x v="0"/>
  </r>
  <r>
    <x v="18"/>
    <x v="18"/>
    <x v="18"/>
    <x v="2"/>
    <s v="SS043"/>
    <x v="90"/>
    <n v="1740.11"/>
    <x v="8"/>
    <x v="2"/>
  </r>
  <r>
    <x v="20"/>
    <x v="20"/>
    <x v="20"/>
    <x v="0"/>
    <s v="SS043"/>
    <x v="90"/>
    <n v="7.0000000000000007E-2"/>
    <x v="0"/>
    <x v="0"/>
  </r>
  <r>
    <x v="22"/>
    <x v="22"/>
    <x v="22"/>
    <x v="0"/>
    <s v="SS043"/>
    <x v="90"/>
    <n v="25472.78"/>
    <x v="0"/>
    <x v="0"/>
  </r>
  <r>
    <x v="22"/>
    <x v="22"/>
    <x v="22"/>
    <x v="2"/>
    <s v="SS043"/>
    <x v="90"/>
    <n v="458.51"/>
    <x v="8"/>
    <x v="2"/>
  </r>
  <r>
    <x v="31"/>
    <x v="31"/>
    <x v="29"/>
    <x v="0"/>
    <s v="SS043"/>
    <x v="90"/>
    <n v="59393.54"/>
    <x v="0"/>
    <x v="0"/>
  </r>
  <r>
    <x v="31"/>
    <x v="31"/>
    <x v="29"/>
    <x v="2"/>
    <s v="SS043"/>
    <x v="90"/>
    <n v="1069.08"/>
    <x v="8"/>
    <x v="2"/>
  </r>
  <r>
    <x v="34"/>
    <x v="34"/>
    <x v="32"/>
    <x v="0"/>
    <s v="SS043"/>
    <x v="90"/>
    <n v="70386.05"/>
    <x v="0"/>
    <x v="0"/>
  </r>
  <r>
    <x v="34"/>
    <x v="34"/>
    <x v="32"/>
    <x v="2"/>
    <s v="SS043"/>
    <x v="90"/>
    <n v="1266.94"/>
    <x v="8"/>
    <x v="2"/>
  </r>
  <r>
    <x v="38"/>
    <x v="38"/>
    <x v="36"/>
    <x v="0"/>
    <s v="SS043"/>
    <x v="90"/>
    <n v="138740.99"/>
    <x v="0"/>
    <x v="0"/>
  </r>
  <r>
    <x v="38"/>
    <x v="38"/>
    <x v="36"/>
    <x v="2"/>
    <s v="SS043"/>
    <x v="90"/>
    <n v="2497.34"/>
    <x v="8"/>
    <x v="2"/>
  </r>
  <r>
    <x v="42"/>
    <x v="42"/>
    <x v="40"/>
    <x v="0"/>
    <s v="SS043"/>
    <x v="90"/>
    <n v="79172.740000000005"/>
    <x v="0"/>
    <x v="0"/>
  </r>
  <r>
    <x v="42"/>
    <x v="42"/>
    <x v="40"/>
    <x v="2"/>
    <s v="SS043"/>
    <x v="90"/>
    <n v="1425.12"/>
    <x v="8"/>
    <x v="2"/>
  </r>
  <r>
    <x v="45"/>
    <x v="45"/>
    <x v="43"/>
    <x v="0"/>
    <s v="SS043"/>
    <x v="90"/>
    <n v="31392.38"/>
    <x v="0"/>
    <x v="0"/>
  </r>
  <r>
    <x v="45"/>
    <x v="45"/>
    <x v="43"/>
    <x v="2"/>
    <s v="SS043"/>
    <x v="90"/>
    <n v="565.05999999999995"/>
    <x v="8"/>
    <x v="2"/>
  </r>
  <r>
    <x v="51"/>
    <x v="50"/>
    <x v="49"/>
    <x v="0"/>
    <s v="SS043"/>
    <x v="90"/>
    <n v="6077.96"/>
    <x v="0"/>
    <x v="0"/>
  </r>
  <r>
    <x v="51"/>
    <x v="50"/>
    <x v="49"/>
    <x v="2"/>
    <s v="SS043"/>
    <x v="90"/>
    <n v="109.4"/>
    <x v="8"/>
    <x v="2"/>
  </r>
  <r>
    <x v="52"/>
    <x v="51"/>
    <x v="50"/>
    <x v="0"/>
    <s v="SS043"/>
    <x v="90"/>
    <n v="45128.26"/>
    <x v="0"/>
    <x v="0"/>
  </r>
  <r>
    <x v="52"/>
    <x v="51"/>
    <x v="50"/>
    <x v="2"/>
    <s v="SS043"/>
    <x v="90"/>
    <n v="812.31"/>
    <x v="8"/>
    <x v="2"/>
  </r>
  <r>
    <x v="1"/>
    <x v="1"/>
    <x v="1"/>
    <x v="0"/>
    <s v="SS046"/>
    <x v="91"/>
    <n v="42607.28"/>
    <x v="0"/>
    <x v="0"/>
  </r>
  <r>
    <x v="1"/>
    <x v="1"/>
    <x v="1"/>
    <x v="2"/>
    <s v="SS046"/>
    <x v="91"/>
    <n v="2556.44"/>
    <x v="8"/>
    <x v="2"/>
  </r>
  <r>
    <x v="2"/>
    <x v="2"/>
    <x v="2"/>
    <x v="0"/>
    <s v="SS046"/>
    <x v="91"/>
    <n v="61368.02"/>
    <x v="0"/>
    <x v="0"/>
  </r>
  <r>
    <x v="2"/>
    <x v="2"/>
    <x v="2"/>
    <x v="2"/>
    <s v="SS046"/>
    <x v="91"/>
    <n v="3682.07"/>
    <x v="8"/>
    <x v="2"/>
  </r>
  <r>
    <x v="3"/>
    <x v="3"/>
    <x v="3"/>
    <x v="0"/>
    <s v="SS046"/>
    <x v="91"/>
    <n v="15076.95"/>
    <x v="0"/>
    <x v="0"/>
  </r>
  <r>
    <x v="3"/>
    <x v="3"/>
    <x v="3"/>
    <x v="2"/>
    <s v="SS046"/>
    <x v="91"/>
    <n v="904.61"/>
    <x v="8"/>
    <x v="2"/>
  </r>
  <r>
    <x v="4"/>
    <x v="4"/>
    <x v="4"/>
    <x v="0"/>
    <s v="SS046"/>
    <x v="91"/>
    <n v="19283.740000000002"/>
    <x v="0"/>
    <x v="0"/>
  </r>
  <r>
    <x v="4"/>
    <x v="4"/>
    <x v="4"/>
    <x v="2"/>
    <s v="SS046"/>
    <x v="91"/>
    <n v="1157.02"/>
    <x v="8"/>
    <x v="2"/>
  </r>
  <r>
    <x v="6"/>
    <x v="6"/>
    <x v="6"/>
    <x v="0"/>
    <s v="SS046"/>
    <x v="91"/>
    <n v="60709.03"/>
    <x v="0"/>
    <x v="0"/>
  </r>
  <r>
    <x v="6"/>
    <x v="6"/>
    <x v="6"/>
    <x v="2"/>
    <s v="SS046"/>
    <x v="91"/>
    <n v="3642.51"/>
    <x v="8"/>
    <x v="2"/>
  </r>
  <r>
    <x v="7"/>
    <x v="7"/>
    <x v="7"/>
    <x v="0"/>
    <s v="SS046"/>
    <x v="91"/>
    <n v="53722.94"/>
    <x v="0"/>
    <x v="0"/>
  </r>
  <r>
    <x v="7"/>
    <x v="7"/>
    <x v="7"/>
    <x v="2"/>
    <s v="SS046"/>
    <x v="91"/>
    <n v="3223.39"/>
    <x v="8"/>
    <x v="2"/>
  </r>
  <r>
    <x v="8"/>
    <x v="8"/>
    <x v="8"/>
    <x v="0"/>
    <s v="SS046"/>
    <x v="91"/>
    <n v="135562.20000000001"/>
    <x v="0"/>
    <x v="0"/>
  </r>
  <r>
    <x v="8"/>
    <x v="8"/>
    <x v="8"/>
    <x v="2"/>
    <s v="SS046"/>
    <x v="91"/>
    <n v="8133.72"/>
    <x v="8"/>
    <x v="2"/>
  </r>
  <r>
    <x v="9"/>
    <x v="9"/>
    <x v="9"/>
    <x v="0"/>
    <s v="SS046"/>
    <x v="91"/>
    <n v="62989.04"/>
    <x v="0"/>
    <x v="0"/>
  </r>
  <r>
    <x v="9"/>
    <x v="9"/>
    <x v="9"/>
    <x v="2"/>
    <s v="SS046"/>
    <x v="91"/>
    <n v="3779.32"/>
    <x v="8"/>
    <x v="2"/>
  </r>
  <r>
    <x v="10"/>
    <x v="10"/>
    <x v="10"/>
    <x v="0"/>
    <s v="SS046"/>
    <x v="91"/>
    <n v="136214.53"/>
    <x v="0"/>
    <x v="0"/>
  </r>
  <r>
    <x v="10"/>
    <x v="10"/>
    <x v="10"/>
    <x v="2"/>
    <s v="SS046"/>
    <x v="91"/>
    <n v="8172.87"/>
    <x v="8"/>
    <x v="2"/>
  </r>
  <r>
    <x v="11"/>
    <x v="11"/>
    <x v="11"/>
    <x v="0"/>
    <s v="SS046"/>
    <x v="91"/>
    <n v="71102.789999999994"/>
    <x v="0"/>
    <x v="0"/>
  </r>
  <r>
    <x v="11"/>
    <x v="11"/>
    <x v="11"/>
    <x v="2"/>
    <s v="SS046"/>
    <x v="91"/>
    <n v="4266.17"/>
    <x v="8"/>
    <x v="2"/>
  </r>
  <r>
    <x v="12"/>
    <x v="12"/>
    <x v="12"/>
    <x v="0"/>
    <s v="SS046"/>
    <x v="91"/>
    <n v="56665.37"/>
    <x v="0"/>
    <x v="0"/>
  </r>
  <r>
    <x v="12"/>
    <x v="12"/>
    <x v="12"/>
    <x v="2"/>
    <s v="SS046"/>
    <x v="91"/>
    <n v="3399.95"/>
    <x v="8"/>
    <x v="2"/>
  </r>
  <r>
    <x v="14"/>
    <x v="14"/>
    <x v="14"/>
    <x v="0"/>
    <s v="SS046"/>
    <x v="91"/>
    <n v="40454.120000000003"/>
    <x v="0"/>
    <x v="0"/>
  </r>
  <r>
    <x v="14"/>
    <x v="14"/>
    <x v="14"/>
    <x v="2"/>
    <s v="SS046"/>
    <x v="91"/>
    <n v="2427.25"/>
    <x v="8"/>
    <x v="2"/>
  </r>
  <r>
    <x v="15"/>
    <x v="15"/>
    <x v="15"/>
    <x v="0"/>
    <s v="SS046"/>
    <x v="91"/>
    <n v="61446.32"/>
    <x v="0"/>
    <x v="0"/>
  </r>
  <r>
    <x v="15"/>
    <x v="15"/>
    <x v="15"/>
    <x v="2"/>
    <s v="SS046"/>
    <x v="91"/>
    <n v="3686.75"/>
    <x v="8"/>
    <x v="2"/>
  </r>
  <r>
    <x v="18"/>
    <x v="18"/>
    <x v="18"/>
    <x v="0"/>
    <s v="SS046"/>
    <x v="91"/>
    <n v="96673.07"/>
    <x v="0"/>
    <x v="0"/>
  </r>
  <r>
    <x v="18"/>
    <x v="18"/>
    <x v="18"/>
    <x v="2"/>
    <s v="SS046"/>
    <x v="91"/>
    <n v="5800.38"/>
    <x v="8"/>
    <x v="2"/>
  </r>
  <r>
    <x v="19"/>
    <x v="19"/>
    <x v="19"/>
    <x v="0"/>
    <s v="SS046"/>
    <x v="91"/>
    <n v="63921.65"/>
    <x v="0"/>
    <x v="0"/>
  </r>
  <r>
    <x v="19"/>
    <x v="19"/>
    <x v="19"/>
    <x v="2"/>
    <s v="SS046"/>
    <x v="91"/>
    <n v="3835.3"/>
    <x v="8"/>
    <x v="2"/>
  </r>
  <r>
    <x v="20"/>
    <x v="20"/>
    <x v="20"/>
    <x v="0"/>
    <s v="SS046"/>
    <x v="91"/>
    <n v="68495.59"/>
    <x v="0"/>
    <x v="0"/>
  </r>
  <r>
    <x v="20"/>
    <x v="20"/>
    <x v="20"/>
    <x v="2"/>
    <s v="SS046"/>
    <x v="91"/>
    <n v="4109.74"/>
    <x v="8"/>
    <x v="2"/>
  </r>
  <r>
    <x v="22"/>
    <x v="22"/>
    <x v="22"/>
    <x v="0"/>
    <s v="SS046"/>
    <x v="91"/>
    <n v="25472.84"/>
    <x v="0"/>
    <x v="0"/>
  </r>
  <r>
    <x v="22"/>
    <x v="22"/>
    <x v="22"/>
    <x v="2"/>
    <s v="SS046"/>
    <x v="91"/>
    <n v="1528.36"/>
    <x v="8"/>
    <x v="2"/>
  </r>
  <r>
    <x v="26"/>
    <x v="26"/>
    <x v="25"/>
    <x v="0"/>
    <s v="SS046"/>
    <x v="91"/>
    <n v="59572.69"/>
    <x v="0"/>
    <x v="0"/>
  </r>
  <r>
    <x v="26"/>
    <x v="26"/>
    <x v="25"/>
    <x v="2"/>
    <s v="SS046"/>
    <x v="91"/>
    <n v="3574.33"/>
    <x v="8"/>
    <x v="2"/>
  </r>
  <r>
    <x v="28"/>
    <x v="28"/>
    <x v="27"/>
    <x v="0"/>
    <s v="SS046"/>
    <x v="91"/>
    <n v="10674.95"/>
    <x v="0"/>
    <x v="0"/>
  </r>
  <r>
    <x v="28"/>
    <x v="28"/>
    <x v="27"/>
    <x v="2"/>
    <s v="SS046"/>
    <x v="91"/>
    <n v="640.5"/>
    <x v="8"/>
    <x v="2"/>
  </r>
  <r>
    <x v="30"/>
    <x v="30"/>
    <x v="28"/>
    <x v="0"/>
    <s v="SS046"/>
    <x v="91"/>
    <n v="61604.34"/>
    <x v="0"/>
    <x v="0"/>
  </r>
  <r>
    <x v="30"/>
    <x v="30"/>
    <x v="28"/>
    <x v="2"/>
    <s v="SS046"/>
    <x v="91"/>
    <n v="3696.22"/>
    <x v="8"/>
    <x v="2"/>
  </r>
  <r>
    <x v="31"/>
    <x v="31"/>
    <x v="29"/>
    <x v="0"/>
    <s v="SS046"/>
    <x v="91"/>
    <n v="59393.65"/>
    <x v="0"/>
    <x v="0"/>
  </r>
  <r>
    <x v="31"/>
    <x v="31"/>
    <x v="29"/>
    <x v="2"/>
    <s v="SS046"/>
    <x v="91"/>
    <n v="3563.62"/>
    <x v="8"/>
    <x v="2"/>
  </r>
  <r>
    <x v="32"/>
    <x v="32"/>
    <x v="30"/>
    <x v="0"/>
    <s v="SS046"/>
    <x v="91"/>
    <n v="48974.5"/>
    <x v="0"/>
    <x v="0"/>
  </r>
  <r>
    <x v="32"/>
    <x v="32"/>
    <x v="30"/>
    <x v="2"/>
    <s v="SS046"/>
    <x v="91"/>
    <n v="2938.48"/>
    <x v="8"/>
    <x v="2"/>
  </r>
  <r>
    <x v="34"/>
    <x v="34"/>
    <x v="32"/>
    <x v="0"/>
    <s v="SS046"/>
    <x v="91"/>
    <n v="70385.62"/>
    <x v="0"/>
    <x v="0"/>
  </r>
  <r>
    <x v="34"/>
    <x v="34"/>
    <x v="32"/>
    <x v="2"/>
    <s v="SS046"/>
    <x v="91"/>
    <n v="4223.1400000000003"/>
    <x v="8"/>
    <x v="2"/>
  </r>
  <r>
    <x v="38"/>
    <x v="38"/>
    <x v="36"/>
    <x v="0"/>
    <s v="SS046"/>
    <x v="91"/>
    <n v="138740.99"/>
    <x v="0"/>
    <x v="0"/>
  </r>
  <r>
    <x v="38"/>
    <x v="38"/>
    <x v="36"/>
    <x v="2"/>
    <s v="SS046"/>
    <x v="91"/>
    <n v="8324.4599999999991"/>
    <x v="8"/>
    <x v="2"/>
  </r>
  <r>
    <x v="40"/>
    <x v="40"/>
    <x v="38"/>
    <x v="0"/>
    <s v="SS046"/>
    <x v="91"/>
    <n v="58661.4"/>
    <x v="0"/>
    <x v="0"/>
  </r>
  <r>
    <x v="40"/>
    <x v="40"/>
    <x v="38"/>
    <x v="2"/>
    <s v="SS046"/>
    <x v="91"/>
    <n v="3519.71"/>
    <x v="8"/>
    <x v="2"/>
  </r>
  <r>
    <x v="41"/>
    <x v="41"/>
    <x v="39"/>
    <x v="0"/>
    <s v="SS046"/>
    <x v="91"/>
    <n v="58329.01"/>
    <x v="0"/>
    <x v="0"/>
  </r>
  <r>
    <x v="41"/>
    <x v="41"/>
    <x v="39"/>
    <x v="2"/>
    <s v="SS046"/>
    <x v="91"/>
    <n v="3499.74"/>
    <x v="8"/>
    <x v="2"/>
  </r>
  <r>
    <x v="42"/>
    <x v="42"/>
    <x v="40"/>
    <x v="0"/>
    <s v="SS046"/>
    <x v="91"/>
    <n v="79172.740000000005"/>
    <x v="0"/>
    <x v="0"/>
  </r>
  <r>
    <x v="42"/>
    <x v="42"/>
    <x v="40"/>
    <x v="2"/>
    <s v="SS046"/>
    <x v="91"/>
    <n v="4750.3599999999997"/>
    <x v="8"/>
    <x v="2"/>
  </r>
  <r>
    <x v="43"/>
    <x v="43"/>
    <x v="41"/>
    <x v="0"/>
    <s v="SS046"/>
    <x v="91"/>
    <n v="56944.02"/>
    <x v="0"/>
    <x v="0"/>
  </r>
  <r>
    <x v="43"/>
    <x v="43"/>
    <x v="41"/>
    <x v="2"/>
    <s v="SS046"/>
    <x v="91"/>
    <n v="3416.66"/>
    <x v="8"/>
    <x v="2"/>
  </r>
  <r>
    <x v="44"/>
    <x v="44"/>
    <x v="42"/>
    <x v="0"/>
    <s v="SS046"/>
    <x v="91"/>
    <n v="45684.82"/>
    <x v="0"/>
    <x v="0"/>
  </r>
  <r>
    <x v="44"/>
    <x v="44"/>
    <x v="42"/>
    <x v="2"/>
    <s v="SS046"/>
    <x v="91"/>
    <n v="2741.11"/>
    <x v="8"/>
    <x v="2"/>
  </r>
  <r>
    <x v="45"/>
    <x v="45"/>
    <x v="43"/>
    <x v="0"/>
    <s v="SS046"/>
    <x v="91"/>
    <n v="31392.38"/>
    <x v="0"/>
    <x v="0"/>
  </r>
  <r>
    <x v="45"/>
    <x v="45"/>
    <x v="43"/>
    <x v="2"/>
    <s v="SS046"/>
    <x v="91"/>
    <n v="1883.54"/>
    <x v="8"/>
    <x v="2"/>
  </r>
  <r>
    <x v="47"/>
    <x v="47"/>
    <x v="45"/>
    <x v="0"/>
    <s v="SS046"/>
    <x v="91"/>
    <n v="26326.86"/>
    <x v="0"/>
    <x v="0"/>
  </r>
  <r>
    <x v="47"/>
    <x v="47"/>
    <x v="45"/>
    <x v="2"/>
    <s v="SS046"/>
    <x v="91"/>
    <n v="1579.61"/>
    <x v="8"/>
    <x v="2"/>
  </r>
  <r>
    <x v="51"/>
    <x v="50"/>
    <x v="49"/>
    <x v="0"/>
    <s v="SS046"/>
    <x v="91"/>
    <n v="6077.96"/>
    <x v="0"/>
    <x v="0"/>
  </r>
  <r>
    <x v="51"/>
    <x v="50"/>
    <x v="49"/>
    <x v="2"/>
    <s v="SS046"/>
    <x v="91"/>
    <n v="364.68"/>
    <x v="8"/>
    <x v="2"/>
  </r>
  <r>
    <x v="52"/>
    <x v="51"/>
    <x v="50"/>
    <x v="0"/>
    <s v="SS046"/>
    <x v="91"/>
    <n v="45128.26"/>
    <x v="0"/>
    <x v="0"/>
  </r>
  <r>
    <x v="52"/>
    <x v="51"/>
    <x v="50"/>
    <x v="2"/>
    <s v="SS046"/>
    <x v="91"/>
    <n v="2707.7"/>
    <x v="8"/>
    <x v="2"/>
  </r>
  <r>
    <x v="0"/>
    <x v="0"/>
    <x v="0"/>
    <x v="0"/>
    <s v="SS050"/>
    <x v="92"/>
    <n v="4828.92"/>
    <x v="0"/>
    <x v="0"/>
  </r>
  <r>
    <x v="0"/>
    <x v="0"/>
    <x v="0"/>
    <x v="2"/>
    <s v="SS050"/>
    <x v="92"/>
    <n v="0.76"/>
    <x v="8"/>
    <x v="1"/>
  </r>
  <r>
    <x v="1"/>
    <x v="1"/>
    <x v="1"/>
    <x v="0"/>
    <s v="SS050"/>
    <x v="92"/>
    <n v="42607.28"/>
    <x v="0"/>
    <x v="0"/>
  </r>
  <r>
    <x v="1"/>
    <x v="1"/>
    <x v="1"/>
    <x v="2"/>
    <s v="SS050"/>
    <x v="92"/>
    <n v="6.85"/>
    <x v="8"/>
    <x v="1"/>
  </r>
  <r>
    <x v="2"/>
    <x v="2"/>
    <x v="2"/>
    <x v="0"/>
    <s v="SS050"/>
    <x v="92"/>
    <n v="61368.02"/>
    <x v="0"/>
    <x v="0"/>
  </r>
  <r>
    <x v="2"/>
    <x v="2"/>
    <x v="2"/>
    <x v="2"/>
    <s v="SS050"/>
    <x v="92"/>
    <n v="9.82"/>
    <x v="8"/>
    <x v="1"/>
  </r>
  <r>
    <x v="3"/>
    <x v="3"/>
    <x v="3"/>
    <x v="0"/>
    <s v="SS050"/>
    <x v="92"/>
    <n v="15076.95"/>
    <x v="0"/>
    <x v="0"/>
  </r>
  <r>
    <x v="3"/>
    <x v="3"/>
    <x v="3"/>
    <x v="2"/>
    <s v="SS050"/>
    <x v="92"/>
    <n v="2.41"/>
    <x v="8"/>
    <x v="1"/>
  </r>
  <r>
    <x v="4"/>
    <x v="4"/>
    <x v="4"/>
    <x v="0"/>
    <s v="SS050"/>
    <x v="92"/>
    <n v="19283.740000000002"/>
    <x v="0"/>
    <x v="0"/>
  </r>
  <r>
    <x v="4"/>
    <x v="4"/>
    <x v="4"/>
    <x v="2"/>
    <s v="SS050"/>
    <x v="92"/>
    <n v="3.09"/>
    <x v="8"/>
    <x v="1"/>
  </r>
  <r>
    <x v="5"/>
    <x v="5"/>
    <x v="5"/>
    <x v="0"/>
    <s v="SS050"/>
    <x v="92"/>
    <n v="45370.13"/>
    <x v="0"/>
    <x v="0"/>
  </r>
  <r>
    <x v="5"/>
    <x v="5"/>
    <x v="5"/>
    <x v="2"/>
    <s v="SS050"/>
    <x v="92"/>
    <n v="7.26"/>
    <x v="8"/>
    <x v="1"/>
  </r>
  <r>
    <x v="6"/>
    <x v="6"/>
    <x v="6"/>
    <x v="0"/>
    <s v="SS050"/>
    <x v="92"/>
    <n v="60709.03"/>
    <x v="0"/>
    <x v="0"/>
  </r>
  <r>
    <x v="6"/>
    <x v="6"/>
    <x v="6"/>
    <x v="2"/>
    <s v="SS050"/>
    <x v="92"/>
    <n v="9.74"/>
    <x v="8"/>
    <x v="1"/>
  </r>
  <r>
    <x v="7"/>
    <x v="7"/>
    <x v="7"/>
    <x v="0"/>
    <s v="SS050"/>
    <x v="92"/>
    <n v="53722.94"/>
    <x v="0"/>
    <x v="0"/>
  </r>
  <r>
    <x v="7"/>
    <x v="7"/>
    <x v="7"/>
    <x v="2"/>
    <s v="SS050"/>
    <x v="92"/>
    <n v="8.61"/>
    <x v="8"/>
    <x v="1"/>
  </r>
  <r>
    <x v="9"/>
    <x v="9"/>
    <x v="9"/>
    <x v="0"/>
    <s v="SS050"/>
    <x v="92"/>
    <n v="62989.04"/>
    <x v="0"/>
    <x v="0"/>
  </r>
  <r>
    <x v="9"/>
    <x v="9"/>
    <x v="9"/>
    <x v="2"/>
    <s v="SS050"/>
    <x v="92"/>
    <n v="10.07"/>
    <x v="8"/>
    <x v="1"/>
  </r>
  <r>
    <x v="10"/>
    <x v="10"/>
    <x v="10"/>
    <x v="0"/>
    <s v="SS050"/>
    <x v="92"/>
    <n v="136214.53"/>
    <x v="0"/>
    <x v="0"/>
  </r>
  <r>
    <x v="10"/>
    <x v="10"/>
    <x v="10"/>
    <x v="2"/>
    <s v="SS050"/>
    <x v="92"/>
    <n v="21.8"/>
    <x v="8"/>
    <x v="1"/>
  </r>
  <r>
    <x v="11"/>
    <x v="11"/>
    <x v="11"/>
    <x v="0"/>
    <s v="SS050"/>
    <x v="92"/>
    <n v="71102.789999999994"/>
    <x v="0"/>
    <x v="0"/>
  </r>
  <r>
    <x v="11"/>
    <x v="11"/>
    <x v="11"/>
    <x v="2"/>
    <s v="SS050"/>
    <x v="92"/>
    <n v="11.34"/>
    <x v="8"/>
    <x v="1"/>
  </r>
  <r>
    <x v="12"/>
    <x v="12"/>
    <x v="12"/>
    <x v="0"/>
    <s v="SS050"/>
    <x v="92"/>
    <n v="56665.37"/>
    <x v="0"/>
    <x v="0"/>
  </r>
  <r>
    <x v="12"/>
    <x v="12"/>
    <x v="12"/>
    <x v="2"/>
    <s v="SS050"/>
    <x v="92"/>
    <n v="9.11"/>
    <x v="8"/>
    <x v="1"/>
  </r>
  <r>
    <x v="13"/>
    <x v="13"/>
    <x v="13"/>
    <x v="0"/>
    <s v="SS050"/>
    <x v="92"/>
    <n v="27357.07"/>
    <x v="0"/>
    <x v="0"/>
  </r>
  <r>
    <x v="13"/>
    <x v="13"/>
    <x v="13"/>
    <x v="2"/>
    <s v="SS050"/>
    <x v="92"/>
    <n v="4.37"/>
    <x v="8"/>
    <x v="1"/>
  </r>
  <r>
    <x v="14"/>
    <x v="14"/>
    <x v="14"/>
    <x v="0"/>
    <s v="SS050"/>
    <x v="92"/>
    <n v="40454.120000000003"/>
    <x v="0"/>
    <x v="0"/>
  </r>
  <r>
    <x v="14"/>
    <x v="14"/>
    <x v="14"/>
    <x v="2"/>
    <s v="SS050"/>
    <x v="92"/>
    <n v="6.46"/>
    <x v="8"/>
    <x v="1"/>
  </r>
  <r>
    <x v="15"/>
    <x v="15"/>
    <x v="15"/>
    <x v="0"/>
    <s v="SS050"/>
    <x v="92"/>
    <n v="61446.32"/>
    <x v="0"/>
    <x v="0"/>
  </r>
  <r>
    <x v="15"/>
    <x v="15"/>
    <x v="15"/>
    <x v="2"/>
    <s v="SS050"/>
    <x v="92"/>
    <n v="9.85"/>
    <x v="8"/>
    <x v="1"/>
  </r>
  <r>
    <x v="16"/>
    <x v="16"/>
    <x v="16"/>
    <x v="0"/>
    <s v="SS050"/>
    <x v="92"/>
    <n v="31999.98"/>
    <x v="0"/>
    <x v="0"/>
  </r>
  <r>
    <x v="16"/>
    <x v="16"/>
    <x v="16"/>
    <x v="2"/>
    <s v="SS050"/>
    <x v="92"/>
    <n v="5.12"/>
    <x v="8"/>
    <x v="1"/>
  </r>
  <r>
    <x v="17"/>
    <x v="17"/>
    <x v="17"/>
    <x v="0"/>
    <s v="SS050"/>
    <x v="92"/>
    <n v="5765.88"/>
    <x v="0"/>
    <x v="0"/>
  </r>
  <r>
    <x v="17"/>
    <x v="17"/>
    <x v="17"/>
    <x v="2"/>
    <s v="SS050"/>
    <x v="92"/>
    <n v="0.92"/>
    <x v="8"/>
    <x v="1"/>
  </r>
  <r>
    <x v="18"/>
    <x v="18"/>
    <x v="18"/>
    <x v="0"/>
    <s v="SS050"/>
    <x v="92"/>
    <n v="96673.07"/>
    <x v="0"/>
    <x v="0"/>
  </r>
  <r>
    <x v="18"/>
    <x v="18"/>
    <x v="18"/>
    <x v="2"/>
    <s v="SS050"/>
    <x v="92"/>
    <n v="15.48"/>
    <x v="8"/>
    <x v="1"/>
  </r>
  <r>
    <x v="19"/>
    <x v="19"/>
    <x v="19"/>
    <x v="0"/>
    <s v="SS050"/>
    <x v="92"/>
    <n v="63921.65"/>
    <x v="0"/>
    <x v="0"/>
  </r>
  <r>
    <x v="19"/>
    <x v="19"/>
    <x v="19"/>
    <x v="2"/>
    <s v="SS050"/>
    <x v="92"/>
    <n v="10.220000000000001"/>
    <x v="8"/>
    <x v="1"/>
  </r>
  <r>
    <x v="20"/>
    <x v="20"/>
    <x v="20"/>
    <x v="0"/>
    <s v="SS050"/>
    <x v="92"/>
    <n v="68495.59"/>
    <x v="0"/>
    <x v="0"/>
  </r>
  <r>
    <x v="20"/>
    <x v="20"/>
    <x v="20"/>
    <x v="2"/>
    <s v="SS050"/>
    <x v="92"/>
    <n v="10.99"/>
    <x v="8"/>
    <x v="1"/>
  </r>
  <r>
    <x v="21"/>
    <x v="21"/>
    <x v="21"/>
    <x v="0"/>
    <s v="SS050"/>
    <x v="92"/>
    <n v="38087.230000000003"/>
    <x v="0"/>
    <x v="0"/>
  </r>
  <r>
    <x v="21"/>
    <x v="21"/>
    <x v="21"/>
    <x v="2"/>
    <s v="SS050"/>
    <x v="92"/>
    <n v="6.08"/>
    <x v="8"/>
    <x v="1"/>
  </r>
  <r>
    <x v="22"/>
    <x v="22"/>
    <x v="22"/>
    <x v="0"/>
    <s v="SS050"/>
    <x v="92"/>
    <n v="25472.84"/>
    <x v="0"/>
    <x v="0"/>
  </r>
  <r>
    <x v="22"/>
    <x v="22"/>
    <x v="22"/>
    <x v="2"/>
    <s v="SS050"/>
    <x v="92"/>
    <n v="4.08"/>
    <x v="8"/>
    <x v="1"/>
  </r>
  <r>
    <x v="23"/>
    <x v="23"/>
    <x v="23"/>
    <x v="0"/>
    <s v="SS050"/>
    <x v="92"/>
    <n v="39845.279999999999"/>
    <x v="0"/>
    <x v="0"/>
  </r>
  <r>
    <x v="23"/>
    <x v="23"/>
    <x v="23"/>
    <x v="2"/>
    <s v="SS050"/>
    <x v="92"/>
    <n v="6.39"/>
    <x v="8"/>
    <x v="1"/>
  </r>
  <r>
    <x v="24"/>
    <x v="24"/>
    <x v="7"/>
    <x v="0"/>
    <s v="SS050"/>
    <x v="92"/>
    <n v="7934.12"/>
    <x v="0"/>
    <x v="0"/>
  </r>
  <r>
    <x v="24"/>
    <x v="24"/>
    <x v="7"/>
    <x v="2"/>
    <s v="SS050"/>
    <x v="92"/>
    <n v="1.28"/>
    <x v="8"/>
    <x v="1"/>
  </r>
  <r>
    <x v="25"/>
    <x v="25"/>
    <x v="24"/>
    <x v="0"/>
    <s v="SS050"/>
    <x v="92"/>
    <n v="38855.14"/>
    <x v="0"/>
    <x v="0"/>
  </r>
  <r>
    <x v="25"/>
    <x v="25"/>
    <x v="24"/>
    <x v="2"/>
    <s v="SS050"/>
    <x v="92"/>
    <n v="6.21"/>
    <x v="8"/>
    <x v="1"/>
  </r>
  <r>
    <x v="26"/>
    <x v="26"/>
    <x v="25"/>
    <x v="0"/>
    <s v="SS050"/>
    <x v="92"/>
    <n v="59572.69"/>
    <x v="0"/>
    <x v="0"/>
  </r>
  <r>
    <x v="26"/>
    <x v="26"/>
    <x v="25"/>
    <x v="2"/>
    <s v="SS050"/>
    <x v="92"/>
    <n v="9.5500000000000007"/>
    <x v="8"/>
    <x v="1"/>
  </r>
  <r>
    <x v="28"/>
    <x v="28"/>
    <x v="27"/>
    <x v="0"/>
    <s v="SS050"/>
    <x v="92"/>
    <n v="10674.95"/>
    <x v="0"/>
    <x v="0"/>
  </r>
  <r>
    <x v="28"/>
    <x v="28"/>
    <x v="27"/>
    <x v="2"/>
    <s v="SS050"/>
    <x v="92"/>
    <n v="1.7"/>
    <x v="8"/>
    <x v="1"/>
  </r>
  <r>
    <x v="29"/>
    <x v="29"/>
    <x v="6"/>
    <x v="0"/>
    <s v="SS050"/>
    <x v="92"/>
    <n v="38311.83"/>
    <x v="0"/>
    <x v="0"/>
  </r>
  <r>
    <x v="29"/>
    <x v="29"/>
    <x v="6"/>
    <x v="2"/>
    <s v="SS050"/>
    <x v="92"/>
    <n v="6.11"/>
    <x v="8"/>
    <x v="1"/>
  </r>
  <r>
    <x v="30"/>
    <x v="30"/>
    <x v="28"/>
    <x v="0"/>
    <s v="SS050"/>
    <x v="92"/>
    <n v="61604.34"/>
    <x v="0"/>
    <x v="0"/>
  </r>
  <r>
    <x v="30"/>
    <x v="30"/>
    <x v="28"/>
    <x v="2"/>
    <s v="SS050"/>
    <x v="92"/>
    <n v="9.8699999999999992"/>
    <x v="8"/>
    <x v="1"/>
  </r>
  <r>
    <x v="31"/>
    <x v="31"/>
    <x v="29"/>
    <x v="0"/>
    <s v="SS050"/>
    <x v="92"/>
    <n v="59393.65"/>
    <x v="0"/>
    <x v="0"/>
  </r>
  <r>
    <x v="31"/>
    <x v="31"/>
    <x v="29"/>
    <x v="2"/>
    <s v="SS050"/>
    <x v="92"/>
    <n v="9.5299999999999994"/>
    <x v="8"/>
    <x v="1"/>
  </r>
  <r>
    <x v="32"/>
    <x v="32"/>
    <x v="30"/>
    <x v="0"/>
    <s v="SS050"/>
    <x v="92"/>
    <n v="48974.5"/>
    <x v="0"/>
    <x v="0"/>
  </r>
  <r>
    <x v="32"/>
    <x v="32"/>
    <x v="30"/>
    <x v="2"/>
    <s v="SS050"/>
    <x v="92"/>
    <n v="7.84"/>
    <x v="8"/>
    <x v="1"/>
  </r>
  <r>
    <x v="33"/>
    <x v="33"/>
    <x v="31"/>
    <x v="0"/>
    <s v="SS050"/>
    <x v="92"/>
    <n v="43774.64"/>
    <x v="0"/>
    <x v="0"/>
  </r>
  <r>
    <x v="33"/>
    <x v="33"/>
    <x v="31"/>
    <x v="2"/>
    <s v="SS050"/>
    <x v="92"/>
    <n v="6.99"/>
    <x v="8"/>
    <x v="1"/>
  </r>
  <r>
    <x v="34"/>
    <x v="34"/>
    <x v="32"/>
    <x v="0"/>
    <s v="SS050"/>
    <x v="92"/>
    <n v="70385.62"/>
    <x v="0"/>
    <x v="0"/>
  </r>
  <r>
    <x v="34"/>
    <x v="34"/>
    <x v="32"/>
    <x v="2"/>
    <s v="SS050"/>
    <x v="92"/>
    <n v="11.23"/>
    <x v="8"/>
    <x v="1"/>
  </r>
  <r>
    <x v="35"/>
    <x v="35"/>
    <x v="33"/>
    <x v="0"/>
    <s v="SS050"/>
    <x v="92"/>
    <n v="38315.9"/>
    <x v="0"/>
    <x v="0"/>
  </r>
  <r>
    <x v="35"/>
    <x v="35"/>
    <x v="33"/>
    <x v="2"/>
    <s v="SS050"/>
    <x v="92"/>
    <n v="6.12"/>
    <x v="8"/>
    <x v="1"/>
  </r>
  <r>
    <x v="36"/>
    <x v="36"/>
    <x v="34"/>
    <x v="0"/>
    <s v="SS050"/>
    <x v="92"/>
    <n v="5765.88"/>
    <x v="0"/>
    <x v="0"/>
  </r>
  <r>
    <x v="36"/>
    <x v="36"/>
    <x v="34"/>
    <x v="2"/>
    <s v="SS050"/>
    <x v="92"/>
    <n v="0.92"/>
    <x v="8"/>
    <x v="1"/>
  </r>
  <r>
    <x v="37"/>
    <x v="37"/>
    <x v="35"/>
    <x v="0"/>
    <s v="SS050"/>
    <x v="92"/>
    <n v="38778.019999999997"/>
    <x v="0"/>
    <x v="0"/>
  </r>
  <r>
    <x v="37"/>
    <x v="37"/>
    <x v="35"/>
    <x v="2"/>
    <s v="SS050"/>
    <x v="92"/>
    <n v="6.2"/>
    <x v="8"/>
    <x v="1"/>
  </r>
  <r>
    <x v="38"/>
    <x v="38"/>
    <x v="36"/>
    <x v="0"/>
    <s v="SS050"/>
    <x v="92"/>
    <n v="138740.99"/>
    <x v="0"/>
    <x v="0"/>
  </r>
  <r>
    <x v="38"/>
    <x v="38"/>
    <x v="36"/>
    <x v="2"/>
    <s v="SS050"/>
    <x v="92"/>
    <n v="22.22"/>
    <x v="8"/>
    <x v="1"/>
  </r>
  <r>
    <x v="39"/>
    <x v="39"/>
    <x v="37"/>
    <x v="0"/>
    <s v="SS050"/>
    <x v="92"/>
    <n v="18490.8"/>
    <x v="0"/>
    <x v="0"/>
  </r>
  <r>
    <x v="39"/>
    <x v="39"/>
    <x v="37"/>
    <x v="2"/>
    <s v="SS050"/>
    <x v="92"/>
    <n v="2.93"/>
    <x v="8"/>
    <x v="1"/>
  </r>
  <r>
    <x v="40"/>
    <x v="40"/>
    <x v="38"/>
    <x v="0"/>
    <s v="SS050"/>
    <x v="92"/>
    <n v="58661.4"/>
    <x v="0"/>
    <x v="0"/>
  </r>
  <r>
    <x v="40"/>
    <x v="40"/>
    <x v="38"/>
    <x v="2"/>
    <s v="SS050"/>
    <x v="92"/>
    <n v="9.42"/>
    <x v="8"/>
    <x v="1"/>
  </r>
  <r>
    <x v="41"/>
    <x v="41"/>
    <x v="39"/>
    <x v="0"/>
    <s v="SS050"/>
    <x v="92"/>
    <n v="58329.01"/>
    <x v="0"/>
    <x v="0"/>
  </r>
  <r>
    <x v="41"/>
    <x v="41"/>
    <x v="39"/>
    <x v="2"/>
    <s v="SS050"/>
    <x v="92"/>
    <n v="9.36"/>
    <x v="8"/>
    <x v="1"/>
  </r>
  <r>
    <x v="42"/>
    <x v="42"/>
    <x v="40"/>
    <x v="0"/>
    <s v="SS050"/>
    <x v="92"/>
    <n v="79172.740000000005"/>
    <x v="0"/>
    <x v="0"/>
  </r>
  <r>
    <x v="42"/>
    <x v="42"/>
    <x v="40"/>
    <x v="2"/>
    <s v="SS050"/>
    <x v="92"/>
    <n v="12.65"/>
    <x v="8"/>
    <x v="1"/>
  </r>
  <r>
    <x v="43"/>
    <x v="43"/>
    <x v="41"/>
    <x v="0"/>
    <s v="SS050"/>
    <x v="92"/>
    <n v="56944.02"/>
    <x v="0"/>
    <x v="0"/>
  </r>
  <r>
    <x v="43"/>
    <x v="43"/>
    <x v="41"/>
    <x v="2"/>
    <s v="SS050"/>
    <x v="92"/>
    <n v="9.14"/>
    <x v="8"/>
    <x v="1"/>
  </r>
  <r>
    <x v="44"/>
    <x v="44"/>
    <x v="42"/>
    <x v="0"/>
    <s v="SS050"/>
    <x v="92"/>
    <n v="45684.82"/>
    <x v="0"/>
    <x v="0"/>
  </r>
  <r>
    <x v="44"/>
    <x v="44"/>
    <x v="42"/>
    <x v="2"/>
    <s v="SS050"/>
    <x v="92"/>
    <n v="7.3"/>
    <x v="8"/>
    <x v="1"/>
  </r>
  <r>
    <x v="45"/>
    <x v="45"/>
    <x v="43"/>
    <x v="0"/>
    <s v="SS050"/>
    <x v="92"/>
    <n v="31392.38"/>
    <x v="0"/>
    <x v="0"/>
  </r>
  <r>
    <x v="45"/>
    <x v="45"/>
    <x v="43"/>
    <x v="2"/>
    <s v="SS050"/>
    <x v="92"/>
    <n v="5.03"/>
    <x v="8"/>
    <x v="1"/>
  </r>
  <r>
    <x v="46"/>
    <x v="46"/>
    <x v="44"/>
    <x v="0"/>
    <s v="SS050"/>
    <x v="92"/>
    <n v="7716.54"/>
    <x v="0"/>
    <x v="0"/>
  </r>
  <r>
    <x v="46"/>
    <x v="46"/>
    <x v="44"/>
    <x v="2"/>
    <s v="SS050"/>
    <x v="92"/>
    <n v="1.24"/>
    <x v="8"/>
    <x v="1"/>
  </r>
  <r>
    <x v="47"/>
    <x v="47"/>
    <x v="45"/>
    <x v="0"/>
    <s v="SS050"/>
    <x v="92"/>
    <n v="26326.86"/>
    <x v="0"/>
    <x v="0"/>
  </r>
  <r>
    <x v="47"/>
    <x v="47"/>
    <x v="45"/>
    <x v="2"/>
    <s v="SS050"/>
    <x v="92"/>
    <n v="4.2"/>
    <x v="8"/>
    <x v="1"/>
  </r>
  <r>
    <x v="48"/>
    <x v="48"/>
    <x v="46"/>
    <x v="0"/>
    <s v="SS050"/>
    <x v="92"/>
    <n v="7840.63"/>
    <x v="0"/>
    <x v="0"/>
  </r>
  <r>
    <x v="48"/>
    <x v="48"/>
    <x v="46"/>
    <x v="2"/>
    <s v="SS050"/>
    <x v="92"/>
    <n v="1.27"/>
    <x v="8"/>
    <x v="1"/>
  </r>
  <r>
    <x v="49"/>
    <x v="49"/>
    <x v="47"/>
    <x v="0"/>
    <s v="SS050"/>
    <x v="92"/>
    <n v="3399.94"/>
    <x v="0"/>
    <x v="0"/>
  </r>
  <r>
    <x v="49"/>
    <x v="49"/>
    <x v="47"/>
    <x v="2"/>
    <s v="SS050"/>
    <x v="92"/>
    <n v="0.54"/>
    <x v="8"/>
    <x v="1"/>
  </r>
  <r>
    <x v="50"/>
    <x v="49"/>
    <x v="48"/>
    <x v="0"/>
    <s v="SS050"/>
    <x v="92"/>
    <n v="36818.67"/>
    <x v="0"/>
    <x v="0"/>
  </r>
  <r>
    <x v="50"/>
    <x v="49"/>
    <x v="48"/>
    <x v="2"/>
    <s v="SS050"/>
    <x v="92"/>
    <n v="5.88"/>
    <x v="8"/>
    <x v="1"/>
  </r>
  <r>
    <x v="51"/>
    <x v="50"/>
    <x v="49"/>
    <x v="0"/>
    <s v="SS050"/>
    <x v="92"/>
    <n v="6077.96"/>
    <x v="0"/>
    <x v="0"/>
  </r>
  <r>
    <x v="51"/>
    <x v="50"/>
    <x v="49"/>
    <x v="2"/>
    <s v="SS050"/>
    <x v="92"/>
    <n v="0.97"/>
    <x v="8"/>
    <x v="1"/>
  </r>
  <r>
    <x v="52"/>
    <x v="51"/>
    <x v="50"/>
    <x v="0"/>
    <s v="SS050"/>
    <x v="92"/>
    <n v="45128.26"/>
    <x v="0"/>
    <x v="0"/>
  </r>
  <r>
    <x v="52"/>
    <x v="51"/>
    <x v="50"/>
    <x v="2"/>
    <s v="SS050"/>
    <x v="92"/>
    <n v="7.24"/>
    <x v="8"/>
    <x v="1"/>
  </r>
  <r>
    <x v="53"/>
    <x v="52"/>
    <x v="48"/>
    <x v="0"/>
    <s v="SS050"/>
    <x v="92"/>
    <n v="6819.94"/>
    <x v="0"/>
    <x v="0"/>
  </r>
  <r>
    <x v="53"/>
    <x v="52"/>
    <x v="48"/>
    <x v="2"/>
    <s v="SS050"/>
    <x v="92"/>
    <n v="1.0900000000000001"/>
    <x v="8"/>
    <x v="1"/>
  </r>
  <r>
    <x v="0"/>
    <x v="0"/>
    <x v="0"/>
    <x v="0"/>
    <s v="CH001"/>
    <x v="93"/>
    <n v="3603.68"/>
    <x v="0"/>
    <x v="0"/>
  </r>
  <r>
    <x v="0"/>
    <x v="0"/>
    <x v="0"/>
    <x v="2"/>
    <s v="CH001"/>
    <x v="93"/>
    <n v="144.16"/>
    <x v="8"/>
    <x v="2"/>
  </r>
  <r>
    <x v="17"/>
    <x v="17"/>
    <x v="17"/>
    <x v="0"/>
    <s v="CH001"/>
    <x v="93"/>
    <n v="3603.68"/>
    <x v="0"/>
    <x v="0"/>
  </r>
  <r>
    <x v="17"/>
    <x v="17"/>
    <x v="17"/>
    <x v="2"/>
    <s v="CH001"/>
    <x v="93"/>
    <n v="144.16"/>
    <x v="8"/>
    <x v="2"/>
  </r>
  <r>
    <x v="24"/>
    <x v="24"/>
    <x v="7"/>
    <x v="0"/>
    <s v="CH001"/>
    <x v="93"/>
    <n v="7934.12"/>
    <x v="0"/>
    <x v="0"/>
  </r>
  <r>
    <x v="24"/>
    <x v="24"/>
    <x v="7"/>
    <x v="2"/>
    <s v="CH001"/>
    <x v="93"/>
    <n v="319.36"/>
    <x v="8"/>
    <x v="2"/>
  </r>
  <r>
    <x v="36"/>
    <x v="36"/>
    <x v="34"/>
    <x v="0"/>
    <s v="CH001"/>
    <x v="93"/>
    <n v="3603.68"/>
    <x v="0"/>
    <x v="0"/>
  </r>
  <r>
    <x v="36"/>
    <x v="36"/>
    <x v="34"/>
    <x v="2"/>
    <s v="CH001"/>
    <x v="93"/>
    <n v="144.16"/>
    <x v="8"/>
    <x v="2"/>
  </r>
  <r>
    <x v="46"/>
    <x v="46"/>
    <x v="44"/>
    <x v="0"/>
    <s v="CH001"/>
    <x v="93"/>
    <n v="7716.54"/>
    <x v="0"/>
    <x v="0"/>
  </r>
  <r>
    <x v="46"/>
    <x v="46"/>
    <x v="44"/>
    <x v="2"/>
    <s v="CH001"/>
    <x v="93"/>
    <n v="310.64"/>
    <x v="8"/>
    <x v="2"/>
  </r>
  <r>
    <x v="48"/>
    <x v="48"/>
    <x v="46"/>
    <x v="0"/>
    <s v="CH001"/>
    <x v="93"/>
    <n v="7840.63"/>
    <x v="0"/>
    <x v="0"/>
  </r>
  <r>
    <x v="48"/>
    <x v="48"/>
    <x v="46"/>
    <x v="2"/>
    <s v="CH001"/>
    <x v="93"/>
    <n v="315.55"/>
    <x v="8"/>
    <x v="2"/>
  </r>
  <r>
    <x v="0"/>
    <x v="0"/>
    <x v="0"/>
    <x v="0"/>
    <s v="CH001"/>
    <x v="94"/>
    <n v="1225.24"/>
    <x v="0"/>
    <x v="0"/>
  </r>
  <r>
    <x v="0"/>
    <x v="0"/>
    <x v="0"/>
    <x v="2"/>
    <s v="CH001"/>
    <x v="94"/>
    <n v="49"/>
    <x v="8"/>
    <x v="2"/>
  </r>
  <r>
    <x v="1"/>
    <x v="1"/>
    <x v="1"/>
    <x v="0"/>
    <s v="CH001"/>
    <x v="94"/>
    <n v="42607.28"/>
    <x v="0"/>
    <x v="0"/>
  </r>
  <r>
    <x v="1"/>
    <x v="1"/>
    <x v="1"/>
    <x v="2"/>
    <s v="CH001"/>
    <x v="94"/>
    <n v="1712.29"/>
    <x v="8"/>
    <x v="2"/>
  </r>
  <r>
    <x v="2"/>
    <x v="2"/>
    <x v="2"/>
    <x v="0"/>
    <s v="CH001"/>
    <x v="94"/>
    <n v="61368.02"/>
    <x v="0"/>
    <x v="0"/>
  </r>
  <r>
    <x v="2"/>
    <x v="2"/>
    <x v="2"/>
    <x v="2"/>
    <s v="CH001"/>
    <x v="94"/>
    <n v="2465.39"/>
    <x v="8"/>
    <x v="2"/>
  </r>
  <r>
    <x v="3"/>
    <x v="3"/>
    <x v="3"/>
    <x v="0"/>
    <s v="CH001"/>
    <x v="94"/>
    <n v="15076.95"/>
    <x v="0"/>
    <x v="0"/>
  </r>
  <r>
    <x v="3"/>
    <x v="3"/>
    <x v="3"/>
    <x v="2"/>
    <s v="CH001"/>
    <x v="94"/>
    <n v="610.62"/>
    <x v="8"/>
    <x v="2"/>
  </r>
  <r>
    <x v="4"/>
    <x v="4"/>
    <x v="4"/>
    <x v="0"/>
    <s v="CH001"/>
    <x v="94"/>
    <n v="19283.740000000002"/>
    <x v="0"/>
    <x v="0"/>
  </r>
  <r>
    <x v="4"/>
    <x v="4"/>
    <x v="4"/>
    <x v="2"/>
    <s v="CH001"/>
    <x v="94"/>
    <n v="774.18"/>
    <x v="8"/>
    <x v="2"/>
  </r>
  <r>
    <x v="5"/>
    <x v="5"/>
    <x v="5"/>
    <x v="0"/>
    <s v="CH001"/>
    <x v="94"/>
    <n v="45370.13"/>
    <x v="0"/>
    <x v="0"/>
  </r>
  <r>
    <x v="5"/>
    <x v="5"/>
    <x v="5"/>
    <x v="2"/>
    <s v="CH001"/>
    <x v="94"/>
    <n v="1822.48"/>
    <x v="8"/>
    <x v="2"/>
  </r>
  <r>
    <x v="6"/>
    <x v="6"/>
    <x v="6"/>
    <x v="0"/>
    <s v="CH001"/>
    <x v="94"/>
    <n v="60709.03"/>
    <x v="0"/>
    <x v="0"/>
  </r>
  <r>
    <x v="6"/>
    <x v="6"/>
    <x v="6"/>
    <x v="2"/>
    <s v="CH001"/>
    <x v="94"/>
    <n v="2439.41"/>
    <x v="8"/>
    <x v="2"/>
  </r>
  <r>
    <x v="7"/>
    <x v="7"/>
    <x v="7"/>
    <x v="0"/>
    <s v="CH001"/>
    <x v="94"/>
    <n v="53722.94"/>
    <x v="0"/>
    <x v="0"/>
  </r>
  <r>
    <x v="7"/>
    <x v="7"/>
    <x v="7"/>
    <x v="2"/>
    <s v="CH001"/>
    <x v="94"/>
    <n v="2159.31"/>
    <x v="8"/>
    <x v="2"/>
  </r>
  <r>
    <x v="9"/>
    <x v="9"/>
    <x v="9"/>
    <x v="0"/>
    <s v="CH001"/>
    <x v="94"/>
    <n v="62989.04"/>
    <x v="0"/>
    <x v="0"/>
  </r>
  <r>
    <x v="9"/>
    <x v="9"/>
    <x v="9"/>
    <x v="2"/>
    <s v="CH001"/>
    <x v="94"/>
    <n v="2531.42"/>
    <x v="8"/>
    <x v="2"/>
  </r>
  <r>
    <x v="10"/>
    <x v="10"/>
    <x v="10"/>
    <x v="0"/>
    <s v="CH001"/>
    <x v="94"/>
    <n v="136214.53"/>
    <x v="0"/>
    <x v="0"/>
  </r>
  <r>
    <x v="10"/>
    <x v="10"/>
    <x v="10"/>
    <x v="2"/>
    <s v="CH001"/>
    <x v="94"/>
    <n v="5476.86"/>
    <x v="8"/>
    <x v="2"/>
  </r>
  <r>
    <x v="11"/>
    <x v="11"/>
    <x v="11"/>
    <x v="0"/>
    <s v="CH001"/>
    <x v="94"/>
    <n v="71102.789999999994"/>
    <x v="0"/>
    <x v="0"/>
  </r>
  <r>
    <x v="11"/>
    <x v="11"/>
    <x v="11"/>
    <x v="2"/>
    <s v="CH001"/>
    <x v="94"/>
    <n v="2857.29"/>
    <x v="8"/>
    <x v="2"/>
  </r>
  <r>
    <x v="12"/>
    <x v="12"/>
    <x v="12"/>
    <x v="0"/>
    <s v="CH001"/>
    <x v="94"/>
    <n v="56665.37"/>
    <x v="0"/>
    <x v="0"/>
  </r>
  <r>
    <x v="12"/>
    <x v="12"/>
    <x v="12"/>
    <x v="2"/>
    <s v="CH001"/>
    <x v="94"/>
    <n v="2276.46"/>
    <x v="8"/>
    <x v="2"/>
  </r>
  <r>
    <x v="13"/>
    <x v="13"/>
    <x v="13"/>
    <x v="0"/>
    <s v="CH001"/>
    <x v="94"/>
    <n v="27357.07"/>
    <x v="0"/>
    <x v="0"/>
  </r>
  <r>
    <x v="13"/>
    <x v="13"/>
    <x v="13"/>
    <x v="2"/>
    <s v="CH001"/>
    <x v="94"/>
    <n v="1100.6099999999999"/>
    <x v="8"/>
    <x v="2"/>
  </r>
  <r>
    <x v="14"/>
    <x v="14"/>
    <x v="14"/>
    <x v="0"/>
    <s v="CH001"/>
    <x v="94"/>
    <n v="40454.120000000003"/>
    <x v="0"/>
    <x v="0"/>
  </r>
  <r>
    <x v="14"/>
    <x v="14"/>
    <x v="14"/>
    <x v="2"/>
    <s v="CH001"/>
    <x v="94"/>
    <n v="1623.54"/>
    <x v="8"/>
    <x v="2"/>
  </r>
  <r>
    <x v="15"/>
    <x v="15"/>
    <x v="15"/>
    <x v="0"/>
    <s v="CH001"/>
    <x v="94"/>
    <n v="61446.32"/>
    <x v="0"/>
    <x v="0"/>
  </r>
  <r>
    <x v="15"/>
    <x v="15"/>
    <x v="15"/>
    <x v="2"/>
    <s v="CH001"/>
    <x v="94"/>
    <n v="2468.85"/>
    <x v="8"/>
    <x v="2"/>
  </r>
  <r>
    <x v="16"/>
    <x v="16"/>
    <x v="16"/>
    <x v="0"/>
    <s v="CH001"/>
    <x v="94"/>
    <n v="31999.98"/>
    <x v="0"/>
    <x v="0"/>
  </r>
  <r>
    <x v="16"/>
    <x v="16"/>
    <x v="16"/>
    <x v="2"/>
    <s v="CH001"/>
    <x v="94"/>
    <n v="1285.3"/>
    <x v="8"/>
    <x v="2"/>
  </r>
  <r>
    <x v="17"/>
    <x v="17"/>
    <x v="17"/>
    <x v="0"/>
    <s v="CH001"/>
    <x v="94"/>
    <n v="2162.1999999999998"/>
    <x v="0"/>
    <x v="0"/>
  </r>
  <r>
    <x v="17"/>
    <x v="17"/>
    <x v="17"/>
    <x v="2"/>
    <s v="CH001"/>
    <x v="94"/>
    <n v="86.48"/>
    <x v="8"/>
    <x v="2"/>
  </r>
  <r>
    <x v="18"/>
    <x v="18"/>
    <x v="18"/>
    <x v="0"/>
    <s v="CH001"/>
    <x v="94"/>
    <n v="96673.07"/>
    <x v="0"/>
    <x v="0"/>
  </r>
  <r>
    <x v="18"/>
    <x v="18"/>
    <x v="18"/>
    <x v="2"/>
    <s v="CH001"/>
    <x v="94"/>
    <n v="3885.31"/>
    <x v="8"/>
    <x v="2"/>
  </r>
  <r>
    <x v="19"/>
    <x v="19"/>
    <x v="19"/>
    <x v="0"/>
    <s v="CH001"/>
    <x v="94"/>
    <n v="63921.65"/>
    <x v="0"/>
    <x v="0"/>
  </r>
  <r>
    <x v="19"/>
    <x v="19"/>
    <x v="19"/>
    <x v="2"/>
    <s v="CH001"/>
    <x v="94"/>
    <n v="2568.6999999999998"/>
    <x v="8"/>
    <x v="2"/>
  </r>
  <r>
    <x v="20"/>
    <x v="20"/>
    <x v="20"/>
    <x v="0"/>
    <s v="CH001"/>
    <x v="94"/>
    <n v="68495.59"/>
    <x v="0"/>
    <x v="0"/>
  </r>
  <r>
    <x v="20"/>
    <x v="20"/>
    <x v="20"/>
    <x v="2"/>
    <s v="CH001"/>
    <x v="94"/>
    <n v="2752.92"/>
    <x v="8"/>
    <x v="2"/>
  </r>
  <r>
    <x v="21"/>
    <x v="21"/>
    <x v="21"/>
    <x v="0"/>
    <s v="CH001"/>
    <x v="94"/>
    <n v="38087.230000000003"/>
    <x v="0"/>
    <x v="0"/>
  </r>
  <r>
    <x v="21"/>
    <x v="21"/>
    <x v="21"/>
    <x v="2"/>
    <s v="CH001"/>
    <x v="94"/>
    <n v="1530.33"/>
    <x v="8"/>
    <x v="2"/>
  </r>
  <r>
    <x v="22"/>
    <x v="22"/>
    <x v="22"/>
    <x v="0"/>
    <s v="CH001"/>
    <x v="94"/>
    <n v="25472.84"/>
    <x v="0"/>
    <x v="0"/>
  </r>
  <r>
    <x v="22"/>
    <x v="22"/>
    <x v="22"/>
    <x v="2"/>
    <s v="CH001"/>
    <x v="94"/>
    <n v="1026.1199999999999"/>
    <x v="8"/>
    <x v="2"/>
  </r>
  <r>
    <x v="23"/>
    <x v="23"/>
    <x v="23"/>
    <x v="0"/>
    <s v="CH001"/>
    <x v="94"/>
    <n v="39845.279999999999"/>
    <x v="0"/>
    <x v="0"/>
  </r>
  <r>
    <x v="23"/>
    <x v="23"/>
    <x v="23"/>
    <x v="2"/>
    <s v="CH001"/>
    <x v="94"/>
    <n v="1601.15"/>
    <x v="8"/>
    <x v="2"/>
  </r>
  <r>
    <x v="25"/>
    <x v="25"/>
    <x v="24"/>
    <x v="0"/>
    <s v="CH001"/>
    <x v="94"/>
    <n v="38855.14"/>
    <x v="0"/>
    <x v="0"/>
  </r>
  <r>
    <x v="25"/>
    <x v="25"/>
    <x v="24"/>
    <x v="2"/>
    <s v="CH001"/>
    <x v="94"/>
    <n v="1561.27"/>
    <x v="8"/>
    <x v="2"/>
  </r>
  <r>
    <x v="26"/>
    <x v="26"/>
    <x v="25"/>
    <x v="0"/>
    <s v="CH001"/>
    <x v="94"/>
    <n v="59572.69"/>
    <x v="0"/>
    <x v="0"/>
  </r>
  <r>
    <x v="26"/>
    <x v="26"/>
    <x v="25"/>
    <x v="2"/>
    <s v="CH001"/>
    <x v="94"/>
    <n v="2393.42"/>
    <x v="8"/>
    <x v="2"/>
  </r>
  <r>
    <x v="28"/>
    <x v="28"/>
    <x v="27"/>
    <x v="0"/>
    <s v="CH001"/>
    <x v="94"/>
    <n v="10674.95"/>
    <x v="0"/>
    <x v="0"/>
  </r>
  <r>
    <x v="28"/>
    <x v="28"/>
    <x v="27"/>
    <x v="2"/>
    <s v="CH001"/>
    <x v="94"/>
    <n v="432.33"/>
    <x v="8"/>
    <x v="2"/>
  </r>
  <r>
    <x v="29"/>
    <x v="29"/>
    <x v="6"/>
    <x v="0"/>
    <s v="CH001"/>
    <x v="94"/>
    <n v="38311.83"/>
    <x v="0"/>
    <x v="0"/>
  </r>
  <r>
    <x v="29"/>
    <x v="29"/>
    <x v="6"/>
    <x v="2"/>
    <s v="CH001"/>
    <x v="94"/>
    <n v="1539.51"/>
    <x v="8"/>
    <x v="2"/>
  </r>
  <r>
    <x v="30"/>
    <x v="30"/>
    <x v="28"/>
    <x v="0"/>
    <s v="CH001"/>
    <x v="94"/>
    <n v="61604.34"/>
    <x v="0"/>
    <x v="0"/>
  </r>
  <r>
    <x v="30"/>
    <x v="30"/>
    <x v="28"/>
    <x v="2"/>
    <s v="CH001"/>
    <x v="94"/>
    <n v="2475.67"/>
    <x v="8"/>
    <x v="2"/>
  </r>
  <r>
    <x v="31"/>
    <x v="31"/>
    <x v="29"/>
    <x v="0"/>
    <s v="CH001"/>
    <x v="94"/>
    <n v="59393.65"/>
    <x v="0"/>
    <x v="0"/>
  </r>
  <r>
    <x v="31"/>
    <x v="31"/>
    <x v="29"/>
    <x v="2"/>
    <s v="CH001"/>
    <x v="94"/>
    <n v="2386.19"/>
    <x v="8"/>
    <x v="2"/>
  </r>
  <r>
    <x v="32"/>
    <x v="32"/>
    <x v="30"/>
    <x v="0"/>
    <s v="CH001"/>
    <x v="94"/>
    <n v="48974.5"/>
    <x v="0"/>
    <x v="0"/>
  </r>
  <r>
    <x v="32"/>
    <x v="32"/>
    <x v="30"/>
    <x v="2"/>
    <s v="CH001"/>
    <x v="94"/>
    <n v="1967.46"/>
    <x v="8"/>
    <x v="2"/>
  </r>
  <r>
    <x v="33"/>
    <x v="33"/>
    <x v="31"/>
    <x v="0"/>
    <s v="CH001"/>
    <x v="94"/>
    <n v="43774.64"/>
    <x v="0"/>
    <x v="0"/>
  </r>
  <r>
    <x v="33"/>
    <x v="33"/>
    <x v="31"/>
    <x v="2"/>
    <s v="CH001"/>
    <x v="94"/>
    <n v="1758.8"/>
    <x v="8"/>
    <x v="2"/>
  </r>
  <r>
    <x v="34"/>
    <x v="34"/>
    <x v="32"/>
    <x v="0"/>
    <s v="CH001"/>
    <x v="94"/>
    <n v="70385.62"/>
    <x v="0"/>
    <x v="0"/>
  </r>
  <r>
    <x v="34"/>
    <x v="34"/>
    <x v="32"/>
    <x v="2"/>
    <s v="CH001"/>
    <x v="94"/>
    <n v="2829.64"/>
    <x v="8"/>
    <x v="2"/>
  </r>
  <r>
    <x v="35"/>
    <x v="35"/>
    <x v="33"/>
    <x v="0"/>
    <s v="CH001"/>
    <x v="94"/>
    <n v="38315.9"/>
    <x v="0"/>
    <x v="0"/>
  </r>
  <r>
    <x v="35"/>
    <x v="35"/>
    <x v="33"/>
    <x v="2"/>
    <s v="CH001"/>
    <x v="94"/>
    <n v="1539.4"/>
    <x v="8"/>
    <x v="2"/>
  </r>
  <r>
    <x v="36"/>
    <x v="36"/>
    <x v="34"/>
    <x v="0"/>
    <s v="CH001"/>
    <x v="94"/>
    <n v="2162.1999999999998"/>
    <x v="0"/>
    <x v="0"/>
  </r>
  <r>
    <x v="36"/>
    <x v="36"/>
    <x v="34"/>
    <x v="2"/>
    <s v="CH001"/>
    <x v="94"/>
    <n v="86.48"/>
    <x v="8"/>
    <x v="2"/>
  </r>
  <r>
    <x v="37"/>
    <x v="37"/>
    <x v="35"/>
    <x v="0"/>
    <s v="CH001"/>
    <x v="94"/>
    <n v="38778.019999999997"/>
    <x v="0"/>
    <x v="0"/>
  </r>
  <r>
    <x v="37"/>
    <x v="37"/>
    <x v="35"/>
    <x v="2"/>
    <s v="CH001"/>
    <x v="94"/>
    <n v="1557.59"/>
    <x v="8"/>
    <x v="2"/>
  </r>
  <r>
    <x v="38"/>
    <x v="38"/>
    <x v="36"/>
    <x v="0"/>
    <s v="CH001"/>
    <x v="94"/>
    <n v="138740.99"/>
    <x v="0"/>
    <x v="0"/>
  </r>
  <r>
    <x v="38"/>
    <x v="38"/>
    <x v="36"/>
    <x v="2"/>
    <s v="CH001"/>
    <x v="94"/>
    <n v="5576.51"/>
    <x v="8"/>
    <x v="2"/>
  </r>
  <r>
    <x v="39"/>
    <x v="39"/>
    <x v="37"/>
    <x v="0"/>
    <s v="CH001"/>
    <x v="94"/>
    <n v="18490.8"/>
    <x v="0"/>
    <x v="0"/>
  </r>
  <r>
    <x v="39"/>
    <x v="39"/>
    <x v="37"/>
    <x v="2"/>
    <s v="CH001"/>
    <x v="94"/>
    <n v="739.66"/>
    <x v="8"/>
    <x v="2"/>
  </r>
  <r>
    <x v="40"/>
    <x v="40"/>
    <x v="38"/>
    <x v="0"/>
    <s v="CH001"/>
    <x v="94"/>
    <n v="58661.4"/>
    <x v="0"/>
    <x v="0"/>
  </r>
  <r>
    <x v="40"/>
    <x v="40"/>
    <x v="38"/>
    <x v="2"/>
    <s v="CH001"/>
    <x v="94"/>
    <n v="2357.21"/>
    <x v="8"/>
    <x v="2"/>
  </r>
  <r>
    <x v="41"/>
    <x v="41"/>
    <x v="39"/>
    <x v="0"/>
    <s v="CH001"/>
    <x v="94"/>
    <n v="58329.01"/>
    <x v="0"/>
    <x v="0"/>
  </r>
  <r>
    <x v="41"/>
    <x v="41"/>
    <x v="39"/>
    <x v="2"/>
    <s v="CH001"/>
    <x v="94"/>
    <n v="2343.7600000000002"/>
    <x v="8"/>
    <x v="2"/>
  </r>
  <r>
    <x v="42"/>
    <x v="42"/>
    <x v="40"/>
    <x v="0"/>
    <s v="CH001"/>
    <x v="94"/>
    <n v="79172.740000000005"/>
    <x v="0"/>
    <x v="0"/>
  </r>
  <r>
    <x v="42"/>
    <x v="42"/>
    <x v="40"/>
    <x v="2"/>
    <s v="CH001"/>
    <x v="94"/>
    <n v="3183.01"/>
    <x v="8"/>
    <x v="2"/>
  </r>
  <r>
    <x v="43"/>
    <x v="43"/>
    <x v="41"/>
    <x v="0"/>
    <s v="CH001"/>
    <x v="94"/>
    <n v="56944.02"/>
    <x v="0"/>
    <x v="0"/>
  </r>
  <r>
    <x v="43"/>
    <x v="43"/>
    <x v="41"/>
    <x v="2"/>
    <s v="CH001"/>
    <x v="94"/>
    <n v="2287.83"/>
    <x v="8"/>
    <x v="2"/>
  </r>
  <r>
    <x v="44"/>
    <x v="44"/>
    <x v="42"/>
    <x v="0"/>
    <s v="CH001"/>
    <x v="94"/>
    <n v="45684.82"/>
    <x v="0"/>
    <x v="0"/>
  </r>
  <r>
    <x v="44"/>
    <x v="44"/>
    <x v="42"/>
    <x v="2"/>
    <s v="CH001"/>
    <x v="94"/>
    <n v="1838.23"/>
    <x v="8"/>
    <x v="2"/>
  </r>
  <r>
    <x v="45"/>
    <x v="45"/>
    <x v="43"/>
    <x v="0"/>
    <s v="CH001"/>
    <x v="94"/>
    <n v="31392.38"/>
    <x v="0"/>
    <x v="0"/>
  </r>
  <r>
    <x v="45"/>
    <x v="45"/>
    <x v="43"/>
    <x v="2"/>
    <s v="CH001"/>
    <x v="94"/>
    <n v="1271.4000000000001"/>
    <x v="8"/>
    <x v="2"/>
  </r>
  <r>
    <x v="47"/>
    <x v="47"/>
    <x v="45"/>
    <x v="0"/>
    <s v="CH001"/>
    <x v="94"/>
    <n v="26326.86"/>
    <x v="0"/>
    <x v="0"/>
  </r>
  <r>
    <x v="47"/>
    <x v="47"/>
    <x v="45"/>
    <x v="2"/>
    <s v="CH001"/>
    <x v="94"/>
    <n v="1060.47"/>
    <x v="8"/>
    <x v="2"/>
  </r>
  <r>
    <x v="49"/>
    <x v="49"/>
    <x v="47"/>
    <x v="0"/>
    <s v="CH001"/>
    <x v="94"/>
    <n v="3399.94"/>
    <x v="0"/>
    <x v="0"/>
  </r>
  <r>
    <x v="49"/>
    <x v="49"/>
    <x v="47"/>
    <x v="2"/>
    <s v="CH001"/>
    <x v="94"/>
    <n v="136"/>
    <x v="8"/>
    <x v="2"/>
  </r>
  <r>
    <x v="50"/>
    <x v="49"/>
    <x v="48"/>
    <x v="0"/>
    <s v="CH001"/>
    <x v="94"/>
    <n v="36818.67"/>
    <x v="0"/>
    <x v="0"/>
  </r>
  <r>
    <x v="50"/>
    <x v="49"/>
    <x v="48"/>
    <x v="2"/>
    <s v="CH001"/>
    <x v="94"/>
    <n v="1479.4"/>
    <x v="8"/>
    <x v="2"/>
  </r>
  <r>
    <x v="51"/>
    <x v="50"/>
    <x v="49"/>
    <x v="0"/>
    <s v="CH001"/>
    <x v="94"/>
    <n v="6077.96"/>
    <x v="0"/>
    <x v="0"/>
  </r>
  <r>
    <x v="51"/>
    <x v="50"/>
    <x v="49"/>
    <x v="2"/>
    <s v="CH001"/>
    <x v="94"/>
    <n v="246.16"/>
    <x v="8"/>
    <x v="2"/>
  </r>
  <r>
    <x v="52"/>
    <x v="51"/>
    <x v="50"/>
    <x v="0"/>
    <s v="CH001"/>
    <x v="94"/>
    <n v="45128.26"/>
    <x v="0"/>
    <x v="0"/>
  </r>
  <r>
    <x v="52"/>
    <x v="51"/>
    <x v="50"/>
    <x v="2"/>
    <s v="CH001"/>
    <x v="94"/>
    <n v="1805.15"/>
    <x v="8"/>
    <x v="2"/>
  </r>
  <r>
    <x v="53"/>
    <x v="52"/>
    <x v="48"/>
    <x v="0"/>
    <s v="CH001"/>
    <x v="94"/>
    <n v="6819.94"/>
    <x v="0"/>
    <x v="0"/>
  </r>
  <r>
    <x v="53"/>
    <x v="52"/>
    <x v="48"/>
    <x v="2"/>
    <s v="CH001"/>
    <x v="94"/>
    <n v="276.20999999999998"/>
    <x v="8"/>
    <x v="2"/>
  </r>
  <r>
    <x v="0"/>
    <x v="0"/>
    <x v="0"/>
    <x v="0"/>
    <s v="CH002"/>
    <x v="95"/>
    <n v="4828.92"/>
    <x v="0"/>
    <x v="0"/>
  </r>
  <r>
    <x v="0"/>
    <x v="0"/>
    <x v="0"/>
    <x v="2"/>
    <s v="CH002"/>
    <x v="95"/>
    <n v="12.08"/>
    <x v="8"/>
    <x v="2"/>
  </r>
  <r>
    <x v="1"/>
    <x v="1"/>
    <x v="1"/>
    <x v="0"/>
    <s v="CH002"/>
    <x v="95"/>
    <n v="42607.28"/>
    <x v="0"/>
    <x v="0"/>
  </r>
  <r>
    <x v="1"/>
    <x v="1"/>
    <x v="1"/>
    <x v="2"/>
    <s v="CH002"/>
    <x v="95"/>
    <n v="106.52"/>
    <x v="8"/>
    <x v="2"/>
  </r>
  <r>
    <x v="2"/>
    <x v="2"/>
    <x v="2"/>
    <x v="0"/>
    <s v="CH002"/>
    <x v="95"/>
    <n v="61368.02"/>
    <x v="0"/>
    <x v="0"/>
  </r>
  <r>
    <x v="2"/>
    <x v="2"/>
    <x v="2"/>
    <x v="2"/>
    <s v="CH002"/>
    <x v="95"/>
    <n v="153.41999999999999"/>
    <x v="8"/>
    <x v="2"/>
  </r>
  <r>
    <x v="3"/>
    <x v="3"/>
    <x v="3"/>
    <x v="0"/>
    <s v="CH002"/>
    <x v="95"/>
    <n v="15076.95"/>
    <x v="0"/>
    <x v="0"/>
  </r>
  <r>
    <x v="3"/>
    <x v="3"/>
    <x v="3"/>
    <x v="2"/>
    <s v="CH002"/>
    <x v="95"/>
    <n v="37.700000000000003"/>
    <x v="8"/>
    <x v="2"/>
  </r>
  <r>
    <x v="4"/>
    <x v="4"/>
    <x v="4"/>
    <x v="0"/>
    <s v="CH002"/>
    <x v="95"/>
    <n v="19283.740000000002"/>
    <x v="0"/>
    <x v="0"/>
  </r>
  <r>
    <x v="4"/>
    <x v="4"/>
    <x v="4"/>
    <x v="2"/>
    <s v="CH002"/>
    <x v="95"/>
    <n v="48.22"/>
    <x v="8"/>
    <x v="2"/>
  </r>
  <r>
    <x v="5"/>
    <x v="5"/>
    <x v="5"/>
    <x v="0"/>
    <s v="CH002"/>
    <x v="95"/>
    <n v="45370.13"/>
    <x v="0"/>
    <x v="0"/>
  </r>
  <r>
    <x v="5"/>
    <x v="5"/>
    <x v="5"/>
    <x v="2"/>
    <s v="CH002"/>
    <x v="95"/>
    <n v="113.41"/>
    <x v="8"/>
    <x v="2"/>
  </r>
  <r>
    <x v="6"/>
    <x v="6"/>
    <x v="6"/>
    <x v="0"/>
    <s v="CH002"/>
    <x v="95"/>
    <n v="60709.03"/>
    <x v="0"/>
    <x v="0"/>
  </r>
  <r>
    <x v="6"/>
    <x v="6"/>
    <x v="6"/>
    <x v="2"/>
    <s v="CH002"/>
    <x v="95"/>
    <n v="151.79"/>
    <x v="8"/>
    <x v="2"/>
  </r>
  <r>
    <x v="7"/>
    <x v="7"/>
    <x v="7"/>
    <x v="0"/>
    <s v="CH002"/>
    <x v="95"/>
    <n v="53722.94"/>
    <x v="0"/>
    <x v="0"/>
  </r>
  <r>
    <x v="7"/>
    <x v="7"/>
    <x v="7"/>
    <x v="2"/>
    <s v="CH002"/>
    <x v="95"/>
    <n v="134.31"/>
    <x v="8"/>
    <x v="2"/>
  </r>
  <r>
    <x v="9"/>
    <x v="9"/>
    <x v="9"/>
    <x v="0"/>
    <s v="CH002"/>
    <x v="95"/>
    <n v="62989.04"/>
    <x v="0"/>
    <x v="0"/>
  </r>
  <r>
    <x v="9"/>
    <x v="9"/>
    <x v="9"/>
    <x v="2"/>
    <s v="CH002"/>
    <x v="95"/>
    <n v="157.47999999999999"/>
    <x v="8"/>
    <x v="2"/>
  </r>
  <r>
    <x v="10"/>
    <x v="10"/>
    <x v="10"/>
    <x v="0"/>
    <s v="CH002"/>
    <x v="95"/>
    <n v="136214.53"/>
    <x v="0"/>
    <x v="0"/>
  </r>
  <r>
    <x v="10"/>
    <x v="10"/>
    <x v="10"/>
    <x v="2"/>
    <s v="CH002"/>
    <x v="95"/>
    <n v="340.54"/>
    <x v="8"/>
    <x v="2"/>
  </r>
  <r>
    <x v="11"/>
    <x v="11"/>
    <x v="11"/>
    <x v="0"/>
    <s v="CH002"/>
    <x v="95"/>
    <n v="71102.789999999994"/>
    <x v="0"/>
    <x v="0"/>
  </r>
  <r>
    <x v="11"/>
    <x v="11"/>
    <x v="11"/>
    <x v="2"/>
    <s v="CH002"/>
    <x v="95"/>
    <n v="177.78"/>
    <x v="8"/>
    <x v="2"/>
  </r>
  <r>
    <x v="12"/>
    <x v="12"/>
    <x v="12"/>
    <x v="0"/>
    <s v="CH002"/>
    <x v="95"/>
    <n v="56665.37"/>
    <x v="0"/>
    <x v="0"/>
  </r>
  <r>
    <x v="12"/>
    <x v="12"/>
    <x v="12"/>
    <x v="2"/>
    <s v="CH002"/>
    <x v="95"/>
    <n v="141.65"/>
    <x v="8"/>
    <x v="2"/>
  </r>
  <r>
    <x v="13"/>
    <x v="13"/>
    <x v="13"/>
    <x v="0"/>
    <s v="CH002"/>
    <x v="95"/>
    <n v="27357.07"/>
    <x v="0"/>
    <x v="0"/>
  </r>
  <r>
    <x v="13"/>
    <x v="13"/>
    <x v="13"/>
    <x v="2"/>
    <s v="CH002"/>
    <x v="95"/>
    <n v="68.37"/>
    <x v="8"/>
    <x v="2"/>
  </r>
  <r>
    <x v="14"/>
    <x v="14"/>
    <x v="14"/>
    <x v="0"/>
    <s v="CH002"/>
    <x v="95"/>
    <n v="40454.120000000003"/>
    <x v="0"/>
    <x v="0"/>
  </r>
  <r>
    <x v="14"/>
    <x v="14"/>
    <x v="14"/>
    <x v="2"/>
    <s v="CH002"/>
    <x v="95"/>
    <n v="101.13"/>
    <x v="8"/>
    <x v="2"/>
  </r>
  <r>
    <x v="15"/>
    <x v="15"/>
    <x v="15"/>
    <x v="0"/>
    <s v="CH002"/>
    <x v="95"/>
    <n v="61446.32"/>
    <x v="0"/>
    <x v="0"/>
  </r>
  <r>
    <x v="15"/>
    <x v="15"/>
    <x v="15"/>
    <x v="2"/>
    <s v="CH002"/>
    <x v="95"/>
    <n v="153.63"/>
    <x v="8"/>
    <x v="2"/>
  </r>
  <r>
    <x v="16"/>
    <x v="16"/>
    <x v="16"/>
    <x v="0"/>
    <s v="CH002"/>
    <x v="95"/>
    <n v="31999.98"/>
    <x v="0"/>
    <x v="0"/>
  </r>
  <r>
    <x v="16"/>
    <x v="16"/>
    <x v="16"/>
    <x v="2"/>
    <s v="CH002"/>
    <x v="95"/>
    <n v="79.989999999999995"/>
    <x v="8"/>
    <x v="2"/>
  </r>
  <r>
    <x v="17"/>
    <x v="17"/>
    <x v="17"/>
    <x v="0"/>
    <s v="CH002"/>
    <x v="95"/>
    <n v="5765.88"/>
    <x v="0"/>
    <x v="0"/>
  </r>
  <r>
    <x v="17"/>
    <x v="17"/>
    <x v="17"/>
    <x v="2"/>
    <s v="CH002"/>
    <x v="95"/>
    <n v="14.4"/>
    <x v="8"/>
    <x v="2"/>
  </r>
  <r>
    <x v="18"/>
    <x v="18"/>
    <x v="18"/>
    <x v="0"/>
    <s v="CH002"/>
    <x v="95"/>
    <n v="96673.07"/>
    <x v="0"/>
    <x v="0"/>
  </r>
  <r>
    <x v="18"/>
    <x v="18"/>
    <x v="18"/>
    <x v="2"/>
    <s v="CH002"/>
    <x v="95"/>
    <n v="241.67"/>
    <x v="8"/>
    <x v="2"/>
  </r>
  <r>
    <x v="19"/>
    <x v="19"/>
    <x v="19"/>
    <x v="0"/>
    <s v="CH002"/>
    <x v="95"/>
    <n v="63921.65"/>
    <x v="0"/>
    <x v="0"/>
  </r>
  <r>
    <x v="19"/>
    <x v="19"/>
    <x v="19"/>
    <x v="2"/>
    <s v="CH002"/>
    <x v="95"/>
    <n v="159.81"/>
    <x v="8"/>
    <x v="2"/>
  </r>
  <r>
    <x v="20"/>
    <x v="20"/>
    <x v="20"/>
    <x v="0"/>
    <s v="CH002"/>
    <x v="95"/>
    <n v="68495.59"/>
    <x v="0"/>
    <x v="0"/>
  </r>
  <r>
    <x v="20"/>
    <x v="20"/>
    <x v="20"/>
    <x v="2"/>
    <s v="CH002"/>
    <x v="95"/>
    <n v="171.27"/>
    <x v="8"/>
    <x v="2"/>
  </r>
  <r>
    <x v="21"/>
    <x v="21"/>
    <x v="21"/>
    <x v="0"/>
    <s v="CH002"/>
    <x v="95"/>
    <n v="38087.230000000003"/>
    <x v="0"/>
    <x v="0"/>
  </r>
  <r>
    <x v="21"/>
    <x v="21"/>
    <x v="21"/>
    <x v="2"/>
    <s v="CH002"/>
    <x v="95"/>
    <n v="95.21"/>
    <x v="8"/>
    <x v="2"/>
  </r>
  <r>
    <x v="22"/>
    <x v="22"/>
    <x v="22"/>
    <x v="0"/>
    <s v="CH002"/>
    <x v="95"/>
    <n v="25472.84"/>
    <x v="0"/>
    <x v="0"/>
  </r>
  <r>
    <x v="22"/>
    <x v="22"/>
    <x v="22"/>
    <x v="2"/>
    <s v="CH002"/>
    <x v="95"/>
    <n v="63.69"/>
    <x v="8"/>
    <x v="2"/>
  </r>
  <r>
    <x v="23"/>
    <x v="23"/>
    <x v="23"/>
    <x v="0"/>
    <s v="CH002"/>
    <x v="95"/>
    <n v="39845.279999999999"/>
    <x v="0"/>
    <x v="0"/>
  </r>
  <r>
    <x v="23"/>
    <x v="23"/>
    <x v="23"/>
    <x v="2"/>
    <s v="CH002"/>
    <x v="95"/>
    <n v="99.65"/>
    <x v="8"/>
    <x v="2"/>
  </r>
  <r>
    <x v="24"/>
    <x v="24"/>
    <x v="7"/>
    <x v="0"/>
    <s v="CH002"/>
    <x v="95"/>
    <n v="7934.12"/>
    <x v="0"/>
    <x v="0"/>
  </r>
  <r>
    <x v="24"/>
    <x v="24"/>
    <x v="7"/>
    <x v="2"/>
    <s v="CH002"/>
    <x v="95"/>
    <n v="19.850000000000001"/>
    <x v="8"/>
    <x v="2"/>
  </r>
  <r>
    <x v="25"/>
    <x v="25"/>
    <x v="24"/>
    <x v="0"/>
    <s v="CH002"/>
    <x v="95"/>
    <n v="38855.14"/>
    <x v="0"/>
    <x v="0"/>
  </r>
  <r>
    <x v="25"/>
    <x v="25"/>
    <x v="24"/>
    <x v="2"/>
    <s v="CH002"/>
    <x v="95"/>
    <n v="97.15"/>
    <x v="8"/>
    <x v="2"/>
  </r>
  <r>
    <x v="26"/>
    <x v="26"/>
    <x v="25"/>
    <x v="0"/>
    <s v="CH002"/>
    <x v="95"/>
    <n v="59572.69"/>
    <x v="0"/>
    <x v="0"/>
  </r>
  <r>
    <x v="26"/>
    <x v="26"/>
    <x v="25"/>
    <x v="2"/>
    <s v="CH002"/>
    <x v="95"/>
    <n v="148.94999999999999"/>
    <x v="8"/>
    <x v="2"/>
  </r>
  <r>
    <x v="28"/>
    <x v="28"/>
    <x v="27"/>
    <x v="0"/>
    <s v="CH002"/>
    <x v="95"/>
    <n v="10674.95"/>
    <x v="0"/>
    <x v="0"/>
  </r>
  <r>
    <x v="28"/>
    <x v="28"/>
    <x v="27"/>
    <x v="2"/>
    <s v="CH002"/>
    <x v="95"/>
    <n v="26.68"/>
    <x v="8"/>
    <x v="2"/>
  </r>
  <r>
    <x v="29"/>
    <x v="29"/>
    <x v="6"/>
    <x v="0"/>
    <s v="CH002"/>
    <x v="95"/>
    <n v="38311.83"/>
    <x v="0"/>
    <x v="0"/>
  </r>
  <r>
    <x v="29"/>
    <x v="29"/>
    <x v="6"/>
    <x v="2"/>
    <s v="CH002"/>
    <x v="95"/>
    <n v="95.77"/>
    <x v="8"/>
    <x v="2"/>
  </r>
  <r>
    <x v="30"/>
    <x v="30"/>
    <x v="28"/>
    <x v="0"/>
    <s v="CH002"/>
    <x v="95"/>
    <n v="61604.34"/>
    <x v="0"/>
    <x v="0"/>
  </r>
  <r>
    <x v="30"/>
    <x v="30"/>
    <x v="28"/>
    <x v="2"/>
    <s v="CH002"/>
    <x v="95"/>
    <n v="154.03"/>
    <x v="8"/>
    <x v="2"/>
  </r>
  <r>
    <x v="31"/>
    <x v="31"/>
    <x v="29"/>
    <x v="0"/>
    <s v="CH002"/>
    <x v="95"/>
    <n v="59393.65"/>
    <x v="0"/>
    <x v="0"/>
  </r>
  <r>
    <x v="31"/>
    <x v="31"/>
    <x v="29"/>
    <x v="2"/>
    <s v="CH002"/>
    <x v="95"/>
    <n v="148.49"/>
    <x v="8"/>
    <x v="2"/>
  </r>
  <r>
    <x v="32"/>
    <x v="32"/>
    <x v="30"/>
    <x v="0"/>
    <s v="CH002"/>
    <x v="95"/>
    <n v="48974.5"/>
    <x v="0"/>
    <x v="0"/>
  </r>
  <r>
    <x v="32"/>
    <x v="32"/>
    <x v="30"/>
    <x v="2"/>
    <s v="CH002"/>
    <x v="95"/>
    <n v="122.43"/>
    <x v="8"/>
    <x v="2"/>
  </r>
  <r>
    <x v="33"/>
    <x v="33"/>
    <x v="31"/>
    <x v="0"/>
    <s v="CH002"/>
    <x v="95"/>
    <n v="43774.64"/>
    <x v="0"/>
    <x v="0"/>
  </r>
  <r>
    <x v="33"/>
    <x v="33"/>
    <x v="31"/>
    <x v="2"/>
    <s v="CH002"/>
    <x v="95"/>
    <n v="109.44"/>
    <x v="8"/>
    <x v="2"/>
  </r>
  <r>
    <x v="34"/>
    <x v="34"/>
    <x v="32"/>
    <x v="0"/>
    <s v="CH002"/>
    <x v="95"/>
    <n v="70385.62"/>
    <x v="0"/>
    <x v="0"/>
  </r>
  <r>
    <x v="34"/>
    <x v="34"/>
    <x v="32"/>
    <x v="2"/>
    <s v="CH002"/>
    <x v="95"/>
    <n v="175.97"/>
    <x v="8"/>
    <x v="2"/>
  </r>
  <r>
    <x v="35"/>
    <x v="35"/>
    <x v="33"/>
    <x v="0"/>
    <s v="CH002"/>
    <x v="95"/>
    <n v="38315.9"/>
    <x v="0"/>
    <x v="0"/>
  </r>
  <r>
    <x v="35"/>
    <x v="35"/>
    <x v="33"/>
    <x v="2"/>
    <s v="CH002"/>
    <x v="95"/>
    <n v="95.78"/>
    <x v="8"/>
    <x v="2"/>
  </r>
  <r>
    <x v="36"/>
    <x v="36"/>
    <x v="34"/>
    <x v="0"/>
    <s v="CH002"/>
    <x v="95"/>
    <n v="5765.88"/>
    <x v="0"/>
    <x v="0"/>
  </r>
  <r>
    <x v="36"/>
    <x v="36"/>
    <x v="34"/>
    <x v="2"/>
    <s v="CH002"/>
    <x v="95"/>
    <n v="14.4"/>
    <x v="8"/>
    <x v="2"/>
  </r>
  <r>
    <x v="37"/>
    <x v="37"/>
    <x v="35"/>
    <x v="0"/>
    <s v="CH002"/>
    <x v="95"/>
    <n v="38778.019999999997"/>
    <x v="0"/>
    <x v="0"/>
  </r>
  <r>
    <x v="37"/>
    <x v="37"/>
    <x v="35"/>
    <x v="2"/>
    <s v="CH002"/>
    <x v="95"/>
    <n v="96.93"/>
    <x v="8"/>
    <x v="2"/>
  </r>
  <r>
    <x v="38"/>
    <x v="38"/>
    <x v="36"/>
    <x v="0"/>
    <s v="CH002"/>
    <x v="95"/>
    <n v="138740.99"/>
    <x v="0"/>
    <x v="0"/>
  </r>
  <r>
    <x v="38"/>
    <x v="38"/>
    <x v="36"/>
    <x v="2"/>
    <s v="CH002"/>
    <x v="95"/>
    <n v="346.84"/>
    <x v="8"/>
    <x v="2"/>
  </r>
  <r>
    <x v="39"/>
    <x v="39"/>
    <x v="37"/>
    <x v="0"/>
    <s v="CH002"/>
    <x v="95"/>
    <n v="18490.8"/>
    <x v="0"/>
    <x v="0"/>
  </r>
  <r>
    <x v="39"/>
    <x v="39"/>
    <x v="37"/>
    <x v="2"/>
    <s v="CH002"/>
    <x v="95"/>
    <n v="46.21"/>
    <x v="8"/>
    <x v="2"/>
  </r>
  <r>
    <x v="40"/>
    <x v="40"/>
    <x v="38"/>
    <x v="0"/>
    <s v="CH002"/>
    <x v="95"/>
    <n v="58661.4"/>
    <x v="0"/>
    <x v="0"/>
  </r>
  <r>
    <x v="40"/>
    <x v="40"/>
    <x v="38"/>
    <x v="2"/>
    <s v="CH002"/>
    <x v="95"/>
    <n v="146.65"/>
    <x v="8"/>
    <x v="2"/>
  </r>
  <r>
    <x v="41"/>
    <x v="41"/>
    <x v="39"/>
    <x v="0"/>
    <s v="CH002"/>
    <x v="95"/>
    <n v="58329.01"/>
    <x v="0"/>
    <x v="0"/>
  </r>
  <r>
    <x v="41"/>
    <x v="41"/>
    <x v="39"/>
    <x v="2"/>
    <s v="CH002"/>
    <x v="95"/>
    <n v="145.83000000000001"/>
    <x v="8"/>
    <x v="2"/>
  </r>
  <r>
    <x v="42"/>
    <x v="42"/>
    <x v="40"/>
    <x v="0"/>
    <s v="CH002"/>
    <x v="95"/>
    <n v="79172.740000000005"/>
    <x v="0"/>
    <x v="0"/>
  </r>
  <r>
    <x v="42"/>
    <x v="42"/>
    <x v="40"/>
    <x v="2"/>
    <s v="CH002"/>
    <x v="95"/>
    <n v="197.91"/>
    <x v="8"/>
    <x v="2"/>
  </r>
  <r>
    <x v="43"/>
    <x v="43"/>
    <x v="41"/>
    <x v="0"/>
    <s v="CH002"/>
    <x v="95"/>
    <n v="56944.02"/>
    <x v="0"/>
    <x v="0"/>
  </r>
  <r>
    <x v="43"/>
    <x v="43"/>
    <x v="41"/>
    <x v="2"/>
    <s v="CH002"/>
    <x v="95"/>
    <n v="142.36000000000001"/>
    <x v="8"/>
    <x v="2"/>
  </r>
  <r>
    <x v="44"/>
    <x v="44"/>
    <x v="42"/>
    <x v="0"/>
    <s v="CH002"/>
    <x v="95"/>
    <n v="45684.82"/>
    <x v="0"/>
    <x v="0"/>
  </r>
  <r>
    <x v="44"/>
    <x v="44"/>
    <x v="42"/>
    <x v="2"/>
    <s v="CH002"/>
    <x v="95"/>
    <n v="114.21"/>
    <x v="8"/>
    <x v="2"/>
  </r>
  <r>
    <x v="45"/>
    <x v="45"/>
    <x v="43"/>
    <x v="0"/>
    <s v="CH002"/>
    <x v="95"/>
    <n v="31392.38"/>
    <x v="0"/>
    <x v="0"/>
  </r>
  <r>
    <x v="45"/>
    <x v="45"/>
    <x v="43"/>
    <x v="2"/>
    <s v="CH002"/>
    <x v="95"/>
    <n v="78.489999999999995"/>
    <x v="8"/>
    <x v="2"/>
  </r>
  <r>
    <x v="46"/>
    <x v="46"/>
    <x v="44"/>
    <x v="0"/>
    <s v="CH002"/>
    <x v="95"/>
    <n v="7716.54"/>
    <x v="0"/>
    <x v="0"/>
  </r>
  <r>
    <x v="46"/>
    <x v="46"/>
    <x v="44"/>
    <x v="2"/>
    <s v="CH002"/>
    <x v="95"/>
    <n v="19.3"/>
    <x v="8"/>
    <x v="2"/>
  </r>
  <r>
    <x v="47"/>
    <x v="47"/>
    <x v="45"/>
    <x v="0"/>
    <s v="CH002"/>
    <x v="95"/>
    <n v="26326.86"/>
    <x v="0"/>
    <x v="0"/>
  </r>
  <r>
    <x v="47"/>
    <x v="47"/>
    <x v="45"/>
    <x v="2"/>
    <s v="CH002"/>
    <x v="95"/>
    <n v="65.83"/>
    <x v="8"/>
    <x v="2"/>
  </r>
  <r>
    <x v="48"/>
    <x v="48"/>
    <x v="46"/>
    <x v="0"/>
    <s v="CH002"/>
    <x v="95"/>
    <n v="7840.63"/>
    <x v="0"/>
    <x v="0"/>
  </r>
  <r>
    <x v="48"/>
    <x v="48"/>
    <x v="46"/>
    <x v="2"/>
    <s v="CH002"/>
    <x v="95"/>
    <n v="19.61"/>
    <x v="8"/>
    <x v="2"/>
  </r>
  <r>
    <x v="49"/>
    <x v="49"/>
    <x v="47"/>
    <x v="0"/>
    <s v="CH002"/>
    <x v="95"/>
    <n v="3399.94"/>
    <x v="0"/>
    <x v="0"/>
  </r>
  <r>
    <x v="49"/>
    <x v="49"/>
    <x v="47"/>
    <x v="2"/>
    <s v="CH002"/>
    <x v="95"/>
    <n v="8.5"/>
    <x v="8"/>
    <x v="2"/>
  </r>
  <r>
    <x v="50"/>
    <x v="49"/>
    <x v="48"/>
    <x v="0"/>
    <s v="CH002"/>
    <x v="95"/>
    <n v="36818.67"/>
    <x v="0"/>
    <x v="0"/>
  </r>
  <r>
    <x v="50"/>
    <x v="49"/>
    <x v="48"/>
    <x v="2"/>
    <s v="CH002"/>
    <x v="95"/>
    <n v="92.04"/>
    <x v="8"/>
    <x v="2"/>
  </r>
  <r>
    <x v="51"/>
    <x v="50"/>
    <x v="49"/>
    <x v="0"/>
    <s v="CH002"/>
    <x v="95"/>
    <n v="6077.96"/>
    <x v="0"/>
    <x v="0"/>
  </r>
  <r>
    <x v="51"/>
    <x v="50"/>
    <x v="49"/>
    <x v="2"/>
    <s v="CH002"/>
    <x v="95"/>
    <n v="15.19"/>
    <x v="8"/>
    <x v="2"/>
  </r>
  <r>
    <x v="52"/>
    <x v="51"/>
    <x v="50"/>
    <x v="0"/>
    <s v="CH002"/>
    <x v="95"/>
    <n v="45128.26"/>
    <x v="0"/>
    <x v="0"/>
  </r>
  <r>
    <x v="52"/>
    <x v="51"/>
    <x v="50"/>
    <x v="2"/>
    <s v="CH002"/>
    <x v="95"/>
    <n v="112.84"/>
    <x v="8"/>
    <x v="2"/>
  </r>
  <r>
    <x v="53"/>
    <x v="52"/>
    <x v="48"/>
    <x v="0"/>
    <s v="CH002"/>
    <x v="95"/>
    <n v="6819.94"/>
    <x v="0"/>
    <x v="0"/>
  </r>
  <r>
    <x v="53"/>
    <x v="52"/>
    <x v="48"/>
    <x v="2"/>
    <s v="CH002"/>
    <x v="95"/>
    <n v="17.05"/>
    <x v="8"/>
    <x v="2"/>
  </r>
  <r>
    <x v="1"/>
    <x v="1"/>
    <x v="1"/>
    <x v="0"/>
    <s v="AA031"/>
    <x v="96"/>
    <n v="25566.959999999999"/>
    <x v="0"/>
    <x v="0"/>
  </r>
  <r>
    <x v="1"/>
    <x v="1"/>
    <x v="1"/>
    <x v="1"/>
    <s v="AA031"/>
    <x v="96"/>
    <n v="6.12"/>
    <x v="0"/>
    <x v="0"/>
  </r>
  <r>
    <x v="1"/>
    <x v="1"/>
    <x v="1"/>
    <x v="2"/>
    <s v="AA031"/>
    <x v="96"/>
    <n v="9.24"/>
    <x v="8"/>
    <x v="1"/>
  </r>
  <r>
    <x v="2"/>
    <x v="2"/>
    <x v="2"/>
    <x v="0"/>
    <s v="AA031"/>
    <x v="96"/>
    <n v="47100"/>
    <x v="0"/>
    <x v="0"/>
  </r>
  <r>
    <x v="2"/>
    <x v="2"/>
    <x v="2"/>
    <x v="1"/>
    <s v="AA031"/>
    <x v="96"/>
    <n v="11.28"/>
    <x v="0"/>
    <x v="0"/>
  </r>
  <r>
    <x v="2"/>
    <x v="2"/>
    <x v="2"/>
    <x v="2"/>
    <s v="AA031"/>
    <x v="96"/>
    <n v="16.920000000000002"/>
    <x v="8"/>
    <x v="1"/>
  </r>
  <r>
    <x v="3"/>
    <x v="3"/>
    <x v="3"/>
    <x v="0"/>
    <s v="AA031"/>
    <x v="96"/>
    <n v="11395.16"/>
    <x v="0"/>
    <x v="0"/>
  </r>
  <r>
    <x v="3"/>
    <x v="3"/>
    <x v="3"/>
    <x v="1"/>
    <s v="AA031"/>
    <x v="96"/>
    <n v="2.73"/>
    <x v="0"/>
    <x v="0"/>
  </r>
  <r>
    <x v="3"/>
    <x v="3"/>
    <x v="3"/>
    <x v="2"/>
    <s v="AA031"/>
    <x v="96"/>
    <n v="4.0999999999999996"/>
    <x v="8"/>
    <x v="1"/>
  </r>
  <r>
    <x v="5"/>
    <x v="5"/>
    <x v="5"/>
    <x v="0"/>
    <s v="AA031"/>
    <x v="96"/>
    <n v="45370.13"/>
    <x v="0"/>
    <x v="0"/>
  </r>
  <r>
    <x v="5"/>
    <x v="5"/>
    <x v="5"/>
    <x v="1"/>
    <s v="AA031"/>
    <x v="96"/>
    <n v="10.88"/>
    <x v="0"/>
    <x v="0"/>
  </r>
  <r>
    <x v="5"/>
    <x v="5"/>
    <x v="5"/>
    <x v="2"/>
    <s v="AA031"/>
    <x v="96"/>
    <n v="16.329999999999998"/>
    <x v="8"/>
    <x v="1"/>
  </r>
  <r>
    <x v="6"/>
    <x v="6"/>
    <x v="6"/>
    <x v="0"/>
    <s v="AA031"/>
    <x v="96"/>
    <n v="47100"/>
    <x v="0"/>
    <x v="0"/>
  </r>
  <r>
    <x v="6"/>
    <x v="6"/>
    <x v="6"/>
    <x v="1"/>
    <s v="AA031"/>
    <x v="96"/>
    <n v="11.28"/>
    <x v="0"/>
    <x v="0"/>
  </r>
  <r>
    <x v="6"/>
    <x v="6"/>
    <x v="6"/>
    <x v="2"/>
    <s v="AA031"/>
    <x v="96"/>
    <n v="16.920000000000002"/>
    <x v="8"/>
    <x v="1"/>
  </r>
  <r>
    <x v="7"/>
    <x v="7"/>
    <x v="7"/>
    <x v="0"/>
    <s v="AA031"/>
    <x v="96"/>
    <n v="47100"/>
    <x v="0"/>
    <x v="0"/>
  </r>
  <r>
    <x v="7"/>
    <x v="7"/>
    <x v="7"/>
    <x v="1"/>
    <s v="AA031"/>
    <x v="96"/>
    <n v="11.28"/>
    <x v="0"/>
    <x v="0"/>
  </r>
  <r>
    <x v="7"/>
    <x v="7"/>
    <x v="7"/>
    <x v="2"/>
    <s v="AA031"/>
    <x v="96"/>
    <n v="16.920000000000002"/>
    <x v="8"/>
    <x v="1"/>
  </r>
  <r>
    <x v="8"/>
    <x v="8"/>
    <x v="8"/>
    <x v="0"/>
    <s v="AA031"/>
    <x v="96"/>
    <n v="47100"/>
    <x v="0"/>
    <x v="0"/>
  </r>
  <r>
    <x v="8"/>
    <x v="8"/>
    <x v="8"/>
    <x v="1"/>
    <s v="AA031"/>
    <x v="96"/>
    <n v="11.28"/>
    <x v="0"/>
    <x v="0"/>
  </r>
  <r>
    <x v="8"/>
    <x v="8"/>
    <x v="8"/>
    <x v="2"/>
    <s v="AA031"/>
    <x v="96"/>
    <n v="16.920000000000002"/>
    <x v="8"/>
    <x v="1"/>
  </r>
  <r>
    <x v="9"/>
    <x v="9"/>
    <x v="9"/>
    <x v="0"/>
    <s v="AA031"/>
    <x v="96"/>
    <n v="47100"/>
    <x v="0"/>
    <x v="0"/>
  </r>
  <r>
    <x v="9"/>
    <x v="9"/>
    <x v="9"/>
    <x v="1"/>
    <s v="AA031"/>
    <x v="96"/>
    <n v="11.28"/>
    <x v="0"/>
    <x v="0"/>
  </r>
  <r>
    <x v="9"/>
    <x v="9"/>
    <x v="9"/>
    <x v="2"/>
    <s v="AA031"/>
    <x v="96"/>
    <n v="16.920000000000002"/>
    <x v="8"/>
    <x v="1"/>
  </r>
  <r>
    <x v="10"/>
    <x v="10"/>
    <x v="10"/>
    <x v="0"/>
    <s v="AA031"/>
    <x v="96"/>
    <n v="47100"/>
    <x v="0"/>
    <x v="0"/>
  </r>
  <r>
    <x v="10"/>
    <x v="10"/>
    <x v="10"/>
    <x v="1"/>
    <s v="AA031"/>
    <x v="96"/>
    <n v="11.28"/>
    <x v="0"/>
    <x v="0"/>
  </r>
  <r>
    <x v="10"/>
    <x v="10"/>
    <x v="10"/>
    <x v="2"/>
    <s v="AA031"/>
    <x v="96"/>
    <n v="16.920000000000002"/>
    <x v="8"/>
    <x v="1"/>
  </r>
  <r>
    <x v="11"/>
    <x v="11"/>
    <x v="11"/>
    <x v="0"/>
    <s v="AA031"/>
    <x v="96"/>
    <n v="47100"/>
    <x v="0"/>
    <x v="0"/>
  </r>
  <r>
    <x v="11"/>
    <x v="11"/>
    <x v="11"/>
    <x v="1"/>
    <s v="AA031"/>
    <x v="96"/>
    <n v="11.28"/>
    <x v="0"/>
    <x v="0"/>
  </r>
  <r>
    <x v="11"/>
    <x v="11"/>
    <x v="11"/>
    <x v="2"/>
    <s v="AA031"/>
    <x v="96"/>
    <n v="16.920000000000002"/>
    <x v="8"/>
    <x v="1"/>
  </r>
  <r>
    <x v="12"/>
    <x v="12"/>
    <x v="12"/>
    <x v="0"/>
    <s v="AA031"/>
    <x v="96"/>
    <n v="47100"/>
    <x v="0"/>
    <x v="0"/>
  </r>
  <r>
    <x v="12"/>
    <x v="12"/>
    <x v="12"/>
    <x v="1"/>
    <s v="AA031"/>
    <x v="96"/>
    <n v="11.28"/>
    <x v="0"/>
    <x v="0"/>
  </r>
  <r>
    <x v="12"/>
    <x v="12"/>
    <x v="12"/>
    <x v="2"/>
    <s v="AA031"/>
    <x v="96"/>
    <n v="16.920000000000002"/>
    <x v="8"/>
    <x v="1"/>
  </r>
  <r>
    <x v="14"/>
    <x v="14"/>
    <x v="14"/>
    <x v="0"/>
    <s v="AA031"/>
    <x v="96"/>
    <n v="37312.99"/>
    <x v="0"/>
    <x v="0"/>
  </r>
  <r>
    <x v="14"/>
    <x v="14"/>
    <x v="14"/>
    <x v="1"/>
    <s v="AA031"/>
    <x v="96"/>
    <n v="8.9700000000000006"/>
    <x v="0"/>
    <x v="0"/>
  </r>
  <r>
    <x v="14"/>
    <x v="14"/>
    <x v="14"/>
    <x v="2"/>
    <s v="AA031"/>
    <x v="96"/>
    <n v="13.46"/>
    <x v="8"/>
    <x v="1"/>
  </r>
  <r>
    <x v="15"/>
    <x v="15"/>
    <x v="15"/>
    <x v="0"/>
    <s v="AA031"/>
    <x v="96"/>
    <n v="47100"/>
    <x v="0"/>
    <x v="0"/>
  </r>
  <r>
    <x v="15"/>
    <x v="15"/>
    <x v="15"/>
    <x v="1"/>
    <s v="AA031"/>
    <x v="96"/>
    <n v="11.28"/>
    <x v="0"/>
    <x v="0"/>
  </r>
  <r>
    <x v="15"/>
    <x v="15"/>
    <x v="15"/>
    <x v="2"/>
    <s v="AA031"/>
    <x v="96"/>
    <n v="16.920000000000002"/>
    <x v="8"/>
    <x v="1"/>
  </r>
  <r>
    <x v="18"/>
    <x v="18"/>
    <x v="18"/>
    <x v="0"/>
    <s v="AA031"/>
    <x v="96"/>
    <n v="47100"/>
    <x v="0"/>
    <x v="0"/>
  </r>
  <r>
    <x v="18"/>
    <x v="18"/>
    <x v="18"/>
    <x v="1"/>
    <s v="AA031"/>
    <x v="96"/>
    <n v="11.28"/>
    <x v="0"/>
    <x v="0"/>
  </r>
  <r>
    <x v="18"/>
    <x v="18"/>
    <x v="18"/>
    <x v="2"/>
    <s v="AA031"/>
    <x v="96"/>
    <n v="16.920000000000002"/>
    <x v="8"/>
    <x v="1"/>
  </r>
  <r>
    <x v="19"/>
    <x v="19"/>
    <x v="19"/>
    <x v="0"/>
    <s v="AA031"/>
    <x v="96"/>
    <n v="47100"/>
    <x v="0"/>
    <x v="0"/>
  </r>
  <r>
    <x v="19"/>
    <x v="19"/>
    <x v="19"/>
    <x v="1"/>
    <s v="AA031"/>
    <x v="96"/>
    <n v="11.28"/>
    <x v="0"/>
    <x v="0"/>
  </r>
  <r>
    <x v="19"/>
    <x v="19"/>
    <x v="19"/>
    <x v="2"/>
    <s v="AA031"/>
    <x v="96"/>
    <n v="16.920000000000002"/>
    <x v="8"/>
    <x v="1"/>
  </r>
  <r>
    <x v="20"/>
    <x v="20"/>
    <x v="20"/>
    <x v="0"/>
    <s v="AA031"/>
    <x v="96"/>
    <n v="47100"/>
    <x v="0"/>
    <x v="0"/>
  </r>
  <r>
    <x v="20"/>
    <x v="20"/>
    <x v="20"/>
    <x v="1"/>
    <s v="AA031"/>
    <x v="96"/>
    <n v="11.28"/>
    <x v="0"/>
    <x v="0"/>
  </r>
  <r>
    <x v="20"/>
    <x v="20"/>
    <x v="20"/>
    <x v="2"/>
    <s v="AA031"/>
    <x v="96"/>
    <n v="16.920000000000002"/>
    <x v="8"/>
    <x v="1"/>
  </r>
  <r>
    <x v="22"/>
    <x v="22"/>
    <x v="22"/>
    <x v="0"/>
    <s v="AA031"/>
    <x v="96"/>
    <n v="15681.31"/>
    <x v="0"/>
    <x v="0"/>
  </r>
  <r>
    <x v="22"/>
    <x v="22"/>
    <x v="22"/>
    <x v="1"/>
    <s v="AA031"/>
    <x v="96"/>
    <n v="3.75"/>
    <x v="0"/>
    <x v="0"/>
  </r>
  <r>
    <x v="22"/>
    <x v="22"/>
    <x v="22"/>
    <x v="2"/>
    <s v="AA031"/>
    <x v="96"/>
    <n v="5.63"/>
    <x v="8"/>
    <x v="1"/>
  </r>
  <r>
    <x v="26"/>
    <x v="26"/>
    <x v="25"/>
    <x v="0"/>
    <s v="AA031"/>
    <x v="96"/>
    <n v="47100"/>
    <x v="0"/>
    <x v="0"/>
  </r>
  <r>
    <x v="26"/>
    <x v="26"/>
    <x v="25"/>
    <x v="1"/>
    <s v="AA031"/>
    <x v="96"/>
    <n v="11.28"/>
    <x v="0"/>
    <x v="0"/>
  </r>
  <r>
    <x v="26"/>
    <x v="26"/>
    <x v="25"/>
    <x v="2"/>
    <s v="AA031"/>
    <x v="96"/>
    <n v="16.920000000000002"/>
    <x v="8"/>
    <x v="1"/>
  </r>
  <r>
    <x v="28"/>
    <x v="28"/>
    <x v="27"/>
    <x v="0"/>
    <s v="AA031"/>
    <x v="96"/>
    <n v="9622.58"/>
    <x v="0"/>
    <x v="0"/>
  </r>
  <r>
    <x v="28"/>
    <x v="28"/>
    <x v="27"/>
    <x v="1"/>
    <s v="AA031"/>
    <x v="96"/>
    <n v="2.31"/>
    <x v="0"/>
    <x v="0"/>
  </r>
  <r>
    <x v="28"/>
    <x v="28"/>
    <x v="27"/>
    <x v="2"/>
    <s v="AA031"/>
    <x v="96"/>
    <n v="3.47"/>
    <x v="8"/>
    <x v="1"/>
  </r>
  <r>
    <x v="30"/>
    <x v="30"/>
    <x v="28"/>
    <x v="0"/>
    <s v="AA031"/>
    <x v="96"/>
    <n v="47100"/>
    <x v="0"/>
    <x v="0"/>
  </r>
  <r>
    <x v="30"/>
    <x v="30"/>
    <x v="28"/>
    <x v="1"/>
    <s v="AA031"/>
    <x v="96"/>
    <n v="11.28"/>
    <x v="0"/>
    <x v="0"/>
  </r>
  <r>
    <x v="30"/>
    <x v="30"/>
    <x v="28"/>
    <x v="2"/>
    <s v="AA031"/>
    <x v="96"/>
    <n v="16.920000000000002"/>
    <x v="8"/>
    <x v="1"/>
  </r>
  <r>
    <x v="31"/>
    <x v="31"/>
    <x v="29"/>
    <x v="0"/>
    <s v="AA031"/>
    <x v="96"/>
    <n v="47100"/>
    <x v="0"/>
    <x v="0"/>
  </r>
  <r>
    <x v="31"/>
    <x v="31"/>
    <x v="29"/>
    <x v="1"/>
    <s v="AA031"/>
    <x v="96"/>
    <n v="11.28"/>
    <x v="0"/>
    <x v="0"/>
  </r>
  <r>
    <x v="31"/>
    <x v="31"/>
    <x v="29"/>
    <x v="2"/>
    <s v="AA031"/>
    <x v="96"/>
    <n v="16.920000000000002"/>
    <x v="8"/>
    <x v="1"/>
  </r>
  <r>
    <x v="32"/>
    <x v="32"/>
    <x v="30"/>
    <x v="0"/>
    <s v="AA031"/>
    <x v="96"/>
    <n v="47100"/>
    <x v="0"/>
    <x v="0"/>
  </r>
  <r>
    <x v="32"/>
    <x v="32"/>
    <x v="30"/>
    <x v="1"/>
    <s v="AA031"/>
    <x v="96"/>
    <n v="11.29"/>
    <x v="0"/>
    <x v="0"/>
  </r>
  <r>
    <x v="32"/>
    <x v="32"/>
    <x v="30"/>
    <x v="2"/>
    <s v="AA031"/>
    <x v="96"/>
    <n v="16.920000000000002"/>
    <x v="8"/>
    <x v="1"/>
  </r>
  <r>
    <x v="34"/>
    <x v="34"/>
    <x v="32"/>
    <x v="0"/>
    <s v="AA031"/>
    <x v="96"/>
    <n v="47100"/>
    <x v="0"/>
    <x v="0"/>
  </r>
  <r>
    <x v="34"/>
    <x v="34"/>
    <x v="32"/>
    <x v="1"/>
    <s v="AA031"/>
    <x v="96"/>
    <n v="11.28"/>
    <x v="0"/>
    <x v="0"/>
  </r>
  <r>
    <x v="34"/>
    <x v="34"/>
    <x v="32"/>
    <x v="2"/>
    <s v="AA031"/>
    <x v="96"/>
    <n v="16.920000000000002"/>
    <x v="8"/>
    <x v="1"/>
  </r>
  <r>
    <x v="38"/>
    <x v="38"/>
    <x v="36"/>
    <x v="0"/>
    <s v="AA031"/>
    <x v="96"/>
    <n v="47100"/>
    <x v="0"/>
    <x v="0"/>
  </r>
  <r>
    <x v="38"/>
    <x v="38"/>
    <x v="36"/>
    <x v="1"/>
    <s v="AA031"/>
    <x v="96"/>
    <n v="11.28"/>
    <x v="0"/>
    <x v="0"/>
  </r>
  <r>
    <x v="38"/>
    <x v="38"/>
    <x v="36"/>
    <x v="2"/>
    <s v="AA031"/>
    <x v="96"/>
    <n v="16.920000000000002"/>
    <x v="8"/>
    <x v="1"/>
  </r>
  <r>
    <x v="40"/>
    <x v="40"/>
    <x v="38"/>
    <x v="0"/>
    <s v="AA031"/>
    <x v="96"/>
    <n v="47100"/>
    <x v="0"/>
    <x v="0"/>
  </r>
  <r>
    <x v="40"/>
    <x v="40"/>
    <x v="38"/>
    <x v="1"/>
    <s v="AA031"/>
    <x v="96"/>
    <n v="11.29"/>
    <x v="0"/>
    <x v="0"/>
  </r>
  <r>
    <x v="40"/>
    <x v="40"/>
    <x v="38"/>
    <x v="2"/>
    <s v="AA031"/>
    <x v="96"/>
    <n v="16.93"/>
    <x v="8"/>
    <x v="1"/>
  </r>
  <r>
    <x v="41"/>
    <x v="41"/>
    <x v="39"/>
    <x v="0"/>
    <s v="AA031"/>
    <x v="96"/>
    <n v="47100"/>
    <x v="0"/>
    <x v="0"/>
  </r>
  <r>
    <x v="41"/>
    <x v="41"/>
    <x v="39"/>
    <x v="1"/>
    <s v="AA031"/>
    <x v="96"/>
    <n v="11.28"/>
    <x v="0"/>
    <x v="0"/>
  </r>
  <r>
    <x v="41"/>
    <x v="41"/>
    <x v="39"/>
    <x v="2"/>
    <s v="AA031"/>
    <x v="96"/>
    <n v="16.920000000000002"/>
    <x v="8"/>
    <x v="1"/>
  </r>
  <r>
    <x v="42"/>
    <x v="42"/>
    <x v="40"/>
    <x v="0"/>
    <s v="AA031"/>
    <x v="96"/>
    <n v="47100"/>
    <x v="0"/>
    <x v="0"/>
  </r>
  <r>
    <x v="42"/>
    <x v="42"/>
    <x v="40"/>
    <x v="1"/>
    <s v="AA031"/>
    <x v="96"/>
    <n v="11.28"/>
    <x v="0"/>
    <x v="0"/>
  </r>
  <r>
    <x v="42"/>
    <x v="42"/>
    <x v="40"/>
    <x v="2"/>
    <s v="AA031"/>
    <x v="96"/>
    <n v="16.920000000000002"/>
    <x v="8"/>
    <x v="1"/>
  </r>
  <r>
    <x v="43"/>
    <x v="43"/>
    <x v="41"/>
    <x v="0"/>
    <s v="AA031"/>
    <x v="96"/>
    <n v="47100"/>
    <x v="0"/>
    <x v="0"/>
  </r>
  <r>
    <x v="43"/>
    <x v="43"/>
    <x v="41"/>
    <x v="1"/>
    <s v="AA031"/>
    <x v="96"/>
    <n v="11.28"/>
    <x v="0"/>
    <x v="0"/>
  </r>
  <r>
    <x v="43"/>
    <x v="43"/>
    <x v="41"/>
    <x v="2"/>
    <s v="AA031"/>
    <x v="96"/>
    <n v="16.93"/>
    <x v="8"/>
    <x v="1"/>
  </r>
  <r>
    <x v="44"/>
    <x v="44"/>
    <x v="42"/>
    <x v="0"/>
    <s v="AA031"/>
    <x v="96"/>
    <n v="45684.82"/>
    <x v="0"/>
    <x v="0"/>
  </r>
  <r>
    <x v="44"/>
    <x v="44"/>
    <x v="42"/>
    <x v="1"/>
    <s v="AA031"/>
    <x v="96"/>
    <n v="10.94"/>
    <x v="0"/>
    <x v="0"/>
  </r>
  <r>
    <x v="44"/>
    <x v="44"/>
    <x v="42"/>
    <x v="2"/>
    <s v="AA031"/>
    <x v="96"/>
    <n v="16.440000000000001"/>
    <x v="8"/>
    <x v="1"/>
  </r>
  <r>
    <x v="45"/>
    <x v="45"/>
    <x v="43"/>
    <x v="0"/>
    <s v="AA031"/>
    <x v="96"/>
    <n v="7850"/>
    <x v="0"/>
    <x v="0"/>
  </r>
  <r>
    <x v="45"/>
    <x v="45"/>
    <x v="43"/>
    <x v="1"/>
    <s v="AA031"/>
    <x v="96"/>
    <n v="1.88"/>
    <x v="0"/>
    <x v="0"/>
  </r>
  <r>
    <x v="45"/>
    <x v="45"/>
    <x v="43"/>
    <x v="2"/>
    <s v="AA031"/>
    <x v="96"/>
    <n v="2.82"/>
    <x v="8"/>
    <x v="1"/>
  </r>
  <r>
    <x v="47"/>
    <x v="47"/>
    <x v="45"/>
    <x v="0"/>
    <s v="AA031"/>
    <x v="96"/>
    <n v="24689.52"/>
    <x v="0"/>
    <x v="0"/>
  </r>
  <r>
    <x v="47"/>
    <x v="47"/>
    <x v="45"/>
    <x v="1"/>
    <s v="AA031"/>
    <x v="96"/>
    <n v="5.93"/>
    <x v="0"/>
    <x v="0"/>
  </r>
  <r>
    <x v="47"/>
    <x v="47"/>
    <x v="45"/>
    <x v="2"/>
    <s v="AA031"/>
    <x v="96"/>
    <n v="8.89"/>
    <x v="8"/>
    <x v="1"/>
  </r>
  <r>
    <x v="52"/>
    <x v="51"/>
    <x v="50"/>
    <x v="0"/>
    <s v="AA031"/>
    <x v="96"/>
    <n v="26694.23"/>
    <x v="0"/>
    <x v="0"/>
  </r>
  <r>
    <x v="52"/>
    <x v="51"/>
    <x v="50"/>
    <x v="1"/>
    <s v="AA031"/>
    <x v="96"/>
    <n v="6.4"/>
    <x v="0"/>
    <x v="0"/>
  </r>
  <r>
    <x v="52"/>
    <x v="51"/>
    <x v="50"/>
    <x v="2"/>
    <s v="AA031"/>
    <x v="96"/>
    <n v="9.6"/>
    <x v="8"/>
    <x v="1"/>
  </r>
  <r>
    <x v="1"/>
    <x v="1"/>
    <x v="1"/>
    <x v="0"/>
    <s v="AA035"/>
    <x v="97"/>
    <n v="17040.32"/>
    <x v="0"/>
    <x v="0"/>
  </r>
  <r>
    <x v="1"/>
    <x v="1"/>
    <x v="1"/>
    <x v="1"/>
    <s v="AA035"/>
    <x v="97"/>
    <n v="4.07"/>
    <x v="0"/>
    <x v="0"/>
  </r>
  <r>
    <x v="1"/>
    <x v="1"/>
    <x v="1"/>
    <x v="2"/>
    <s v="AA035"/>
    <x v="97"/>
    <n v="6.15"/>
    <x v="8"/>
    <x v="1"/>
  </r>
  <r>
    <x v="2"/>
    <x v="2"/>
    <x v="2"/>
    <x v="0"/>
    <s v="AA035"/>
    <x v="97"/>
    <n v="14268.02"/>
    <x v="0"/>
    <x v="0"/>
  </r>
  <r>
    <x v="2"/>
    <x v="2"/>
    <x v="2"/>
    <x v="1"/>
    <s v="AA035"/>
    <x v="97"/>
    <n v="3.44"/>
    <x v="0"/>
    <x v="0"/>
  </r>
  <r>
    <x v="2"/>
    <x v="2"/>
    <x v="2"/>
    <x v="2"/>
    <s v="AA035"/>
    <x v="97"/>
    <n v="5.16"/>
    <x v="8"/>
    <x v="1"/>
  </r>
  <r>
    <x v="3"/>
    <x v="3"/>
    <x v="3"/>
    <x v="0"/>
    <s v="AA035"/>
    <x v="97"/>
    <n v="3681.79"/>
    <x v="0"/>
    <x v="0"/>
  </r>
  <r>
    <x v="3"/>
    <x v="3"/>
    <x v="3"/>
    <x v="1"/>
    <s v="AA035"/>
    <x v="97"/>
    <n v="0.89"/>
    <x v="0"/>
    <x v="0"/>
  </r>
  <r>
    <x v="3"/>
    <x v="3"/>
    <x v="3"/>
    <x v="2"/>
    <s v="AA035"/>
    <x v="97"/>
    <n v="1.32"/>
    <x v="8"/>
    <x v="1"/>
  </r>
  <r>
    <x v="6"/>
    <x v="6"/>
    <x v="6"/>
    <x v="0"/>
    <s v="AA035"/>
    <x v="97"/>
    <n v="13609.03"/>
    <x v="0"/>
    <x v="0"/>
  </r>
  <r>
    <x v="6"/>
    <x v="6"/>
    <x v="6"/>
    <x v="1"/>
    <s v="AA035"/>
    <x v="97"/>
    <n v="3.26"/>
    <x v="0"/>
    <x v="0"/>
  </r>
  <r>
    <x v="6"/>
    <x v="6"/>
    <x v="6"/>
    <x v="2"/>
    <s v="AA035"/>
    <x v="97"/>
    <n v="4.87"/>
    <x v="8"/>
    <x v="1"/>
  </r>
  <r>
    <x v="7"/>
    <x v="7"/>
    <x v="7"/>
    <x v="0"/>
    <s v="AA035"/>
    <x v="97"/>
    <n v="6622.94"/>
    <x v="0"/>
    <x v="0"/>
  </r>
  <r>
    <x v="7"/>
    <x v="7"/>
    <x v="7"/>
    <x v="1"/>
    <s v="AA035"/>
    <x v="97"/>
    <n v="1.59"/>
    <x v="0"/>
    <x v="0"/>
  </r>
  <r>
    <x v="7"/>
    <x v="7"/>
    <x v="7"/>
    <x v="2"/>
    <s v="AA035"/>
    <x v="97"/>
    <n v="2.37"/>
    <x v="8"/>
    <x v="1"/>
  </r>
  <r>
    <x v="8"/>
    <x v="8"/>
    <x v="8"/>
    <x v="0"/>
    <s v="AA035"/>
    <x v="97"/>
    <n v="88462.2"/>
    <x v="0"/>
    <x v="0"/>
  </r>
  <r>
    <x v="8"/>
    <x v="8"/>
    <x v="8"/>
    <x v="1"/>
    <s v="AA035"/>
    <x v="97"/>
    <n v="21.21"/>
    <x v="0"/>
    <x v="0"/>
  </r>
  <r>
    <x v="8"/>
    <x v="8"/>
    <x v="8"/>
    <x v="2"/>
    <s v="AA035"/>
    <x v="97"/>
    <n v="31.86"/>
    <x v="8"/>
    <x v="1"/>
  </r>
  <r>
    <x v="9"/>
    <x v="9"/>
    <x v="9"/>
    <x v="0"/>
    <s v="AA035"/>
    <x v="97"/>
    <n v="15889.04"/>
    <x v="0"/>
    <x v="0"/>
  </r>
  <r>
    <x v="9"/>
    <x v="9"/>
    <x v="9"/>
    <x v="1"/>
    <s v="AA035"/>
    <x v="97"/>
    <n v="3.8"/>
    <x v="0"/>
    <x v="0"/>
  </r>
  <r>
    <x v="9"/>
    <x v="9"/>
    <x v="9"/>
    <x v="2"/>
    <s v="AA035"/>
    <x v="97"/>
    <n v="5.72"/>
    <x v="8"/>
    <x v="1"/>
  </r>
  <r>
    <x v="10"/>
    <x v="10"/>
    <x v="10"/>
    <x v="0"/>
    <s v="AA035"/>
    <x v="97"/>
    <n v="89114.53"/>
    <x v="0"/>
    <x v="0"/>
  </r>
  <r>
    <x v="10"/>
    <x v="10"/>
    <x v="10"/>
    <x v="1"/>
    <s v="AA035"/>
    <x v="97"/>
    <n v="21.4"/>
    <x v="0"/>
    <x v="0"/>
  </r>
  <r>
    <x v="10"/>
    <x v="10"/>
    <x v="10"/>
    <x v="2"/>
    <s v="AA035"/>
    <x v="97"/>
    <n v="32.1"/>
    <x v="8"/>
    <x v="1"/>
  </r>
  <r>
    <x v="11"/>
    <x v="11"/>
    <x v="11"/>
    <x v="0"/>
    <s v="AA035"/>
    <x v="97"/>
    <n v="24002.79"/>
    <x v="0"/>
    <x v="0"/>
  </r>
  <r>
    <x v="11"/>
    <x v="11"/>
    <x v="11"/>
    <x v="1"/>
    <s v="AA035"/>
    <x v="97"/>
    <n v="5.78"/>
    <x v="0"/>
    <x v="0"/>
  </r>
  <r>
    <x v="11"/>
    <x v="11"/>
    <x v="11"/>
    <x v="2"/>
    <s v="AA035"/>
    <x v="97"/>
    <n v="8.67"/>
    <x v="8"/>
    <x v="1"/>
  </r>
  <r>
    <x v="12"/>
    <x v="12"/>
    <x v="12"/>
    <x v="0"/>
    <s v="AA035"/>
    <x v="97"/>
    <n v="9565.3700000000008"/>
    <x v="0"/>
    <x v="0"/>
  </r>
  <r>
    <x v="12"/>
    <x v="12"/>
    <x v="12"/>
    <x v="1"/>
    <s v="AA035"/>
    <x v="97"/>
    <n v="2.2799999999999998"/>
    <x v="0"/>
    <x v="0"/>
  </r>
  <r>
    <x v="12"/>
    <x v="12"/>
    <x v="12"/>
    <x v="2"/>
    <s v="AA035"/>
    <x v="97"/>
    <n v="3.42"/>
    <x v="8"/>
    <x v="1"/>
  </r>
  <r>
    <x v="14"/>
    <x v="14"/>
    <x v="14"/>
    <x v="0"/>
    <s v="AA035"/>
    <x v="97"/>
    <n v="3141.13"/>
    <x v="0"/>
    <x v="0"/>
  </r>
  <r>
    <x v="14"/>
    <x v="14"/>
    <x v="14"/>
    <x v="1"/>
    <s v="AA035"/>
    <x v="97"/>
    <n v="0.74"/>
    <x v="0"/>
    <x v="0"/>
  </r>
  <r>
    <x v="14"/>
    <x v="14"/>
    <x v="14"/>
    <x v="2"/>
    <s v="AA035"/>
    <x v="97"/>
    <n v="1.1499999999999999"/>
    <x v="8"/>
    <x v="1"/>
  </r>
  <r>
    <x v="15"/>
    <x v="15"/>
    <x v="15"/>
    <x v="0"/>
    <s v="AA035"/>
    <x v="97"/>
    <n v="14346.32"/>
    <x v="0"/>
    <x v="0"/>
  </r>
  <r>
    <x v="15"/>
    <x v="15"/>
    <x v="15"/>
    <x v="1"/>
    <s v="AA035"/>
    <x v="97"/>
    <n v="3.45"/>
    <x v="0"/>
    <x v="0"/>
  </r>
  <r>
    <x v="15"/>
    <x v="15"/>
    <x v="15"/>
    <x v="2"/>
    <s v="AA035"/>
    <x v="97"/>
    <n v="5.13"/>
    <x v="8"/>
    <x v="1"/>
  </r>
  <r>
    <x v="18"/>
    <x v="18"/>
    <x v="18"/>
    <x v="0"/>
    <s v="AA035"/>
    <x v="97"/>
    <n v="49573.07"/>
    <x v="0"/>
    <x v="0"/>
  </r>
  <r>
    <x v="18"/>
    <x v="18"/>
    <x v="18"/>
    <x v="1"/>
    <s v="AA035"/>
    <x v="97"/>
    <n v="11.9"/>
    <x v="0"/>
    <x v="0"/>
  </r>
  <r>
    <x v="18"/>
    <x v="18"/>
    <x v="18"/>
    <x v="2"/>
    <s v="AA035"/>
    <x v="97"/>
    <n v="17.850000000000001"/>
    <x v="8"/>
    <x v="1"/>
  </r>
  <r>
    <x v="19"/>
    <x v="19"/>
    <x v="19"/>
    <x v="0"/>
    <s v="AA035"/>
    <x v="97"/>
    <n v="16821.650000000001"/>
    <x v="0"/>
    <x v="0"/>
  </r>
  <r>
    <x v="19"/>
    <x v="19"/>
    <x v="19"/>
    <x v="1"/>
    <s v="AA035"/>
    <x v="97"/>
    <n v="4.05"/>
    <x v="0"/>
    <x v="0"/>
  </r>
  <r>
    <x v="19"/>
    <x v="19"/>
    <x v="19"/>
    <x v="2"/>
    <s v="AA035"/>
    <x v="97"/>
    <n v="6.07"/>
    <x v="8"/>
    <x v="1"/>
  </r>
  <r>
    <x v="20"/>
    <x v="20"/>
    <x v="20"/>
    <x v="0"/>
    <s v="AA035"/>
    <x v="97"/>
    <n v="21395.59"/>
    <x v="0"/>
    <x v="0"/>
  </r>
  <r>
    <x v="20"/>
    <x v="20"/>
    <x v="20"/>
    <x v="1"/>
    <s v="AA035"/>
    <x v="97"/>
    <n v="5.14"/>
    <x v="0"/>
    <x v="0"/>
  </r>
  <r>
    <x v="20"/>
    <x v="20"/>
    <x v="20"/>
    <x v="2"/>
    <s v="AA035"/>
    <x v="97"/>
    <n v="7.7"/>
    <x v="8"/>
    <x v="1"/>
  </r>
  <r>
    <x v="22"/>
    <x v="22"/>
    <x v="22"/>
    <x v="0"/>
    <s v="AA035"/>
    <x v="97"/>
    <n v="9791.5300000000007"/>
    <x v="0"/>
    <x v="0"/>
  </r>
  <r>
    <x v="22"/>
    <x v="22"/>
    <x v="22"/>
    <x v="1"/>
    <s v="AA035"/>
    <x v="97"/>
    <n v="2.35"/>
    <x v="0"/>
    <x v="0"/>
  </r>
  <r>
    <x v="22"/>
    <x v="22"/>
    <x v="22"/>
    <x v="2"/>
    <s v="AA035"/>
    <x v="97"/>
    <n v="3.52"/>
    <x v="8"/>
    <x v="1"/>
  </r>
  <r>
    <x v="26"/>
    <x v="26"/>
    <x v="25"/>
    <x v="0"/>
    <s v="AA035"/>
    <x v="97"/>
    <n v="12472.69"/>
    <x v="0"/>
    <x v="0"/>
  </r>
  <r>
    <x v="26"/>
    <x v="26"/>
    <x v="25"/>
    <x v="1"/>
    <s v="AA035"/>
    <x v="97"/>
    <n v="2.99"/>
    <x v="0"/>
    <x v="0"/>
  </r>
  <r>
    <x v="26"/>
    <x v="26"/>
    <x v="25"/>
    <x v="2"/>
    <s v="AA035"/>
    <x v="97"/>
    <n v="4.46"/>
    <x v="8"/>
    <x v="1"/>
  </r>
  <r>
    <x v="28"/>
    <x v="28"/>
    <x v="27"/>
    <x v="0"/>
    <s v="AA035"/>
    <x v="97"/>
    <n v="1052.3699999999999"/>
    <x v="0"/>
    <x v="0"/>
  </r>
  <r>
    <x v="28"/>
    <x v="28"/>
    <x v="27"/>
    <x v="1"/>
    <s v="AA035"/>
    <x v="97"/>
    <n v="0.25"/>
    <x v="0"/>
    <x v="0"/>
  </r>
  <r>
    <x v="28"/>
    <x v="28"/>
    <x v="27"/>
    <x v="2"/>
    <s v="AA035"/>
    <x v="97"/>
    <n v="0.38"/>
    <x v="8"/>
    <x v="1"/>
  </r>
  <r>
    <x v="30"/>
    <x v="30"/>
    <x v="28"/>
    <x v="0"/>
    <s v="AA035"/>
    <x v="97"/>
    <n v="14504.34"/>
    <x v="0"/>
    <x v="0"/>
  </r>
  <r>
    <x v="30"/>
    <x v="30"/>
    <x v="28"/>
    <x v="1"/>
    <s v="AA035"/>
    <x v="97"/>
    <n v="3.48"/>
    <x v="0"/>
    <x v="0"/>
  </r>
  <r>
    <x v="30"/>
    <x v="30"/>
    <x v="28"/>
    <x v="2"/>
    <s v="AA035"/>
    <x v="97"/>
    <n v="5.21"/>
    <x v="8"/>
    <x v="1"/>
  </r>
  <r>
    <x v="31"/>
    <x v="31"/>
    <x v="29"/>
    <x v="0"/>
    <s v="AA035"/>
    <x v="97"/>
    <n v="12293.65"/>
    <x v="0"/>
    <x v="0"/>
  </r>
  <r>
    <x v="31"/>
    <x v="31"/>
    <x v="29"/>
    <x v="1"/>
    <s v="AA035"/>
    <x v="97"/>
    <n v="2.95"/>
    <x v="0"/>
    <x v="0"/>
  </r>
  <r>
    <x v="31"/>
    <x v="31"/>
    <x v="29"/>
    <x v="2"/>
    <s v="AA035"/>
    <x v="97"/>
    <n v="4.4800000000000004"/>
    <x v="8"/>
    <x v="1"/>
  </r>
  <r>
    <x v="32"/>
    <x v="32"/>
    <x v="30"/>
    <x v="0"/>
    <s v="AA035"/>
    <x v="97"/>
    <n v="1874.5"/>
    <x v="0"/>
    <x v="0"/>
  </r>
  <r>
    <x v="32"/>
    <x v="32"/>
    <x v="30"/>
    <x v="1"/>
    <s v="AA035"/>
    <x v="97"/>
    <n v="0.47"/>
    <x v="0"/>
    <x v="0"/>
  </r>
  <r>
    <x v="32"/>
    <x v="32"/>
    <x v="30"/>
    <x v="2"/>
    <s v="AA035"/>
    <x v="97"/>
    <n v="0.7"/>
    <x v="8"/>
    <x v="1"/>
  </r>
  <r>
    <x v="34"/>
    <x v="34"/>
    <x v="32"/>
    <x v="0"/>
    <s v="AA035"/>
    <x v="97"/>
    <n v="23285.62"/>
    <x v="0"/>
    <x v="0"/>
  </r>
  <r>
    <x v="34"/>
    <x v="34"/>
    <x v="32"/>
    <x v="1"/>
    <s v="AA035"/>
    <x v="97"/>
    <n v="5.6"/>
    <x v="0"/>
    <x v="0"/>
  </r>
  <r>
    <x v="34"/>
    <x v="34"/>
    <x v="32"/>
    <x v="2"/>
    <s v="AA035"/>
    <x v="97"/>
    <n v="8.4"/>
    <x v="8"/>
    <x v="1"/>
  </r>
  <r>
    <x v="38"/>
    <x v="38"/>
    <x v="36"/>
    <x v="0"/>
    <s v="AA035"/>
    <x v="97"/>
    <n v="91640.99"/>
    <x v="0"/>
    <x v="0"/>
  </r>
  <r>
    <x v="38"/>
    <x v="38"/>
    <x v="36"/>
    <x v="1"/>
    <s v="AA035"/>
    <x v="97"/>
    <n v="22"/>
    <x v="0"/>
    <x v="0"/>
  </r>
  <r>
    <x v="38"/>
    <x v="38"/>
    <x v="36"/>
    <x v="2"/>
    <s v="AA035"/>
    <x v="97"/>
    <n v="32.99"/>
    <x v="8"/>
    <x v="1"/>
  </r>
  <r>
    <x v="40"/>
    <x v="40"/>
    <x v="38"/>
    <x v="0"/>
    <s v="AA035"/>
    <x v="97"/>
    <n v="11561.4"/>
    <x v="0"/>
    <x v="0"/>
  </r>
  <r>
    <x v="40"/>
    <x v="40"/>
    <x v="38"/>
    <x v="1"/>
    <s v="AA035"/>
    <x v="97"/>
    <n v="2.76"/>
    <x v="0"/>
    <x v="0"/>
  </r>
  <r>
    <x v="40"/>
    <x v="40"/>
    <x v="38"/>
    <x v="2"/>
    <s v="AA035"/>
    <x v="97"/>
    <n v="4.1500000000000004"/>
    <x v="8"/>
    <x v="1"/>
  </r>
  <r>
    <x v="41"/>
    <x v="41"/>
    <x v="39"/>
    <x v="0"/>
    <s v="AA035"/>
    <x v="97"/>
    <n v="11229.01"/>
    <x v="0"/>
    <x v="0"/>
  </r>
  <r>
    <x v="41"/>
    <x v="41"/>
    <x v="39"/>
    <x v="1"/>
    <s v="AA035"/>
    <x v="97"/>
    <n v="2.68"/>
    <x v="0"/>
    <x v="0"/>
  </r>
  <r>
    <x v="41"/>
    <x v="41"/>
    <x v="39"/>
    <x v="2"/>
    <s v="AA035"/>
    <x v="97"/>
    <n v="4.04"/>
    <x v="8"/>
    <x v="1"/>
  </r>
  <r>
    <x v="42"/>
    <x v="42"/>
    <x v="40"/>
    <x v="0"/>
    <s v="AA035"/>
    <x v="97"/>
    <n v="32072.74"/>
    <x v="0"/>
    <x v="0"/>
  </r>
  <r>
    <x v="42"/>
    <x v="42"/>
    <x v="40"/>
    <x v="1"/>
    <s v="AA035"/>
    <x v="97"/>
    <n v="7.71"/>
    <x v="0"/>
    <x v="0"/>
  </r>
  <r>
    <x v="42"/>
    <x v="42"/>
    <x v="40"/>
    <x v="2"/>
    <s v="AA035"/>
    <x v="97"/>
    <n v="11.58"/>
    <x v="8"/>
    <x v="1"/>
  </r>
  <r>
    <x v="43"/>
    <x v="43"/>
    <x v="41"/>
    <x v="0"/>
    <s v="AA035"/>
    <x v="97"/>
    <n v="9844.02"/>
    <x v="0"/>
    <x v="0"/>
  </r>
  <r>
    <x v="43"/>
    <x v="43"/>
    <x v="41"/>
    <x v="1"/>
    <s v="AA035"/>
    <x v="97"/>
    <n v="2.35"/>
    <x v="0"/>
    <x v="0"/>
  </r>
  <r>
    <x v="43"/>
    <x v="43"/>
    <x v="41"/>
    <x v="2"/>
    <s v="AA035"/>
    <x v="97"/>
    <n v="3.53"/>
    <x v="8"/>
    <x v="1"/>
  </r>
  <r>
    <x v="44"/>
    <x v="44"/>
    <x v="42"/>
    <x v="2"/>
    <s v="AA035"/>
    <x v="97"/>
    <n v="-0.01"/>
    <x v="8"/>
    <x v="1"/>
  </r>
  <r>
    <x v="45"/>
    <x v="45"/>
    <x v="43"/>
    <x v="0"/>
    <s v="AA035"/>
    <x v="97"/>
    <n v="23542.38"/>
    <x v="0"/>
    <x v="0"/>
  </r>
  <r>
    <x v="45"/>
    <x v="45"/>
    <x v="43"/>
    <x v="1"/>
    <s v="AA035"/>
    <x v="97"/>
    <n v="5.65"/>
    <x v="0"/>
    <x v="0"/>
  </r>
  <r>
    <x v="45"/>
    <x v="45"/>
    <x v="43"/>
    <x v="2"/>
    <s v="AA035"/>
    <x v="97"/>
    <n v="8.48"/>
    <x v="8"/>
    <x v="1"/>
  </r>
  <r>
    <x v="47"/>
    <x v="47"/>
    <x v="45"/>
    <x v="0"/>
    <s v="AA035"/>
    <x v="97"/>
    <n v="1637.34"/>
    <x v="0"/>
    <x v="0"/>
  </r>
  <r>
    <x v="47"/>
    <x v="47"/>
    <x v="45"/>
    <x v="1"/>
    <s v="AA035"/>
    <x v="97"/>
    <n v="0.39"/>
    <x v="0"/>
    <x v="0"/>
  </r>
  <r>
    <x v="47"/>
    <x v="47"/>
    <x v="45"/>
    <x v="2"/>
    <s v="AA035"/>
    <x v="97"/>
    <n v="0.59"/>
    <x v="8"/>
    <x v="1"/>
  </r>
  <r>
    <x v="52"/>
    <x v="51"/>
    <x v="50"/>
    <x v="0"/>
    <s v="AA035"/>
    <x v="97"/>
    <n v="18434.03"/>
    <x v="0"/>
    <x v="0"/>
  </r>
  <r>
    <x v="52"/>
    <x v="51"/>
    <x v="50"/>
    <x v="1"/>
    <s v="AA035"/>
    <x v="97"/>
    <n v="4.43"/>
    <x v="0"/>
    <x v="0"/>
  </r>
  <r>
    <x v="52"/>
    <x v="51"/>
    <x v="50"/>
    <x v="2"/>
    <s v="AA035"/>
    <x v="97"/>
    <n v="6.64"/>
    <x v="8"/>
    <x v="1"/>
  </r>
  <r>
    <x v="0"/>
    <x v="0"/>
    <x v="0"/>
    <x v="0"/>
    <s v="AA201"/>
    <x v="98"/>
    <n v="3603.68"/>
    <x v="0"/>
    <x v="0"/>
  </r>
  <r>
    <x v="0"/>
    <x v="0"/>
    <x v="0"/>
    <x v="2"/>
    <s v="AA201"/>
    <x v="98"/>
    <n v="170.08"/>
    <x v="8"/>
    <x v="2"/>
  </r>
  <r>
    <x v="17"/>
    <x v="17"/>
    <x v="17"/>
    <x v="0"/>
    <s v="AA201"/>
    <x v="98"/>
    <n v="3603.68"/>
    <x v="0"/>
    <x v="0"/>
  </r>
  <r>
    <x v="17"/>
    <x v="17"/>
    <x v="17"/>
    <x v="2"/>
    <s v="AA201"/>
    <x v="98"/>
    <n v="170.08"/>
    <x v="8"/>
    <x v="2"/>
  </r>
  <r>
    <x v="24"/>
    <x v="24"/>
    <x v="7"/>
    <x v="0"/>
    <s v="AA201"/>
    <x v="98"/>
    <n v="7934.12"/>
    <x v="0"/>
    <x v="0"/>
  </r>
  <r>
    <x v="24"/>
    <x v="24"/>
    <x v="7"/>
    <x v="2"/>
    <s v="AA201"/>
    <x v="98"/>
    <n v="374.51"/>
    <x v="8"/>
    <x v="2"/>
  </r>
  <r>
    <x v="36"/>
    <x v="36"/>
    <x v="34"/>
    <x v="0"/>
    <s v="AA201"/>
    <x v="98"/>
    <n v="3603.68"/>
    <x v="0"/>
    <x v="0"/>
  </r>
  <r>
    <x v="36"/>
    <x v="36"/>
    <x v="34"/>
    <x v="2"/>
    <s v="AA201"/>
    <x v="98"/>
    <n v="170.08"/>
    <x v="8"/>
    <x v="2"/>
  </r>
  <r>
    <x v="46"/>
    <x v="46"/>
    <x v="44"/>
    <x v="0"/>
    <s v="AA201"/>
    <x v="98"/>
    <n v="7716.54"/>
    <x v="0"/>
    <x v="0"/>
  </r>
  <r>
    <x v="46"/>
    <x v="46"/>
    <x v="44"/>
    <x v="2"/>
    <s v="AA201"/>
    <x v="98"/>
    <n v="364.22"/>
    <x v="8"/>
    <x v="2"/>
  </r>
  <r>
    <x v="48"/>
    <x v="48"/>
    <x v="46"/>
    <x v="0"/>
    <s v="AA201"/>
    <x v="98"/>
    <n v="7840.63"/>
    <x v="0"/>
    <x v="0"/>
  </r>
  <r>
    <x v="48"/>
    <x v="48"/>
    <x v="46"/>
    <x v="2"/>
    <s v="AA201"/>
    <x v="98"/>
    <n v="370.1"/>
    <x v="8"/>
    <x v="2"/>
  </r>
  <r>
    <x v="0"/>
    <x v="0"/>
    <x v="0"/>
    <x v="0"/>
    <s v="AA201"/>
    <x v="99"/>
    <n v="1225.24"/>
    <x v="0"/>
    <x v="0"/>
  </r>
  <r>
    <x v="0"/>
    <x v="0"/>
    <x v="0"/>
    <x v="1"/>
    <s v="AA201"/>
    <x v="99"/>
    <n v="38.6"/>
    <x v="0"/>
    <x v="0"/>
  </r>
  <r>
    <x v="0"/>
    <x v="0"/>
    <x v="0"/>
    <x v="2"/>
    <s v="AA201"/>
    <x v="99"/>
    <n v="57.84"/>
    <x v="8"/>
    <x v="2"/>
  </r>
  <r>
    <x v="1"/>
    <x v="1"/>
    <x v="1"/>
    <x v="0"/>
    <s v="AA201"/>
    <x v="99"/>
    <n v="25566.959999999999"/>
    <x v="0"/>
    <x v="0"/>
  </r>
  <r>
    <x v="1"/>
    <x v="1"/>
    <x v="1"/>
    <x v="1"/>
    <s v="AA201"/>
    <x v="99"/>
    <n v="805.32"/>
    <x v="0"/>
    <x v="0"/>
  </r>
  <r>
    <x v="1"/>
    <x v="1"/>
    <x v="1"/>
    <x v="2"/>
    <s v="AA201"/>
    <x v="99"/>
    <n v="1206.72"/>
    <x v="8"/>
    <x v="2"/>
  </r>
  <r>
    <x v="2"/>
    <x v="2"/>
    <x v="2"/>
    <x v="0"/>
    <s v="AA201"/>
    <x v="99"/>
    <n v="47100"/>
    <x v="0"/>
    <x v="0"/>
  </r>
  <r>
    <x v="2"/>
    <x v="2"/>
    <x v="2"/>
    <x v="1"/>
    <s v="AA201"/>
    <x v="99"/>
    <n v="1483.68"/>
    <x v="0"/>
    <x v="0"/>
  </r>
  <r>
    <x v="2"/>
    <x v="2"/>
    <x v="2"/>
    <x v="2"/>
    <s v="AA201"/>
    <x v="99"/>
    <n v="2223.12"/>
    <x v="8"/>
    <x v="2"/>
  </r>
  <r>
    <x v="3"/>
    <x v="3"/>
    <x v="3"/>
    <x v="0"/>
    <s v="AA201"/>
    <x v="99"/>
    <n v="11395.16"/>
    <x v="0"/>
    <x v="0"/>
  </r>
  <r>
    <x v="3"/>
    <x v="3"/>
    <x v="3"/>
    <x v="1"/>
    <s v="AA201"/>
    <x v="99"/>
    <n v="358.94"/>
    <x v="0"/>
    <x v="0"/>
  </r>
  <r>
    <x v="3"/>
    <x v="3"/>
    <x v="3"/>
    <x v="2"/>
    <s v="AA201"/>
    <x v="99"/>
    <n v="537.85"/>
    <x v="8"/>
    <x v="2"/>
  </r>
  <r>
    <x v="4"/>
    <x v="4"/>
    <x v="4"/>
    <x v="0"/>
    <s v="AA201"/>
    <x v="99"/>
    <n v="19283.740000000002"/>
    <x v="0"/>
    <x v="0"/>
  </r>
  <r>
    <x v="4"/>
    <x v="4"/>
    <x v="4"/>
    <x v="1"/>
    <s v="AA201"/>
    <x v="99"/>
    <n v="607.44000000000005"/>
    <x v="0"/>
    <x v="0"/>
  </r>
  <r>
    <x v="4"/>
    <x v="4"/>
    <x v="4"/>
    <x v="2"/>
    <s v="AA201"/>
    <x v="99"/>
    <n v="910.2"/>
    <x v="8"/>
    <x v="2"/>
  </r>
  <r>
    <x v="5"/>
    <x v="5"/>
    <x v="5"/>
    <x v="0"/>
    <s v="AA201"/>
    <x v="99"/>
    <n v="45370.13"/>
    <x v="0"/>
    <x v="0"/>
  </r>
  <r>
    <x v="5"/>
    <x v="5"/>
    <x v="5"/>
    <x v="1"/>
    <s v="AA201"/>
    <x v="99"/>
    <n v="1429.13"/>
    <x v="0"/>
    <x v="0"/>
  </r>
  <r>
    <x v="5"/>
    <x v="5"/>
    <x v="5"/>
    <x v="2"/>
    <s v="AA201"/>
    <x v="99"/>
    <n v="2141.48"/>
    <x v="8"/>
    <x v="2"/>
  </r>
  <r>
    <x v="6"/>
    <x v="6"/>
    <x v="6"/>
    <x v="0"/>
    <s v="AA201"/>
    <x v="99"/>
    <n v="47100"/>
    <x v="0"/>
    <x v="0"/>
  </r>
  <r>
    <x v="6"/>
    <x v="6"/>
    <x v="6"/>
    <x v="1"/>
    <s v="AA201"/>
    <x v="99"/>
    <n v="1483.68"/>
    <x v="0"/>
    <x v="0"/>
  </r>
  <r>
    <x v="6"/>
    <x v="6"/>
    <x v="6"/>
    <x v="2"/>
    <s v="AA201"/>
    <x v="99"/>
    <n v="2223.12"/>
    <x v="8"/>
    <x v="2"/>
  </r>
  <r>
    <x v="7"/>
    <x v="7"/>
    <x v="7"/>
    <x v="0"/>
    <s v="AA201"/>
    <x v="99"/>
    <n v="47100"/>
    <x v="0"/>
    <x v="0"/>
  </r>
  <r>
    <x v="7"/>
    <x v="7"/>
    <x v="7"/>
    <x v="1"/>
    <s v="AA201"/>
    <x v="99"/>
    <n v="1483.68"/>
    <x v="0"/>
    <x v="0"/>
  </r>
  <r>
    <x v="7"/>
    <x v="7"/>
    <x v="7"/>
    <x v="2"/>
    <s v="AA201"/>
    <x v="99"/>
    <n v="2223.12"/>
    <x v="8"/>
    <x v="2"/>
  </r>
  <r>
    <x v="8"/>
    <x v="8"/>
    <x v="8"/>
    <x v="0"/>
    <s v="AA201"/>
    <x v="99"/>
    <n v="47100"/>
    <x v="0"/>
    <x v="0"/>
  </r>
  <r>
    <x v="8"/>
    <x v="8"/>
    <x v="8"/>
    <x v="1"/>
    <s v="AA201"/>
    <x v="99"/>
    <n v="1483.68"/>
    <x v="0"/>
    <x v="0"/>
  </r>
  <r>
    <x v="8"/>
    <x v="8"/>
    <x v="8"/>
    <x v="2"/>
    <s v="AA201"/>
    <x v="99"/>
    <n v="2223.12"/>
    <x v="8"/>
    <x v="2"/>
  </r>
  <r>
    <x v="9"/>
    <x v="9"/>
    <x v="9"/>
    <x v="0"/>
    <s v="AA201"/>
    <x v="99"/>
    <n v="47100"/>
    <x v="0"/>
    <x v="0"/>
  </r>
  <r>
    <x v="9"/>
    <x v="9"/>
    <x v="9"/>
    <x v="1"/>
    <s v="AA201"/>
    <x v="99"/>
    <n v="1483.68"/>
    <x v="0"/>
    <x v="0"/>
  </r>
  <r>
    <x v="9"/>
    <x v="9"/>
    <x v="9"/>
    <x v="2"/>
    <s v="AA201"/>
    <x v="99"/>
    <n v="2223.12"/>
    <x v="8"/>
    <x v="2"/>
  </r>
  <r>
    <x v="10"/>
    <x v="10"/>
    <x v="10"/>
    <x v="0"/>
    <s v="AA201"/>
    <x v="99"/>
    <n v="47100"/>
    <x v="0"/>
    <x v="0"/>
  </r>
  <r>
    <x v="10"/>
    <x v="10"/>
    <x v="10"/>
    <x v="1"/>
    <s v="AA201"/>
    <x v="99"/>
    <n v="1483.68"/>
    <x v="0"/>
    <x v="0"/>
  </r>
  <r>
    <x v="10"/>
    <x v="10"/>
    <x v="10"/>
    <x v="2"/>
    <s v="AA201"/>
    <x v="99"/>
    <n v="2223.12"/>
    <x v="8"/>
    <x v="2"/>
  </r>
  <r>
    <x v="11"/>
    <x v="11"/>
    <x v="11"/>
    <x v="0"/>
    <s v="AA201"/>
    <x v="99"/>
    <n v="47100"/>
    <x v="0"/>
    <x v="0"/>
  </r>
  <r>
    <x v="11"/>
    <x v="11"/>
    <x v="11"/>
    <x v="1"/>
    <s v="AA201"/>
    <x v="99"/>
    <n v="1483.68"/>
    <x v="0"/>
    <x v="0"/>
  </r>
  <r>
    <x v="11"/>
    <x v="11"/>
    <x v="11"/>
    <x v="2"/>
    <s v="AA201"/>
    <x v="99"/>
    <n v="2223.12"/>
    <x v="8"/>
    <x v="2"/>
  </r>
  <r>
    <x v="12"/>
    <x v="12"/>
    <x v="12"/>
    <x v="0"/>
    <s v="AA201"/>
    <x v="99"/>
    <n v="47100"/>
    <x v="0"/>
    <x v="0"/>
  </r>
  <r>
    <x v="12"/>
    <x v="12"/>
    <x v="12"/>
    <x v="1"/>
    <s v="AA201"/>
    <x v="99"/>
    <n v="1483.67"/>
    <x v="0"/>
    <x v="0"/>
  </r>
  <r>
    <x v="12"/>
    <x v="12"/>
    <x v="12"/>
    <x v="2"/>
    <s v="AA201"/>
    <x v="99"/>
    <n v="2223.12"/>
    <x v="8"/>
    <x v="2"/>
  </r>
  <r>
    <x v="13"/>
    <x v="13"/>
    <x v="13"/>
    <x v="0"/>
    <s v="AA201"/>
    <x v="99"/>
    <n v="27357.07"/>
    <x v="0"/>
    <x v="0"/>
  </r>
  <r>
    <x v="13"/>
    <x v="13"/>
    <x v="13"/>
    <x v="1"/>
    <s v="AA201"/>
    <x v="99"/>
    <n v="861.74"/>
    <x v="0"/>
    <x v="0"/>
  </r>
  <r>
    <x v="13"/>
    <x v="13"/>
    <x v="13"/>
    <x v="2"/>
    <s v="AA201"/>
    <x v="99"/>
    <n v="1291.25"/>
    <x v="8"/>
    <x v="2"/>
  </r>
  <r>
    <x v="14"/>
    <x v="14"/>
    <x v="14"/>
    <x v="0"/>
    <s v="AA201"/>
    <x v="99"/>
    <n v="37312.99"/>
    <x v="0"/>
    <x v="0"/>
  </r>
  <r>
    <x v="14"/>
    <x v="14"/>
    <x v="14"/>
    <x v="1"/>
    <s v="AA201"/>
    <x v="99"/>
    <n v="1175.3499999999999"/>
    <x v="0"/>
    <x v="0"/>
  </r>
  <r>
    <x v="14"/>
    <x v="14"/>
    <x v="14"/>
    <x v="2"/>
    <s v="AA201"/>
    <x v="99"/>
    <n v="1761.14"/>
    <x v="8"/>
    <x v="2"/>
  </r>
  <r>
    <x v="15"/>
    <x v="15"/>
    <x v="15"/>
    <x v="0"/>
    <s v="AA201"/>
    <x v="99"/>
    <n v="47100"/>
    <x v="0"/>
    <x v="0"/>
  </r>
  <r>
    <x v="15"/>
    <x v="15"/>
    <x v="15"/>
    <x v="1"/>
    <s v="AA201"/>
    <x v="99"/>
    <n v="1483.68"/>
    <x v="0"/>
    <x v="0"/>
  </r>
  <r>
    <x v="15"/>
    <x v="15"/>
    <x v="15"/>
    <x v="2"/>
    <s v="AA201"/>
    <x v="99"/>
    <n v="2223.12"/>
    <x v="8"/>
    <x v="2"/>
  </r>
  <r>
    <x v="16"/>
    <x v="16"/>
    <x v="16"/>
    <x v="0"/>
    <s v="AA201"/>
    <x v="99"/>
    <n v="31999.98"/>
    <x v="0"/>
    <x v="0"/>
  </r>
  <r>
    <x v="16"/>
    <x v="16"/>
    <x v="16"/>
    <x v="1"/>
    <s v="AA201"/>
    <x v="99"/>
    <n v="1007.99"/>
    <x v="0"/>
    <x v="0"/>
  </r>
  <r>
    <x v="16"/>
    <x v="16"/>
    <x v="16"/>
    <x v="2"/>
    <s v="AA201"/>
    <x v="99"/>
    <n v="1510.41"/>
    <x v="8"/>
    <x v="2"/>
  </r>
  <r>
    <x v="17"/>
    <x v="17"/>
    <x v="17"/>
    <x v="0"/>
    <s v="AA201"/>
    <x v="99"/>
    <n v="2162.1999999999998"/>
    <x v="0"/>
    <x v="0"/>
  </r>
  <r>
    <x v="17"/>
    <x v="17"/>
    <x v="17"/>
    <x v="1"/>
    <s v="AA201"/>
    <x v="99"/>
    <n v="68.12"/>
    <x v="0"/>
    <x v="0"/>
  </r>
  <r>
    <x v="17"/>
    <x v="17"/>
    <x v="17"/>
    <x v="2"/>
    <s v="AA201"/>
    <x v="99"/>
    <n v="102.04"/>
    <x v="8"/>
    <x v="2"/>
  </r>
  <r>
    <x v="18"/>
    <x v="18"/>
    <x v="18"/>
    <x v="0"/>
    <s v="AA201"/>
    <x v="99"/>
    <n v="47100"/>
    <x v="0"/>
    <x v="0"/>
  </r>
  <r>
    <x v="18"/>
    <x v="18"/>
    <x v="18"/>
    <x v="1"/>
    <s v="AA201"/>
    <x v="99"/>
    <n v="1483.68"/>
    <x v="0"/>
    <x v="0"/>
  </r>
  <r>
    <x v="18"/>
    <x v="18"/>
    <x v="18"/>
    <x v="2"/>
    <s v="AA201"/>
    <x v="99"/>
    <n v="2223.12"/>
    <x v="8"/>
    <x v="2"/>
  </r>
  <r>
    <x v="19"/>
    <x v="19"/>
    <x v="19"/>
    <x v="0"/>
    <s v="AA201"/>
    <x v="99"/>
    <n v="47100"/>
    <x v="0"/>
    <x v="0"/>
  </r>
  <r>
    <x v="19"/>
    <x v="19"/>
    <x v="19"/>
    <x v="1"/>
    <s v="AA201"/>
    <x v="99"/>
    <n v="1483.68"/>
    <x v="0"/>
    <x v="0"/>
  </r>
  <r>
    <x v="19"/>
    <x v="19"/>
    <x v="19"/>
    <x v="2"/>
    <s v="AA201"/>
    <x v="99"/>
    <n v="2223.12"/>
    <x v="8"/>
    <x v="2"/>
  </r>
  <r>
    <x v="20"/>
    <x v="20"/>
    <x v="20"/>
    <x v="0"/>
    <s v="AA201"/>
    <x v="99"/>
    <n v="47100"/>
    <x v="0"/>
    <x v="0"/>
  </r>
  <r>
    <x v="20"/>
    <x v="20"/>
    <x v="20"/>
    <x v="1"/>
    <s v="AA201"/>
    <x v="99"/>
    <n v="1483.68"/>
    <x v="0"/>
    <x v="0"/>
  </r>
  <r>
    <x v="20"/>
    <x v="20"/>
    <x v="20"/>
    <x v="2"/>
    <s v="AA201"/>
    <x v="99"/>
    <n v="2223.12"/>
    <x v="8"/>
    <x v="2"/>
  </r>
  <r>
    <x v="21"/>
    <x v="21"/>
    <x v="21"/>
    <x v="0"/>
    <s v="AA201"/>
    <x v="99"/>
    <n v="38087.230000000003"/>
    <x v="0"/>
    <x v="0"/>
  </r>
  <r>
    <x v="21"/>
    <x v="21"/>
    <x v="21"/>
    <x v="1"/>
    <s v="AA201"/>
    <x v="99"/>
    <n v="1199.75"/>
    <x v="0"/>
    <x v="0"/>
  </r>
  <r>
    <x v="21"/>
    <x v="21"/>
    <x v="21"/>
    <x v="2"/>
    <s v="AA201"/>
    <x v="99"/>
    <n v="1797.72"/>
    <x v="8"/>
    <x v="2"/>
  </r>
  <r>
    <x v="22"/>
    <x v="22"/>
    <x v="22"/>
    <x v="0"/>
    <s v="AA201"/>
    <x v="99"/>
    <n v="15681.31"/>
    <x v="0"/>
    <x v="0"/>
  </r>
  <r>
    <x v="22"/>
    <x v="22"/>
    <x v="22"/>
    <x v="1"/>
    <s v="AA201"/>
    <x v="99"/>
    <n v="493.97"/>
    <x v="0"/>
    <x v="0"/>
  </r>
  <r>
    <x v="22"/>
    <x v="22"/>
    <x v="22"/>
    <x v="2"/>
    <s v="AA201"/>
    <x v="99"/>
    <n v="740.16"/>
    <x v="8"/>
    <x v="2"/>
  </r>
  <r>
    <x v="23"/>
    <x v="23"/>
    <x v="23"/>
    <x v="0"/>
    <s v="AA201"/>
    <x v="99"/>
    <n v="39845.279999999999"/>
    <x v="0"/>
    <x v="0"/>
  </r>
  <r>
    <x v="23"/>
    <x v="23"/>
    <x v="23"/>
    <x v="1"/>
    <s v="AA201"/>
    <x v="99"/>
    <n v="1255.1300000000001"/>
    <x v="0"/>
    <x v="0"/>
  </r>
  <r>
    <x v="23"/>
    <x v="23"/>
    <x v="23"/>
    <x v="2"/>
    <s v="AA201"/>
    <x v="99"/>
    <n v="1880.71"/>
    <x v="8"/>
    <x v="2"/>
  </r>
  <r>
    <x v="25"/>
    <x v="25"/>
    <x v="24"/>
    <x v="0"/>
    <s v="AA201"/>
    <x v="99"/>
    <n v="38855.14"/>
    <x v="0"/>
    <x v="0"/>
  </r>
  <r>
    <x v="25"/>
    <x v="25"/>
    <x v="24"/>
    <x v="1"/>
    <s v="AA201"/>
    <x v="99"/>
    <n v="1223.93"/>
    <x v="0"/>
    <x v="0"/>
  </r>
  <r>
    <x v="25"/>
    <x v="25"/>
    <x v="24"/>
    <x v="2"/>
    <s v="AA201"/>
    <x v="99"/>
    <n v="1833.96"/>
    <x v="8"/>
    <x v="2"/>
  </r>
  <r>
    <x v="26"/>
    <x v="26"/>
    <x v="25"/>
    <x v="0"/>
    <s v="AA201"/>
    <x v="99"/>
    <n v="47100"/>
    <x v="0"/>
    <x v="0"/>
  </r>
  <r>
    <x v="26"/>
    <x v="26"/>
    <x v="25"/>
    <x v="1"/>
    <s v="AA201"/>
    <x v="99"/>
    <n v="1483.68"/>
    <x v="0"/>
    <x v="0"/>
  </r>
  <r>
    <x v="26"/>
    <x v="26"/>
    <x v="25"/>
    <x v="2"/>
    <s v="AA201"/>
    <x v="99"/>
    <n v="2223.12"/>
    <x v="8"/>
    <x v="2"/>
  </r>
  <r>
    <x v="28"/>
    <x v="28"/>
    <x v="27"/>
    <x v="0"/>
    <s v="AA201"/>
    <x v="99"/>
    <n v="9622.58"/>
    <x v="0"/>
    <x v="0"/>
  </r>
  <r>
    <x v="28"/>
    <x v="28"/>
    <x v="27"/>
    <x v="1"/>
    <s v="AA201"/>
    <x v="99"/>
    <n v="303.11"/>
    <x v="0"/>
    <x v="0"/>
  </r>
  <r>
    <x v="28"/>
    <x v="28"/>
    <x v="27"/>
    <x v="2"/>
    <s v="AA201"/>
    <x v="99"/>
    <n v="454.19"/>
    <x v="8"/>
    <x v="2"/>
  </r>
  <r>
    <x v="29"/>
    <x v="29"/>
    <x v="6"/>
    <x v="0"/>
    <s v="AA201"/>
    <x v="99"/>
    <n v="38311.83"/>
    <x v="0"/>
    <x v="0"/>
  </r>
  <r>
    <x v="29"/>
    <x v="29"/>
    <x v="6"/>
    <x v="1"/>
    <s v="AA201"/>
    <x v="99"/>
    <n v="1206.82"/>
    <x v="0"/>
    <x v="0"/>
  </r>
  <r>
    <x v="29"/>
    <x v="29"/>
    <x v="6"/>
    <x v="2"/>
    <s v="AA201"/>
    <x v="99"/>
    <n v="1808.33"/>
    <x v="8"/>
    <x v="2"/>
  </r>
  <r>
    <x v="30"/>
    <x v="30"/>
    <x v="28"/>
    <x v="0"/>
    <s v="AA201"/>
    <x v="99"/>
    <n v="47100"/>
    <x v="0"/>
    <x v="0"/>
  </r>
  <r>
    <x v="30"/>
    <x v="30"/>
    <x v="28"/>
    <x v="1"/>
    <s v="AA201"/>
    <x v="99"/>
    <n v="1483.68"/>
    <x v="0"/>
    <x v="0"/>
  </r>
  <r>
    <x v="30"/>
    <x v="30"/>
    <x v="28"/>
    <x v="2"/>
    <s v="AA201"/>
    <x v="99"/>
    <n v="2223.12"/>
    <x v="8"/>
    <x v="2"/>
  </r>
  <r>
    <x v="31"/>
    <x v="31"/>
    <x v="29"/>
    <x v="0"/>
    <s v="AA201"/>
    <x v="99"/>
    <n v="47100"/>
    <x v="0"/>
    <x v="0"/>
  </r>
  <r>
    <x v="31"/>
    <x v="31"/>
    <x v="29"/>
    <x v="1"/>
    <s v="AA201"/>
    <x v="99"/>
    <n v="1483.68"/>
    <x v="0"/>
    <x v="0"/>
  </r>
  <r>
    <x v="31"/>
    <x v="31"/>
    <x v="29"/>
    <x v="2"/>
    <s v="AA201"/>
    <x v="99"/>
    <n v="2223.12"/>
    <x v="8"/>
    <x v="2"/>
  </r>
  <r>
    <x v="32"/>
    <x v="32"/>
    <x v="30"/>
    <x v="0"/>
    <s v="AA201"/>
    <x v="99"/>
    <n v="47100"/>
    <x v="0"/>
    <x v="0"/>
  </r>
  <r>
    <x v="32"/>
    <x v="32"/>
    <x v="30"/>
    <x v="1"/>
    <s v="AA201"/>
    <x v="99"/>
    <n v="1483.68"/>
    <x v="0"/>
    <x v="0"/>
  </r>
  <r>
    <x v="32"/>
    <x v="32"/>
    <x v="30"/>
    <x v="2"/>
    <s v="AA201"/>
    <x v="99"/>
    <n v="2223.12"/>
    <x v="8"/>
    <x v="2"/>
  </r>
  <r>
    <x v="33"/>
    <x v="33"/>
    <x v="31"/>
    <x v="0"/>
    <s v="AA201"/>
    <x v="99"/>
    <n v="43774.64"/>
    <x v="0"/>
    <x v="0"/>
  </r>
  <r>
    <x v="33"/>
    <x v="33"/>
    <x v="31"/>
    <x v="1"/>
    <s v="AA201"/>
    <x v="99"/>
    <n v="1378.9"/>
    <x v="0"/>
    <x v="0"/>
  </r>
  <r>
    <x v="33"/>
    <x v="33"/>
    <x v="31"/>
    <x v="2"/>
    <s v="AA201"/>
    <x v="99"/>
    <n v="2066.15"/>
    <x v="8"/>
    <x v="2"/>
  </r>
  <r>
    <x v="34"/>
    <x v="34"/>
    <x v="32"/>
    <x v="0"/>
    <s v="AA201"/>
    <x v="99"/>
    <n v="47100"/>
    <x v="0"/>
    <x v="0"/>
  </r>
  <r>
    <x v="34"/>
    <x v="34"/>
    <x v="32"/>
    <x v="1"/>
    <s v="AA201"/>
    <x v="99"/>
    <n v="1483.68"/>
    <x v="0"/>
    <x v="0"/>
  </r>
  <r>
    <x v="34"/>
    <x v="34"/>
    <x v="32"/>
    <x v="2"/>
    <s v="AA201"/>
    <x v="99"/>
    <n v="2223.12"/>
    <x v="8"/>
    <x v="2"/>
  </r>
  <r>
    <x v="35"/>
    <x v="35"/>
    <x v="33"/>
    <x v="0"/>
    <s v="AA201"/>
    <x v="99"/>
    <n v="38315.9"/>
    <x v="0"/>
    <x v="0"/>
  </r>
  <r>
    <x v="35"/>
    <x v="35"/>
    <x v="33"/>
    <x v="1"/>
    <s v="AA201"/>
    <x v="99"/>
    <n v="1206.95"/>
    <x v="0"/>
    <x v="0"/>
  </r>
  <r>
    <x v="35"/>
    <x v="35"/>
    <x v="33"/>
    <x v="2"/>
    <s v="AA201"/>
    <x v="99"/>
    <n v="1808.51"/>
    <x v="8"/>
    <x v="2"/>
  </r>
  <r>
    <x v="36"/>
    <x v="36"/>
    <x v="34"/>
    <x v="0"/>
    <s v="AA201"/>
    <x v="99"/>
    <n v="2162.1999999999998"/>
    <x v="0"/>
    <x v="0"/>
  </r>
  <r>
    <x v="36"/>
    <x v="36"/>
    <x v="34"/>
    <x v="1"/>
    <s v="AA201"/>
    <x v="99"/>
    <n v="68.12"/>
    <x v="0"/>
    <x v="0"/>
  </r>
  <r>
    <x v="36"/>
    <x v="36"/>
    <x v="34"/>
    <x v="2"/>
    <s v="AA201"/>
    <x v="99"/>
    <n v="102.04"/>
    <x v="8"/>
    <x v="2"/>
  </r>
  <r>
    <x v="37"/>
    <x v="37"/>
    <x v="35"/>
    <x v="0"/>
    <s v="AA201"/>
    <x v="99"/>
    <n v="38778.019999999997"/>
    <x v="0"/>
    <x v="0"/>
  </r>
  <r>
    <x v="37"/>
    <x v="37"/>
    <x v="35"/>
    <x v="1"/>
    <s v="AA201"/>
    <x v="99"/>
    <n v="1221.48"/>
    <x v="0"/>
    <x v="0"/>
  </r>
  <r>
    <x v="37"/>
    <x v="37"/>
    <x v="35"/>
    <x v="2"/>
    <s v="AA201"/>
    <x v="99"/>
    <n v="1830.33"/>
    <x v="8"/>
    <x v="2"/>
  </r>
  <r>
    <x v="38"/>
    <x v="38"/>
    <x v="36"/>
    <x v="0"/>
    <s v="AA201"/>
    <x v="99"/>
    <n v="47100"/>
    <x v="0"/>
    <x v="0"/>
  </r>
  <r>
    <x v="38"/>
    <x v="38"/>
    <x v="36"/>
    <x v="1"/>
    <s v="AA201"/>
    <x v="99"/>
    <n v="1483.68"/>
    <x v="0"/>
    <x v="0"/>
  </r>
  <r>
    <x v="38"/>
    <x v="38"/>
    <x v="36"/>
    <x v="2"/>
    <s v="AA201"/>
    <x v="99"/>
    <n v="2223.12"/>
    <x v="8"/>
    <x v="2"/>
  </r>
  <r>
    <x v="39"/>
    <x v="39"/>
    <x v="37"/>
    <x v="0"/>
    <s v="AA201"/>
    <x v="99"/>
    <n v="18490.8"/>
    <x v="0"/>
    <x v="0"/>
  </r>
  <r>
    <x v="39"/>
    <x v="39"/>
    <x v="37"/>
    <x v="1"/>
    <s v="AA201"/>
    <x v="99"/>
    <n v="582.44000000000005"/>
    <x v="0"/>
    <x v="0"/>
  </r>
  <r>
    <x v="39"/>
    <x v="39"/>
    <x v="37"/>
    <x v="2"/>
    <s v="AA201"/>
    <x v="99"/>
    <n v="872.75"/>
    <x v="8"/>
    <x v="2"/>
  </r>
  <r>
    <x v="40"/>
    <x v="40"/>
    <x v="38"/>
    <x v="0"/>
    <s v="AA201"/>
    <x v="99"/>
    <n v="47100"/>
    <x v="0"/>
    <x v="0"/>
  </r>
  <r>
    <x v="40"/>
    <x v="40"/>
    <x v="38"/>
    <x v="1"/>
    <s v="AA201"/>
    <x v="99"/>
    <n v="1483.67"/>
    <x v="0"/>
    <x v="0"/>
  </r>
  <r>
    <x v="40"/>
    <x v="40"/>
    <x v="38"/>
    <x v="2"/>
    <s v="AA201"/>
    <x v="99"/>
    <n v="2223.12"/>
    <x v="8"/>
    <x v="2"/>
  </r>
  <r>
    <x v="41"/>
    <x v="41"/>
    <x v="39"/>
    <x v="0"/>
    <s v="AA201"/>
    <x v="99"/>
    <n v="47100"/>
    <x v="0"/>
    <x v="0"/>
  </r>
  <r>
    <x v="41"/>
    <x v="41"/>
    <x v="39"/>
    <x v="1"/>
    <s v="AA201"/>
    <x v="99"/>
    <n v="1483.68"/>
    <x v="0"/>
    <x v="0"/>
  </r>
  <r>
    <x v="41"/>
    <x v="41"/>
    <x v="39"/>
    <x v="2"/>
    <s v="AA201"/>
    <x v="99"/>
    <n v="2223.12"/>
    <x v="8"/>
    <x v="2"/>
  </r>
  <r>
    <x v="42"/>
    <x v="42"/>
    <x v="40"/>
    <x v="0"/>
    <s v="AA201"/>
    <x v="99"/>
    <n v="47100"/>
    <x v="0"/>
    <x v="0"/>
  </r>
  <r>
    <x v="42"/>
    <x v="42"/>
    <x v="40"/>
    <x v="1"/>
    <s v="AA201"/>
    <x v="99"/>
    <n v="1483.68"/>
    <x v="0"/>
    <x v="0"/>
  </r>
  <r>
    <x v="42"/>
    <x v="42"/>
    <x v="40"/>
    <x v="2"/>
    <s v="AA201"/>
    <x v="99"/>
    <n v="2223.12"/>
    <x v="8"/>
    <x v="2"/>
  </r>
  <r>
    <x v="43"/>
    <x v="43"/>
    <x v="41"/>
    <x v="0"/>
    <s v="AA201"/>
    <x v="99"/>
    <n v="47100"/>
    <x v="0"/>
    <x v="0"/>
  </r>
  <r>
    <x v="43"/>
    <x v="43"/>
    <x v="41"/>
    <x v="1"/>
    <s v="AA201"/>
    <x v="99"/>
    <n v="1483.68"/>
    <x v="0"/>
    <x v="0"/>
  </r>
  <r>
    <x v="43"/>
    <x v="43"/>
    <x v="41"/>
    <x v="2"/>
    <s v="AA201"/>
    <x v="99"/>
    <n v="2223.12"/>
    <x v="8"/>
    <x v="2"/>
  </r>
  <r>
    <x v="44"/>
    <x v="44"/>
    <x v="42"/>
    <x v="0"/>
    <s v="AA201"/>
    <x v="99"/>
    <n v="45684.82"/>
    <x v="0"/>
    <x v="0"/>
  </r>
  <r>
    <x v="44"/>
    <x v="44"/>
    <x v="42"/>
    <x v="1"/>
    <s v="AA201"/>
    <x v="99"/>
    <n v="1439.08"/>
    <x v="0"/>
    <x v="0"/>
  </r>
  <r>
    <x v="44"/>
    <x v="44"/>
    <x v="42"/>
    <x v="2"/>
    <s v="AA201"/>
    <x v="99"/>
    <n v="2156.3200000000002"/>
    <x v="8"/>
    <x v="2"/>
  </r>
  <r>
    <x v="45"/>
    <x v="45"/>
    <x v="43"/>
    <x v="0"/>
    <s v="AA201"/>
    <x v="99"/>
    <n v="7850"/>
    <x v="0"/>
    <x v="0"/>
  </r>
  <r>
    <x v="45"/>
    <x v="45"/>
    <x v="43"/>
    <x v="1"/>
    <s v="AA201"/>
    <x v="99"/>
    <n v="247.28"/>
    <x v="0"/>
    <x v="0"/>
  </r>
  <r>
    <x v="45"/>
    <x v="45"/>
    <x v="43"/>
    <x v="2"/>
    <s v="AA201"/>
    <x v="99"/>
    <n v="370.52"/>
    <x v="8"/>
    <x v="2"/>
  </r>
  <r>
    <x v="47"/>
    <x v="47"/>
    <x v="45"/>
    <x v="0"/>
    <s v="AA201"/>
    <x v="99"/>
    <n v="24689.52"/>
    <x v="0"/>
    <x v="0"/>
  </r>
  <r>
    <x v="47"/>
    <x v="47"/>
    <x v="45"/>
    <x v="1"/>
    <s v="AA201"/>
    <x v="99"/>
    <n v="777.7"/>
    <x v="0"/>
    <x v="0"/>
  </r>
  <r>
    <x v="47"/>
    <x v="47"/>
    <x v="45"/>
    <x v="2"/>
    <s v="AA201"/>
    <x v="99"/>
    <n v="1165.33"/>
    <x v="8"/>
    <x v="2"/>
  </r>
  <r>
    <x v="49"/>
    <x v="49"/>
    <x v="47"/>
    <x v="0"/>
    <s v="AA201"/>
    <x v="99"/>
    <n v="3399.94"/>
    <x v="0"/>
    <x v="0"/>
  </r>
  <r>
    <x v="49"/>
    <x v="49"/>
    <x v="47"/>
    <x v="1"/>
    <s v="AA201"/>
    <x v="99"/>
    <n v="107.1"/>
    <x v="0"/>
    <x v="0"/>
  </r>
  <r>
    <x v="49"/>
    <x v="49"/>
    <x v="47"/>
    <x v="2"/>
    <s v="AA201"/>
    <x v="99"/>
    <n v="160.47999999999999"/>
    <x v="8"/>
    <x v="2"/>
  </r>
  <r>
    <x v="50"/>
    <x v="49"/>
    <x v="48"/>
    <x v="0"/>
    <s v="AA201"/>
    <x v="99"/>
    <n v="36818.67"/>
    <x v="0"/>
    <x v="0"/>
  </r>
  <r>
    <x v="50"/>
    <x v="49"/>
    <x v="48"/>
    <x v="1"/>
    <s v="AA201"/>
    <x v="99"/>
    <n v="1159.76"/>
    <x v="0"/>
    <x v="0"/>
  </r>
  <r>
    <x v="50"/>
    <x v="49"/>
    <x v="48"/>
    <x v="2"/>
    <s v="AA201"/>
    <x v="99"/>
    <n v="1737.82"/>
    <x v="8"/>
    <x v="2"/>
  </r>
  <r>
    <x v="51"/>
    <x v="50"/>
    <x v="49"/>
    <x v="0"/>
    <s v="AA201"/>
    <x v="99"/>
    <n v="1772.58"/>
    <x v="0"/>
    <x v="0"/>
  </r>
  <r>
    <x v="51"/>
    <x v="50"/>
    <x v="49"/>
    <x v="1"/>
    <s v="AA201"/>
    <x v="99"/>
    <n v="55.84"/>
    <x v="0"/>
    <x v="0"/>
  </r>
  <r>
    <x v="51"/>
    <x v="50"/>
    <x v="49"/>
    <x v="2"/>
    <s v="AA201"/>
    <x v="99"/>
    <n v="83.67"/>
    <x v="8"/>
    <x v="2"/>
  </r>
  <r>
    <x v="52"/>
    <x v="51"/>
    <x v="50"/>
    <x v="0"/>
    <s v="AA201"/>
    <x v="99"/>
    <n v="26694.23"/>
    <x v="0"/>
    <x v="0"/>
  </r>
  <r>
    <x v="52"/>
    <x v="51"/>
    <x v="50"/>
    <x v="1"/>
    <s v="AA201"/>
    <x v="99"/>
    <n v="840.88"/>
    <x v="0"/>
    <x v="0"/>
  </r>
  <r>
    <x v="52"/>
    <x v="51"/>
    <x v="50"/>
    <x v="2"/>
    <s v="AA201"/>
    <x v="99"/>
    <n v="1259.96"/>
    <x v="8"/>
    <x v="2"/>
  </r>
  <r>
    <x v="53"/>
    <x v="52"/>
    <x v="48"/>
    <x v="0"/>
    <s v="AA201"/>
    <x v="99"/>
    <n v="6819.94"/>
    <x v="0"/>
    <x v="0"/>
  </r>
  <r>
    <x v="53"/>
    <x v="52"/>
    <x v="48"/>
    <x v="1"/>
    <s v="AA201"/>
    <x v="99"/>
    <n v="214.83"/>
    <x v="0"/>
    <x v="0"/>
  </r>
  <r>
    <x v="53"/>
    <x v="52"/>
    <x v="48"/>
    <x v="2"/>
    <s v="AA201"/>
    <x v="99"/>
    <n v="321.89999999999998"/>
    <x v="8"/>
    <x v="2"/>
  </r>
  <r>
    <x v="1"/>
    <x v="1"/>
    <x v="1"/>
    <x v="0"/>
    <s v="AA202"/>
    <x v="100"/>
    <n v="17040.32"/>
    <x v="0"/>
    <x v="0"/>
  </r>
  <r>
    <x v="1"/>
    <x v="1"/>
    <x v="1"/>
    <x v="1"/>
    <s v="AA202"/>
    <x v="100"/>
    <n v="1472.3"/>
    <x v="0"/>
    <x v="0"/>
  </r>
  <r>
    <x v="1"/>
    <x v="1"/>
    <x v="1"/>
    <x v="2"/>
    <s v="AA202"/>
    <x v="100"/>
    <n v="2206.7199999999998"/>
    <x v="8"/>
    <x v="2"/>
  </r>
  <r>
    <x v="2"/>
    <x v="2"/>
    <x v="2"/>
    <x v="0"/>
    <s v="AA202"/>
    <x v="100"/>
    <n v="14268.02"/>
    <x v="0"/>
    <x v="0"/>
  </r>
  <r>
    <x v="2"/>
    <x v="2"/>
    <x v="2"/>
    <x v="1"/>
    <s v="AA202"/>
    <x v="100"/>
    <n v="1232.76"/>
    <x v="0"/>
    <x v="0"/>
  </r>
  <r>
    <x v="2"/>
    <x v="2"/>
    <x v="2"/>
    <x v="2"/>
    <s v="AA202"/>
    <x v="100"/>
    <n v="1847.72"/>
    <x v="8"/>
    <x v="2"/>
  </r>
  <r>
    <x v="3"/>
    <x v="3"/>
    <x v="3"/>
    <x v="0"/>
    <s v="AA202"/>
    <x v="100"/>
    <n v="3681.79"/>
    <x v="0"/>
    <x v="0"/>
  </r>
  <r>
    <x v="3"/>
    <x v="3"/>
    <x v="3"/>
    <x v="1"/>
    <s v="AA202"/>
    <x v="100"/>
    <n v="318.11"/>
    <x v="0"/>
    <x v="0"/>
  </r>
  <r>
    <x v="3"/>
    <x v="3"/>
    <x v="3"/>
    <x v="2"/>
    <s v="AA202"/>
    <x v="100"/>
    <n v="476.8"/>
    <x v="8"/>
    <x v="2"/>
  </r>
  <r>
    <x v="6"/>
    <x v="6"/>
    <x v="6"/>
    <x v="0"/>
    <s v="AA202"/>
    <x v="100"/>
    <n v="13609.03"/>
    <x v="0"/>
    <x v="0"/>
  </r>
  <r>
    <x v="6"/>
    <x v="6"/>
    <x v="6"/>
    <x v="1"/>
    <s v="AA202"/>
    <x v="100"/>
    <n v="1175.8"/>
    <x v="0"/>
    <x v="0"/>
  </r>
  <r>
    <x v="6"/>
    <x v="6"/>
    <x v="6"/>
    <x v="2"/>
    <s v="AA202"/>
    <x v="100"/>
    <n v="1762.34"/>
    <x v="8"/>
    <x v="2"/>
  </r>
  <r>
    <x v="7"/>
    <x v="7"/>
    <x v="7"/>
    <x v="0"/>
    <s v="AA202"/>
    <x v="100"/>
    <n v="6622.94"/>
    <x v="0"/>
    <x v="0"/>
  </r>
  <r>
    <x v="7"/>
    <x v="7"/>
    <x v="7"/>
    <x v="1"/>
    <s v="AA202"/>
    <x v="100"/>
    <n v="572.21"/>
    <x v="0"/>
    <x v="0"/>
  </r>
  <r>
    <x v="7"/>
    <x v="7"/>
    <x v="7"/>
    <x v="2"/>
    <s v="AA202"/>
    <x v="100"/>
    <n v="857.7"/>
    <x v="8"/>
    <x v="2"/>
  </r>
  <r>
    <x v="8"/>
    <x v="8"/>
    <x v="8"/>
    <x v="0"/>
    <s v="AA202"/>
    <x v="100"/>
    <n v="88462.2"/>
    <x v="0"/>
    <x v="0"/>
  </r>
  <r>
    <x v="8"/>
    <x v="8"/>
    <x v="8"/>
    <x v="1"/>
    <s v="AA202"/>
    <x v="100"/>
    <n v="7643.16"/>
    <x v="0"/>
    <x v="0"/>
  </r>
  <r>
    <x v="8"/>
    <x v="8"/>
    <x v="8"/>
    <x v="2"/>
    <s v="AA202"/>
    <x v="100"/>
    <n v="11455.83"/>
    <x v="8"/>
    <x v="2"/>
  </r>
  <r>
    <x v="9"/>
    <x v="9"/>
    <x v="9"/>
    <x v="0"/>
    <s v="AA202"/>
    <x v="100"/>
    <n v="15889.04"/>
    <x v="0"/>
    <x v="0"/>
  </r>
  <r>
    <x v="9"/>
    <x v="9"/>
    <x v="9"/>
    <x v="1"/>
    <s v="AA202"/>
    <x v="100"/>
    <n v="1372.82"/>
    <x v="0"/>
    <x v="0"/>
  </r>
  <r>
    <x v="9"/>
    <x v="9"/>
    <x v="9"/>
    <x v="2"/>
    <s v="AA202"/>
    <x v="100"/>
    <n v="2057.64"/>
    <x v="8"/>
    <x v="2"/>
  </r>
  <r>
    <x v="10"/>
    <x v="10"/>
    <x v="10"/>
    <x v="0"/>
    <s v="AA202"/>
    <x v="100"/>
    <n v="89114.53"/>
    <x v="0"/>
    <x v="0"/>
  </r>
  <r>
    <x v="10"/>
    <x v="10"/>
    <x v="10"/>
    <x v="1"/>
    <s v="AA202"/>
    <x v="100"/>
    <n v="7699.5"/>
    <x v="0"/>
    <x v="0"/>
  </r>
  <r>
    <x v="10"/>
    <x v="10"/>
    <x v="10"/>
    <x v="2"/>
    <s v="AA202"/>
    <x v="100"/>
    <n v="11540.3"/>
    <x v="8"/>
    <x v="2"/>
  </r>
  <r>
    <x v="11"/>
    <x v="11"/>
    <x v="11"/>
    <x v="0"/>
    <s v="AA202"/>
    <x v="100"/>
    <n v="24002.79"/>
    <x v="0"/>
    <x v="0"/>
  </r>
  <r>
    <x v="11"/>
    <x v="11"/>
    <x v="11"/>
    <x v="1"/>
    <s v="AA202"/>
    <x v="100"/>
    <n v="2073.84"/>
    <x v="0"/>
    <x v="0"/>
  </r>
  <r>
    <x v="11"/>
    <x v="11"/>
    <x v="11"/>
    <x v="2"/>
    <s v="AA202"/>
    <x v="100"/>
    <n v="3108.33"/>
    <x v="8"/>
    <x v="2"/>
  </r>
  <r>
    <x v="12"/>
    <x v="12"/>
    <x v="12"/>
    <x v="0"/>
    <s v="AA202"/>
    <x v="100"/>
    <n v="9565.3700000000008"/>
    <x v="0"/>
    <x v="0"/>
  </r>
  <r>
    <x v="12"/>
    <x v="12"/>
    <x v="12"/>
    <x v="1"/>
    <s v="AA202"/>
    <x v="100"/>
    <n v="826.41"/>
    <x v="0"/>
    <x v="0"/>
  </r>
  <r>
    <x v="12"/>
    <x v="12"/>
    <x v="12"/>
    <x v="2"/>
    <s v="AA202"/>
    <x v="100"/>
    <n v="1238.68"/>
    <x v="8"/>
    <x v="2"/>
  </r>
  <r>
    <x v="14"/>
    <x v="14"/>
    <x v="14"/>
    <x v="0"/>
    <s v="AA202"/>
    <x v="100"/>
    <n v="3141.13"/>
    <x v="0"/>
    <x v="0"/>
  </r>
  <r>
    <x v="14"/>
    <x v="14"/>
    <x v="14"/>
    <x v="1"/>
    <s v="AA202"/>
    <x v="100"/>
    <n v="271.39"/>
    <x v="0"/>
    <x v="0"/>
  </r>
  <r>
    <x v="14"/>
    <x v="14"/>
    <x v="14"/>
    <x v="2"/>
    <s v="AA202"/>
    <x v="100"/>
    <n v="406.77"/>
    <x v="8"/>
    <x v="2"/>
  </r>
  <r>
    <x v="15"/>
    <x v="15"/>
    <x v="15"/>
    <x v="0"/>
    <s v="AA202"/>
    <x v="100"/>
    <n v="14346.32"/>
    <x v="0"/>
    <x v="0"/>
  </r>
  <r>
    <x v="15"/>
    <x v="15"/>
    <x v="15"/>
    <x v="1"/>
    <s v="AA202"/>
    <x v="100"/>
    <n v="1239.5"/>
    <x v="0"/>
    <x v="0"/>
  </r>
  <r>
    <x v="15"/>
    <x v="15"/>
    <x v="15"/>
    <x v="2"/>
    <s v="AA202"/>
    <x v="100"/>
    <n v="1857.83"/>
    <x v="8"/>
    <x v="2"/>
  </r>
  <r>
    <x v="18"/>
    <x v="18"/>
    <x v="18"/>
    <x v="0"/>
    <s v="AA202"/>
    <x v="100"/>
    <n v="49573.07"/>
    <x v="0"/>
    <x v="0"/>
  </r>
  <r>
    <x v="18"/>
    <x v="18"/>
    <x v="18"/>
    <x v="1"/>
    <s v="AA202"/>
    <x v="100"/>
    <n v="4283.13"/>
    <x v="0"/>
    <x v="0"/>
  </r>
  <r>
    <x v="18"/>
    <x v="18"/>
    <x v="18"/>
    <x v="2"/>
    <s v="AA202"/>
    <x v="100"/>
    <n v="6419.71"/>
    <x v="8"/>
    <x v="2"/>
  </r>
  <r>
    <x v="19"/>
    <x v="19"/>
    <x v="19"/>
    <x v="0"/>
    <s v="AA202"/>
    <x v="100"/>
    <n v="16821.650000000001"/>
    <x v="0"/>
    <x v="0"/>
  </r>
  <r>
    <x v="19"/>
    <x v="19"/>
    <x v="19"/>
    <x v="1"/>
    <s v="AA202"/>
    <x v="100"/>
    <n v="1453.39"/>
    <x v="0"/>
    <x v="0"/>
  </r>
  <r>
    <x v="19"/>
    <x v="19"/>
    <x v="19"/>
    <x v="2"/>
    <s v="AA202"/>
    <x v="100"/>
    <n v="2178.39"/>
    <x v="8"/>
    <x v="2"/>
  </r>
  <r>
    <x v="20"/>
    <x v="20"/>
    <x v="20"/>
    <x v="0"/>
    <s v="AA202"/>
    <x v="100"/>
    <n v="21395.59"/>
    <x v="0"/>
    <x v="0"/>
  </r>
  <r>
    <x v="20"/>
    <x v="20"/>
    <x v="20"/>
    <x v="1"/>
    <s v="AA202"/>
    <x v="100"/>
    <n v="1848.58"/>
    <x v="0"/>
    <x v="0"/>
  </r>
  <r>
    <x v="20"/>
    <x v="20"/>
    <x v="20"/>
    <x v="2"/>
    <s v="AA202"/>
    <x v="100"/>
    <n v="2770.75"/>
    <x v="8"/>
    <x v="2"/>
  </r>
  <r>
    <x v="22"/>
    <x v="22"/>
    <x v="22"/>
    <x v="0"/>
    <s v="AA202"/>
    <x v="100"/>
    <n v="9791.5300000000007"/>
    <x v="0"/>
    <x v="0"/>
  </r>
  <r>
    <x v="22"/>
    <x v="22"/>
    <x v="22"/>
    <x v="1"/>
    <s v="AA202"/>
    <x v="100"/>
    <n v="845.98"/>
    <x v="0"/>
    <x v="0"/>
  </r>
  <r>
    <x v="22"/>
    <x v="22"/>
    <x v="22"/>
    <x v="2"/>
    <s v="AA202"/>
    <x v="100"/>
    <n v="1268"/>
    <x v="8"/>
    <x v="2"/>
  </r>
  <r>
    <x v="26"/>
    <x v="26"/>
    <x v="25"/>
    <x v="0"/>
    <s v="AA202"/>
    <x v="100"/>
    <n v="12472.69"/>
    <x v="0"/>
    <x v="0"/>
  </r>
  <r>
    <x v="26"/>
    <x v="26"/>
    <x v="25"/>
    <x v="1"/>
    <s v="AA202"/>
    <x v="100"/>
    <n v="1077.6099999999999"/>
    <x v="0"/>
    <x v="0"/>
  </r>
  <r>
    <x v="26"/>
    <x v="26"/>
    <x v="25"/>
    <x v="2"/>
    <s v="AA202"/>
    <x v="100"/>
    <n v="1615.19"/>
    <x v="8"/>
    <x v="2"/>
  </r>
  <r>
    <x v="28"/>
    <x v="28"/>
    <x v="27"/>
    <x v="0"/>
    <s v="AA202"/>
    <x v="100"/>
    <n v="1052.3699999999999"/>
    <x v="0"/>
    <x v="0"/>
  </r>
  <r>
    <x v="28"/>
    <x v="28"/>
    <x v="27"/>
    <x v="1"/>
    <s v="AA202"/>
    <x v="100"/>
    <n v="90.92"/>
    <x v="0"/>
    <x v="0"/>
  </r>
  <r>
    <x v="28"/>
    <x v="28"/>
    <x v="27"/>
    <x v="2"/>
    <s v="AA202"/>
    <x v="100"/>
    <n v="136.28"/>
    <x v="8"/>
    <x v="2"/>
  </r>
  <r>
    <x v="30"/>
    <x v="30"/>
    <x v="28"/>
    <x v="0"/>
    <s v="AA202"/>
    <x v="100"/>
    <n v="14504.34"/>
    <x v="0"/>
    <x v="0"/>
  </r>
  <r>
    <x v="30"/>
    <x v="30"/>
    <x v="28"/>
    <x v="1"/>
    <s v="AA202"/>
    <x v="100"/>
    <n v="1253.1500000000001"/>
    <x v="0"/>
    <x v="0"/>
  </r>
  <r>
    <x v="30"/>
    <x v="30"/>
    <x v="28"/>
    <x v="2"/>
    <s v="AA202"/>
    <x v="100"/>
    <n v="1878.29"/>
    <x v="8"/>
    <x v="2"/>
  </r>
  <r>
    <x v="31"/>
    <x v="31"/>
    <x v="29"/>
    <x v="0"/>
    <s v="AA202"/>
    <x v="100"/>
    <n v="12293.65"/>
    <x v="0"/>
    <x v="0"/>
  </r>
  <r>
    <x v="31"/>
    <x v="31"/>
    <x v="29"/>
    <x v="1"/>
    <s v="AA202"/>
    <x v="100"/>
    <n v="1062.18"/>
    <x v="0"/>
    <x v="0"/>
  </r>
  <r>
    <x v="31"/>
    <x v="31"/>
    <x v="29"/>
    <x v="2"/>
    <s v="AA202"/>
    <x v="100"/>
    <n v="1592"/>
    <x v="8"/>
    <x v="2"/>
  </r>
  <r>
    <x v="32"/>
    <x v="32"/>
    <x v="30"/>
    <x v="0"/>
    <s v="AA202"/>
    <x v="100"/>
    <n v="1874.5"/>
    <x v="0"/>
    <x v="0"/>
  </r>
  <r>
    <x v="32"/>
    <x v="32"/>
    <x v="30"/>
    <x v="1"/>
    <s v="AA202"/>
    <x v="100"/>
    <n v="161.94"/>
    <x v="0"/>
    <x v="0"/>
  </r>
  <r>
    <x v="32"/>
    <x v="32"/>
    <x v="30"/>
    <x v="2"/>
    <s v="AA202"/>
    <x v="100"/>
    <n v="242.74"/>
    <x v="8"/>
    <x v="2"/>
  </r>
  <r>
    <x v="33"/>
    <x v="33"/>
    <x v="31"/>
    <x v="1"/>
    <s v="AA202"/>
    <x v="100"/>
    <n v="-0.01"/>
    <x v="0"/>
    <x v="0"/>
  </r>
  <r>
    <x v="34"/>
    <x v="34"/>
    <x v="32"/>
    <x v="0"/>
    <s v="AA202"/>
    <x v="100"/>
    <n v="23285.62"/>
    <x v="0"/>
    <x v="0"/>
  </r>
  <r>
    <x v="34"/>
    <x v="34"/>
    <x v="32"/>
    <x v="1"/>
    <s v="AA202"/>
    <x v="100"/>
    <n v="2011.88"/>
    <x v="0"/>
    <x v="0"/>
  </r>
  <r>
    <x v="34"/>
    <x v="34"/>
    <x v="32"/>
    <x v="2"/>
    <s v="AA202"/>
    <x v="100"/>
    <n v="3015.46"/>
    <x v="8"/>
    <x v="2"/>
  </r>
  <r>
    <x v="38"/>
    <x v="38"/>
    <x v="36"/>
    <x v="0"/>
    <s v="AA202"/>
    <x v="100"/>
    <n v="91640.99"/>
    <x v="0"/>
    <x v="0"/>
  </r>
  <r>
    <x v="38"/>
    <x v="38"/>
    <x v="36"/>
    <x v="1"/>
    <s v="AA202"/>
    <x v="100"/>
    <n v="7917.79"/>
    <x v="0"/>
    <x v="0"/>
  </r>
  <r>
    <x v="38"/>
    <x v="38"/>
    <x v="36"/>
    <x v="2"/>
    <s v="AA202"/>
    <x v="100"/>
    <n v="11867.51"/>
    <x v="8"/>
    <x v="2"/>
  </r>
  <r>
    <x v="40"/>
    <x v="40"/>
    <x v="38"/>
    <x v="0"/>
    <s v="AA202"/>
    <x v="100"/>
    <n v="11561.4"/>
    <x v="0"/>
    <x v="0"/>
  </r>
  <r>
    <x v="40"/>
    <x v="40"/>
    <x v="38"/>
    <x v="1"/>
    <s v="AA202"/>
    <x v="100"/>
    <n v="998.87"/>
    <x v="0"/>
    <x v="0"/>
  </r>
  <r>
    <x v="40"/>
    <x v="40"/>
    <x v="38"/>
    <x v="2"/>
    <s v="AA202"/>
    <x v="100"/>
    <n v="1497.17"/>
    <x v="8"/>
    <x v="2"/>
  </r>
  <r>
    <x v="41"/>
    <x v="41"/>
    <x v="39"/>
    <x v="0"/>
    <s v="AA202"/>
    <x v="100"/>
    <n v="11229.01"/>
    <x v="0"/>
    <x v="0"/>
  </r>
  <r>
    <x v="41"/>
    <x v="41"/>
    <x v="39"/>
    <x v="1"/>
    <s v="AA202"/>
    <x v="100"/>
    <n v="970.17"/>
    <x v="0"/>
    <x v="0"/>
  </r>
  <r>
    <x v="41"/>
    <x v="41"/>
    <x v="39"/>
    <x v="2"/>
    <s v="AA202"/>
    <x v="100"/>
    <n v="1454.14"/>
    <x v="8"/>
    <x v="2"/>
  </r>
  <r>
    <x v="42"/>
    <x v="42"/>
    <x v="40"/>
    <x v="0"/>
    <s v="AA202"/>
    <x v="100"/>
    <n v="32072.74"/>
    <x v="0"/>
    <x v="0"/>
  </r>
  <r>
    <x v="42"/>
    <x v="42"/>
    <x v="40"/>
    <x v="1"/>
    <s v="AA202"/>
    <x v="100"/>
    <n v="2771.09"/>
    <x v="0"/>
    <x v="0"/>
  </r>
  <r>
    <x v="42"/>
    <x v="42"/>
    <x v="40"/>
    <x v="2"/>
    <s v="AA202"/>
    <x v="100"/>
    <n v="4153.43"/>
    <x v="8"/>
    <x v="2"/>
  </r>
  <r>
    <x v="43"/>
    <x v="43"/>
    <x v="41"/>
    <x v="0"/>
    <s v="AA202"/>
    <x v="100"/>
    <n v="9844.02"/>
    <x v="0"/>
    <x v="0"/>
  </r>
  <r>
    <x v="43"/>
    <x v="43"/>
    <x v="41"/>
    <x v="1"/>
    <s v="AA202"/>
    <x v="100"/>
    <n v="850.5"/>
    <x v="0"/>
    <x v="0"/>
  </r>
  <r>
    <x v="43"/>
    <x v="43"/>
    <x v="41"/>
    <x v="2"/>
    <s v="AA202"/>
    <x v="100"/>
    <n v="1274.76"/>
    <x v="8"/>
    <x v="2"/>
  </r>
  <r>
    <x v="44"/>
    <x v="44"/>
    <x v="42"/>
    <x v="1"/>
    <s v="AA202"/>
    <x v="100"/>
    <n v="-0.01"/>
    <x v="0"/>
    <x v="0"/>
  </r>
  <r>
    <x v="44"/>
    <x v="44"/>
    <x v="42"/>
    <x v="2"/>
    <s v="AA202"/>
    <x v="100"/>
    <n v="0.01"/>
    <x v="8"/>
    <x v="2"/>
  </r>
  <r>
    <x v="45"/>
    <x v="45"/>
    <x v="43"/>
    <x v="0"/>
    <s v="AA202"/>
    <x v="100"/>
    <n v="23542.38"/>
    <x v="0"/>
    <x v="0"/>
  </r>
  <r>
    <x v="45"/>
    <x v="45"/>
    <x v="43"/>
    <x v="1"/>
    <s v="AA202"/>
    <x v="100"/>
    <n v="2034.07"/>
    <x v="0"/>
    <x v="0"/>
  </r>
  <r>
    <x v="45"/>
    <x v="45"/>
    <x v="43"/>
    <x v="2"/>
    <s v="AA202"/>
    <x v="100"/>
    <n v="3048.74"/>
    <x v="8"/>
    <x v="2"/>
  </r>
  <r>
    <x v="47"/>
    <x v="47"/>
    <x v="45"/>
    <x v="0"/>
    <s v="AA202"/>
    <x v="100"/>
    <n v="1637.34"/>
    <x v="0"/>
    <x v="0"/>
  </r>
  <r>
    <x v="47"/>
    <x v="47"/>
    <x v="45"/>
    <x v="1"/>
    <s v="AA202"/>
    <x v="100"/>
    <n v="141.47"/>
    <x v="0"/>
    <x v="0"/>
  </r>
  <r>
    <x v="47"/>
    <x v="47"/>
    <x v="45"/>
    <x v="2"/>
    <s v="AA202"/>
    <x v="100"/>
    <n v="212.04"/>
    <x v="8"/>
    <x v="2"/>
  </r>
  <r>
    <x v="51"/>
    <x v="50"/>
    <x v="49"/>
    <x v="0"/>
    <s v="AA202"/>
    <x v="100"/>
    <n v="4305.38"/>
    <x v="0"/>
    <x v="0"/>
  </r>
  <r>
    <x v="51"/>
    <x v="50"/>
    <x v="49"/>
    <x v="1"/>
    <s v="AA202"/>
    <x v="100"/>
    <n v="371.98"/>
    <x v="0"/>
    <x v="0"/>
  </r>
  <r>
    <x v="51"/>
    <x v="50"/>
    <x v="49"/>
    <x v="2"/>
    <s v="AA202"/>
    <x v="100"/>
    <n v="557.54999999999995"/>
    <x v="8"/>
    <x v="2"/>
  </r>
  <r>
    <x v="52"/>
    <x v="51"/>
    <x v="50"/>
    <x v="0"/>
    <s v="AA202"/>
    <x v="100"/>
    <n v="18434.03"/>
    <x v="0"/>
    <x v="0"/>
  </r>
  <r>
    <x v="52"/>
    <x v="51"/>
    <x v="50"/>
    <x v="1"/>
    <s v="AA202"/>
    <x v="100"/>
    <n v="1592.69"/>
    <x v="0"/>
    <x v="0"/>
  </r>
  <r>
    <x v="52"/>
    <x v="51"/>
    <x v="50"/>
    <x v="2"/>
    <s v="AA202"/>
    <x v="100"/>
    <n v="2387.23"/>
    <x v="8"/>
    <x v="2"/>
  </r>
  <r>
    <x v="0"/>
    <x v="0"/>
    <x v="0"/>
    <x v="0"/>
    <s v="AA211"/>
    <x v="101"/>
    <n v="3603.68"/>
    <x v="0"/>
    <x v="0"/>
  </r>
  <r>
    <x v="0"/>
    <x v="0"/>
    <x v="0"/>
    <x v="2"/>
    <s v="AA211"/>
    <x v="101"/>
    <n v="46.48"/>
    <x v="8"/>
    <x v="2"/>
  </r>
  <r>
    <x v="17"/>
    <x v="17"/>
    <x v="17"/>
    <x v="0"/>
    <s v="AA211"/>
    <x v="101"/>
    <n v="3603.68"/>
    <x v="0"/>
    <x v="0"/>
  </r>
  <r>
    <x v="17"/>
    <x v="17"/>
    <x v="17"/>
    <x v="2"/>
    <s v="AA211"/>
    <x v="101"/>
    <n v="46.48"/>
    <x v="8"/>
    <x v="2"/>
  </r>
  <r>
    <x v="24"/>
    <x v="24"/>
    <x v="7"/>
    <x v="0"/>
    <s v="AA211"/>
    <x v="101"/>
    <n v="7934.12"/>
    <x v="0"/>
    <x v="0"/>
  </r>
  <r>
    <x v="24"/>
    <x v="24"/>
    <x v="7"/>
    <x v="2"/>
    <s v="AA211"/>
    <x v="101"/>
    <n v="102.33"/>
    <x v="8"/>
    <x v="2"/>
  </r>
  <r>
    <x v="36"/>
    <x v="36"/>
    <x v="34"/>
    <x v="0"/>
    <s v="AA211"/>
    <x v="101"/>
    <n v="3603.68"/>
    <x v="0"/>
    <x v="0"/>
  </r>
  <r>
    <x v="36"/>
    <x v="36"/>
    <x v="34"/>
    <x v="2"/>
    <s v="AA211"/>
    <x v="101"/>
    <n v="46.48"/>
    <x v="8"/>
    <x v="2"/>
  </r>
  <r>
    <x v="46"/>
    <x v="46"/>
    <x v="44"/>
    <x v="0"/>
    <s v="AA211"/>
    <x v="101"/>
    <n v="7716.54"/>
    <x v="0"/>
    <x v="0"/>
  </r>
  <r>
    <x v="46"/>
    <x v="46"/>
    <x v="44"/>
    <x v="2"/>
    <s v="AA211"/>
    <x v="101"/>
    <n v="99.54"/>
    <x v="8"/>
    <x v="2"/>
  </r>
  <r>
    <x v="48"/>
    <x v="48"/>
    <x v="46"/>
    <x v="0"/>
    <s v="AA211"/>
    <x v="101"/>
    <n v="7840.63"/>
    <x v="0"/>
    <x v="0"/>
  </r>
  <r>
    <x v="48"/>
    <x v="48"/>
    <x v="46"/>
    <x v="2"/>
    <s v="AA211"/>
    <x v="101"/>
    <n v="101.12"/>
    <x v="8"/>
    <x v="2"/>
  </r>
  <r>
    <x v="0"/>
    <x v="0"/>
    <x v="0"/>
    <x v="0"/>
    <s v="AA211"/>
    <x v="102"/>
    <n v="1225.24"/>
    <x v="0"/>
    <x v="0"/>
  </r>
  <r>
    <x v="0"/>
    <x v="0"/>
    <x v="0"/>
    <x v="1"/>
    <s v="AA211"/>
    <x v="102"/>
    <n v="10.52"/>
    <x v="0"/>
    <x v="0"/>
  </r>
  <r>
    <x v="0"/>
    <x v="0"/>
    <x v="0"/>
    <x v="2"/>
    <s v="AA211"/>
    <x v="102"/>
    <n v="15.8"/>
    <x v="8"/>
    <x v="2"/>
  </r>
  <r>
    <x v="1"/>
    <x v="1"/>
    <x v="1"/>
    <x v="0"/>
    <s v="AA211"/>
    <x v="102"/>
    <n v="25566.959999999999"/>
    <x v="0"/>
    <x v="0"/>
  </r>
  <r>
    <x v="1"/>
    <x v="1"/>
    <x v="1"/>
    <x v="1"/>
    <s v="AA211"/>
    <x v="102"/>
    <n v="219.84"/>
    <x v="0"/>
    <x v="0"/>
  </r>
  <r>
    <x v="1"/>
    <x v="1"/>
    <x v="1"/>
    <x v="2"/>
    <s v="AA211"/>
    <x v="102"/>
    <n v="329.76"/>
    <x v="8"/>
    <x v="2"/>
  </r>
  <r>
    <x v="2"/>
    <x v="2"/>
    <x v="2"/>
    <x v="0"/>
    <s v="AA211"/>
    <x v="102"/>
    <n v="47100"/>
    <x v="0"/>
    <x v="0"/>
  </r>
  <r>
    <x v="2"/>
    <x v="2"/>
    <x v="2"/>
    <x v="1"/>
    <s v="AA211"/>
    <x v="102"/>
    <n v="405.12"/>
    <x v="0"/>
    <x v="0"/>
  </r>
  <r>
    <x v="2"/>
    <x v="2"/>
    <x v="2"/>
    <x v="2"/>
    <s v="AA211"/>
    <x v="102"/>
    <n v="607.55999999999995"/>
    <x v="8"/>
    <x v="2"/>
  </r>
  <r>
    <x v="3"/>
    <x v="3"/>
    <x v="3"/>
    <x v="0"/>
    <s v="AA211"/>
    <x v="102"/>
    <n v="11395.16"/>
    <x v="0"/>
    <x v="0"/>
  </r>
  <r>
    <x v="3"/>
    <x v="3"/>
    <x v="3"/>
    <x v="1"/>
    <s v="AA211"/>
    <x v="102"/>
    <n v="98.01"/>
    <x v="0"/>
    <x v="0"/>
  </r>
  <r>
    <x v="3"/>
    <x v="3"/>
    <x v="3"/>
    <x v="2"/>
    <s v="AA211"/>
    <x v="102"/>
    <n v="147"/>
    <x v="8"/>
    <x v="2"/>
  </r>
  <r>
    <x v="4"/>
    <x v="4"/>
    <x v="4"/>
    <x v="0"/>
    <s v="AA211"/>
    <x v="102"/>
    <n v="19283.740000000002"/>
    <x v="0"/>
    <x v="0"/>
  </r>
  <r>
    <x v="4"/>
    <x v="4"/>
    <x v="4"/>
    <x v="1"/>
    <s v="AA211"/>
    <x v="102"/>
    <n v="165.86"/>
    <x v="0"/>
    <x v="0"/>
  </r>
  <r>
    <x v="4"/>
    <x v="4"/>
    <x v="4"/>
    <x v="2"/>
    <s v="AA211"/>
    <x v="102"/>
    <n v="248.76"/>
    <x v="8"/>
    <x v="2"/>
  </r>
  <r>
    <x v="5"/>
    <x v="5"/>
    <x v="5"/>
    <x v="0"/>
    <s v="AA211"/>
    <x v="102"/>
    <n v="45370.13"/>
    <x v="0"/>
    <x v="0"/>
  </r>
  <r>
    <x v="5"/>
    <x v="5"/>
    <x v="5"/>
    <x v="1"/>
    <s v="AA211"/>
    <x v="102"/>
    <n v="390.19"/>
    <x v="0"/>
    <x v="0"/>
  </r>
  <r>
    <x v="5"/>
    <x v="5"/>
    <x v="5"/>
    <x v="2"/>
    <s v="AA211"/>
    <x v="102"/>
    <n v="585.28"/>
    <x v="8"/>
    <x v="2"/>
  </r>
  <r>
    <x v="6"/>
    <x v="6"/>
    <x v="6"/>
    <x v="0"/>
    <s v="AA211"/>
    <x v="102"/>
    <n v="47100"/>
    <x v="0"/>
    <x v="0"/>
  </r>
  <r>
    <x v="6"/>
    <x v="6"/>
    <x v="6"/>
    <x v="1"/>
    <s v="AA211"/>
    <x v="102"/>
    <n v="405.12"/>
    <x v="0"/>
    <x v="0"/>
  </r>
  <r>
    <x v="6"/>
    <x v="6"/>
    <x v="6"/>
    <x v="2"/>
    <s v="AA211"/>
    <x v="102"/>
    <n v="607.55999999999995"/>
    <x v="8"/>
    <x v="2"/>
  </r>
  <r>
    <x v="7"/>
    <x v="7"/>
    <x v="7"/>
    <x v="0"/>
    <s v="AA211"/>
    <x v="102"/>
    <n v="47100"/>
    <x v="0"/>
    <x v="0"/>
  </r>
  <r>
    <x v="7"/>
    <x v="7"/>
    <x v="7"/>
    <x v="1"/>
    <s v="AA211"/>
    <x v="102"/>
    <n v="405.12"/>
    <x v="0"/>
    <x v="0"/>
  </r>
  <r>
    <x v="7"/>
    <x v="7"/>
    <x v="7"/>
    <x v="2"/>
    <s v="AA211"/>
    <x v="102"/>
    <n v="607.55999999999995"/>
    <x v="8"/>
    <x v="2"/>
  </r>
  <r>
    <x v="8"/>
    <x v="8"/>
    <x v="8"/>
    <x v="0"/>
    <s v="AA211"/>
    <x v="102"/>
    <n v="47100"/>
    <x v="0"/>
    <x v="0"/>
  </r>
  <r>
    <x v="8"/>
    <x v="8"/>
    <x v="8"/>
    <x v="1"/>
    <s v="AA211"/>
    <x v="102"/>
    <n v="405.12"/>
    <x v="0"/>
    <x v="0"/>
  </r>
  <r>
    <x v="8"/>
    <x v="8"/>
    <x v="8"/>
    <x v="2"/>
    <s v="AA211"/>
    <x v="102"/>
    <n v="607.55999999999995"/>
    <x v="8"/>
    <x v="2"/>
  </r>
  <r>
    <x v="9"/>
    <x v="9"/>
    <x v="9"/>
    <x v="0"/>
    <s v="AA211"/>
    <x v="102"/>
    <n v="47100"/>
    <x v="0"/>
    <x v="0"/>
  </r>
  <r>
    <x v="9"/>
    <x v="9"/>
    <x v="9"/>
    <x v="1"/>
    <s v="AA211"/>
    <x v="102"/>
    <n v="405.12"/>
    <x v="0"/>
    <x v="0"/>
  </r>
  <r>
    <x v="9"/>
    <x v="9"/>
    <x v="9"/>
    <x v="2"/>
    <s v="AA211"/>
    <x v="102"/>
    <n v="607.55999999999995"/>
    <x v="8"/>
    <x v="2"/>
  </r>
  <r>
    <x v="10"/>
    <x v="10"/>
    <x v="10"/>
    <x v="0"/>
    <s v="AA211"/>
    <x v="102"/>
    <n v="47100"/>
    <x v="0"/>
    <x v="0"/>
  </r>
  <r>
    <x v="10"/>
    <x v="10"/>
    <x v="10"/>
    <x v="1"/>
    <s v="AA211"/>
    <x v="102"/>
    <n v="405.12"/>
    <x v="0"/>
    <x v="0"/>
  </r>
  <r>
    <x v="10"/>
    <x v="10"/>
    <x v="10"/>
    <x v="2"/>
    <s v="AA211"/>
    <x v="102"/>
    <n v="607.55999999999995"/>
    <x v="8"/>
    <x v="2"/>
  </r>
  <r>
    <x v="11"/>
    <x v="11"/>
    <x v="11"/>
    <x v="0"/>
    <s v="AA211"/>
    <x v="102"/>
    <n v="47100"/>
    <x v="0"/>
    <x v="0"/>
  </r>
  <r>
    <x v="11"/>
    <x v="11"/>
    <x v="11"/>
    <x v="1"/>
    <s v="AA211"/>
    <x v="102"/>
    <n v="405.12"/>
    <x v="0"/>
    <x v="0"/>
  </r>
  <r>
    <x v="11"/>
    <x v="11"/>
    <x v="11"/>
    <x v="2"/>
    <s v="AA211"/>
    <x v="102"/>
    <n v="607.55999999999995"/>
    <x v="8"/>
    <x v="2"/>
  </r>
  <r>
    <x v="12"/>
    <x v="12"/>
    <x v="12"/>
    <x v="0"/>
    <s v="AA211"/>
    <x v="102"/>
    <n v="47100"/>
    <x v="0"/>
    <x v="0"/>
  </r>
  <r>
    <x v="12"/>
    <x v="12"/>
    <x v="12"/>
    <x v="1"/>
    <s v="AA211"/>
    <x v="102"/>
    <n v="405.12"/>
    <x v="0"/>
    <x v="0"/>
  </r>
  <r>
    <x v="12"/>
    <x v="12"/>
    <x v="12"/>
    <x v="2"/>
    <s v="AA211"/>
    <x v="102"/>
    <n v="607.57000000000005"/>
    <x v="8"/>
    <x v="2"/>
  </r>
  <r>
    <x v="13"/>
    <x v="13"/>
    <x v="13"/>
    <x v="0"/>
    <s v="AA211"/>
    <x v="102"/>
    <n v="27357.07"/>
    <x v="0"/>
    <x v="0"/>
  </r>
  <r>
    <x v="13"/>
    <x v="13"/>
    <x v="13"/>
    <x v="1"/>
    <s v="AA211"/>
    <x v="102"/>
    <n v="235.28"/>
    <x v="0"/>
    <x v="0"/>
  </r>
  <r>
    <x v="13"/>
    <x v="13"/>
    <x v="13"/>
    <x v="2"/>
    <s v="AA211"/>
    <x v="102"/>
    <n v="352.89"/>
    <x v="8"/>
    <x v="2"/>
  </r>
  <r>
    <x v="14"/>
    <x v="14"/>
    <x v="14"/>
    <x v="0"/>
    <s v="AA211"/>
    <x v="102"/>
    <n v="37312.99"/>
    <x v="0"/>
    <x v="0"/>
  </r>
  <r>
    <x v="14"/>
    <x v="14"/>
    <x v="14"/>
    <x v="1"/>
    <s v="AA211"/>
    <x v="102"/>
    <n v="320.91000000000003"/>
    <x v="0"/>
    <x v="0"/>
  </r>
  <r>
    <x v="14"/>
    <x v="14"/>
    <x v="14"/>
    <x v="2"/>
    <s v="AA211"/>
    <x v="102"/>
    <n v="481.38"/>
    <x v="8"/>
    <x v="2"/>
  </r>
  <r>
    <x v="15"/>
    <x v="15"/>
    <x v="15"/>
    <x v="0"/>
    <s v="AA211"/>
    <x v="102"/>
    <n v="47100"/>
    <x v="0"/>
    <x v="0"/>
  </r>
  <r>
    <x v="15"/>
    <x v="15"/>
    <x v="15"/>
    <x v="1"/>
    <s v="AA211"/>
    <x v="102"/>
    <n v="405.12"/>
    <x v="0"/>
    <x v="0"/>
  </r>
  <r>
    <x v="15"/>
    <x v="15"/>
    <x v="15"/>
    <x v="2"/>
    <s v="AA211"/>
    <x v="102"/>
    <n v="607.55999999999995"/>
    <x v="8"/>
    <x v="2"/>
  </r>
  <r>
    <x v="16"/>
    <x v="16"/>
    <x v="16"/>
    <x v="0"/>
    <s v="AA211"/>
    <x v="102"/>
    <n v="31999.98"/>
    <x v="0"/>
    <x v="0"/>
  </r>
  <r>
    <x v="16"/>
    <x v="16"/>
    <x v="16"/>
    <x v="1"/>
    <s v="AA211"/>
    <x v="102"/>
    <n v="275.20999999999998"/>
    <x v="0"/>
    <x v="0"/>
  </r>
  <r>
    <x v="16"/>
    <x v="16"/>
    <x v="16"/>
    <x v="2"/>
    <s v="AA211"/>
    <x v="102"/>
    <n v="412.81"/>
    <x v="8"/>
    <x v="2"/>
  </r>
  <r>
    <x v="17"/>
    <x v="17"/>
    <x v="17"/>
    <x v="0"/>
    <s v="AA211"/>
    <x v="102"/>
    <n v="2162.1999999999998"/>
    <x v="0"/>
    <x v="0"/>
  </r>
  <r>
    <x v="17"/>
    <x v="17"/>
    <x v="17"/>
    <x v="1"/>
    <s v="AA211"/>
    <x v="102"/>
    <n v="18.600000000000001"/>
    <x v="0"/>
    <x v="0"/>
  </r>
  <r>
    <x v="17"/>
    <x v="17"/>
    <x v="17"/>
    <x v="2"/>
    <s v="AA211"/>
    <x v="102"/>
    <n v="27.88"/>
    <x v="8"/>
    <x v="2"/>
  </r>
  <r>
    <x v="18"/>
    <x v="18"/>
    <x v="18"/>
    <x v="0"/>
    <s v="AA211"/>
    <x v="102"/>
    <n v="47100"/>
    <x v="0"/>
    <x v="0"/>
  </r>
  <r>
    <x v="18"/>
    <x v="18"/>
    <x v="18"/>
    <x v="1"/>
    <s v="AA211"/>
    <x v="102"/>
    <n v="405.12"/>
    <x v="0"/>
    <x v="0"/>
  </r>
  <r>
    <x v="18"/>
    <x v="18"/>
    <x v="18"/>
    <x v="2"/>
    <s v="AA211"/>
    <x v="102"/>
    <n v="607.55999999999995"/>
    <x v="8"/>
    <x v="2"/>
  </r>
  <r>
    <x v="19"/>
    <x v="19"/>
    <x v="19"/>
    <x v="0"/>
    <s v="AA211"/>
    <x v="102"/>
    <n v="47100"/>
    <x v="0"/>
    <x v="0"/>
  </r>
  <r>
    <x v="19"/>
    <x v="19"/>
    <x v="19"/>
    <x v="1"/>
    <s v="AA211"/>
    <x v="102"/>
    <n v="405.12"/>
    <x v="0"/>
    <x v="0"/>
  </r>
  <r>
    <x v="19"/>
    <x v="19"/>
    <x v="19"/>
    <x v="2"/>
    <s v="AA211"/>
    <x v="102"/>
    <n v="607.55999999999995"/>
    <x v="8"/>
    <x v="2"/>
  </r>
  <r>
    <x v="20"/>
    <x v="20"/>
    <x v="20"/>
    <x v="0"/>
    <s v="AA211"/>
    <x v="102"/>
    <n v="47100"/>
    <x v="0"/>
    <x v="0"/>
  </r>
  <r>
    <x v="20"/>
    <x v="20"/>
    <x v="20"/>
    <x v="1"/>
    <s v="AA211"/>
    <x v="102"/>
    <n v="405.12"/>
    <x v="0"/>
    <x v="0"/>
  </r>
  <r>
    <x v="20"/>
    <x v="20"/>
    <x v="20"/>
    <x v="2"/>
    <s v="AA211"/>
    <x v="102"/>
    <n v="607.55999999999995"/>
    <x v="8"/>
    <x v="2"/>
  </r>
  <r>
    <x v="21"/>
    <x v="21"/>
    <x v="21"/>
    <x v="0"/>
    <s v="AA211"/>
    <x v="102"/>
    <n v="38087.230000000003"/>
    <x v="0"/>
    <x v="0"/>
  </r>
  <r>
    <x v="21"/>
    <x v="21"/>
    <x v="21"/>
    <x v="1"/>
    <s v="AA211"/>
    <x v="102"/>
    <n v="327.55"/>
    <x v="0"/>
    <x v="0"/>
  </r>
  <r>
    <x v="21"/>
    <x v="21"/>
    <x v="21"/>
    <x v="2"/>
    <s v="AA211"/>
    <x v="102"/>
    <n v="491.34"/>
    <x v="8"/>
    <x v="2"/>
  </r>
  <r>
    <x v="22"/>
    <x v="22"/>
    <x v="22"/>
    <x v="0"/>
    <s v="AA211"/>
    <x v="102"/>
    <n v="15681.31"/>
    <x v="0"/>
    <x v="0"/>
  </r>
  <r>
    <x v="22"/>
    <x v="22"/>
    <x v="22"/>
    <x v="1"/>
    <s v="AA211"/>
    <x v="102"/>
    <n v="134.87"/>
    <x v="0"/>
    <x v="0"/>
  </r>
  <r>
    <x v="22"/>
    <x v="22"/>
    <x v="22"/>
    <x v="2"/>
    <s v="AA211"/>
    <x v="102"/>
    <n v="202.29"/>
    <x v="8"/>
    <x v="2"/>
  </r>
  <r>
    <x v="23"/>
    <x v="23"/>
    <x v="23"/>
    <x v="0"/>
    <s v="AA211"/>
    <x v="102"/>
    <n v="39845.279999999999"/>
    <x v="0"/>
    <x v="0"/>
  </r>
  <r>
    <x v="23"/>
    <x v="23"/>
    <x v="23"/>
    <x v="1"/>
    <s v="AA211"/>
    <x v="102"/>
    <n v="342.67"/>
    <x v="0"/>
    <x v="0"/>
  </r>
  <r>
    <x v="23"/>
    <x v="23"/>
    <x v="23"/>
    <x v="2"/>
    <s v="AA211"/>
    <x v="102"/>
    <n v="514"/>
    <x v="8"/>
    <x v="2"/>
  </r>
  <r>
    <x v="25"/>
    <x v="25"/>
    <x v="24"/>
    <x v="0"/>
    <s v="AA211"/>
    <x v="102"/>
    <n v="38855.14"/>
    <x v="0"/>
    <x v="0"/>
  </r>
  <r>
    <x v="25"/>
    <x v="25"/>
    <x v="24"/>
    <x v="1"/>
    <s v="AA211"/>
    <x v="102"/>
    <n v="334.14"/>
    <x v="0"/>
    <x v="0"/>
  </r>
  <r>
    <x v="25"/>
    <x v="25"/>
    <x v="24"/>
    <x v="2"/>
    <s v="AA211"/>
    <x v="102"/>
    <n v="501.23"/>
    <x v="8"/>
    <x v="2"/>
  </r>
  <r>
    <x v="26"/>
    <x v="26"/>
    <x v="25"/>
    <x v="0"/>
    <s v="AA211"/>
    <x v="102"/>
    <n v="47100"/>
    <x v="0"/>
    <x v="0"/>
  </r>
  <r>
    <x v="26"/>
    <x v="26"/>
    <x v="25"/>
    <x v="1"/>
    <s v="AA211"/>
    <x v="102"/>
    <n v="405.12"/>
    <x v="0"/>
    <x v="0"/>
  </r>
  <r>
    <x v="26"/>
    <x v="26"/>
    <x v="25"/>
    <x v="2"/>
    <s v="AA211"/>
    <x v="102"/>
    <n v="607.55999999999995"/>
    <x v="8"/>
    <x v="2"/>
  </r>
  <r>
    <x v="28"/>
    <x v="28"/>
    <x v="27"/>
    <x v="0"/>
    <s v="AA211"/>
    <x v="102"/>
    <n v="9622.58"/>
    <x v="0"/>
    <x v="0"/>
  </r>
  <r>
    <x v="28"/>
    <x v="28"/>
    <x v="27"/>
    <x v="1"/>
    <s v="AA211"/>
    <x v="102"/>
    <n v="82.75"/>
    <x v="0"/>
    <x v="0"/>
  </r>
  <r>
    <x v="28"/>
    <x v="28"/>
    <x v="27"/>
    <x v="2"/>
    <s v="AA211"/>
    <x v="102"/>
    <n v="124.13"/>
    <x v="8"/>
    <x v="2"/>
  </r>
  <r>
    <x v="29"/>
    <x v="29"/>
    <x v="6"/>
    <x v="0"/>
    <s v="AA211"/>
    <x v="102"/>
    <n v="38311.83"/>
    <x v="0"/>
    <x v="0"/>
  </r>
  <r>
    <x v="29"/>
    <x v="29"/>
    <x v="6"/>
    <x v="1"/>
    <s v="AA211"/>
    <x v="102"/>
    <n v="329.5"/>
    <x v="0"/>
    <x v="0"/>
  </r>
  <r>
    <x v="29"/>
    <x v="29"/>
    <x v="6"/>
    <x v="2"/>
    <s v="AA211"/>
    <x v="102"/>
    <n v="494.22"/>
    <x v="8"/>
    <x v="2"/>
  </r>
  <r>
    <x v="30"/>
    <x v="30"/>
    <x v="28"/>
    <x v="0"/>
    <s v="AA211"/>
    <x v="102"/>
    <n v="47100"/>
    <x v="0"/>
    <x v="0"/>
  </r>
  <r>
    <x v="30"/>
    <x v="30"/>
    <x v="28"/>
    <x v="1"/>
    <s v="AA211"/>
    <x v="102"/>
    <n v="405.12"/>
    <x v="0"/>
    <x v="0"/>
  </r>
  <r>
    <x v="30"/>
    <x v="30"/>
    <x v="28"/>
    <x v="2"/>
    <s v="AA211"/>
    <x v="102"/>
    <n v="607.55999999999995"/>
    <x v="8"/>
    <x v="2"/>
  </r>
  <r>
    <x v="31"/>
    <x v="31"/>
    <x v="29"/>
    <x v="0"/>
    <s v="AA211"/>
    <x v="102"/>
    <n v="47100"/>
    <x v="0"/>
    <x v="0"/>
  </r>
  <r>
    <x v="31"/>
    <x v="31"/>
    <x v="29"/>
    <x v="1"/>
    <s v="AA211"/>
    <x v="102"/>
    <n v="405.12"/>
    <x v="0"/>
    <x v="0"/>
  </r>
  <r>
    <x v="31"/>
    <x v="31"/>
    <x v="29"/>
    <x v="2"/>
    <s v="AA211"/>
    <x v="102"/>
    <n v="607.55999999999995"/>
    <x v="8"/>
    <x v="2"/>
  </r>
  <r>
    <x v="32"/>
    <x v="32"/>
    <x v="30"/>
    <x v="0"/>
    <s v="AA211"/>
    <x v="102"/>
    <n v="47100"/>
    <x v="0"/>
    <x v="0"/>
  </r>
  <r>
    <x v="32"/>
    <x v="32"/>
    <x v="30"/>
    <x v="1"/>
    <s v="AA211"/>
    <x v="102"/>
    <n v="405.11"/>
    <x v="0"/>
    <x v="0"/>
  </r>
  <r>
    <x v="32"/>
    <x v="32"/>
    <x v="30"/>
    <x v="2"/>
    <s v="AA211"/>
    <x v="102"/>
    <n v="607.57000000000005"/>
    <x v="8"/>
    <x v="2"/>
  </r>
  <r>
    <x v="33"/>
    <x v="33"/>
    <x v="31"/>
    <x v="0"/>
    <s v="AA211"/>
    <x v="102"/>
    <n v="43774.64"/>
    <x v="0"/>
    <x v="0"/>
  </r>
  <r>
    <x v="33"/>
    <x v="33"/>
    <x v="31"/>
    <x v="1"/>
    <s v="AA211"/>
    <x v="102"/>
    <n v="376.49"/>
    <x v="0"/>
    <x v="0"/>
  </r>
  <r>
    <x v="33"/>
    <x v="33"/>
    <x v="31"/>
    <x v="2"/>
    <s v="AA211"/>
    <x v="102"/>
    <n v="564.67999999999995"/>
    <x v="8"/>
    <x v="2"/>
  </r>
  <r>
    <x v="34"/>
    <x v="34"/>
    <x v="32"/>
    <x v="0"/>
    <s v="AA211"/>
    <x v="102"/>
    <n v="47100"/>
    <x v="0"/>
    <x v="0"/>
  </r>
  <r>
    <x v="34"/>
    <x v="34"/>
    <x v="32"/>
    <x v="1"/>
    <s v="AA211"/>
    <x v="102"/>
    <n v="405.12"/>
    <x v="0"/>
    <x v="0"/>
  </r>
  <r>
    <x v="34"/>
    <x v="34"/>
    <x v="32"/>
    <x v="2"/>
    <s v="AA211"/>
    <x v="102"/>
    <n v="607.55999999999995"/>
    <x v="8"/>
    <x v="2"/>
  </r>
  <r>
    <x v="35"/>
    <x v="35"/>
    <x v="33"/>
    <x v="0"/>
    <s v="AA211"/>
    <x v="102"/>
    <n v="38315.9"/>
    <x v="0"/>
    <x v="0"/>
  </r>
  <r>
    <x v="35"/>
    <x v="35"/>
    <x v="33"/>
    <x v="1"/>
    <s v="AA211"/>
    <x v="102"/>
    <n v="329.54"/>
    <x v="0"/>
    <x v="0"/>
  </r>
  <r>
    <x v="35"/>
    <x v="35"/>
    <x v="33"/>
    <x v="2"/>
    <s v="AA211"/>
    <x v="102"/>
    <n v="494.27"/>
    <x v="8"/>
    <x v="2"/>
  </r>
  <r>
    <x v="36"/>
    <x v="36"/>
    <x v="34"/>
    <x v="0"/>
    <s v="AA211"/>
    <x v="102"/>
    <n v="2162.1999999999998"/>
    <x v="0"/>
    <x v="0"/>
  </r>
  <r>
    <x v="36"/>
    <x v="36"/>
    <x v="34"/>
    <x v="1"/>
    <s v="AA211"/>
    <x v="102"/>
    <n v="18.600000000000001"/>
    <x v="0"/>
    <x v="0"/>
  </r>
  <r>
    <x v="36"/>
    <x v="36"/>
    <x v="34"/>
    <x v="2"/>
    <s v="AA211"/>
    <x v="102"/>
    <n v="27.88"/>
    <x v="8"/>
    <x v="2"/>
  </r>
  <r>
    <x v="37"/>
    <x v="37"/>
    <x v="35"/>
    <x v="0"/>
    <s v="AA211"/>
    <x v="102"/>
    <n v="38778.019999999997"/>
    <x v="0"/>
    <x v="0"/>
  </r>
  <r>
    <x v="37"/>
    <x v="37"/>
    <x v="35"/>
    <x v="1"/>
    <s v="AA211"/>
    <x v="102"/>
    <n v="333.49"/>
    <x v="0"/>
    <x v="0"/>
  </r>
  <r>
    <x v="37"/>
    <x v="37"/>
    <x v="35"/>
    <x v="2"/>
    <s v="AA211"/>
    <x v="102"/>
    <n v="500.26"/>
    <x v="8"/>
    <x v="2"/>
  </r>
  <r>
    <x v="38"/>
    <x v="38"/>
    <x v="36"/>
    <x v="0"/>
    <s v="AA211"/>
    <x v="102"/>
    <n v="47100"/>
    <x v="0"/>
    <x v="0"/>
  </r>
  <r>
    <x v="38"/>
    <x v="38"/>
    <x v="36"/>
    <x v="1"/>
    <s v="AA211"/>
    <x v="102"/>
    <n v="405.12"/>
    <x v="0"/>
    <x v="0"/>
  </r>
  <r>
    <x v="38"/>
    <x v="38"/>
    <x v="36"/>
    <x v="2"/>
    <s v="AA211"/>
    <x v="102"/>
    <n v="607.55999999999995"/>
    <x v="8"/>
    <x v="2"/>
  </r>
  <r>
    <x v="39"/>
    <x v="39"/>
    <x v="37"/>
    <x v="0"/>
    <s v="AA211"/>
    <x v="102"/>
    <n v="18490.8"/>
    <x v="0"/>
    <x v="0"/>
  </r>
  <r>
    <x v="39"/>
    <x v="39"/>
    <x v="37"/>
    <x v="1"/>
    <s v="AA211"/>
    <x v="102"/>
    <n v="159.05000000000001"/>
    <x v="0"/>
    <x v="0"/>
  </r>
  <r>
    <x v="39"/>
    <x v="39"/>
    <x v="37"/>
    <x v="2"/>
    <s v="AA211"/>
    <x v="102"/>
    <n v="238.51"/>
    <x v="8"/>
    <x v="2"/>
  </r>
  <r>
    <x v="40"/>
    <x v="40"/>
    <x v="38"/>
    <x v="0"/>
    <s v="AA211"/>
    <x v="102"/>
    <n v="47100"/>
    <x v="0"/>
    <x v="0"/>
  </r>
  <r>
    <x v="40"/>
    <x v="40"/>
    <x v="38"/>
    <x v="1"/>
    <s v="AA211"/>
    <x v="102"/>
    <n v="405.11"/>
    <x v="0"/>
    <x v="0"/>
  </r>
  <r>
    <x v="40"/>
    <x v="40"/>
    <x v="38"/>
    <x v="2"/>
    <s v="AA211"/>
    <x v="102"/>
    <n v="607.55999999999995"/>
    <x v="8"/>
    <x v="2"/>
  </r>
  <r>
    <x v="41"/>
    <x v="41"/>
    <x v="39"/>
    <x v="0"/>
    <s v="AA211"/>
    <x v="102"/>
    <n v="47100"/>
    <x v="0"/>
    <x v="0"/>
  </r>
  <r>
    <x v="41"/>
    <x v="41"/>
    <x v="39"/>
    <x v="1"/>
    <s v="AA211"/>
    <x v="102"/>
    <n v="405.12"/>
    <x v="0"/>
    <x v="0"/>
  </r>
  <r>
    <x v="41"/>
    <x v="41"/>
    <x v="39"/>
    <x v="2"/>
    <s v="AA211"/>
    <x v="102"/>
    <n v="607.55999999999995"/>
    <x v="8"/>
    <x v="2"/>
  </r>
  <r>
    <x v="42"/>
    <x v="42"/>
    <x v="40"/>
    <x v="0"/>
    <s v="AA211"/>
    <x v="102"/>
    <n v="47100"/>
    <x v="0"/>
    <x v="0"/>
  </r>
  <r>
    <x v="42"/>
    <x v="42"/>
    <x v="40"/>
    <x v="1"/>
    <s v="AA211"/>
    <x v="102"/>
    <n v="405.12"/>
    <x v="0"/>
    <x v="0"/>
  </r>
  <r>
    <x v="42"/>
    <x v="42"/>
    <x v="40"/>
    <x v="2"/>
    <s v="AA211"/>
    <x v="102"/>
    <n v="607.55999999999995"/>
    <x v="8"/>
    <x v="2"/>
  </r>
  <r>
    <x v="43"/>
    <x v="43"/>
    <x v="41"/>
    <x v="0"/>
    <s v="AA211"/>
    <x v="102"/>
    <n v="47100"/>
    <x v="0"/>
    <x v="0"/>
  </r>
  <r>
    <x v="43"/>
    <x v="43"/>
    <x v="41"/>
    <x v="1"/>
    <s v="AA211"/>
    <x v="102"/>
    <n v="405.12"/>
    <x v="0"/>
    <x v="0"/>
  </r>
  <r>
    <x v="43"/>
    <x v="43"/>
    <x v="41"/>
    <x v="2"/>
    <s v="AA211"/>
    <x v="102"/>
    <n v="607.55999999999995"/>
    <x v="8"/>
    <x v="2"/>
  </r>
  <r>
    <x v="44"/>
    <x v="44"/>
    <x v="42"/>
    <x v="0"/>
    <s v="AA211"/>
    <x v="102"/>
    <n v="45684.82"/>
    <x v="0"/>
    <x v="0"/>
  </r>
  <r>
    <x v="44"/>
    <x v="44"/>
    <x v="42"/>
    <x v="1"/>
    <s v="AA211"/>
    <x v="102"/>
    <n v="392.91"/>
    <x v="0"/>
    <x v="0"/>
  </r>
  <r>
    <x v="44"/>
    <x v="44"/>
    <x v="42"/>
    <x v="2"/>
    <s v="AA211"/>
    <x v="102"/>
    <n v="589.34"/>
    <x v="8"/>
    <x v="2"/>
  </r>
  <r>
    <x v="45"/>
    <x v="45"/>
    <x v="43"/>
    <x v="0"/>
    <s v="AA211"/>
    <x v="102"/>
    <n v="7850"/>
    <x v="0"/>
    <x v="0"/>
  </r>
  <r>
    <x v="45"/>
    <x v="45"/>
    <x v="43"/>
    <x v="1"/>
    <s v="AA211"/>
    <x v="102"/>
    <n v="67.52"/>
    <x v="0"/>
    <x v="0"/>
  </r>
  <r>
    <x v="45"/>
    <x v="45"/>
    <x v="43"/>
    <x v="2"/>
    <s v="AA211"/>
    <x v="102"/>
    <n v="101.26"/>
    <x v="8"/>
    <x v="2"/>
  </r>
  <r>
    <x v="47"/>
    <x v="47"/>
    <x v="45"/>
    <x v="0"/>
    <s v="AA211"/>
    <x v="102"/>
    <n v="24689.52"/>
    <x v="0"/>
    <x v="0"/>
  </r>
  <r>
    <x v="47"/>
    <x v="47"/>
    <x v="45"/>
    <x v="1"/>
    <s v="AA211"/>
    <x v="102"/>
    <n v="212.34"/>
    <x v="0"/>
    <x v="0"/>
  </r>
  <r>
    <x v="47"/>
    <x v="47"/>
    <x v="45"/>
    <x v="2"/>
    <s v="AA211"/>
    <x v="102"/>
    <n v="318.47000000000003"/>
    <x v="8"/>
    <x v="2"/>
  </r>
  <r>
    <x v="49"/>
    <x v="49"/>
    <x v="47"/>
    <x v="0"/>
    <s v="AA211"/>
    <x v="102"/>
    <n v="3399.94"/>
    <x v="0"/>
    <x v="0"/>
  </r>
  <r>
    <x v="49"/>
    <x v="49"/>
    <x v="47"/>
    <x v="1"/>
    <s v="AA211"/>
    <x v="102"/>
    <n v="29.24"/>
    <x v="0"/>
    <x v="0"/>
  </r>
  <r>
    <x v="49"/>
    <x v="49"/>
    <x v="47"/>
    <x v="2"/>
    <s v="AA211"/>
    <x v="102"/>
    <n v="43.86"/>
    <x v="8"/>
    <x v="2"/>
  </r>
  <r>
    <x v="50"/>
    <x v="49"/>
    <x v="48"/>
    <x v="0"/>
    <s v="AA211"/>
    <x v="102"/>
    <n v="36818.67"/>
    <x v="0"/>
    <x v="0"/>
  </r>
  <r>
    <x v="50"/>
    <x v="49"/>
    <x v="48"/>
    <x v="1"/>
    <s v="AA211"/>
    <x v="102"/>
    <n v="316.64"/>
    <x v="0"/>
    <x v="0"/>
  </r>
  <r>
    <x v="50"/>
    <x v="49"/>
    <x v="48"/>
    <x v="2"/>
    <s v="AA211"/>
    <x v="102"/>
    <n v="474.95"/>
    <x v="8"/>
    <x v="2"/>
  </r>
  <r>
    <x v="51"/>
    <x v="50"/>
    <x v="49"/>
    <x v="0"/>
    <s v="AA211"/>
    <x v="102"/>
    <n v="1772.58"/>
    <x v="0"/>
    <x v="0"/>
  </r>
  <r>
    <x v="51"/>
    <x v="50"/>
    <x v="49"/>
    <x v="1"/>
    <s v="AA211"/>
    <x v="102"/>
    <n v="15.24"/>
    <x v="0"/>
    <x v="0"/>
  </r>
  <r>
    <x v="51"/>
    <x v="50"/>
    <x v="49"/>
    <x v="2"/>
    <s v="AA211"/>
    <x v="102"/>
    <n v="22.87"/>
    <x v="8"/>
    <x v="2"/>
  </r>
  <r>
    <x v="52"/>
    <x v="51"/>
    <x v="50"/>
    <x v="0"/>
    <s v="AA211"/>
    <x v="102"/>
    <n v="26694.23"/>
    <x v="0"/>
    <x v="0"/>
  </r>
  <r>
    <x v="52"/>
    <x v="51"/>
    <x v="50"/>
    <x v="1"/>
    <s v="AA211"/>
    <x v="102"/>
    <n v="229.59"/>
    <x v="0"/>
    <x v="0"/>
  </r>
  <r>
    <x v="52"/>
    <x v="51"/>
    <x v="50"/>
    <x v="2"/>
    <s v="AA211"/>
    <x v="102"/>
    <n v="344.34"/>
    <x v="8"/>
    <x v="2"/>
  </r>
  <r>
    <x v="53"/>
    <x v="52"/>
    <x v="48"/>
    <x v="0"/>
    <s v="AA211"/>
    <x v="102"/>
    <n v="6819.94"/>
    <x v="0"/>
    <x v="0"/>
  </r>
  <r>
    <x v="53"/>
    <x v="52"/>
    <x v="48"/>
    <x v="1"/>
    <s v="AA211"/>
    <x v="102"/>
    <n v="58.65"/>
    <x v="0"/>
    <x v="0"/>
  </r>
  <r>
    <x v="53"/>
    <x v="52"/>
    <x v="48"/>
    <x v="2"/>
    <s v="AA211"/>
    <x v="102"/>
    <n v="87.98"/>
    <x v="8"/>
    <x v="2"/>
  </r>
  <r>
    <x v="1"/>
    <x v="1"/>
    <x v="1"/>
    <x v="0"/>
    <s v="AA212"/>
    <x v="103"/>
    <n v="17040.32"/>
    <x v="0"/>
    <x v="0"/>
  </r>
  <r>
    <x v="1"/>
    <x v="1"/>
    <x v="1"/>
    <x v="1"/>
    <s v="AA212"/>
    <x v="103"/>
    <n v="184.04"/>
    <x v="0"/>
    <x v="0"/>
  </r>
  <r>
    <x v="1"/>
    <x v="1"/>
    <x v="1"/>
    <x v="2"/>
    <s v="AA212"/>
    <x v="103"/>
    <n v="276.02"/>
    <x v="8"/>
    <x v="2"/>
  </r>
  <r>
    <x v="2"/>
    <x v="2"/>
    <x v="2"/>
    <x v="0"/>
    <s v="AA212"/>
    <x v="103"/>
    <n v="14268.02"/>
    <x v="0"/>
    <x v="0"/>
  </r>
  <r>
    <x v="2"/>
    <x v="2"/>
    <x v="2"/>
    <x v="1"/>
    <s v="AA212"/>
    <x v="103"/>
    <n v="154.09"/>
    <x v="0"/>
    <x v="0"/>
  </r>
  <r>
    <x v="2"/>
    <x v="2"/>
    <x v="2"/>
    <x v="2"/>
    <s v="AA212"/>
    <x v="103"/>
    <n v="231.13"/>
    <x v="8"/>
    <x v="2"/>
  </r>
  <r>
    <x v="3"/>
    <x v="3"/>
    <x v="3"/>
    <x v="0"/>
    <s v="AA212"/>
    <x v="103"/>
    <n v="3681.79"/>
    <x v="0"/>
    <x v="0"/>
  </r>
  <r>
    <x v="3"/>
    <x v="3"/>
    <x v="3"/>
    <x v="1"/>
    <s v="AA212"/>
    <x v="103"/>
    <n v="39.770000000000003"/>
    <x v="0"/>
    <x v="0"/>
  </r>
  <r>
    <x v="3"/>
    <x v="3"/>
    <x v="3"/>
    <x v="2"/>
    <s v="AA212"/>
    <x v="103"/>
    <n v="59.65"/>
    <x v="8"/>
    <x v="2"/>
  </r>
  <r>
    <x v="6"/>
    <x v="6"/>
    <x v="6"/>
    <x v="0"/>
    <s v="AA212"/>
    <x v="103"/>
    <n v="13609.03"/>
    <x v="0"/>
    <x v="0"/>
  </r>
  <r>
    <x v="6"/>
    <x v="6"/>
    <x v="6"/>
    <x v="1"/>
    <s v="AA212"/>
    <x v="103"/>
    <n v="146.96"/>
    <x v="0"/>
    <x v="0"/>
  </r>
  <r>
    <x v="6"/>
    <x v="6"/>
    <x v="6"/>
    <x v="2"/>
    <s v="AA212"/>
    <x v="103"/>
    <n v="220.44"/>
    <x v="8"/>
    <x v="2"/>
  </r>
  <r>
    <x v="7"/>
    <x v="7"/>
    <x v="7"/>
    <x v="0"/>
    <s v="AA212"/>
    <x v="103"/>
    <n v="6622.94"/>
    <x v="0"/>
    <x v="0"/>
  </r>
  <r>
    <x v="7"/>
    <x v="7"/>
    <x v="7"/>
    <x v="1"/>
    <s v="AA212"/>
    <x v="103"/>
    <n v="71.53"/>
    <x v="0"/>
    <x v="0"/>
  </r>
  <r>
    <x v="7"/>
    <x v="7"/>
    <x v="7"/>
    <x v="2"/>
    <s v="AA212"/>
    <x v="103"/>
    <n v="107.31"/>
    <x v="8"/>
    <x v="2"/>
  </r>
  <r>
    <x v="8"/>
    <x v="8"/>
    <x v="8"/>
    <x v="0"/>
    <s v="AA212"/>
    <x v="103"/>
    <n v="88462.2"/>
    <x v="0"/>
    <x v="0"/>
  </r>
  <r>
    <x v="8"/>
    <x v="8"/>
    <x v="8"/>
    <x v="1"/>
    <s v="AA212"/>
    <x v="103"/>
    <n v="955.42"/>
    <x v="0"/>
    <x v="0"/>
  </r>
  <r>
    <x v="8"/>
    <x v="8"/>
    <x v="8"/>
    <x v="2"/>
    <s v="AA212"/>
    <x v="103"/>
    <n v="1433.08"/>
    <x v="8"/>
    <x v="2"/>
  </r>
  <r>
    <x v="9"/>
    <x v="9"/>
    <x v="9"/>
    <x v="0"/>
    <s v="AA212"/>
    <x v="103"/>
    <n v="15889.04"/>
    <x v="0"/>
    <x v="0"/>
  </r>
  <r>
    <x v="9"/>
    <x v="9"/>
    <x v="9"/>
    <x v="1"/>
    <s v="AA212"/>
    <x v="103"/>
    <n v="171.61"/>
    <x v="0"/>
    <x v="0"/>
  </r>
  <r>
    <x v="9"/>
    <x v="9"/>
    <x v="9"/>
    <x v="2"/>
    <s v="AA212"/>
    <x v="103"/>
    <n v="257.39"/>
    <x v="8"/>
    <x v="2"/>
  </r>
  <r>
    <x v="10"/>
    <x v="10"/>
    <x v="10"/>
    <x v="0"/>
    <s v="AA212"/>
    <x v="103"/>
    <n v="89114.53"/>
    <x v="0"/>
    <x v="0"/>
  </r>
  <r>
    <x v="10"/>
    <x v="10"/>
    <x v="10"/>
    <x v="1"/>
    <s v="AA212"/>
    <x v="103"/>
    <n v="962.44"/>
    <x v="0"/>
    <x v="0"/>
  </r>
  <r>
    <x v="10"/>
    <x v="10"/>
    <x v="10"/>
    <x v="2"/>
    <s v="AA212"/>
    <x v="103"/>
    <n v="1443.7"/>
    <x v="8"/>
    <x v="2"/>
  </r>
  <r>
    <x v="11"/>
    <x v="11"/>
    <x v="11"/>
    <x v="0"/>
    <s v="AA212"/>
    <x v="103"/>
    <n v="24002.79"/>
    <x v="0"/>
    <x v="0"/>
  </r>
  <r>
    <x v="11"/>
    <x v="11"/>
    <x v="11"/>
    <x v="1"/>
    <s v="AA212"/>
    <x v="103"/>
    <n v="259.23"/>
    <x v="0"/>
    <x v="0"/>
  </r>
  <r>
    <x v="11"/>
    <x v="11"/>
    <x v="11"/>
    <x v="2"/>
    <s v="AA212"/>
    <x v="103"/>
    <n v="388.8"/>
    <x v="8"/>
    <x v="2"/>
  </r>
  <r>
    <x v="12"/>
    <x v="12"/>
    <x v="12"/>
    <x v="0"/>
    <s v="AA212"/>
    <x v="103"/>
    <n v="9565.3700000000008"/>
    <x v="0"/>
    <x v="0"/>
  </r>
  <r>
    <x v="12"/>
    <x v="12"/>
    <x v="12"/>
    <x v="1"/>
    <s v="AA212"/>
    <x v="103"/>
    <n v="103.29"/>
    <x v="0"/>
    <x v="0"/>
  </r>
  <r>
    <x v="12"/>
    <x v="12"/>
    <x v="12"/>
    <x v="2"/>
    <s v="AA212"/>
    <x v="103"/>
    <n v="154.97999999999999"/>
    <x v="8"/>
    <x v="2"/>
  </r>
  <r>
    <x v="14"/>
    <x v="14"/>
    <x v="14"/>
    <x v="0"/>
    <s v="AA212"/>
    <x v="103"/>
    <n v="3141.13"/>
    <x v="0"/>
    <x v="0"/>
  </r>
  <r>
    <x v="14"/>
    <x v="14"/>
    <x v="14"/>
    <x v="1"/>
    <s v="AA212"/>
    <x v="103"/>
    <n v="33.94"/>
    <x v="0"/>
    <x v="0"/>
  </r>
  <r>
    <x v="14"/>
    <x v="14"/>
    <x v="14"/>
    <x v="2"/>
    <s v="AA212"/>
    <x v="103"/>
    <n v="50.86"/>
    <x v="8"/>
    <x v="2"/>
  </r>
  <r>
    <x v="15"/>
    <x v="15"/>
    <x v="15"/>
    <x v="0"/>
    <s v="AA212"/>
    <x v="103"/>
    <n v="14346.32"/>
    <x v="0"/>
    <x v="0"/>
  </r>
  <r>
    <x v="15"/>
    <x v="15"/>
    <x v="15"/>
    <x v="1"/>
    <s v="AA212"/>
    <x v="103"/>
    <n v="154.93"/>
    <x v="0"/>
    <x v="0"/>
  </r>
  <r>
    <x v="15"/>
    <x v="15"/>
    <x v="15"/>
    <x v="2"/>
    <s v="AA212"/>
    <x v="103"/>
    <n v="232.39"/>
    <x v="8"/>
    <x v="2"/>
  </r>
  <r>
    <x v="18"/>
    <x v="18"/>
    <x v="18"/>
    <x v="0"/>
    <s v="AA212"/>
    <x v="103"/>
    <n v="49573.07"/>
    <x v="0"/>
    <x v="0"/>
  </r>
  <r>
    <x v="18"/>
    <x v="18"/>
    <x v="18"/>
    <x v="1"/>
    <s v="AA212"/>
    <x v="103"/>
    <n v="535.39"/>
    <x v="0"/>
    <x v="0"/>
  </r>
  <r>
    <x v="18"/>
    <x v="18"/>
    <x v="18"/>
    <x v="2"/>
    <s v="AA212"/>
    <x v="103"/>
    <n v="803.08"/>
    <x v="8"/>
    <x v="2"/>
  </r>
  <r>
    <x v="19"/>
    <x v="19"/>
    <x v="19"/>
    <x v="0"/>
    <s v="AA212"/>
    <x v="103"/>
    <n v="16821.650000000001"/>
    <x v="0"/>
    <x v="0"/>
  </r>
  <r>
    <x v="19"/>
    <x v="19"/>
    <x v="19"/>
    <x v="1"/>
    <s v="AA212"/>
    <x v="103"/>
    <n v="181.68"/>
    <x v="0"/>
    <x v="0"/>
  </r>
  <r>
    <x v="19"/>
    <x v="19"/>
    <x v="19"/>
    <x v="2"/>
    <s v="AA212"/>
    <x v="103"/>
    <n v="272.54000000000002"/>
    <x v="8"/>
    <x v="2"/>
  </r>
  <r>
    <x v="20"/>
    <x v="20"/>
    <x v="20"/>
    <x v="0"/>
    <s v="AA212"/>
    <x v="103"/>
    <n v="21395.59"/>
    <x v="0"/>
    <x v="0"/>
  </r>
  <r>
    <x v="20"/>
    <x v="20"/>
    <x v="20"/>
    <x v="1"/>
    <s v="AA212"/>
    <x v="103"/>
    <n v="231.08"/>
    <x v="0"/>
    <x v="0"/>
  </r>
  <r>
    <x v="20"/>
    <x v="20"/>
    <x v="20"/>
    <x v="2"/>
    <s v="AA212"/>
    <x v="103"/>
    <n v="346.64"/>
    <x v="8"/>
    <x v="2"/>
  </r>
  <r>
    <x v="22"/>
    <x v="22"/>
    <x v="22"/>
    <x v="0"/>
    <s v="AA212"/>
    <x v="103"/>
    <n v="9791.5300000000007"/>
    <x v="0"/>
    <x v="0"/>
  </r>
  <r>
    <x v="22"/>
    <x v="22"/>
    <x v="22"/>
    <x v="1"/>
    <s v="AA212"/>
    <x v="103"/>
    <n v="105.74"/>
    <x v="0"/>
    <x v="0"/>
  </r>
  <r>
    <x v="22"/>
    <x v="22"/>
    <x v="22"/>
    <x v="2"/>
    <s v="AA212"/>
    <x v="103"/>
    <n v="158.62"/>
    <x v="8"/>
    <x v="2"/>
  </r>
  <r>
    <x v="26"/>
    <x v="26"/>
    <x v="25"/>
    <x v="0"/>
    <s v="AA212"/>
    <x v="103"/>
    <n v="12472.69"/>
    <x v="0"/>
    <x v="0"/>
  </r>
  <r>
    <x v="26"/>
    <x v="26"/>
    <x v="25"/>
    <x v="1"/>
    <s v="AA212"/>
    <x v="103"/>
    <n v="134.69999999999999"/>
    <x v="0"/>
    <x v="0"/>
  </r>
  <r>
    <x v="26"/>
    <x v="26"/>
    <x v="25"/>
    <x v="2"/>
    <s v="AA212"/>
    <x v="103"/>
    <n v="202.03"/>
    <x v="8"/>
    <x v="2"/>
  </r>
  <r>
    <x v="28"/>
    <x v="28"/>
    <x v="27"/>
    <x v="0"/>
    <s v="AA212"/>
    <x v="103"/>
    <n v="1052.3699999999999"/>
    <x v="0"/>
    <x v="0"/>
  </r>
  <r>
    <x v="28"/>
    <x v="28"/>
    <x v="27"/>
    <x v="1"/>
    <s v="AA212"/>
    <x v="103"/>
    <n v="11.36"/>
    <x v="0"/>
    <x v="0"/>
  </r>
  <r>
    <x v="28"/>
    <x v="28"/>
    <x v="27"/>
    <x v="2"/>
    <s v="AA212"/>
    <x v="103"/>
    <n v="17.04"/>
    <x v="8"/>
    <x v="2"/>
  </r>
  <r>
    <x v="30"/>
    <x v="30"/>
    <x v="28"/>
    <x v="0"/>
    <s v="AA212"/>
    <x v="103"/>
    <n v="14504.34"/>
    <x v="0"/>
    <x v="0"/>
  </r>
  <r>
    <x v="30"/>
    <x v="30"/>
    <x v="28"/>
    <x v="1"/>
    <s v="AA212"/>
    <x v="103"/>
    <n v="156.63999999999999"/>
    <x v="0"/>
    <x v="0"/>
  </r>
  <r>
    <x v="30"/>
    <x v="30"/>
    <x v="28"/>
    <x v="2"/>
    <s v="AA212"/>
    <x v="103"/>
    <n v="234.95"/>
    <x v="8"/>
    <x v="2"/>
  </r>
  <r>
    <x v="31"/>
    <x v="31"/>
    <x v="29"/>
    <x v="0"/>
    <s v="AA212"/>
    <x v="103"/>
    <n v="12293.65"/>
    <x v="0"/>
    <x v="0"/>
  </r>
  <r>
    <x v="31"/>
    <x v="31"/>
    <x v="29"/>
    <x v="1"/>
    <s v="AA212"/>
    <x v="103"/>
    <n v="132.77000000000001"/>
    <x v="0"/>
    <x v="0"/>
  </r>
  <r>
    <x v="31"/>
    <x v="31"/>
    <x v="29"/>
    <x v="2"/>
    <s v="AA212"/>
    <x v="103"/>
    <n v="199.2"/>
    <x v="8"/>
    <x v="2"/>
  </r>
  <r>
    <x v="32"/>
    <x v="32"/>
    <x v="30"/>
    <x v="0"/>
    <s v="AA212"/>
    <x v="103"/>
    <n v="1874.5"/>
    <x v="0"/>
    <x v="0"/>
  </r>
  <r>
    <x v="32"/>
    <x v="32"/>
    <x v="30"/>
    <x v="1"/>
    <s v="AA212"/>
    <x v="103"/>
    <n v="20.25"/>
    <x v="0"/>
    <x v="0"/>
  </r>
  <r>
    <x v="32"/>
    <x v="32"/>
    <x v="30"/>
    <x v="2"/>
    <s v="AA212"/>
    <x v="103"/>
    <n v="30.35"/>
    <x v="8"/>
    <x v="2"/>
  </r>
  <r>
    <x v="33"/>
    <x v="33"/>
    <x v="31"/>
    <x v="2"/>
    <s v="AA212"/>
    <x v="103"/>
    <n v="-0.01"/>
    <x v="8"/>
    <x v="2"/>
  </r>
  <r>
    <x v="34"/>
    <x v="34"/>
    <x v="32"/>
    <x v="0"/>
    <s v="AA212"/>
    <x v="103"/>
    <n v="23285.62"/>
    <x v="0"/>
    <x v="0"/>
  </r>
  <r>
    <x v="34"/>
    <x v="34"/>
    <x v="32"/>
    <x v="1"/>
    <s v="AA212"/>
    <x v="103"/>
    <n v="251.48"/>
    <x v="0"/>
    <x v="0"/>
  </r>
  <r>
    <x v="34"/>
    <x v="34"/>
    <x v="32"/>
    <x v="2"/>
    <s v="AA212"/>
    <x v="103"/>
    <n v="377.19"/>
    <x v="8"/>
    <x v="2"/>
  </r>
  <r>
    <x v="38"/>
    <x v="38"/>
    <x v="36"/>
    <x v="0"/>
    <s v="AA212"/>
    <x v="103"/>
    <n v="91640.99"/>
    <x v="0"/>
    <x v="0"/>
  </r>
  <r>
    <x v="38"/>
    <x v="38"/>
    <x v="36"/>
    <x v="1"/>
    <s v="AA212"/>
    <x v="103"/>
    <n v="989.73"/>
    <x v="0"/>
    <x v="0"/>
  </r>
  <r>
    <x v="38"/>
    <x v="38"/>
    <x v="36"/>
    <x v="2"/>
    <s v="AA212"/>
    <x v="103"/>
    <n v="1484.61"/>
    <x v="8"/>
    <x v="2"/>
  </r>
  <r>
    <x v="40"/>
    <x v="40"/>
    <x v="38"/>
    <x v="0"/>
    <s v="AA212"/>
    <x v="103"/>
    <n v="11561.4"/>
    <x v="0"/>
    <x v="0"/>
  </r>
  <r>
    <x v="40"/>
    <x v="40"/>
    <x v="38"/>
    <x v="1"/>
    <s v="AA212"/>
    <x v="103"/>
    <n v="124.85"/>
    <x v="0"/>
    <x v="0"/>
  </r>
  <r>
    <x v="40"/>
    <x v="40"/>
    <x v="38"/>
    <x v="2"/>
    <s v="AA212"/>
    <x v="103"/>
    <n v="187.32"/>
    <x v="8"/>
    <x v="2"/>
  </r>
  <r>
    <x v="41"/>
    <x v="41"/>
    <x v="39"/>
    <x v="0"/>
    <s v="AA212"/>
    <x v="103"/>
    <n v="11229.01"/>
    <x v="0"/>
    <x v="0"/>
  </r>
  <r>
    <x v="41"/>
    <x v="41"/>
    <x v="39"/>
    <x v="1"/>
    <s v="AA212"/>
    <x v="103"/>
    <n v="121.25"/>
    <x v="0"/>
    <x v="0"/>
  </r>
  <r>
    <x v="41"/>
    <x v="41"/>
    <x v="39"/>
    <x v="2"/>
    <s v="AA212"/>
    <x v="103"/>
    <n v="181.93"/>
    <x v="8"/>
    <x v="2"/>
  </r>
  <r>
    <x v="42"/>
    <x v="42"/>
    <x v="40"/>
    <x v="0"/>
    <s v="AA212"/>
    <x v="103"/>
    <n v="32072.74"/>
    <x v="0"/>
    <x v="0"/>
  </r>
  <r>
    <x v="42"/>
    <x v="42"/>
    <x v="40"/>
    <x v="1"/>
    <s v="AA212"/>
    <x v="103"/>
    <n v="346.38"/>
    <x v="0"/>
    <x v="0"/>
  </r>
  <r>
    <x v="42"/>
    <x v="42"/>
    <x v="40"/>
    <x v="2"/>
    <s v="AA212"/>
    <x v="103"/>
    <n v="519.54999999999995"/>
    <x v="8"/>
    <x v="2"/>
  </r>
  <r>
    <x v="43"/>
    <x v="43"/>
    <x v="41"/>
    <x v="0"/>
    <s v="AA212"/>
    <x v="103"/>
    <n v="9844.02"/>
    <x v="0"/>
    <x v="0"/>
  </r>
  <r>
    <x v="43"/>
    <x v="43"/>
    <x v="41"/>
    <x v="1"/>
    <s v="AA212"/>
    <x v="103"/>
    <n v="106.29"/>
    <x v="0"/>
    <x v="0"/>
  </r>
  <r>
    <x v="43"/>
    <x v="43"/>
    <x v="41"/>
    <x v="2"/>
    <s v="AA212"/>
    <x v="103"/>
    <n v="159.47999999999999"/>
    <x v="8"/>
    <x v="2"/>
  </r>
  <r>
    <x v="44"/>
    <x v="44"/>
    <x v="42"/>
    <x v="2"/>
    <s v="AA212"/>
    <x v="103"/>
    <n v="0.01"/>
    <x v="8"/>
    <x v="2"/>
  </r>
  <r>
    <x v="45"/>
    <x v="45"/>
    <x v="43"/>
    <x v="0"/>
    <s v="AA212"/>
    <x v="103"/>
    <n v="23542.38"/>
    <x v="0"/>
    <x v="0"/>
  </r>
  <r>
    <x v="45"/>
    <x v="45"/>
    <x v="43"/>
    <x v="1"/>
    <s v="AA212"/>
    <x v="103"/>
    <n v="254.26"/>
    <x v="0"/>
    <x v="0"/>
  </r>
  <r>
    <x v="45"/>
    <x v="45"/>
    <x v="43"/>
    <x v="2"/>
    <s v="AA212"/>
    <x v="103"/>
    <n v="381.39"/>
    <x v="8"/>
    <x v="2"/>
  </r>
  <r>
    <x v="47"/>
    <x v="47"/>
    <x v="45"/>
    <x v="0"/>
    <s v="AA212"/>
    <x v="103"/>
    <n v="1637.34"/>
    <x v="0"/>
    <x v="0"/>
  </r>
  <r>
    <x v="47"/>
    <x v="47"/>
    <x v="45"/>
    <x v="1"/>
    <s v="AA212"/>
    <x v="103"/>
    <n v="17.68"/>
    <x v="0"/>
    <x v="0"/>
  </r>
  <r>
    <x v="47"/>
    <x v="47"/>
    <x v="45"/>
    <x v="2"/>
    <s v="AA212"/>
    <x v="103"/>
    <n v="26.52"/>
    <x v="8"/>
    <x v="2"/>
  </r>
  <r>
    <x v="51"/>
    <x v="50"/>
    <x v="49"/>
    <x v="0"/>
    <s v="AA212"/>
    <x v="103"/>
    <n v="4305.38"/>
    <x v="0"/>
    <x v="0"/>
  </r>
  <r>
    <x v="51"/>
    <x v="50"/>
    <x v="49"/>
    <x v="1"/>
    <s v="AA212"/>
    <x v="103"/>
    <n v="46.5"/>
    <x v="0"/>
    <x v="0"/>
  </r>
  <r>
    <x v="51"/>
    <x v="50"/>
    <x v="49"/>
    <x v="2"/>
    <s v="AA212"/>
    <x v="103"/>
    <n v="69.75"/>
    <x v="8"/>
    <x v="2"/>
  </r>
  <r>
    <x v="52"/>
    <x v="51"/>
    <x v="50"/>
    <x v="0"/>
    <s v="AA212"/>
    <x v="103"/>
    <n v="18434.03"/>
    <x v="0"/>
    <x v="0"/>
  </r>
  <r>
    <x v="52"/>
    <x v="51"/>
    <x v="50"/>
    <x v="1"/>
    <s v="AA212"/>
    <x v="103"/>
    <n v="199.08"/>
    <x v="0"/>
    <x v="0"/>
  </r>
  <r>
    <x v="52"/>
    <x v="51"/>
    <x v="50"/>
    <x v="2"/>
    <s v="AA212"/>
    <x v="103"/>
    <n v="298.64999999999998"/>
    <x v="8"/>
    <x v="2"/>
  </r>
  <r>
    <x v="1"/>
    <x v="1"/>
    <x v="1"/>
    <x v="0"/>
    <s v="AA221"/>
    <x v="104"/>
    <n v="25566.959999999999"/>
    <x v="0"/>
    <x v="0"/>
  </r>
  <r>
    <x v="1"/>
    <x v="1"/>
    <x v="1"/>
    <x v="1"/>
    <s v="AA221"/>
    <x v="104"/>
    <n v="35.76"/>
    <x v="0"/>
    <x v="0"/>
  </r>
  <r>
    <x v="1"/>
    <x v="1"/>
    <x v="1"/>
    <x v="2"/>
    <s v="AA221"/>
    <x v="104"/>
    <n v="53.64"/>
    <x v="8"/>
    <x v="2"/>
  </r>
  <r>
    <x v="2"/>
    <x v="2"/>
    <x v="2"/>
    <x v="0"/>
    <s v="AA221"/>
    <x v="104"/>
    <n v="47100"/>
    <x v="0"/>
    <x v="0"/>
  </r>
  <r>
    <x v="2"/>
    <x v="2"/>
    <x v="2"/>
    <x v="1"/>
    <s v="AA221"/>
    <x v="104"/>
    <n v="66"/>
    <x v="0"/>
    <x v="0"/>
  </r>
  <r>
    <x v="2"/>
    <x v="2"/>
    <x v="2"/>
    <x v="2"/>
    <s v="AA221"/>
    <x v="104"/>
    <n v="98.88"/>
    <x v="8"/>
    <x v="2"/>
  </r>
  <r>
    <x v="3"/>
    <x v="3"/>
    <x v="3"/>
    <x v="0"/>
    <s v="AA221"/>
    <x v="104"/>
    <n v="11395.16"/>
    <x v="0"/>
    <x v="0"/>
  </r>
  <r>
    <x v="3"/>
    <x v="3"/>
    <x v="3"/>
    <x v="1"/>
    <s v="AA221"/>
    <x v="104"/>
    <n v="15.95"/>
    <x v="0"/>
    <x v="0"/>
  </r>
  <r>
    <x v="3"/>
    <x v="3"/>
    <x v="3"/>
    <x v="2"/>
    <s v="AA221"/>
    <x v="104"/>
    <n v="23.93"/>
    <x v="8"/>
    <x v="2"/>
  </r>
  <r>
    <x v="6"/>
    <x v="6"/>
    <x v="6"/>
    <x v="0"/>
    <s v="AA221"/>
    <x v="104"/>
    <n v="47100"/>
    <x v="0"/>
    <x v="0"/>
  </r>
  <r>
    <x v="6"/>
    <x v="6"/>
    <x v="6"/>
    <x v="1"/>
    <s v="AA221"/>
    <x v="104"/>
    <n v="66"/>
    <x v="0"/>
    <x v="0"/>
  </r>
  <r>
    <x v="6"/>
    <x v="6"/>
    <x v="6"/>
    <x v="2"/>
    <s v="AA221"/>
    <x v="104"/>
    <n v="98.88"/>
    <x v="8"/>
    <x v="2"/>
  </r>
  <r>
    <x v="7"/>
    <x v="7"/>
    <x v="7"/>
    <x v="0"/>
    <s v="AA221"/>
    <x v="104"/>
    <n v="47100"/>
    <x v="0"/>
    <x v="0"/>
  </r>
  <r>
    <x v="7"/>
    <x v="7"/>
    <x v="7"/>
    <x v="1"/>
    <s v="AA221"/>
    <x v="104"/>
    <n v="66"/>
    <x v="0"/>
    <x v="0"/>
  </r>
  <r>
    <x v="7"/>
    <x v="7"/>
    <x v="7"/>
    <x v="2"/>
    <s v="AA221"/>
    <x v="104"/>
    <n v="98.88"/>
    <x v="8"/>
    <x v="2"/>
  </r>
  <r>
    <x v="8"/>
    <x v="8"/>
    <x v="8"/>
    <x v="0"/>
    <s v="AA221"/>
    <x v="104"/>
    <n v="47100"/>
    <x v="0"/>
    <x v="0"/>
  </r>
  <r>
    <x v="8"/>
    <x v="8"/>
    <x v="8"/>
    <x v="1"/>
    <s v="AA221"/>
    <x v="104"/>
    <n v="66"/>
    <x v="0"/>
    <x v="0"/>
  </r>
  <r>
    <x v="8"/>
    <x v="8"/>
    <x v="8"/>
    <x v="2"/>
    <s v="AA221"/>
    <x v="104"/>
    <n v="98.88"/>
    <x v="8"/>
    <x v="2"/>
  </r>
  <r>
    <x v="9"/>
    <x v="9"/>
    <x v="9"/>
    <x v="0"/>
    <s v="AA221"/>
    <x v="104"/>
    <n v="47100"/>
    <x v="0"/>
    <x v="0"/>
  </r>
  <r>
    <x v="9"/>
    <x v="9"/>
    <x v="9"/>
    <x v="1"/>
    <s v="AA221"/>
    <x v="104"/>
    <n v="66"/>
    <x v="0"/>
    <x v="0"/>
  </r>
  <r>
    <x v="9"/>
    <x v="9"/>
    <x v="9"/>
    <x v="2"/>
    <s v="AA221"/>
    <x v="104"/>
    <n v="98.88"/>
    <x v="8"/>
    <x v="2"/>
  </r>
  <r>
    <x v="10"/>
    <x v="10"/>
    <x v="10"/>
    <x v="0"/>
    <s v="AA221"/>
    <x v="104"/>
    <n v="47100"/>
    <x v="0"/>
    <x v="0"/>
  </r>
  <r>
    <x v="10"/>
    <x v="10"/>
    <x v="10"/>
    <x v="1"/>
    <s v="AA221"/>
    <x v="104"/>
    <n v="66"/>
    <x v="0"/>
    <x v="0"/>
  </r>
  <r>
    <x v="10"/>
    <x v="10"/>
    <x v="10"/>
    <x v="2"/>
    <s v="AA221"/>
    <x v="104"/>
    <n v="98.88"/>
    <x v="8"/>
    <x v="2"/>
  </r>
  <r>
    <x v="11"/>
    <x v="11"/>
    <x v="11"/>
    <x v="0"/>
    <s v="AA221"/>
    <x v="104"/>
    <n v="47100"/>
    <x v="0"/>
    <x v="0"/>
  </r>
  <r>
    <x v="11"/>
    <x v="11"/>
    <x v="11"/>
    <x v="1"/>
    <s v="AA221"/>
    <x v="104"/>
    <n v="66"/>
    <x v="0"/>
    <x v="0"/>
  </r>
  <r>
    <x v="11"/>
    <x v="11"/>
    <x v="11"/>
    <x v="2"/>
    <s v="AA221"/>
    <x v="104"/>
    <n v="98.88"/>
    <x v="8"/>
    <x v="2"/>
  </r>
  <r>
    <x v="12"/>
    <x v="12"/>
    <x v="12"/>
    <x v="0"/>
    <s v="AA221"/>
    <x v="104"/>
    <n v="47100"/>
    <x v="0"/>
    <x v="0"/>
  </r>
  <r>
    <x v="12"/>
    <x v="12"/>
    <x v="12"/>
    <x v="1"/>
    <s v="AA221"/>
    <x v="104"/>
    <n v="65.989999999999995"/>
    <x v="0"/>
    <x v="0"/>
  </r>
  <r>
    <x v="12"/>
    <x v="12"/>
    <x v="12"/>
    <x v="2"/>
    <s v="AA221"/>
    <x v="104"/>
    <n v="98.89"/>
    <x v="8"/>
    <x v="2"/>
  </r>
  <r>
    <x v="14"/>
    <x v="14"/>
    <x v="14"/>
    <x v="0"/>
    <s v="AA221"/>
    <x v="104"/>
    <n v="37312.99"/>
    <x v="0"/>
    <x v="0"/>
  </r>
  <r>
    <x v="14"/>
    <x v="14"/>
    <x v="14"/>
    <x v="1"/>
    <s v="AA221"/>
    <x v="104"/>
    <n v="52.22"/>
    <x v="0"/>
    <x v="0"/>
  </r>
  <r>
    <x v="14"/>
    <x v="14"/>
    <x v="14"/>
    <x v="2"/>
    <s v="AA221"/>
    <x v="104"/>
    <n v="78.37"/>
    <x v="8"/>
    <x v="2"/>
  </r>
  <r>
    <x v="15"/>
    <x v="15"/>
    <x v="15"/>
    <x v="0"/>
    <s v="AA221"/>
    <x v="104"/>
    <n v="47100"/>
    <x v="0"/>
    <x v="0"/>
  </r>
  <r>
    <x v="15"/>
    <x v="15"/>
    <x v="15"/>
    <x v="1"/>
    <s v="AA221"/>
    <x v="104"/>
    <n v="66"/>
    <x v="0"/>
    <x v="0"/>
  </r>
  <r>
    <x v="15"/>
    <x v="15"/>
    <x v="15"/>
    <x v="2"/>
    <s v="AA221"/>
    <x v="104"/>
    <n v="98.88"/>
    <x v="8"/>
    <x v="2"/>
  </r>
  <r>
    <x v="18"/>
    <x v="18"/>
    <x v="18"/>
    <x v="0"/>
    <s v="AA221"/>
    <x v="104"/>
    <n v="47100"/>
    <x v="0"/>
    <x v="0"/>
  </r>
  <r>
    <x v="18"/>
    <x v="18"/>
    <x v="18"/>
    <x v="1"/>
    <s v="AA221"/>
    <x v="104"/>
    <n v="66"/>
    <x v="0"/>
    <x v="0"/>
  </r>
  <r>
    <x v="18"/>
    <x v="18"/>
    <x v="18"/>
    <x v="2"/>
    <s v="AA221"/>
    <x v="104"/>
    <n v="98.88"/>
    <x v="8"/>
    <x v="2"/>
  </r>
  <r>
    <x v="19"/>
    <x v="19"/>
    <x v="19"/>
    <x v="0"/>
    <s v="AA221"/>
    <x v="104"/>
    <n v="47100"/>
    <x v="0"/>
    <x v="0"/>
  </r>
  <r>
    <x v="19"/>
    <x v="19"/>
    <x v="19"/>
    <x v="1"/>
    <s v="AA221"/>
    <x v="104"/>
    <n v="66"/>
    <x v="0"/>
    <x v="0"/>
  </r>
  <r>
    <x v="19"/>
    <x v="19"/>
    <x v="19"/>
    <x v="2"/>
    <s v="AA221"/>
    <x v="104"/>
    <n v="98.88"/>
    <x v="8"/>
    <x v="2"/>
  </r>
  <r>
    <x v="20"/>
    <x v="20"/>
    <x v="20"/>
    <x v="0"/>
    <s v="AA221"/>
    <x v="104"/>
    <n v="47100"/>
    <x v="0"/>
    <x v="0"/>
  </r>
  <r>
    <x v="20"/>
    <x v="20"/>
    <x v="20"/>
    <x v="1"/>
    <s v="AA221"/>
    <x v="104"/>
    <n v="66"/>
    <x v="0"/>
    <x v="0"/>
  </r>
  <r>
    <x v="20"/>
    <x v="20"/>
    <x v="20"/>
    <x v="2"/>
    <s v="AA221"/>
    <x v="104"/>
    <n v="98.88"/>
    <x v="8"/>
    <x v="2"/>
  </r>
  <r>
    <x v="22"/>
    <x v="22"/>
    <x v="22"/>
    <x v="0"/>
    <s v="AA221"/>
    <x v="104"/>
    <n v="15681.31"/>
    <x v="0"/>
    <x v="0"/>
  </r>
  <r>
    <x v="22"/>
    <x v="22"/>
    <x v="22"/>
    <x v="1"/>
    <s v="AA221"/>
    <x v="104"/>
    <n v="21.97"/>
    <x v="0"/>
    <x v="0"/>
  </r>
  <r>
    <x v="22"/>
    <x v="22"/>
    <x v="22"/>
    <x v="2"/>
    <s v="AA221"/>
    <x v="104"/>
    <n v="32.92"/>
    <x v="8"/>
    <x v="2"/>
  </r>
  <r>
    <x v="26"/>
    <x v="26"/>
    <x v="25"/>
    <x v="0"/>
    <s v="AA221"/>
    <x v="104"/>
    <n v="47100"/>
    <x v="0"/>
    <x v="0"/>
  </r>
  <r>
    <x v="26"/>
    <x v="26"/>
    <x v="25"/>
    <x v="1"/>
    <s v="AA221"/>
    <x v="104"/>
    <n v="66"/>
    <x v="0"/>
    <x v="0"/>
  </r>
  <r>
    <x v="26"/>
    <x v="26"/>
    <x v="25"/>
    <x v="2"/>
    <s v="AA221"/>
    <x v="104"/>
    <n v="98.88"/>
    <x v="8"/>
    <x v="2"/>
  </r>
  <r>
    <x v="28"/>
    <x v="28"/>
    <x v="27"/>
    <x v="0"/>
    <s v="AA221"/>
    <x v="104"/>
    <n v="9622.58"/>
    <x v="0"/>
    <x v="0"/>
  </r>
  <r>
    <x v="28"/>
    <x v="28"/>
    <x v="27"/>
    <x v="1"/>
    <s v="AA221"/>
    <x v="104"/>
    <n v="13.47"/>
    <x v="0"/>
    <x v="0"/>
  </r>
  <r>
    <x v="28"/>
    <x v="28"/>
    <x v="27"/>
    <x v="2"/>
    <s v="AA221"/>
    <x v="104"/>
    <n v="20.21"/>
    <x v="8"/>
    <x v="2"/>
  </r>
  <r>
    <x v="30"/>
    <x v="30"/>
    <x v="28"/>
    <x v="0"/>
    <s v="AA221"/>
    <x v="104"/>
    <n v="47100"/>
    <x v="0"/>
    <x v="0"/>
  </r>
  <r>
    <x v="30"/>
    <x v="30"/>
    <x v="28"/>
    <x v="1"/>
    <s v="AA221"/>
    <x v="104"/>
    <n v="66"/>
    <x v="0"/>
    <x v="0"/>
  </r>
  <r>
    <x v="30"/>
    <x v="30"/>
    <x v="28"/>
    <x v="2"/>
    <s v="AA221"/>
    <x v="104"/>
    <n v="98.88"/>
    <x v="8"/>
    <x v="2"/>
  </r>
  <r>
    <x v="31"/>
    <x v="31"/>
    <x v="29"/>
    <x v="0"/>
    <s v="AA221"/>
    <x v="104"/>
    <n v="47100"/>
    <x v="0"/>
    <x v="0"/>
  </r>
  <r>
    <x v="31"/>
    <x v="31"/>
    <x v="29"/>
    <x v="1"/>
    <s v="AA221"/>
    <x v="104"/>
    <n v="66"/>
    <x v="0"/>
    <x v="0"/>
  </r>
  <r>
    <x v="31"/>
    <x v="31"/>
    <x v="29"/>
    <x v="2"/>
    <s v="AA221"/>
    <x v="104"/>
    <n v="98.88"/>
    <x v="8"/>
    <x v="2"/>
  </r>
  <r>
    <x v="32"/>
    <x v="32"/>
    <x v="30"/>
    <x v="0"/>
    <s v="AA221"/>
    <x v="104"/>
    <n v="47100"/>
    <x v="0"/>
    <x v="0"/>
  </r>
  <r>
    <x v="32"/>
    <x v="32"/>
    <x v="30"/>
    <x v="1"/>
    <s v="AA221"/>
    <x v="104"/>
    <n v="65.989999999999995"/>
    <x v="0"/>
    <x v="0"/>
  </r>
  <r>
    <x v="32"/>
    <x v="32"/>
    <x v="30"/>
    <x v="2"/>
    <s v="AA221"/>
    <x v="104"/>
    <n v="98.89"/>
    <x v="8"/>
    <x v="2"/>
  </r>
  <r>
    <x v="34"/>
    <x v="34"/>
    <x v="32"/>
    <x v="0"/>
    <s v="AA221"/>
    <x v="104"/>
    <n v="47100"/>
    <x v="0"/>
    <x v="0"/>
  </r>
  <r>
    <x v="34"/>
    <x v="34"/>
    <x v="32"/>
    <x v="1"/>
    <s v="AA221"/>
    <x v="104"/>
    <n v="66"/>
    <x v="0"/>
    <x v="0"/>
  </r>
  <r>
    <x v="34"/>
    <x v="34"/>
    <x v="32"/>
    <x v="2"/>
    <s v="AA221"/>
    <x v="104"/>
    <n v="98.88"/>
    <x v="8"/>
    <x v="2"/>
  </r>
  <r>
    <x v="38"/>
    <x v="38"/>
    <x v="36"/>
    <x v="0"/>
    <s v="AA221"/>
    <x v="104"/>
    <n v="47100"/>
    <x v="0"/>
    <x v="0"/>
  </r>
  <r>
    <x v="38"/>
    <x v="38"/>
    <x v="36"/>
    <x v="1"/>
    <s v="AA221"/>
    <x v="104"/>
    <n v="66"/>
    <x v="0"/>
    <x v="0"/>
  </r>
  <r>
    <x v="38"/>
    <x v="38"/>
    <x v="36"/>
    <x v="2"/>
    <s v="AA221"/>
    <x v="104"/>
    <n v="98.88"/>
    <x v="8"/>
    <x v="2"/>
  </r>
  <r>
    <x v="40"/>
    <x v="40"/>
    <x v="38"/>
    <x v="0"/>
    <s v="AA221"/>
    <x v="104"/>
    <n v="47100"/>
    <x v="0"/>
    <x v="0"/>
  </r>
  <r>
    <x v="40"/>
    <x v="40"/>
    <x v="38"/>
    <x v="1"/>
    <s v="AA221"/>
    <x v="104"/>
    <n v="65.989999999999995"/>
    <x v="0"/>
    <x v="0"/>
  </r>
  <r>
    <x v="40"/>
    <x v="40"/>
    <x v="38"/>
    <x v="2"/>
    <s v="AA221"/>
    <x v="104"/>
    <n v="98.89"/>
    <x v="8"/>
    <x v="2"/>
  </r>
  <r>
    <x v="41"/>
    <x v="41"/>
    <x v="39"/>
    <x v="0"/>
    <s v="AA221"/>
    <x v="104"/>
    <n v="47100"/>
    <x v="0"/>
    <x v="0"/>
  </r>
  <r>
    <x v="41"/>
    <x v="41"/>
    <x v="39"/>
    <x v="1"/>
    <s v="AA221"/>
    <x v="104"/>
    <n v="66"/>
    <x v="0"/>
    <x v="0"/>
  </r>
  <r>
    <x v="41"/>
    <x v="41"/>
    <x v="39"/>
    <x v="2"/>
    <s v="AA221"/>
    <x v="104"/>
    <n v="98.88"/>
    <x v="8"/>
    <x v="2"/>
  </r>
  <r>
    <x v="42"/>
    <x v="42"/>
    <x v="40"/>
    <x v="0"/>
    <s v="AA221"/>
    <x v="104"/>
    <n v="47100"/>
    <x v="0"/>
    <x v="0"/>
  </r>
  <r>
    <x v="42"/>
    <x v="42"/>
    <x v="40"/>
    <x v="1"/>
    <s v="AA221"/>
    <x v="104"/>
    <n v="66"/>
    <x v="0"/>
    <x v="0"/>
  </r>
  <r>
    <x v="42"/>
    <x v="42"/>
    <x v="40"/>
    <x v="2"/>
    <s v="AA221"/>
    <x v="104"/>
    <n v="98.88"/>
    <x v="8"/>
    <x v="2"/>
  </r>
  <r>
    <x v="43"/>
    <x v="43"/>
    <x v="41"/>
    <x v="0"/>
    <s v="AA221"/>
    <x v="104"/>
    <n v="47100"/>
    <x v="0"/>
    <x v="0"/>
  </r>
  <r>
    <x v="43"/>
    <x v="43"/>
    <x v="41"/>
    <x v="1"/>
    <s v="AA221"/>
    <x v="104"/>
    <n v="66"/>
    <x v="0"/>
    <x v="0"/>
  </r>
  <r>
    <x v="43"/>
    <x v="43"/>
    <x v="41"/>
    <x v="2"/>
    <s v="AA221"/>
    <x v="104"/>
    <n v="98.88"/>
    <x v="8"/>
    <x v="2"/>
  </r>
  <r>
    <x v="44"/>
    <x v="44"/>
    <x v="42"/>
    <x v="1"/>
    <s v="AA221"/>
    <x v="104"/>
    <n v="0.02"/>
    <x v="0"/>
    <x v="0"/>
  </r>
  <r>
    <x v="44"/>
    <x v="44"/>
    <x v="42"/>
    <x v="2"/>
    <s v="AA221"/>
    <x v="104"/>
    <n v="-0.01"/>
    <x v="8"/>
    <x v="2"/>
  </r>
  <r>
    <x v="45"/>
    <x v="45"/>
    <x v="43"/>
    <x v="0"/>
    <s v="AA221"/>
    <x v="104"/>
    <n v="7850"/>
    <x v="0"/>
    <x v="0"/>
  </r>
  <r>
    <x v="45"/>
    <x v="45"/>
    <x v="43"/>
    <x v="1"/>
    <s v="AA221"/>
    <x v="104"/>
    <n v="11"/>
    <x v="0"/>
    <x v="0"/>
  </r>
  <r>
    <x v="45"/>
    <x v="45"/>
    <x v="43"/>
    <x v="2"/>
    <s v="AA221"/>
    <x v="104"/>
    <n v="16.48"/>
    <x v="8"/>
    <x v="2"/>
  </r>
  <r>
    <x v="47"/>
    <x v="47"/>
    <x v="45"/>
    <x v="0"/>
    <s v="AA221"/>
    <x v="104"/>
    <n v="24689.52"/>
    <x v="0"/>
    <x v="0"/>
  </r>
  <r>
    <x v="47"/>
    <x v="47"/>
    <x v="45"/>
    <x v="1"/>
    <s v="AA221"/>
    <x v="104"/>
    <n v="34.57"/>
    <x v="0"/>
    <x v="0"/>
  </r>
  <r>
    <x v="47"/>
    <x v="47"/>
    <x v="45"/>
    <x v="2"/>
    <s v="AA221"/>
    <x v="104"/>
    <n v="51.85"/>
    <x v="8"/>
    <x v="2"/>
  </r>
  <r>
    <x v="51"/>
    <x v="50"/>
    <x v="49"/>
    <x v="0"/>
    <s v="AA221"/>
    <x v="104"/>
    <n v="1772.58"/>
    <x v="0"/>
    <x v="0"/>
  </r>
  <r>
    <x v="51"/>
    <x v="50"/>
    <x v="49"/>
    <x v="1"/>
    <s v="AA221"/>
    <x v="104"/>
    <n v="2.48"/>
    <x v="0"/>
    <x v="0"/>
  </r>
  <r>
    <x v="51"/>
    <x v="50"/>
    <x v="49"/>
    <x v="2"/>
    <s v="AA221"/>
    <x v="104"/>
    <n v="3.72"/>
    <x v="8"/>
    <x v="2"/>
  </r>
  <r>
    <x v="52"/>
    <x v="51"/>
    <x v="50"/>
    <x v="0"/>
    <s v="AA221"/>
    <x v="104"/>
    <n v="26694.23"/>
    <x v="0"/>
    <x v="0"/>
  </r>
  <r>
    <x v="52"/>
    <x v="51"/>
    <x v="50"/>
    <x v="1"/>
    <s v="AA221"/>
    <x v="104"/>
    <n v="37.39"/>
    <x v="0"/>
    <x v="0"/>
  </r>
  <r>
    <x v="52"/>
    <x v="51"/>
    <x v="50"/>
    <x v="2"/>
    <s v="AA221"/>
    <x v="104"/>
    <n v="56.05"/>
    <x v="8"/>
    <x v="2"/>
  </r>
  <r>
    <x v="1"/>
    <x v="1"/>
    <x v="1"/>
    <x v="0"/>
    <s v="AA222"/>
    <x v="105"/>
    <n v="17040.32"/>
    <x v="0"/>
    <x v="0"/>
  </r>
  <r>
    <x v="1"/>
    <x v="1"/>
    <x v="1"/>
    <x v="1"/>
    <s v="AA222"/>
    <x v="105"/>
    <n v="23.87"/>
    <x v="0"/>
    <x v="0"/>
  </r>
  <r>
    <x v="1"/>
    <x v="1"/>
    <x v="1"/>
    <x v="2"/>
    <s v="AA222"/>
    <x v="105"/>
    <n v="35.82"/>
    <x v="8"/>
    <x v="2"/>
  </r>
  <r>
    <x v="2"/>
    <x v="2"/>
    <x v="2"/>
    <x v="0"/>
    <s v="AA222"/>
    <x v="105"/>
    <n v="14268.02"/>
    <x v="0"/>
    <x v="0"/>
  </r>
  <r>
    <x v="2"/>
    <x v="2"/>
    <x v="2"/>
    <x v="1"/>
    <s v="AA222"/>
    <x v="105"/>
    <n v="19.97"/>
    <x v="0"/>
    <x v="0"/>
  </r>
  <r>
    <x v="2"/>
    <x v="2"/>
    <x v="2"/>
    <x v="2"/>
    <s v="AA222"/>
    <x v="105"/>
    <n v="29.97"/>
    <x v="8"/>
    <x v="2"/>
  </r>
  <r>
    <x v="3"/>
    <x v="3"/>
    <x v="3"/>
    <x v="0"/>
    <s v="AA222"/>
    <x v="105"/>
    <n v="3681.79"/>
    <x v="0"/>
    <x v="0"/>
  </r>
  <r>
    <x v="3"/>
    <x v="3"/>
    <x v="3"/>
    <x v="1"/>
    <s v="AA222"/>
    <x v="105"/>
    <n v="5.16"/>
    <x v="0"/>
    <x v="0"/>
  </r>
  <r>
    <x v="3"/>
    <x v="3"/>
    <x v="3"/>
    <x v="2"/>
    <s v="AA222"/>
    <x v="105"/>
    <n v="7.73"/>
    <x v="8"/>
    <x v="2"/>
  </r>
  <r>
    <x v="6"/>
    <x v="6"/>
    <x v="6"/>
    <x v="0"/>
    <s v="AA222"/>
    <x v="105"/>
    <n v="13609.03"/>
    <x v="0"/>
    <x v="0"/>
  </r>
  <r>
    <x v="6"/>
    <x v="6"/>
    <x v="6"/>
    <x v="1"/>
    <s v="AA222"/>
    <x v="105"/>
    <n v="19.03"/>
    <x v="0"/>
    <x v="0"/>
  </r>
  <r>
    <x v="6"/>
    <x v="6"/>
    <x v="6"/>
    <x v="2"/>
    <s v="AA222"/>
    <x v="105"/>
    <n v="28.61"/>
    <x v="8"/>
    <x v="2"/>
  </r>
  <r>
    <x v="7"/>
    <x v="7"/>
    <x v="7"/>
    <x v="0"/>
    <s v="AA222"/>
    <x v="105"/>
    <n v="6622.94"/>
    <x v="0"/>
    <x v="0"/>
  </r>
  <r>
    <x v="7"/>
    <x v="7"/>
    <x v="7"/>
    <x v="1"/>
    <s v="AA222"/>
    <x v="105"/>
    <n v="9.2899999999999991"/>
    <x v="0"/>
    <x v="0"/>
  </r>
  <r>
    <x v="7"/>
    <x v="7"/>
    <x v="7"/>
    <x v="2"/>
    <s v="AA222"/>
    <x v="105"/>
    <n v="13.93"/>
    <x v="8"/>
    <x v="2"/>
  </r>
  <r>
    <x v="8"/>
    <x v="8"/>
    <x v="8"/>
    <x v="0"/>
    <s v="AA222"/>
    <x v="105"/>
    <n v="88462.2"/>
    <x v="0"/>
    <x v="0"/>
  </r>
  <r>
    <x v="8"/>
    <x v="8"/>
    <x v="8"/>
    <x v="1"/>
    <s v="AA222"/>
    <x v="105"/>
    <n v="123.84"/>
    <x v="0"/>
    <x v="0"/>
  </r>
  <r>
    <x v="8"/>
    <x v="8"/>
    <x v="8"/>
    <x v="2"/>
    <s v="AA222"/>
    <x v="105"/>
    <n v="185.82"/>
    <x v="8"/>
    <x v="2"/>
  </r>
  <r>
    <x v="9"/>
    <x v="9"/>
    <x v="9"/>
    <x v="0"/>
    <s v="AA222"/>
    <x v="105"/>
    <n v="15889.04"/>
    <x v="0"/>
    <x v="0"/>
  </r>
  <r>
    <x v="9"/>
    <x v="9"/>
    <x v="9"/>
    <x v="1"/>
    <s v="AA222"/>
    <x v="105"/>
    <n v="22.24"/>
    <x v="0"/>
    <x v="0"/>
  </r>
  <r>
    <x v="9"/>
    <x v="9"/>
    <x v="9"/>
    <x v="2"/>
    <s v="AA222"/>
    <x v="105"/>
    <n v="33.380000000000003"/>
    <x v="8"/>
    <x v="2"/>
  </r>
  <r>
    <x v="10"/>
    <x v="10"/>
    <x v="10"/>
    <x v="0"/>
    <s v="AA222"/>
    <x v="105"/>
    <n v="89114.53"/>
    <x v="0"/>
    <x v="0"/>
  </r>
  <r>
    <x v="10"/>
    <x v="10"/>
    <x v="10"/>
    <x v="1"/>
    <s v="AA222"/>
    <x v="105"/>
    <n v="124.8"/>
    <x v="0"/>
    <x v="0"/>
  </r>
  <r>
    <x v="10"/>
    <x v="10"/>
    <x v="10"/>
    <x v="2"/>
    <s v="AA222"/>
    <x v="105"/>
    <n v="187.16"/>
    <x v="8"/>
    <x v="2"/>
  </r>
  <r>
    <x v="11"/>
    <x v="11"/>
    <x v="11"/>
    <x v="0"/>
    <s v="AA222"/>
    <x v="105"/>
    <n v="24002.79"/>
    <x v="0"/>
    <x v="0"/>
  </r>
  <r>
    <x v="11"/>
    <x v="11"/>
    <x v="11"/>
    <x v="1"/>
    <s v="AA222"/>
    <x v="105"/>
    <n v="33.58"/>
    <x v="0"/>
    <x v="0"/>
  </r>
  <r>
    <x v="11"/>
    <x v="11"/>
    <x v="11"/>
    <x v="2"/>
    <s v="AA222"/>
    <x v="105"/>
    <n v="50.38"/>
    <x v="8"/>
    <x v="2"/>
  </r>
  <r>
    <x v="12"/>
    <x v="12"/>
    <x v="12"/>
    <x v="0"/>
    <s v="AA222"/>
    <x v="105"/>
    <n v="9565.3700000000008"/>
    <x v="0"/>
    <x v="0"/>
  </r>
  <r>
    <x v="12"/>
    <x v="12"/>
    <x v="12"/>
    <x v="1"/>
    <s v="AA222"/>
    <x v="105"/>
    <n v="13.39"/>
    <x v="0"/>
    <x v="0"/>
  </r>
  <r>
    <x v="12"/>
    <x v="12"/>
    <x v="12"/>
    <x v="2"/>
    <s v="AA222"/>
    <x v="105"/>
    <n v="20.09"/>
    <x v="8"/>
    <x v="2"/>
  </r>
  <r>
    <x v="14"/>
    <x v="14"/>
    <x v="14"/>
    <x v="0"/>
    <s v="AA222"/>
    <x v="105"/>
    <n v="3141.13"/>
    <x v="0"/>
    <x v="0"/>
  </r>
  <r>
    <x v="14"/>
    <x v="14"/>
    <x v="14"/>
    <x v="1"/>
    <s v="AA222"/>
    <x v="105"/>
    <n v="4.41"/>
    <x v="0"/>
    <x v="0"/>
  </r>
  <r>
    <x v="14"/>
    <x v="14"/>
    <x v="14"/>
    <x v="2"/>
    <s v="AA222"/>
    <x v="105"/>
    <n v="6.59"/>
    <x v="8"/>
    <x v="2"/>
  </r>
  <r>
    <x v="15"/>
    <x v="15"/>
    <x v="15"/>
    <x v="0"/>
    <s v="AA222"/>
    <x v="105"/>
    <n v="14346.32"/>
    <x v="0"/>
    <x v="0"/>
  </r>
  <r>
    <x v="15"/>
    <x v="15"/>
    <x v="15"/>
    <x v="1"/>
    <s v="AA222"/>
    <x v="105"/>
    <n v="20.07"/>
    <x v="0"/>
    <x v="0"/>
  </r>
  <r>
    <x v="15"/>
    <x v="15"/>
    <x v="15"/>
    <x v="2"/>
    <s v="AA222"/>
    <x v="105"/>
    <n v="30.15"/>
    <x v="8"/>
    <x v="2"/>
  </r>
  <r>
    <x v="18"/>
    <x v="18"/>
    <x v="18"/>
    <x v="0"/>
    <s v="AA222"/>
    <x v="105"/>
    <n v="49573.07"/>
    <x v="0"/>
    <x v="0"/>
  </r>
  <r>
    <x v="18"/>
    <x v="18"/>
    <x v="18"/>
    <x v="1"/>
    <s v="AA222"/>
    <x v="105"/>
    <n v="69.400000000000006"/>
    <x v="0"/>
    <x v="0"/>
  </r>
  <r>
    <x v="18"/>
    <x v="18"/>
    <x v="18"/>
    <x v="2"/>
    <s v="AA222"/>
    <x v="105"/>
    <n v="104.11"/>
    <x v="8"/>
    <x v="2"/>
  </r>
  <r>
    <x v="19"/>
    <x v="19"/>
    <x v="19"/>
    <x v="0"/>
    <s v="AA222"/>
    <x v="105"/>
    <n v="16821.650000000001"/>
    <x v="0"/>
    <x v="0"/>
  </r>
  <r>
    <x v="19"/>
    <x v="19"/>
    <x v="19"/>
    <x v="1"/>
    <s v="AA222"/>
    <x v="105"/>
    <n v="23.58"/>
    <x v="0"/>
    <x v="0"/>
  </r>
  <r>
    <x v="19"/>
    <x v="19"/>
    <x v="19"/>
    <x v="2"/>
    <s v="AA222"/>
    <x v="105"/>
    <n v="35.33"/>
    <x v="8"/>
    <x v="2"/>
  </r>
  <r>
    <x v="20"/>
    <x v="20"/>
    <x v="20"/>
    <x v="0"/>
    <s v="AA222"/>
    <x v="105"/>
    <n v="21395.59"/>
    <x v="0"/>
    <x v="0"/>
  </r>
  <r>
    <x v="20"/>
    <x v="20"/>
    <x v="20"/>
    <x v="1"/>
    <s v="AA222"/>
    <x v="105"/>
    <n v="29.98"/>
    <x v="0"/>
    <x v="0"/>
  </r>
  <r>
    <x v="20"/>
    <x v="20"/>
    <x v="20"/>
    <x v="2"/>
    <s v="AA222"/>
    <x v="105"/>
    <n v="44.93"/>
    <x v="8"/>
    <x v="2"/>
  </r>
  <r>
    <x v="22"/>
    <x v="22"/>
    <x v="22"/>
    <x v="0"/>
    <s v="AA222"/>
    <x v="105"/>
    <n v="9791.5300000000007"/>
    <x v="0"/>
    <x v="0"/>
  </r>
  <r>
    <x v="22"/>
    <x v="22"/>
    <x v="22"/>
    <x v="1"/>
    <s v="AA222"/>
    <x v="105"/>
    <n v="13.7"/>
    <x v="0"/>
    <x v="0"/>
  </r>
  <r>
    <x v="22"/>
    <x v="22"/>
    <x v="22"/>
    <x v="2"/>
    <s v="AA222"/>
    <x v="105"/>
    <n v="20.57"/>
    <x v="8"/>
    <x v="2"/>
  </r>
  <r>
    <x v="26"/>
    <x v="26"/>
    <x v="25"/>
    <x v="0"/>
    <s v="AA222"/>
    <x v="105"/>
    <n v="12472.69"/>
    <x v="0"/>
    <x v="0"/>
  </r>
  <r>
    <x v="26"/>
    <x v="26"/>
    <x v="25"/>
    <x v="1"/>
    <s v="AA222"/>
    <x v="105"/>
    <n v="17.43"/>
    <x v="0"/>
    <x v="0"/>
  </r>
  <r>
    <x v="26"/>
    <x v="26"/>
    <x v="25"/>
    <x v="2"/>
    <s v="AA222"/>
    <x v="105"/>
    <n v="26.23"/>
    <x v="8"/>
    <x v="2"/>
  </r>
  <r>
    <x v="28"/>
    <x v="28"/>
    <x v="27"/>
    <x v="0"/>
    <s v="AA222"/>
    <x v="105"/>
    <n v="1052.3699999999999"/>
    <x v="0"/>
    <x v="0"/>
  </r>
  <r>
    <x v="28"/>
    <x v="28"/>
    <x v="27"/>
    <x v="1"/>
    <s v="AA222"/>
    <x v="105"/>
    <n v="1.48"/>
    <x v="0"/>
    <x v="0"/>
  </r>
  <r>
    <x v="28"/>
    <x v="28"/>
    <x v="27"/>
    <x v="2"/>
    <s v="AA222"/>
    <x v="105"/>
    <n v="2.21"/>
    <x v="8"/>
    <x v="2"/>
  </r>
  <r>
    <x v="30"/>
    <x v="30"/>
    <x v="28"/>
    <x v="0"/>
    <s v="AA222"/>
    <x v="105"/>
    <n v="14504.34"/>
    <x v="0"/>
    <x v="0"/>
  </r>
  <r>
    <x v="30"/>
    <x v="30"/>
    <x v="28"/>
    <x v="1"/>
    <s v="AA222"/>
    <x v="105"/>
    <n v="20.29"/>
    <x v="0"/>
    <x v="0"/>
  </r>
  <r>
    <x v="30"/>
    <x v="30"/>
    <x v="28"/>
    <x v="2"/>
    <s v="AA222"/>
    <x v="105"/>
    <n v="30.49"/>
    <x v="8"/>
    <x v="2"/>
  </r>
  <r>
    <x v="31"/>
    <x v="31"/>
    <x v="29"/>
    <x v="0"/>
    <s v="AA222"/>
    <x v="105"/>
    <n v="12293.65"/>
    <x v="0"/>
    <x v="0"/>
  </r>
  <r>
    <x v="31"/>
    <x v="31"/>
    <x v="29"/>
    <x v="1"/>
    <s v="AA222"/>
    <x v="105"/>
    <n v="17.27"/>
    <x v="0"/>
    <x v="0"/>
  </r>
  <r>
    <x v="31"/>
    <x v="31"/>
    <x v="29"/>
    <x v="2"/>
    <s v="AA222"/>
    <x v="105"/>
    <n v="25.84"/>
    <x v="8"/>
    <x v="2"/>
  </r>
  <r>
    <x v="32"/>
    <x v="32"/>
    <x v="30"/>
    <x v="0"/>
    <s v="AA222"/>
    <x v="105"/>
    <n v="1874.5"/>
    <x v="0"/>
    <x v="0"/>
  </r>
  <r>
    <x v="32"/>
    <x v="32"/>
    <x v="30"/>
    <x v="1"/>
    <s v="AA222"/>
    <x v="105"/>
    <n v="2.61"/>
    <x v="0"/>
    <x v="0"/>
  </r>
  <r>
    <x v="32"/>
    <x v="32"/>
    <x v="30"/>
    <x v="2"/>
    <s v="AA222"/>
    <x v="105"/>
    <n v="3.95"/>
    <x v="8"/>
    <x v="2"/>
  </r>
  <r>
    <x v="33"/>
    <x v="33"/>
    <x v="31"/>
    <x v="2"/>
    <s v="AA222"/>
    <x v="105"/>
    <n v="0.01"/>
    <x v="8"/>
    <x v="2"/>
  </r>
  <r>
    <x v="34"/>
    <x v="34"/>
    <x v="32"/>
    <x v="0"/>
    <s v="AA222"/>
    <x v="105"/>
    <n v="23285.62"/>
    <x v="0"/>
    <x v="0"/>
  </r>
  <r>
    <x v="34"/>
    <x v="34"/>
    <x v="32"/>
    <x v="1"/>
    <s v="AA222"/>
    <x v="105"/>
    <n v="32.590000000000003"/>
    <x v="0"/>
    <x v="0"/>
  </r>
  <r>
    <x v="34"/>
    <x v="34"/>
    <x v="32"/>
    <x v="2"/>
    <s v="AA222"/>
    <x v="105"/>
    <n v="48.88"/>
    <x v="8"/>
    <x v="2"/>
  </r>
  <r>
    <x v="38"/>
    <x v="38"/>
    <x v="36"/>
    <x v="0"/>
    <s v="AA222"/>
    <x v="105"/>
    <n v="91640.99"/>
    <x v="0"/>
    <x v="0"/>
  </r>
  <r>
    <x v="38"/>
    <x v="38"/>
    <x v="36"/>
    <x v="1"/>
    <s v="AA222"/>
    <x v="105"/>
    <n v="128.31"/>
    <x v="0"/>
    <x v="0"/>
  </r>
  <r>
    <x v="38"/>
    <x v="38"/>
    <x v="36"/>
    <x v="2"/>
    <s v="AA222"/>
    <x v="105"/>
    <n v="192.44"/>
    <x v="8"/>
    <x v="2"/>
  </r>
  <r>
    <x v="40"/>
    <x v="40"/>
    <x v="38"/>
    <x v="0"/>
    <s v="AA222"/>
    <x v="105"/>
    <n v="11561.4"/>
    <x v="0"/>
    <x v="0"/>
  </r>
  <r>
    <x v="40"/>
    <x v="40"/>
    <x v="38"/>
    <x v="1"/>
    <s v="AA222"/>
    <x v="105"/>
    <n v="16.190000000000001"/>
    <x v="0"/>
    <x v="0"/>
  </r>
  <r>
    <x v="40"/>
    <x v="40"/>
    <x v="38"/>
    <x v="2"/>
    <s v="AA222"/>
    <x v="105"/>
    <n v="24.27"/>
    <x v="8"/>
    <x v="2"/>
  </r>
  <r>
    <x v="41"/>
    <x v="41"/>
    <x v="39"/>
    <x v="0"/>
    <s v="AA222"/>
    <x v="105"/>
    <n v="11229.01"/>
    <x v="0"/>
    <x v="0"/>
  </r>
  <r>
    <x v="41"/>
    <x v="41"/>
    <x v="39"/>
    <x v="1"/>
    <s v="AA222"/>
    <x v="105"/>
    <n v="15.73"/>
    <x v="0"/>
    <x v="0"/>
  </r>
  <r>
    <x v="41"/>
    <x v="41"/>
    <x v="39"/>
    <x v="2"/>
    <s v="AA222"/>
    <x v="105"/>
    <n v="23.58"/>
    <x v="8"/>
    <x v="2"/>
  </r>
  <r>
    <x v="42"/>
    <x v="42"/>
    <x v="40"/>
    <x v="0"/>
    <s v="AA222"/>
    <x v="105"/>
    <n v="32072.74"/>
    <x v="0"/>
    <x v="0"/>
  </r>
  <r>
    <x v="42"/>
    <x v="42"/>
    <x v="40"/>
    <x v="1"/>
    <s v="AA222"/>
    <x v="105"/>
    <n v="44.9"/>
    <x v="0"/>
    <x v="0"/>
  </r>
  <r>
    <x v="42"/>
    <x v="42"/>
    <x v="40"/>
    <x v="2"/>
    <s v="AA222"/>
    <x v="105"/>
    <n v="67.36"/>
    <x v="8"/>
    <x v="2"/>
  </r>
  <r>
    <x v="43"/>
    <x v="43"/>
    <x v="41"/>
    <x v="0"/>
    <s v="AA222"/>
    <x v="105"/>
    <n v="9844.02"/>
    <x v="0"/>
    <x v="0"/>
  </r>
  <r>
    <x v="43"/>
    <x v="43"/>
    <x v="41"/>
    <x v="1"/>
    <s v="AA222"/>
    <x v="105"/>
    <n v="13.78"/>
    <x v="0"/>
    <x v="0"/>
  </r>
  <r>
    <x v="43"/>
    <x v="43"/>
    <x v="41"/>
    <x v="2"/>
    <s v="AA222"/>
    <x v="105"/>
    <n v="20.67"/>
    <x v="8"/>
    <x v="2"/>
  </r>
  <r>
    <x v="44"/>
    <x v="44"/>
    <x v="42"/>
    <x v="1"/>
    <s v="AA222"/>
    <x v="105"/>
    <n v="-0.01"/>
    <x v="0"/>
    <x v="0"/>
  </r>
  <r>
    <x v="45"/>
    <x v="45"/>
    <x v="43"/>
    <x v="0"/>
    <s v="AA222"/>
    <x v="105"/>
    <n v="23542.38"/>
    <x v="0"/>
    <x v="0"/>
  </r>
  <r>
    <x v="45"/>
    <x v="45"/>
    <x v="43"/>
    <x v="1"/>
    <s v="AA222"/>
    <x v="105"/>
    <n v="32.96"/>
    <x v="0"/>
    <x v="0"/>
  </r>
  <r>
    <x v="45"/>
    <x v="45"/>
    <x v="43"/>
    <x v="2"/>
    <s v="AA222"/>
    <x v="105"/>
    <n v="49.44"/>
    <x v="8"/>
    <x v="2"/>
  </r>
  <r>
    <x v="47"/>
    <x v="47"/>
    <x v="45"/>
    <x v="0"/>
    <s v="AA222"/>
    <x v="105"/>
    <n v="1637.34"/>
    <x v="0"/>
    <x v="0"/>
  </r>
  <r>
    <x v="47"/>
    <x v="47"/>
    <x v="45"/>
    <x v="1"/>
    <s v="AA222"/>
    <x v="105"/>
    <n v="2.29"/>
    <x v="0"/>
    <x v="0"/>
  </r>
  <r>
    <x v="47"/>
    <x v="47"/>
    <x v="45"/>
    <x v="2"/>
    <s v="AA222"/>
    <x v="105"/>
    <n v="3.44"/>
    <x v="8"/>
    <x v="2"/>
  </r>
  <r>
    <x v="51"/>
    <x v="50"/>
    <x v="49"/>
    <x v="0"/>
    <s v="AA222"/>
    <x v="105"/>
    <n v="4305.38"/>
    <x v="0"/>
    <x v="0"/>
  </r>
  <r>
    <x v="51"/>
    <x v="50"/>
    <x v="49"/>
    <x v="1"/>
    <s v="AA222"/>
    <x v="105"/>
    <n v="6.03"/>
    <x v="0"/>
    <x v="0"/>
  </r>
  <r>
    <x v="51"/>
    <x v="50"/>
    <x v="49"/>
    <x v="2"/>
    <s v="AA222"/>
    <x v="105"/>
    <n v="9.0399999999999991"/>
    <x v="8"/>
    <x v="2"/>
  </r>
  <r>
    <x v="52"/>
    <x v="51"/>
    <x v="50"/>
    <x v="0"/>
    <s v="AA222"/>
    <x v="105"/>
    <n v="18434.03"/>
    <x v="0"/>
    <x v="0"/>
  </r>
  <r>
    <x v="52"/>
    <x v="51"/>
    <x v="50"/>
    <x v="1"/>
    <s v="AA222"/>
    <x v="105"/>
    <n v="25.81"/>
    <x v="0"/>
    <x v="0"/>
  </r>
  <r>
    <x v="52"/>
    <x v="51"/>
    <x v="50"/>
    <x v="2"/>
    <s v="AA222"/>
    <x v="105"/>
    <n v="38.72"/>
    <x v="8"/>
    <x v="2"/>
  </r>
  <r>
    <x v="0"/>
    <x v="0"/>
    <x v="0"/>
    <x v="2"/>
    <s v="AA311.4"/>
    <x v="106"/>
    <n v="-290.2"/>
    <x v="8"/>
    <x v="2"/>
  </r>
  <r>
    <x v="17"/>
    <x v="17"/>
    <x v="17"/>
    <x v="2"/>
    <s v="AA311.4"/>
    <x v="106"/>
    <n v="-346.52"/>
    <x v="8"/>
    <x v="2"/>
  </r>
  <r>
    <x v="24"/>
    <x v="24"/>
    <x v="7"/>
    <x v="2"/>
    <s v="AA311.4"/>
    <x v="106"/>
    <n v="-476.84"/>
    <x v="8"/>
    <x v="2"/>
  </r>
  <r>
    <x v="36"/>
    <x v="36"/>
    <x v="34"/>
    <x v="2"/>
    <s v="AA311.4"/>
    <x v="106"/>
    <n v="-346.52"/>
    <x v="8"/>
    <x v="2"/>
  </r>
  <r>
    <x v="39"/>
    <x v="39"/>
    <x v="37"/>
    <x v="2"/>
    <s v="AA311.4"/>
    <x v="106"/>
    <n v="-27.14"/>
    <x v="8"/>
    <x v="2"/>
  </r>
  <r>
    <x v="46"/>
    <x v="46"/>
    <x v="44"/>
    <x v="2"/>
    <s v="AA311.4"/>
    <x v="106"/>
    <n v="-463.76"/>
    <x v="8"/>
    <x v="2"/>
  </r>
  <r>
    <x v="48"/>
    <x v="48"/>
    <x v="46"/>
    <x v="2"/>
    <s v="AA311.4"/>
    <x v="106"/>
    <n v="-471.22"/>
    <x v="8"/>
    <x v="2"/>
  </r>
  <r>
    <x v="1"/>
    <x v="1"/>
    <x v="1"/>
    <x v="0"/>
    <s v="PR011"/>
    <x v="107"/>
    <n v="25566.959999999999"/>
    <x v="0"/>
    <x v="0"/>
  </r>
  <r>
    <x v="1"/>
    <x v="1"/>
    <x v="1"/>
    <x v="2"/>
    <s v="PR011"/>
    <x v="107"/>
    <n v="406.56"/>
    <x v="8"/>
    <x v="2"/>
  </r>
  <r>
    <x v="2"/>
    <x v="2"/>
    <x v="2"/>
    <x v="0"/>
    <s v="PR011"/>
    <x v="107"/>
    <n v="47100"/>
    <x v="0"/>
    <x v="0"/>
  </r>
  <r>
    <x v="2"/>
    <x v="2"/>
    <x v="2"/>
    <x v="2"/>
    <s v="PR011"/>
    <x v="107"/>
    <n v="748.92"/>
    <x v="8"/>
    <x v="2"/>
  </r>
  <r>
    <x v="3"/>
    <x v="3"/>
    <x v="3"/>
    <x v="0"/>
    <s v="PR011"/>
    <x v="107"/>
    <n v="11395.16"/>
    <x v="0"/>
    <x v="0"/>
  </r>
  <r>
    <x v="3"/>
    <x v="3"/>
    <x v="3"/>
    <x v="2"/>
    <s v="PR011"/>
    <x v="107"/>
    <n v="181.18"/>
    <x v="8"/>
    <x v="2"/>
  </r>
  <r>
    <x v="5"/>
    <x v="5"/>
    <x v="5"/>
    <x v="0"/>
    <s v="PR011"/>
    <x v="107"/>
    <n v="45370.13"/>
    <x v="0"/>
    <x v="0"/>
  </r>
  <r>
    <x v="5"/>
    <x v="5"/>
    <x v="5"/>
    <x v="2"/>
    <s v="PR011"/>
    <x v="107"/>
    <n v="721.4"/>
    <x v="8"/>
    <x v="2"/>
  </r>
  <r>
    <x v="6"/>
    <x v="6"/>
    <x v="6"/>
    <x v="0"/>
    <s v="PR011"/>
    <x v="107"/>
    <n v="47100"/>
    <x v="0"/>
    <x v="0"/>
  </r>
  <r>
    <x v="6"/>
    <x v="6"/>
    <x v="6"/>
    <x v="2"/>
    <s v="PR011"/>
    <x v="107"/>
    <n v="748.92"/>
    <x v="8"/>
    <x v="2"/>
  </r>
  <r>
    <x v="7"/>
    <x v="7"/>
    <x v="7"/>
    <x v="0"/>
    <s v="PR011"/>
    <x v="107"/>
    <n v="47100"/>
    <x v="0"/>
    <x v="0"/>
  </r>
  <r>
    <x v="7"/>
    <x v="7"/>
    <x v="7"/>
    <x v="2"/>
    <s v="PR011"/>
    <x v="107"/>
    <n v="748.92"/>
    <x v="8"/>
    <x v="2"/>
  </r>
  <r>
    <x v="8"/>
    <x v="8"/>
    <x v="8"/>
    <x v="0"/>
    <s v="PR011"/>
    <x v="107"/>
    <n v="47100"/>
    <x v="0"/>
    <x v="0"/>
  </r>
  <r>
    <x v="8"/>
    <x v="8"/>
    <x v="8"/>
    <x v="2"/>
    <s v="PR011"/>
    <x v="107"/>
    <n v="748.92"/>
    <x v="8"/>
    <x v="2"/>
  </r>
  <r>
    <x v="9"/>
    <x v="9"/>
    <x v="9"/>
    <x v="0"/>
    <s v="PR011"/>
    <x v="107"/>
    <n v="47100"/>
    <x v="0"/>
    <x v="0"/>
  </r>
  <r>
    <x v="9"/>
    <x v="9"/>
    <x v="9"/>
    <x v="2"/>
    <s v="PR011"/>
    <x v="107"/>
    <n v="748.92"/>
    <x v="8"/>
    <x v="2"/>
  </r>
  <r>
    <x v="10"/>
    <x v="10"/>
    <x v="10"/>
    <x v="0"/>
    <s v="PR011"/>
    <x v="107"/>
    <n v="47100"/>
    <x v="0"/>
    <x v="0"/>
  </r>
  <r>
    <x v="10"/>
    <x v="10"/>
    <x v="10"/>
    <x v="2"/>
    <s v="PR011"/>
    <x v="107"/>
    <n v="748.92"/>
    <x v="8"/>
    <x v="2"/>
  </r>
  <r>
    <x v="11"/>
    <x v="11"/>
    <x v="11"/>
    <x v="0"/>
    <s v="PR011"/>
    <x v="107"/>
    <n v="47100"/>
    <x v="0"/>
    <x v="0"/>
  </r>
  <r>
    <x v="11"/>
    <x v="11"/>
    <x v="11"/>
    <x v="2"/>
    <s v="PR011"/>
    <x v="107"/>
    <n v="748.92"/>
    <x v="8"/>
    <x v="2"/>
  </r>
  <r>
    <x v="12"/>
    <x v="12"/>
    <x v="12"/>
    <x v="0"/>
    <s v="PR011"/>
    <x v="107"/>
    <n v="47100"/>
    <x v="0"/>
    <x v="0"/>
  </r>
  <r>
    <x v="12"/>
    <x v="12"/>
    <x v="12"/>
    <x v="2"/>
    <s v="PR011"/>
    <x v="107"/>
    <n v="748.91"/>
    <x v="8"/>
    <x v="2"/>
  </r>
  <r>
    <x v="14"/>
    <x v="14"/>
    <x v="14"/>
    <x v="0"/>
    <s v="PR011"/>
    <x v="107"/>
    <n v="37312.99"/>
    <x v="0"/>
    <x v="0"/>
  </r>
  <r>
    <x v="14"/>
    <x v="14"/>
    <x v="14"/>
    <x v="2"/>
    <s v="PR011"/>
    <x v="107"/>
    <n v="593.24"/>
    <x v="8"/>
    <x v="2"/>
  </r>
  <r>
    <x v="15"/>
    <x v="15"/>
    <x v="15"/>
    <x v="0"/>
    <s v="PR011"/>
    <x v="107"/>
    <n v="47100"/>
    <x v="0"/>
    <x v="0"/>
  </r>
  <r>
    <x v="15"/>
    <x v="15"/>
    <x v="15"/>
    <x v="2"/>
    <s v="PR011"/>
    <x v="107"/>
    <n v="748.92"/>
    <x v="8"/>
    <x v="2"/>
  </r>
  <r>
    <x v="18"/>
    <x v="18"/>
    <x v="18"/>
    <x v="0"/>
    <s v="PR011"/>
    <x v="107"/>
    <n v="47100"/>
    <x v="0"/>
    <x v="0"/>
  </r>
  <r>
    <x v="18"/>
    <x v="18"/>
    <x v="18"/>
    <x v="2"/>
    <s v="PR011"/>
    <x v="107"/>
    <n v="748.92"/>
    <x v="8"/>
    <x v="2"/>
  </r>
  <r>
    <x v="19"/>
    <x v="19"/>
    <x v="19"/>
    <x v="0"/>
    <s v="PR011"/>
    <x v="107"/>
    <n v="47100"/>
    <x v="0"/>
    <x v="0"/>
  </r>
  <r>
    <x v="19"/>
    <x v="19"/>
    <x v="19"/>
    <x v="2"/>
    <s v="PR011"/>
    <x v="107"/>
    <n v="748.92"/>
    <x v="8"/>
    <x v="2"/>
  </r>
  <r>
    <x v="20"/>
    <x v="20"/>
    <x v="20"/>
    <x v="0"/>
    <s v="PR011"/>
    <x v="107"/>
    <n v="47100"/>
    <x v="0"/>
    <x v="0"/>
  </r>
  <r>
    <x v="20"/>
    <x v="20"/>
    <x v="20"/>
    <x v="2"/>
    <s v="PR011"/>
    <x v="107"/>
    <n v="748.92"/>
    <x v="8"/>
    <x v="2"/>
  </r>
  <r>
    <x v="22"/>
    <x v="22"/>
    <x v="22"/>
    <x v="0"/>
    <s v="PR011"/>
    <x v="107"/>
    <n v="15681.31"/>
    <x v="0"/>
    <x v="0"/>
  </r>
  <r>
    <x v="22"/>
    <x v="22"/>
    <x v="22"/>
    <x v="2"/>
    <s v="PR011"/>
    <x v="107"/>
    <n v="249.34"/>
    <x v="8"/>
    <x v="2"/>
  </r>
  <r>
    <x v="26"/>
    <x v="26"/>
    <x v="25"/>
    <x v="0"/>
    <s v="PR011"/>
    <x v="107"/>
    <n v="47100"/>
    <x v="0"/>
    <x v="0"/>
  </r>
  <r>
    <x v="26"/>
    <x v="26"/>
    <x v="25"/>
    <x v="2"/>
    <s v="PR011"/>
    <x v="107"/>
    <n v="748.92"/>
    <x v="8"/>
    <x v="2"/>
  </r>
  <r>
    <x v="28"/>
    <x v="28"/>
    <x v="27"/>
    <x v="0"/>
    <s v="PR011"/>
    <x v="107"/>
    <n v="9622.58"/>
    <x v="0"/>
    <x v="0"/>
  </r>
  <r>
    <x v="28"/>
    <x v="28"/>
    <x v="27"/>
    <x v="2"/>
    <s v="PR011"/>
    <x v="107"/>
    <n v="153"/>
    <x v="8"/>
    <x v="2"/>
  </r>
  <r>
    <x v="30"/>
    <x v="30"/>
    <x v="28"/>
    <x v="0"/>
    <s v="PR011"/>
    <x v="107"/>
    <n v="47100"/>
    <x v="0"/>
    <x v="0"/>
  </r>
  <r>
    <x v="30"/>
    <x v="30"/>
    <x v="28"/>
    <x v="2"/>
    <s v="PR011"/>
    <x v="107"/>
    <n v="748.92"/>
    <x v="8"/>
    <x v="2"/>
  </r>
  <r>
    <x v="31"/>
    <x v="31"/>
    <x v="29"/>
    <x v="0"/>
    <s v="PR011"/>
    <x v="107"/>
    <n v="47100"/>
    <x v="0"/>
    <x v="0"/>
  </r>
  <r>
    <x v="31"/>
    <x v="31"/>
    <x v="29"/>
    <x v="2"/>
    <s v="PR011"/>
    <x v="107"/>
    <n v="748.92"/>
    <x v="8"/>
    <x v="2"/>
  </r>
  <r>
    <x v="32"/>
    <x v="32"/>
    <x v="30"/>
    <x v="0"/>
    <s v="PR011"/>
    <x v="107"/>
    <n v="47100"/>
    <x v="0"/>
    <x v="0"/>
  </r>
  <r>
    <x v="32"/>
    <x v="32"/>
    <x v="30"/>
    <x v="2"/>
    <s v="PR011"/>
    <x v="107"/>
    <n v="748.92"/>
    <x v="8"/>
    <x v="2"/>
  </r>
  <r>
    <x v="34"/>
    <x v="34"/>
    <x v="32"/>
    <x v="0"/>
    <s v="PR011"/>
    <x v="107"/>
    <n v="47100"/>
    <x v="0"/>
    <x v="0"/>
  </r>
  <r>
    <x v="34"/>
    <x v="34"/>
    <x v="32"/>
    <x v="2"/>
    <s v="PR011"/>
    <x v="107"/>
    <n v="748.92"/>
    <x v="8"/>
    <x v="2"/>
  </r>
  <r>
    <x v="38"/>
    <x v="38"/>
    <x v="36"/>
    <x v="0"/>
    <s v="PR011"/>
    <x v="107"/>
    <n v="47100"/>
    <x v="0"/>
    <x v="0"/>
  </r>
  <r>
    <x v="38"/>
    <x v="38"/>
    <x v="36"/>
    <x v="2"/>
    <s v="PR011"/>
    <x v="107"/>
    <n v="748.92"/>
    <x v="8"/>
    <x v="2"/>
  </r>
  <r>
    <x v="40"/>
    <x v="40"/>
    <x v="38"/>
    <x v="0"/>
    <s v="PR011"/>
    <x v="107"/>
    <n v="47100"/>
    <x v="0"/>
    <x v="0"/>
  </r>
  <r>
    <x v="40"/>
    <x v="40"/>
    <x v="38"/>
    <x v="2"/>
    <s v="PR011"/>
    <x v="107"/>
    <n v="748.92"/>
    <x v="8"/>
    <x v="2"/>
  </r>
  <r>
    <x v="41"/>
    <x v="41"/>
    <x v="39"/>
    <x v="0"/>
    <s v="PR011"/>
    <x v="107"/>
    <n v="47100"/>
    <x v="0"/>
    <x v="0"/>
  </r>
  <r>
    <x v="41"/>
    <x v="41"/>
    <x v="39"/>
    <x v="2"/>
    <s v="PR011"/>
    <x v="107"/>
    <n v="748.92"/>
    <x v="8"/>
    <x v="2"/>
  </r>
  <r>
    <x v="42"/>
    <x v="42"/>
    <x v="40"/>
    <x v="0"/>
    <s v="PR011"/>
    <x v="107"/>
    <n v="47100"/>
    <x v="0"/>
    <x v="0"/>
  </r>
  <r>
    <x v="42"/>
    <x v="42"/>
    <x v="40"/>
    <x v="2"/>
    <s v="PR011"/>
    <x v="107"/>
    <n v="748.92"/>
    <x v="8"/>
    <x v="2"/>
  </r>
  <r>
    <x v="43"/>
    <x v="43"/>
    <x v="41"/>
    <x v="0"/>
    <s v="PR011"/>
    <x v="107"/>
    <n v="47100"/>
    <x v="0"/>
    <x v="0"/>
  </r>
  <r>
    <x v="43"/>
    <x v="43"/>
    <x v="41"/>
    <x v="2"/>
    <s v="PR011"/>
    <x v="107"/>
    <n v="748.92"/>
    <x v="8"/>
    <x v="2"/>
  </r>
  <r>
    <x v="44"/>
    <x v="44"/>
    <x v="42"/>
    <x v="0"/>
    <s v="PR011"/>
    <x v="107"/>
    <n v="45684.82"/>
    <x v="0"/>
    <x v="0"/>
  </r>
  <r>
    <x v="44"/>
    <x v="44"/>
    <x v="42"/>
    <x v="2"/>
    <s v="PR011"/>
    <x v="107"/>
    <n v="726.38"/>
    <x v="8"/>
    <x v="2"/>
  </r>
  <r>
    <x v="45"/>
    <x v="45"/>
    <x v="43"/>
    <x v="0"/>
    <s v="PR011"/>
    <x v="107"/>
    <n v="7850"/>
    <x v="0"/>
    <x v="0"/>
  </r>
  <r>
    <x v="45"/>
    <x v="45"/>
    <x v="43"/>
    <x v="2"/>
    <s v="PR011"/>
    <x v="107"/>
    <n v="124.82"/>
    <x v="8"/>
    <x v="2"/>
  </r>
  <r>
    <x v="47"/>
    <x v="47"/>
    <x v="45"/>
    <x v="0"/>
    <s v="PR011"/>
    <x v="107"/>
    <n v="24689.52"/>
    <x v="0"/>
    <x v="0"/>
  </r>
  <r>
    <x v="47"/>
    <x v="47"/>
    <x v="45"/>
    <x v="2"/>
    <s v="PR011"/>
    <x v="107"/>
    <n v="392.54"/>
    <x v="8"/>
    <x v="2"/>
  </r>
  <r>
    <x v="52"/>
    <x v="51"/>
    <x v="50"/>
    <x v="0"/>
    <s v="PR011"/>
    <x v="107"/>
    <n v="26694.23"/>
    <x v="0"/>
    <x v="0"/>
  </r>
  <r>
    <x v="52"/>
    <x v="51"/>
    <x v="50"/>
    <x v="2"/>
    <s v="PR011"/>
    <x v="107"/>
    <n v="424.45"/>
    <x v="8"/>
    <x v="2"/>
  </r>
  <r>
    <x v="1"/>
    <x v="1"/>
    <x v="1"/>
    <x v="0"/>
    <s v="PR050"/>
    <x v="108"/>
    <n v="17040.32"/>
    <x v="0"/>
    <x v="0"/>
  </r>
  <r>
    <x v="1"/>
    <x v="1"/>
    <x v="1"/>
    <x v="1"/>
    <s v="PR050"/>
    <x v="108"/>
    <n v="204.46"/>
    <x v="0"/>
    <x v="0"/>
  </r>
  <r>
    <x v="1"/>
    <x v="1"/>
    <x v="1"/>
    <x v="2"/>
    <s v="PR050"/>
    <x v="108"/>
    <n v="204.46"/>
    <x v="8"/>
    <x v="2"/>
  </r>
  <r>
    <x v="2"/>
    <x v="2"/>
    <x v="2"/>
    <x v="0"/>
    <s v="PR050"/>
    <x v="108"/>
    <n v="14268.02"/>
    <x v="0"/>
    <x v="0"/>
  </r>
  <r>
    <x v="2"/>
    <x v="2"/>
    <x v="2"/>
    <x v="1"/>
    <s v="PR050"/>
    <x v="108"/>
    <n v="171.2"/>
    <x v="0"/>
    <x v="0"/>
  </r>
  <r>
    <x v="2"/>
    <x v="2"/>
    <x v="2"/>
    <x v="2"/>
    <s v="PR050"/>
    <x v="108"/>
    <n v="171.2"/>
    <x v="8"/>
    <x v="2"/>
  </r>
  <r>
    <x v="3"/>
    <x v="3"/>
    <x v="3"/>
    <x v="0"/>
    <s v="PR050"/>
    <x v="108"/>
    <n v="3681.79"/>
    <x v="0"/>
    <x v="0"/>
  </r>
  <r>
    <x v="3"/>
    <x v="3"/>
    <x v="3"/>
    <x v="1"/>
    <s v="PR050"/>
    <x v="108"/>
    <n v="44.18"/>
    <x v="0"/>
    <x v="0"/>
  </r>
  <r>
    <x v="3"/>
    <x v="3"/>
    <x v="3"/>
    <x v="2"/>
    <s v="PR050"/>
    <x v="108"/>
    <n v="44.18"/>
    <x v="8"/>
    <x v="2"/>
  </r>
  <r>
    <x v="5"/>
    <x v="5"/>
    <x v="5"/>
    <x v="1"/>
    <s v="PR050"/>
    <x v="108"/>
    <n v="0.01"/>
    <x v="0"/>
    <x v="0"/>
  </r>
  <r>
    <x v="5"/>
    <x v="5"/>
    <x v="5"/>
    <x v="2"/>
    <s v="PR050"/>
    <x v="108"/>
    <n v="0.01"/>
    <x v="8"/>
    <x v="2"/>
  </r>
  <r>
    <x v="6"/>
    <x v="6"/>
    <x v="6"/>
    <x v="0"/>
    <s v="PR050"/>
    <x v="108"/>
    <n v="13609.03"/>
    <x v="0"/>
    <x v="0"/>
  </r>
  <r>
    <x v="6"/>
    <x v="6"/>
    <x v="6"/>
    <x v="1"/>
    <s v="PR050"/>
    <x v="108"/>
    <n v="163.31"/>
    <x v="0"/>
    <x v="0"/>
  </r>
  <r>
    <x v="6"/>
    <x v="6"/>
    <x v="6"/>
    <x v="2"/>
    <s v="PR050"/>
    <x v="108"/>
    <n v="163.31"/>
    <x v="8"/>
    <x v="2"/>
  </r>
  <r>
    <x v="7"/>
    <x v="7"/>
    <x v="7"/>
    <x v="0"/>
    <s v="PR050"/>
    <x v="108"/>
    <n v="6622.94"/>
    <x v="0"/>
    <x v="0"/>
  </r>
  <r>
    <x v="7"/>
    <x v="7"/>
    <x v="7"/>
    <x v="1"/>
    <s v="PR050"/>
    <x v="108"/>
    <n v="79.5"/>
    <x v="0"/>
    <x v="0"/>
  </r>
  <r>
    <x v="7"/>
    <x v="7"/>
    <x v="7"/>
    <x v="2"/>
    <s v="PR050"/>
    <x v="108"/>
    <n v="79.5"/>
    <x v="8"/>
    <x v="2"/>
  </r>
  <r>
    <x v="8"/>
    <x v="8"/>
    <x v="8"/>
    <x v="0"/>
    <s v="PR050"/>
    <x v="108"/>
    <n v="88462.2"/>
    <x v="0"/>
    <x v="0"/>
  </r>
  <r>
    <x v="8"/>
    <x v="8"/>
    <x v="8"/>
    <x v="1"/>
    <s v="PR050"/>
    <x v="108"/>
    <n v="1061.54"/>
    <x v="0"/>
    <x v="0"/>
  </r>
  <r>
    <x v="8"/>
    <x v="8"/>
    <x v="8"/>
    <x v="2"/>
    <s v="PR050"/>
    <x v="108"/>
    <n v="1061.54"/>
    <x v="8"/>
    <x v="2"/>
  </r>
  <r>
    <x v="9"/>
    <x v="9"/>
    <x v="9"/>
    <x v="0"/>
    <s v="PR050"/>
    <x v="108"/>
    <n v="15889.04"/>
    <x v="0"/>
    <x v="0"/>
  </r>
  <r>
    <x v="9"/>
    <x v="9"/>
    <x v="9"/>
    <x v="1"/>
    <s v="PR050"/>
    <x v="108"/>
    <n v="190.66"/>
    <x v="0"/>
    <x v="0"/>
  </r>
  <r>
    <x v="9"/>
    <x v="9"/>
    <x v="9"/>
    <x v="2"/>
    <s v="PR050"/>
    <x v="108"/>
    <n v="190.66"/>
    <x v="8"/>
    <x v="2"/>
  </r>
  <r>
    <x v="10"/>
    <x v="10"/>
    <x v="10"/>
    <x v="0"/>
    <s v="PR050"/>
    <x v="108"/>
    <n v="89114.53"/>
    <x v="0"/>
    <x v="0"/>
  </r>
  <r>
    <x v="10"/>
    <x v="10"/>
    <x v="10"/>
    <x v="1"/>
    <s v="PR050"/>
    <x v="108"/>
    <n v="1069.3699999999999"/>
    <x v="0"/>
    <x v="0"/>
  </r>
  <r>
    <x v="10"/>
    <x v="10"/>
    <x v="10"/>
    <x v="2"/>
    <s v="PR050"/>
    <x v="108"/>
    <n v="1069.3699999999999"/>
    <x v="8"/>
    <x v="2"/>
  </r>
  <r>
    <x v="11"/>
    <x v="11"/>
    <x v="11"/>
    <x v="0"/>
    <s v="PR050"/>
    <x v="108"/>
    <n v="24002.79"/>
    <x v="0"/>
    <x v="0"/>
  </r>
  <r>
    <x v="11"/>
    <x v="11"/>
    <x v="11"/>
    <x v="1"/>
    <s v="PR050"/>
    <x v="108"/>
    <n v="288.02999999999997"/>
    <x v="0"/>
    <x v="0"/>
  </r>
  <r>
    <x v="11"/>
    <x v="11"/>
    <x v="11"/>
    <x v="2"/>
    <s v="PR050"/>
    <x v="108"/>
    <n v="288.02999999999997"/>
    <x v="8"/>
    <x v="2"/>
  </r>
  <r>
    <x v="12"/>
    <x v="12"/>
    <x v="12"/>
    <x v="0"/>
    <s v="PR050"/>
    <x v="108"/>
    <n v="9565.3700000000008"/>
    <x v="0"/>
    <x v="0"/>
  </r>
  <r>
    <x v="12"/>
    <x v="12"/>
    <x v="12"/>
    <x v="1"/>
    <s v="PR050"/>
    <x v="108"/>
    <n v="114.81"/>
    <x v="0"/>
    <x v="0"/>
  </r>
  <r>
    <x v="12"/>
    <x v="12"/>
    <x v="12"/>
    <x v="2"/>
    <s v="PR050"/>
    <x v="108"/>
    <n v="114.81"/>
    <x v="8"/>
    <x v="2"/>
  </r>
  <r>
    <x v="14"/>
    <x v="14"/>
    <x v="14"/>
    <x v="0"/>
    <s v="PR050"/>
    <x v="108"/>
    <n v="3141.13"/>
    <x v="0"/>
    <x v="0"/>
  </r>
  <r>
    <x v="14"/>
    <x v="14"/>
    <x v="14"/>
    <x v="1"/>
    <s v="PR050"/>
    <x v="108"/>
    <n v="37.700000000000003"/>
    <x v="0"/>
    <x v="0"/>
  </r>
  <r>
    <x v="14"/>
    <x v="14"/>
    <x v="14"/>
    <x v="2"/>
    <s v="PR050"/>
    <x v="108"/>
    <n v="37.700000000000003"/>
    <x v="8"/>
    <x v="2"/>
  </r>
  <r>
    <x v="15"/>
    <x v="15"/>
    <x v="15"/>
    <x v="0"/>
    <s v="PR050"/>
    <x v="108"/>
    <n v="14346.32"/>
    <x v="0"/>
    <x v="0"/>
  </r>
  <r>
    <x v="15"/>
    <x v="15"/>
    <x v="15"/>
    <x v="1"/>
    <s v="PR050"/>
    <x v="108"/>
    <n v="172.16"/>
    <x v="0"/>
    <x v="0"/>
  </r>
  <r>
    <x v="15"/>
    <x v="15"/>
    <x v="15"/>
    <x v="2"/>
    <s v="PR050"/>
    <x v="108"/>
    <n v="172.16"/>
    <x v="8"/>
    <x v="2"/>
  </r>
  <r>
    <x v="18"/>
    <x v="18"/>
    <x v="18"/>
    <x v="0"/>
    <s v="PR050"/>
    <x v="108"/>
    <n v="49573.07"/>
    <x v="0"/>
    <x v="0"/>
  </r>
  <r>
    <x v="18"/>
    <x v="18"/>
    <x v="18"/>
    <x v="1"/>
    <s v="PR050"/>
    <x v="108"/>
    <n v="594.88"/>
    <x v="0"/>
    <x v="0"/>
  </r>
  <r>
    <x v="18"/>
    <x v="18"/>
    <x v="18"/>
    <x v="2"/>
    <s v="PR050"/>
    <x v="108"/>
    <n v="594.88"/>
    <x v="8"/>
    <x v="2"/>
  </r>
  <r>
    <x v="19"/>
    <x v="19"/>
    <x v="19"/>
    <x v="0"/>
    <s v="PR050"/>
    <x v="108"/>
    <n v="16821.650000000001"/>
    <x v="0"/>
    <x v="0"/>
  </r>
  <r>
    <x v="19"/>
    <x v="19"/>
    <x v="19"/>
    <x v="1"/>
    <s v="PR050"/>
    <x v="108"/>
    <n v="201.86"/>
    <x v="0"/>
    <x v="0"/>
  </r>
  <r>
    <x v="19"/>
    <x v="19"/>
    <x v="19"/>
    <x v="2"/>
    <s v="PR050"/>
    <x v="108"/>
    <n v="201.86"/>
    <x v="8"/>
    <x v="2"/>
  </r>
  <r>
    <x v="20"/>
    <x v="20"/>
    <x v="20"/>
    <x v="0"/>
    <s v="PR050"/>
    <x v="108"/>
    <n v="21395.59"/>
    <x v="0"/>
    <x v="0"/>
  </r>
  <r>
    <x v="20"/>
    <x v="20"/>
    <x v="20"/>
    <x v="1"/>
    <s v="PR050"/>
    <x v="108"/>
    <n v="256.76"/>
    <x v="0"/>
    <x v="0"/>
  </r>
  <r>
    <x v="20"/>
    <x v="20"/>
    <x v="20"/>
    <x v="2"/>
    <s v="PR050"/>
    <x v="108"/>
    <n v="256.76"/>
    <x v="8"/>
    <x v="2"/>
  </r>
  <r>
    <x v="22"/>
    <x v="22"/>
    <x v="22"/>
    <x v="0"/>
    <s v="PR050"/>
    <x v="108"/>
    <n v="9791.5300000000007"/>
    <x v="0"/>
    <x v="0"/>
  </r>
  <r>
    <x v="22"/>
    <x v="22"/>
    <x v="22"/>
    <x v="1"/>
    <s v="PR050"/>
    <x v="108"/>
    <n v="117.49"/>
    <x v="0"/>
    <x v="0"/>
  </r>
  <r>
    <x v="22"/>
    <x v="22"/>
    <x v="22"/>
    <x v="2"/>
    <s v="PR050"/>
    <x v="108"/>
    <n v="117.49"/>
    <x v="8"/>
    <x v="2"/>
  </r>
  <r>
    <x v="26"/>
    <x v="26"/>
    <x v="25"/>
    <x v="0"/>
    <s v="PR050"/>
    <x v="108"/>
    <n v="12472.69"/>
    <x v="0"/>
    <x v="0"/>
  </r>
  <r>
    <x v="26"/>
    <x v="26"/>
    <x v="25"/>
    <x v="1"/>
    <s v="PR050"/>
    <x v="108"/>
    <n v="149.66"/>
    <x v="0"/>
    <x v="0"/>
  </r>
  <r>
    <x v="26"/>
    <x v="26"/>
    <x v="25"/>
    <x v="2"/>
    <s v="PR050"/>
    <x v="108"/>
    <n v="149.66"/>
    <x v="8"/>
    <x v="2"/>
  </r>
  <r>
    <x v="28"/>
    <x v="28"/>
    <x v="27"/>
    <x v="0"/>
    <s v="PR050"/>
    <x v="108"/>
    <n v="1052.3699999999999"/>
    <x v="0"/>
    <x v="0"/>
  </r>
  <r>
    <x v="28"/>
    <x v="28"/>
    <x v="27"/>
    <x v="1"/>
    <s v="PR050"/>
    <x v="108"/>
    <n v="12.63"/>
    <x v="0"/>
    <x v="0"/>
  </r>
  <r>
    <x v="28"/>
    <x v="28"/>
    <x v="27"/>
    <x v="2"/>
    <s v="PR050"/>
    <x v="108"/>
    <n v="12.63"/>
    <x v="8"/>
    <x v="2"/>
  </r>
  <r>
    <x v="30"/>
    <x v="30"/>
    <x v="28"/>
    <x v="0"/>
    <s v="PR050"/>
    <x v="108"/>
    <n v="14504.34"/>
    <x v="0"/>
    <x v="0"/>
  </r>
  <r>
    <x v="30"/>
    <x v="30"/>
    <x v="28"/>
    <x v="1"/>
    <s v="PR050"/>
    <x v="108"/>
    <n v="174.04"/>
    <x v="0"/>
    <x v="0"/>
  </r>
  <r>
    <x v="30"/>
    <x v="30"/>
    <x v="28"/>
    <x v="2"/>
    <s v="PR050"/>
    <x v="108"/>
    <n v="174.04"/>
    <x v="8"/>
    <x v="2"/>
  </r>
  <r>
    <x v="31"/>
    <x v="31"/>
    <x v="29"/>
    <x v="0"/>
    <s v="PR050"/>
    <x v="108"/>
    <n v="12293.65"/>
    <x v="0"/>
    <x v="0"/>
  </r>
  <r>
    <x v="31"/>
    <x v="31"/>
    <x v="29"/>
    <x v="1"/>
    <s v="PR050"/>
    <x v="108"/>
    <n v="147.53"/>
    <x v="0"/>
    <x v="0"/>
  </r>
  <r>
    <x v="31"/>
    <x v="31"/>
    <x v="29"/>
    <x v="2"/>
    <s v="PR050"/>
    <x v="108"/>
    <n v="147.53"/>
    <x v="8"/>
    <x v="2"/>
  </r>
  <r>
    <x v="32"/>
    <x v="32"/>
    <x v="30"/>
    <x v="0"/>
    <s v="PR050"/>
    <x v="108"/>
    <n v="1874.5"/>
    <x v="0"/>
    <x v="0"/>
  </r>
  <r>
    <x v="32"/>
    <x v="32"/>
    <x v="30"/>
    <x v="1"/>
    <s v="PR050"/>
    <x v="108"/>
    <n v="22.51"/>
    <x v="0"/>
    <x v="0"/>
  </r>
  <r>
    <x v="32"/>
    <x v="32"/>
    <x v="30"/>
    <x v="2"/>
    <s v="PR050"/>
    <x v="108"/>
    <n v="22.51"/>
    <x v="8"/>
    <x v="2"/>
  </r>
  <r>
    <x v="34"/>
    <x v="34"/>
    <x v="32"/>
    <x v="0"/>
    <s v="PR050"/>
    <x v="108"/>
    <n v="23285.62"/>
    <x v="0"/>
    <x v="0"/>
  </r>
  <r>
    <x v="34"/>
    <x v="34"/>
    <x v="32"/>
    <x v="1"/>
    <s v="PR050"/>
    <x v="108"/>
    <n v="279.42"/>
    <x v="0"/>
    <x v="0"/>
  </r>
  <r>
    <x v="34"/>
    <x v="34"/>
    <x v="32"/>
    <x v="2"/>
    <s v="PR050"/>
    <x v="108"/>
    <n v="279.42"/>
    <x v="8"/>
    <x v="2"/>
  </r>
  <r>
    <x v="38"/>
    <x v="38"/>
    <x v="36"/>
    <x v="0"/>
    <s v="PR050"/>
    <x v="108"/>
    <n v="91640.99"/>
    <x v="0"/>
    <x v="0"/>
  </r>
  <r>
    <x v="38"/>
    <x v="38"/>
    <x v="36"/>
    <x v="1"/>
    <s v="PR050"/>
    <x v="108"/>
    <n v="1099.69"/>
    <x v="0"/>
    <x v="0"/>
  </r>
  <r>
    <x v="38"/>
    <x v="38"/>
    <x v="36"/>
    <x v="2"/>
    <s v="PR050"/>
    <x v="108"/>
    <n v="1099.69"/>
    <x v="8"/>
    <x v="2"/>
  </r>
  <r>
    <x v="40"/>
    <x v="40"/>
    <x v="38"/>
    <x v="0"/>
    <s v="PR050"/>
    <x v="108"/>
    <n v="11561.4"/>
    <x v="0"/>
    <x v="0"/>
  </r>
  <r>
    <x v="40"/>
    <x v="40"/>
    <x v="38"/>
    <x v="1"/>
    <s v="PR050"/>
    <x v="108"/>
    <n v="138.75"/>
    <x v="0"/>
    <x v="0"/>
  </r>
  <r>
    <x v="40"/>
    <x v="40"/>
    <x v="38"/>
    <x v="2"/>
    <s v="PR050"/>
    <x v="108"/>
    <n v="138.75"/>
    <x v="8"/>
    <x v="2"/>
  </r>
  <r>
    <x v="41"/>
    <x v="41"/>
    <x v="39"/>
    <x v="0"/>
    <s v="PR050"/>
    <x v="108"/>
    <n v="11229.01"/>
    <x v="0"/>
    <x v="0"/>
  </r>
  <r>
    <x v="41"/>
    <x v="41"/>
    <x v="39"/>
    <x v="1"/>
    <s v="PR050"/>
    <x v="108"/>
    <n v="134.76"/>
    <x v="0"/>
    <x v="0"/>
  </r>
  <r>
    <x v="41"/>
    <x v="41"/>
    <x v="39"/>
    <x v="2"/>
    <s v="PR050"/>
    <x v="108"/>
    <n v="134.76"/>
    <x v="8"/>
    <x v="2"/>
  </r>
  <r>
    <x v="42"/>
    <x v="42"/>
    <x v="40"/>
    <x v="0"/>
    <s v="PR050"/>
    <x v="108"/>
    <n v="32072.74"/>
    <x v="0"/>
    <x v="0"/>
  </r>
  <r>
    <x v="42"/>
    <x v="42"/>
    <x v="40"/>
    <x v="1"/>
    <s v="PR050"/>
    <x v="108"/>
    <n v="384.87"/>
    <x v="0"/>
    <x v="0"/>
  </r>
  <r>
    <x v="42"/>
    <x v="42"/>
    <x v="40"/>
    <x v="2"/>
    <s v="PR050"/>
    <x v="108"/>
    <n v="384.87"/>
    <x v="8"/>
    <x v="2"/>
  </r>
  <r>
    <x v="43"/>
    <x v="43"/>
    <x v="41"/>
    <x v="0"/>
    <s v="PR050"/>
    <x v="108"/>
    <n v="9844.02"/>
    <x v="0"/>
    <x v="0"/>
  </r>
  <r>
    <x v="43"/>
    <x v="43"/>
    <x v="41"/>
    <x v="1"/>
    <s v="PR050"/>
    <x v="108"/>
    <n v="118.15"/>
    <x v="0"/>
    <x v="0"/>
  </r>
  <r>
    <x v="43"/>
    <x v="43"/>
    <x v="41"/>
    <x v="2"/>
    <s v="PR050"/>
    <x v="108"/>
    <n v="118.15"/>
    <x v="8"/>
    <x v="2"/>
  </r>
  <r>
    <x v="44"/>
    <x v="44"/>
    <x v="42"/>
    <x v="1"/>
    <s v="PR050"/>
    <x v="108"/>
    <n v="0.01"/>
    <x v="0"/>
    <x v="0"/>
  </r>
  <r>
    <x v="44"/>
    <x v="44"/>
    <x v="42"/>
    <x v="2"/>
    <s v="PR050"/>
    <x v="108"/>
    <n v="0.01"/>
    <x v="8"/>
    <x v="2"/>
  </r>
  <r>
    <x v="45"/>
    <x v="45"/>
    <x v="43"/>
    <x v="0"/>
    <s v="PR050"/>
    <x v="108"/>
    <n v="23542.38"/>
    <x v="0"/>
    <x v="0"/>
  </r>
  <r>
    <x v="45"/>
    <x v="45"/>
    <x v="43"/>
    <x v="1"/>
    <s v="PR050"/>
    <x v="108"/>
    <n v="282.51"/>
    <x v="0"/>
    <x v="0"/>
  </r>
  <r>
    <x v="45"/>
    <x v="45"/>
    <x v="43"/>
    <x v="2"/>
    <s v="PR050"/>
    <x v="108"/>
    <n v="282.51"/>
    <x v="8"/>
    <x v="2"/>
  </r>
  <r>
    <x v="47"/>
    <x v="47"/>
    <x v="45"/>
    <x v="0"/>
    <s v="PR050"/>
    <x v="108"/>
    <n v="1637.34"/>
    <x v="0"/>
    <x v="0"/>
  </r>
  <r>
    <x v="47"/>
    <x v="47"/>
    <x v="45"/>
    <x v="1"/>
    <s v="PR050"/>
    <x v="108"/>
    <n v="19.649999999999999"/>
    <x v="0"/>
    <x v="0"/>
  </r>
  <r>
    <x v="47"/>
    <x v="47"/>
    <x v="45"/>
    <x v="2"/>
    <s v="PR050"/>
    <x v="108"/>
    <n v="19.649999999999999"/>
    <x v="8"/>
    <x v="2"/>
  </r>
  <r>
    <x v="52"/>
    <x v="51"/>
    <x v="50"/>
    <x v="0"/>
    <s v="PR050"/>
    <x v="108"/>
    <n v="18434.03"/>
    <x v="0"/>
    <x v="0"/>
  </r>
  <r>
    <x v="52"/>
    <x v="51"/>
    <x v="50"/>
    <x v="1"/>
    <s v="PR050"/>
    <x v="108"/>
    <n v="221.21"/>
    <x v="0"/>
    <x v="0"/>
  </r>
  <r>
    <x v="52"/>
    <x v="51"/>
    <x v="50"/>
    <x v="2"/>
    <s v="PR050"/>
    <x v="108"/>
    <n v="221.21"/>
    <x v="8"/>
    <x v="2"/>
  </r>
  <r>
    <x v="0"/>
    <x v="0"/>
    <x v="0"/>
    <x v="0"/>
    <s v="PR111"/>
    <x v="109"/>
    <n v="4828.92"/>
    <x v="0"/>
    <x v="0"/>
  </r>
  <r>
    <x v="0"/>
    <x v="0"/>
    <x v="0"/>
    <x v="2"/>
    <s v="PR111"/>
    <x v="109"/>
    <n v="91.28"/>
    <x v="8"/>
    <x v="2"/>
  </r>
  <r>
    <x v="4"/>
    <x v="4"/>
    <x v="4"/>
    <x v="0"/>
    <s v="PR111"/>
    <x v="109"/>
    <n v="19283.740000000002"/>
    <x v="0"/>
    <x v="0"/>
  </r>
  <r>
    <x v="4"/>
    <x v="4"/>
    <x v="4"/>
    <x v="2"/>
    <s v="PR111"/>
    <x v="109"/>
    <n v="364.47"/>
    <x v="8"/>
    <x v="2"/>
  </r>
  <r>
    <x v="13"/>
    <x v="13"/>
    <x v="13"/>
    <x v="0"/>
    <s v="PR111"/>
    <x v="109"/>
    <n v="27357.07"/>
    <x v="0"/>
    <x v="0"/>
  </r>
  <r>
    <x v="13"/>
    <x v="13"/>
    <x v="13"/>
    <x v="2"/>
    <s v="PR111"/>
    <x v="109"/>
    <n v="517.04"/>
    <x v="8"/>
    <x v="2"/>
  </r>
  <r>
    <x v="16"/>
    <x v="16"/>
    <x v="16"/>
    <x v="0"/>
    <s v="PR111"/>
    <x v="109"/>
    <n v="31999.98"/>
    <x v="0"/>
    <x v="0"/>
  </r>
  <r>
    <x v="16"/>
    <x v="16"/>
    <x v="16"/>
    <x v="2"/>
    <s v="PR111"/>
    <x v="109"/>
    <n v="604.78"/>
    <x v="8"/>
    <x v="2"/>
  </r>
  <r>
    <x v="17"/>
    <x v="17"/>
    <x v="17"/>
    <x v="0"/>
    <s v="PR111"/>
    <x v="109"/>
    <n v="5765.88"/>
    <x v="0"/>
    <x v="0"/>
  </r>
  <r>
    <x v="17"/>
    <x v="17"/>
    <x v="17"/>
    <x v="2"/>
    <s v="PR111"/>
    <x v="109"/>
    <n v="108.96"/>
    <x v="8"/>
    <x v="2"/>
  </r>
  <r>
    <x v="21"/>
    <x v="21"/>
    <x v="21"/>
    <x v="0"/>
    <s v="PR111"/>
    <x v="109"/>
    <n v="38087.230000000003"/>
    <x v="0"/>
    <x v="0"/>
  </r>
  <r>
    <x v="21"/>
    <x v="21"/>
    <x v="21"/>
    <x v="2"/>
    <s v="PR111"/>
    <x v="109"/>
    <n v="719.83"/>
    <x v="8"/>
    <x v="2"/>
  </r>
  <r>
    <x v="23"/>
    <x v="23"/>
    <x v="23"/>
    <x v="0"/>
    <s v="PR111"/>
    <x v="109"/>
    <n v="39845.279999999999"/>
    <x v="0"/>
    <x v="0"/>
  </r>
  <r>
    <x v="23"/>
    <x v="23"/>
    <x v="23"/>
    <x v="2"/>
    <s v="PR111"/>
    <x v="109"/>
    <n v="753.1"/>
    <x v="8"/>
    <x v="2"/>
  </r>
  <r>
    <x v="24"/>
    <x v="24"/>
    <x v="7"/>
    <x v="0"/>
    <s v="PR111"/>
    <x v="109"/>
    <n v="7934.12"/>
    <x v="0"/>
    <x v="0"/>
  </r>
  <r>
    <x v="24"/>
    <x v="24"/>
    <x v="7"/>
    <x v="2"/>
    <s v="PR111"/>
    <x v="109"/>
    <n v="149.96"/>
    <x v="8"/>
    <x v="2"/>
  </r>
  <r>
    <x v="25"/>
    <x v="25"/>
    <x v="24"/>
    <x v="0"/>
    <s v="PR111"/>
    <x v="109"/>
    <n v="38855.14"/>
    <x v="0"/>
    <x v="0"/>
  </r>
  <r>
    <x v="25"/>
    <x v="25"/>
    <x v="24"/>
    <x v="2"/>
    <s v="PR111"/>
    <x v="109"/>
    <n v="734.36"/>
    <x v="8"/>
    <x v="2"/>
  </r>
  <r>
    <x v="29"/>
    <x v="29"/>
    <x v="6"/>
    <x v="0"/>
    <s v="PR111"/>
    <x v="109"/>
    <n v="38311.83"/>
    <x v="0"/>
    <x v="0"/>
  </r>
  <r>
    <x v="29"/>
    <x v="29"/>
    <x v="6"/>
    <x v="2"/>
    <s v="PR111"/>
    <x v="109"/>
    <n v="724.06"/>
    <x v="8"/>
    <x v="2"/>
  </r>
  <r>
    <x v="33"/>
    <x v="33"/>
    <x v="31"/>
    <x v="0"/>
    <s v="PR111"/>
    <x v="109"/>
    <n v="43774.64"/>
    <x v="0"/>
    <x v="0"/>
  </r>
  <r>
    <x v="33"/>
    <x v="33"/>
    <x v="31"/>
    <x v="2"/>
    <s v="PR111"/>
    <x v="109"/>
    <n v="827.33"/>
    <x v="8"/>
    <x v="2"/>
  </r>
  <r>
    <x v="35"/>
    <x v="35"/>
    <x v="33"/>
    <x v="0"/>
    <s v="PR111"/>
    <x v="109"/>
    <n v="38315.9"/>
    <x v="0"/>
    <x v="0"/>
  </r>
  <r>
    <x v="35"/>
    <x v="35"/>
    <x v="33"/>
    <x v="2"/>
    <s v="PR111"/>
    <x v="109"/>
    <n v="724.14"/>
    <x v="8"/>
    <x v="2"/>
  </r>
  <r>
    <x v="36"/>
    <x v="36"/>
    <x v="34"/>
    <x v="0"/>
    <s v="PR111"/>
    <x v="109"/>
    <n v="5765.88"/>
    <x v="0"/>
    <x v="0"/>
  </r>
  <r>
    <x v="36"/>
    <x v="36"/>
    <x v="34"/>
    <x v="2"/>
    <s v="PR111"/>
    <x v="109"/>
    <n v="108.96"/>
    <x v="8"/>
    <x v="2"/>
  </r>
  <r>
    <x v="37"/>
    <x v="37"/>
    <x v="35"/>
    <x v="0"/>
    <s v="PR111"/>
    <x v="109"/>
    <n v="38778.019999999997"/>
    <x v="0"/>
    <x v="0"/>
  </r>
  <r>
    <x v="37"/>
    <x v="37"/>
    <x v="35"/>
    <x v="2"/>
    <s v="PR111"/>
    <x v="109"/>
    <n v="732.91"/>
    <x v="8"/>
    <x v="2"/>
  </r>
  <r>
    <x v="39"/>
    <x v="39"/>
    <x v="37"/>
    <x v="0"/>
    <s v="PR111"/>
    <x v="109"/>
    <n v="18490.8"/>
    <x v="0"/>
    <x v="0"/>
  </r>
  <r>
    <x v="39"/>
    <x v="39"/>
    <x v="37"/>
    <x v="2"/>
    <s v="PR111"/>
    <x v="109"/>
    <n v="349.46"/>
    <x v="8"/>
    <x v="2"/>
  </r>
  <r>
    <x v="46"/>
    <x v="46"/>
    <x v="44"/>
    <x v="0"/>
    <s v="PR111"/>
    <x v="109"/>
    <n v="7716.54"/>
    <x v="0"/>
    <x v="0"/>
  </r>
  <r>
    <x v="46"/>
    <x v="46"/>
    <x v="44"/>
    <x v="2"/>
    <s v="PR111"/>
    <x v="109"/>
    <n v="145.84"/>
    <x v="8"/>
    <x v="2"/>
  </r>
  <r>
    <x v="48"/>
    <x v="48"/>
    <x v="46"/>
    <x v="0"/>
    <s v="PR111"/>
    <x v="109"/>
    <n v="7840.63"/>
    <x v="0"/>
    <x v="0"/>
  </r>
  <r>
    <x v="48"/>
    <x v="48"/>
    <x v="46"/>
    <x v="2"/>
    <s v="PR111"/>
    <x v="109"/>
    <n v="148.19"/>
    <x v="8"/>
    <x v="2"/>
  </r>
  <r>
    <x v="49"/>
    <x v="49"/>
    <x v="47"/>
    <x v="0"/>
    <s v="PR111"/>
    <x v="109"/>
    <n v="3399.94"/>
    <x v="0"/>
    <x v="0"/>
  </r>
  <r>
    <x v="49"/>
    <x v="49"/>
    <x v="47"/>
    <x v="2"/>
    <s v="PR111"/>
    <x v="109"/>
    <n v="64.260000000000005"/>
    <x v="8"/>
    <x v="2"/>
  </r>
  <r>
    <x v="50"/>
    <x v="49"/>
    <x v="48"/>
    <x v="0"/>
    <s v="PR111"/>
    <x v="109"/>
    <n v="36818.67"/>
    <x v="0"/>
    <x v="0"/>
  </r>
  <r>
    <x v="50"/>
    <x v="49"/>
    <x v="48"/>
    <x v="2"/>
    <s v="PR111"/>
    <x v="109"/>
    <n v="695.85"/>
    <x v="8"/>
    <x v="2"/>
  </r>
  <r>
    <x v="51"/>
    <x v="50"/>
    <x v="49"/>
    <x v="0"/>
    <s v="PR111"/>
    <x v="109"/>
    <n v="1772.58"/>
    <x v="0"/>
    <x v="0"/>
  </r>
  <r>
    <x v="51"/>
    <x v="50"/>
    <x v="49"/>
    <x v="2"/>
    <s v="PR111"/>
    <x v="109"/>
    <n v="33.5"/>
    <x v="8"/>
    <x v="2"/>
  </r>
  <r>
    <x v="53"/>
    <x v="52"/>
    <x v="48"/>
    <x v="0"/>
    <s v="PR111"/>
    <x v="109"/>
    <n v="6819.94"/>
    <x v="0"/>
    <x v="0"/>
  </r>
  <r>
    <x v="53"/>
    <x v="52"/>
    <x v="48"/>
    <x v="2"/>
    <s v="PR111"/>
    <x v="109"/>
    <n v="128.88999999999999"/>
    <x v="8"/>
    <x v="2"/>
  </r>
  <r>
    <x v="22"/>
    <x v="22"/>
    <x v="22"/>
    <x v="0"/>
    <s v="PR290"/>
    <x v="110"/>
    <n v="-29.87"/>
    <x v="0"/>
    <x v="0"/>
  </r>
  <r>
    <x v="22"/>
    <x v="22"/>
    <x v="22"/>
    <x v="1"/>
    <s v="PR290"/>
    <x v="110"/>
    <n v="-29.87"/>
    <x v="0"/>
    <x v="0"/>
  </r>
  <r>
    <x v="22"/>
    <x v="22"/>
    <x v="22"/>
    <x v="2"/>
    <s v="PR290"/>
    <x v="110"/>
    <n v="-29.86"/>
    <x v="8"/>
    <x v="2"/>
  </r>
  <r>
    <x v="22"/>
    <x v="22"/>
    <x v="22"/>
    <x v="0"/>
    <s v="PR290"/>
    <x v="111"/>
    <n v="-4.2699999999999996"/>
    <x v="0"/>
    <x v="0"/>
  </r>
  <r>
    <x v="22"/>
    <x v="22"/>
    <x v="22"/>
    <x v="1"/>
    <s v="PR290"/>
    <x v="111"/>
    <n v="-4.2699999999999996"/>
    <x v="0"/>
    <x v="0"/>
  </r>
  <r>
    <x v="22"/>
    <x v="22"/>
    <x v="22"/>
    <x v="2"/>
    <s v="PR290"/>
    <x v="111"/>
    <n v="-4.26"/>
    <x v="8"/>
    <x v="2"/>
  </r>
  <r>
    <x v="21"/>
    <x v="21"/>
    <x v="21"/>
    <x v="0"/>
    <s v="PR290"/>
    <x v="112"/>
    <n v="-32"/>
    <x v="0"/>
    <x v="0"/>
  </r>
  <r>
    <x v="21"/>
    <x v="21"/>
    <x v="21"/>
    <x v="1"/>
    <s v="PR290"/>
    <x v="112"/>
    <n v="-32"/>
    <x v="0"/>
    <x v="0"/>
  </r>
  <r>
    <x v="21"/>
    <x v="21"/>
    <x v="21"/>
    <x v="2"/>
    <s v="PR290"/>
    <x v="112"/>
    <n v="-32"/>
    <x v="8"/>
    <x v="2"/>
  </r>
  <r>
    <x v="21"/>
    <x v="21"/>
    <x v="21"/>
    <x v="0"/>
    <s v="PR290"/>
    <x v="113"/>
    <n v="-11.73"/>
    <x v="0"/>
    <x v="0"/>
  </r>
  <r>
    <x v="21"/>
    <x v="21"/>
    <x v="21"/>
    <x v="1"/>
    <s v="PR290"/>
    <x v="113"/>
    <n v="-11.73"/>
    <x v="0"/>
    <x v="0"/>
  </r>
  <r>
    <x v="21"/>
    <x v="21"/>
    <x v="21"/>
    <x v="2"/>
    <s v="PR290"/>
    <x v="113"/>
    <n v="-11.74"/>
    <x v="8"/>
    <x v="2"/>
  </r>
  <r>
    <x v="21"/>
    <x v="21"/>
    <x v="21"/>
    <x v="0"/>
    <s v="PR290"/>
    <x v="114"/>
    <n v="32"/>
    <x v="0"/>
    <x v="0"/>
  </r>
  <r>
    <x v="21"/>
    <x v="21"/>
    <x v="21"/>
    <x v="1"/>
    <s v="PR290"/>
    <x v="114"/>
    <n v="32"/>
    <x v="0"/>
    <x v="0"/>
  </r>
  <r>
    <x v="21"/>
    <x v="21"/>
    <x v="21"/>
    <x v="2"/>
    <s v="PR290"/>
    <x v="114"/>
    <n v="32"/>
    <x v="8"/>
    <x v="2"/>
  </r>
  <r>
    <x v="18"/>
    <x v="18"/>
    <x v="18"/>
    <x v="0"/>
    <s v="PR290"/>
    <x v="115"/>
    <n v="384"/>
    <x v="0"/>
    <x v="0"/>
  </r>
  <r>
    <x v="18"/>
    <x v="18"/>
    <x v="18"/>
    <x v="1"/>
    <s v="PR290"/>
    <x v="115"/>
    <n v="384"/>
    <x v="0"/>
    <x v="0"/>
  </r>
  <r>
    <x v="18"/>
    <x v="18"/>
    <x v="18"/>
    <x v="2"/>
    <s v="PR290"/>
    <x v="115"/>
    <n v="384"/>
    <x v="8"/>
    <x v="2"/>
  </r>
  <r>
    <x v="29"/>
    <x v="29"/>
    <x v="6"/>
    <x v="0"/>
    <s v="PR290"/>
    <x v="115"/>
    <n v="384"/>
    <x v="0"/>
    <x v="0"/>
  </r>
  <r>
    <x v="29"/>
    <x v="29"/>
    <x v="6"/>
    <x v="1"/>
    <s v="PR290"/>
    <x v="115"/>
    <n v="384"/>
    <x v="0"/>
    <x v="0"/>
  </r>
  <r>
    <x v="29"/>
    <x v="29"/>
    <x v="6"/>
    <x v="2"/>
    <s v="PR290"/>
    <x v="115"/>
    <n v="384"/>
    <x v="8"/>
    <x v="2"/>
  </r>
  <r>
    <x v="37"/>
    <x v="37"/>
    <x v="35"/>
    <x v="0"/>
    <s v="PR290"/>
    <x v="115"/>
    <n v="72.53"/>
    <x v="0"/>
    <x v="0"/>
  </r>
  <r>
    <x v="37"/>
    <x v="37"/>
    <x v="35"/>
    <x v="1"/>
    <s v="PR290"/>
    <x v="115"/>
    <n v="72.53"/>
    <x v="0"/>
    <x v="0"/>
  </r>
  <r>
    <x v="37"/>
    <x v="37"/>
    <x v="35"/>
    <x v="2"/>
    <s v="PR290"/>
    <x v="115"/>
    <n v="72.540000000000006"/>
    <x v="8"/>
    <x v="2"/>
  </r>
  <r>
    <x v="18"/>
    <x v="18"/>
    <x v="18"/>
    <x v="0"/>
    <s v="PR290"/>
    <x v="116"/>
    <n v="384"/>
    <x v="0"/>
    <x v="0"/>
  </r>
  <r>
    <x v="18"/>
    <x v="18"/>
    <x v="18"/>
    <x v="1"/>
    <s v="PR290"/>
    <x v="116"/>
    <n v="384"/>
    <x v="0"/>
    <x v="0"/>
  </r>
  <r>
    <x v="18"/>
    <x v="18"/>
    <x v="18"/>
    <x v="2"/>
    <s v="PR290"/>
    <x v="116"/>
    <n v="384"/>
    <x v="8"/>
    <x v="2"/>
  </r>
  <r>
    <x v="26"/>
    <x v="26"/>
    <x v="25"/>
    <x v="0"/>
    <s v="PR290"/>
    <x v="116"/>
    <n v="384"/>
    <x v="0"/>
    <x v="0"/>
  </r>
  <r>
    <x v="26"/>
    <x v="26"/>
    <x v="25"/>
    <x v="1"/>
    <s v="PR290"/>
    <x v="116"/>
    <n v="384"/>
    <x v="0"/>
    <x v="0"/>
  </r>
  <r>
    <x v="26"/>
    <x v="26"/>
    <x v="25"/>
    <x v="2"/>
    <s v="PR290"/>
    <x v="116"/>
    <n v="384"/>
    <x v="8"/>
    <x v="2"/>
  </r>
  <r>
    <x v="29"/>
    <x v="29"/>
    <x v="6"/>
    <x v="0"/>
    <s v="PR290"/>
    <x v="116"/>
    <n v="384"/>
    <x v="0"/>
    <x v="0"/>
  </r>
  <r>
    <x v="29"/>
    <x v="29"/>
    <x v="6"/>
    <x v="1"/>
    <s v="PR290"/>
    <x v="116"/>
    <n v="384"/>
    <x v="0"/>
    <x v="0"/>
  </r>
  <r>
    <x v="29"/>
    <x v="29"/>
    <x v="6"/>
    <x v="2"/>
    <s v="PR290"/>
    <x v="116"/>
    <n v="384"/>
    <x v="8"/>
    <x v="2"/>
  </r>
  <r>
    <x v="35"/>
    <x v="35"/>
    <x v="33"/>
    <x v="0"/>
    <s v="PR290"/>
    <x v="116"/>
    <n v="384"/>
    <x v="0"/>
    <x v="0"/>
  </r>
  <r>
    <x v="35"/>
    <x v="35"/>
    <x v="33"/>
    <x v="1"/>
    <s v="PR290"/>
    <x v="116"/>
    <n v="384"/>
    <x v="0"/>
    <x v="0"/>
  </r>
  <r>
    <x v="35"/>
    <x v="35"/>
    <x v="33"/>
    <x v="2"/>
    <s v="PR290"/>
    <x v="116"/>
    <n v="384"/>
    <x v="8"/>
    <x v="2"/>
  </r>
  <r>
    <x v="42"/>
    <x v="42"/>
    <x v="40"/>
    <x v="0"/>
    <s v="PR290"/>
    <x v="116"/>
    <n v="384"/>
    <x v="0"/>
    <x v="0"/>
  </r>
  <r>
    <x v="42"/>
    <x v="42"/>
    <x v="40"/>
    <x v="1"/>
    <s v="PR290"/>
    <x v="116"/>
    <n v="384"/>
    <x v="0"/>
    <x v="0"/>
  </r>
  <r>
    <x v="42"/>
    <x v="42"/>
    <x v="40"/>
    <x v="2"/>
    <s v="PR290"/>
    <x v="116"/>
    <n v="384"/>
    <x v="8"/>
    <x v="2"/>
  </r>
  <r>
    <x v="7"/>
    <x v="7"/>
    <x v="7"/>
    <x v="0"/>
    <s v="PR290"/>
    <x v="117"/>
    <n v="-96"/>
    <x v="0"/>
    <x v="0"/>
  </r>
  <r>
    <x v="7"/>
    <x v="7"/>
    <x v="7"/>
    <x v="1"/>
    <s v="PR290"/>
    <x v="117"/>
    <n v="-96"/>
    <x v="0"/>
    <x v="0"/>
  </r>
  <r>
    <x v="7"/>
    <x v="7"/>
    <x v="7"/>
    <x v="2"/>
    <s v="PR290"/>
    <x v="117"/>
    <n v="-96"/>
    <x v="8"/>
    <x v="2"/>
  </r>
  <r>
    <x v="20"/>
    <x v="20"/>
    <x v="20"/>
    <x v="0"/>
    <s v="PR290"/>
    <x v="117"/>
    <n v="-96"/>
    <x v="0"/>
    <x v="0"/>
  </r>
  <r>
    <x v="20"/>
    <x v="20"/>
    <x v="20"/>
    <x v="1"/>
    <s v="PR290"/>
    <x v="117"/>
    <n v="-96"/>
    <x v="0"/>
    <x v="0"/>
  </r>
  <r>
    <x v="20"/>
    <x v="20"/>
    <x v="20"/>
    <x v="2"/>
    <s v="PR290"/>
    <x v="117"/>
    <n v="-96"/>
    <x v="8"/>
    <x v="2"/>
  </r>
  <r>
    <x v="24"/>
    <x v="24"/>
    <x v="7"/>
    <x v="0"/>
    <s v="PR290"/>
    <x v="117"/>
    <n v="-96"/>
    <x v="0"/>
    <x v="0"/>
  </r>
  <r>
    <x v="24"/>
    <x v="24"/>
    <x v="7"/>
    <x v="1"/>
    <s v="PR290"/>
    <x v="117"/>
    <n v="-96"/>
    <x v="0"/>
    <x v="0"/>
  </r>
  <r>
    <x v="24"/>
    <x v="24"/>
    <x v="7"/>
    <x v="2"/>
    <s v="PR290"/>
    <x v="117"/>
    <n v="-96"/>
    <x v="8"/>
    <x v="2"/>
  </r>
  <r>
    <x v="34"/>
    <x v="34"/>
    <x v="32"/>
    <x v="0"/>
    <s v="PR290"/>
    <x v="117"/>
    <n v="-96"/>
    <x v="0"/>
    <x v="0"/>
  </r>
  <r>
    <x v="34"/>
    <x v="34"/>
    <x v="32"/>
    <x v="1"/>
    <s v="PR290"/>
    <x v="117"/>
    <n v="-96"/>
    <x v="0"/>
    <x v="0"/>
  </r>
  <r>
    <x v="34"/>
    <x v="34"/>
    <x v="32"/>
    <x v="2"/>
    <s v="PR290"/>
    <x v="117"/>
    <n v="-96"/>
    <x v="8"/>
    <x v="2"/>
  </r>
  <r>
    <x v="37"/>
    <x v="37"/>
    <x v="35"/>
    <x v="0"/>
    <s v="PR290"/>
    <x v="117"/>
    <n v="-77.87"/>
    <x v="0"/>
    <x v="0"/>
  </r>
  <r>
    <x v="37"/>
    <x v="37"/>
    <x v="35"/>
    <x v="1"/>
    <s v="PR290"/>
    <x v="117"/>
    <n v="-77.87"/>
    <x v="0"/>
    <x v="0"/>
  </r>
  <r>
    <x v="37"/>
    <x v="37"/>
    <x v="35"/>
    <x v="2"/>
    <s v="PR290"/>
    <x v="117"/>
    <n v="-77.86"/>
    <x v="8"/>
    <x v="2"/>
  </r>
  <r>
    <x v="40"/>
    <x v="40"/>
    <x v="38"/>
    <x v="0"/>
    <s v="PR290"/>
    <x v="117"/>
    <n v="-96"/>
    <x v="0"/>
    <x v="0"/>
  </r>
  <r>
    <x v="40"/>
    <x v="40"/>
    <x v="38"/>
    <x v="1"/>
    <s v="PR290"/>
    <x v="117"/>
    <n v="-96"/>
    <x v="0"/>
    <x v="0"/>
  </r>
  <r>
    <x v="40"/>
    <x v="40"/>
    <x v="38"/>
    <x v="2"/>
    <s v="PR290"/>
    <x v="117"/>
    <n v="-96"/>
    <x v="8"/>
    <x v="2"/>
  </r>
  <r>
    <x v="42"/>
    <x v="42"/>
    <x v="40"/>
    <x v="0"/>
    <s v="PR290"/>
    <x v="117"/>
    <n v="32"/>
    <x v="0"/>
    <x v="0"/>
  </r>
  <r>
    <x v="42"/>
    <x v="42"/>
    <x v="40"/>
    <x v="1"/>
    <s v="PR290"/>
    <x v="117"/>
    <n v="32"/>
    <x v="0"/>
    <x v="0"/>
  </r>
  <r>
    <x v="42"/>
    <x v="42"/>
    <x v="40"/>
    <x v="2"/>
    <s v="PR290"/>
    <x v="117"/>
    <n v="32"/>
    <x v="8"/>
    <x v="2"/>
  </r>
  <r>
    <x v="48"/>
    <x v="48"/>
    <x v="46"/>
    <x v="0"/>
    <s v="PR290"/>
    <x v="117"/>
    <n v="-96"/>
    <x v="0"/>
    <x v="0"/>
  </r>
  <r>
    <x v="48"/>
    <x v="48"/>
    <x v="46"/>
    <x v="1"/>
    <s v="PR290"/>
    <x v="117"/>
    <n v="-96"/>
    <x v="0"/>
    <x v="0"/>
  </r>
  <r>
    <x v="48"/>
    <x v="48"/>
    <x v="46"/>
    <x v="2"/>
    <s v="PR290"/>
    <x v="117"/>
    <n v="-96"/>
    <x v="8"/>
    <x v="2"/>
  </r>
  <r>
    <x v="50"/>
    <x v="49"/>
    <x v="48"/>
    <x v="0"/>
    <s v="PR290"/>
    <x v="117"/>
    <n v="-96"/>
    <x v="0"/>
    <x v="0"/>
  </r>
  <r>
    <x v="50"/>
    <x v="49"/>
    <x v="48"/>
    <x v="1"/>
    <s v="PR290"/>
    <x v="117"/>
    <n v="-96"/>
    <x v="0"/>
    <x v="0"/>
  </r>
  <r>
    <x v="50"/>
    <x v="49"/>
    <x v="48"/>
    <x v="2"/>
    <s v="PR290"/>
    <x v="117"/>
    <n v="-96"/>
    <x v="8"/>
    <x v="2"/>
  </r>
  <r>
    <x v="7"/>
    <x v="7"/>
    <x v="7"/>
    <x v="0"/>
    <s v="PR290"/>
    <x v="118"/>
    <n v="-96"/>
    <x v="0"/>
    <x v="0"/>
  </r>
  <r>
    <x v="7"/>
    <x v="7"/>
    <x v="7"/>
    <x v="1"/>
    <s v="PR290"/>
    <x v="118"/>
    <n v="-96"/>
    <x v="0"/>
    <x v="0"/>
  </r>
  <r>
    <x v="7"/>
    <x v="7"/>
    <x v="7"/>
    <x v="2"/>
    <s v="PR290"/>
    <x v="118"/>
    <n v="-96"/>
    <x v="8"/>
    <x v="2"/>
  </r>
  <r>
    <x v="20"/>
    <x v="20"/>
    <x v="20"/>
    <x v="0"/>
    <s v="PR290"/>
    <x v="118"/>
    <n v="-96"/>
    <x v="0"/>
    <x v="0"/>
  </r>
  <r>
    <x v="20"/>
    <x v="20"/>
    <x v="20"/>
    <x v="1"/>
    <s v="PR290"/>
    <x v="118"/>
    <n v="-96"/>
    <x v="0"/>
    <x v="0"/>
  </r>
  <r>
    <x v="20"/>
    <x v="20"/>
    <x v="20"/>
    <x v="2"/>
    <s v="PR290"/>
    <x v="118"/>
    <n v="-96"/>
    <x v="8"/>
    <x v="2"/>
  </r>
  <r>
    <x v="24"/>
    <x v="24"/>
    <x v="7"/>
    <x v="0"/>
    <s v="PR290"/>
    <x v="118"/>
    <n v="-96"/>
    <x v="0"/>
    <x v="0"/>
  </r>
  <r>
    <x v="24"/>
    <x v="24"/>
    <x v="7"/>
    <x v="1"/>
    <s v="PR290"/>
    <x v="118"/>
    <n v="-96"/>
    <x v="0"/>
    <x v="0"/>
  </r>
  <r>
    <x v="24"/>
    <x v="24"/>
    <x v="7"/>
    <x v="2"/>
    <s v="PR290"/>
    <x v="118"/>
    <n v="-96"/>
    <x v="8"/>
    <x v="2"/>
  </r>
  <r>
    <x v="34"/>
    <x v="34"/>
    <x v="32"/>
    <x v="0"/>
    <s v="PR290"/>
    <x v="118"/>
    <n v="-96"/>
    <x v="0"/>
    <x v="0"/>
  </r>
  <r>
    <x v="34"/>
    <x v="34"/>
    <x v="32"/>
    <x v="1"/>
    <s v="PR290"/>
    <x v="118"/>
    <n v="-96"/>
    <x v="0"/>
    <x v="0"/>
  </r>
  <r>
    <x v="34"/>
    <x v="34"/>
    <x v="32"/>
    <x v="2"/>
    <s v="PR290"/>
    <x v="118"/>
    <n v="-96"/>
    <x v="8"/>
    <x v="2"/>
  </r>
  <r>
    <x v="37"/>
    <x v="37"/>
    <x v="35"/>
    <x v="0"/>
    <s v="PR290"/>
    <x v="118"/>
    <n v="-96"/>
    <x v="0"/>
    <x v="0"/>
  </r>
  <r>
    <x v="37"/>
    <x v="37"/>
    <x v="35"/>
    <x v="1"/>
    <s v="PR290"/>
    <x v="118"/>
    <n v="-96"/>
    <x v="0"/>
    <x v="0"/>
  </r>
  <r>
    <x v="37"/>
    <x v="37"/>
    <x v="35"/>
    <x v="2"/>
    <s v="PR290"/>
    <x v="118"/>
    <n v="-96"/>
    <x v="8"/>
    <x v="2"/>
  </r>
  <r>
    <x v="40"/>
    <x v="40"/>
    <x v="38"/>
    <x v="0"/>
    <s v="PR290"/>
    <x v="118"/>
    <n v="-96"/>
    <x v="0"/>
    <x v="0"/>
  </r>
  <r>
    <x v="40"/>
    <x v="40"/>
    <x v="38"/>
    <x v="1"/>
    <s v="PR290"/>
    <x v="118"/>
    <n v="-96"/>
    <x v="0"/>
    <x v="0"/>
  </r>
  <r>
    <x v="40"/>
    <x v="40"/>
    <x v="38"/>
    <x v="2"/>
    <s v="PR290"/>
    <x v="118"/>
    <n v="-96"/>
    <x v="8"/>
    <x v="2"/>
  </r>
  <r>
    <x v="48"/>
    <x v="48"/>
    <x v="46"/>
    <x v="0"/>
    <s v="PR290"/>
    <x v="118"/>
    <n v="-96"/>
    <x v="0"/>
    <x v="0"/>
  </r>
  <r>
    <x v="48"/>
    <x v="48"/>
    <x v="46"/>
    <x v="1"/>
    <s v="PR290"/>
    <x v="118"/>
    <n v="-96"/>
    <x v="0"/>
    <x v="0"/>
  </r>
  <r>
    <x v="48"/>
    <x v="48"/>
    <x v="46"/>
    <x v="2"/>
    <s v="PR290"/>
    <x v="118"/>
    <n v="-96"/>
    <x v="8"/>
    <x v="2"/>
  </r>
  <r>
    <x v="50"/>
    <x v="49"/>
    <x v="48"/>
    <x v="0"/>
    <s v="PR290"/>
    <x v="118"/>
    <n v="-96"/>
    <x v="0"/>
    <x v="0"/>
  </r>
  <r>
    <x v="50"/>
    <x v="49"/>
    <x v="48"/>
    <x v="1"/>
    <s v="PR290"/>
    <x v="118"/>
    <n v="-96"/>
    <x v="0"/>
    <x v="0"/>
  </r>
  <r>
    <x v="50"/>
    <x v="49"/>
    <x v="48"/>
    <x v="2"/>
    <s v="PR290"/>
    <x v="118"/>
    <n v="-96"/>
    <x v="8"/>
    <x v="2"/>
  </r>
  <r>
    <x v="7"/>
    <x v="7"/>
    <x v="7"/>
    <x v="0"/>
    <s v="PR290"/>
    <x v="119"/>
    <n v="-96"/>
    <x v="0"/>
    <x v="0"/>
  </r>
  <r>
    <x v="7"/>
    <x v="7"/>
    <x v="7"/>
    <x v="1"/>
    <s v="PR290"/>
    <x v="119"/>
    <n v="-96"/>
    <x v="0"/>
    <x v="0"/>
  </r>
  <r>
    <x v="7"/>
    <x v="7"/>
    <x v="7"/>
    <x v="2"/>
    <s v="PR290"/>
    <x v="119"/>
    <n v="-96"/>
    <x v="8"/>
    <x v="2"/>
  </r>
  <r>
    <x v="20"/>
    <x v="20"/>
    <x v="20"/>
    <x v="0"/>
    <s v="PR290"/>
    <x v="119"/>
    <n v="-96"/>
    <x v="0"/>
    <x v="0"/>
  </r>
  <r>
    <x v="20"/>
    <x v="20"/>
    <x v="20"/>
    <x v="1"/>
    <s v="PR290"/>
    <x v="119"/>
    <n v="-96"/>
    <x v="0"/>
    <x v="0"/>
  </r>
  <r>
    <x v="20"/>
    <x v="20"/>
    <x v="20"/>
    <x v="2"/>
    <s v="PR290"/>
    <x v="119"/>
    <n v="-96"/>
    <x v="8"/>
    <x v="2"/>
  </r>
  <r>
    <x v="24"/>
    <x v="24"/>
    <x v="7"/>
    <x v="0"/>
    <s v="PR290"/>
    <x v="119"/>
    <n v="-96"/>
    <x v="0"/>
    <x v="0"/>
  </r>
  <r>
    <x v="24"/>
    <x v="24"/>
    <x v="7"/>
    <x v="1"/>
    <s v="PR290"/>
    <x v="119"/>
    <n v="-96"/>
    <x v="0"/>
    <x v="0"/>
  </r>
  <r>
    <x v="24"/>
    <x v="24"/>
    <x v="7"/>
    <x v="2"/>
    <s v="PR290"/>
    <x v="119"/>
    <n v="-96"/>
    <x v="8"/>
    <x v="2"/>
  </r>
  <r>
    <x v="34"/>
    <x v="34"/>
    <x v="32"/>
    <x v="0"/>
    <s v="PR290"/>
    <x v="119"/>
    <n v="-96"/>
    <x v="0"/>
    <x v="0"/>
  </r>
  <r>
    <x v="34"/>
    <x v="34"/>
    <x v="32"/>
    <x v="1"/>
    <s v="PR290"/>
    <x v="119"/>
    <n v="-96"/>
    <x v="0"/>
    <x v="0"/>
  </r>
  <r>
    <x v="34"/>
    <x v="34"/>
    <x v="32"/>
    <x v="2"/>
    <s v="PR290"/>
    <x v="119"/>
    <n v="-96"/>
    <x v="8"/>
    <x v="2"/>
  </r>
  <r>
    <x v="37"/>
    <x v="37"/>
    <x v="35"/>
    <x v="0"/>
    <s v="PR290"/>
    <x v="119"/>
    <n v="-96"/>
    <x v="0"/>
    <x v="0"/>
  </r>
  <r>
    <x v="37"/>
    <x v="37"/>
    <x v="35"/>
    <x v="1"/>
    <s v="PR290"/>
    <x v="119"/>
    <n v="-96"/>
    <x v="0"/>
    <x v="0"/>
  </r>
  <r>
    <x v="37"/>
    <x v="37"/>
    <x v="35"/>
    <x v="2"/>
    <s v="PR290"/>
    <x v="119"/>
    <n v="-96"/>
    <x v="8"/>
    <x v="2"/>
  </r>
  <r>
    <x v="40"/>
    <x v="40"/>
    <x v="38"/>
    <x v="0"/>
    <s v="PR290"/>
    <x v="119"/>
    <n v="-96"/>
    <x v="0"/>
    <x v="0"/>
  </r>
  <r>
    <x v="40"/>
    <x v="40"/>
    <x v="38"/>
    <x v="1"/>
    <s v="PR290"/>
    <x v="119"/>
    <n v="-96"/>
    <x v="0"/>
    <x v="0"/>
  </r>
  <r>
    <x v="40"/>
    <x v="40"/>
    <x v="38"/>
    <x v="2"/>
    <s v="PR290"/>
    <x v="119"/>
    <n v="-96"/>
    <x v="8"/>
    <x v="2"/>
  </r>
  <r>
    <x v="48"/>
    <x v="48"/>
    <x v="46"/>
    <x v="0"/>
    <s v="PR290"/>
    <x v="119"/>
    <n v="-96"/>
    <x v="0"/>
    <x v="0"/>
  </r>
  <r>
    <x v="48"/>
    <x v="48"/>
    <x v="46"/>
    <x v="1"/>
    <s v="PR290"/>
    <x v="119"/>
    <n v="-96"/>
    <x v="0"/>
    <x v="0"/>
  </r>
  <r>
    <x v="48"/>
    <x v="48"/>
    <x v="46"/>
    <x v="2"/>
    <s v="PR290"/>
    <x v="119"/>
    <n v="-96"/>
    <x v="8"/>
    <x v="2"/>
  </r>
  <r>
    <x v="50"/>
    <x v="49"/>
    <x v="48"/>
    <x v="0"/>
    <s v="PR290"/>
    <x v="119"/>
    <n v="-96"/>
    <x v="0"/>
    <x v="0"/>
  </r>
  <r>
    <x v="50"/>
    <x v="49"/>
    <x v="48"/>
    <x v="1"/>
    <s v="PR290"/>
    <x v="119"/>
    <n v="-96"/>
    <x v="0"/>
    <x v="0"/>
  </r>
  <r>
    <x v="50"/>
    <x v="49"/>
    <x v="48"/>
    <x v="2"/>
    <s v="PR290"/>
    <x v="119"/>
    <n v="-96"/>
    <x v="8"/>
    <x v="2"/>
  </r>
  <r>
    <x v="7"/>
    <x v="7"/>
    <x v="7"/>
    <x v="0"/>
    <s v="PR290"/>
    <x v="120"/>
    <n v="-96"/>
    <x v="0"/>
    <x v="0"/>
  </r>
  <r>
    <x v="7"/>
    <x v="7"/>
    <x v="7"/>
    <x v="1"/>
    <s v="PR290"/>
    <x v="120"/>
    <n v="-96"/>
    <x v="0"/>
    <x v="0"/>
  </r>
  <r>
    <x v="7"/>
    <x v="7"/>
    <x v="7"/>
    <x v="2"/>
    <s v="PR290"/>
    <x v="120"/>
    <n v="-96"/>
    <x v="8"/>
    <x v="2"/>
  </r>
  <r>
    <x v="20"/>
    <x v="20"/>
    <x v="20"/>
    <x v="0"/>
    <s v="PR290"/>
    <x v="120"/>
    <n v="-96"/>
    <x v="0"/>
    <x v="0"/>
  </r>
  <r>
    <x v="20"/>
    <x v="20"/>
    <x v="20"/>
    <x v="1"/>
    <s v="PR290"/>
    <x v="120"/>
    <n v="-96"/>
    <x v="0"/>
    <x v="0"/>
  </r>
  <r>
    <x v="20"/>
    <x v="20"/>
    <x v="20"/>
    <x v="2"/>
    <s v="PR290"/>
    <x v="120"/>
    <n v="-96"/>
    <x v="8"/>
    <x v="2"/>
  </r>
  <r>
    <x v="24"/>
    <x v="24"/>
    <x v="7"/>
    <x v="0"/>
    <s v="PR290"/>
    <x v="120"/>
    <n v="-96"/>
    <x v="0"/>
    <x v="0"/>
  </r>
  <r>
    <x v="24"/>
    <x v="24"/>
    <x v="7"/>
    <x v="1"/>
    <s v="PR290"/>
    <x v="120"/>
    <n v="-96"/>
    <x v="0"/>
    <x v="0"/>
  </r>
  <r>
    <x v="24"/>
    <x v="24"/>
    <x v="7"/>
    <x v="2"/>
    <s v="PR290"/>
    <x v="120"/>
    <n v="-96"/>
    <x v="8"/>
    <x v="2"/>
  </r>
  <r>
    <x v="34"/>
    <x v="34"/>
    <x v="32"/>
    <x v="0"/>
    <s v="PR290"/>
    <x v="120"/>
    <n v="-96"/>
    <x v="0"/>
    <x v="0"/>
  </r>
  <r>
    <x v="34"/>
    <x v="34"/>
    <x v="32"/>
    <x v="1"/>
    <s v="PR290"/>
    <x v="120"/>
    <n v="-96"/>
    <x v="0"/>
    <x v="0"/>
  </r>
  <r>
    <x v="34"/>
    <x v="34"/>
    <x v="32"/>
    <x v="2"/>
    <s v="PR290"/>
    <x v="120"/>
    <n v="-96"/>
    <x v="8"/>
    <x v="2"/>
  </r>
  <r>
    <x v="37"/>
    <x v="37"/>
    <x v="35"/>
    <x v="0"/>
    <s v="PR290"/>
    <x v="120"/>
    <n v="-96"/>
    <x v="0"/>
    <x v="0"/>
  </r>
  <r>
    <x v="37"/>
    <x v="37"/>
    <x v="35"/>
    <x v="1"/>
    <s v="PR290"/>
    <x v="120"/>
    <n v="-96"/>
    <x v="0"/>
    <x v="0"/>
  </r>
  <r>
    <x v="37"/>
    <x v="37"/>
    <x v="35"/>
    <x v="2"/>
    <s v="PR290"/>
    <x v="120"/>
    <n v="-96"/>
    <x v="8"/>
    <x v="2"/>
  </r>
  <r>
    <x v="40"/>
    <x v="40"/>
    <x v="38"/>
    <x v="0"/>
    <s v="PR290"/>
    <x v="120"/>
    <n v="-96"/>
    <x v="0"/>
    <x v="0"/>
  </r>
  <r>
    <x v="40"/>
    <x v="40"/>
    <x v="38"/>
    <x v="1"/>
    <s v="PR290"/>
    <x v="120"/>
    <n v="-96"/>
    <x v="0"/>
    <x v="0"/>
  </r>
  <r>
    <x v="40"/>
    <x v="40"/>
    <x v="38"/>
    <x v="2"/>
    <s v="PR290"/>
    <x v="120"/>
    <n v="-96"/>
    <x v="8"/>
    <x v="2"/>
  </r>
  <r>
    <x v="48"/>
    <x v="48"/>
    <x v="46"/>
    <x v="0"/>
    <s v="PR290"/>
    <x v="120"/>
    <n v="-96"/>
    <x v="0"/>
    <x v="0"/>
  </r>
  <r>
    <x v="48"/>
    <x v="48"/>
    <x v="46"/>
    <x v="1"/>
    <s v="PR290"/>
    <x v="120"/>
    <n v="-96"/>
    <x v="0"/>
    <x v="0"/>
  </r>
  <r>
    <x v="48"/>
    <x v="48"/>
    <x v="46"/>
    <x v="2"/>
    <s v="PR290"/>
    <x v="120"/>
    <n v="-96"/>
    <x v="8"/>
    <x v="2"/>
  </r>
  <r>
    <x v="50"/>
    <x v="49"/>
    <x v="48"/>
    <x v="0"/>
    <s v="PR290"/>
    <x v="120"/>
    <n v="-96"/>
    <x v="0"/>
    <x v="0"/>
  </r>
  <r>
    <x v="50"/>
    <x v="49"/>
    <x v="48"/>
    <x v="1"/>
    <s v="PR290"/>
    <x v="120"/>
    <n v="-96"/>
    <x v="0"/>
    <x v="0"/>
  </r>
  <r>
    <x v="50"/>
    <x v="49"/>
    <x v="48"/>
    <x v="2"/>
    <s v="PR290"/>
    <x v="120"/>
    <n v="-96"/>
    <x v="8"/>
    <x v="2"/>
  </r>
  <r>
    <x v="7"/>
    <x v="7"/>
    <x v="7"/>
    <x v="0"/>
    <s v="PR290"/>
    <x v="121"/>
    <n v="384"/>
    <x v="0"/>
    <x v="0"/>
  </r>
  <r>
    <x v="7"/>
    <x v="7"/>
    <x v="7"/>
    <x v="1"/>
    <s v="PR290"/>
    <x v="121"/>
    <n v="384"/>
    <x v="0"/>
    <x v="0"/>
  </r>
  <r>
    <x v="7"/>
    <x v="7"/>
    <x v="7"/>
    <x v="2"/>
    <s v="PR290"/>
    <x v="121"/>
    <n v="384"/>
    <x v="8"/>
    <x v="2"/>
  </r>
  <r>
    <x v="11"/>
    <x v="11"/>
    <x v="11"/>
    <x v="0"/>
    <s v="PR290"/>
    <x v="121"/>
    <n v="1152"/>
    <x v="0"/>
    <x v="0"/>
  </r>
  <r>
    <x v="11"/>
    <x v="11"/>
    <x v="11"/>
    <x v="1"/>
    <s v="PR290"/>
    <x v="121"/>
    <n v="1152"/>
    <x v="0"/>
    <x v="0"/>
  </r>
  <r>
    <x v="11"/>
    <x v="11"/>
    <x v="11"/>
    <x v="2"/>
    <s v="PR290"/>
    <x v="121"/>
    <n v="1152"/>
    <x v="8"/>
    <x v="2"/>
  </r>
  <r>
    <x v="20"/>
    <x v="20"/>
    <x v="20"/>
    <x v="0"/>
    <s v="PR290"/>
    <x v="121"/>
    <n v="384"/>
    <x v="0"/>
    <x v="0"/>
  </r>
  <r>
    <x v="20"/>
    <x v="20"/>
    <x v="20"/>
    <x v="1"/>
    <s v="PR290"/>
    <x v="121"/>
    <n v="384"/>
    <x v="0"/>
    <x v="0"/>
  </r>
  <r>
    <x v="20"/>
    <x v="20"/>
    <x v="20"/>
    <x v="2"/>
    <s v="PR290"/>
    <x v="121"/>
    <n v="384"/>
    <x v="8"/>
    <x v="2"/>
  </r>
  <r>
    <x v="24"/>
    <x v="24"/>
    <x v="7"/>
    <x v="0"/>
    <s v="PR290"/>
    <x v="121"/>
    <n v="384"/>
    <x v="0"/>
    <x v="0"/>
  </r>
  <r>
    <x v="24"/>
    <x v="24"/>
    <x v="7"/>
    <x v="1"/>
    <s v="PR290"/>
    <x v="121"/>
    <n v="384"/>
    <x v="0"/>
    <x v="0"/>
  </r>
  <r>
    <x v="24"/>
    <x v="24"/>
    <x v="7"/>
    <x v="2"/>
    <s v="PR290"/>
    <x v="121"/>
    <n v="384"/>
    <x v="8"/>
    <x v="2"/>
  </r>
  <r>
    <x v="31"/>
    <x v="31"/>
    <x v="29"/>
    <x v="0"/>
    <s v="PR290"/>
    <x v="121"/>
    <n v="1152"/>
    <x v="0"/>
    <x v="0"/>
  </r>
  <r>
    <x v="31"/>
    <x v="31"/>
    <x v="29"/>
    <x v="1"/>
    <s v="PR290"/>
    <x v="121"/>
    <n v="1152"/>
    <x v="0"/>
    <x v="0"/>
  </r>
  <r>
    <x v="31"/>
    <x v="31"/>
    <x v="29"/>
    <x v="2"/>
    <s v="PR290"/>
    <x v="121"/>
    <n v="1152"/>
    <x v="8"/>
    <x v="2"/>
  </r>
  <r>
    <x v="34"/>
    <x v="34"/>
    <x v="32"/>
    <x v="0"/>
    <s v="PR290"/>
    <x v="121"/>
    <n v="384"/>
    <x v="0"/>
    <x v="0"/>
  </r>
  <r>
    <x v="34"/>
    <x v="34"/>
    <x v="32"/>
    <x v="1"/>
    <s v="PR290"/>
    <x v="121"/>
    <n v="384"/>
    <x v="0"/>
    <x v="0"/>
  </r>
  <r>
    <x v="34"/>
    <x v="34"/>
    <x v="32"/>
    <x v="2"/>
    <s v="PR290"/>
    <x v="121"/>
    <n v="384"/>
    <x v="8"/>
    <x v="2"/>
  </r>
  <r>
    <x v="37"/>
    <x v="37"/>
    <x v="35"/>
    <x v="0"/>
    <s v="PR290"/>
    <x v="121"/>
    <n v="576"/>
    <x v="0"/>
    <x v="0"/>
  </r>
  <r>
    <x v="37"/>
    <x v="37"/>
    <x v="35"/>
    <x v="1"/>
    <s v="PR290"/>
    <x v="121"/>
    <n v="576"/>
    <x v="0"/>
    <x v="0"/>
  </r>
  <r>
    <x v="37"/>
    <x v="37"/>
    <x v="35"/>
    <x v="2"/>
    <s v="PR290"/>
    <x v="121"/>
    <n v="576"/>
    <x v="8"/>
    <x v="2"/>
  </r>
  <r>
    <x v="40"/>
    <x v="40"/>
    <x v="38"/>
    <x v="0"/>
    <s v="PR290"/>
    <x v="121"/>
    <n v="384"/>
    <x v="0"/>
    <x v="0"/>
  </r>
  <r>
    <x v="40"/>
    <x v="40"/>
    <x v="38"/>
    <x v="1"/>
    <s v="PR290"/>
    <x v="121"/>
    <n v="384"/>
    <x v="0"/>
    <x v="0"/>
  </r>
  <r>
    <x v="40"/>
    <x v="40"/>
    <x v="38"/>
    <x v="2"/>
    <s v="PR290"/>
    <x v="121"/>
    <n v="384"/>
    <x v="8"/>
    <x v="2"/>
  </r>
  <r>
    <x v="42"/>
    <x v="42"/>
    <x v="40"/>
    <x v="0"/>
    <s v="PR290"/>
    <x v="121"/>
    <n v="576"/>
    <x v="0"/>
    <x v="0"/>
  </r>
  <r>
    <x v="42"/>
    <x v="42"/>
    <x v="40"/>
    <x v="1"/>
    <s v="PR290"/>
    <x v="121"/>
    <n v="576"/>
    <x v="0"/>
    <x v="0"/>
  </r>
  <r>
    <x v="42"/>
    <x v="42"/>
    <x v="40"/>
    <x v="2"/>
    <s v="PR290"/>
    <x v="121"/>
    <n v="576"/>
    <x v="8"/>
    <x v="2"/>
  </r>
  <r>
    <x v="44"/>
    <x v="44"/>
    <x v="42"/>
    <x v="0"/>
    <s v="PR290"/>
    <x v="121"/>
    <n v="1152"/>
    <x v="0"/>
    <x v="0"/>
  </r>
  <r>
    <x v="44"/>
    <x v="44"/>
    <x v="42"/>
    <x v="1"/>
    <s v="PR290"/>
    <x v="121"/>
    <n v="1152"/>
    <x v="0"/>
    <x v="0"/>
  </r>
  <r>
    <x v="44"/>
    <x v="44"/>
    <x v="42"/>
    <x v="2"/>
    <s v="PR290"/>
    <x v="121"/>
    <n v="1152"/>
    <x v="8"/>
    <x v="2"/>
  </r>
  <r>
    <x v="48"/>
    <x v="48"/>
    <x v="46"/>
    <x v="0"/>
    <s v="PR290"/>
    <x v="121"/>
    <n v="384"/>
    <x v="0"/>
    <x v="0"/>
  </r>
  <r>
    <x v="48"/>
    <x v="48"/>
    <x v="46"/>
    <x v="1"/>
    <s v="PR290"/>
    <x v="121"/>
    <n v="384"/>
    <x v="0"/>
    <x v="0"/>
  </r>
  <r>
    <x v="48"/>
    <x v="48"/>
    <x v="46"/>
    <x v="2"/>
    <s v="PR290"/>
    <x v="121"/>
    <n v="384"/>
    <x v="8"/>
    <x v="2"/>
  </r>
  <r>
    <x v="50"/>
    <x v="49"/>
    <x v="48"/>
    <x v="0"/>
    <s v="PR290"/>
    <x v="121"/>
    <n v="384"/>
    <x v="0"/>
    <x v="0"/>
  </r>
  <r>
    <x v="50"/>
    <x v="49"/>
    <x v="48"/>
    <x v="1"/>
    <s v="PR290"/>
    <x v="121"/>
    <n v="384"/>
    <x v="0"/>
    <x v="0"/>
  </r>
  <r>
    <x v="50"/>
    <x v="49"/>
    <x v="48"/>
    <x v="2"/>
    <s v="PR290"/>
    <x v="121"/>
    <n v="384"/>
    <x v="8"/>
    <x v="2"/>
  </r>
  <r>
    <x v="6"/>
    <x v="6"/>
    <x v="6"/>
    <x v="0"/>
    <s v="PR290"/>
    <x v="122"/>
    <n v="256"/>
    <x v="0"/>
    <x v="0"/>
  </r>
  <r>
    <x v="6"/>
    <x v="6"/>
    <x v="6"/>
    <x v="1"/>
    <s v="PR290"/>
    <x v="122"/>
    <n v="256"/>
    <x v="0"/>
    <x v="0"/>
  </r>
  <r>
    <x v="6"/>
    <x v="6"/>
    <x v="6"/>
    <x v="2"/>
    <s v="PR290"/>
    <x v="122"/>
    <n v="256"/>
    <x v="8"/>
    <x v="2"/>
  </r>
  <r>
    <x v="21"/>
    <x v="21"/>
    <x v="21"/>
    <x v="0"/>
    <s v="PR290"/>
    <x v="122"/>
    <n v="320"/>
    <x v="0"/>
    <x v="0"/>
  </r>
  <r>
    <x v="21"/>
    <x v="21"/>
    <x v="21"/>
    <x v="1"/>
    <s v="PR290"/>
    <x v="122"/>
    <n v="320"/>
    <x v="0"/>
    <x v="0"/>
  </r>
  <r>
    <x v="21"/>
    <x v="21"/>
    <x v="21"/>
    <x v="2"/>
    <s v="PR290"/>
    <x v="122"/>
    <n v="320"/>
    <x v="8"/>
    <x v="2"/>
  </r>
  <r>
    <x v="26"/>
    <x v="26"/>
    <x v="25"/>
    <x v="0"/>
    <s v="PR290"/>
    <x v="122"/>
    <n v="384"/>
    <x v="0"/>
    <x v="0"/>
  </r>
  <r>
    <x v="26"/>
    <x v="26"/>
    <x v="25"/>
    <x v="1"/>
    <s v="PR290"/>
    <x v="122"/>
    <n v="384"/>
    <x v="0"/>
    <x v="0"/>
  </r>
  <r>
    <x v="26"/>
    <x v="26"/>
    <x v="25"/>
    <x v="2"/>
    <s v="PR290"/>
    <x v="122"/>
    <n v="384"/>
    <x v="8"/>
    <x v="2"/>
  </r>
  <r>
    <x v="35"/>
    <x v="35"/>
    <x v="33"/>
    <x v="0"/>
    <s v="PR290"/>
    <x v="122"/>
    <n v="384"/>
    <x v="0"/>
    <x v="0"/>
  </r>
  <r>
    <x v="35"/>
    <x v="35"/>
    <x v="33"/>
    <x v="1"/>
    <s v="PR290"/>
    <x v="122"/>
    <n v="384"/>
    <x v="0"/>
    <x v="0"/>
  </r>
  <r>
    <x v="35"/>
    <x v="35"/>
    <x v="33"/>
    <x v="2"/>
    <s v="PR290"/>
    <x v="122"/>
    <n v="384"/>
    <x v="8"/>
    <x v="2"/>
  </r>
  <r>
    <x v="0"/>
    <x v="0"/>
    <x v="0"/>
    <x v="0"/>
    <s v="PR290"/>
    <x v="123"/>
    <n v="32"/>
    <x v="0"/>
    <x v="0"/>
  </r>
  <r>
    <x v="0"/>
    <x v="0"/>
    <x v="0"/>
    <x v="1"/>
    <s v="PR290"/>
    <x v="123"/>
    <n v="32"/>
    <x v="0"/>
    <x v="0"/>
  </r>
  <r>
    <x v="0"/>
    <x v="0"/>
    <x v="0"/>
    <x v="2"/>
    <s v="PR290"/>
    <x v="123"/>
    <n v="32"/>
    <x v="8"/>
    <x v="2"/>
  </r>
  <r>
    <x v="17"/>
    <x v="17"/>
    <x v="17"/>
    <x v="0"/>
    <s v="PR290"/>
    <x v="123"/>
    <n v="32"/>
    <x v="0"/>
    <x v="0"/>
  </r>
  <r>
    <x v="17"/>
    <x v="17"/>
    <x v="17"/>
    <x v="1"/>
    <s v="PR290"/>
    <x v="123"/>
    <n v="32"/>
    <x v="0"/>
    <x v="0"/>
  </r>
  <r>
    <x v="17"/>
    <x v="17"/>
    <x v="17"/>
    <x v="2"/>
    <s v="PR290"/>
    <x v="123"/>
    <n v="32"/>
    <x v="8"/>
    <x v="2"/>
  </r>
  <r>
    <x v="0"/>
    <x v="0"/>
    <x v="0"/>
    <x v="0"/>
    <s v="PR290"/>
    <x v="124"/>
    <n v="96"/>
    <x v="0"/>
    <x v="0"/>
  </r>
  <r>
    <x v="0"/>
    <x v="0"/>
    <x v="0"/>
    <x v="1"/>
    <s v="PR290"/>
    <x v="124"/>
    <n v="96"/>
    <x v="0"/>
    <x v="0"/>
  </r>
  <r>
    <x v="0"/>
    <x v="0"/>
    <x v="0"/>
    <x v="2"/>
    <s v="PR290"/>
    <x v="124"/>
    <n v="96"/>
    <x v="8"/>
    <x v="2"/>
  </r>
  <r>
    <x v="1"/>
    <x v="1"/>
    <x v="1"/>
    <x v="0"/>
    <s v="PR290"/>
    <x v="124"/>
    <n v="384"/>
    <x v="0"/>
    <x v="0"/>
  </r>
  <r>
    <x v="1"/>
    <x v="1"/>
    <x v="1"/>
    <x v="1"/>
    <s v="PR290"/>
    <x v="124"/>
    <n v="384"/>
    <x v="0"/>
    <x v="0"/>
  </r>
  <r>
    <x v="1"/>
    <x v="1"/>
    <x v="1"/>
    <x v="2"/>
    <s v="PR290"/>
    <x v="124"/>
    <n v="384"/>
    <x v="8"/>
    <x v="2"/>
  </r>
  <r>
    <x v="2"/>
    <x v="2"/>
    <x v="2"/>
    <x v="0"/>
    <s v="PR290"/>
    <x v="124"/>
    <n v="384"/>
    <x v="0"/>
    <x v="0"/>
  </r>
  <r>
    <x v="2"/>
    <x v="2"/>
    <x v="2"/>
    <x v="1"/>
    <s v="PR290"/>
    <x v="124"/>
    <n v="384"/>
    <x v="0"/>
    <x v="0"/>
  </r>
  <r>
    <x v="2"/>
    <x v="2"/>
    <x v="2"/>
    <x v="2"/>
    <s v="PR290"/>
    <x v="124"/>
    <n v="384"/>
    <x v="8"/>
    <x v="2"/>
  </r>
  <r>
    <x v="3"/>
    <x v="3"/>
    <x v="3"/>
    <x v="0"/>
    <s v="PR290"/>
    <x v="124"/>
    <n v="96"/>
    <x v="0"/>
    <x v="0"/>
  </r>
  <r>
    <x v="3"/>
    <x v="3"/>
    <x v="3"/>
    <x v="1"/>
    <s v="PR290"/>
    <x v="124"/>
    <n v="96"/>
    <x v="0"/>
    <x v="0"/>
  </r>
  <r>
    <x v="3"/>
    <x v="3"/>
    <x v="3"/>
    <x v="2"/>
    <s v="PR290"/>
    <x v="124"/>
    <n v="96"/>
    <x v="8"/>
    <x v="2"/>
  </r>
  <r>
    <x v="4"/>
    <x v="4"/>
    <x v="4"/>
    <x v="0"/>
    <s v="PR290"/>
    <x v="124"/>
    <n v="224"/>
    <x v="0"/>
    <x v="0"/>
  </r>
  <r>
    <x v="4"/>
    <x v="4"/>
    <x v="4"/>
    <x v="1"/>
    <s v="PR290"/>
    <x v="124"/>
    <n v="224"/>
    <x v="0"/>
    <x v="0"/>
  </r>
  <r>
    <x v="4"/>
    <x v="4"/>
    <x v="4"/>
    <x v="2"/>
    <s v="PR290"/>
    <x v="124"/>
    <n v="224"/>
    <x v="8"/>
    <x v="2"/>
  </r>
  <r>
    <x v="5"/>
    <x v="5"/>
    <x v="5"/>
    <x v="0"/>
    <s v="PR290"/>
    <x v="124"/>
    <n v="384"/>
    <x v="0"/>
    <x v="0"/>
  </r>
  <r>
    <x v="5"/>
    <x v="5"/>
    <x v="5"/>
    <x v="1"/>
    <s v="PR290"/>
    <x v="124"/>
    <n v="384"/>
    <x v="0"/>
    <x v="0"/>
  </r>
  <r>
    <x v="5"/>
    <x v="5"/>
    <x v="5"/>
    <x v="2"/>
    <s v="PR290"/>
    <x v="124"/>
    <n v="384"/>
    <x v="8"/>
    <x v="2"/>
  </r>
  <r>
    <x v="6"/>
    <x v="6"/>
    <x v="6"/>
    <x v="0"/>
    <s v="PR290"/>
    <x v="124"/>
    <n v="256"/>
    <x v="0"/>
    <x v="0"/>
  </r>
  <r>
    <x v="6"/>
    <x v="6"/>
    <x v="6"/>
    <x v="1"/>
    <s v="PR290"/>
    <x v="124"/>
    <n v="256"/>
    <x v="0"/>
    <x v="0"/>
  </r>
  <r>
    <x v="6"/>
    <x v="6"/>
    <x v="6"/>
    <x v="2"/>
    <s v="PR290"/>
    <x v="124"/>
    <n v="256"/>
    <x v="8"/>
    <x v="2"/>
  </r>
  <r>
    <x v="8"/>
    <x v="8"/>
    <x v="8"/>
    <x v="0"/>
    <s v="PR290"/>
    <x v="124"/>
    <n v="384"/>
    <x v="0"/>
    <x v="0"/>
  </r>
  <r>
    <x v="8"/>
    <x v="8"/>
    <x v="8"/>
    <x v="1"/>
    <s v="PR290"/>
    <x v="124"/>
    <n v="384"/>
    <x v="0"/>
    <x v="0"/>
  </r>
  <r>
    <x v="8"/>
    <x v="8"/>
    <x v="8"/>
    <x v="2"/>
    <s v="PR290"/>
    <x v="124"/>
    <n v="384"/>
    <x v="8"/>
    <x v="2"/>
  </r>
  <r>
    <x v="9"/>
    <x v="9"/>
    <x v="9"/>
    <x v="0"/>
    <s v="PR290"/>
    <x v="124"/>
    <n v="384"/>
    <x v="0"/>
    <x v="0"/>
  </r>
  <r>
    <x v="9"/>
    <x v="9"/>
    <x v="9"/>
    <x v="1"/>
    <s v="PR290"/>
    <x v="124"/>
    <n v="384"/>
    <x v="0"/>
    <x v="0"/>
  </r>
  <r>
    <x v="9"/>
    <x v="9"/>
    <x v="9"/>
    <x v="2"/>
    <s v="PR290"/>
    <x v="124"/>
    <n v="384"/>
    <x v="8"/>
    <x v="2"/>
  </r>
  <r>
    <x v="10"/>
    <x v="10"/>
    <x v="10"/>
    <x v="0"/>
    <s v="PR290"/>
    <x v="124"/>
    <n v="384"/>
    <x v="0"/>
    <x v="0"/>
  </r>
  <r>
    <x v="10"/>
    <x v="10"/>
    <x v="10"/>
    <x v="1"/>
    <s v="PR290"/>
    <x v="124"/>
    <n v="384"/>
    <x v="0"/>
    <x v="0"/>
  </r>
  <r>
    <x v="10"/>
    <x v="10"/>
    <x v="10"/>
    <x v="2"/>
    <s v="PR290"/>
    <x v="124"/>
    <n v="384"/>
    <x v="8"/>
    <x v="2"/>
  </r>
  <r>
    <x v="12"/>
    <x v="12"/>
    <x v="12"/>
    <x v="0"/>
    <s v="PR290"/>
    <x v="124"/>
    <n v="384"/>
    <x v="0"/>
    <x v="0"/>
  </r>
  <r>
    <x v="12"/>
    <x v="12"/>
    <x v="12"/>
    <x v="1"/>
    <s v="PR290"/>
    <x v="124"/>
    <n v="384"/>
    <x v="0"/>
    <x v="0"/>
  </r>
  <r>
    <x v="12"/>
    <x v="12"/>
    <x v="12"/>
    <x v="2"/>
    <s v="PR290"/>
    <x v="124"/>
    <n v="384"/>
    <x v="8"/>
    <x v="2"/>
  </r>
  <r>
    <x v="13"/>
    <x v="13"/>
    <x v="13"/>
    <x v="0"/>
    <s v="PR290"/>
    <x v="124"/>
    <n v="283.73"/>
    <x v="0"/>
    <x v="0"/>
  </r>
  <r>
    <x v="13"/>
    <x v="13"/>
    <x v="13"/>
    <x v="1"/>
    <s v="PR290"/>
    <x v="124"/>
    <n v="283.73"/>
    <x v="0"/>
    <x v="0"/>
  </r>
  <r>
    <x v="13"/>
    <x v="13"/>
    <x v="13"/>
    <x v="2"/>
    <s v="PR290"/>
    <x v="124"/>
    <n v="283.74"/>
    <x v="8"/>
    <x v="2"/>
  </r>
  <r>
    <x v="14"/>
    <x v="14"/>
    <x v="14"/>
    <x v="0"/>
    <s v="PR290"/>
    <x v="124"/>
    <n v="384"/>
    <x v="0"/>
    <x v="0"/>
  </r>
  <r>
    <x v="14"/>
    <x v="14"/>
    <x v="14"/>
    <x v="1"/>
    <s v="PR290"/>
    <x v="124"/>
    <n v="384"/>
    <x v="0"/>
    <x v="0"/>
  </r>
  <r>
    <x v="14"/>
    <x v="14"/>
    <x v="14"/>
    <x v="2"/>
    <s v="PR290"/>
    <x v="124"/>
    <n v="384"/>
    <x v="8"/>
    <x v="2"/>
  </r>
  <r>
    <x v="15"/>
    <x v="15"/>
    <x v="15"/>
    <x v="0"/>
    <s v="PR290"/>
    <x v="124"/>
    <n v="384"/>
    <x v="0"/>
    <x v="0"/>
  </r>
  <r>
    <x v="15"/>
    <x v="15"/>
    <x v="15"/>
    <x v="1"/>
    <s v="PR290"/>
    <x v="124"/>
    <n v="384"/>
    <x v="0"/>
    <x v="0"/>
  </r>
  <r>
    <x v="15"/>
    <x v="15"/>
    <x v="15"/>
    <x v="2"/>
    <s v="PR290"/>
    <x v="124"/>
    <n v="384"/>
    <x v="8"/>
    <x v="2"/>
  </r>
  <r>
    <x v="16"/>
    <x v="16"/>
    <x v="16"/>
    <x v="0"/>
    <s v="PR290"/>
    <x v="124"/>
    <n v="384"/>
    <x v="0"/>
    <x v="0"/>
  </r>
  <r>
    <x v="16"/>
    <x v="16"/>
    <x v="16"/>
    <x v="1"/>
    <s v="PR290"/>
    <x v="124"/>
    <n v="384"/>
    <x v="0"/>
    <x v="0"/>
  </r>
  <r>
    <x v="16"/>
    <x v="16"/>
    <x v="16"/>
    <x v="2"/>
    <s v="PR290"/>
    <x v="124"/>
    <n v="384"/>
    <x v="8"/>
    <x v="2"/>
  </r>
  <r>
    <x v="17"/>
    <x v="17"/>
    <x v="17"/>
    <x v="0"/>
    <s v="PR290"/>
    <x v="124"/>
    <n v="96"/>
    <x v="0"/>
    <x v="0"/>
  </r>
  <r>
    <x v="17"/>
    <x v="17"/>
    <x v="17"/>
    <x v="1"/>
    <s v="PR290"/>
    <x v="124"/>
    <n v="96"/>
    <x v="0"/>
    <x v="0"/>
  </r>
  <r>
    <x v="17"/>
    <x v="17"/>
    <x v="17"/>
    <x v="2"/>
    <s v="PR290"/>
    <x v="124"/>
    <n v="96"/>
    <x v="8"/>
    <x v="2"/>
  </r>
  <r>
    <x v="19"/>
    <x v="19"/>
    <x v="19"/>
    <x v="0"/>
    <s v="PR290"/>
    <x v="124"/>
    <n v="384"/>
    <x v="0"/>
    <x v="0"/>
  </r>
  <r>
    <x v="19"/>
    <x v="19"/>
    <x v="19"/>
    <x v="1"/>
    <s v="PR290"/>
    <x v="124"/>
    <n v="384"/>
    <x v="0"/>
    <x v="0"/>
  </r>
  <r>
    <x v="19"/>
    <x v="19"/>
    <x v="19"/>
    <x v="2"/>
    <s v="PR290"/>
    <x v="124"/>
    <n v="384"/>
    <x v="8"/>
    <x v="2"/>
  </r>
  <r>
    <x v="21"/>
    <x v="21"/>
    <x v="21"/>
    <x v="0"/>
    <s v="PR290"/>
    <x v="124"/>
    <n v="224"/>
    <x v="0"/>
    <x v="0"/>
  </r>
  <r>
    <x v="21"/>
    <x v="21"/>
    <x v="21"/>
    <x v="1"/>
    <s v="PR290"/>
    <x v="124"/>
    <n v="224"/>
    <x v="0"/>
    <x v="0"/>
  </r>
  <r>
    <x v="21"/>
    <x v="21"/>
    <x v="21"/>
    <x v="2"/>
    <s v="PR290"/>
    <x v="124"/>
    <n v="224"/>
    <x v="8"/>
    <x v="2"/>
  </r>
  <r>
    <x v="22"/>
    <x v="22"/>
    <x v="22"/>
    <x v="0"/>
    <s v="PR290"/>
    <x v="124"/>
    <n v="160"/>
    <x v="0"/>
    <x v="0"/>
  </r>
  <r>
    <x v="22"/>
    <x v="22"/>
    <x v="22"/>
    <x v="1"/>
    <s v="PR290"/>
    <x v="124"/>
    <n v="160"/>
    <x v="0"/>
    <x v="0"/>
  </r>
  <r>
    <x v="22"/>
    <x v="22"/>
    <x v="22"/>
    <x v="2"/>
    <s v="PR290"/>
    <x v="124"/>
    <n v="160"/>
    <x v="8"/>
    <x v="2"/>
  </r>
  <r>
    <x v="23"/>
    <x v="23"/>
    <x v="23"/>
    <x v="0"/>
    <s v="PR290"/>
    <x v="124"/>
    <n v="384"/>
    <x v="0"/>
    <x v="0"/>
  </r>
  <r>
    <x v="23"/>
    <x v="23"/>
    <x v="23"/>
    <x v="1"/>
    <s v="PR290"/>
    <x v="124"/>
    <n v="384"/>
    <x v="0"/>
    <x v="0"/>
  </r>
  <r>
    <x v="23"/>
    <x v="23"/>
    <x v="23"/>
    <x v="2"/>
    <s v="PR290"/>
    <x v="124"/>
    <n v="384"/>
    <x v="8"/>
    <x v="2"/>
  </r>
  <r>
    <x v="25"/>
    <x v="25"/>
    <x v="24"/>
    <x v="0"/>
    <s v="PR290"/>
    <x v="124"/>
    <n v="384"/>
    <x v="0"/>
    <x v="0"/>
  </r>
  <r>
    <x v="25"/>
    <x v="25"/>
    <x v="24"/>
    <x v="1"/>
    <s v="PR290"/>
    <x v="124"/>
    <n v="384"/>
    <x v="0"/>
    <x v="0"/>
  </r>
  <r>
    <x v="25"/>
    <x v="25"/>
    <x v="24"/>
    <x v="2"/>
    <s v="PR290"/>
    <x v="124"/>
    <n v="384"/>
    <x v="8"/>
    <x v="2"/>
  </r>
  <r>
    <x v="28"/>
    <x v="28"/>
    <x v="27"/>
    <x v="0"/>
    <s v="PR290"/>
    <x v="124"/>
    <n v="78.930000000000007"/>
    <x v="0"/>
    <x v="0"/>
  </r>
  <r>
    <x v="28"/>
    <x v="28"/>
    <x v="27"/>
    <x v="1"/>
    <s v="PR290"/>
    <x v="124"/>
    <n v="78.930000000000007"/>
    <x v="0"/>
    <x v="0"/>
  </r>
  <r>
    <x v="28"/>
    <x v="28"/>
    <x v="27"/>
    <x v="2"/>
    <s v="PR290"/>
    <x v="124"/>
    <n v="78.94"/>
    <x v="8"/>
    <x v="2"/>
  </r>
  <r>
    <x v="30"/>
    <x v="30"/>
    <x v="28"/>
    <x v="0"/>
    <s v="PR290"/>
    <x v="124"/>
    <n v="384"/>
    <x v="0"/>
    <x v="0"/>
  </r>
  <r>
    <x v="30"/>
    <x v="30"/>
    <x v="28"/>
    <x v="1"/>
    <s v="PR290"/>
    <x v="124"/>
    <n v="384"/>
    <x v="0"/>
    <x v="0"/>
  </r>
  <r>
    <x v="30"/>
    <x v="30"/>
    <x v="28"/>
    <x v="2"/>
    <s v="PR290"/>
    <x v="124"/>
    <n v="384"/>
    <x v="8"/>
    <x v="2"/>
  </r>
  <r>
    <x v="32"/>
    <x v="32"/>
    <x v="30"/>
    <x v="0"/>
    <s v="PR290"/>
    <x v="124"/>
    <n v="384"/>
    <x v="0"/>
    <x v="0"/>
  </r>
  <r>
    <x v="32"/>
    <x v="32"/>
    <x v="30"/>
    <x v="1"/>
    <s v="PR290"/>
    <x v="124"/>
    <n v="384"/>
    <x v="0"/>
    <x v="0"/>
  </r>
  <r>
    <x v="32"/>
    <x v="32"/>
    <x v="30"/>
    <x v="2"/>
    <s v="PR290"/>
    <x v="124"/>
    <n v="384"/>
    <x v="8"/>
    <x v="2"/>
  </r>
  <r>
    <x v="33"/>
    <x v="33"/>
    <x v="31"/>
    <x v="0"/>
    <s v="PR290"/>
    <x v="124"/>
    <n v="384"/>
    <x v="0"/>
    <x v="0"/>
  </r>
  <r>
    <x v="33"/>
    <x v="33"/>
    <x v="31"/>
    <x v="1"/>
    <s v="PR290"/>
    <x v="124"/>
    <n v="384"/>
    <x v="0"/>
    <x v="0"/>
  </r>
  <r>
    <x v="33"/>
    <x v="33"/>
    <x v="31"/>
    <x v="2"/>
    <s v="PR290"/>
    <x v="124"/>
    <n v="384"/>
    <x v="8"/>
    <x v="2"/>
  </r>
  <r>
    <x v="37"/>
    <x v="37"/>
    <x v="35"/>
    <x v="0"/>
    <s v="PR290"/>
    <x v="124"/>
    <n v="104.53"/>
    <x v="0"/>
    <x v="0"/>
  </r>
  <r>
    <x v="37"/>
    <x v="37"/>
    <x v="35"/>
    <x v="1"/>
    <s v="PR290"/>
    <x v="124"/>
    <n v="104.53"/>
    <x v="0"/>
    <x v="0"/>
  </r>
  <r>
    <x v="37"/>
    <x v="37"/>
    <x v="35"/>
    <x v="2"/>
    <s v="PR290"/>
    <x v="124"/>
    <n v="104.54"/>
    <x v="8"/>
    <x v="2"/>
  </r>
  <r>
    <x v="38"/>
    <x v="38"/>
    <x v="36"/>
    <x v="0"/>
    <s v="PR290"/>
    <x v="124"/>
    <n v="384"/>
    <x v="0"/>
    <x v="0"/>
  </r>
  <r>
    <x v="38"/>
    <x v="38"/>
    <x v="36"/>
    <x v="1"/>
    <s v="PR290"/>
    <x v="124"/>
    <n v="384"/>
    <x v="0"/>
    <x v="0"/>
  </r>
  <r>
    <x v="38"/>
    <x v="38"/>
    <x v="36"/>
    <x v="2"/>
    <s v="PR290"/>
    <x v="124"/>
    <n v="384"/>
    <x v="8"/>
    <x v="2"/>
  </r>
  <r>
    <x v="39"/>
    <x v="39"/>
    <x v="37"/>
    <x v="0"/>
    <s v="PR290"/>
    <x v="124"/>
    <n v="208"/>
    <x v="0"/>
    <x v="0"/>
  </r>
  <r>
    <x v="39"/>
    <x v="39"/>
    <x v="37"/>
    <x v="1"/>
    <s v="PR290"/>
    <x v="124"/>
    <n v="208"/>
    <x v="0"/>
    <x v="0"/>
  </r>
  <r>
    <x v="39"/>
    <x v="39"/>
    <x v="37"/>
    <x v="2"/>
    <s v="PR290"/>
    <x v="124"/>
    <n v="208"/>
    <x v="8"/>
    <x v="2"/>
  </r>
  <r>
    <x v="41"/>
    <x v="41"/>
    <x v="39"/>
    <x v="0"/>
    <s v="PR290"/>
    <x v="124"/>
    <n v="384"/>
    <x v="0"/>
    <x v="0"/>
  </r>
  <r>
    <x v="41"/>
    <x v="41"/>
    <x v="39"/>
    <x v="1"/>
    <s v="PR290"/>
    <x v="124"/>
    <n v="384"/>
    <x v="0"/>
    <x v="0"/>
  </r>
  <r>
    <x v="41"/>
    <x v="41"/>
    <x v="39"/>
    <x v="2"/>
    <s v="PR290"/>
    <x v="124"/>
    <n v="384"/>
    <x v="8"/>
    <x v="2"/>
  </r>
  <r>
    <x v="43"/>
    <x v="43"/>
    <x v="41"/>
    <x v="0"/>
    <s v="PR290"/>
    <x v="124"/>
    <n v="384"/>
    <x v="0"/>
    <x v="0"/>
  </r>
  <r>
    <x v="43"/>
    <x v="43"/>
    <x v="41"/>
    <x v="1"/>
    <s v="PR290"/>
    <x v="124"/>
    <n v="384"/>
    <x v="0"/>
    <x v="0"/>
  </r>
  <r>
    <x v="43"/>
    <x v="43"/>
    <x v="41"/>
    <x v="2"/>
    <s v="PR290"/>
    <x v="124"/>
    <n v="384"/>
    <x v="8"/>
    <x v="2"/>
  </r>
  <r>
    <x v="46"/>
    <x v="46"/>
    <x v="44"/>
    <x v="0"/>
    <s v="PR290"/>
    <x v="124"/>
    <n v="254.93"/>
    <x v="0"/>
    <x v="0"/>
  </r>
  <r>
    <x v="46"/>
    <x v="46"/>
    <x v="44"/>
    <x v="1"/>
    <s v="PR290"/>
    <x v="124"/>
    <n v="254.93"/>
    <x v="0"/>
    <x v="0"/>
  </r>
  <r>
    <x v="46"/>
    <x v="46"/>
    <x v="44"/>
    <x v="2"/>
    <s v="PR290"/>
    <x v="124"/>
    <n v="254.94"/>
    <x v="8"/>
    <x v="2"/>
  </r>
  <r>
    <x v="47"/>
    <x v="47"/>
    <x v="45"/>
    <x v="0"/>
    <s v="PR290"/>
    <x v="124"/>
    <n v="224"/>
    <x v="0"/>
    <x v="0"/>
  </r>
  <r>
    <x v="47"/>
    <x v="47"/>
    <x v="45"/>
    <x v="1"/>
    <s v="PR290"/>
    <x v="124"/>
    <n v="224"/>
    <x v="0"/>
    <x v="0"/>
  </r>
  <r>
    <x v="47"/>
    <x v="47"/>
    <x v="45"/>
    <x v="2"/>
    <s v="PR290"/>
    <x v="124"/>
    <n v="224"/>
    <x v="8"/>
    <x v="2"/>
  </r>
  <r>
    <x v="49"/>
    <x v="49"/>
    <x v="47"/>
    <x v="0"/>
    <s v="PR290"/>
    <x v="124"/>
    <n v="32"/>
    <x v="0"/>
    <x v="0"/>
  </r>
  <r>
    <x v="49"/>
    <x v="49"/>
    <x v="47"/>
    <x v="1"/>
    <s v="PR290"/>
    <x v="124"/>
    <n v="32"/>
    <x v="0"/>
    <x v="0"/>
  </r>
  <r>
    <x v="49"/>
    <x v="49"/>
    <x v="47"/>
    <x v="2"/>
    <s v="PR290"/>
    <x v="124"/>
    <n v="32"/>
    <x v="8"/>
    <x v="2"/>
  </r>
  <r>
    <x v="51"/>
    <x v="50"/>
    <x v="49"/>
    <x v="0"/>
    <s v="PR290"/>
    <x v="124"/>
    <n v="14.93"/>
    <x v="0"/>
    <x v="0"/>
  </r>
  <r>
    <x v="51"/>
    <x v="50"/>
    <x v="49"/>
    <x v="1"/>
    <s v="PR290"/>
    <x v="124"/>
    <n v="14.93"/>
    <x v="0"/>
    <x v="0"/>
  </r>
  <r>
    <x v="51"/>
    <x v="50"/>
    <x v="49"/>
    <x v="2"/>
    <s v="PR290"/>
    <x v="124"/>
    <n v="14.94"/>
    <x v="8"/>
    <x v="2"/>
  </r>
  <r>
    <x v="52"/>
    <x v="51"/>
    <x v="50"/>
    <x v="0"/>
    <s v="PR290"/>
    <x v="124"/>
    <n v="222.93"/>
    <x v="0"/>
    <x v="0"/>
  </r>
  <r>
    <x v="52"/>
    <x v="51"/>
    <x v="50"/>
    <x v="1"/>
    <s v="PR290"/>
    <x v="124"/>
    <n v="222.93"/>
    <x v="0"/>
    <x v="0"/>
  </r>
  <r>
    <x v="52"/>
    <x v="51"/>
    <x v="50"/>
    <x v="2"/>
    <s v="PR290"/>
    <x v="124"/>
    <n v="222.94"/>
    <x v="8"/>
    <x v="2"/>
  </r>
  <r>
    <x v="53"/>
    <x v="52"/>
    <x v="48"/>
    <x v="0"/>
    <s v="PR290"/>
    <x v="124"/>
    <n v="64"/>
    <x v="0"/>
    <x v="0"/>
  </r>
  <r>
    <x v="53"/>
    <x v="52"/>
    <x v="48"/>
    <x v="1"/>
    <s v="PR290"/>
    <x v="124"/>
    <n v="64"/>
    <x v="0"/>
    <x v="0"/>
  </r>
  <r>
    <x v="53"/>
    <x v="52"/>
    <x v="48"/>
    <x v="2"/>
    <s v="PR290"/>
    <x v="124"/>
    <n v="64"/>
    <x v="8"/>
    <x v="2"/>
  </r>
  <r>
    <x v="0"/>
    <x v="0"/>
    <x v="0"/>
    <x v="0"/>
    <s v="TC001.L"/>
    <x v="125"/>
    <n v="4828.92"/>
    <x v="0"/>
    <x v="0"/>
  </r>
  <r>
    <x v="0"/>
    <x v="0"/>
    <x v="0"/>
    <x v="2"/>
    <s v="TC001.L"/>
    <x v="125"/>
    <n v="26.56"/>
    <x v="8"/>
    <x v="1"/>
  </r>
  <r>
    <x v="1"/>
    <x v="1"/>
    <x v="1"/>
    <x v="0"/>
    <s v="TC001.L"/>
    <x v="125"/>
    <n v="42607.28"/>
    <x v="0"/>
    <x v="0"/>
  </r>
  <r>
    <x v="1"/>
    <x v="1"/>
    <x v="1"/>
    <x v="2"/>
    <s v="TC001.L"/>
    <x v="125"/>
    <n v="234.34"/>
    <x v="8"/>
    <x v="1"/>
  </r>
  <r>
    <x v="2"/>
    <x v="2"/>
    <x v="2"/>
    <x v="0"/>
    <s v="TC001.L"/>
    <x v="125"/>
    <n v="61368.02"/>
    <x v="0"/>
    <x v="0"/>
  </r>
  <r>
    <x v="2"/>
    <x v="2"/>
    <x v="2"/>
    <x v="2"/>
    <s v="TC001.L"/>
    <x v="125"/>
    <n v="337.54"/>
    <x v="8"/>
    <x v="1"/>
  </r>
  <r>
    <x v="3"/>
    <x v="3"/>
    <x v="3"/>
    <x v="0"/>
    <s v="TC001.L"/>
    <x v="125"/>
    <n v="15076.95"/>
    <x v="0"/>
    <x v="0"/>
  </r>
  <r>
    <x v="3"/>
    <x v="3"/>
    <x v="3"/>
    <x v="2"/>
    <s v="TC001.L"/>
    <x v="125"/>
    <n v="82.93"/>
    <x v="8"/>
    <x v="1"/>
  </r>
  <r>
    <x v="4"/>
    <x v="4"/>
    <x v="4"/>
    <x v="0"/>
    <s v="TC001.L"/>
    <x v="125"/>
    <n v="19283.740000000002"/>
    <x v="0"/>
    <x v="0"/>
  </r>
  <r>
    <x v="4"/>
    <x v="4"/>
    <x v="4"/>
    <x v="2"/>
    <s v="TC001.L"/>
    <x v="125"/>
    <n v="106.07"/>
    <x v="8"/>
    <x v="1"/>
  </r>
  <r>
    <x v="5"/>
    <x v="5"/>
    <x v="5"/>
    <x v="0"/>
    <s v="TC001.L"/>
    <x v="125"/>
    <n v="45370.13"/>
    <x v="0"/>
    <x v="0"/>
  </r>
  <r>
    <x v="5"/>
    <x v="5"/>
    <x v="5"/>
    <x v="2"/>
    <s v="TC001.L"/>
    <x v="125"/>
    <n v="249.56"/>
    <x v="8"/>
    <x v="1"/>
  </r>
  <r>
    <x v="6"/>
    <x v="6"/>
    <x v="6"/>
    <x v="0"/>
    <s v="TC001.L"/>
    <x v="125"/>
    <n v="60709.03"/>
    <x v="0"/>
    <x v="0"/>
  </r>
  <r>
    <x v="6"/>
    <x v="6"/>
    <x v="6"/>
    <x v="2"/>
    <s v="TC001.L"/>
    <x v="125"/>
    <n v="333.93"/>
    <x v="8"/>
    <x v="1"/>
  </r>
  <r>
    <x v="7"/>
    <x v="7"/>
    <x v="7"/>
    <x v="0"/>
    <s v="TC001.L"/>
    <x v="125"/>
    <n v="53722.94"/>
    <x v="0"/>
    <x v="0"/>
  </r>
  <r>
    <x v="7"/>
    <x v="7"/>
    <x v="7"/>
    <x v="2"/>
    <s v="TC001.L"/>
    <x v="125"/>
    <n v="295.45999999999998"/>
    <x v="8"/>
    <x v="1"/>
  </r>
  <r>
    <x v="8"/>
    <x v="8"/>
    <x v="8"/>
    <x v="0"/>
    <s v="TC001.L"/>
    <x v="125"/>
    <n v="135562.20000000001"/>
    <x v="0"/>
    <x v="0"/>
  </r>
  <r>
    <x v="8"/>
    <x v="8"/>
    <x v="8"/>
    <x v="2"/>
    <s v="TC001.L"/>
    <x v="125"/>
    <n v="745.54"/>
    <x v="8"/>
    <x v="1"/>
  </r>
  <r>
    <x v="9"/>
    <x v="9"/>
    <x v="9"/>
    <x v="0"/>
    <s v="TC001.L"/>
    <x v="125"/>
    <n v="62989.04"/>
    <x v="0"/>
    <x v="0"/>
  </r>
  <r>
    <x v="9"/>
    <x v="9"/>
    <x v="9"/>
    <x v="2"/>
    <s v="TC001.L"/>
    <x v="125"/>
    <n v="346.42"/>
    <x v="8"/>
    <x v="1"/>
  </r>
  <r>
    <x v="10"/>
    <x v="10"/>
    <x v="10"/>
    <x v="0"/>
    <s v="TC001.L"/>
    <x v="125"/>
    <n v="136214.53"/>
    <x v="0"/>
    <x v="0"/>
  </r>
  <r>
    <x v="10"/>
    <x v="10"/>
    <x v="10"/>
    <x v="2"/>
    <s v="TC001.L"/>
    <x v="125"/>
    <n v="749.18"/>
    <x v="8"/>
    <x v="1"/>
  </r>
  <r>
    <x v="11"/>
    <x v="11"/>
    <x v="11"/>
    <x v="0"/>
    <s v="TC001.L"/>
    <x v="125"/>
    <n v="71102.789999999994"/>
    <x v="0"/>
    <x v="0"/>
  </r>
  <r>
    <x v="11"/>
    <x v="11"/>
    <x v="11"/>
    <x v="2"/>
    <s v="TC001.L"/>
    <x v="125"/>
    <n v="391.08"/>
    <x v="8"/>
    <x v="1"/>
  </r>
  <r>
    <x v="12"/>
    <x v="12"/>
    <x v="12"/>
    <x v="0"/>
    <s v="TC001.L"/>
    <x v="125"/>
    <n v="56665.37"/>
    <x v="0"/>
    <x v="0"/>
  </r>
  <r>
    <x v="12"/>
    <x v="12"/>
    <x v="12"/>
    <x v="2"/>
    <s v="TC001.L"/>
    <x v="125"/>
    <n v="311.64999999999998"/>
    <x v="8"/>
    <x v="1"/>
  </r>
  <r>
    <x v="13"/>
    <x v="13"/>
    <x v="13"/>
    <x v="0"/>
    <s v="TC001.L"/>
    <x v="125"/>
    <n v="27357.07"/>
    <x v="0"/>
    <x v="0"/>
  </r>
  <r>
    <x v="13"/>
    <x v="13"/>
    <x v="13"/>
    <x v="2"/>
    <s v="TC001.L"/>
    <x v="125"/>
    <n v="150.47"/>
    <x v="8"/>
    <x v="1"/>
  </r>
  <r>
    <x v="14"/>
    <x v="14"/>
    <x v="14"/>
    <x v="0"/>
    <s v="TC001.L"/>
    <x v="125"/>
    <n v="40454.120000000003"/>
    <x v="0"/>
    <x v="0"/>
  </r>
  <r>
    <x v="14"/>
    <x v="14"/>
    <x v="14"/>
    <x v="2"/>
    <s v="TC001.L"/>
    <x v="125"/>
    <n v="222.48"/>
    <x v="8"/>
    <x v="1"/>
  </r>
  <r>
    <x v="15"/>
    <x v="15"/>
    <x v="15"/>
    <x v="0"/>
    <s v="TC001.L"/>
    <x v="125"/>
    <n v="61446.32"/>
    <x v="0"/>
    <x v="0"/>
  </r>
  <r>
    <x v="15"/>
    <x v="15"/>
    <x v="15"/>
    <x v="2"/>
    <s v="TC001.L"/>
    <x v="125"/>
    <n v="337.98"/>
    <x v="8"/>
    <x v="1"/>
  </r>
  <r>
    <x v="16"/>
    <x v="16"/>
    <x v="16"/>
    <x v="0"/>
    <s v="TC001.L"/>
    <x v="125"/>
    <n v="31999.98"/>
    <x v="0"/>
    <x v="0"/>
  </r>
  <r>
    <x v="16"/>
    <x v="16"/>
    <x v="16"/>
    <x v="2"/>
    <s v="TC001.L"/>
    <x v="125"/>
    <n v="175.98"/>
    <x v="8"/>
    <x v="1"/>
  </r>
  <r>
    <x v="17"/>
    <x v="17"/>
    <x v="17"/>
    <x v="0"/>
    <s v="TC001.L"/>
    <x v="125"/>
    <n v="5765.88"/>
    <x v="0"/>
    <x v="0"/>
  </r>
  <r>
    <x v="17"/>
    <x v="17"/>
    <x v="17"/>
    <x v="2"/>
    <s v="TC001.L"/>
    <x v="125"/>
    <n v="31.72"/>
    <x v="8"/>
    <x v="1"/>
  </r>
  <r>
    <x v="18"/>
    <x v="18"/>
    <x v="18"/>
    <x v="0"/>
    <s v="TC001.L"/>
    <x v="125"/>
    <n v="96673.07"/>
    <x v="0"/>
    <x v="0"/>
  </r>
  <r>
    <x v="18"/>
    <x v="18"/>
    <x v="18"/>
    <x v="2"/>
    <s v="TC001.L"/>
    <x v="125"/>
    <n v="531.70000000000005"/>
    <x v="8"/>
    <x v="1"/>
  </r>
  <r>
    <x v="19"/>
    <x v="19"/>
    <x v="19"/>
    <x v="0"/>
    <s v="TC001.L"/>
    <x v="125"/>
    <n v="63921.65"/>
    <x v="0"/>
    <x v="0"/>
  </r>
  <r>
    <x v="19"/>
    <x v="19"/>
    <x v="19"/>
    <x v="2"/>
    <s v="TC001.L"/>
    <x v="125"/>
    <n v="351.56"/>
    <x v="8"/>
    <x v="1"/>
  </r>
  <r>
    <x v="20"/>
    <x v="20"/>
    <x v="20"/>
    <x v="0"/>
    <s v="TC001.L"/>
    <x v="125"/>
    <n v="68495.59"/>
    <x v="0"/>
    <x v="0"/>
  </r>
  <r>
    <x v="20"/>
    <x v="20"/>
    <x v="20"/>
    <x v="2"/>
    <s v="TC001.L"/>
    <x v="125"/>
    <n v="376.74"/>
    <x v="8"/>
    <x v="1"/>
  </r>
  <r>
    <x v="21"/>
    <x v="21"/>
    <x v="21"/>
    <x v="0"/>
    <s v="TC001.L"/>
    <x v="125"/>
    <n v="38087.230000000003"/>
    <x v="0"/>
    <x v="0"/>
  </r>
  <r>
    <x v="21"/>
    <x v="21"/>
    <x v="21"/>
    <x v="2"/>
    <s v="TC001.L"/>
    <x v="125"/>
    <n v="209.48"/>
    <x v="8"/>
    <x v="1"/>
  </r>
  <r>
    <x v="22"/>
    <x v="22"/>
    <x v="22"/>
    <x v="0"/>
    <s v="TC001.L"/>
    <x v="125"/>
    <n v="25472.84"/>
    <x v="0"/>
    <x v="0"/>
  </r>
  <r>
    <x v="22"/>
    <x v="22"/>
    <x v="22"/>
    <x v="2"/>
    <s v="TC001.L"/>
    <x v="125"/>
    <n v="140.11000000000001"/>
    <x v="8"/>
    <x v="1"/>
  </r>
  <r>
    <x v="23"/>
    <x v="23"/>
    <x v="23"/>
    <x v="0"/>
    <s v="TC001.L"/>
    <x v="125"/>
    <n v="39845.279999999999"/>
    <x v="0"/>
    <x v="0"/>
  </r>
  <r>
    <x v="23"/>
    <x v="23"/>
    <x v="23"/>
    <x v="2"/>
    <s v="TC001.L"/>
    <x v="125"/>
    <n v="219.16"/>
    <x v="8"/>
    <x v="1"/>
  </r>
  <r>
    <x v="24"/>
    <x v="24"/>
    <x v="7"/>
    <x v="0"/>
    <s v="TC001.L"/>
    <x v="125"/>
    <n v="7934.12"/>
    <x v="0"/>
    <x v="0"/>
  </r>
  <r>
    <x v="24"/>
    <x v="24"/>
    <x v="7"/>
    <x v="2"/>
    <s v="TC001.L"/>
    <x v="125"/>
    <n v="43.64"/>
    <x v="8"/>
    <x v="1"/>
  </r>
  <r>
    <x v="25"/>
    <x v="25"/>
    <x v="24"/>
    <x v="0"/>
    <s v="TC001.L"/>
    <x v="125"/>
    <n v="38855.14"/>
    <x v="0"/>
    <x v="0"/>
  </r>
  <r>
    <x v="25"/>
    <x v="25"/>
    <x v="24"/>
    <x v="2"/>
    <s v="TC001.L"/>
    <x v="125"/>
    <n v="213.72"/>
    <x v="8"/>
    <x v="1"/>
  </r>
  <r>
    <x v="26"/>
    <x v="26"/>
    <x v="25"/>
    <x v="0"/>
    <s v="TC001.L"/>
    <x v="125"/>
    <n v="59572.69"/>
    <x v="0"/>
    <x v="0"/>
  </r>
  <r>
    <x v="26"/>
    <x v="26"/>
    <x v="25"/>
    <x v="2"/>
    <s v="TC001.L"/>
    <x v="125"/>
    <n v="327.68"/>
    <x v="8"/>
    <x v="1"/>
  </r>
  <r>
    <x v="28"/>
    <x v="28"/>
    <x v="27"/>
    <x v="0"/>
    <s v="TC001.L"/>
    <x v="125"/>
    <n v="10674.95"/>
    <x v="0"/>
    <x v="0"/>
  </r>
  <r>
    <x v="28"/>
    <x v="28"/>
    <x v="27"/>
    <x v="2"/>
    <s v="TC001.L"/>
    <x v="125"/>
    <n v="58.72"/>
    <x v="8"/>
    <x v="1"/>
  </r>
  <r>
    <x v="29"/>
    <x v="29"/>
    <x v="6"/>
    <x v="0"/>
    <s v="TC001.L"/>
    <x v="125"/>
    <n v="38311.83"/>
    <x v="0"/>
    <x v="0"/>
  </r>
  <r>
    <x v="29"/>
    <x v="29"/>
    <x v="6"/>
    <x v="2"/>
    <s v="TC001.L"/>
    <x v="125"/>
    <n v="210.7"/>
    <x v="8"/>
    <x v="1"/>
  </r>
  <r>
    <x v="30"/>
    <x v="30"/>
    <x v="28"/>
    <x v="0"/>
    <s v="TC001.L"/>
    <x v="125"/>
    <n v="61604.34"/>
    <x v="0"/>
    <x v="0"/>
  </r>
  <r>
    <x v="30"/>
    <x v="30"/>
    <x v="28"/>
    <x v="2"/>
    <s v="TC001.L"/>
    <x v="125"/>
    <n v="338.86"/>
    <x v="8"/>
    <x v="1"/>
  </r>
  <r>
    <x v="31"/>
    <x v="31"/>
    <x v="29"/>
    <x v="0"/>
    <s v="TC001.L"/>
    <x v="125"/>
    <n v="59393.65"/>
    <x v="0"/>
    <x v="0"/>
  </r>
  <r>
    <x v="31"/>
    <x v="31"/>
    <x v="29"/>
    <x v="2"/>
    <s v="TC001.L"/>
    <x v="125"/>
    <n v="326.66000000000003"/>
    <x v="8"/>
    <x v="1"/>
  </r>
  <r>
    <x v="32"/>
    <x v="32"/>
    <x v="30"/>
    <x v="0"/>
    <s v="TC001.L"/>
    <x v="125"/>
    <n v="48974.5"/>
    <x v="0"/>
    <x v="0"/>
  </r>
  <r>
    <x v="32"/>
    <x v="32"/>
    <x v="30"/>
    <x v="2"/>
    <s v="TC001.L"/>
    <x v="125"/>
    <n v="269.37"/>
    <x v="8"/>
    <x v="1"/>
  </r>
  <r>
    <x v="33"/>
    <x v="33"/>
    <x v="31"/>
    <x v="0"/>
    <s v="TC001.L"/>
    <x v="125"/>
    <n v="43774.64"/>
    <x v="0"/>
    <x v="0"/>
  </r>
  <r>
    <x v="33"/>
    <x v="33"/>
    <x v="31"/>
    <x v="2"/>
    <s v="TC001.L"/>
    <x v="125"/>
    <n v="240.74"/>
    <x v="8"/>
    <x v="1"/>
  </r>
  <r>
    <x v="34"/>
    <x v="34"/>
    <x v="32"/>
    <x v="0"/>
    <s v="TC001.L"/>
    <x v="125"/>
    <n v="70385.62"/>
    <x v="0"/>
    <x v="0"/>
  </r>
  <r>
    <x v="34"/>
    <x v="34"/>
    <x v="32"/>
    <x v="2"/>
    <s v="TC001.L"/>
    <x v="125"/>
    <n v="387.14"/>
    <x v="8"/>
    <x v="1"/>
  </r>
  <r>
    <x v="35"/>
    <x v="35"/>
    <x v="33"/>
    <x v="0"/>
    <s v="TC001.L"/>
    <x v="125"/>
    <n v="38315.9"/>
    <x v="0"/>
    <x v="0"/>
  </r>
  <r>
    <x v="35"/>
    <x v="35"/>
    <x v="33"/>
    <x v="2"/>
    <s v="TC001.L"/>
    <x v="125"/>
    <n v="210.72"/>
    <x v="8"/>
    <x v="1"/>
  </r>
  <r>
    <x v="36"/>
    <x v="36"/>
    <x v="34"/>
    <x v="0"/>
    <s v="TC001.L"/>
    <x v="125"/>
    <n v="5765.88"/>
    <x v="0"/>
    <x v="0"/>
  </r>
  <r>
    <x v="36"/>
    <x v="36"/>
    <x v="34"/>
    <x v="2"/>
    <s v="TC001.L"/>
    <x v="125"/>
    <n v="31.72"/>
    <x v="8"/>
    <x v="1"/>
  </r>
  <r>
    <x v="37"/>
    <x v="37"/>
    <x v="35"/>
    <x v="0"/>
    <s v="TC001.L"/>
    <x v="125"/>
    <n v="38778.019999999997"/>
    <x v="0"/>
    <x v="0"/>
  </r>
  <r>
    <x v="37"/>
    <x v="37"/>
    <x v="35"/>
    <x v="2"/>
    <s v="TC001.L"/>
    <x v="125"/>
    <n v="213.28"/>
    <x v="8"/>
    <x v="1"/>
  </r>
  <r>
    <x v="38"/>
    <x v="38"/>
    <x v="36"/>
    <x v="0"/>
    <s v="TC001.L"/>
    <x v="125"/>
    <n v="138740.99"/>
    <x v="0"/>
    <x v="0"/>
  </r>
  <r>
    <x v="38"/>
    <x v="38"/>
    <x v="36"/>
    <x v="2"/>
    <s v="TC001.L"/>
    <x v="125"/>
    <n v="763.06"/>
    <x v="8"/>
    <x v="1"/>
  </r>
  <r>
    <x v="39"/>
    <x v="39"/>
    <x v="37"/>
    <x v="0"/>
    <s v="TC001.L"/>
    <x v="125"/>
    <n v="18490.8"/>
    <x v="0"/>
    <x v="0"/>
  </r>
  <r>
    <x v="39"/>
    <x v="39"/>
    <x v="37"/>
    <x v="2"/>
    <s v="TC001.L"/>
    <x v="125"/>
    <n v="101.71"/>
    <x v="8"/>
    <x v="1"/>
  </r>
  <r>
    <x v="40"/>
    <x v="40"/>
    <x v="38"/>
    <x v="0"/>
    <s v="TC001.L"/>
    <x v="125"/>
    <n v="58661.4"/>
    <x v="0"/>
    <x v="0"/>
  </r>
  <r>
    <x v="40"/>
    <x v="40"/>
    <x v="38"/>
    <x v="2"/>
    <s v="TC001.L"/>
    <x v="125"/>
    <n v="322.64"/>
    <x v="8"/>
    <x v="1"/>
  </r>
  <r>
    <x v="41"/>
    <x v="41"/>
    <x v="39"/>
    <x v="0"/>
    <s v="TC001.L"/>
    <x v="125"/>
    <n v="58329.01"/>
    <x v="0"/>
    <x v="0"/>
  </r>
  <r>
    <x v="41"/>
    <x v="41"/>
    <x v="39"/>
    <x v="2"/>
    <s v="TC001.L"/>
    <x v="125"/>
    <n v="320.8"/>
    <x v="8"/>
    <x v="1"/>
  </r>
  <r>
    <x v="42"/>
    <x v="42"/>
    <x v="40"/>
    <x v="0"/>
    <s v="TC001.L"/>
    <x v="125"/>
    <n v="79172.740000000005"/>
    <x v="0"/>
    <x v="0"/>
  </r>
  <r>
    <x v="42"/>
    <x v="42"/>
    <x v="40"/>
    <x v="2"/>
    <s v="TC001.L"/>
    <x v="125"/>
    <n v="435.43"/>
    <x v="8"/>
    <x v="1"/>
  </r>
  <r>
    <x v="43"/>
    <x v="43"/>
    <x v="41"/>
    <x v="0"/>
    <s v="TC001.L"/>
    <x v="125"/>
    <n v="56944.02"/>
    <x v="0"/>
    <x v="0"/>
  </r>
  <r>
    <x v="43"/>
    <x v="43"/>
    <x v="41"/>
    <x v="2"/>
    <s v="TC001.L"/>
    <x v="125"/>
    <n v="313.18"/>
    <x v="8"/>
    <x v="1"/>
  </r>
  <r>
    <x v="44"/>
    <x v="44"/>
    <x v="42"/>
    <x v="0"/>
    <s v="TC001.L"/>
    <x v="125"/>
    <n v="45684.82"/>
    <x v="0"/>
    <x v="0"/>
  </r>
  <r>
    <x v="44"/>
    <x v="44"/>
    <x v="42"/>
    <x v="2"/>
    <s v="TC001.L"/>
    <x v="125"/>
    <n v="251.29"/>
    <x v="8"/>
    <x v="1"/>
  </r>
  <r>
    <x v="45"/>
    <x v="45"/>
    <x v="43"/>
    <x v="0"/>
    <s v="TC001.L"/>
    <x v="125"/>
    <n v="31392.38"/>
    <x v="0"/>
    <x v="0"/>
  </r>
  <r>
    <x v="45"/>
    <x v="45"/>
    <x v="43"/>
    <x v="2"/>
    <s v="TC001.L"/>
    <x v="125"/>
    <n v="172.65"/>
    <x v="8"/>
    <x v="1"/>
  </r>
  <r>
    <x v="46"/>
    <x v="46"/>
    <x v="44"/>
    <x v="0"/>
    <s v="TC001.L"/>
    <x v="125"/>
    <n v="7716.54"/>
    <x v="0"/>
    <x v="0"/>
  </r>
  <r>
    <x v="46"/>
    <x v="46"/>
    <x v="44"/>
    <x v="2"/>
    <s v="TC001.L"/>
    <x v="125"/>
    <n v="42.44"/>
    <x v="8"/>
    <x v="1"/>
  </r>
  <r>
    <x v="47"/>
    <x v="47"/>
    <x v="45"/>
    <x v="0"/>
    <s v="TC001.L"/>
    <x v="125"/>
    <n v="26326.86"/>
    <x v="0"/>
    <x v="0"/>
  </r>
  <r>
    <x v="47"/>
    <x v="47"/>
    <x v="45"/>
    <x v="2"/>
    <s v="TC001.L"/>
    <x v="125"/>
    <n v="144.81"/>
    <x v="8"/>
    <x v="1"/>
  </r>
  <r>
    <x v="48"/>
    <x v="48"/>
    <x v="46"/>
    <x v="0"/>
    <s v="TC001.L"/>
    <x v="125"/>
    <n v="7840.63"/>
    <x v="0"/>
    <x v="0"/>
  </r>
  <r>
    <x v="48"/>
    <x v="48"/>
    <x v="46"/>
    <x v="2"/>
    <s v="TC001.L"/>
    <x v="125"/>
    <n v="43.13"/>
    <x v="8"/>
    <x v="1"/>
  </r>
  <r>
    <x v="49"/>
    <x v="49"/>
    <x v="47"/>
    <x v="0"/>
    <s v="TC001.L"/>
    <x v="125"/>
    <n v="3399.94"/>
    <x v="0"/>
    <x v="0"/>
  </r>
  <r>
    <x v="49"/>
    <x v="49"/>
    <x v="47"/>
    <x v="2"/>
    <s v="TC001.L"/>
    <x v="125"/>
    <n v="18.7"/>
    <x v="8"/>
    <x v="1"/>
  </r>
  <r>
    <x v="50"/>
    <x v="49"/>
    <x v="48"/>
    <x v="0"/>
    <s v="TC001.L"/>
    <x v="125"/>
    <n v="36818.67"/>
    <x v="0"/>
    <x v="0"/>
  </r>
  <r>
    <x v="50"/>
    <x v="49"/>
    <x v="48"/>
    <x v="2"/>
    <s v="TC001.L"/>
    <x v="125"/>
    <n v="202.49"/>
    <x v="8"/>
    <x v="1"/>
  </r>
  <r>
    <x v="51"/>
    <x v="50"/>
    <x v="49"/>
    <x v="0"/>
    <s v="TC001.L"/>
    <x v="125"/>
    <n v="6077.96"/>
    <x v="0"/>
    <x v="0"/>
  </r>
  <r>
    <x v="51"/>
    <x v="50"/>
    <x v="49"/>
    <x v="2"/>
    <s v="TC001.L"/>
    <x v="125"/>
    <n v="33.43"/>
    <x v="8"/>
    <x v="1"/>
  </r>
  <r>
    <x v="52"/>
    <x v="51"/>
    <x v="50"/>
    <x v="0"/>
    <s v="TC001.L"/>
    <x v="125"/>
    <n v="45128.26"/>
    <x v="0"/>
    <x v="0"/>
  </r>
  <r>
    <x v="52"/>
    <x v="51"/>
    <x v="50"/>
    <x v="2"/>
    <s v="TC001.L"/>
    <x v="125"/>
    <n v="248.22"/>
    <x v="8"/>
    <x v="1"/>
  </r>
  <r>
    <x v="53"/>
    <x v="52"/>
    <x v="48"/>
    <x v="0"/>
    <s v="TC001.L"/>
    <x v="125"/>
    <n v="6819.94"/>
    <x v="0"/>
    <x v="0"/>
  </r>
  <r>
    <x v="53"/>
    <x v="52"/>
    <x v="48"/>
    <x v="2"/>
    <s v="TC001.L"/>
    <x v="125"/>
    <n v="37.5"/>
    <x v="8"/>
    <x v="1"/>
  </r>
  <r>
    <x v="3"/>
    <x v="3"/>
    <x v="3"/>
    <x v="0"/>
    <s v="TC003"/>
    <x v="126"/>
    <n v="15076.95"/>
    <x v="0"/>
    <x v="0"/>
  </r>
  <r>
    <x v="3"/>
    <x v="3"/>
    <x v="3"/>
    <x v="2"/>
    <s v="TC003"/>
    <x v="126"/>
    <n v="150.77000000000001"/>
    <x v="8"/>
    <x v="1"/>
  </r>
  <r>
    <x v="4"/>
    <x v="4"/>
    <x v="4"/>
    <x v="0"/>
    <s v="TC003"/>
    <x v="126"/>
    <n v="19283.740000000002"/>
    <x v="0"/>
    <x v="0"/>
  </r>
  <r>
    <x v="4"/>
    <x v="4"/>
    <x v="4"/>
    <x v="2"/>
    <s v="TC003"/>
    <x v="126"/>
    <n v="192.84"/>
    <x v="8"/>
    <x v="1"/>
  </r>
  <r>
    <x v="14"/>
    <x v="14"/>
    <x v="14"/>
    <x v="0"/>
    <s v="TC003"/>
    <x v="126"/>
    <n v="339.22"/>
    <x v="0"/>
    <x v="0"/>
  </r>
  <r>
    <x v="14"/>
    <x v="14"/>
    <x v="14"/>
    <x v="2"/>
    <s v="TC003"/>
    <x v="126"/>
    <n v="3.39"/>
    <x v="8"/>
    <x v="1"/>
  </r>
  <r>
    <x v="28"/>
    <x v="28"/>
    <x v="27"/>
    <x v="0"/>
    <s v="TC003"/>
    <x v="126"/>
    <n v="10674.95"/>
    <x v="0"/>
    <x v="0"/>
  </r>
  <r>
    <x v="28"/>
    <x v="28"/>
    <x v="27"/>
    <x v="2"/>
    <s v="TC003"/>
    <x v="126"/>
    <n v="106.75"/>
    <x v="8"/>
    <x v="1"/>
  </r>
  <r>
    <x v="39"/>
    <x v="39"/>
    <x v="37"/>
    <x v="0"/>
    <s v="TC003"/>
    <x v="126"/>
    <n v="18490.8"/>
    <x v="0"/>
    <x v="0"/>
  </r>
  <r>
    <x v="39"/>
    <x v="39"/>
    <x v="37"/>
    <x v="2"/>
    <s v="TC003"/>
    <x v="126"/>
    <n v="184.89"/>
    <x v="8"/>
    <x v="1"/>
  </r>
  <r>
    <x v="43"/>
    <x v="43"/>
    <x v="41"/>
    <x v="0"/>
    <s v="TC003"/>
    <x v="126"/>
    <n v="21825.88"/>
    <x v="0"/>
    <x v="0"/>
  </r>
  <r>
    <x v="43"/>
    <x v="43"/>
    <x v="41"/>
    <x v="2"/>
    <s v="TC003"/>
    <x v="126"/>
    <n v="218.25"/>
    <x v="8"/>
    <x v="1"/>
  </r>
  <r>
    <x v="49"/>
    <x v="49"/>
    <x v="47"/>
    <x v="0"/>
    <s v="TC003"/>
    <x v="126"/>
    <n v="3399.94"/>
    <x v="0"/>
    <x v="0"/>
  </r>
  <r>
    <x v="49"/>
    <x v="49"/>
    <x v="47"/>
    <x v="2"/>
    <s v="TC003"/>
    <x v="126"/>
    <n v="34"/>
    <x v="8"/>
    <x v="1"/>
  </r>
  <r>
    <x v="51"/>
    <x v="50"/>
    <x v="49"/>
    <x v="0"/>
    <s v="TC003"/>
    <x v="126"/>
    <n v="6077.96"/>
    <x v="0"/>
    <x v="0"/>
  </r>
  <r>
    <x v="51"/>
    <x v="50"/>
    <x v="49"/>
    <x v="2"/>
    <s v="TC003"/>
    <x v="126"/>
    <n v="60.78"/>
    <x v="8"/>
    <x v="1"/>
  </r>
  <r>
    <x v="53"/>
    <x v="52"/>
    <x v="48"/>
    <x v="0"/>
    <s v="TC003"/>
    <x v="126"/>
    <n v="6819.94"/>
    <x v="0"/>
    <x v="0"/>
  </r>
  <r>
    <x v="53"/>
    <x v="52"/>
    <x v="48"/>
    <x v="2"/>
    <s v="TC003"/>
    <x v="126"/>
    <n v="68.2"/>
    <x v="8"/>
    <x v="1"/>
  </r>
  <r>
    <x v="0"/>
    <x v="0"/>
    <x v="0"/>
    <x v="0"/>
    <s v="TC004"/>
    <x v="127"/>
    <n v="4828.92"/>
    <x v="0"/>
    <x v="0"/>
  </r>
  <r>
    <x v="0"/>
    <x v="0"/>
    <x v="0"/>
    <x v="2"/>
    <s v="TC004"/>
    <x v="127"/>
    <n v="28.48"/>
    <x v="8"/>
    <x v="1"/>
  </r>
  <r>
    <x v="1"/>
    <x v="1"/>
    <x v="1"/>
    <x v="0"/>
    <s v="TC004"/>
    <x v="127"/>
    <n v="42607.28"/>
    <x v="0"/>
    <x v="0"/>
  </r>
  <r>
    <x v="1"/>
    <x v="1"/>
    <x v="1"/>
    <x v="2"/>
    <s v="TC004"/>
    <x v="127"/>
    <n v="251.39"/>
    <x v="8"/>
    <x v="1"/>
  </r>
  <r>
    <x v="2"/>
    <x v="2"/>
    <x v="2"/>
    <x v="0"/>
    <s v="TC004"/>
    <x v="127"/>
    <n v="61368.02"/>
    <x v="0"/>
    <x v="0"/>
  </r>
  <r>
    <x v="2"/>
    <x v="2"/>
    <x v="2"/>
    <x v="2"/>
    <s v="TC004"/>
    <x v="127"/>
    <n v="362.08"/>
    <x v="8"/>
    <x v="1"/>
  </r>
  <r>
    <x v="3"/>
    <x v="3"/>
    <x v="3"/>
    <x v="0"/>
    <s v="TC004"/>
    <x v="127"/>
    <n v="15076.95"/>
    <x v="0"/>
    <x v="0"/>
  </r>
  <r>
    <x v="3"/>
    <x v="3"/>
    <x v="3"/>
    <x v="2"/>
    <s v="TC004"/>
    <x v="127"/>
    <n v="88.95"/>
    <x v="8"/>
    <x v="1"/>
  </r>
  <r>
    <x v="4"/>
    <x v="4"/>
    <x v="4"/>
    <x v="0"/>
    <s v="TC004"/>
    <x v="127"/>
    <n v="19283.740000000002"/>
    <x v="0"/>
    <x v="0"/>
  </r>
  <r>
    <x v="4"/>
    <x v="4"/>
    <x v="4"/>
    <x v="2"/>
    <s v="TC004"/>
    <x v="127"/>
    <n v="113.76"/>
    <x v="8"/>
    <x v="1"/>
  </r>
  <r>
    <x v="5"/>
    <x v="5"/>
    <x v="5"/>
    <x v="0"/>
    <s v="TC004"/>
    <x v="127"/>
    <n v="45370.13"/>
    <x v="0"/>
    <x v="0"/>
  </r>
  <r>
    <x v="5"/>
    <x v="5"/>
    <x v="5"/>
    <x v="2"/>
    <s v="TC004"/>
    <x v="127"/>
    <n v="267.69"/>
    <x v="8"/>
    <x v="1"/>
  </r>
  <r>
    <x v="6"/>
    <x v="6"/>
    <x v="6"/>
    <x v="0"/>
    <s v="TC004"/>
    <x v="127"/>
    <n v="60709.03"/>
    <x v="0"/>
    <x v="0"/>
  </r>
  <r>
    <x v="6"/>
    <x v="6"/>
    <x v="6"/>
    <x v="2"/>
    <s v="TC004"/>
    <x v="127"/>
    <n v="358.21"/>
    <x v="8"/>
    <x v="1"/>
  </r>
  <r>
    <x v="7"/>
    <x v="7"/>
    <x v="7"/>
    <x v="0"/>
    <s v="TC004"/>
    <x v="127"/>
    <n v="53722.94"/>
    <x v="0"/>
    <x v="0"/>
  </r>
  <r>
    <x v="7"/>
    <x v="7"/>
    <x v="7"/>
    <x v="2"/>
    <s v="TC004"/>
    <x v="127"/>
    <n v="316.95999999999998"/>
    <x v="8"/>
    <x v="1"/>
  </r>
  <r>
    <x v="8"/>
    <x v="8"/>
    <x v="8"/>
    <x v="0"/>
    <s v="TC004"/>
    <x v="127"/>
    <n v="135562.20000000001"/>
    <x v="0"/>
    <x v="0"/>
  </r>
  <r>
    <x v="8"/>
    <x v="8"/>
    <x v="8"/>
    <x v="2"/>
    <s v="TC004"/>
    <x v="127"/>
    <n v="799.83"/>
    <x v="8"/>
    <x v="1"/>
  </r>
  <r>
    <x v="9"/>
    <x v="9"/>
    <x v="9"/>
    <x v="0"/>
    <s v="TC004"/>
    <x v="127"/>
    <n v="62989.04"/>
    <x v="0"/>
    <x v="0"/>
  </r>
  <r>
    <x v="9"/>
    <x v="9"/>
    <x v="9"/>
    <x v="2"/>
    <s v="TC004"/>
    <x v="127"/>
    <n v="371.64"/>
    <x v="8"/>
    <x v="1"/>
  </r>
  <r>
    <x v="10"/>
    <x v="10"/>
    <x v="10"/>
    <x v="0"/>
    <s v="TC004"/>
    <x v="127"/>
    <n v="136214.53"/>
    <x v="0"/>
    <x v="0"/>
  </r>
  <r>
    <x v="10"/>
    <x v="10"/>
    <x v="10"/>
    <x v="2"/>
    <s v="TC004"/>
    <x v="127"/>
    <n v="803.67"/>
    <x v="8"/>
    <x v="1"/>
  </r>
  <r>
    <x v="11"/>
    <x v="11"/>
    <x v="11"/>
    <x v="0"/>
    <s v="TC004"/>
    <x v="127"/>
    <n v="71102.789999999994"/>
    <x v="0"/>
    <x v="0"/>
  </r>
  <r>
    <x v="11"/>
    <x v="11"/>
    <x v="11"/>
    <x v="2"/>
    <s v="TC004"/>
    <x v="127"/>
    <n v="419.49"/>
    <x v="8"/>
    <x v="1"/>
  </r>
  <r>
    <x v="12"/>
    <x v="12"/>
    <x v="12"/>
    <x v="0"/>
    <s v="TC004"/>
    <x v="127"/>
    <n v="56665.37"/>
    <x v="0"/>
    <x v="0"/>
  </r>
  <r>
    <x v="12"/>
    <x v="12"/>
    <x v="12"/>
    <x v="2"/>
    <s v="TC004"/>
    <x v="127"/>
    <n v="334.34"/>
    <x v="8"/>
    <x v="1"/>
  </r>
  <r>
    <x v="13"/>
    <x v="13"/>
    <x v="13"/>
    <x v="0"/>
    <s v="TC004"/>
    <x v="127"/>
    <n v="27357.07"/>
    <x v="0"/>
    <x v="0"/>
  </r>
  <r>
    <x v="13"/>
    <x v="13"/>
    <x v="13"/>
    <x v="2"/>
    <s v="TC004"/>
    <x v="127"/>
    <n v="161.41"/>
    <x v="8"/>
    <x v="1"/>
  </r>
  <r>
    <x v="14"/>
    <x v="14"/>
    <x v="14"/>
    <x v="0"/>
    <s v="TC004"/>
    <x v="127"/>
    <n v="40454.120000000003"/>
    <x v="0"/>
    <x v="0"/>
  </r>
  <r>
    <x v="14"/>
    <x v="14"/>
    <x v="14"/>
    <x v="2"/>
    <s v="TC004"/>
    <x v="127"/>
    <n v="238.69"/>
    <x v="8"/>
    <x v="1"/>
  </r>
  <r>
    <x v="15"/>
    <x v="15"/>
    <x v="15"/>
    <x v="0"/>
    <s v="TC004"/>
    <x v="127"/>
    <n v="61446.32"/>
    <x v="0"/>
    <x v="0"/>
  </r>
  <r>
    <x v="15"/>
    <x v="15"/>
    <x v="15"/>
    <x v="2"/>
    <s v="TC004"/>
    <x v="127"/>
    <n v="362.56"/>
    <x v="8"/>
    <x v="1"/>
  </r>
  <r>
    <x v="16"/>
    <x v="16"/>
    <x v="16"/>
    <x v="0"/>
    <s v="TC004"/>
    <x v="127"/>
    <n v="31999.98"/>
    <x v="0"/>
    <x v="0"/>
  </r>
  <r>
    <x v="16"/>
    <x v="16"/>
    <x v="16"/>
    <x v="2"/>
    <s v="TC004"/>
    <x v="127"/>
    <n v="188.78"/>
    <x v="8"/>
    <x v="1"/>
  </r>
  <r>
    <x v="17"/>
    <x v="17"/>
    <x v="17"/>
    <x v="0"/>
    <s v="TC004"/>
    <x v="127"/>
    <n v="5765.88"/>
    <x v="0"/>
    <x v="0"/>
  </r>
  <r>
    <x v="17"/>
    <x v="17"/>
    <x v="17"/>
    <x v="2"/>
    <s v="TC004"/>
    <x v="127"/>
    <n v="34"/>
    <x v="8"/>
    <x v="1"/>
  </r>
  <r>
    <x v="18"/>
    <x v="18"/>
    <x v="18"/>
    <x v="0"/>
    <s v="TC004"/>
    <x v="127"/>
    <n v="96673.07"/>
    <x v="0"/>
    <x v="0"/>
  </r>
  <r>
    <x v="18"/>
    <x v="18"/>
    <x v="18"/>
    <x v="2"/>
    <s v="TC004"/>
    <x v="127"/>
    <n v="570.37"/>
    <x v="8"/>
    <x v="1"/>
  </r>
  <r>
    <x v="19"/>
    <x v="19"/>
    <x v="19"/>
    <x v="0"/>
    <s v="TC004"/>
    <x v="127"/>
    <n v="63921.65"/>
    <x v="0"/>
    <x v="0"/>
  </r>
  <r>
    <x v="19"/>
    <x v="19"/>
    <x v="19"/>
    <x v="2"/>
    <s v="TC004"/>
    <x v="127"/>
    <n v="377.14"/>
    <x v="8"/>
    <x v="1"/>
  </r>
  <r>
    <x v="20"/>
    <x v="20"/>
    <x v="20"/>
    <x v="0"/>
    <s v="TC004"/>
    <x v="127"/>
    <n v="68495.59"/>
    <x v="0"/>
    <x v="0"/>
  </r>
  <r>
    <x v="20"/>
    <x v="20"/>
    <x v="20"/>
    <x v="2"/>
    <s v="TC004"/>
    <x v="127"/>
    <n v="404.1"/>
    <x v="8"/>
    <x v="1"/>
  </r>
  <r>
    <x v="21"/>
    <x v="21"/>
    <x v="21"/>
    <x v="0"/>
    <s v="TC004"/>
    <x v="127"/>
    <n v="38087.230000000003"/>
    <x v="0"/>
    <x v="0"/>
  </r>
  <r>
    <x v="21"/>
    <x v="21"/>
    <x v="21"/>
    <x v="2"/>
    <s v="TC004"/>
    <x v="127"/>
    <n v="224.71"/>
    <x v="8"/>
    <x v="1"/>
  </r>
  <r>
    <x v="22"/>
    <x v="22"/>
    <x v="22"/>
    <x v="0"/>
    <s v="TC004"/>
    <x v="127"/>
    <n v="25472.84"/>
    <x v="0"/>
    <x v="0"/>
  </r>
  <r>
    <x v="22"/>
    <x v="22"/>
    <x v="22"/>
    <x v="2"/>
    <s v="TC004"/>
    <x v="127"/>
    <n v="150.30000000000001"/>
    <x v="8"/>
    <x v="1"/>
  </r>
  <r>
    <x v="23"/>
    <x v="23"/>
    <x v="23"/>
    <x v="0"/>
    <s v="TC004"/>
    <x v="127"/>
    <n v="39845.279999999999"/>
    <x v="0"/>
    <x v="0"/>
  </r>
  <r>
    <x v="23"/>
    <x v="23"/>
    <x v="23"/>
    <x v="2"/>
    <s v="TC004"/>
    <x v="127"/>
    <n v="235.08"/>
    <x v="8"/>
    <x v="1"/>
  </r>
  <r>
    <x v="24"/>
    <x v="24"/>
    <x v="7"/>
    <x v="0"/>
    <s v="TC004"/>
    <x v="127"/>
    <n v="7934.12"/>
    <x v="0"/>
    <x v="0"/>
  </r>
  <r>
    <x v="24"/>
    <x v="24"/>
    <x v="7"/>
    <x v="2"/>
    <s v="TC004"/>
    <x v="127"/>
    <n v="46.83"/>
    <x v="8"/>
    <x v="1"/>
  </r>
  <r>
    <x v="25"/>
    <x v="25"/>
    <x v="24"/>
    <x v="0"/>
    <s v="TC004"/>
    <x v="127"/>
    <n v="38855.14"/>
    <x v="0"/>
    <x v="0"/>
  </r>
  <r>
    <x v="25"/>
    <x v="25"/>
    <x v="24"/>
    <x v="2"/>
    <s v="TC004"/>
    <x v="127"/>
    <n v="229.22"/>
    <x v="8"/>
    <x v="1"/>
  </r>
  <r>
    <x v="26"/>
    <x v="26"/>
    <x v="25"/>
    <x v="0"/>
    <s v="TC004"/>
    <x v="127"/>
    <n v="59572.69"/>
    <x v="0"/>
    <x v="0"/>
  </r>
  <r>
    <x v="26"/>
    <x v="26"/>
    <x v="25"/>
    <x v="2"/>
    <s v="TC004"/>
    <x v="127"/>
    <n v="351.51"/>
    <x v="8"/>
    <x v="1"/>
  </r>
  <r>
    <x v="28"/>
    <x v="28"/>
    <x v="27"/>
    <x v="0"/>
    <s v="TC004"/>
    <x v="127"/>
    <n v="10674.95"/>
    <x v="0"/>
    <x v="0"/>
  </r>
  <r>
    <x v="28"/>
    <x v="28"/>
    <x v="27"/>
    <x v="2"/>
    <s v="TC004"/>
    <x v="127"/>
    <n v="62.98"/>
    <x v="8"/>
    <x v="1"/>
  </r>
  <r>
    <x v="29"/>
    <x v="29"/>
    <x v="6"/>
    <x v="0"/>
    <s v="TC004"/>
    <x v="127"/>
    <n v="38311.83"/>
    <x v="0"/>
    <x v="0"/>
  </r>
  <r>
    <x v="29"/>
    <x v="29"/>
    <x v="6"/>
    <x v="2"/>
    <s v="TC004"/>
    <x v="127"/>
    <n v="226.03"/>
    <x v="8"/>
    <x v="1"/>
  </r>
  <r>
    <x v="30"/>
    <x v="30"/>
    <x v="28"/>
    <x v="0"/>
    <s v="TC004"/>
    <x v="127"/>
    <n v="61604.34"/>
    <x v="0"/>
    <x v="0"/>
  </r>
  <r>
    <x v="30"/>
    <x v="30"/>
    <x v="28"/>
    <x v="2"/>
    <s v="TC004"/>
    <x v="127"/>
    <n v="363.49"/>
    <x v="8"/>
    <x v="1"/>
  </r>
  <r>
    <x v="31"/>
    <x v="31"/>
    <x v="29"/>
    <x v="0"/>
    <s v="TC004"/>
    <x v="127"/>
    <n v="59393.65"/>
    <x v="0"/>
    <x v="0"/>
  </r>
  <r>
    <x v="31"/>
    <x v="31"/>
    <x v="29"/>
    <x v="2"/>
    <s v="TC004"/>
    <x v="127"/>
    <n v="350.43"/>
    <x v="8"/>
    <x v="1"/>
  </r>
  <r>
    <x v="32"/>
    <x v="32"/>
    <x v="30"/>
    <x v="0"/>
    <s v="TC004"/>
    <x v="127"/>
    <n v="48974.5"/>
    <x v="0"/>
    <x v="0"/>
  </r>
  <r>
    <x v="32"/>
    <x v="32"/>
    <x v="30"/>
    <x v="2"/>
    <s v="TC004"/>
    <x v="127"/>
    <n v="288.95999999999998"/>
    <x v="8"/>
    <x v="1"/>
  </r>
  <r>
    <x v="33"/>
    <x v="33"/>
    <x v="31"/>
    <x v="0"/>
    <s v="TC004"/>
    <x v="127"/>
    <n v="43774.64"/>
    <x v="0"/>
    <x v="0"/>
  </r>
  <r>
    <x v="33"/>
    <x v="33"/>
    <x v="31"/>
    <x v="2"/>
    <s v="TC004"/>
    <x v="127"/>
    <n v="258.3"/>
    <x v="8"/>
    <x v="1"/>
  </r>
  <r>
    <x v="34"/>
    <x v="34"/>
    <x v="32"/>
    <x v="0"/>
    <s v="TC004"/>
    <x v="127"/>
    <n v="70385.62"/>
    <x v="0"/>
    <x v="0"/>
  </r>
  <r>
    <x v="34"/>
    <x v="34"/>
    <x v="32"/>
    <x v="2"/>
    <s v="TC004"/>
    <x v="127"/>
    <n v="415.26"/>
    <x v="8"/>
    <x v="1"/>
  </r>
  <r>
    <x v="35"/>
    <x v="35"/>
    <x v="33"/>
    <x v="0"/>
    <s v="TC004"/>
    <x v="127"/>
    <n v="38315.9"/>
    <x v="0"/>
    <x v="0"/>
  </r>
  <r>
    <x v="35"/>
    <x v="35"/>
    <x v="33"/>
    <x v="2"/>
    <s v="TC004"/>
    <x v="127"/>
    <n v="226.07"/>
    <x v="8"/>
    <x v="1"/>
  </r>
  <r>
    <x v="36"/>
    <x v="36"/>
    <x v="34"/>
    <x v="0"/>
    <s v="TC004"/>
    <x v="127"/>
    <n v="5765.88"/>
    <x v="0"/>
    <x v="0"/>
  </r>
  <r>
    <x v="36"/>
    <x v="36"/>
    <x v="34"/>
    <x v="2"/>
    <s v="TC004"/>
    <x v="127"/>
    <n v="34"/>
    <x v="8"/>
    <x v="1"/>
  </r>
  <r>
    <x v="37"/>
    <x v="37"/>
    <x v="35"/>
    <x v="0"/>
    <s v="TC004"/>
    <x v="127"/>
    <n v="38778.019999999997"/>
    <x v="0"/>
    <x v="0"/>
  </r>
  <r>
    <x v="37"/>
    <x v="37"/>
    <x v="35"/>
    <x v="2"/>
    <s v="TC004"/>
    <x v="127"/>
    <n v="228.82"/>
    <x v="8"/>
    <x v="1"/>
  </r>
  <r>
    <x v="38"/>
    <x v="38"/>
    <x v="36"/>
    <x v="0"/>
    <s v="TC004"/>
    <x v="127"/>
    <n v="138740.99"/>
    <x v="0"/>
    <x v="0"/>
  </r>
  <r>
    <x v="38"/>
    <x v="38"/>
    <x v="36"/>
    <x v="2"/>
    <s v="TC004"/>
    <x v="127"/>
    <n v="818.59"/>
    <x v="8"/>
    <x v="1"/>
  </r>
  <r>
    <x v="39"/>
    <x v="39"/>
    <x v="37"/>
    <x v="0"/>
    <s v="TC004"/>
    <x v="127"/>
    <n v="18490.8"/>
    <x v="0"/>
    <x v="0"/>
  </r>
  <r>
    <x v="39"/>
    <x v="39"/>
    <x v="37"/>
    <x v="2"/>
    <s v="TC004"/>
    <x v="127"/>
    <n v="109.07"/>
    <x v="8"/>
    <x v="1"/>
  </r>
  <r>
    <x v="40"/>
    <x v="40"/>
    <x v="38"/>
    <x v="0"/>
    <s v="TC004"/>
    <x v="127"/>
    <n v="58661.4"/>
    <x v="0"/>
    <x v="0"/>
  </r>
  <r>
    <x v="40"/>
    <x v="40"/>
    <x v="38"/>
    <x v="2"/>
    <s v="TC004"/>
    <x v="127"/>
    <n v="346.11"/>
    <x v="8"/>
    <x v="1"/>
  </r>
  <r>
    <x v="41"/>
    <x v="41"/>
    <x v="39"/>
    <x v="0"/>
    <s v="TC004"/>
    <x v="127"/>
    <n v="58329.01"/>
    <x v="0"/>
    <x v="0"/>
  </r>
  <r>
    <x v="41"/>
    <x v="41"/>
    <x v="39"/>
    <x v="2"/>
    <s v="TC004"/>
    <x v="127"/>
    <n v="344.14"/>
    <x v="8"/>
    <x v="1"/>
  </r>
  <r>
    <x v="42"/>
    <x v="42"/>
    <x v="40"/>
    <x v="0"/>
    <s v="TC004"/>
    <x v="127"/>
    <n v="79172.740000000005"/>
    <x v="0"/>
    <x v="0"/>
  </r>
  <r>
    <x v="42"/>
    <x v="42"/>
    <x v="40"/>
    <x v="2"/>
    <s v="TC004"/>
    <x v="127"/>
    <n v="467.14"/>
    <x v="8"/>
    <x v="1"/>
  </r>
  <r>
    <x v="43"/>
    <x v="43"/>
    <x v="41"/>
    <x v="0"/>
    <s v="TC004"/>
    <x v="127"/>
    <n v="56944.02"/>
    <x v="0"/>
    <x v="0"/>
  </r>
  <r>
    <x v="43"/>
    <x v="43"/>
    <x v="41"/>
    <x v="2"/>
    <s v="TC004"/>
    <x v="127"/>
    <n v="335.97"/>
    <x v="8"/>
    <x v="1"/>
  </r>
  <r>
    <x v="44"/>
    <x v="44"/>
    <x v="42"/>
    <x v="0"/>
    <s v="TC004"/>
    <x v="127"/>
    <n v="45684.82"/>
    <x v="0"/>
    <x v="0"/>
  </r>
  <r>
    <x v="44"/>
    <x v="44"/>
    <x v="42"/>
    <x v="2"/>
    <s v="TC004"/>
    <x v="127"/>
    <n v="269.52999999999997"/>
    <x v="8"/>
    <x v="1"/>
  </r>
  <r>
    <x v="45"/>
    <x v="45"/>
    <x v="43"/>
    <x v="0"/>
    <s v="TC004"/>
    <x v="127"/>
    <n v="31392.38"/>
    <x v="0"/>
    <x v="0"/>
  </r>
  <r>
    <x v="45"/>
    <x v="45"/>
    <x v="43"/>
    <x v="2"/>
    <s v="TC004"/>
    <x v="127"/>
    <n v="185.22"/>
    <x v="8"/>
    <x v="1"/>
  </r>
  <r>
    <x v="46"/>
    <x v="46"/>
    <x v="44"/>
    <x v="0"/>
    <s v="TC004"/>
    <x v="127"/>
    <n v="7716.54"/>
    <x v="0"/>
    <x v="0"/>
  </r>
  <r>
    <x v="46"/>
    <x v="46"/>
    <x v="44"/>
    <x v="2"/>
    <s v="TC004"/>
    <x v="127"/>
    <n v="45.53"/>
    <x v="8"/>
    <x v="1"/>
  </r>
  <r>
    <x v="47"/>
    <x v="47"/>
    <x v="45"/>
    <x v="0"/>
    <s v="TC004"/>
    <x v="127"/>
    <n v="26326.86"/>
    <x v="0"/>
    <x v="0"/>
  </r>
  <r>
    <x v="47"/>
    <x v="47"/>
    <x v="45"/>
    <x v="2"/>
    <s v="TC004"/>
    <x v="127"/>
    <n v="155.32"/>
    <x v="8"/>
    <x v="1"/>
  </r>
  <r>
    <x v="48"/>
    <x v="48"/>
    <x v="46"/>
    <x v="0"/>
    <s v="TC004"/>
    <x v="127"/>
    <n v="7840.63"/>
    <x v="0"/>
    <x v="0"/>
  </r>
  <r>
    <x v="48"/>
    <x v="48"/>
    <x v="46"/>
    <x v="2"/>
    <s v="TC004"/>
    <x v="127"/>
    <n v="46.27"/>
    <x v="8"/>
    <x v="1"/>
  </r>
  <r>
    <x v="49"/>
    <x v="49"/>
    <x v="47"/>
    <x v="0"/>
    <s v="TC004"/>
    <x v="127"/>
    <n v="3399.94"/>
    <x v="0"/>
    <x v="0"/>
  </r>
  <r>
    <x v="49"/>
    <x v="49"/>
    <x v="47"/>
    <x v="2"/>
    <s v="TC004"/>
    <x v="127"/>
    <n v="20.059999999999999"/>
    <x v="8"/>
    <x v="1"/>
  </r>
  <r>
    <x v="50"/>
    <x v="49"/>
    <x v="48"/>
    <x v="0"/>
    <s v="TC004"/>
    <x v="127"/>
    <n v="36818.67"/>
    <x v="0"/>
    <x v="0"/>
  </r>
  <r>
    <x v="50"/>
    <x v="49"/>
    <x v="48"/>
    <x v="2"/>
    <s v="TC004"/>
    <x v="127"/>
    <n v="217.22"/>
    <x v="8"/>
    <x v="1"/>
  </r>
  <r>
    <x v="51"/>
    <x v="50"/>
    <x v="49"/>
    <x v="0"/>
    <s v="TC004"/>
    <x v="127"/>
    <n v="6077.96"/>
    <x v="0"/>
    <x v="0"/>
  </r>
  <r>
    <x v="51"/>
    <x v="50"/>
    <x v="49"/>
    <x v="2"/>
    <s v="TC004"/>
    <x v="127"/>
    <n v="35.86"/>
    <x v="8"/>
    <x v="1"/>
  </r>
  <r>
    <x v="52"/>
    <x v="51"/>
    <x v="50"/>
    <x v="0"/>
    <s v="TC004"/>
    <x v="127"/>
    <n v="45128.26"/>
    <x v="0"/>
    <x v="0"/>
  </r>
  <r>
    <x v="52"/>
    <x v="51"/>
    <x v="50"/>
    <x v="2"/>
    <s v="TC004"/>
    <x v="127"/>
    <n v="266.24"/>
    <x v="8"/>
    <x v="1"/>
  </r>
  <r>
    <x v="53"/>
    <x v="52"/>
    <x v="48"/>
    <x v="0"/>
    <s v="TC004"/>
    <x v="127"/>
    <n v="6819.94"/>
    <x v="0"/>
    <x v="0"/>
  </r>
  <r>
    <x v="53"/>
    <x v="52"/>
    <x v="48"/>
    <x v="2"/>
    <s v="TC004"/>
    <x v="127"/>
    <n v="40.24"/>
    <x v="8"/>
    <x v="1"/>
  </r>
  <r>
    <x v="0"/>
    <x v="0"/>
    <x v="0"/>
    <x v="0"/>
    <s v="TC004.L"/>
    <x v="128"/>
    <n v="4828.92"/>
    <x v="0"/>
    <x v="0"/>
  </r>
  <r>
    <x v="0"/>
    <x v="0"/>
    <x v="0"/>
    <x v="2"/>
    <s v="TC004.L"/>
    <x v="128"/>
    <n v="4.3600000000000003"/>
    <x v="8"/>
    <x v="1"/>
  </r>
  <r>
    <x v="1"/>
    <x v="1"/>
    <x v="1"/>
    <x v="0"/>
    <s v="TC004.L"/>
    <x v="128"/>
    <n v="42607.28"/>
    <x v="0"/>
    <x v="0"/>
  </r>
  <r>
    <x v="1"/>
    <x v="1"/>
    <x v="1"/>
    <x v="2"/>
    <s v="TC004.L"/>
    <x v="128"/>
    <n v="38.340000000000003"/>
    <x v="8"/>
    <x v="1"/>
  </r>
  <r>
    <x v="2"/>
    <x v="2"/>
    <x v="2"/>
    <x v="0"/>
    <s v="TC004.L"/>
    <x v="128"/>
    <n v="61368.02"/>
    <x v="0"/>
    <x v="0"/>
  </r>
  <r>
    <x v="2"/>
    <x v="2"/>
    <x v="2"/>
    <x v="2"/>
    <s v="TC004.L"/>
    <x v="128"/>
    <n v="55.25"/>
    <x v="8"/>
    <x v="1"/>
  </r>
  <r>
    <x v="3"/>
    <x v="3"/>
    <x v="3"/>
    <x v="0"/>
    <s v="TC004.L"/>
    <x v="128"/>
    <n v="15076.95"/>
    <x v="0"/>
    <x v="0"/>
  </r>
  <r>
    <x v="3"/>
    <x v="3"/>
    <x v="3"/>
    <x v="2"/>
    <s v="TC004.L"/>
    <x v="128"/>
    <n v="13.57"/>
    <x v="8"/>
    <x v="1"/>
  </r>
  <r>
    <x v="4"/>
    <x v="4"/>
    <x v="4"/>
    <x v="0"/>
    <s v="TC004.L"/>
    <x v="128"/>
    <n v="19283.740000000002"/>
    <x v="0"/>
    <x v="0"/>
  </r>
  <r>
    <x v="4"/>
    <x v="4"/>
    <x v="4"/>
    <x v="2"/>
    <s v="TC004.L"/>
    <x v="128"/>
    <n v="17.36"/>
    <x v="8"/>
    <x v="1"/>
  </r>
  <r>
    <x v="5"/>
    <x v="5"/>
    <x v="5"/>
    <x v="0"/>
    <s v="TC004.L"/>
    <x v="128"/>
    <n v="45370.13"/>
    <x v="0"/>
    <x v="0"/>
  </r>
  <r>
    <x v="5"/>
    <x v="5"/>
    <x v="5"/>
    <x v="2"/>
    <s v="TC004.L"/>
    <x v="128"/>
    <n v="40.83"/>
    <x v="8"/>
    <x v="1"/>
  </r>
  <r>
    <x v="6"/>
    <x v="6"/>
    <x v="6"/>
    <x v="0"/>
    <s v="TC004.L"/>
    <x v="128"/>
    <n v="60709.03"/>
    <x v="0"/>
    <x v="0"/>
  </r>
  <r>
    <x v="6"/>
    <x v="6"/>
    <x v="6"/>
    <x v="2"/>
    <s v="TC004.L"/>
    <x v="128"/>
    <n v="54.63"/>
    <x v="8"/>
    <x v="1"/>
  </r>
  <r>
    <x v="7"/>
    <x v="7"/>
    <x v="7"/>
    <x v="0"/>
    <s v="TC004.L"/>
    <x v="128"/>
    <n v="53722.94"/>
    <x v="0"/>
    <x v="0"/>
  </r>
  <r>
    <x v="7"/>
    <x v="7"/>
    <x v="7"/>
    <x v="2"/>
    <s v="TC004.L"/>
    <x v="128"/>
    <n v="48.32"/>
    <x v="8"/>
    <x v="1"/>
  </r>
  <r>
    <x v="8"/>
    <x v="8"/>
    <x v="8"/>
    <x v="0"/>
    <s v="TC004.L"/>
    <x v="128"/>
    <n v="135562.20000000001"/>
    <x v="0"/>
    <x v="0"/>
  </r>
  <r>
    <x v="8"/>
    <x v="8"/>
    <x v="8"/>
    <x v="2"/>
    <s v="TC004.L"/>
    <x v="128"/>
    <n v="121.95"/>
    <x v="8"/>
    <x v="1"/>
  </r>
  <r>
    <x v="9"/>
    <x v="9"/>
    <x v="9"/>
    <x v="0"/>
    <s v="TC004.L"/>
    <x v="128"/>
    <n v="62989.04"/>
    <x v="0"/>
    <x v="0"/>
  </r>
  <r>
    <x v="9"/>
    <x v="9"/>
    <x v="9"/>
    <x v="2"/>
    <s v="TC004.L"/>
    <x v="128"/>
    <n v="56.68"/>
    <x v="8"/>
    <x v="1"/>
  </r>
  <r>
    <x v="10"/>
    <x v="10"/>
    <x v="10"/>
    <x v="0"/>
    <s v="TC004.L"/>
    <x v="128"/>
    <n v="136214.53"/>
    <x v="0"/>
    <x v="0"/>
  </r>
  <r>
    <x v="10"/>
    <x v="10"/>
    <x v="10"/>
    <x v="2"/>
    <s v="TC004.L"/>
    <x v="128"/>
    <n v="122.59"/>
    <x v="8"/>
    <x v="1"/>
  </r>
  <r>
    <x v="11"/>
    <x v="11"/>
    <x v="11"/>
    <x v="0"/>
    <s v="TC004.L"/>
    <x v="128"/>
    <n v="71102.789999999994"/>
    <x v="0"/>
    <x v="0"/>
  </r>
  <r>
    <x v="11"/>
    <x v="11"/>
    <x v="11"/>
    <x v="2"/>
    <s v="TC004.L"/>
    <x v="128"/>
    <n v="63.94"/>
    <x v="8"/>
    <x v="1"/>
  </r>
  <r>
    <x v="12"/>
    <x v="12"/>
    <x v="12"/>
    <x v="0"/>
    <s v="TC004.L"/>
    <x v="128"/>
    <n v="56665.37"/>
    <x v="0"/>
    <x v="0"/>
  </r>
  <r>
    <x v="12"/>
    <x v="12"/>
    <x v="12"/>
    <x v="2"/>
    <s v="TC004.L"/>
    <x v="128"/>
    <n v="51.03"/>
    <x v="8"/>
    <x v="1"/>
  </r>
  <r>
    <x v="13"/>
    <x v="13"/>
    <x v="13"/>
    <x v="0"/>
    <s v="TC004.L"/>
    <x v="128"/>
    <n v="27357.07"/>
    <x v="0"/>
    <x v="0"/>
  </r>
  <r>
    <x v="13"/>
    <x v="13"/>
    <x v="13"/>
    <x v="2"/>
    <s v="TC004.L"/>
    <x v="128"/>
    <n v="24.63"/>
    <x v="8"/>
    <x v="1"/>
  </r>
  <r>
    <x v="14"/>
    <x v="14"/>
    <x v="14"/>
    <x v="0"/>
    <s v="TC004.L"/>
    <x v="128"/>
    <n v="40454.120000000003"/>
    <x v="0"/>
    <x v="0"/>
  </r>
  <r>
    <x v="14"/>
    <x v="14"/>
    <x v="14"/>
    <x v="2"/>
    <s v="TC004.L"/>
    <x v="128"/>
    <n v="36.42"/>
    <x v="8"/>
    <x v="1"/>
  </r>
  <r>
    <x v="15"/>
    <x v="15"/>
    <x v="15"/>
    <x v="0"/>
    <s v="TC004.L"/>
    <x v="128"/>
    <n v="61446.32"/>
    <x v="0"/>
    <x v="0"/>
  </r>
  <r>
    <x v="15"/>
    <x v="15"/>
    <x v="15"/>
    <x v="2"/>
    <s v="TC004.L"/>
    <x v="128"/>
    <n v="55.31"/>
    <x v="8"/>
    <x v="1"/>
  </r>
  <r>
    <x v="16"/>
    <x v="16"/>
    <x v="16"/>
    <x v="0"/>
    <s v="TC004.L"/>
    <x v="128"/>
    <n v="31999.98"/>
    <x v="0"/>
    <x v="0"/>
  </r>
  <r>
    <x v="16"/>
    <x v="16"/>
    <x v="16"/>
    <x v="2"/>
    <s v="TC004.L"/>
    <x v="128"/>
    <n v="28.83"/>
    <x v="8"/>
    <x v="1"/>
  </r>
  <r>
    <x v="17"/>
    <x v="17"/>
    <x v="17"/>
    <x v="0"/>
    <s v="TC004.L"/>
    <x v="128"/>
    <n v="5765.88"/>
    <x v="0"/>
    <x v="0"/>
  </r>
  <r>
    <x v="17"/>
    <x v="17"/>
    <x v="17"/>
    <x v="2"/>
    <s v="TC004.L"/>
    <x v="128"/>
    <n v="5.2"/>
    <x v="8"/>
    <x v="1"/>
  </r>
  <r>
    <x v="18"/>
    <x v="18"/>
    <x v="18"/>
    <x v="0"/>
    <s v="TC004.L"/>
    <x v="128"/>
    <n v="96673.07"/>
    <x v="0"/>
    <x v="0"/>
  </r>
  <r>
    <x v="18"/>
    <x v="18"/>
    <x v="18"/>
    <x v="2"/>
    <s v="TC004.L"/>
    <x v="128"/>
    <n v="87.02"/>
    <x v="8"/>
    <x v="1"/>
  </r>
  <r>
    <x v="19"/>
    <x v="19"/>
    <x v="19"/>
    <x v="0"/>
    <s v="TC004.L"/>
    <x v="128"/>
    <n v="63921.65"/>
    <x v="0"/>
    <x v="0"/>
  </r>
  <r>
    <x v="19"/>
    <x v="19"/>
    <x v="19"/>
    <x v="2"/>
    <s v="TC004.L"/>
    <x v="128"/>
    <n v="57.53"/>
    <x v="8"/>
    <x v="1"/>
  </r>
  <r>
    <x v="20"/>
    <x v="20"/>
    <x v="20"/>
    <x v="0"/>
    <s v="TC004.L"/>
    <x v="128"/>
    <n v="68495.59"/>
    <x v="0"/>
    <x v="0"/>
  </r>
  <r>
    <x v="20"/>
    <x v="20"/>
    <x v="20"/>
    <x v="2"/>
    <s v="TC004.L"/>
    <x v="128"/>
    <n v="61.65"/>
    <x v="8"/>
    <x v="1"/>
  </r>
  <r>
    <x v="21"/>
    <x v="21"/>
    <x v="21"/>
    <x v="0"/>
    <s v="TC004.L"/>
    <x v="128"/>
    <n v="38087.230000000003"/>
    <x v="0"/>
    <x v="0"/>
  </r>
  <r>
    <x v="21"/>
    <x v="21"/>
    <x v="21"/>
    <x v="2"/>
    <s v="TC004.L"/>
    <x v="128"/>
    <n v="34.29"/>
    <x v="8"/>
    <x v="1"/>
  </r>
  <r>
    <x v="22"/>
    <x v="22"/>
    <x v="22"/>
    <x v="0"/>
    <s v="TC004.L"/>
    <x v="128"/>
    <n v="25472.84"/>
    <x v="0"/>
    <x v="0"/>
  </r>
  <r>
    <x v="22"/>
    <x v="22"/>
    <x v="22"/>
    <x v="2"/>
    <s v="TC004.L"/>
    <x v="128"/>
    <n v="22.93"/>
    <x v="8"/>
    <x v="1"/>
  </r>
  <r>
    <x v="23"/>
    <x v="23"/>
    <x v="23"/>
    <x v="0"/>
    <s v="TC004.L"/>
    <x v="128"/>
    <n v="39845.279999999999"/>
    <x v="0"/>
    <x v="0"/>
  </r>
  <r>
    <x v="23"/>
    <x v="23"/>
    <x v="23"/>
    <x v="2"/>
    <s v="TC004.L"/>
    <x v="128"/>
    <n v="35.85"/>
    <x v="8"/>
    <x v="1"/>
  </r>
  <r>
    <x v="24"/>
    <x v="24"/>
    <x v="7"/>
    <x v="0"/>
    <s v="TC004.L"/>
    <x v="128"/>
    <n v="7934.12"/>
    <x v="0"/>
    <x v="0"/>
  </r>
  <r>
    <x v="24"/>
    <x v="24"/>
    <x v="7"/>
    <x v="2"/>
    <s v="TC004.L"/>
    <x v="128"/>
    <n v="7.13"/>
    <x v="8"/>
    <x v="1"/>
  </r>
  <r>
    <x v="25"/>
    <x v="25"/>
    <x v="24"/>
    <x v="0"/>
    <s v="TC004.L"/>
    <x v="128"/>
    <n v="38855.14"/>
    <x v="0"/>
    <x v="0"/>
  </r>
  <r>
    <x v="25"/>
    <x v="25"/>
    <x v="24"/>
    <x v="2"/>
    <s v="TC004.L"/>
    <x v="128"/>
    <n v="34.979999999999997"/>
    <x v="8"/>
    <x v="1"/>
  </r>
  <r>
    <x v="26"/>
    <x v="26"/>
    <x v="25"/>
    <x v="0"/>
    <s v="TC004.L"/>
    <x v="128"/>
    <n v="59572.69"/>
    <x v="0"/>
    <x v="0"/>
  </r>
  <r>
    <x v="26"/>
    <x v="26"/>
    <x v="25"/>
    <x v="2"/>
    <s v="TC004.L"/>
    <x v="128"/>
    <n v="53.61"/>
    <x v="8"/>
    <x v="1"/>
  </r>
  <r>
    <x v="28"/>
    <x v="28"/>
    <x v="27"/>
    <x v="0"/>
    <s v="TC004.L"/>
    <x v="128"/>
    <n v="10674.95"/>
    <x v="0"/>
    <x v="0"/>
  </r>
  <r>
    <x v="28"/>
    <x v="28"/>
    <x v="27"/>
    <x v="2"/>
    <s v="TC004.L"/>
    <x v="128"/>
    <n v="9.6"/>
    <x v="8"/>
    <x v="1"/>
  </r>
  <r>
    <x v="29"/>
    <x v="29"/>
    <x v="6"/>
    <x v="0"/>
    <s v="TC004.L"/>
    <x v="128"/>
    <n v="38311.83"/>
    <x v="0"/>
    <x v="0"/>
  </r>
  <r>
    <x v="29"/>
    <x v="29"/>
    <x v="6"/>
    <x v="2"/>
    <s v="TC004.L"/>
    <x v="128"/>
    <n v="34.5"/>
    <x v="8"/>
    <x v="1"/>
  </r>
  <r>
    <x v="30"/>
    <x v="30"/>
    <x v="28"/>
    <x v="0"/>
    <s v="TC004.L"/>
    <x v="128"/>
    <n v="61604.34"/>
    <x v="0"/>
    <x v="0"/>
  </r>
  <r>
    <x v="30"/>
    <x v="30"/>
    <x v="28"/>
    <x v="2"/>
    <s v="TC004.L"/>
    <x v="128"/>
    <n v="55.46"/>
    <x v="8"/>
    <x v="1"/>
  </r>
  <r>
    <x v="31"/>
    <x v="31"/>
    <x v="29"/>
    <x v="0"/>
    <s v="TC004.L"/>
    <x v="128"/>
    <n v="59393.65"/>
    <x v="0"/>
    <x v="0"/>
  </r>
  <r>
    <x v="31"/>
    <x v="31"/>
    <x v="29"/>
    <x v="2"/>
    <s v="TC004.L"/>
    <x v="128"/>
    <n v="53.45"/>
    <x v="8"/>
    <x v="1"/>
  </r>
  <r>
    <x v="32"/>
    <x v="32"/>
    <x v="30"/>
    <x v="0"/>
    <s v="TC004.L"/>
    <x v="128"/>
    <n v="48974.5"/>
    <x v="0"/>
    <x v="0"/>
  </r>
  <r>
    <x v="32"/>
    <x v="32"/>
    <x v="30"/>
    <x v="2"/>
    <s v="TC004.L"/>
    <x v="128"/>
    <n v="44.07"/>
    <x v="8"/>
    <x v="1"/>
  </r>
  <r>
    <x v="33"/>
    <x v="33"/>
    <x v="31"/>
    <x v="0"/>
    <s v="TC004.L"/>
    <x v="128"/>
    <n v="43774.64"/>
    <x v="0"/>
    <x v="0"/>
  </r>
  <r>
    <x v="33"/>
    <x v="33"/>
    <x v="31"/>
    <x v="2"/>
    <s v="TC004.L"/>
    <x v="128"/>
    <n v="39.39"/>
    <x v="8"/>
    <x v="1"/>
  </r>
  <r>
    <x v="34"/>
    <x v="34"/>
    <x v="32"/>
    <x v="0"/>
    <s v="TC004.L"/>
    <x v="128"/>
    <n v="70385.62"/>
    <x v="0"/>
    <x v="0"/>
  </r>
  <r>
    <x v="34"/>
    <x v="34"/>
    <x v="32"/>
    <x v="2"/>
    <s v="TC004.L"/>
    <x v="128"/>
    <n v="63.31"/>
    <x v="8"/>
    <x v="1"/>
  </r>
  <r>
    <x v="35"/>
    <x v="35"/>
    <x v="33"/>
    <x v="0"/>
    <s v="TC004.L"/>
    <x v="128"/>
    <n v="38315.9"/>
    <x v="0"/>
    <x v="0"/>
  </r>
  <r>
    <x v="35"/>
    <x v="35"/>
    <x v="33"/>
    <x v="2"/>
    <s v="TC004.L"/>
    <x v="128"/>
    <n v="34.520000000000003"/>
    <x v="8"/>
    <x v="1"/>
  </r>
  <r>
    <x v="36"/>
    <x v="36"/>
    <x v="34"/>
    <x v="0"/>
    <s v="TC004.L"/>
    <x v="128"/>
    <n v="5765.88"/>
    <x v="0"/>
    <x v="0"/>
  </r>
  <r>
    <x v="36"/>
    <x v="36"/>
    <x v="34"/>
    <x v="2"/>
    <s v="TC004.L"/>
    <x v="128"/>
    <n v="5.2"/>
    <x v="8"/>
    <x v="1"/>
  </r>
  <r>
    <x v="37"/>
    <x v="37"/>
    <x v="35"/>
    <x v="0"/>
    <s v="TC004.L"/>
    <x v="128"/>
    <n v="38778.019999999997"/>
    <x v="0"/>
    <x v="0"/>
  </r>
  <r>
    <x v="37"/>
    <x v="37"/>
    <x v="35"/>
    <x v="2"/>
    <s v="TC004.L"/>
    <x v="128"/>
    <n v="34.89"/>
    <x v="8"/>
    <x v="1"/>
  </r>
  <r>
    <x v="38"/>
    <x v="38"/>
    <x v="36"/>
    <x v="0"/>
    <s v="TC004.L"/>
    <x v="128"/>
    <n v="138740.99"/>
    <x v="0"/>
    <x v="0"/>
  </r>
  <r>
    <x v="38"/>
    <x v="38"/>
    <x v="36"/>
    <x v="2"/>
    <s v="TC004.L"/>
    <x v="128"/>
    <n v="124.9"/>
    <x v="8"/>
    <x v="1"/>
  </r>
  <r>
    <x v="39"/>
    <x v="39"/>
    <x v="37"/>
    <x v="0"/>
    <s v="TC004.L"/>
    <x v="128"/>
    <n v="18490.8"/>
    <x v="0"/>
    <x v="0"/>
  </r>
  <r>
    <x v="39"/>
    <x v="39"/>
    <x v="37"/>
    <x v="2"/>
    <s v="TC004.L"/>
    <x v="128"/>
    <n v="16.66"/>
    <x v="8"/>
    <x v="1"/>
  </r>
  <r>
    <x v="40"/>
    <x v="40"/>
    <x v="38"/>
    <x v="0"/>
    <s v="TC004.L"/>
    <x v="128"/>
    <n v="58661.4"/>
    <x v="0"/>
    <x v="0"/>
  </r>
  <r>
    <x v="40"/>
    <x v="40"/>
    <x v="38"/>
    <x v="2"/>
    <s v="TC004.L"/>
    <x v="128"/>
    <n v="52.82"/>
    <x v="8"/>
    <x v="1"/>
  </r>
  <r>
    <x v="41"/>
    <x v="41"/>
    <x v="39"/>
    <x v="0"/>
    <s v="TC004.L"/>
    <x v="128"/>
    <n v="58329.01"/>
    <x v="0"/>
    <x v="0"/>
  </r>
  <r>
    <x v="41"/>
    <x v="41"/>
    <x v="39"/>
    <x v="2"/>
    <s v="TC004.L"/>
    <x v="128"/>
    <n v="52.52"/>
    <x v="8"/>
    <x v="1"/>
  </r>
  <r>
    <x v="42"/>
    <x v="42"/>
    <x v="40"/>
    <x v="0"/>
    <s v="TC004.L"/>
    <x v="128"/>
    <n v="79172.740000000005"/>
    <x v="0"/>
    <x v="0"/>
  </r>
  <r>
    <x v="42"/>
    <x v="42"/>
    <x v="40"/>
    <x v="2"/>
    <s v="TC004.L"/>
    <x v="128"/>
    <n v="71.27"/>
    <x v="8"/>
    <x v="1"/>
  </r>
  <r>
    <x v="43"/>
    <x v="43"/>
    <x v="41"/>
    <x v="0"/>
    <s v="TC004.L"/>
    <x v="128"/>
    <n v="56944.02"/>
    <x v="0"/>
    <x v="0"/>
  </r>
  <r>
    <x v="43"/>
    <x v="43"/>
    <x v="41"/>
    <x v="2"/>
    <s v="TC004.L"/>
    <x v="128"/>
    <n v="51.27"/>
    <x v="8"/>
    <x v="1"/>
  </r>
  <r>
    <x v="44"/>
    <x v="44"/>
    <x v="42"/>
    <x v="0"/>
    <s v="TC004.L"/>
    <x v="128"/>
    <n v="45684.82"/>
    <x v="0"/>
    <x v="0"/>
  </r>
  <r>
    <x v="44"/>
    <x v="44"/>
    <x v="42"/>
    <x v="2"/>
    <s v="TC004.L"/>
    <x v="128"/>
    <n v="41.11"/>
    <x v="8"/>
    <x v="1"/>
  </r>
  <r>
    <x v="45"/>
    <x v="45"/>
    <x v="43"/>
    <x v="0"/>
    <s v="TC004.L"/>
    <x v="128"/>
    <n v="31392.38"/>
    <x v="0"/>
    <x v="0"/>
  </r>
  <r>
    <x v="45"/>
    <x v="45"/>
    <x v="43"/>
    <x v="2"/>
    <s v="TC004.L"/>
    <x v="128"/>
    <n v="28.26"/>
    <x v="8"/>
    <x v="1"/>
  </r>
  <r>
    <x v="46"/>
    <x v="46"/>
    <x v="44"/>
    <x v="0"/>
    <s v="TC004.L"/>
    <x v="128"/>
    <n v="7716.54"/>
    <x v="0"/>
    <x v="0"/>
  </r>
  <r>
    <x v="46"/>
    <x v="46"/>
    <x v="44"/>
    <x v="2"/>
    <s v="TC004.L"/>
    <x v="128"/>
    <n v="6.94"/>
    <x v="8"/>
    <x v="1"/>
  </r>
  <r>
    <x v="47"/>
    <x v="47"/>
    <x v="45"/>
    <x v="0"/>
    <s v="TC004.L"/>
    <x v="128"/>
    <n v="26326.86"/>
    <x v="0"/>
    <x v="0"/>
  </r>
  <r>
    <x v="47"/>
    <x v="47"/>
    <x v="45"/>
    <x v="2"/>
    <s v="TC004.L"/>
    <x v="128"/>
    <n v="23.67"/>
    <x v="8"/>
    <x v="1"/>
  </r>
  <r>
    <x v="48"/>
    <x v="48"/>
    <x v="46"/>
    <x v="0"/>
    <s v="TC004.L"/>
    <x v="128"/>
    <n v="7840.63"/>
    <x v="0"/>
    <x v="0"/>
  </r>
  <r>
    <x v="48"/>
    <x v="48"/>
    <x v="46"/>
    <x v="2"/>
    <s v="TC004.L"/>
    <x v="128"/>
    <n v="7.05"/>
    <x v="8"/>
    <x v="1"/>
  </r>
  <r>
    <x v="49"/>
    <x v="49"/>
    <x v="47"/>
    <x v="0"/>
    <s v="TC004.L"/>
    <x v="128"/>
    <n v="3399.94"/>
    <x v="0"/>
    <x v="0"/>
  </r>
  <r>
    <x v="49"/>
    <x v="49"/>
    <x v="47"/>
    <x v="2"/>
    <s v="TC004.L"/>
    <x v="128"/>
    <n v="3.06"/>
    <x v="8"/>
    <x v="1"/>
  </r>
  <r>
    <x v="50"/>
    <x v="49"/>
    <x v="48"/>
    <x v="0"/>
    <s v="TC004.L"/>
    <x v="128"/>
    <n v="36818.67"/>
    <x v="0"/>
    <x v="0"/>
  </r>
  <r>
    <x v="50"/>
    <x v="49"/>
    <x v="48"/>
    <x v="2"/>
    <s v="TC004.L"/>
    <x v="128"/>
    <n v="33.130000000000003"/>
    <x v="8"/>
    <x v="1"/>
  </r>
  <r>
    <x v="51"/>
    <x v="50"/>
    <x v="49"/>
    <x v="0"/>
    <s v="TC004.L"/>
    <x v="128"/>
    <n v="6077.96"/>
    <x v="0"/>
    <x v="0"/>
  </r>
  <r>
    <x v="51"/>
    <x v="50"/>
    <x v="49"/>
    <x v="2"/>
    <s v="TC004.L"/>
    <x v="128"/>
    <n v="5.47"/>
    <x v="8"/>
    <x v="1"/>
  </r>
  <r>
    <x v="52"/>
    <x v="51"/>
    <x v="50"/>
    <x v="0"/>
    <s v="TC004.L"/>
    <x v="128"/>
    <n v="45128.26"/>
    <x v="0"/>
    <x v="0"/>
  </r>
  <r>
    <x v="52"/>
    <x v="51"/>
    <x v="50"/>
    <x v="2"/>
    <s v="TC004.L"/>
    <x v="128"/>
    <n v="40.61"/>
    <x v="8"/>
    <x v="1"/>
  </r>
  <r>
    <x v="53"/>
    <x v="52"/>
    <x v="48"/>
    <x v="0"/>
    <s v="TC004.L"/>
    <x v="128"/>
    <n v="6819.94"/>
    <x v="0"/>
    <x v="0"/>
  </r>
  <r>
    <x v="53"/>
    <x v="52"/>
    <x v="48"/>
    <x v="2"/>
    <s v="TC004.L"/>
    <x v="128"/>
    <n v="6.14"/>
    <x v="8"/>
    <x v="1"/>
  </r>
  <r>
    <x v="0"/>
    <x v="0"/>
    <x v="0"/>
    <x v="1"/>
    <m/>
    <x v="129"/>
    <n v="363.37"/>
    <x v="0"/>
    <x v="0"/>
  </r>
  <r>
    <x v="1"/>
    <x v="1"/>
    <x v="1"/>
    <x v="1"/>
    <m/>
    <x v="129"/>
    <n v="8188.56"/>
    <x v="0"/>
    <x v="0"/>
  </r>
  <r>
    <x v="2"/>
    <x v="2"/>
    <x v="2"/>
    <x v="1"/>
    <m/>
    <x v="129"/>
    <n v="11615.66"/>
    <x v="0"/>
    <x v="0"/>
  </r>
  <r>
    <x v="3"/>
    <x v="3"/>
    <x v="3"/>
    <x v="1"/>
    <m/>
    <x v="129"/>
    <n v="2855.48"/>
    <x v="0"/>
    <x v="0"/>
  </r>
  <r>
    <x v="4"/>
    <x v="4"/>
    <x v="4"/>
    <x v="1"/>
    <m/>
    <x v="129"/>
    <n v="3733.4"/>
    <x v="0"/>
    <x v="0"/>
  </r>
  <r>
    <x v="5"/>
    <x v="5"/>
    <x v="5"/>
    <x v="1"/>
    <m/>
    <x v="129"/>
    <n v="8632.64"/>
    <x v="0"/>
    <x v="0"/>
  </r>
  <r>
    <x v="6"/>
    <x v="6"/>
    <x v="6"/>
    <x v="1"/>
    <m/>
    <x v="129"/>
    <n v="11632.1"/>
    <x v="0"/>
    <x v="0"/>
  </r>
  <r>
    <x v="7"/>
    <x v="7"/>
    <x v="7"/>
    <x v="1"/>
    <m/>
    <x v="129"/>
    <n v="9810.61"/>
    <x v="0"/>
    <x v="0"/>
  </r>
  <r>
    <x v="8"/>
    <x v="8"/>
    <x v="8"/>
    <x v="1"/>
    <m/>
    <x v="129"/>
    <n v="25153.53"/>
    <x v="0"/>
    <x v="0"/>
  </r>
  <r>
    <x v="9"/>
    <x v="9"/>
    <x v="9"/>
    <x v="1"/>
    <m/>
    <x v="129"/>
    <n v="11911.44"/>
    <x v="0"/>
    <x v="0"/>
  </r>
  <r>
    <x v="10"/>
    <x v="10"/>
    <x v="10"/>
    <x v="1"/>
    <m/>
    <x v="129"/>
    <n v="25272.68"/>
    <x v="0"/>
    <x v="0"/>
  </r>
  <r>
    <x v="11"/>
    <x v="11"/>
    <x v="11"/>
    <x v="1"/>
    <m/>
    <x v="129"/>
    <n v="14212.13"/>
    <x v="0"/>
    <x v="0"/>
  </r>
  <r>
    <x v="12"/>
    <x v="12"/>
    <x v="12"/>
    <x v="1"/>
    <m/>
    <x v="129"/>
    <n v="10757.59"/>
    <x v="0"/>
    <x v="0"/>
  </r>
  <r>
    <x v="13"/>
    <x v="13"/>
    <x v="13"/>
    <x v="1"/>
    <m/>
    <x v="129"/>
    <n v="5260"/>
    <x v="0"/>
    <x v="0"/>
  </r>
  <r>
    <x v="14"/>
    <x v="14"/>
    <x v="14"/>
    <x v="1"/>
    <m/>
    <x v="129"/>
    <n v="7797.84"/>
    <x v="0"/>
    <x v="0"/>
  </r>
  <r>
    <x v="15"/>
    <x v="15"/>
    <x v="15"/>
    <x v="1"/>
    <m/>
    <x v="129"/>
    <n v="11629.93"/>
    <x v="0"/>
    <x v="0"/>
  </r>
  <r>
    <x v="16"/>
    <x v="16"/>
    <x v="16"/>
    <x v="1"/>
    <m/>
    <x v="129"/>
    <n v="6208.37"/>
    <x v="0"/>
    <x v="0"/>
  </r>
  <r>
    <x v="17"/>
    <x v="17"/>
    <x v="17"/>
    <x v="1"/>
    <m/>
    <x v="129"/>
    <n v="533.13"/>
    <x v="0"/>
    <x v="0"/>
  </r>
  <r>
    <x v="18"/>
    <x v="18"/>
    <x v="18"/>
    <x v="1"/>
    <m/>
    <x v="129"/>
    <n v="18467.75"/>
    <x v="0"/>
    <x v="0"/>
  </r>
  <r>
    <x v="19"/>
    <x v="19"/>
    <x v="19"/>
    <x v="1"/>
    <m/>
    <x v="129"/>
    <n v="12081.68"/>
    <x v="0"/>
    <x v="0"/>
  </r>
  <r>
    <x v="20"/>
    <x v="20"/>
    <x v="20"/>
    <x v="1"/>
    <m/>
    <x v="129"/>
    <n v="12506.17"/>
    <x v="0"/>
    <x v="0"/>
  </r>
  <r>
    <x v="21"/>
    <x v="21"/>
    <x v="21"/>
    <x v="1"/>
    <m/>
    <x v="129"/>
    <n v="7469.69"/>
    <x v="0"/>
    <x v="0"/>
  </r>
  <r>
    <x v="22"/>
    <x v="22"/>
    <x v="22"/>
    <x v="1"/>
    <m/>
    <x v="129"/>
    <n v="4784.95"/>
    <x v="0"/>
    <x v="0"/>
  </r>
  <r>
    <x v="23"/>
    <x v="23"/>
    <x v="23"/>
    <x v="1"/>
    <m/>
    <x v="129"/>
    <n v="7629.92"/>
    <x v="0"/>
    <x v="0"/>
  </r>
  <r>
    <x v="25"/>
    <x v="25"/>
    <x v="24"/>
    <x v="1"/>
    <m/>
    <x v="129"/>
    <n v="7450.51"/>
    <x v="0"/>
    <x v="0"/>
  </r>
  <r>
    <x v="26"/>
    <x v="26"/>
    <x v="25"/>
    <x v="1"/>
    <m/>
    <x v="129"/>
    <n v="11698.14"/>
    <x v="0"/>
    <x v="0"/>
  </r>
  <r>
    <x v="28"/>
    <x v="28"/>
    <x v="27"/>
    <x v="1"/>
    <m/>
    <x v="129"/>
    <n v="2033.7"/>
    <x v="0"/>
    <x v="0"/>
  </r>
  <r>
    <x v="29"/>
    <x v="29"/>
    <x v="6"/>
    <x v="1"/>
    <m/>
    <x v="129"/>
    <n v="7762.1"/>
    <x v="0"/>
    <x v="0"/>
  </r>
  <r>
    <x v="30"/>
    <x v="30"/>
    <x v="28"/>
    <x v="1"/>
    <m/>
    <x v="129"/>
    <n v="11658.73"/>
    <x v="0"/>
    <x v="0"/>
  </r>
  <r>
    <x v="31"/>
    <x v="31"/>
    <x v="29"/>
    <x v="1"/>
    <m/>
    <x v="129"/>
    <n v="11891.32"/>
    <x v="0"/>
    <x v="0"/>
  </r>
  <r>
    <x v="32"/>
    <x v="32"/>
    <x v="30"/>
    <x v="1"/>
    <m/>
    <x v="129"/>
    <n v="9354.26"/>
    <x v="0"/>
    <x v="0"/>
  </r>
  <r>
    <x v="33"/>
    <x v="33"/>
    <x v="31"/>
    <x v="1"/>
    <m/>
    <x v="129"/>
    <n v="8341.83"/>
    <x v="0"/>
    <x v="0"/>
  </r>
  <r>
    <x v="34"/>
    <x v="34"/>
    <x v="32"/>
    <x v="1"/>
    <m/>
    <x v="129"/>
    <n v="12850.93"/>
    <x v="0"/>
    <x v="0"/>
  </r>
  <r>
    <x v="35"/>
    <x v="35"/>
    <x v="33"/>
    <x v="1"/>
    <m/>
    <x v="129"/>
    <n v="7762.88"/>
    <x v="0"/>
    <x v="0"/>
  </r>
  <r>
    <x v="36"/>
    <x v="36"/>
    <x v="34"/>
    <x v="1"/>
    <m/>
    <x v="129"/>
    <n v="396.44"/>
    <x v="0"/>
    <x v="0"/>
  </r>
  <r>
    <x v="37"/>
    <x v="37"/>
    <x v="35"/>
    <x v="1"/>
    <m/>
    <x v="129"/>
    <n v="7439.87"/>
    <x v="0"/>
    <x v="0"/>
  </r>
  <r>
    <x v="38"/>
    <x v="38"/>
    <x v="36"/>
    <x v="1"/>
    <m/>
    <x v="129"/>
    <n v="25733.63"/>
    <x v="0"/>
    <x v="0"/>
  </r>
  <r>
    <x v="39"/>
    <x v="39"/>
    <x v="37"/>
    <x v="1"/>
    <m/>
    <x v="129"/>
    <n v="3572.65"/>
    <x v="0"/>
    <x v="0"/>
  </r>
  <r>
    <x v="40"/>
    <x v="40"/>
    <x v="38"/>
    <x v="1"/>
    <m/>
    <x v="129"/>
    <n v="10711.63"/>
    <x v="0"/>
    <x v="0"/>
  </r>
  <r>
    <x v="41"/>
    <x v="41"/>
    <x v="39"/>
    <x v="1"/>
    <m/>
    <x v="129"/>
    <n v="11061.15"/>
    <x v="0"/>
    <x v="0"/>
  </r>
  <r>
    <x v="42"/>
    <x v="42"/>
    <x v="40"/>
    <x v="1"/>
    <m/>
    <x v="129"/>
    <n v="15252.58"/>
    <x v="0"/>
    <x v="0"/>
  </r>
  <r>
    <x v="43"/>
    <x v="43"/>
    <x v="41"/>
    <x v="1"/>
    <m/>
    <x v="129"/>
    <n v="10808.44"/>
    <x v="0"/>
    <x v="0"/>
  </r>
  <r>
    <x v="44"/>
    <x v="44"/>
    <x v="42"/>
    <x v="1"/>
    <m/>
    <x v="129"/>
    <n v="9509.89"/>
    <x v="0"/>
    <x v="0"/>
  </r>
  <r>
    <x v="45"/>
    <x v="45"/>
    <x v="43"/>
    <x v="1"/>
    <m/>
    <x v="129"/>
    <n v="5729.38"/>
    <x v="0"/>
    <x v="0"/>
  </r>
  <r>
    <x v="46"/>
    <x v="46"/>
    <x v="44"/>
    <x v="1"/>
    <m/>
    <x v="129"/>
    <n v="254.93"/>
    <x v="0"/>
    <x v="0"/>
  </r>
  <r>
    <x v="47"/>
    <x v="47"/>
    <x v="45"/>
    <x v="1"/>
    <m/>
    <x v="129"/>
    <n v="5047.05"/>
    <x v="0"/>
    <x v="0"/>
  </r>
  <r>
    <x v="49"/>
    <x v="49"/>
    <x v="47"/>
    <x v="1"/>
    <m/>
    <x v="129"/>
    <n v="650.24"/>
    <x v="0"/>
    <x v="0"/>
  </r>
  <r>
    <x v="50"/>
    <x v="49"/>
    <x v="48"/>
    <x v="1"/>
    <m/>
    <x v="129"/>
    <n v="6671.38"/>
    <x v="0"/>
    <x v="0"/>
  </r>
  <r>
    <x v="51"/>
    <x v="50"/>
    <x v="49"/>
    <x v="1"/>
    <m/>
    <x v="129"/>
    <n v="1068.98"/>
    <x v="0"/>
    <x v="0"/>
  </r>
  <r>
    <x v="52"/>
    <x v="51"/>
    <x v="50"/>
    <x v="1"/>
    <m/>
    <x v="129"/>
    <n v="8476.9699999999993"/>
    <x v="0"/>
    <x v="0"/>
  </r>
  <r>
    <x v="53"/>
    <x v="52"/>
    <x v="48"/>
    <x v="1"/>
    <m/>
    <x v="129"/>
    <n v="1304.0899999999999"/>
    <x v="0"/>
    <x v="0"/>
  </r>
  <r>
    <x v="0"/>
    <x v="0"/>
    <x v="0"/>
    <x v="1"/>
    <m/>
    <x v="130"/>
    <n v="41.28"/>
    <x v="0"/>
    <x v="0"/>
  </r>
  <r>
    <x v="1"/>
    <x v="1"/>
    <x v="1"/>
    <x v="1"/>
    <m/>
    <x v="130"/>
    <n v="1242.8"/>
    <x v="0"/>
    <x v="0"/>
  </r>
  <r>
    <x v="2"/>
    <x v="2"/>
    <x v="2"/>
    <x v="1"/>
    <m/>
    <x v="130"/>
    <n v="1786.32"/>
    <x v="0"/>
    <x v="0"/>
  </r>
  <r>
    <x v="3"/>
    <x v="3"/>
    <x v="3"/>
    <x v="1"/>
    <m/>
    <x v="130"/>
    <n v="438.9"/>
    <x v="0"/>
    <x v="0"/>
  </r>
  <r>
    <x v="4"/>
    <x v="4"/>
    <x v="4"/>
    <x v="1"/>
    <m/>
    <x v="130"/>
    <n v="566.51"/>
    <x v="0"/>
    <x v="0"/>
  </r>
  <r>
    <x v="5"/>
    <x v="5"/>
    <x v="5"/>
    <x v="1"/>
    <m/>
    <x v="130"/>
    <n v="1324.78"/>
    <x v="0"/>
    <x v="0"/>
  </r>
  <r>
    <x v="6"/>
    <x v="6"/>
    <x v="6"/>
    <x v="1"/>
    <m/>
    <x v="130"/>
    <n v="1771.03"/>
    <x v="0"/>
    <x v="0"/>
  </r>
  <r>
    <x v="7"/>
    <x v="7"/>
    <x v="7"/>
    <x v="1"/>
    <m/>
    <x v="130"/>
    <n v="1554.75"/>
    <x v="0"/>
    <x v="0"/>
  </r>
  <r>
    <x v="8"/>
    <x v="8"/>
    <x v="8"/>
    <x v="1"/>
    <m/>
    <x v="130"/>
    <n v="3926.13"/>
    <x v="0"/>
    <x v="0"/>
  </r>
  <r>
    <x v="9"/>
    <x v="9"/>
    <x v="9"/>
    <x v="1"/>
    <m/>
    <x v="130"/>
    <n v="1833.11"/>
    <x v="0"/>
    <x v="0"/>
  </r>
  <r>
    <x v="10"/>
    <x v="10"/>
    <x v="10"/>
    <x v="1"/>
    <m/>
    <x v="130"/>
    <n v="3944.98"/>
    <x v="0"/>
    <x v="0"/>
  </r>
  <r>
    <x v="11"/>
    <x v="11"/>
    <x v="11"/>
    <x v="1"/>
    <m/>
    <x v="130"/>
    <n v="2089.34"/>
    <x v="0"/>
    <x v="0"/>
  </r>
  <r>
    <x v="12"/>
    <x v="12"/>
    <x v="12"/>
    <x v="1"/>
    <m/>
    <x v="130"/>
    <n v="1650.76"/>
    <x v="0"/>
    <x v="0"/>
  </r>
  <r>
    <x v="13"/>
    <x v="13"/>
    <x v="13"/>
    <x v="1"/>
    <m/>
    <x v="130"/>
    <n v="802.68"/>
    <x v="0"/>
    <x v="0"/>
  </r>
  <r>
    <x v="14"/>
    <x v="14"/>
    <x v="14"/>
    <x v="1"/>
    <m/>
    <x v="130"/>
    <n v="1182.06"/>
    <x v="0"/>
    <x v="0"/>
  </r>
  <r>
    <x v="15"/>
    <x v="15"/>
    <x v="15"/>
    <x v="1"/>
    <m/>
    <x v="130"/>
    <n v="1788.58"/>
    <x v="0"/>
    <x v="0"/>
  </r>
  <r>
    <x v="16"/>
    <x v="16"/>
    <x v="16"/>
    <x v="1"/>
    <m/>
    <x v="130"/>
    <n v="940.45"/>
    <x v="0"/>
    <x v="0"/>
  </r>
  <r>
    <x v="17"/>
    <x v="17"/>
    <x v="17"/>
    <x v="1"/>
    <m/>
    <x v="130"/>
    <n v="68.48"/>
    <x v="0"/>
    <x v="0"/>
  </r>
  <r>
    <x v="18"/>
    <x v="18"/>
    <x v="18"/>
    <x v="1"/>
    <m/>
    <x v="130"/>
    <n v="2815.7"/>
    <x v="0"/>
    <x v="0"/>
  </r>
  <r>
    <x v="19"/>
    <x v="19"/>
    <x v="19"/>
    <x v="1"/>
    <m/>
    <x v="130"/>
    <n v="1859.97"/>
    <x v="0"/>
    <x v="0"/>
  </r>
  <r>
    <x v="20"/>
    <x v="20"/>
    <x v="20"/>
    <x v="1"/>
    <m/>
    <x v="130"/>
    <n v="1980.77"/>
    <x v="0"/>
    <x v="0"/>
  </r>
  <r>
    <x v="21"/>
    <x v="21"/>
    <x v="21"/>
    <x v="1"/>
    <m/>
    <x v="130"/>
    <n v="1121.53"/>
    <x v="0"/>
    <x v="0"/>
  </r>
  <r>
    <x v="22"/>
    <x v="22"/>
    <x v="22"/>
    <x v="1"/>
    <m/>
    <x v="130"/>
    <n v="740.06"/>
    <x v="0"/>
    <x v="0"/>
  </r>
  <r>
    <x v="23"/>
    <x v="23"/>
    <x v="23"/>
    <x v="1"/>
    <m/>
    <x v="130"/>
    <n v="1168.28"/>
    <x v="0"/>
    <x v="0"/>
  </r>
  <r>
    <x v="25"/>
    <x v="25"/>
    <x v="24"/>
    <x v="1"/>
    <m/>
    <x v="130"/>
    <n v="1139.51"/>
    <x v="0"/>
    <x v="0"/>
  </r>
  <r>
    <x v="26"/>
    <x v="26"/>
    <x v="25"/>
    <x v="1"/>
    <m/>
    <x v="130"/>
    <n v="1745.69"/>
    <x v="0"/>
    <x v="0"/>
  </r>
  <r>
    <x v="28"/>
    <x v="28"/>
    <x v="27"/>
    <x v="1"/>
    <m/>
    <x v="130"/>
    <n v="311.25"/>
    <x v="0"/>
    <x v="0"/>
  </r>
  <r>
    <x v="29"/>
    <x v="29"/>
    <x v="6"/>
    <x v="1"/>
    <m/>
    <x v="130"/>
    <n v="1134.9000000000001"/>
    <x v="0"/>
    <x v="0"/>
  </r>
  <r>
    <x v="30"/>
    <x v="30"/>
    <x v="28"/>
    <x v="1"/>
    <m/>
    <x v="130"/>
    <n v="1793.13"/>
    <x v="0"/>
    <x v="0"/>
  </r>
  <r>
    <x v="31"/>
    <x v="31"/>
    <x v="29"/>
    <x v="1"/>
    <m/>
    <x v="130"/>
    <n v="1751.66"/>
    <x v="0"/>
    <x v="0"/>
  </r>
  <r>
    <x v="32"/>
    <x v="32"/>
    <x v="30"/>
    <x v="1"/>
    <m/>
    <x v="130"/>
    <n v="1428.92"/>
    <x v="0"/>
    <x v="0"/>
  </r>
  <r>
    <x v="33"/>
    <x v="33"/>
    <x v="31"/>
    <x v="1"/>
    <m/>
    <x v="130"/>
    <n v="1282.3599999999999"/>
    <x v="0"/>
    <x v="0"/>
  </r>
  <r>
    <x v="34"/>
    <x v="34"/>
    <x v="32"/>
    <x v="1"/>
    <m/>
    <x v="130"/>
    <n v="2035.27"/>
    <x v="0"/>
    <x v="0"/>
  </r>
  <r>
    <x v="35"/>
    <x v="35"/>
    <x v="33"/>
    <x v="1"/>
    <m/>
    <x v="130"/>
    <n v="1134.99"/>
    <x v="0"/>
    <x v="0"/>
  </r>
  <r>
    <x v="36"/>
    <x v="36"/>
    <x v="34"/>
    <x v="1"/>
    <m/>
    <x v="130"/>
    <n v="64.760000000000005"/>
    <x v="0"/>
    <x v="0"/>
  </r>
  <r>
    <x v="37"/>
    <x v="37"/>
    <x v="35"/>
    <x v="1"/>
    <m/>
    <x v="130"/>
    <n v="1137.3499999999999"/>
    <x v="0"/>
    <x v="0"/>
  </r>
  <r>
    <x v="38"/>
    <x v="38"/>
    <x v="36"/>
    <x v="1"/>
    <m/>
    <x v="130"/>
    <n v="4017.81"/>
    <x v="0"/>
    <x v="0"/>
  </r>
  <r>
    <x v="39"/>
    <x v="39"/>
    <x v="37"/>
    <x v="1"/>
    <m/>
    <x v="130"/>
    <n v="543"/>
    <x v="0"/>
    <x v="0"/>
  </r>
  <r>
    <x v="40"/>
    <x v="40"/>
    <x v="38"/>
    <x v="1"/>
    <m/>
    <x v="130"/>
    <n v="1697.15"/>
    <x v="0"/>
    <x v="0"/>
  </r>
  <r>
    <x v="41"/>
    <x v="41"/>
    <x v="39"/>
    <x v="1"/>
    <m/>
    <x v="130"/>
    <n v="1698.72"/>
    <x v="0"/>
    <x v="0"/>
  </r>
  <r>
    <x v="42"/>
    <x v="42"/>
    <x v="40"/>
    <x v="1"/>
    <m/>
    <x v="130"/>
    <n v="2317.4699999999998"/>
    <x v="0"/>
    <x v="0"/>
  </r>
  <r>
    <x v="43"/>
    <x v="43"/>
    <x v="41"/>
    <x v="1"/>
    <m/>
    <x v="130"/>
    <n v="1658.79"/>
    <x v="0"/>
    <x v="0"/>
  </r>
  <r>
    <x v="44"/>
    <x v="44"/>
    <x v="42"/>
    <x v="1"/>
    <m/>
    <x v="130"/>
    <n v="1356.15"/>
    <x v="0"/>
    <x v="0"/>
  </r>
  <r>
    <x v="45"/>
    <x v="45"/>
    <x v="43"/>
    <x v="1"/>
    <m/>
    <x v="130"/>
    <n v="1522.08"/>
    <x v="0"/>
    <x v="0"/>
  </r>
  <r>
    <x v="47"/>
    <x v="47"/>
    <x v="45"/>
    <x v="1"/>
    <m/>
    <x v="130"/>
    <n v="768.57"/>
    <x v="0"/>
    <x v="0"/>
  </r>
  <r>
    <x v="49"/>
    <x v="49"/>
    <x v="47"/>
    <x v="1"/>
    <m/>
    <x v="130"/>
    <n v="99.66"/>
    <x v="0"/>
    <x v="0"/>
  </r>
  <r>
    <x v="50"/>
    <x v="49"/>
    <x v="48"/>
    <x v="1"/>
    <m/>
    <x v="130"/>
    <n v="1069.22"/>
    <x v="0"/>
    <x v="0"/>
  </r>
  <r>
    <x v="51"/>
    <x v="50"/>
    <x v="49"/>
    <x v="1"/>
    <m/>
    <x v="130"/>
    <n v="174.59"/>
    <x v="0"/>
    <x v="0"/>
  </r>
  <r>
    <x v="52"/>
    <x v="51"/>
    <x v="50"/>
    <x v="1"/>
    <m/>
    <x v="130"/>
    <n v="1311"/>
    <x v="0"/>
    <x v="0"/>
  </r>
  <r>
    <x v="53"/>
    <x v="52"/>
    <x v="48"/>
    <x v="1"/>
    <m/>
    <x v="130"/>
    <n v="199.91"/>
    <x v="0"/>
    <x v="0"/>
  </r>
  <r>
    <x v="0"/>
    <x v="0"/>
    <x v="0"/>
    <x v="1"/>
    <m/>
    <x v="131"/>
    <n v="404.65"/>
    <x v="0"/>
    <x v="0"/>
  </r>
  <r>
    <x v="0"/>
    <x v="0"/>
    <x v="0"/>
    <x v="2"/>
    <m/>
    <x v="131"/>
    <n v="310.37"/>
    <x v="9"/>
    <x v="1"/>
  </r>
  <r>
    <x v="1"/>
    <x v="1"/>
    <x v="1"/>
    <x v="1"/>
    <m/>
    <x v="131"/>
    <n v="9431.36"/>
    <x v="0"/>
    <x v="0"/>
  </r>
  <r>
    <x v="1"/>
    <x v="1"/>
    <x v="1"/>
    <x v="2"/>
    <m/>
    <x v="131"/>
    <n v="18811.04"/>
    <x v="9"/>
    <x v="1"/>
  </r>
  <r>
    <x v="2"/>
    <x v="2"/>
    <x v="2"/>
    <x v="1"/>
    <m/>
    <x v="131"/>
    <n v="13401.98"/>
    <x v="0"/>
    <x v="0"/>
  </r>
  <r>
    <x v="2"/>
    <x v="2"/>
    <x v="2"/>
    <x v="2"/>
    <m/>
    <x v="131"/>
    <n v="25870.23"/>
    <x v="9"/>
    <x v="1"/>
  </r>
  <r>
    <x v="3"/>
    <x v="3"/>
    <x v="3"/>
    <x v="1"/>
    <m/>
    <x v="131"/>
    <n v="3294.38"/>
    <x v="0"/>
    <x v="0"/>
  </r>
  <r>
    <x v="3"/>
    <x v="3"/>
    <x v="3"/>
    <x v="2"/>
    <m/>
    <x v="131"/>
    <n v="6504.45"/>
    <x v="9"/>
    <x v="1"/>
  </r>
  <r>
    <x v="4"/>
    <x v="4"/>
    <x v="4"/>
    <x v="1"/>
    <m/>
    <x v="131"/>
    <n v="4299.91"/>
    <x v="0"/>
    <x v="0"/>
  </r>
  <r>
    <x v="4"/>
    <x v="4"/>
    <x v="4"/>
    <x v="2"/>
    <m/>
    <x v="131"/>
    <n v="8457.7000000000007"/>
    <x v="9"/>
    <x v="1"/>
  </r>
  <r>
    <x v="5"/>
    <x v="5"/>
    <x v="5"/>
    <x v="1"/>
    <m/>
    <x v="131"/>
    <n v="9957.42"/>
    <x v="0"/>
    <x v="0"/>
  </r>
  <r>
    <x v="5"/>
    <x v="5"/>
    <x v="5"/>
    <x v="2"/>
    <m/>
    <x v="131"/>
    <n v="16459.59"/>
    <x v="9"/>
    <x v="1"/>
  </r>
  <r>
    <x v="6"/>
    <x v="6"/>
    <x v="6"/>
    <x v="1"/>
    <m/>
    <x v="131"/>
    <n v="13403.13"/>
    <x v="0"/>
    <x v="0"/>
  </r>
  <r>
    <x v="6"/>
    <x v="6"/>
    <x v="6"/>
    <x v="2"/>
    <m/>
    <x v="131"/>
    <n v="25726.52"/>
    <x v="9"/>
    <x v="1"/>
  </r>
  <r>
    <x v="7"/>
    <x v="7"/>
    <x v="7"/>
    <x v="1"/>
    <m/>
    <x v="131"/>
    <n v="11365.36"/>
    <x v="0"/>
    <x v="0"/>
  </r>
  <r>
    <x v="7"/>
    <x v="7"/>
    <x v="7"/>
    <x v="2"/>
    <m/>
    <x v="131"/>
    <n v="22338.7"/>
    <x v="9"/>
    <x v="1"/>
  </r>
  <r>
    <x v="8"/>
    <x v="8"/>
    <x v="8"/>
    <x v="1"/>
    <m/>
    <x v="131"/>
    <n v="29079.66"/>
    <x v="0"/>
    <x v="0"/>
  </r>
  <r>
    <x v="8"/>
    <x v="8"/>
    <x v="8"/>
    <x v="2"/>
    <m/>
    <x v="131"/>
    <n v="53036.69"/>
    <x v="9"/>
    <x v="1"/>
  </r>
  <r>
    <x v="9"/>
    <x v="9"/>
    <x v="9"/>
    <x v="1"/>
    <m/>
    <x v="131"/>
    <n v="13744.55"/>
    <x v="0"/>
    <x v="0"/>
  </r>
  <r>
    <x v="9"/>
    <x v="9"/>
    <x v="9"/>
    <x v="2"/>
    <m/>
    <x v="131"/>
    <n v="26536.83"/>
    <x v="9"/>
    <x v="1"/>
  </r>
  <r>
    <x v="10"/>
    <x v="10"/>
    <x v="10"/>
    <x v="1"/>
    <m/>
    <x v="131"/>
    <n v="29217.66"/>
    <x v="0"/>
    <x v="0"/>
  </r>
  <r>
    <x v="10"/>
    <x v="10"/>
    <x v="10"/>
    <x v="2"/>
    <m/>
    <x v="131"/>
    <n v="59127.3"/>
    <x v="9"/>
    <x v="1"/>
  </r>
  <r>
    <x v="11"/>
    <x v="11"/>
    <x v="11"/>
    <x v="1"/>
    <m/>
    <x v="131"/>
    <n v="16301.47"/>
    <x v="0"/>
    <x v="0"/>
  </r>
  <r>
    <x v="11"/>
    <x v="11"/>
    <x v="11"/>
    <x v="2"/>
    <m/>
    <x v="131"/>
    <n v="31924.15"/>
    <x v="9"/>
    <x v="1"/>
  </r>
  <r>
    <x v="12"/>
    <x v="12"/>
    <x v="12"/>
    <x v="1"/>
    <m/>
    <x v="131"/>
    <n v="12408.35"/>
    <x v="0"/>
    <x v="0"/>
  </r>
  <r>
    <x v="12"/>
    <x v="12"/>
    <x v="12"/>
    <x v="2"/>
    <m/>
    <x v="131"/>
    <n v="23934.63"/>
    <x v="9"/>
    <x v="1"/>
  </r>
  <r>
    <x v="13"/>
    <x v="13"/>
    <x v="13"/>
    <x v="1"/>
    <m/>
    <x v="131"/>
    <n v="6062.68"/>
    <x v="0"/>
    <x v="0"/>
  </r>
  <r>
    <x v="13"/>
    <x v="13"/>
    <x v="13"/>
    <x v="2"/>
    <m/>
    <x v="131"/>
    <n v="10048.049999999999"/>
    <x v="9"/>
    <x v="1"/>
  </r>
  <r>
    <x v="14"/>
    <x v="14"/>
    <x v="14"/>
    <x v="1"/>
    <m/>
    <x v="131"/>
    <n v="8979.9"/>
    <x v="0"/>
    <x v="0"/>
  </r>
  <r>
    <x v="14"/>
    <x v="14"/>
    <x v="14"/>
    <x v="2"/>
    <m/>
    <x v="131"/>
    <n v="17219.060000000001"/>
    <x v="9"/>
    <x v="1"/>
  </r>
  <r>
    <x v="15"/>
    <x v="15"/>
    <x v="15"/>
    <x v="1"/>
    <m/>
    <x v="131"/>
    <n v="13418.51"/>
    <x v="0"/>
    <x v="0"/>
  </r>
  <r>
    <x v="15"/>
    <x v="15"/>
    <x v="15"/>
    <x v="2"/>
    <m/>
    <x v="131"/>
    <n v="25902.21"/>
    <x v="9"/>
    <x v="1"/>
  </r>
  <r>
    <x v="16"/>
    <x v="16"/>
    <x v="16"/>
    <x v="1"/>
    <m/>
    <x v="131"/>
    <n v="7148.82"/>
    <x v="0"/>
    <x v="0"/>
  </r>
  <r>
    <x v="16"/>
    <x v="16"/>
    <x v="16"/>
    <x v="2"/>
    <m/>
    <x v="131"/>
    <n v="11806.8"/>
    <x v="9"/>
    <x v="1"/>
  </r>
  <r>
    <x v="17"/>
    <x v="17"/>
    <x v="17"/>
    <x v="1"/>
    <m/>
    <x v="131"/>
    <n v="601.61"/>
    <x v="0"/>
    <x v="0"/>
  </r>
  <r>
    <x v="17"/>
    <x v="17"/>
    <x v="17"/>
    <x v="2"/>
    <m/>
    <x v="131"/>
    <n v="345.63"/>
    <x v="9"/>
    <x v="1"/>
  </r>
  <r>
    <x v="18"/>
    <x v="18"/>
    <x v="18"/>
    <x v="1"/>
    <m/>
    <x v="131"/>
    <n v="21283.45"/>
    <x v="0"/>
    <x v="0"/>
  </r>
  <r>
    <x v="18"/>
    <x v="18"/>
    <x v="18"/>
    <x v="2"/>
    <m/>
    <x v="131"/>
    <n v="42525.48"/>
    <x v="9"/>
    <x v="1"/>
  </r>
  <r>
    <x v="19"/>
    <x v="19"/>
    <x v="19"/>
    <x v="1"/>
    <m/>
    <x v="131"/>
    <n v="13941.65"/>
    <x v="0"/>
    <x v="0"/>
  </r>
  <r>
    <x v="19"/>
    <x v="19"/>
    <x v="19"/>
    <x v="2"/>
    <m/>
    <x v="131"/>
    <n v="26920.880000000001"/>
    <x v="9"/>
    <x v="1"/>
  </r>
  <r>
    <x v="20"/>
    <x v="20"/>
    <x v="20"/>
    <x v="1"/>
    <m/>
    <x v="131"/>
    <n v="14486.94"/>
    <x v="0"/>
    <x v="0"/>
  </r>
  <r>
    <x v="20"/>
    <x v="20"/>
    <x v="20"/>
    <x v="2"/>
    <m/>
    <x v="131"/>
    <n v="28419.45"/>
    <x v="9"/>
    <x v="1"/>
  </r>
  <r>
    <x v="21"/>
    <x v="21"/>
    <x v="21"/>
    <x v="1"/>
    <m/>
    <x v="131"/>
    <n v="8591.2199999999993"/>
    <x v="0"/>
    <x v="0"/>
  </r>
  <r>
    <x v="21"/>
    <x v="21"/>
    <x v="21"/>
    <x v="2"/>
    <m/>
    <x v="131"/>
    <n v="14127.6"/>
    <x v="9"/>
    <x v="1"/>
  </r>
  <r>
    <x v="22"/>
    <x v="22"/>
    <x v="22"/>
    <x v="1"/>
    <m/>
    <x v="131"/>
    <n v="5525.01"/>
    <x v="0"/>
    <x v="0"/>
  </r>
  <r>
    <x v="22"/>
    <x v="22"/>
    <x v="22"/>
    <x v="2"/>
    <m/>
    <x v="131"/>
    <n v="11143.04"/>
    <x v="9"/>
    <x v="1"/>
  </r>
  <r>
    <x v="23"/>
    <x v="23"/>
    <x v="23"/>
    <x v="1"/>
    <m/>
    <x v="131"/>
    <n v="8798.2000000000007"/>
    <x v="0"/>
    <x v="0"/>
  </r>
  <r>
    <x v="23"/>
    <x v="23"/>
    <x v="23"/>
    <x v="2"/>
    <m/>
    <x v="131"/>
    <n v="14606.79"/>
    <x v="9"/>
    <x v="1"/>
  </r>
  <r>
    <x v="24"/>
    <x v="24"/>
    <x v="7"/>
    <x v="2"/>
    <m/>
    <x v="131"/>
    <n v="298.04000000000002"/>
    <x v="9"/>
    <x v="1"/>
  </r>
  <r>
    <x v="25"/>
    <x v="25"/>
    <x v="24"/>
    <x v="1"/>
    <m/>
    <x v="131"/>
    <n v="8590.02"/>
    <x v="0"/>
    <x v="0"/>
  </r>
  <r>
    <x v="25"/>
    <x v="25"/>
    <x v="24"/>
    <x v="2"/>
    <m/>
    <x v="131"/>
    <n v="14253.38"/>
    <x v="9"/>
    <x v="1"/>
  </r>
  <r>
    <x v="26"/>
    <x v="26"/>
    <x v="25"/>
    <x v="1"/>
    <m/>
    <x v="131"/>
    <n v="13443.83"/>
    <x v="0"/>
    <x v="0"/>
  </r>
  <r>
    <x v="26"/>
    <x v="26"/>
    <x v="25"/>
    <x v="2"/>
    <m/>
    <x v="131"/>
    <n v="25515.040000000001"/>
    <x v="9"/>
    <x v="1"/>
  </r>
  <r>
    <x v="28"/>
    <x v="28"/>
    <x v="27"/>
    <x v="1"/>
    <m/>
    <x v="131"/>
    <n v="2344.9499999999998"/>
    <x v="0"/>
    <x v="0"/>
  </r>
  <r>
    <x v="28"/>
    <x v="28"/>
    <x v="27"/>
    <x v="2"/>
    <m/>
    <x v="131"/>
    <n v="4623.7700000000004"/>
    <x v="9"/>
    <x v="1"/>
  </r>
  <r>
    <x v="29"/>
    <x v="29"/>
    <x v="6"/>
    <x v="1"/>
    <m/>
    <x v="131"/>
    <n v="8897"/>
    <x v="0"/>
    <x v="0"/>
  </r>
  <r>
    <x v="29"/>
    <x v="29"/>
    <x v="6"/>
    <x v="2"/>
    <m/>
    <x v="131"/>
    <n v="14443.43"/>
    <x v="9"/>
    <x v="1"/>
  </r>
  <r>
    <x v="30"/>
    <x v="30"/>
    <x v="28"/>
    <x v="1"/>
    <m/>
    <x v="131"/>
    <n v="13451.86"/>
    <x v="0"/>
    <x v="0"/>
  </r>
  <r>
    <x v="30"/>
    <x v="30"/>
    <x v="28"/>
    <x v="2"/>
    <m/>
    <x v="131"/>
    <n v="25966.92"/>
    <x v="9"/>
    <x v="1"/>
  </r>
  <r>
    <x v="31"/>
    <x v="31"/>
    <x v="29"/>
    <x v="1"/>
    <m/>
    <x v="131"/>
    <n v="13642.98"/>
    <x v="0"/>
    <x v="0"/>
  </r>
  <r>
    <x v="31"/>
    <x v="31"/>
    <x v="29"/>
    <x v="2"/>
    <m/>
    <x v="131"/>
    <n v="26836.880000000001"/>
    <x v="9"/>
    <x v="1"/>
  </r>
  <r>
    <x v="32"/>
    <x v="32"/>
    <x v="30"/>
    <x v="1"/>
    <m/>
    <x v="131"/>
    <n v="10783.18"/>
    <x v="0"/>
    <x v="0"/>
  </r>
  <r>
    <x v="32"/>
    <x v="32"/>
    <x v="30"/>
    <x v="2"/>
    <m/>
    <x v="131"/>
    <n v="20768.830000000002"/>
    <x v="9"/>
    <x v="1"/>
  </r>
  <r>
    <x v="33"/>
    <x v="33"/>
    <x v="31"/>
    <x v="1"/>
    <m/>
    <x v="131"/>
    <n v="9624.19"/>
    <x v="0"/>
    <x v="0"/>
  </r>
  <r>
    <x v="33"/>
    <x v="33"/>
    <x v="31"/>
    <x v="2"/>
    <m/>
    <x v="131"/>
    <n v="16009.4"/>
    <x v="9"/>
    <x v="1"/>
  </r>
  <r>
    <x v="34"/>
    <x v="34"/>
    <x v="32"/>
    <x v="1"/>
    <m/>
    <x v="131"/>
    <n v="14886.2"/>
    <x v="0"/>
    <x v="0"/>
  </r>
  <r>
    <x v="34"/>
    <x v="34"/>
    <x v="32"/>
    <x v="2"/>
    <m/>
    <x v="131"/>
    <n v="30463.38"/>
    <x v="9"/>
    <x v="1"/>
  </r>
  <r>
    <x v="35"/>
    <x v="35"/>
    <x v="33"/>
    <x v="1"/>
    <m/>
    <x v="131"/>
    <n v="8897.8700000000008"/>
    <x v="0"/>
    <x v="0"/>
  </r>
  <r>
    <x v="35"/>
    <x v="35"/>
    <x v="33"/>
    <x v="2"/>
    <m/>
    <x v="131"/>
    <n v="14444.98"/>
    <x v="9"/>
    <x v="1"/>
  </r>
  <r>
    <x v="36"/>
    <x v="36"/>
    <x v="34"/>
    <x v="1"/>
    <m/>
    <x v="131"/>
    <n v="461.2"/>
    <x v="0"/>
    <x v="0"/>
  </r>
  <r>
    <x v="36"/>
    <x v="36"/>
    <x v="34"/>
    <x v="2"/>
    <m/>
    <x v="131"/>
    <n v="217.63"/>
    <x v="9"/>
    <x v="1"/>
  </r>
  <r>
    <x v="37"/>
    <x v="37"/>
    <x v="35"/>
    <x v="1"/>
    <m/>
    <x v="131"/>
    <n v="8577.2199999999993"/>
    <x v="0"/>
    <x v="0"/>
  </r>
  <r>
    <x v="37"/>
    <x v="37"/>
    <x v="35"/>
    <x v="2"/>
    <m/>
    <x v="131"/>
    <n v="14229.43"/>
    <x v="9"/>
    <x v="1"/>
  </r>
  <r>
    <x v="38"/>
    <x v="38"/>
    <x v="36"/>
    <x v="1"/>
    <m/>
    <x v="131"/>
    <n v="29751.439999999999"/>
    <x v="0"/>
    <x v="0"/>
  </r>
  <r>
    <x v="38"/>
    <x v="38"/>
    <x v="36"/>
    <x v="2"/>
    <m/>
    <x v="131"/>
    <n v="60213.91"/>
    <x v="9"/>
    <x v="1"/>
  </r>
  <r>
    <x v="39"/>
    <x v="39"/>
    <x v="37"/>
    <x v="1"/>
    <m/>
    <x v="131"/>
    <n v="4115.6499999999996"/>
    <x v="0"/>
    <x v="0"/>
  </r>
  <r>
    <x v="39"/>
    <x v="39"/>
    <x v="37"/>
    <x v="2"/>
    <m/>
    <x v="131"/>
    <n v="6850.98"/>
    <x v="9"/>
    <x v="1"/>
  </r>
  <r>
    <x v="40"/>
    <x v="40"/>
    <x v="38"/>
    <x v="1"/>
    <m/>
    <x v="131"/>
    <n v="12408.78"/>
    <x v="0"/>
    <x v="0"/>
  </r>
  <r>
    <x v="40"/>
    <x v="40"/>
    <x v="38"/>
    <x v="2"/>
    <m/>
    <x v="131"/>
    <n v="24371.88"/>
    <x v="9"/>
    <x v="1"/>
  </r>
  <r>
    <x v="41"/>
    <x v="41"/>
    <x v="39"/>
    <x v="1"/>
    <m/>
    <x v="131"/>
    <n v="12759.87"/>
    <x v="0"/>
    <x v="0"/>
  </r>
  <r>
    <x v="41"/>
    <x v="41"/>
    <x v="39"/>
    <x v="2"/>
    <m/>
    <x v="131"/>
    <n v="24619.06"/>
    <x v="9"/>
    <x v="1"/>
  </r>
  <r>
    <x v="42"/>
    <x v="42"/>
    <x v="40"/>
    <x v="1"/>
    <m/>
    <x v="131"/>
    <n v="17570.05"/>
    <x v="0"/>
    <x v="0"/>
  </r>
  <r>
    <x v="42"/>
    <x v="42"/>
    <x v="40"/>
    <x v="2"/>
    <m/>
    <x v="131"/>
    <n v="35162.29"/>
    <x v="9"/>
    <x v="1"/>
  </r>
  <r>
    <x v="43"/>
    <x v="43"/>
    <x v="41"/>
    <x v="1"/>
    <m/>
    <x v="131"/>
    <n v="12467.23"/>
    <x v="0"/>
    <x v="0"/>
  </r>
  <r>
    <x v="43"/>
    <x v="43"/>
    <x v="41"/>
    <x v="2"/>
    <m/>
    <x v="131"/>
    <n v="24267.360000000001"/>
    <x v="9"/>
    <x v="1"/>
  </r>
  <r>
    <x v="44"/>
    <x v="44"/>
    <x v="42"/>
    <x v="1"/>
    <m/>
    <x v="131"/>
    <n v="10866.04"/>
    <x v="0"/>
    <x v="0"/>
  </r>
  <r>
    <x v="44"/>
    <x v="44"/>
    <x v="42"/>
    <x v="2"/>
    <m/>
    <x v="131"/>
    <n v="20078.3"/>
    <x v="9"/>
    <x v="1"/>
  </r>
  <r>
    <x v="45"/>
    <x v="45"/>
    <x v="43"/>
    <x v="1"/>
    <m/>
    <x v="131"/>
    <n v="7251.46"/>
    <x v="0"/>
    <x v="0"/>
  </r>
  <r>
    <x v="45"/>
    <x v="45"/>
    <x v="43"/>
    <x v="2"/>
    <m/>
    <x v="131"/>
    <n v="18378.240000000002"/>
    <x v="9"/>
    <x v="1"/>
  </r>
  <r>
    <x v="46"/>
    <x v="46"/>
    <x v="44"/>
    <x v="1"/>
    <m/>
    <x v="131"/>
    <n v="254.93"/>
    <x v="0"/>
    <x v="0"/>
  </r>
  <r>
    <x v="46"/>
    <x v="46"/>
    <x v="44"/>
    <x v="2"/>
    <m/>
    <x v="131"/>
    <n v="544.72"/>
    <x v="9"/>
    <x v="1"/>
  </r>
  <r>
    <x v="47"/>
    <x v="47"/>
    <x v="45"/>
    <x v="1"/>
    <m/>
    <x v="131"/>
    <n v="5815.62"/>
    <x v="0"/>
    <x v="0"/>
  </r>
  <r>
    <x v="47"/>
    <x v="47"/>
    <x v="45"/>
    <x v="2"/>
    <m/>
    <x v="131"/>
    <n v="11177.13"/>
    <x v="9"/>
    <x v="1"/>
  </r>
  <r>
    <x v="48"/>
    <x v="48"/>
    <x v="46"/>
    <x v="2"/>
    <m/>
    <x v="131"/>
    <n v="294.56"/>
    <x v="9"/>
    <x v="1"/>
  </r>
  <r>
    <x v="49"/>
    <x v="49"/>
    <x v="47"/>
    <x v="1"/>
    <m/>
    <x v="131"/>
    <n v="749.9"/>
    <x v="0"/>
    <x v="0"/>
  </r>
  <r>
    <x v="49"/>
    <x v="49"/>
    <x v="47"/>
    <x v="2"/>
    <m/>
    <x v="131"/>
    <n v="1279.99"/>
    <x v="9"/>
    <x v="1"/>
  </r>
  <r>
    <x v="50"/>
    <x v="49"/>
    <x v="48"/>
    <x v="1"/>
    <m/>
    <x v="131"/>
    <n v="7740.6"/>
    <x v="0"/>
    <x v="0"/>
  </r>
  <r>
    <x v="50"/>
    <x v="49"/>
    <x v="48"/>
    <x v="2"/>
    <m/>
    <x v="131"/>
    <n v="13142.33"/>
    <x v="9"/>
    <x v="1"/>
  </r>
  <r>
    <x v="51"/>
    <x v="50"/>
    <x v="49"/>
    <x v="1"/>
    <m/>
    <x v="131"/>
    <n v="1243.57"/>
    <x v="0"/>
    <x v="0"/>
  </r>
  <r>
    <x v="51"/>
    <x v="50"/>
    <x v="49"/>
    <x v="2"/>
    <m/>
    <x v="131"/>
    <n v="2645.69"/>
    <x v="9"/>
    <x v="1"/>
  </r>
  <r>
    <x v="52"/>
    <x v="51"/>
    <x v="50"/>
    <x v="1"/>
    <m/>
    <x v="131"/>
    <n v="9787.9699999999993"/>
    <x v="0"/>
    <x v="0"/>
  </r>
  <r>
    <x v="52"/>
    <x v="51"/>
    <x v="50"/>
    <x v="2"/>
    <m/>
    <x v="131"/>
    <n v="19743.71"/>
    <x v="9"/>
    <x v="1"/>
  </r>
  <r>
    <x v="53"/>
    <x v="52"/>
    <x v="48"/>
    <x v="1"/>
    <m/>
    <x v="131"/>
    <n v="1504"/>
    <x v="0"/>
    <x v="0"/>
  </r>
  <r>
    <x v="53"/>
    <x v="52"/>
    <x v="48"/>
    <x v="2"/>
    <m/>
    <x v="131"/>
    <n v="2565.29"/>
    <x v="9"/>
    <x v="1"/>
  </r>
  <r>
    <x v="0"/>
    <x v="0"/>
    <x v="0"/>
    <x v="1"/>
    <m/>
    <x v="132"/>
    <n v="4593.55"/>
    <x v="0"/>
    <x v="0"/>
  </r>
  <r>
    <x v="1"/>
    <x v="1"/>
    <x v="1"/>
    <x v="1"/>
    <m/>
    <x v="132"/>
    <n v="34802.720000000001"/>
    <x v="0"/>
    <x v="0"/>
  </r>
  <r>
    <x v="2"/>
    <x v="2"/>
    <x v="2"/>
    <x v="1"/>
    <m/>
    <x v="132"/>
    <n v="50136.36"/>
    <x v="0"/>
    <x v="0"/>
  </r>
  <r>
    <x v="3"/>
    <x v="3"/>
    <x v="3"/>
    <x v="1"/>
    <m/>
    <x v="132"/>
    <n v="12317.47"/>
    <x v="0"/>
    <x v="0"/>
  </r>
  <r>
    <x v="4"/>
    <x v="4"/>
    <x v="4"/>
    <x v="1"/>
    <m/>
    <x v="132"/>
    <n v="15774.34"/>
    <x v="0"/>
    <x v="0"/>
  </r>
  <r>
    <x v="5"/>
    <x v="5"/>
    <x v="5"/>
    <x v="1"/>
    <m/>
    <x v="132"/>
    <n v="37121.49"/>
    <x v="0"/>
    <x v="0"/>
  </r>
  <r>
    <x v="6"/>
    <x v="6"/>
    <x v="6"/>
    <x v="1"/>
    <m/>
    <x v="132"/>
    <n v="49588.93"/>
    <x v="0"/>
    <x v="0"/>
  </r>
  <r>
    <x v="7"/>
    <x v="7"/>
    <x v="7"/>
    <x v="1"/>
    <m/>
    <x v="132"/>
    <n v="43912.33"/>
    <x v="0"/>
    <x v="0"/>
  </r>
  <r>
    <x v="8"/>
    <x v="8"/>
    <x v="8"/>
    <x v="1"/>
    <m/>
    <x v="132"/>
    <n v="110792.67"/>
    <x v="0"/>
    <x v="0"/>
  </r>
  <r>
    <x v="9"/>
    <x v="9"/>
    <x v="9"/>
    <x v="1"/>
    <m/>
    <x v="132"/>
    <n v="51461.599999999999"/>
    <x v="0"/>
    <x v="0"/>
  </r>
  <r>
    <x v="10"/>
    <x v="10"/>
    <x v="10"/>
    <x v="1"/>
    <m/>
    <x v="132"/>
    <n v="111325.85"/>
    <x v="0"/>
    <x v="0"/>
  </r>
  <r>
    <x v="11"/>
    <x v="11"/>
    <x v="11"/>
    <x v="1"/>
    <m/>
    <x v="132"/>
    <n v="58042.66"/>
    <x v="0"/>
    <x v="0"/>
  </r>
  <r>
    <x v="12"/>
    <x v="12"/>
    <x v="12"/>
    <x v="1"/>
    <m/>
    <x v="132"/>
    <n v="46291.78"/>
    <x v="0"/>
    <x v="0"/>
  </r>
  <r>
    <x v="13"/>
    <x v="13"/>
    <x v="13"/>
    <x v="1"/>
    <m/>
    <x v="132"/>
    <n v="22380.81"/>
    <x v="0"/>
    <x v="0"/>
  </r>
  <r>
    <x v="14"/>
    <x v="14"/>
    <x v="14"/>
    <x v="1"/>
    <m/>
    <x v="132"/>
    <n v="33040.28"/>
    <x v="0"/>
    <x v="0"/>
  </r>
  <r>
    <x v="15"/>
    <x v="15"/>
    <x v="15"/>
    <x v="1"/>
    <m/>
    <x v="132"/>
    <n v="50200.39"/>
    <x v="0"/>
    <x v="0"/>
  </r>
  <r>
    <x v="16"/>
    <x v="16"/>
    <x v="16"/>
    <x v="1"/>
    <m/>
    <x v="132"/>
    <n v="26175.61"/>
    <x v="0"/>
    <x v="0"/>
  </r>
  <r>
    <x v="17"/>
    <x v="17"/>
    <x v="17"/>
    <x v="1"/>
    <m/>
    <x v="132"/>
    <n v="5360.75"/>
    <x v="0"/>
    <x v="0"/>
  </r>
  <r>
    <x v="18"/>
    <x v="18"/>
    <x v="18"/>
    <x v="1"/>
    <m/>
    <x v="132"/>
    <n v="78973.320000000007"/>
    <x v="0"/>
    <x v="0"/>
  </r>
  <r>
    <x v="19"/>
    <x v="19"/>
    <x v="19"/>
    <x v="1"/>
    <m/>
    <x v="132"/>
    <n v="52223.97"/>
    <x v="0"/>
    <x v="0"/>
  </r>
  <r>
    <x v="20"/>
    <x v="20"/>
    <x v="20"/>
    <x v="1"/>
    <m/>
    <x v="132"/>
    <n v="55989.42"/>
    <x v="0"/>
    <x v="0"/>
  </r>
  <r>
    <x v="21"/>
    <x v="21"/>
    <x v="21"/>
    <x v="1"/>
    <m/>
    <x v="132"/>
    <n v="31149.8"/>
    <x v="0"/>
    <x v="0"/>
  </r>
  <r>
    <x v="22"/>
    <x v="22"/>
    <x v="22"/>
    <x v="1"/>
    <m/>
    <x v="132"/>
    <n v="20813.77"/>
    <x v="0"/>
    <x v="0"/>
  </r>
  <r>
    <x v="23"/>
    <x v="23"/>
    <x v="23"/>
    <x v="1"/>
    <m/>
    <x v="132"/>
    <n v="32599.360000000001"/>
    <x v="0"/>
    <x v="0"/>
  </r>
  <r>
    <x v="24"/>
    <x v="24"/>
    <x v="7"/>
    <x v="1"/>
    <m/>
    <x v="132"/>
    <n v="7934.12"/>
    <x v="0"/>
    <x v="0"/>
  </r>
  <r>
    <x v="25"/>
    <x v="25"/>
    <x v="24"/>
    <x v="1"/>
    <m/>
    <x v="132"/>
    <n v="31788.63"/>
    <x v="0"/>
    <x v="0"/>
  </r>
  <r>
    <x v="26"/>
    <x v="26"/>
    <x v="25"/>
    <x v="1"/>
    <m/>
    <x v="132"/>
    <n v="48642.55"/>
    <x v="0"/>
    <x v="0"/>
  </r>
  <r>
    <x v="27"/>
    <x v="27"/>
    <x v="26"/>
    <x v="1"/>
    <m/>
    <x v="132"/>
    <n v="1695.06"/>
    <x v="0"/>
    <x v="0"/>
  </r>
  <r>
    <x v="28"/>
    <x v="28"/>
    <x v="27"/>
    <x v="1"/>
    <m/>
    <x v="132"/>
    <n v="8720.19"/>
    <x v="0"/>
    <x v="0"/>
  </r>
  <r>
    <x v="29"/>
    <x v="29"/>
    <x v="6"/>
    <x v="1"/>
    <m/>
    <x v="132"/>
    <n v="31317.73"/>
    <x v="0"/>
    <x v="0"/>
  </r>
  <r>
    <x v="30"/>
    <x v="30"/>
    <x v="28"/>
    <x v="1"/>
    <m/>
    <x v="132"/>
    <n v="50329.61"/>
    <x v="0"/>
    <x v="0"/>
  </r>
  <r>
    <x v="31"/>
    <x v="31"/>
    <x v="29"/>
    <x v="1"/>
    <m/>
    <x v="132"/>
    <n v="47087.51"/>
    <x v="0"/>
    <x v="0"/>
  </r>
  <r>
    <x v="32"/>
    <x v="32"/>
    <x v="30"/>
    <x v="1"/>
    <m/>
    <x v="132"/>
    <n v="40004.239999999998"/>
    <x v="0"/>
    <x v="0"/>
  </r>
  <r>
    <x v="33"/>
    <x v="33"/>
    <x v="31"/>
    <x v="1"/>
    <m/>
    <x v="132"/>
    <n v="35816.81"/>
    <x v="0"/>
    <x v="0"/>
  </r>
  <r>
    <x v="34"/>
    <x v="34"/>
    <x v="32"/>
    <x v="1"/>
    <m/>
    <x v="132"/>
    <n v="57534.69"/>
    <x v="0"/>
    <x v="0"/>
  </r>
  <r>
    <x v="35"/>
    <x v="35"/>
    <x v="33"/>
    <x v="1"/>
    <m/>
    <x v="132"/>
    <n v="31321.02"/>
    <x v="0"/>
    <x v="0"/>
  </r>
  <r>
    <x v="36"/>
    <x v="36"/>
    <x v="34"/>
    <x v="1"/>
    <m/>
    <x v="132"/>
    <n v="5369.44"/>
    <x v="0"/>
    <x v="0"/>
  </r>
  <r>
    <x v="37"/>
    <x v="37"/>
    <x v="35"/>
    <x v="1"/>
    <m/>
    <x v="132"/>
    <n v="31725.37"/>
    <x v="0"/>
    <x v="0"/>
  </r>
  <r>
    <x v="38"/>
    <x v="38"/>
    <x v="36"/>
    <x v="1"/>
    <m/>
    <x v="132"/>
    <n v="113391.36"/>
    <x v="0"/>
    <x v="0"/>
  </r>
  <r>
    <x v="39"/>
    <x v="39"/>
    <x v="37"/>
    <x v="1"/>
    <m/>
    <x v="132"/>
    <n v="15126.15"/>
    <x v="0"/>
    <x v="0"/>
  </r>
  <r>
    <x v="40"/>
    <x v="40"/>
    <x v="38"/>
    <x v="1"/>
    <m/>
    <x v="132"/>
    <n v="47949.77"/>
    <x v="0"/>
    <x v="0"/>
  </r>
  <r>
    <x v="41"/>
    <x v="41"/>
    <x v="39"/>
    <x v="1"/>
    <m/>
    <x v="132"/>
    <n v="47651.86"/>
    <x v="0"/>
    <x v="0"/>
  </r>
  <r>
    <x v="42"/>
    <x v="42"/>
    <x v="40"/>
    <x v="1"/>
    <m/>
    <x v="132"/>
    <n v="62661.86"/>
    <x v="0"/>
    <x v="0"/>
  </r>
  <r>
    <x v="43"/>
    <x v="43"/>
    <x v="41"/>
    <x v="1"/>
    <m/>
    <x v="132"/>
    <n v="46519.58"/>
    <x v="0"/>
    <x v="0"/>
  </r>
  <r>
    <x v="44"/>
    <x v="44"/>
    <x v="42"/>
    <x v="1"/>
    <m/>
    <x v="132"/>
    <n v="37326.93"/>
    <x v="0"/>
    <x v="0"/>
  </r>
  <r>
    <x v="45"/>
    <x v="45"/>
    <x v="43"/>
    <x v="1"/>
    <m/>
    <x v="132"/>
    <n v="25663"/>
    <x v="0"/>
    <x v="0"/>
  </r>
  <r>
    <x v="46"/>
    <x v="46"/>
    <x v="44"/>
    <x v="1"/>
    <m/>
    <x v="132"/>
    <n v="7716.55"/>
    <x v="0"/>
    <x v="0"/>
  </r>
  <r>
    <x v="47"/>
    <x v="47"/>
    <x v="45"/>
    <x v="1"/>
    <m/>
    <x v="132"/>
    <n v="21503.81"/>
    <x v="0"/>
    <x v="0"/>
  </r>
  <r>
    <x v="48"/>
    <x v="48"/>
    <x v="46"/>
    <x v="1"/>
    <m/>
    <x v="132"/>
    <n v="7840.63"/>
    <x v="0"/>
    <x v="0"/>
  </r>
  <r>
    <x v="49"/>
    <x v="49"/>
    <x v="47"/>
    <x v="1"/>
    <m/>
    <x v="132"/>
    <n v="2781.7"/>
    <x v="0"/>
    <x v="0"/>
  </r>
  <r>
    <x v="50"/>
    <x v="49"/>
    <x v="48"/>
    <x v="1"/>
    <m/>
    <x v="132"/>
    <n v="30147.29"/>
    <x v="0"/>
    <x v="0"/>
  </r>
  <r>
    <x v="51"/>
    <x v="50"/>
    <x v="49"/>
    <x v="1"/>
    <m/>
    <x v="132"/>
    <n v="5023.92"/>
    <x v="0"/>
    <x v="0"/>
  </r>
  <r>
    <x v="52"/>
    <x v="51"/>
    <x v="50"/>
    <x v="1"/>
    <m/>
    <x v="132"/>
    <n v="36874.230000000003"/>
    <x v="0"/>
    <x v="0"/>
  </r>
  <r>
    <x v="53"/>
    <x v="52"/>
    <x v="48"/>
    <x v="1"/>
    <m/>
    <x v="132"/>
    <n v="5579.85"/>
    <x v="0"/>
    <x v="0"/>
  </r>
  <r>
    <x v="0"/>
    <x v="0"/>
    <x v="0"/>
    <x v="0"/>
    <m/>
    <x v="133"/>
    <n v="128"/>
    <x v="0"/>
    <x v="0"/>
  </r>
  <r>
    <x v="1"/>
    <x v="1"/>
    <x v="1"/>
    <x v="0"/>
    <m/>
    <x v="133"/>
    <n v="384"/>
    <x v="0"/>
    <x v="0"/>
  </r>
  <r>
    <x v="2"/>
    <x v="2"/>
    <x v="2"/>
    <x v="0"/>
    <m/>
    <x v="133"/>
    <n v="384"/>
    <x v="0"/>
    <x v="0"/>
  </r>
  <r>
    <x v="3"/>
    <x v="3"/>
    <x v="3"/>
    <x v="0"/>
    <m/>
    <x v="133"/>
    <n v="96"/>
    <x v="0"/>
    <x v="0"/>
  </r>
  <r>
    <x v="4"/>
    <x v="4"/>
    <x v="4"/>
    <x v="0"/>
    <m/>
    <x v="133"/>
    <n v="224"/>
    <x v="0"/>
    <x v="0"/>
  </r>
  <r>
    <x v="5"/>
    <x v="5"/>
    <x v="5"/>
    <x v="0"/>
    <m/>
    <x v="133"/>
    <n v="384"/>
    <x v="0"/>
    <x v="0"/>
  </r>
  <r>
    <x v="6"/>
    <x v="6"/>
    <x v="6"/>
    <x v="0"/>
    <m/>
    <x v="133"/>
    <n v="512"/>
    <x v="0"/>
    <x v="0"/>
  </r>
  <r>
    <x v="8"/>
    <x v="8"/>
    <x v="8"/>
    <x v="0"/>
    <m/>
    <x v="133"/>
    <n v="384"/>
    <x v="0"/>
    <x v="0"/>
  </r>
  <r>
    <x v="9"/>
    <x v="9"/>
    <x v="9"/>
    <x v="0"/>
    <m/>
    <x v="133"/>
    <n v="384"/>
    <x v="0"/>
    <x v="0"/>
  </r>
  <r>
    <x v="10"/>
    <x v="10"/>
    <x v="10"/>
    <x v="0"/>
    <m/>
    <x v="133"/>
    <n v="384"/>
    <x v="0"/>
    <x v="0"/>
  </r>
  <r>
    <x v="11"/>
    <x v="11"/>
    <x v="11"/>
    <x v="0"/>
    <m/>
    <x v="133"/>
    <n v="1152"/>
    <x v="0"/>
    <x v="0"/>
  </r>
  <r>
    <x v="12"/>
    <x v="12"/>
    <x v="12"/>
    <x v="0"/>
    <m/>
    <x v="133"/>
    <n v="384"/>
    <x v="0"/>
    <x v="0"/>
  </r>
  <r>
    <x v="13"/>
    <x v="13"/>
    <x v="13"/>
    <x v="0"/>
    <m/>
    <x v="133"/>
    <n v="283.74"/>
    <x v="0"/>
    <x v="0"/>
  </r>
  <r>
    <x v="14"/>
    <x v="14"/>
    <x v="14"/>
    <x v="0"/>
    <m/>
    <x v="133"/>
    <n v="384"/>
    <x v="0"/>
    <x v="0"/>
  </r>
  <r>
    <x v="15"/>
    <x v="15"/>
    <x v="15"/>
    <x v="0"/>
    <m/>
    <x v="133"/>
    <n v="384"/>
    <x v="0"/>
    <x v="0"/>
  </r>
  <r>
    <x v="16"/>
    <x v="16"/>
    <x v="16"/>
    <x v="0"/>
    <m/>
    <x v="133"/>
    <n v="384"/>
    <x v="0"/>
    <x v="0"/>
  </r>
  <r>
    <x v="17"/>
    <x v="17"/>
    <x v="17"/>
    <x v="0"/>
    <m/>
    <x v="133"/>
    <n v="128"/>
    <x v="0"/>
    <x v="0"/>
  </r>
  <r>
    <x v="18"/>
    <x v="18"/>
    <x v="18"/>
    <x v="0"/>
    <m/>
    <x v="133"/>
    <n v="768"/>
    <x v="0"/>
    <x v="0"/>
  </r>
  <r>
    <x v="19"/>
    <x v="19"/>
    <x v="19"/>
    <x v="0"/>
    <m/>
    <x v="133"/>
    <n v="384"/>
    <x v="0"/>
    <x v="0"/>
  </r>
  <r>
    <x v="21"/>
    <x v="21"/>
    <x v="21"/>
    <x v="0"/>
    <m/>
    <x v="133"/>
    <n v="532.26"/>
    <x v="0"/>
    <x v="0"/>
  </r>
  <r>
    <x v="22"/>
    <x v="22"/>
    <x v="22"/>
    <x v="0"/>
    <m/>
    <x v="133"/>
    <n v="125.88"/>
    <x v="0"/>
    <x v="0"/>
  </r>
  <r>
    <x v="23"/>
    <x v="23"/>
    <x v="23"/>
    <x v="0"/>
    <m/>
    <x v="133"/>
    <n v="384"/>
    <x v="0"/>
    <x v="0"/>
  </r>
  <r>
    <x v="25"/>
    <x v="25"/>
    <x v="24"/>
    <x v="0"/>
    <m/>
    <x v="133"/>
    <n v="384"/>
    <x v="0"/>
    <x v="0"/>
  </r>
  <r>
    <x v="26"/>
    <x v="26"/>
    <x v="25"/>
    <x v="0"/>
    <m/>
    <x v="133"/>
    <n v="768"/>
    <x v="0"/>
    <x v="0"/>
  </r>
  <r>
    <x v="28"/>
    <x v="28"/>
    <x v="27"/>
    <x v="0"/>
    <m/>
    <x v="133"/>
    <n v="78.94"/>
    <x v="0"/>
    <x v="0"/>
  </r>
  <r>
    <x v="29"/>
    <x v="29"/>
    <x v="6"/>
    <x v="0"/>
    <m/>
    <x v="133"/>
    <n v="768"/>
    <x v="0"/>
    <x v="0"/>
  </r>
  <r>
    <x v="30"/>
    <x v="30"/>
    <x v="28"/>
    <x v="0"/>
    <m/>
    <x v="133"/>
    <n v="384"/>
    <x v="0"/>
    <x v="0"/>
  </r>
  <r>
    <x v="31"/>
    <x v="31"/>
    <x v="29"/>
    <x v="0"/>
    <m/>
    <x v="133"/>
    <n v="1152"/>
    <x v="0"/>
    <x v="0"/>
  </r>
  <r>
    <x v="32"/>
    <x v="32"/>
    <x v="30"/>
    <x v="0"/>
    <m/>
    <x v="133"/>
    <n v="384"/>
    <x v="0"/>
    <x v="0"/>
  </r>
  <r>
    <x v="33"/>
    <x v="33"/>
    <x v="31"/>
    <x v="0"/>
    <m/>
    <x v="133"/>
    <n v="384"/>
    <x v="0"/>
    <x v="0"/>
  </r>
  <r>
    <x v="35"/>
    <x v="35"/>
    <x v="33"/>
    <x v="0"/>
    <m/>
    <x v="133"/>
    <n v="768"/>
    <x v="0"/>
    <x v="0"/>
  </r>
  <r>
    <x v="37"/>
    <x v="37"/>
    <x v="35"/>
    <x v="0"/>
    <m/>
    <x v="133"/>
    <n v="387.22"/>
    <x v="0"/>
    <x v="0"/>
  </r>
  <r>
    <x v="38"/>
    <x v="38"/>
    <x v="36"/>
    <x v="0"/>
    <m/>
    <x v="133"/>
    <n v="384"/>
    <x v="0"/>
    <x v="0"/>
  </r>
  <r>
    <x v="39"/>
    <x v="39"/>
    <x v="37"/>
    <x v="0"/>
    <m/>
    <x v="133"/>
    <n v="208"/>
    <x v="0"/>
    <x v="0"/>
  </r>
  <r>
    <x v="41"/>
    <x v="41"/>
    <x v="39"/>
    <x v="0"/>
    <m/>
    <x v="133"/>
    <n v="384"/>
    <x v="0"/>
    <x v="0"/>
  </r>
  <r>
    <x v="42"/>
    <x v="42"/>
    <x v="40"/>
    <x v="0"/>
    <m/>
    <x v="133"/>
    <n v="992"/>
    <x v="0"/>
    <x v="0"/>
  </r>
  <r>
    <x v="43"/>
    <x v="43"/>
    <x v="41"/>
    <x v="0"/>
    <m/>
    <x v="133"/>
    <n v="384"/>
    <x v="0"/>
    <x v="0"/>
  </r>
  <r>
    <x v="44"/>
    <x v="44"/>
    <x v="42"/>
    <x v="0"/>
    <m/>
    <x v="133"/>
    <n v="1152"/>
    <x v="0"/>
    <x v="0"/>
  </r>
  <r>
    <x v="46"/>
    <x v="46"/>
    <x v="44"/>
    <x v="0"/>
    <m/>
    <x v="133"/>
    <n v="254.94"/>
    <x v="0"/>
    <x v="0"/>
  </r>
  <r>
    <x v="47"/>
    <x v="47"/>
    <x v="45"/>
    <x v="0"/>
    <m/>
    <x v="133"/>
    <n v="224"/>
    <x v="0"/>
    <x v="0"/>
  </r>
  <r>
    <x v="49"/>
    <x v="49"/>
    <x v="47"/>
    <x v="0"/>
    <m/>
    <x v="133"/>
    <n v="32"/>
    <x v="0"/>
    <x v="0"/>
  </r>
  <r>
    <x v="51"/>
    <x v="50"/>
    <x v="49"/>
    <x v="0"/>
    <m/>
    <x v="133"/>
    <n v="14.94"/>
    <x v="0"/>
    <x v="0"/>
  </r>
  <r>
    <x v="52"/>
    <x v="51"/>
    <x v="50"/>
    <x v="0"/>
    <m/>
    <x v="133"/>
    <n v="222.94"/>
    <x v="0"/>
    <x v="0"/>
  </r>
  <r>
    <x v="53"/>
    <x v="52"/>
    <x v="48"/>
    <x v="0"/>
    <m/>
    <x v="133"/>
    <n v="64"/>
    <x v="0"/>
    <x v="0"/>
  </r>
  <r>
    <x v="0"/>
    <x v="0"/>
    <x v="0"/>
    <x v="0"/>
    <s v="F07"/>
    <x v="134"/>
    <n v="113.6"/>
    <x v="0"/>
    <x v="0"/>
  </r>
  <r>
    <x v="0"/>
    <x v="0"/>
    <x v="0"/>
    <x v="1"/>
    <s v="F07"/>
    <x v="134"/>
    <n v="56.8"/>
    <x v="10"/>
    <x v="2"/>
  </r>
  <r>
    <x v="5"/>
    <x v="5"/>
    <x v="5"/>
    <x v="0"/>
    <s v="F07"/>
    <x v="134"/>
    <n v="663.2"/>
    <x v="0"/>
    <x v="0"/>
  </r>
  <r>
    <x v="5"/>
    <x v="5"/>
    <x v="5"/>
    <x v="1"/>
    <s v="F07"/>
    <x v="134"/>
    <n v="331.6"/>
    <x v="10"/>
    <x v="2"/>
  </r>
  <r>
    <x v="0"/>
    <x v="0"/>
    <x v="0"/>
    <x v="0"/>
    <s v="F07"/>
    <x v="135"/>
    <n v="113.6"/>
    <x v="0"/>
    <x v="0"/>
  </r>
  <r>
    <x v="0"/>
    <x v="0"/>
    <x v="0"/>
    <x v="1"/>
    <s v="F07"/>
    <x v="135"/>
    <n v="56.8"/>
    <x v="10"/>
    <x v="2"/>
  </r>
  <r>
    <x v="1"/>
    <x v="1"/>
    <x v="1"/>
    <x v="0"/>
    <s v="K07"/>
    <x v="136"/>
    <n v="34802.720000000001"/>
    <x v="0"/>
    <x v="0"/>
  </r>
  <r>
    <x v="1"/>
    <x v="1"/>
    <x v="1"/>
    <x v="1"/>
    <s v="K07"/>
    <x v="136"/>
    <n v="-4744.95"/>
    <x v="0"/>
    <x v="0"/>
  </r>
  <r>
    <x v="2"/>
    <x v="2"/>
    <x v="2"/>
    <x v="0"/>
    <s v="K07"/>
    <x v="136"/>
    <n v="50136.36"/>
    <x v="0"/>
    <x v="0"/>
  </r>
  <r>
    <x v="2"/>
    <x v="2"/>
    <x v="2"/>
    <x v="1"/>
    <s v="K07"/>
    <x v="136"/>
    <n v="-5275.43"/>
    <x v="0"/>
    <x v="0"/>
  </r>
  <r>
    <x v="3"/>
    <x v="3"/>
    <x v="3"/>
    <x v="0"/>
    <s v="K07"/>
    <x v="136"/>
    <n v="12317.47"/>
    <x v="0"/>
    <x v="0"/>
  </r>
  <r>
    <x v="3"/>
    <x v="3"/>
    <x v="3"/>
    <x v="1"/>
    <s v="K07"/>
    <x v="136"/>
    <n v="-903.64"/>
    <x v="0"/>
    <x v="0"/>
  </r>
  <r>
    <x v="4"/>
    <x v="4"/>
    <x v="4"/>
    <x v="0"/>
    <s v="K07"/>
    <x v="136"/>
    <n v="19351.88"/>
    <x v="0"/>
    <x v="0"/>
  </r>
  <r>
    <x v="5"/>
    <x v="5"/>
    <x v="5"/>
    <x v="0"/>
    <s v="K07"/>
    <x v="136"/>
    <n v="37121.49"/>
    <x v="0"/>
    <x v="0"/>
  </r>
  <r>
    <x v="5"/>
    <x v="5"/>
    <x v="5"/>
    <x v="1"/>
    <s v="K07"/>
    <x v="136"/>
    <n v="-3303.1"/>
    <x v="0"/>
    <x v="0"/>
  </r>
  <r>
    <x v="6"/>
    <x v="6"/>
    <x v="6"/>
    <x v="0"/>
    <s v="K07"/>
    <x v="136"/>
    <n v="49588.93"/>
    <x v="0"/>
    <x v="0"/>
  </r>
  <r>
    <x v="6"/>
    <x v="6"/>
    <x v="6"/>
    <x v="1"/>
    <s v="K07"/>
    <x v="136"/>
    <n v="-6405.51"/>
    <x v="0"/>
    <x v="0"/>
  </r>
  <r>
    <x v="7"/>
    <x v="7"/>
    <x v="7"/>
    <x v="0"/>
    <s v="K07"/>
    <x v="136"/>
    <n v="46186.3"/>
    <x v="0"/>
    <x v="0"/>
  </r>
  <r>
    <x v="7"/>
    <x v="7"/>
    <x v="7"/>
    <x v="1"/>
    <s v="K07"/>
    <x v="136"/>
    <n v="-818.33"/>
    <x v="0"/>
    <x v="0"/>
  </r>
  <r>
    <x v="8"/>
    <x v="8"/>
    <x v="8"/>
    <x v="0"/>
    <s v="K07"/>
    <x v="136"/>
    <n v="110792.67"/>
    <x v="0"/>
    <x v="0"/>
  </r>
  <r>
    <x v="8"/>
    <x v="8"/>
    <x v="8"/>
    <x v="1"/>
    <s v="K07"/>
    <x v="136"/>
    <n v="-22880.83"/>
    <x v="0"/>
    <x v="0"/>
  </r>
  <r>
    <x v="9"/>
    <x v="9"/>
    <x v="9"/>
    <x v="0"/>
    <s v="K07"/>
    <x v="136"/>
    <n v="51461.599999999999"/>
    <x v="0"/>
    <x v="0"/>
  </r>
  <r>
    <x v="9"/>
    <x v="9"/>
    <x v="9"/>
    <x v="1"/>
    <s v="K07"/>
    <x v="136"/>
    <n v="-7262.08"/>
    <x v="0"/>
    <x v="0"/>
  </r>
  <r>
    <x v="10"/>
    <x v="10"/>
    <x v="10"/>
    <x v="0"/>
    <s v="K07"/>
    <x v="136"/>
    <n v="113483.31"/>
    <x v="0"/>
    <x v="0"/>
  </r>
  <r>
    <x v="10"/>
    <x v="10"/>
    <x v="10"/>
    <x v="1"/>
    <s v="K07"/>
    <x v="136"/>
    <n v="-24147.97"/>
    <x v="0"/>
    <x v="0"/>
  </r>
  <r>
    <x v="11"/>
    <x v="11"/>
    <x v="11"/>
    <x v="0"/>
    <s v="K07"/>
    <x v="136"/>
    <n v="58532.99"/>
    <x v="0"/>
    <x v="0"/>
  </r>
  <r>
    <x v="11"/>
    <x v="11"/>
    <x v="11"/>
    <x v="1"/>
    <s v="K07"/>
    <x v="136"/>
    <n v="-5458.68"/>
    <x v="0"/>
    <x v="0"/>
  </r>
  <r>
    <x v="12"/>
    <x v="12"/>
    <x v="12"/>
    <x v="0"/>
    <s v="K07"/>
    <x v="136"/>
    <n v="46291.78"/>
    <x v="0"/>
    <x v="0"/>
  </r>
  <r>
    <x v="12"/>
    <x v="12"/>
    <x v="12"/>
    <x v="1"/>
    <s v="K07"/>
    <x v="136"/>
    <n v="-5097.59"/>
    <x v="0"/>
    <x v="0"/>
  </r>
  <r>
    <x v="13"/>
    <x v="13"/>
    <x v="13"/>
    <x v="0"/>
    <s v="K07"/>
    <x v="136"/>
    <n v="22380.81"/>
    <x v="0"/>
    <x v="0"/>
  </r>
  <r>
    <x v="13"/>
    <x v="13"/>
    <x v="13"/>
    <x v="1"/>
    <s v="K07"/>
    <x v="136"/>
    <n v="-1423.16"/>
    <x v="0"/>
    <x v="0"/>
  </r>
  <r>
    <x v="14"/>
    <x v="14"/>
    <x v="14"/>
    <x v="0"/>
    <s v="K07"/>
    <x v="136"/>
    <n v="35095.089999999997"/>
    <x v="0"/>
    <x v="0"/>
  </r>
  <r>
    <x v="14"/>
    <x v="14"/>
    <x v="14"/>
    <x v="1"/>
    <s v="K07"/>
    <x v="136"/>
    <n v="-1850.82"/>
    <x v="0"/>
    <x v="0"/>
  </r>
  <r>
    <x v="15"/>
    <x v="15"/>
    <x v="15"/>
    <x v="0"/>
    <s v="K07"/>
    <x v="136"/>
    <n v="50200.39"/>
    <x v="0"/>
    <x v="0"/>
  </r>
  <r>
    <x v="15"/>
    <x v="15"/>
    <x v="15"/>
    <x v="1"/>
    <s v="K07"/>
    <x v="136"/>
    <n v="-5920.72"/>
    <x v="0"/>
    <x v="0"/>
  </r>
  <r>
    <x v="16"/>
    <x v="16"/>
    <x v="16"/>
    <x v="0"/>
    <s v="K07"/>
    <x v="136"/>
    <n v="28369.79"/>
    <x v="0"/>
    <x v="0"/>
  </r>
  <r>
    <x v="16"/>
    <x v="16"/>
    <x v="16"/>
    <x v="1"/>
    <s v="K07"/>
    <x v="136"/>
    <n v="-1536.9"/>
    <x v="0"/>
    <x v="0"/>
  </r>
  <r>
    <x v="18"/>
    <x v="18"/>
    <x v="18"/>
    <x v="0"/>
    <s v="K07"/>
    <x v="136"/>
    <n v="78973.320000000007"/>
    <x v="0"/>
    <x v="0"/>
  </r>
  <r>
    <x v="18"/>
    <x v="18"/>
    <x v="18"/>
    <x v="1"/>
    <s v="K07"/>
    <x v="136"/>
    <n v="-8132.27"/>
    <x v="0"/>
    <x v="0"/>
  </r>
  <r>
    <x v="19"/>
    <x v="19"/>
    <x v="19"/>
    <x v="0"/>
    <s v="K07"/>
    <x v="136"/>
    <n v="52223.97"/>
    <x v="0"/>
    <x v="0"/>
  </r>
  <r>
    <x v="19"/>
    <x v="19"/>
    <x v="19"/>
    <x v="1"/>
    <s v="K07"/>
    <x v="136"/>
    <n v="-3184.2"/>
    <x v="0"/>
    <x v="0"/>
  </r>
  <r>
    <x v="20"/>
    <x v="20"/>
    <x v="20"/>
    <x v="0"/>
    <s v="K07"/>
    <x v="136"/>
    <n v="55989.42"/>
    <x v="0"/>
    <x v="0"/>
  </r>
  <r>
    <x v="20"/>
    <x v="20"/>
    <x v="20"/>
    <x v="1"/>
    <s v="K07"/>
    <x v="136"/>
    <n v="-5373.73"/>
    <x v="0"/>
    <x v="0"/>
  </r>
  <r>
    <x v="21"/>
    <x v="21"/>
    <x v="21"/>
    <x v="0"/>
    <s v="K07"/>
    <x v="136"/>
    <n v="31149.8"/>
    <x v="0"/>
    <x v="0"/>
  </r>
  <r>
    <x v="21"/>
    <x v="21"/>
    <x v="21"/>
    <x v="1"/>
    <s v="K07"/>
    <x v="136"/>
    <n v="-1593.38"/>
    <x v="0"/>
    <x v="0"/>
  </r>
  <r>
    <x v="22"/>
    <x v="22"/>
    <x v="22"/>
    <x v="0"/>
    <s v="K07"/>
    <x v="136"/>
    <n v="20813.77"/>
    <x v="0"/>
    <x v="0"/>
  </r>
  <r>
    <x v="22"/>
    <x v="22"/>
    <x v="22"/>
    <x v="1"/>
    <s v="K07"/>
    <x v="136"/>
    <n v="-3061.9"/>
    <x v="0"/>
    <x v="0"/>
  </r>
  <r>
    <x v="23"/>
    <x v="23"/>
    <x v="23"/>
    <x v="0"/>
    <s v="K07"/>
    <x v="136"/>
    <n v="32599.360000000001"/>
    <x v="0"/>
    <x v="0"/>
  </r>
  <r>
    <x v="23"/>
    <x v="23"/>
    <x v="23"/>
    <x v="1"/>
    <s v="K07"/>
    <x v="136"/>
    <n v="-1464.76"/>
    <x v="0"/>
    <x v="0"/>
  </r>
  <r>
    <x v="25"/>
    <x v="25"/>
    <x v="24"/>
    <x v="0"/>
    <s v="K07"/>
    <x v="136"/>
    <n v="31788.63"/>
    <x v="0"/>
    <x v="0"/>
  </r>
  <r>
    <x v="25"/>
    <x v="25"/>
    <x v="24"/>
    <x v="1"/>
    <s v="K07"/>
    <x v="136"/>
    <n v="-1578.78"/>
    <x v="0"/>
    <x v="0"/>
  </r>
  <r>
    <x v="26"/>
    <x v="26"/>
    <x v="25"/>
    <x v="0"/>
    <s v="K07"/>
    <x v="136"/>
    <n v="48642.55"/>
    <x v="0"/>
    <x v="0"/>
  </r>
  <r>
    <x v="26"/>
    <x v="26"/>
    <x v="25"/>
    <x v="1"/>
    <s v="K07"/>
    <x v="136"/>
    <n v="-5895.13"/>
    <x v="0"/>
    <x v="0"/>
  </r>
  <r>
    <x v="28"/>
    <x v="28"/>
    <x v="27"/>
    <x v="0"/>
    <s v="K07"/>
    <x v="136"/>
    <n v="8720.19"/>
    <x v="0"/>
    <x v="0"/>
  </r>
  <r>
    <x v="29"/>
    <x v="29"/>
    <x v="6"/>
    <x v="0"/>
    <s v="K07"/>
    <x v="136"/>
    <n v="31317.73"/>
    <x v="0"/>
    <x v="0"/>
  </r>
  <r>
    <x v="29"/>
    <x v="29"/>
    <x v="6"/>
    <x v="1"/>
    <s v="K07"/>
    <x v="136"/>
    <n v="-418.26"/>
    <x v="0"/>
    <x v="0"/>
  </r>
  <r>
    <x v="30"/>
    <x v="30"/>
    <x v="28"/>
    <x v="0"/>
    <s v="K07"/>
    <x v="136"/>
    <n v="50329.61"/>
    <x v="0"/>
    <x v="0"/>
  </r>
  <r>
    <x v="30"/>
    <x v="30"/>
    <x v="28"/>
    <x v="1"/>
    <s v="K07"/>
    <x v="136"/>
    <n v="-6656.95"/>
    <x v="0"/>
    <x v="0"/>
  </r>
  <r>
    <x v="31"/>
    <x v="31"/>
    <x v="29"/>
    <x v="0"/>
    <s v="K07"/>
    <x v="136"/>
    <n v="47087.51"/>
    <x v="0"/>
    <x v="0"/>
  </r>
  <r>
    <x v="31"/>
    <x v="31"/>
    <x v="29"/>
    <x v="1"/>
    <s v="K07"/>
    <x v="136"/>
    <n v="-4767.92"/>
    <x v="0"/>
    <x v="0"/>
  </r>
  <r>
    <x v="32"/>
    <x v="32"/>
    <x v="30"/>
    <x v="0"/>
    <s v="K07"/>
    <x v="136"/>
    <n v="40004.239999999998"/>
    <x v="0"/>
    <x v="0"/>
  </r>
  <r>
    <x v="32"/>
    <x v="32"/>
    <x v="30"/>
    <x v="1"/>
    <s v="K07"/>
    <x v="136"/>
    <n v="-5113.71"/>
    <x v="0"/>
    <x v="0"/>
  </r>
  <r>
    <x v="33"/>
    <x v="33"/>
    <x v="31"/>
    <x v="0"/>
    <s v="K07"/>
    <x v="136"/>
    <n v="35816.81"/>
    <x v="0"/>
    <x v="0"/>
  </r>
  <r>
    <x v="33"/>
    <x v="33"/>
    <x v="31"/>
    <x v="1"/>
    <s v="K07"/>
    <x v="136"/>
    <n v="-2992.92"/>
    <x v="0"/>
    <x v="0"/>
  </r>
  <r>
    <x v="34"/>
    <x v="34"/>
    <x v="32"/>
    <x v="0"/>
    <s v="K07"/>
    <x v="136"/>
    <n v="59986.35"/>
    <x v="0"/>
    <x v="0"/>
  </r>
  <r>
    <x v="34"/>
    <x v="34"/>
    <x v="32"/>
    <x v="1"/>
    <s v="K07"/>
    <x v="136"/>
    <n v="-8814.7099999999991"/>
    <x v="0"/>
    <x v="0"/>
  </r>
  <r>
    <x v="35"/>
    <x v="35"/>
    <x v="33"/>
    <x v="0"/>
    <s v="K07"/>
    <x v="136"/>
    <n v="31321.02"/>
    <x v="0"/>
    <x v="0"/>
  </r>
  <r>
    <x v="35"/>
    <x v="35"/>
    <x v="33"/>
    <x v="1"/>
    <s v="K07"/>
    <x v="136"/>
    <n v="-1566.49"/>
    <x v="0"/>
    <x v="0"/>
  </r>
  <r>
    <x v="37"/>
    <x v="37"/>
    <x v="35"/>
    <x v="0"/>
    <s v="K07"/>
    <x v="136"/>
    <n v="32798.519999999997"/>
    <x v="0"/>
    <x v="0"/>
  </r>
  <r>
    <x v="37"/>
    <x v="37"/>
    <x v="35"/>
    <x v="1"/>
    <s v="K07"/>
    <x v="136"/>
    <n v="-868"/>
    <x v="0"/>
    <x v="0"/>
  </r>
  <r>
    <x v="38"/>
    <x v="38"/>
    <x v="36"/>
    <x v="0"/>
    <s v="K07"/>
    <x v="136"/>
    <n v="113493.93"/>
    <x v="0"/>
    <x v="0"/>
  </r>
  <r>
    <x v="38"/>
    <x v="38"/>
    <x v="36"/>
    <x v="1"/>
    <s v="K07"/>
    <x v="136"/>
    <n v="-21010.720000000001"/>
    <x v="0"/>
    <x v="0"/>
  </r>
  <r>
    <x v="39"/>
    <x v="39"/>
    <x v="37"/>
    <x v="0"/>
    <s v="K07"/>
    <x v="136"/>
    <n v="15126.15"/>
    <x v="0"/>
    <x v="0"/>
  </r>
  <r>
    <x v="39"/>
    <x v="39"/>
    <x v="37"/>
    <x v="1"/>
    <s v="K07"/>
    <x v="136"/>
    <n v="-348.65"/>
    <x v="0"/>
    <x v="0"/>
  </r>
  <r>
    <x v="40"/>
    <x v="40"/>
    <x v="38"/>
    <x v="0"/>
    <s v="K07"/>
    <x v="136"/>
    <n v="47949.77"/>
    <x v="0"/>
    <x v="0"/>
  </r>
  <r>
    <x v="40"/>
    <x v="40"/>
    <x v="38"/>
    <x v="1"/>
    <s v="K07"/>
    <x v="136"/>
    <n v="-6106.54"/>
    <x v="0"/>
    <x v="0"/>
  </r>
  <r>
    <x v="41"/>
    <x v="41"/>
    <x v="39"/>
    <x v="0"/>
    <s v="K07"/>
    <x v="136"/>
    <n v="47651.86"/>
    <x v="0"/>
    <x v="0"/>
  </r>
  <r>
    <x v="41"/>
    <x v="41"/>
    <x v="39"/>
    <x v="1"/>
    <s v="K07"/>
    <x v="136"/>
    <n v="-5444.46"/>
    <x v="0"/>
    <x v="0"/>
  </r>
  <r>
    <x v="42"/>
    <x v="42"/>
    <x v="40"/>
    <x v="0"/>
    <s v="K07"/>
    <x v="136"/>
    <n v="62661.86"/>
    <x v="0"/>
    <x v="0"/>
  </r>
  <r>
    <x v="42"/>
    <x v="42"/>
    <x v="40"/>
    <x v="1"/>
    <s v="K07"/>
    <x v="136"/>
    <n v="-3646.75"/>
    <x v="0"/>
    <x v="0"/>
  </r>
  <r>
    <x v="43"/>
    <x v="43"/>
    <x v="41"/>
    <x v="0"/>
    <s v="K07"/>
    <x v="136"/>
    <n v="46519.58"/>
    <x v="0"/>
    <x v="0"/>
  </r>
  <r>
    <x v="43"/>
    <x v="43"/>
    <x v="41"/>
    <x v="1"/>
    <s v="K07"/>
    <x v="136"/>
    <n v="-6231.77"/>
    <x v="0"/>
    <x v="0"/>
  </r>
  <r>
    <x v="44"/>
    <x v="44"/>
    <x v="42"/>
    <x v="0"/>
    <s v="K07"/>
    <x v="136"/>
    <n v="49206.45"/>
    <x v="0"/>
    <x v="0"/>
  </r>
  <r>
    <x v="44"/>
    <x v="44"/>
    <x v="42"/>
    <x v="1"/>
    <s v="K07"/>
    <x v="136"/>
    <n v="-3064.49"/>
    <x v="0"/>
    <x v="0"/>
  </r>
  <r>
    <x v="45"/>
    <x v="45"/>
    <x v="43"/>
    <x v="0"/>
    <s v="K07"/>
    <x v="136"/>
    <n v="25663"/>
    <x v="0"/>
    <x v="0"/>
  </r>
  <r>
    <x v="45"/>
    <x v="45"/>
    <x v="43"/>
    <x v="1"/>
    <s v="K07"/>
    <x v="136"/>
    <n v="-4183.07"/>
    <x v="0"/>
    <x v="0"/>
  </r>
  <r>
    <x v="47"/>
    <x v="47"/>
    <x v="45"/>
    <x v="0"/>
    <s v="K07"/>
    <x v="136"/>
    <n v="21503.81"/>
    <x v="0"/>
    <x v="0"/>
  </r>
  <r>
    <x v="47"/>
    <x v="47"/>
    <x v="45"/>
    <x v="1"/>
    <s v="K07"/>
    <x v="136"/>
    <n v="-735.01"/>
    <x v="0"/>
    <x v="0"/>
  </r>
  <r>
    <x v="49"/>
    <x v="49"/>
    <x v="47"/>
    <x v="0"/>
    <s v="K07"/>
    <x v="136"/>
    <n v="2042.7"/>
    <x v="0"/>
    <x v="0"/>
  </r>
  <r>
    <x v="49"/>
    <x v="49"/>
    <x v="47"/>
    <x v="1"/>
    <s v="K07"/>
    <x v="136"/>
    <n v="-71.489999999999995"/>
    <x v="0"/>
    <x v="0"/>
  </r>
  <r>
    <x v="50"/>
    <x v="49"/>
    <x v="48"/>
    <x v="0"/>
    <s v="K07"/>
    <x v="136"/>
    <n v="30147.29"/>
    <x v="0"/>
    <x v="0"/>
  </r>
  <r>
    <x v="50"/>
    <x v="49"/>
    <x v="48"/>
    <x v="1"/>
    <s v="K07"/>
    <x v="136"/>
    <n v="-1177.22"/>
    <x v="0"/>
    <x v="0"/>
  </r>
  <r>
    <x v="51"/>
    <x v="50"/>
    <x v="49"/>
    <x v="0"/>
    <s v="K07"/>
    <x v="136"/>
    <n v="5023.92"/>
    <x v="0"/>
    <x v="0"/>
  </r>
  <r>
    <x v="51"/>
    <x v="50"/>
    <x v="49"/>
    <x v="1"/>
    <s v="K07"/>
    <x v="136"/>
    <n v="-185.84"/>
    <x v="0"/>
    <x v="0"/>
  </r>
  <r>
    <x v="52"/>
    <x v="51"/>
    <x v="50"/>
    <x v="0"/>
    <s v="K07"/>
    <x v="136"/>
    <n v="36874.230000000003"/>
    <x v="0"/>
    <x v="0"/>
  </r>
  <r>
    <x v="52"/>
    <x v="51"/>
    <x v="50"/>
    <x v="1"/>
    <s v="K07"/>
    <x v="136"/>
    <n v="-5427.66"/>
    <x v="0"/>
    <x v="0"/>
  </r>
  <r>
    <x v="53"/>
    <x v="52"/>
    <x v="48"/>
    <x v="0"/>
    <s v="K07"/>
    <x v="136"/>
    <n v="5579.85"/>
    <x v="0"/>
    <x v="0"/>
  </r>
  <r>
    <x v="53"/>
    <x v="52"/>
    <x v="48"/>
    <x v="1"/>
    <s v="K07"/>
    <x v="136"/>
    <n v="-106.02"/>
    <x v="0"/>
    <x v="0"/>
  </r>
  <r>
    <x v="0"/>
    <x v="0"/>
    <x v="0"/>
    <x v="1"/>
    <s v="K07"/>
    <x v="137"/>
    <n v="4537.87"/>
    <x v="0"/>
    <x v="0"/>
  </r>
  <r>
    <x v="1"/>
    <x v="1"/>
    <x v="1"/>
    <x v="1"/>
    <s v="K07"/>
    <x v="137"/>
    <n v="33397.919999999998"/>
    <x v="0"/>
    <x v="0"/>
  </r>
  <r>
    <x v="2"/>
    <x v="2"/>
    <x v="2"/>
    <x v="1"/>
    <s v="K07"/>
    <x v="137"/>
    <n v="48269.04"/>
    <x v="0"/>
    <x v="0"/>
  </r>
  <r>
    <x v="3"/>
    <x v="3"/>
    <x v="3"/>
    <x v="1"/>
    <s v="K07"/>
    <x v="137"/>
    <n v="11782.57"/>
    <x v="0"/>
    <x v="0"/>
  </r>
  <r>
    <x v="4"/>
    <x v="4"/>
    <x v="4"/>
    <x v="1"/>
    <s v="K07"/>
    <x v="137"/>
    <n v="18631.11"/>
    <x v="0"/>
    <x v="0"/>
  </r>
  <r>
    <x v="5"/>
    <x v="5"/>
    <x v="5"/>
    <x v="1"/>
    <s v="K07"/>
    <x v="137"/>
    <n v="36327.81"/>
    <x v="0"/>
    <x v="0"/>
  </r>
  <r>
    <x v="6"/>
    <x v="6"/>
    <x v="6"/>
    <x v="1"/>
    <s v="K07"/>
    <x v="137"/>
    <n v="47305.9"/>
    <x v="0"/>
    <x v="0"/>
  </r>
  <r>
    <x v="7"/>
    <x v="7"/>
    <x v="7"/>
    <x v="1"/>
    <s v="K07"/>
    <x v="137"/>
    <n v="45994.59"/>
    <x v="0"/>
    <x v="0"/>
  </r>
  <r>
    <x v="8"/>
    <x v="8"/>
    <x v="8"/>
    <x v="1"/>
    <s v="K07"/>
    <x v="137"/>
    <n v="105752.34"/>
    <x v="0"/>
    <x v="0"/>
  </r>
  <r>
    <x v="9"/>
    <x v="9"/>
    <x v="9"/>
    <x v="1"/>
    <s v="K07"/>
    <x v="137"/>
    <n v="49244.49"/>
    <x v="0"/>
    <x v="0"/>
  </r>
  <r>
    <x v="10"/>
    <x v="10"/>
    <x v="10"/>
    <x v="1"/>
    <s v="K07"/>
    <x v="137"/>
    <n v="109355.69"/>
    <x v="0"/>
    <x v="0"/>
  </r>
  <r>
    <x v="11"/>
    <x v="11"/>
    <x v="11"/>
    <x v="1"/>
    <s v="K07"/>
    <x v="137"/>
    <n v="56144.47"/>
    <x v="0"/>
    <x v="0"/>
  </r>
  <r>
    <x v="12"/>
    <x v="12"/>
    <x v="12"/>
    <x v="1"/>
    <s v="K07"/>
    <x v="137"/>
    <n v="44257.02"/>
    <x v="0"/>
    <x v="0"/>
  </r>
  <r>
    <x v="13"/>
    <x v="13"/>
    <x v="13"/>
    <x v="1"/>
    <s v="K07"/>
    <x v="137"/>
    <n v="21418.39"/>
    <x v="0"/>
    <x v="0"/>
  </r>
  <r>
    <x v="14"/>
    <x v="14"/>
    <x v="14"/>
    <x v="1"/>
    <s v="K07"/>
    <x v="137"/>
    <n v="33467.089999999997"/>
    <x v="0"/>
    <x v="0"/>
  </r>
  <r>
    <x v="15"/>
    <x v="15"/>
    <x v="15"/>
    <x v="1"/>
    <s v="K07"/>
    <x v="137"/>
    <n v="48027.81"/>
    <x v="0"/>
    <x v="0"/>
  </r>
  <r>
    <x v="16"/>
    <x v="16"/>
    <x v="16"/>
    <x v="1"/>
    <s v="K07"/>
    <x v="137"/>
    <n v="27117.13"/>
    <x v="0"/>
    <x v="0"/>
  </r>
  <r>
    <x v="17"/>
    <x v="17"/>
    <x v="17"/>
    <x v="1"/>
    <s v="K07"/>
    <x v="137"/>
    <n v="5164.2700000000004"/>
    <x v="0"/>
    <x v="0"/>
  </r>
  <r>
    <x v="18"/>
    <x v="18"/>
    <x v="18"/>
    <x v="1"/>
    <s v="K07"/>
    <x v="137"/>
    <n v="75389.62"/>
    <x v="0"/>
    <x v="0"/>
  </r>
  <r>
    <x v="19"/>
    <x v="19"/>
    <x v="19"/>
    <x v="1"/>
    <s v="K07"/>
    <x v="137"/>
    <n v="49980"/>
    <x v="0"/>
    <x v="0"/>
  </r>
  <r>
    <x v="20"/>
    <x v="20"/>
    <x v="20"/>
    <x v="1"/>
    <s v="K07"/>
    <x v="137"/>
    <n v="54824.15"/>
    <x v="0"/>
    <x v="0"/>
  </r>
  <r>
    <x v="21"/>
    <x v="21"/>
    <x v="21"/>
    <x v="1"/>
    <s v="K07"/>
    <x v="137"/>
    <n v="29661.56"/>
    <x v="0"/>
    <x v="0"/>
  </r>
  <r>
    <x v="22"/>
    <x v="22"/>
    <x v="22"/>
    <x v="1"/>
    <s v="K07"/>
    <x v="137"/>
    <n v="20281.93"/>
    <x v="0"/>
    <x v="0"/>
  </r>
  <r>
    <x v="23"/>
    <x v="23"/>
    <x v="23"/>
    <x v="1"/>
    <s v="K07"/>
    <x v="137"/>
    <n v="31047.08"/>
    <x v="0"/>
    <x v="0"/>
  </r>
  <r>
    <x v="24"/>
    <x v="24"/>
    <x v="7"/>
    <x v="1"/>
    <s v="K07"/>
    <x v="137"/>
    <n v="8288.52"/>
    <x v="0"/>
    <x v="0"/>
  </r>
  <r>
    <x v="25"/>
    <x v="25"/>
    <x v="24"/>
    <x v="1"/>
    <s v="K07"/>
    <x v="137"/>
    <n v="30487.119999999999"/>
    <x v="0"/>
    <x v="0"/>
  </r>
  <r>
    <x v="26"/>
    <x v="26"/>
    <x v="25"/>
    <x v="1"/>
    <s v="K07"/>
    <x v="137"/>
    <n v="46128.86"/>
    <x v="0"/>
    <x v="0"/>
  </r>
  <r>
    <x v="27"/>
    <x v="27"/>
    <x v="26"/>
    <x v="1"/>
    <s v="K07"/>
    <x v="137"/>
    <n v="1783.86"/>
    <x v="0"/>
    <x v="0"/>
  </r>
  <r>
    <x v="28"/>
    <x v="28"/>
    <x v="27"/>
    <x v="1"/>
    <s v="K07"/>
    <x v="137"/>
    <n v="8463.2000000000007"/>
    <x v="0"/>
    <x v="0"/>
  </r>
  <r>
    <x v="29"/>
    <x v="29"/>
    <x v="6"/>
    <x v="1"/>
    <s v="K07"/>
    <x v="137"/>
    <n v="29414.83"/>
    <x v="0"/>
    <x v="0"/>
  </r>
  <r>
    <x v="30"/>
    <x v="30"/>
    <x v="28"/>
    <x v="1"/>
    <s v="K07"/>
    <x v="137"/>
    <n v="48463.28"/>
    <x v="0"/>
    <x v="0"/>
  </r>
  <r>
    <x v="31"/>
    <x v="31"/>
    <x v="29"/>
    <x v="1"/>
    <s v="K07"/>
    <x v="137"/>
    <n v="45750.67"/>
    <x v="0"/>
    <x v="0"/>
  </r>
  <r>
    <x v="32"/>
    <x v="32"/>
    <x v="30"/>
    <x v="1"/>
    <s v="K07"/>
    <x v="137"/>
    <n v="38191.32"/>
    <x v="0"/>
    <x v="0"/>
  </r>
  <r>
    <x v="33"/>
    <x v="33"/>
    <x v="31"/>
    <x v="1"/>
    <s v="K07"/>
    <x v="137"/>
    <n v="34683.25"/>
    <x v="0"/>
    <x v="0"/>
  </r>
  <r>
    <x v="34"/>
    <x v="34"/>
    <x v="32"/>
    <x v="1"/>
    <s v="K07"/>
    <x v="137"/>
    <n v="58409.97"/>
    <x v="0"/>
    <x v="0"/>
  </r>
  <r>
    <x v="35"/>
    <x v="35"/>
    <x v="33"/>
    <x v="1"/>
    <s v="K07"/>
    <x v="137"/>
    <n v="29418.03"/>
    <x v="0"/>
    <x v="0"/>
  </r>
  <r>
    <x v="36"/>
    <x v="36"/>
    <x v="34"/>
    <x v="1"/>
    <s v="K07"/>
    <x v="137"/>
    <n v="5353.73"/>
    <x v="0"/>
    <x v="0"/>
  </r>
  <r>
    <x v="37"/>
    <x v="37"/>
    <x v="35"/>
    <x v="1"/>
    <s v="K07"/>
    <x v="137"/>
    <n v="31241.599999999999"/>
    <x v="0"/>
    <x v="0"/>
  </r>
  <r>
    <x v="38"/>
    <x v="38"/>
    <x v="36"/>
    <x v="1"/>
    <s v="K07"/>
    <x v="137"/>
    <n v="109089.03"/>
    <x v="0"/>
    <x v="0"/>
  </r>
  <r>
    <x v="39"/>
    <x v="39"/>
    <x v="37"/>
    <x v="1"/>
    <s v="K07"/>
    <x v="137"/>
    <n v="14375.15"/>
    <x v="0"/>
    <x v="0"/>
  </r>
  <r>
    <x v="40"/>
    <x v="40"/>
    <x v="38"/>
    <x v="1"/>
    <s v="K07"/>
    <x v="137"/>
    <n v="46252.62"/>
    <x v="0"/>
    <x v="0"/>
  </r>
  <r>
    <x v="41"/>
    <x v="41"/>
    <x v="39"/>
    <x v="1"/>
    <s v="K07"/>
    <x v="137"/>
    <n v="45889.74"/>
    <x v="0"/>
    <x v="0"/>
  </r>
  <r>
    <x v="42"/>
    <x v="42"/>
    <x v="40"/>
    <x v="1"/>
    <s v="K07"/>
    <x v="137"/>
    <n v="61602.69"/>
    <x v="0"/>
    <x v="0"/>
  </r>
  <r>
    <x v="43"/>
    <x v="43"/>
    <x v="41"/>
    <x v="1"/>
    <s v="K07"/>
    <x v="137"/>
    <n v="45296.39"/>
    <x v="0"/>
    <x v="0"/>
  </r>
  <r>
    <x v="44"/>
    <x v="44"/>
    <x v="42"/>
    <x v="1"/>
    <s v="K07"/>
    <x v="137"/>
    <n v="42989.25"/>
    <x v="0"/>
    <x v="0"/>
  </r>
  <r>
    <x v="45"/>
    <x v="45"/>
    <x v="43"/>
    <x v="1"/>
    <s v="K07"/>
    <x v="137"/>
    <n v="40340.92"/>
    <x v="0"/>
    <x v="0"/>
  </r>
  <r>
    <x v="46"/>
    <x v="46"/>
    <x v="44"/>
    <x v="1"/>
    <s v="K07"/>
    <x v="137"/>
    <n v="7461.61"/>
    <x v="0"/>
    <x v="0"/>
  </r>
  <r>
    <x v="47"/>
    <x v="47"/>
    <x v="45"/>
    <x v="1"/>
    <s v="K07"/>
    <x v="137"/>
    <n v="22322.959999999999"/>
    <x v="0"/>
    <x v="0"/>
  </r>
  <r>
    <x v="48"/>
    <x v="48"/>
    <x v="46"/>
    <x v="1"/>
    <s v="K07"/>
    <x v="137"/>
    <n v="8119.53"/>
    <x v="0"/>
    <x v="0"/>
  </r>
  <r>
    <x v="49"/>
    <x v="49"/>
    <x v="47"/>
    <x v="1"/>
    <s v="K07"/>
    <x v="137"/>
    <n v="2650.04"/>
    <x v="0"/>
    <x v="0"/>
  </r>
  <r>
    <x v="50"/>
    <x v="49"/>
    <x v="48"/>
    <x v="1"/>
    <s v="K07"/>
    <x v="137"/>
    <n v="29078.07"/>
    <x v="0"/>
    <x v="0"/>
  </r>
  <r>
    <x v="51"/>
    <x v="50"/>
    <x v="49"/>
    <x v="1"/>
    <s v="K07"/>
    <x v="137"/>
    <n v="271.52"/>
    <x v="0"/>
    <x v="0"/>
  </r>
  <r>
    <x v="52"/>
    <x v="51"/>
    <x v="50"/>
    <x v="1"/>
    <s v="K07"/>
    <x v="137"/>
    <n v="35340.29"/>
    <x v="0"/>
    <x v="0"/>
  </r>
  <r>
    <x v="53"/>
    <x v="52"/>
    <x v="48"/>
    <x v="1"/>
    <s v="K07"/>
    <x v="137"/>
    <n v="5404.74"/>
    <x v="0"/>
    <x v="0"/>
  </r>
  <r>
    <x v="0"/>
    <x v="0"/>
    <x v="0"/>
    <x v="0"/>
    <s v="K07"/>
    <x v="138"/>
    <n v="4593.55"/>
    <x v="0"/>
    <x v="0"/>
  </r>
  <r>
    <x v="1"/>
    <x v="1"/>
    <x v="1"/>
    <x v="0"/>
    <s v="K07"/>
    <x v="138"/>
    <n v="34802.720000000001"/>
    <x v="0"/>
    <x v="0"/>
  </r>
  <r>
    <x v="2"/>
    <x v="2"/>
    <x v="2"/>
    <x v="0"/>
    <s v="K07"/>
    <x v="138"/>
    <n v="50136.36"/>
    <x v="0"/>
    <x v="0"/>
  </r>
  <r>
    <x v="3"/>
    <x v="3"/>
    <x v="3"/>
    <x v="0"/>
    <s v="K07"/>
    <x v="138"/>
    <n v="12317.47"/>
    <x v="0"/>
    <x v="0"/>
  </r>
  <r>
    <x v="4"/>
    <x v="4"/>
    <x v="4"/>
    <x v="0"/>
    <s v="K07"/>
    <x v="138"/>
    <n v="15774.34"/>
    <x v="0"/>
    <x v="0"/>
  </r>
  <r>
    <x v="5"/>
    <x v="5"/>
    <x v="5"/>
    <x v="0"/>
    <s v="K07"/>
    <x v="138"/>
    <n v="37121.49"/>
    <x v="0"/>
    <x v="0"/>
  </r>
  <r>
    <x v="6"/>
    <x v="6"/>
    <x v="6"/>
    <x v="0"/>
    <s v="K07"/>
    <x v="138"/>
    <n v="49588.93"/>
    <x v="0"/>
    <x v="0"/>
  </r>
  <r>
    <x v="7"/>
    <x v="7"/>
    <x v="7"/>
    <x v="0"/>
    <s v="K07"/>
    <x v="138"/>
    <n v="43912.33"/>
    <x v="0"/>
    <x v="0"/>
  </r>
  <r>
    <x v="8"/>
    <x v="8"/>
    <x v="8"/>
    <x v="0"/>
    <s v="K07"/>
    <x v="138"/>
    <n v="110792.67"/>
    <x v="0"/>
    <x v="0"/>
  </r>
  <r>
    <x v="9"/>
    <x v="9"/>
    <x v="9"/>
    <x v="0"/>
    <s v="K07"/>
    <x v="138"/>
    <n v="51461.599999999999"/>
    <x v="0"/>
    <x v="0"/>
  </r>
  <r>
    <x v="10"/>
    <x v="10"/>
    <x v="10"/>
    <x v="0"/>
    <s v="K07"/>
    <x v="138"/>
    <n v="111325.85"/>
    <x v="0"/>
    <x v="0"/>
  </r>
  <r>
    <x v="11"/>
    <x v="11"/>
    <x v="11"/>
    <x v="0"/>
    <s v="K07"/>
    <x v="138"/>
    <n v="58042.66"/>
    <x v="0"/>
    <x v="0"/>
  </r>
  <r>
    <x v="12"/>
    <x v="12"/>
    <x v="12"/>
    <x v="0"/>
    <s v="K07"/>
    <x v="138"/>
    <n v="46291.78"/>
    <x v="0"/>
    <x v="0"/>
  </r>
  <r>
    <x v="13"/>
    <x v="13"/>
    <x v="13"/>
    <x v="0"/>
    <s v="K07"/>
    <x v="138"/>
    <n v="22380.81"/>
    <x v="0"/>
    <x v="0"/>
  </r>
  <r>
    <x v="14"/>
    <x v="14"/>
    <x v="14"/>
    <x v="0"/>
    <s v="K07"/>
    <x v="138"/>
    <n v="33040.28"/>
    <x v="0"/>
    <x v="0"/>
  </r>
  <r>
    <x v="15"/>
    <x v="15"/>
    <x v="15"/>
    <x v="0"/>
    <s v="K07"/>
    <x v="138"/>
    <n v="50200.39"/>
    <x v="0"/>
    <x v="0"/>
  </r>
  <r>
    <x v="16"/>
    <x v="16"/>
    <x v="16"/>
    <x v="0"/>
    <s v="K07"/>
    <x v="138"/>
    <n v="26175.61"/>
    <x v="0"/>
    <x v="0"/>
  </r>
  <r>
    <x v="17"/>
    <x v="17"/>
    <x v="17"/>
    <x v="0"/>
    <s v="K07"/>
    <x v="138"/>
    <n v="5360.75"/>
    <x v="0"/>
    <x v="0"/>
  </r>
  <r>
    <x v="18"/>
    <x v="18"/>
    <x v="18"/>
    <x v="0"/>
    <s v="K07"/>
    <x v="138"/>
    <n v="78973.320000000007"/>
    <x v="0"/>
    <x v="0"/>
  </r>
  <r>
    <x v="19"/>
    <x v="19"/>
    <x v="19"/>
    <x v="0"/>
    <s v="K07"/>
    <x v="138"/>
    <n v="52223.97"/>
    <x v="0"/>
    <x v="0"/>
  </r>
  <r>
    <x v="20"/>
    <x v="20"/>
    <x v="20"/>
    <x v="0"/>
    <s v="K07"/>
    <x v="138"/>
    <n v="55989.42"/>
    <x v="0"/>
    <x v="0"/>
  </r>
  <r>
    <x v="21"/>
    <x v="21"/>
    <x v="21"/>
    <x v="0"/>
    <s v="K07"/>
    <x v="138"/>
    <n v="31149.8"/>
    <x v="0"/>
    <x v="0"/>
  </r>
  <r>
    <x v="22"/>
    <x v="22"/>
    <x v="22"/>
    <x v="0"/>
    <s v="K07"/>
    <x v="138"/>
    <n v="20813.77"/>
    <x v="0"/>
    <x v="0"/>
  </r>
  <r>
    <x v="23"/>
    <x v="23"/>
    <x v="23"/>
    <x v="0"/>
    <s v="K07"/>
    <x v="138"/>
    <n v="32599.360000000001"/>
    <x v="0"/>
    <x v="0"/>
  </r>
  <r>
    <x v="24"/>
    <x v="24"/>
    <x v="7"/>
    <x v="0"/>
    <s v="K07"/>
    <x v="138"/>
    <n v="7934.12"/>
    <x v="0"/>
    <x v="0"/>
  </r>
  <r>
    <x v="25"/>
    <x v="25"/>
    <x v="24"/>
    <x v="0"/>
    <s v="K07"/>
    <x v="138"/>
    <n v="31788.63"/>
    <x v="0"/>
    <x v="0"/>
  </r>
  <r>
    <x v="26"/>
    <x v="26"/>
    <x v="25"/>
    <x v="0"/>
    <s v="K07"/>
    <x v="138"/>
    <n v="48642.55"/>
    <x v="0"/>
    <x v="0"/>
  </r>
  <r>
    <x v="27"/>
    <x v="27"/>
    <x v="26"/>
    <x v="0"/>
    <s v="K07"/>
    <x v="138"/>
    <n v="1695.06"/>
    <x v="0"/>
    <x v="0"/>
  </r>
  <r>
    <x v="28"/>
    <x v="28"/>
    <x v="27"/>
    <x v="0"/>
    <s v="K07"/>
    <x v="138"/>
    <n v="8720.19"/>
    <x v="0"/>
    <x v="0"/>
  </r>
  <r>
    <x v="29"/>
    <x v="29"/>
    <x v="6"/>
    <x v="0"/>
    <s v="K07"/>
    <x v="138"/>
    <n v="31317.73"/>
    <x v="0"/>
    <x v="0"/>
  </r>
  <r>
    <x v="30"/>
    <x v="30"/>
    <x v="28"/>
    <x v="0"/>
    <s v="K07"/>
    <x v="138"/>
    <n v="50329.61"/>
    <x v="0"/>
    <x v="0"/>
  </r>
  <r>
    <x v="31"/>
    <x v="31"/>
    <x v="29"/>
    <x v="0"/>
    <s v="K07"/>
    <x v="138"/>
    <n v="47087.51"/>
    <x v="0"/>
    <x v="0"/>
  </r>
  <r>
    <x v="32"/>
    <x v="32"/>
    <x v="30"/>
    <x v="0"/>
    <s v="K07"/>
    <x v="138"/>
    <n v="40004.239999999998"/>
    <x v="0"/>
    <x v="0"/>
  </r>
  <r>
    <x v="33"/>
    <x v="33"/>
    <x v="31"/>
    <x v="0"/>
    <s v="K07"/>
    <x v="138"/>
    <n v="35816.81"/>
    <x v="0"/>
    <x v="0"/>
  </r>
  <r>
    <x v="34"/>
    <x v="34"/>
    <x v="32"/>
    <x v="0"/>
    <s v="K07"/>
    <x v="138"/>
    <n v="57534.69"/>
    <x v="0"/>
    <x v="0"/>
  </r>
  <r>
    <x v="35"/>
    <x v="35"/>
    <x v="33"/>
    <x v="0"/>
    <s v="K07"/>
    <x v="138"/>
    <n v="31321.02"/>
    <x v="0"/>
    <x v="0"/>
  </r>
  <r>
    <x v="36"/>
    <x v="36"/>
    <x v="34"/>
    <x v="0"/>
    <s v="K07"/>
    <x v="138"/>
    <n v="5369.44"/>
    <x v="0"/>
    <x v="0"/>
  </r>
  <r>
    <x v="37"/>
    <x v="37"/>
    <x v="35"/>
    <x v="0"/>
    <s v="K07"/>
    <x v="138"/>
    <n v="31725.37"/>
    <x v="0"/>
    <x v="0"/>
  </r>
  <r>
    <x v="38"/>
    <x v="38"/>
    <x v="36"/>
    <x v="0"/>
    <s v="K07"/>
    <x v="138"/>
    <n v="113391.36"/>
    <x v="0"/>
    <x v="0"/>
  </r>
  <r>
    <x v="39"/>
    <x v="39"/>
    <x v="37"/>
    <x v="0"/>
    <s v="K07"/>
    <x v="138"/>
    <n v="15126.15"/>
    <x v="0"/>
    <x v="0"/>
  </r>
  <r>
    <x v="40"/>
    <x v="40"/>
    <x v="38"/>
    <x v="0"/>
    <s v="K07"/>
    <x v="138"/>
    <n v="47949.77"/>
    <x v="0"/>
    <x v="0"/>
  </r>
  <r>
    <x v="41"/>
    <x v="41"/>
    <x v="39"/>
    <x v="0"/>
    <s v="K07"/>
    <x v="138"/>
    <n v="47651.86"/>
    <x v="0"/>
    <x v="0"/>
  </r>
  <r>
    <x v="42"/>
    <x v="42"/>
    <x v="40"/>
    <x v="0"/>
    <s v="K07"/>
    <x v="138"/>
    <n v="62661.86"/>
    <x v="0"/>
    <x v="0"/>
  </r>
  <r>
    <x v="43"/>
    <x v="43"/>
    <x v="41"/>
    <x v="0"/>
    <s v="K07"/>
    <x v="138"/>
    <n v="46519.58"/>
    <x v="0"/>
    <x v="0"/>
  </r>
  <r>
    <x v="44"/>
    <x v="44"/>
    <x v="42"/>
    <x v="0"/>
    <s v="K07"/>
    <x v="138"/>
    <n v="37326.93"/>
    <x v="0"/>
    <x v="0"/>
  </r>
  <r>
    <x v="45"/>
    <x v="45"/>
    <x v="43"/>
    <x v="0"/>
    <s v="K07"/>
    <x v="138"/>
    <n v="25663"/>
    <x v="0"/>
    <x v="0"/>
  </r>
  <r>
    <x v="46"/>
    <x v="46"/>
    <x v="44"/>
    <x v="0"/>
    <s v="K07"/>
    <x v="138"/>
    <n v="7716.55"/>
    <x v="0"/>
    <x v="0"/>
  </r>
  <r>
    <x v="47"/>
    <x v="47"/>
    <x v="45"/>
    <x v="0"/>
    <s v="K07"/>
    <x v="138"/>
    <n v="21503.81"/>
    <x v="0"/>
    <x v="0"/>
  </r>
  <r>
    <x v="48"/>
    <x v="48"/>
    <x v="46"/>
    <x v="0"/>
    <s v="K07"/>
    <x v="138"/>
    <n v="7840.63"/>
    <x v="0"/>
    <x v="0"/>
  </r>
  <r>
    <x v="49"/>
    <x v="49"/>
    <x v="47"/>
    <x v="0"/>
    <s v="K07"/>
    <x v="138"/>
    <n v="2781.7"/>
    <x v="0"/>
    <x v="0"/>
  </r>
  <r>
    <x v="50"/>
    <x v="49"/>
    <x v="48"/>
    <x v="0"/>
    <s v="K07"/>
    <x v="138"/>
    <n v="30147.29"/>
    <x v="0"/>
    <x v="0"/>
  </r>
  <r>
    <x v="51"/>
    <x v="50"/>
    <x v="49"/>
    <x v="0"/>
    <s v="K07"/>
    <x v="138"/>
    <n v="5023.92"/>
    <x v="0"/>
    <x v="0"/>
  </r>
  <r>
    <x v="52"/>
    <x v="51"/>
    <x v="50"/>
    <x v="0"/>
    <s v="K07"/>
    <x v="138"/>
    <n v="36874.230000000003"/>
    <x v="0"/>
    <x v="0"/>
  </r>
  <r>
    <x v="53"/>
    <x v="52"/>
    <x v="48"/>
    <x v="0"/>
    <s v="K07"/>
    <x v="138"/>
    <n v="5579.85"/>
    <x v="0"/>
    <x v="0"/>
  </r>
  <r>
    <x v="0"/>
    <x v="0"/>
    <x v="0"/>
    <x v="0"/>
    <s v="K47"/>
    <x v="139"/>
    <n v="4424.2700000000004"/>
    <x v="0"/>
    <x v="0"/>
  </r>
  <r>
    <x v="1"/>
    <x v="1"/>
    <x v="1"/>
    <x v="0"/>
    <s v="K47"/>
    <x v="139"/>
    <n v="33175.919999999998"/>
    <x v="0"/>
    <x v="0"/>
  </r>
  <r>
    <x v="2"/>
    <x v="2"/>
    <x v="2"/>
    <x v="0"/>
    <s v="K47"/>
    <x v="139"/>
    <n v="47966.04"/>
    <x v="0"/>
    <x v="0"/>
  </r>
  <r>
    <x v="3"/>
    <x v="3"/>
    <x v="3"/>
    <x v="0"/>
    <s v="K47"/>
    <x v="139"/>
    <n v="11782.57"/>
    <x v="0"/>
    <x v="0"/>
  </r>
  <r>
    <x v="4"/>
    <x v="4"/>
    <x v="4"/>
    <x v="0"/>
    <s v="K47"/>
    <x v="139"/>
    <n v="18453.509999999998"/>
    <x v="0"/>
    <x v="0"/>
  </r>
  <r>
    <x v="5"/>
    <x v="5"/>
    <x v="5"/>
    <x v="0"/>
    <s v="K47"/>
    <x v="139"/>
    <n v="35412.71"/>
    <x v="0"/>
    <x v="0"/>
  </r>
  <r>
    <x v="6"/>
    <x v="6"/>
    <x v="6"/>
    <x v="0"/>
    <s v="K47"/>
    <x v="139"/>
    <n v="47305.9"/>
    <x v="0"/>
    <x v="0"/>
  </r>
  <r>
    <x v="7"/>
    <x v="7"/>
    <x v="7"/>
    <x v="0"/>
    <s v="K47"/>
    <x v="139"/>
    <n v="45994.59"/>
    <x v="0"/>
    <x v="0"/>
  </r>
  <r>
    <x v="8"/>
    <x v="8"/>
    <x v="8"/>
    <x v="0"/>
    <s v="K47"/>
    <x v="139"/>
    <n v="106482.54"/>
    <x v="0"/>
    <x v="0"/>
  </r>
  <r>
    <x v="9"/>
    <x v="9"/>
    <x v="9"/>
    <x v="0"/>
    <s v="K47"/>
    <x v="139"/>
    <n v="49244.49"/>
    <x v="0"/>
    <x v="0"/>
  </r>
  <r>
    <x v="10"/>
    <x v="10"/>
    <x v="10"/>
    <x v="0"/>
    <s v="K47"/>
    <x v="139"/>
    <n v="109089.29"/>
    <x v="0"/>
    <x v="0"/>
  </r>
  <r>
    <x v="11"/>
    <x v="11"/>
    <x v="11"/>
    <x v="0"/>
    <s v="K47"/>
    <x v="139"/>
    <n v="55276.87"/>
    <x v="0"/>
    <x v="0"/>
  </r>
  <r>
    <x v="12"/>
    <x v="12"/>
    <x v="12"/>
    <x v="0"/>
    <s v="K47"/>
    <x v="139"/>
    <n v="44257.02"/>
    <x v="0"/>
    <x v="0"/>
  </r>
  <r>
    <x v="13"/>
    <x v="13"/>
    <x v="13"/>
    <x v="0"/>
    <s v="K47"/>
    <x v="139"/>
    <n v="21294.39"/>
    <x v="0"/>
    <x v="0"/>
  </r>
  <r>
    <x v="14"/>
    <x v="14"/>
    <x v="14"/>
    <x v="0"/>
    <s v="K47"/>
    <x v="139"/>
    <n v="33467.089999999997"/>
    <x v="0"/>
    <x v="0"/>
  </r>
  <r>
    <x v="15"/>
    <x v="15"/>
    <x v="15"/>
    <x v="0"/>
    <s v="K47"/>
    <x v="139"/>
    <n v="48027.81"/>
    <x v="0"/>
    <x v="0"/>
  </r>
  <r>
    <x v="16"/>
    <x v="16"/>
    <x v="16"/>
    <x v="0"/>
    <s v="K47"/>
    <x v="139"/>
    <n v="27956.75"/>
    <x v="0"/>
    <x v="0"/>
  </r>
  <r>
    <x v="17"/>
    <x v="17"/>
    <x v="17"/>
    <x v="0"/>
    <s v="K47"/>
    <x v="139"/>
    <n v="5164.2700000000004"/>
    <x v="0"/>
    <x v="0"/>
  </r>
  <r>
    <x v="18"/>
    <x v="18"/>
    <x v="18"/>
    <x v="0"/>
    <s v="K47"/>
    <x v="139"/>
    <n v="75389.62"/>
    <x v="0"/>
    <x v="0"/>
  </r>
  <r>
    <x v="19"/>
    <x v="19"/>
    <x v="19"/>
    <x v="0"/>
    <s v="K47"/>
    <x v="139"/>
    <n v="49980"/>
    <x v="0"/>
    <x v="0"/>
  </r>
  <r>
    <x v="20"/>
    <x v="20"/>
    <x v="20"/>
    <x v="0"/>
    <s v="K47"/>
    <x v="139"/>
    <n v="54008.65"/>
    <x v="0"/>
    <x v="0"/>
  </r>
  <r>
    <x v="21"/>
    <x v="21"/>
    <x v="21"/>
    <x v="0"/>
    <s v="K47"/>
    <x v="139"/>
    <n v="29496.01"/>
    <x v="0"/>
    <x v="0"/>
  </r>
  <r>
    <x v="22"/>
    <x v="22"/>
    <x v="22"/>
    <x v="0"/>
    <s v="K47"/>
    <x v="139"/>
    <n v="19947.830000000002"/>
    <x v="0"/>
    <x v="0"/>
  </r>
  <r>
    <x v="23"/>
    <x v="23"/>
    <x v="23"/>
    <x v="0"/>
    <s v="K47"/>
    <x v="139"/>
    <n v="31047.08"/>
    <x v="0"/>
    <x v="0"/>
  </r>
  <r>
    <x v="24"/>
    <x v="24"/>
    <x v="7"/>
    <x v="0"/>
    <s v="K47"/>
    <x v="139"/>
    <n v="7934.12"/>
    <x v="0"/>
    <x v="0"/>
  </r>
  <r>
    <x v="25"/>
    <x v="25"/>
    <x v="24"/>
    <x v="0"/>
    <s v="K47"/>
    <x v="139"/>
    <n v="30265.119999999999"/>
    <x v="0"/>
    <x v="0"/>
  </r>
  <r>
    <x v="26"/>
    <x v="26"/>
    <x v="25"/>
    <x v="0"/>
    <s v="K47"/>
    <x v="139"/>
    <n v="46128.86"/>
    <x v="0"/>
    <x v="0"/>
  </r>
  <r>
    <x v="27"/>
    <x v="27"/>
    <x v="26"/>
    <x v="0"/>
    <s v="K47"/>
    <x v="139"/>
    <n v="1695.06"/>
    <x v="0"/>
    <x v="0"/>
  </r>
  <r>
    <x v="28"/>
    <x v="28"/>
    <x v="27"/>
    <x v="0"/>
    <s v="K47"/>
    <x v="139"/>
    <n v="8330"/>
    <x v="0"/>
    <x v="0"/>
  </r>
  <r>
    <x v="29"/>
    <x v="29"/>
    <x v="6"/>
    <x v="0"/>
    <s v="K47"/>
    <x v="139"/>
    <n v="29414.83"/>
    <x v="0"/>
    <x v="0"/>
  </r>
  <r>
    <x v="30"/>
    <x v="30"/>
    <x v="28"/>
    <x v="0"/>
    <s v="K47"/>
    <x v="139"/>
    <n v="48152.480000000003"/>
    <x v="0"/>
    <x v="0"/>
  </r>
  <r>
    <x v="31"/>
    <x v="31"/>
    <x v="29"/>
    <x v="0"/>
    <s v="K47"/>
    <x v="139"/>
    <n v="45750.67"/>
    <x v="0"/>
    <x v="0"/>
  </r>
  <r>
    <x v="32"/>
    <x v="32"/>
    <x v="30"/>
    <x v="0"/>
    <s v="K47"/>
    <x v="139"/>
    <n v="38191.32"/>
    <x v="0"/>
    <x v="0"/>
  </r>
  <r>
    <x v="33"/>
    <x v="33"/>
    <x v="31"/>
    <x v="0"/>
    <s v="K47"/>
    <x v="139"/>
    <n v="34150.449999999997"/>
    <x v="0"/>
    <x v="0"/>
  </r>
  <r>
    <x v="34"/>
    <x v="34"/>
    <x v="32"/>
    <x v="0"/>
    <s v="K47"/>
    <x v="139"/>
    <n v="57877.17"/>
    <x v="0"/>
    <x v="0"/>
  </r>
  <r>
    <x v="35"/>
    <x v="35"/>
    <x v="33"/>
    <x v="0"/>
    <s v="K47"/>
    <x v="139"/>
    <n v="29418.03"/>
    <x v="0"/>
    <x v="0"/>
  </r>
  <r>
    <x v="36"/>
    <x v="36"/>
    <x v="34"/>
    <x v="0"/>
    <s v="K47"/>
    <x v="139"/>
    <n v="5304.68"/>
    <x v="0"/>
    <x v="0"/>
  </r>
  <r>
    <x v="37"/>
    <x v="37"/>
    <x v="35"/>
    <x v="0"/>
    <s v="K47"/>
    <x v="139"/>
    <n v="31241.599999999999"/>
    <x v="0"/>
    <x v="0"/>
  </r>
  <r>
    <x v="38"/>
    <x v="38"/>
    <x v="36"/>
    <x v="0"/>
    <s v="K47"/>
    <x v="139"/>
    <n v="109089.03"/>
    <x v="0"/>
    <x v="0"/>
  </r>
  <r>
    <x v="39"/>
    <x v="39"/>
    <x v="37"/>
    <x v="0"/>
    <s v="K47"/>
    <x v="139"/>
    <n v="14375.15"/>
    <x v="0"/>
    <x v="0"/>
  </r>
  <r>
    <x v="40"/>
    <x v="40"/>
    <x v="38"/>
    <x v="0"/>
    <s v="K47"/>
    <x v="139"/>
    <n v="46252.62"/>
    <x v="0"/>
    <x v="0"/>
  </r>
  <r>
    <x v="41"/>
    <x v="41"/>
    <x v="39"/>
    <x v="0"/>
    <s v="K47"/>
    <x v="139"/>
    <n v="45569.14"/>
    <x v="0"/>
    <x v="0"/>
  </r>
  <r>
    <x v="42"/>
    <x v="42"/>
    <x v="40"/>
    <x v="0"/>
    <s v="K47"/>
    <x v="139"/>
    <n v="61602.69"/>
    <x v="0"/>
    <x v="0"/>
  </r>
  <r>
    <x v="43"/>
    <x v="43"/>
    <x v="41"/>
    <x v="0"/>
    <s v="K47"/>
    <x v="139"/>
    <n v="44476.79"/>
    <x v="0"/>
    <x v="0"/>
  </r>
  <r>
    <x v="44"/>
    <x v="44"/>
    <x v="42"/>
    <x v="0"/>
    <s v="K47"/>
    <x v="139"/>
    <n v="46340.19"/>
    <x v="0"/>
    <x v="0"/>
  </r>
  <r>
    <x v="45"/>
    <x v="45"/>
    <x v="43"/>
    <x v="0"/>
    <s v="K47"/>
    <x v="139"/>
    <n v="40340.92"/>
    <x v="0"/>
    <x v="0"/>
  </r>
  <r>
    <x v="46"/>
    <x v="46"/>
    <x v="44"/>
    <x v="0"/>
    <s v="K47"/>
    <x v="139"/>
    <n v="7461.61"/>
    <x v="0"/>
    <x v="0"/>
  </r>
  <r>
    <x v="47"/>
    <x v="47"/>
    <x v="45"/>
    <x v="0"/>
    <s v="K47"/>
    <x v="139"/>
    <n v="21839.360000000001"/>
    <x v="0"/>
    <x v="0"/>
  </r>
  <r>
    <x v="48"/>
    <x v="48"/>
    <x v="46"/>
    <x v="0"/>
    <s v="K47"/>
    <x v="139"/>
    <n v="7840.63"/>
    <x v="0"/>
    <x v="0"/>
  </r>
  <r>
    <x v="49"/>
    <x v="49"/>
    <x v="47"/>
    <x v="0"/>
    <s v="K47"/>
    <x v="139"/>
    <n v="2650.04"/>
    <x v="0"/>
    <x v="0"/>
  </r>
  <r>
    <x v="50"/>
    <x v="49"/>
    <x v="48"/>
    <x v="0"/>
    <s v="K47"/>
    <x v="139"/>
    <n v="29078.07"/>
    <x v="0"/>
    <x v="0"/>
  </r>
  <r>
    <x v="51"/>
    <x v="50"/>
    <x v="49"/>
    <x v="0"/>
    <s v="K47"/>
    <x v="139"/>
    <n v="4834.3900000000003"/>
    <x v="0"/>
    <x v="0"/>
  </r>
  <r>
    <x v="52"/>
    <x v="51"/>
    <x v="50"/>
    <x v="0"/>
    <s v="K47"/>
    <x v="139"/>
    <n v="35340.29"/>
    <x v="0"/>
    <x v="0"/>
  </r>
  <r>
    <x v="53"/>
    <x v="52"/>
    <x v="48"/>
    <x v="0"/>
    <s v="K47"/>
    <x v="139"/>
    <n v="5315.94"/>
    <x v="0"/>
    <x v="0"/>
  </r>
  <r>
    <x v="1"/>
    <x v="1"/>
    <x v="1"/>
    <x v="0"/>
    <s v="F07"/>
    <x v="140"/>
    <n v="444"/>
    <x v="0"/>
    <x v="0"/>
  </r>
  <r>
    <x v="1"/>
    <x v="1"/>
    <x v="1"/>
    <x v="1"/>
    <s v="F07"/>
    <x v="140"/>
    <n v="222"/>
    <x v="10"/>
    <x v="2"/>
  </r>
  <r>
    <x v="4"/>
    <x v="4"/>
    <x v="4"/>
    <x v="0"/>
    <s v="F07"/>
    <x v="140"/>
    <n v="355.2"/>
    <x v="0"/>
    <x v="0"/>
  </r>
  <r>
    <x v="4"/>
    <x v="4"/>
    <x v="4"/>
    <x v="1"/>
    <s v="F07"/>
    <x v="140"/>
    <n v="177.6"/>
    <x v="10"/>
    <x v="2"/>
  </r>
  <r>
    <x v="25"/>
    <x v="25"/>
    <x v="24"/>
    <x v="0"/>
    <s v="F07"/>
    <x v="140"/>
    <n v="444"/>
    <x v="0"/>
    <x v="0"/>
  </r>
  <r>
    <x v="25"/>
    <x v="25"/>
    <x v="24"/>
    <x v="1"/>
    <s v="F07"/>
    <x v="140"/>
    <n v="222"/>
    <x v="10"/>
    <x v="2"/>
  </r>
  <r>
    <x v="30"/>
    <x v="30"/>
    <x v="28"/>
    <x v="0"/>
    <s v="F07"/>
    <x v="140"/>
    <n v="621.6"/>
    <x v="0"/>
    <x v="0"/>
  </r>
  <r>
    <x v="30"/>
    <x v="30"/>
    <x v="28"/>
    <x v="1"/>
    <s v="F07"/>
    <x v="140"/>
    <n v="310.8"/>
    <x v="10"/>
    <x v="2"/>
  </r>
  <r>
    <x v="33"/>
    <x v="33"/>
    <x v="31"/>
    <x v="0"/>
    <s v="F07"/>
    <x v="140"/>
    <n v="799.2"/>
    <x v="0"/>
    <x v="0"/>
  </r>
  <r>
    <x v="33"/>
    <x v="33"/>
    <x v="31"/>
    <x v="1"/>
    <s v="F07"/>
    <x v="140"/>
    <n v="399.6"/>
    <x v="10"/>
    <x v="2"/>
  </r>
  <r>
    <x v="53"/>
    <x v="52"/>
    <x v="48"/>
    <x v="0"/>
    <s v="F07"/>
    <x v="140"/>
    <n v="177.6"/>
    <x v="0"/>
    <x v="0"/>
  </r>
  <r>
    <x v="53"/>
    <x v="52"/>
    <x v="48"/>
    <x v="1"/>
    <s v="F07"/>
    <x v="140"/>
    <n v="88.8"/>
    <x v="10"/>
    <x v="2"/>
  </r>
  <r>
    <x v="2"/>
    <x v="2"/>
    <x v="2"/>
    <x v="0"/>
    <s v="F07"/>
    <x v="141"/>
    <n v="489"/>
    <x v="0"/>
    <x v="0"/>
  </r>
  <r>
    <x v="2"/>
    <x v="2"/>
    <x v="2"/>
    <x v="1"/>
    <s v="F07"/>
    <x v="141"/>
    <n v="244.5"/>
    <x v="10"/>
    <x v="2"/>
  </r>
  <r>
    <x v="11"/>
    <x v="11"/>
    <x v="11"/>
    <x v="0"/>
    <s v="F07"/>
    <x v="141"/>
    <n v="1735.2"/>
    <x v="0"/>
    <x v="0"/>
  </r>
  <r>
    <x v="11"/>
    <x v="11"/>
    <x v="11"/>
    <x v="1"/>
    <s v="F07"/>
    <x v="141"/>
    <n v="867.6"/>
    <x v="10"/>
    <x v="2"/>
  </r>
  <r>
    <x v="13"/>
    <x v="13"/>
    <x v="13"/>
    <x v="0"/>
    <s v="F07"/>
    <x v="141"/>
    <n v="248"/>
    <x v="0"/>
    <x v="0"/>
  </r>
  <r>
    <x v="13"/>
    <x v="13"/>
    <x v="13"/>
    <x v="1"/>
    <s v="F07"/>
    <x v="141"/>
    <n v="124"/>
    <x v="10"/>
    <x v="2"/>
  </r>
  <r>
    <x v="16"/>
    <x v="16"/>
    <x v="16"/>
    <x v="0"/>
    <s v="F07"/>
    <x v="141"/>
    <n v="538.23"/>
    <x v="0"/>
    <x v="0"/>
  </r>
  <r>
    <x v="16"/>
    <x v="16"/>
    <x v="16"/>
    <x v="1"/>
    <s v="F07"/>
    <x v="141"/>
    <n v="269.17"/>
    <x v="10"/>
    <x v="2"/>
  </r>
  <r>
    <x v="20"/>
    <x v="20"/>
    <x v="20"/>
    <x v="0"/>
    <s v="F07"/>
    <x v="141"/>
    <n v="293.39999999999998"/>
    <x v="0"/>
    <x v="0"/>
  </r>
  <r>
    <x v="20"/>
    <x v="20"/>
    <x v="20"/>
    <x v="1"/>
    <s v="F07"/>
    <x v="141"/>
    <n v="146.69999999999999"/>
    <x v="10"/>
    <x v="2"/>
  </r>
  <r>
    <x v="21"/>
    <x v="21"/>
    <x v="21"/>
    <x v="0"/>
    <s v="F07"/>
    <x v="141"/>
    <n v="331.1"/>
    <x v="0"/>
    <x v="0"/>
  </r>
  <r>
    <x v="21"/>
    <x v="21"/>
    <x v="21"/>
    <x v="1"/>
    <s v="F07"/>
    <x v="141"/>
    <n v="165.55"/>
    <x v="10"/>
    <x v="2"/>
  </r>
  <r>
    <x v="41"/>
    <x v="41"/>
    <x v="39"/>
    <x v="0"/>
    <s v="F07"/>
    <x v="141"/>
    <n v="475.8"/>
    <x v="0"/>
    <x v="0"/>
  </r>
  <r>
    <x v="41"/>
    <x v="41"/>
    <x v="39"/>
    <x v="1"/>
    <s v="F07"/>
    <x v="141"/>
    <n v="237.9"/>
    <x v="10"/>
    <x v="2"/>
  </r>
  <r>
    <x v="43"/>
    <x v="43"/>
    <x v="41"/>
    <x v="0"/>
    <s v="F07"/>
    <x v="141"/>
    <n v="1638.8"/>
    <x v="0"/>
    <x v="0"/>
  </r>
  <r>
    <x v="43"/>
    <x v="43"/>
    <x v="41"/>
    <x v="1"/>
    <s v="F07"/>
    <x v="141"/>
    <n v="819.4"/>
    <x v="10"/>
    <x v="2"/>
  </r>
  <r>
    <x v="2"/>
    <x v="2"/>
    <x v="2"/>
    <x v="0"/>
    <s v="F07"/>
    <x v="142"/>
    <n v="113.8"/>
    <x v="0"/>
    <x v="0"/>
  </r>
  <r>
    <x v="2"/>
    <x v="2"/>
    <x v="2"/>
    <x v="1"/>
    <s v="F07"/>
    <x v="142"/>
    <n v="56.9"/>
    <x v="10"/>
    <x v="2"/>
  </r>
  <r>
    <x v="2"/>
    <x v="2"/>
    <x v="2"/>
    <x v="0"/>
    <s v="F07"/>
    <x v="143"/>
    <n v="3.2"/>
    <x v="0"/>
    <x v="0"/>
  </r>
  <r>
    <x v="2"/>
    <x v="2"/>
    <x v="2"/>
    <x v="1"/>
    <s v="F07"/>
    <x v="143"/>
    <n v="1.6"/>
    <x v="10"/>
    <x v="2"/>
  </r>
  <r>
    <x v="4"/>
    <x v="4"/>
    <x v="4"/>
    <x v="0"/>
    <m/>
    <x v="144"/>
    <n v="3718.85"/>
    <x v="0"/>
    <x v="0"/>
  </r>
  <r>
    <x v="4"/>
    <x v="4"/>
    <x v="4"/>
    <x v="1"/>
    <m/>
    <x v="144"/>
    <n v="3469.68"/>
    <x v="0"/>
    <x v="0"/>
  </r>
  <r>
    <x v="7"/>
    <x v="7"/>
    <x v="7"/>
    <x v="0"/>
    <m/>
    <x v="144"/>
    <n v="3898.18"/>
    <x v="0"/>
    <x v="0"/>
  </r>
  <r>
    <x v="7"/>
    <x v="7"/>
    <x v="7"/>
    <x v="1"/>
    <m/>
    <x v="144"/>
    <n v="3637.01"/>
    <x v="0"/>
    <x v="0"/>
  </r>
  <r>
    <x v="10"/>
    <x v="10"/>
    <x v="10"/>
    <x v="0"/>
    <m/>
    <x v="144"/>
    <n v="2242.6799999999998"/>
    <x v="0"/>
    <x v="0"/>
  </r>
  <r>
    <x v="10"/>
    <x v="10"/>
    <x v="10"/>
    <x v="1"/>
    <m/>
    <x v="144"/>
    <n v="2092.42"/>
    <x v="0"/>
    <x v="0"/>
  </r>
  <r>
    <x v="11"/>
    <x v="11"/>
    <x v="11"/>
    <x v="0"/>
    <m/>
    <x v="144"/>
    <n v="509.7"/>
    <x v="0"/>
    <x v="0"/>
  </r>
  <r>
    <x v="11"/>
    <x v="11"/>
    <x v="11"/>
    <x v="1"/>
    <m/>
    <x v="144"/>
    <n v="475.55"/>
    <x v="0"/>
    <x v="0"/>
  </r>
  <r>
    <x v="14"/>
    <x v="14"/>
    <x v="14"/>
    <x v="0"/>
    <m/>
    <x v="144"/>
    <n v="2135.98"/>
    <x v="0"/>
    <x v="0"/>
  </r>
  <r>
    <x v="14"/>
    <x v="14"/>
    <x v="14"/>
    <x v="1"/>
    <m/>
    <x v="144"/>
    <n v="1992.87"/>
    <x v="0"/>
    <x v="0"/>
  </r>
  <r>
    <x v="16"/>
    <x v="16"/>
    <x v="16"/>
    <x v="0"/>
    <m/>
    <x v="144"/>
    <n v="2280.85"/>
    <x v="0"/>
    <x v="0"/>
  </r>
  <r>
    <x v="16"/>
    <x v="16"/>
    <x v="16"/>
    <x v="1"/>
    <m/>
    <x v="144"/>
    <n v="2128.0300000000002"/>
    <x v="0"/>
    <x v="0"/>
  </r>
  <r>
    <x v="34"/>
    <x v="34"/>
    <x v="32"/>
    <x v="0"/>
    <m/>
    <x v="144"/>
    <n v="2548.5"/>
    <x v="0"/>
    <x v="0"/>
  </r>
  <r>
    <x v="34"/>
    <x v="34"/>
    <x v="32"/>
    <x v="1"/>
    <m/>
    <x v="144"/>
    <n v="2377.75"/>
    <x v="0"/>
    <x v="0"/>
  </r>
  <r>
    <x v="37"/>
    <x v="37"/>
    <x v="35"/>
    <x v="0"/>
    <m/>
    <x v="144"/>
    <n v="1115.54"/>
    <x v="0"/>
    <x v="0"/>
  </r>
  <r>
    <x v="37"/>
    <x v="37"/>
    <x v="35"/>
    <x v="1"/>
    <m/>
    <x v="144"/>
    <n v="1040.8"/>
    <x v="0"/>
    <x v="0"/>
  </r>
  <r>
    <x v="38"/>
    <x v="38"/>
    <x v="36"/>
    <x v="0"/>
    <m/>
    <x v="144"/>
    <n v="106.62"/>
    <x v="0"/>
    <x v="0"/>
  </r>
  <r>
    <x v="38"/>
    <x v="38"/>
    <x v="36"/>
    <x v="1"/>
    <m/>
    <x v="144"/>
    <n v="99.48"/>
    <x v="0"/>
    <x v="0"/>
  </r>
  <r>
    <x v="44"/>
    <x v="44"/>
    <x v="42"/>
    <x v="0"/>
    <m/>
    <x v="144"/>
    <n v="12348.78"/>
    <x v="0"/>
    <x v="0"/>
  </r>
  <r>
    <x v="44"/>
    <x v="44"/>
    <x v="42"/>
    <x v="1"/>
    <m/>
    <x v="144"/>
    <n v="11521.41"/>
    <x v="0"/>
    <x v="0"/>
  </r>
  <r>
    <x v="5"/>
    <x v="5"/>
    <x v="5"/>
    <x v="0"/>
    <s v="F07"/>
    <x v="145"/>
    <n v="829"/>
    <x v="0"/>
    <x v="0"/>
  </r>
  <r>
    <x v="5"/>
    <x v="5"/>
    <x v="5"/>
    <x v="1"/>
    <s v="F07"/>
    <x v="145"/>
    <n v="414.5"/>
    <x v="10"/>
    <x v="2"/>
  </r>
  <r>
    <x v="5"/>
    <x v="5"/>
    <x v="5"/>
    <x v="0"/>
    <s v="F07"/>
    <x v="146"/>
    <n v="338"/>
    <x v="0"/>
    <x v="0"/>
  </r>
  <r>
    <x v="5"/>
    <x v="5"/>
    <x v="5"/>
    <x v="1"/>
    <s v="F07"/>
    <x v="146"/>
    <n v="169"/>
    <x v="10"/>
    <x v="2"/>
  </r>
  <r>
    <x v="8"/>
    <x v="8"/>
    <x v="8"/>
    <x v="0"/>
    <s v="A06.b"/>
    <x v="44"/>
    <n v="-730.2"/>
    <x v="0"/>
    <x v="0"/>
  </r>
  <r>
    <x v="8"/>
    <x v="8"/>
    <x v="8"/>
    <x v="1"/>
    <s v="A06.b"/>
    <x v="44"/>
    <n v="-730.2"/>
    <x v="0"/>
    <x v="0"/>
  </r>
  <r>
    <x v="10"/>
    <x v="10"/>
    <x v="10"/>
    <x v="0"/>
    <s v="F07"/>
    <x v="147"/>
    <n v="532.79999999999995"/>
    <x v="0"/>
    <x v="0"/>
  </r>
  <r>
    <x v="10"/>
    <x v="10"/>
    <x v="10"/>
    <x v="1"/>
    <s v="F07"/>
    <x v="147"/>
    <n v="266.39999999999998"/>
    <x v="10"/>
    <x v="2"/>
  </r>
  <r>
    <x v="24"/>
    <x v="24"/>
    <x v="7"/>
    <x v="0"/>
    <s v="F07"/>
    <x v="147"/>
    <n v="677.2"/>
    <x v="0"/>
    <x v="0"/>
  </r>
  <r>
    <x v="24"/>
    <x v="24"/>
    <x v="7"/>
    <x v="1"/>
    <s v="F07"/>
    <x v="147"/>
    <n v="338.6"/>
    <x v="10"/>
    <x v="2"/>
  </r>
  <r>
    <x v="27"/>
    <x v="27"/>
    <x v="26"/>
    <x v="0"/>
    <s v="F07"/>
    <x v="147"/>
    <n v="177.6"/>
    <x v="0"/>
    <x v="0"/>
  </r>
  <r>
    <x v="27"/>
    <x v="27"/>
    <x v="26"/>
    <x v="1"/>
    <s v="F07"/>
    <x v="147"/>
    <n v="88.8"/>
    <x v="10"/>
    <x v="2"/>
  </r>
  <r>
    <x v="28"/>
    <x v="28"/>
    <x v="27"/>
    <x v="0"/>
    <s v="F07"/>
    <x v="147"/>
    <n v="266.39999999999998"/>
    <x v="0"/>
    <x v="0"/>
  </r>
  <r>
    <x v="28"/>
    <x v="28"/>
    <x v="27"/>
    <x v="1"/>
    <s v="F07"/>
    <x v="147"/>
    <n v="133.19999999999999"/>
    <x v="10"/>
    <x v="2"/>
  </r>
  <r>
    <x v="34"/>
    <x v="34"/>
    <x v="32"/>
    <x v="0"/>
    <s v="F07"/>
    <x v="147"/>
    <n v="1065.5999999999999"/>
    <x v="0"/>
    <x v="0"/>
  </r>
  <r>
    <x v="34"/>
    <x v="34"/>
    <x v="32"/>
    <x v="1"/>
    <s v="F07"/>
    <x v="147"/>
    <n v="532.79999999999995"/>
    <x v="10"/>
    <x v="2"/>
  </r>
  <r>
    <x v="47"/>
    <x v="47"/>
    <x v="45"/>
    <x v="0"/>
    <s v="F07"/>
    <x v="147"/>
    <n v="444"/>
    <x v="0"/>
    <x v="0"/>
  </r>
  <r>
    <x v="47"/>
    <x v="47"/>
    <x v="45"/>
    <x v="1"/>
    <s v="F07"/>
    <x v="147"/>
    <n v="222"/>
    <x v="10"/>
    <x v="2"/>
  </r>
  <r>
    <x v="48"/>
    <x v="48"/>
    <x v="46"/>
    <x v="0"/>
    <s v="F07"/>
    <x v="147"/>
    <n v="557.79999999999995"/>
    <x v="0"/>
    <x v="0"/>
  </r>
  <r>
    <x v="48"/>
    <x v="48"/>
    <x v="46"/>
    <x v="1"/>
    <s v="F07"/>
    <x v="147"/>
    <n v="278.89999999999998"/>
    <x v="10"/>
    <x v="2"/>
  </r>
  <r>
    <x v="16"/>
    <x v="16"/>
    <x v="16"/>
    <x v="1"/>
    <m/>
    <x v="148"/>
    <n v="-1108.79"/>
    <x v="0"/>
    <x v="0"/>
  </r>
  <r>
    <x v="44"/>
    <x v="44"/>
    <x v="42"/>
    <x v="1"/>
    <m/>
    <x v="148"/>
    <n v="-3350.94"/>
    <x v="0"/>
    <x v="0"/>
  </r>
  <r>
    <x v="51"/>
    <x v="50"/>
    <x v="49"/>
    <x v="1"/>
    <m/>
    <x v="148"/>
    <n v="-4562.87"/>
    <x v="0"/>
    <x v="0"/>
  </r>
  <r>
    <x v="16"/>
    <x v="16"/>
    <x v="16"/>
    <x v="1"/>
    <s v="B07"/>
    <x v="144"/>
    <n v="977.56"/>
    <x v="0"/>
    <x v="0"/>
  </r>
  <r>
    <x v="20"/>
    <x v="20"/>
    <x v="20"/>
    <x v="0"/>
    <s v="F07"/>
    <x v="149"/>
    <n v="1337.6"/>
    <x v="0"/>
    <x v="0"/>
  </r>
  <r>
    <x v="20"/>
    <x v="20"/>
    <x v="20"/>
    <x v="1"/>
    <s v="F07"/>
    <x v="149"/>
    <n v="668.8"/>
    <x v="10"/>
    <x v="2"/>
  </r>
  <r>
    <x v="22"/>
    <x v="22"/>
    <x v="22"/>
    <x v="0"/>
    <s v="F07"/>
    <x v="150"/>
    <n v="668.2"/>
    <x v="0"/>
    <x v="0"/>
  </r>
  <r>
    <x v="22"/>
    <x v="22"/>
    <x v="22"/>
    <x v="1"/>
    <s v="F07"/>
    <x v="150"/>
    <n v="334.1"/>
    <x v="10"/>
    <x v="2"/>
  </r>
  <r>
    <x v="24"/>
    <x v="24"/>
    <x v="7"/>
    <x v="0"/>
    <s v="F07"/>
    <x v="150"/>
    <n v="31.6"/>
    <x v="0"/>
    <x v="0"/>
  </r>
  <r>
    <x v="24"/>
    <x v="24"/>
    <x v="7"/>
    <x v="1"/>
    <s v="F07"/>
    <x v="150"/>
    <n v="15.8"/>
    <x v="10"/>
    <x v="2"/>
  </r>
  <r>
    <x v="31"/>
    <x v="31"/>
    <x v="29"/>
    <x v="0"/>
    <s v="K07"/>
    <x v="151"/>
    <n v="1566.82"/>
    <x v="0"/>
    <x v="0"/>
  </r>
  <r>
    <x v="42"/>
    <x v="42"/>
    <x v="40"/>
    <x v="0"/>
    <s v="K07"/>
    <x v="151"/>
    <n v="2250.3000000000002"/>
    <x v="0"/>
    <x v="0"/>
  </r>
  <r>
    <x v="33"/>
    <x v="33"/>
    <x v="31"/>
    <x v="0"/>
    <s v="F07"/>
    <x v="152"/>
    <n v="266.39999999999998"/>
    <x v="0"/>
    <x v="0"/>
  </r>
  <r>
    <x v="33"/>
    <x v="33"/>
    <x v="31"/>
    <x v="1"/>
    <s v="F07"/>
    <x v="152"/>
    <n v="133.19999999999999"/>
    <x v="10"/>
    <x v="2"/>
  </r>
  <r>
    <x v="36"/>
    <x v="36"/>
    <x v="34"/>
    <x v="0"/>
    <s v="F07"/>
    <x v="153"/>
    <n v="98.07"/>
    <x v="0"/>
    <x v="0"/>
  </r>
  <r>
    <x v="36"/>
    <x v="36"/>
    <x v="34"/>
    <x v="1"/>
    <s v="F07"/>
    <x v="153"/>
    <n v="49.05"/>
    <x v="10"/>
    <x v="2"/>
  </r>
  <r>
    <x v="41"/>
    <x v="41"/>
    <x v="39"/>
    <x v="0"/>
    <s v="F07"/>
    <x v="154"/>
    <n v="82.7"/>
    <x v="0"/>
    <x v="0"/>
  </r>
  <r>
    <x v="41"/>
    <x v="41"/>
    <x v="39"/>
    <x v="1"/>
    <s v="F07"/>
    <x v="154"/>
    <n v="41.35"/>
    <x v="10"/>
    <x v="2"/>
  </r>
  <r>
    <x v="41"/>
    <x v="41"/>
    <x v="39"/>
    <x v="0"/>
    <s v="F07"/>
    <x v="155"/>
    <n v="82.7"/>
    <x v="0"/>
    <x v="0"/>
  </r>
  <r>
    <x v="41"/>
    <x v="41"/>
    <x v="39"/>
    <x v="1"/>
    <s v="F07"/>
    <x v="155"/>
    <n v="41.35"/>
    <x v="10"/>
    <x v="2"/>
  </r>
  <r>
    <x v="43"/>
    <x v="43"/>
    <x v="41"/>
    <x v="0"/>
    <s v="F07"/>
    <x v="156"/>
    <n v="0.4"/>
    <x v="0"/>
    <x v="0"/>
  </r>
  <r>
    <x v="43"/>
    <x v="43"/>
    <x v="41"/>
    <x v="1"/>
    <s v="F07"/>
    <x v="156"/>
    <n v="0.2"/>
    <x v="10"/>
    <x v="2"/>
  </r>
  <r>
    <x v="44"/>
    <x v="44"/>
    <x v="42"/>
    <x v="1"/>
    <s v="K18"/>
    <x v="157"/>
    <n v="-1.21"/>
    <x v="0"/>
    <x v="0"/>
  </r>
  <r>
    <x v="44"/>
    <x v="44"/>
    <x v="42"/>
    <x v="1"/>
    <s v="K18"/>
    <x v="158"/>
    <n v="1.21"/>
    <x v="0"/>
    <x v="0"/>
  </r>
  <r>
    <x v="45"/>
    <x v="45"/>
    <x v="43"/>
    <x v="1"/>
    <s v="J02.2012"/>
    <x v="159"/>
    <n v="6348.7"/>
    <x v="0"/>
    <x v="0"/>
  </r>
  <r>
    <x v="45"/>
    <x v="45"/>
    <x v="43"/>
    <x v="1"/>
    <s v="J02.2012"/>
    <x v="160"/>
    <n v="9851.2999999999993"/>
    <x v="0"/>
    <x v="0"/>
  </r>
  <r>
    <x v="47"/>
    <x v="47"/>
    <x v="45"/>
    <x v="0"/>
    <s v="F07"/>
    <x v="161"/>
    <n v="88.8"/>
    <x v="0"/>
    <x v="0"/>
  </r>
  <r>
    <x v="47"/>
    <x v="47"/>
    <x v="45"/>
    <x v="1"/>
    <s v="F07"/>
    <x v="161"/>
    <n v="44.4"/>
    <x v="10"/>
    <x v="2"/>
  </r>
  <r>
    <x v="47"/>
    <x v="47"/>
    <x v="45"/>
    <x v="0"/>
    <s v="F07"/>
    <x v="162"/>
    <n v="434.4"/>
    <x v="0"/>
    <x v="0"/>
  </r>
  <r>
    <x v="47"/>
    <x v="47"/>
    <x v="45"/>
    <x v="1"/>
    <s v="F07"/>
    <x v="162"/>
    <n v="217.2"/>
    <x v="10"/>
    <x v="2"/>
  </r>
  <r>
    <x v="47"/>
    <x v="47"/>
    <x v="45"/>
    <x v="1"/>
    <s v="J01"/>
    <x v="163"/>
    <n v="1328.12"/>
    <x v="0"/>
    <x v="0"/>
  </r>
  <r>
    <x v="54"/>
    <x v="53"/>
    <x v="51"/>
    <x v="3"/>
    <m/>
    <x v="164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25">
  <r>
    <s v="KB"/>
    <x v="0"/>
    <x v="0"/>
    <x v="0"/>
    <n v="0.5"/>
    <n v="3.8"/>
    <s v="RI"/>
    <x v="0"/>
    <s v="BPIINO"/>
    <x v="0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0.5"/>
    <n v="3.8"/>
    <s v="RI"/>
    <x v="1"/>
    <s v=""/>
    <x v="0"/>
    <s v="2025 Semaine 05"/>
    <s v=""/>
    <s v="Eurecia"/>
    <s v=""/>
    <s v=""/>
    <s v=""/>
    <s v=""/>
    <s v="202501"/>
    <s v="2025"/>
    <n v="1"/>
    <s v="Q1"/>
  </r>
  <r>
    <s v="KB"/>
    <x v="0"/>
    <x v="0"/>
    <x v="0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9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20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BPIINO"/>
    <x v="21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2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3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4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5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6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7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8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9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0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1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2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3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4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5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6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7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40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4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8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9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3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"/>
    <x v="1"/>
    <x v="1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"/>
    <x v="1"/>
    <x v="1"/>
    <n v="0.5"/>
    <n v="3.8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1"/>
    <x v="1"/>
    <x v="1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9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1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2"/>
    <s v="2025 Semaine 08"/>
    <s v=""/>
    <s v="Eurecia"/>
    <s v="RI"/>
    <s v="2.3"/>
    <s v="M24"/>
    <s v=""/>
    <s v="202502"/>
    <s v="2025"/>
    <n v="2"/>
    <s v="Q1"/>
  </r>
  <r>
    <s v="KB"/>
    <x v="2"/>
    <x v="2"/>
    <x v="2"/>
    <n v="0.5"/>
    <n v="3.8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BPIINO"/>
    <x v="37"/>
    <s v="2025 Semaine 05"/>
    <s v="Quench CN"/>
    <s v="Eurecia"/>
    <s v=""/>
    <s v="WP1"/>
    <s v="M18"/>
    <s v=""/>
    <s v="202501"/>
    <s v="2025"/>
    <n v="1"/>
    <s v="Q1"/>
  </r>
  <r>
    <s v="KB"/>
    <x v="2"/>
    <x v="2"/>
    <x v="2"/>
    <n v="0.5"/>
    <n v="3.8"/>
    <s v="RI"/>
    <x v="0"/>
    <s v="BPIINO"/>
    <x v="39"/>
    <s v="2025 Semaine 05"/>
    <s v="Quench CN"/>
    <s v="Eurecia"/>
    <s v=""/>
    <s v="WP1"/>
    <s v="M18"/>
    <s v=""/>
    <s v="202501"/>
    <s v="2025"/>
    <n v="1"/>
    <s v="Q1"/>
  </r>
  <r>
    <s v="KB"/>
    <x v="2"/>
    <x v="2"/>
    <x v="2"/>
    <n v="0.5"/>
    <n v="3.8"/>
    <s v="RI"/>
    <x v="0"/>
    <s v="BPIINO"/>
    <x v="51"/>
    <s v="2025 Semaine 08"/>
    <s v="Quench CN-"/>
    <s v="Eurecia"/>
    <s v=""/>
    <s v="WP1"/>
    <s v="M18"/>
    <s v=""/>
    <s v="202502"/>
    <s v="2025"/>
    <n v="2"/>
    <s v="Q1"/>
  </r>
  <r>
    <s v="KB"/>
    <x v="2"/>
    <x v="2"/>
    <x v="2"/>
    <n v="0.5"/>
    <n v="3.8"/>
    <s v="RI"/>
    <x v="3"/>
    <s v=""/>
    <x v="22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3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8"/>
    <s v="2025 Semaine 05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9"/>
    <s v="2025 Semaine 05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40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4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98"/>
    <s v="2025 Semaine 07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9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1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3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"/>
    <s v="2025 Semaine 10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3"/>
    <s v=""/>
    <x v="10"/>
    <s v="2025 Semaine 11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3"/>
    <s v=""/>
    <x v="107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4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5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6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10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7"/>
    <s v="2025 Semaine 32"/>
    <s v=""/>
    <s v="Eurecia"/>
    <s v=""/>
    <s v=""/>
    <s v=""/>
    <s v=""/>
    <s v="202508"/>
    <s v="2025"/>
    <n v="8"/>
    <s v="Q3"/>
  </r>
  <r>
    <s v="KB"/>
    <x v="2"/>
    <x v="2"/>
    <x v="2"/>
    <n v="0.5"/>
    <n v="3.8"/>
    <s v="RI"/>
    <x v="3"/>
    <s v=""/>
    <x v="138"/>
    <s v="2025 Semaine 35"/>
    <s v=""/>
    <s v="Eurecia"/>
    <s v=""/>
    <s v=""/>
    <s v=""/>
    <s v=""/>
    <s v="202508"/>
    <s v="2025"/>
    <n v="8"/>
    <s v="Q3"/>
  </r>
  <r>
    <s v="KB"/>
    <x v="2"/>
    <x v="2"/>
    <x v="2"/>
    <n v="0.5"/>
    <n v="3.8"/>
    <s v="RI"/>
    <x v="3"/>
    <s v=""/>
    <x v="139"/>
    <s v="2025 Semaine 37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0"/>
    <s v="2025 Semaine 38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1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2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3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4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4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6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7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8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9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0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1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2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5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46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8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4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9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49"/>
    <s v="2025 Semaine 50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50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31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4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33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35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14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2"/>
    <x v="2"/>
    <x v="2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3"/>
    <s v=""/>
    <x v="36"/>
    <s v="2025 Semaine 05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3"/>
    <s v=""/>
    <x v="42"/>
    <s v="2025 Semaine 06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3"/>
    <s v="2025 Semaine 06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5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7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8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0"/>
    <s v="2025 Semaine 08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2"/>
    <s v="2025 Semaine 08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5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6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7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179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1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6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7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83"/>
    <s v="2025 Semaine 23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3"/>
    <s v=""/>
    <x v="180"/>
    <s v="2025 Semaine 30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3"/>
    <s v=""/>
    <x v="182"/>
    <s v="2025 Semaine 32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3"/>
    <s v="2025 Semaine 32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8"/>
    <s v="2025 Semaine 38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9"/>
    <s v="2025 Semaine 39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0"/>
    <s v="2025 Semaine 39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3"/>
    <s v="2025 Semaine 41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4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5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6"/>
    <s v="2025 Semaine 44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7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198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199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200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201"/>
    <s v="2025 Semaine 50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3"/>
    <s v=""/>
    <x v="202"/>
    <s v="2025 Semaine 51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30"/>
    <s v="2025 Semaine 03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2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4"/>
    <s v=""/>
    <x v="3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4"/>
    <s v=""/>
    <x v="4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0"/>
    <s v="BPIINO"/>
    <x v="33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0"/>
    <s v="BPIINO"/>
    <x v="57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BPIINO"/>
    <x v="24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31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0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43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45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51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54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"/>
    <x v="1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6"/>
    <s v="2025 Semaine 11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13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20"/>
    <s v="2025 Semaine 13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BPIINO"/>
    <x v="21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31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0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43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98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49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57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7"/>
    <s v="ADEPHE"/>
    <x v="24"/>
    <s v="2025 Semaine 02"/>
    <s v=""/>
    <s v="Eurecia"/>
    <s v="RI"/>
    <s v="2.3"/>
    <s v="M24"/>
    <s v=""/>
    <s v="202501"/>
    <s v="2025"/>
    <n v="1"/>
    <s v="Q1"/>
  </r>
  <r>
    <s v="KB"/>
    <x v="3"/>
    <x v="3"/>
    <x v="3"/>
    <n v="0"/>
    <n v="1.9"/>
    <s v="RI"/>
    <x v="7"/>
    <s v="ADEPHE"/>
    <x v="39"/>
    <s v="2025 Semaine 05"/>
    <s v=""/>
    <s v="Eurecia"/>
    <s v="RI"/>
    <s v="2.3"/>
    <s v="M24"/>
    <s v=""/>
    <s v="202501"/>
    <s v="2025"/>
    <n v="1"/>
    <s v="Q1"/>
  </r>
  <r>
    <s v="KB"/>
    <x v="3"/>
    <x v="3"/>
    <x v="3"/>
    <n v="0"/>
    <n v="1.9"/>
    <s v="RI"/>
    <x v="7"/>
    <s v="ADEPHE"/>
    <x v="46"/>
    <s v="2025 Semaine 07"/>
    <s v=""/>
    <s v="Eurecia"/>
    <s v="RI"/>
    <s v="2.3"/>
    <s v="M24"/>
    <s v=""/>
    <s v="202502"/>
    <s v="2025"/>
    <n v="2"/>
    <s v="Q1"/>
  </r>
  <r>
    <s v="KB"/>
    <x v="3"/>
    <x v="3"/>
    <x v="3"/>
    <n v="0"/>
    <n v="1.9"/>
    <s v="RI"/>
    <x v="7"/>
    <s v="ADEPHE"/>
    <x v="55"/>
    <s v="2025 Semaine 09"/>
    <s v=""/>
    <s v="Eurecia"/>
    <s v="RI"/>
    <s v="2.3"/>
    <s v="M24"/>
    <s v=""/>
    <s v="202502"/>
    <s v="2025"/>
    <n v="2"/>
    <s v="Q1"/>
  </r>
  <r>
    <s v="KB"/>
    <x v="3"/>
    <x v="3"/>
    <x v="3"/>
    <n v="0"/>
    <n v="3.8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3.8"/>
    <s v="RI"/>
    <x v="0"/>
    <s v="BPIINO"/>
    <x v="34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3.8"/>
    <s v="RI"/>
    <x v="0"/>
    <s v="BPIINO"/>
    <x v="56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3.8"/>
    <s v="RI"/>
    <x v="7"/>
    <s v="ADEPHE"/>
    <x v="23"/>
    <s v="2025 Semaine 02"/>
    <s v=""/>
    <s v="Eurecia"/>
    <s v="RI"/>
    <s v="2.3"/>
    <s v="M24"/>
    <s v=""/>
    <s v="202501"/>
    <s v="2025"/>
    <n v="1"/>
    <s v="Q1"/>
  </r>
  <r>
    <s v="KB"/>
    <x v="3"/>
    <x v="3"/>
    <x v="3"/>
    <n v="0"/>
    <n v="3.8"/>
    <s v="RI"/>
    <x v="7"/>
    <s v="ADEPHE"/>
    <x v="0"/>
    <s v="2025 Semaine 05"/>
    <s v=""/>
    <s v="Eurecia"/>
    <s v="RI"/>
    <s v="2.3"/>
    <s v="M24"/>
    <s v=""/>
    <s v="202501"/>
    <s v="2025"/>
    <n v="1"/>
    <s v="Q1"/>
  </r>
  <r>
    <s v="KB"/>
    <x v="3"/>
    <x v="3"/>
    <x v="3"/>
    <n v="0"/>
    <n v="3.8"/>
    <s v="RI"/>
    <x v="7"/>
    <s v="ADEPHE"/>
    <x v="47"/>
    <s v="2025 Semaine 07"/>
    <s v=""/>
    <s v="Eurecia"/>
    <s v="RI"/>
    <s v="2.3"/>
    <s v="M24"/>
    <s v=""/>
    <s v="202502"/>
    <s v="2025"/>
    <n v="2"/>
    <s v="Q1"/>
  </r>
  <r>
    <s v="KB"/>
    <x v="3"/>
    <x v="3"/>
    <x v="3"/>
    <n v="0"/>
    <n v="3.8"/>
    <s v="RI"/>
    <x v="7"/>
    <s v="ADEPHE"/>
    <x v="56"/>
    <s v="2025 Semaine 09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"/>
    <x v="19"/>
    <s v="2025 Semaine 13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BPIINO"/>
    <x v="21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5.7"/>
    <s v="RI"/>
    <x v="0"/>
    <s v="BPIINO"/>
    <x v="36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5.7"/>
    <s v="RI"/>
    <x v="0"/>
    <s v="BPIINO"/>
    <x v="40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0"/>
    <s v="BPIINO"/>
    <x v="98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0"/>
    <s v="BPIINO"/>
    <x v="49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7"/>
    <s v="ADEPHE"/>
    <x v="33"/>
    <s v="2025 Semaine 04"/>
    <s v=""/>
    <s v="Eurecia"/>
    <s v="RI"/>
    <s v="2.3"/>
    <s v="M24"/>
    <s v=""/>
    <s v="202501"/>
    <s v="2025"/>
    <n v="1"/>
    <s v="Q1"/>
  </r>
  <r>
    <s v="KB"/>
    <x v="3"/>
    <x v="3"/>
    <x v="3"/>
    <n v="0"/>
    <n v="5.7"/>
    <s v="RI"/>
    <x v="7"/>
    <s v="ADEPHE"/>
    <x v="42"/>
    <s v="2025 Semaine 06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7"/>
    <s v="ADEPHE"/>
    <x v="53"/>
    <s v="2025 Semaine 08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7"/>
    <s v="ADEPHE"/>
    <x v="5"/>
    <s v="2025 Semaine 10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10"/>
    <s v="2025 Semaine 11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15"/>
    <s v="2025 Semaine 12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20"/>
    <s v="2025 Semaine 13"/>
    <s v=""/>
    <s v="Eurecia"/>
    <s v="RI"/>
    <s v="2.3"/>
    <s v="M24"/>
    <s v=""/>
    <s v="202503"/>
    <s v="2025"/>
    <n v="3"/>
    <s v="Q1"/>
  </r>
  <r>
    <s v="KB"/>
    <x v="3"/>
    <x v="3"/>
    <x v="3"/>
    <n v="0.25"/>
    <n v="1.9"/>
    <s v="RI"/>
    <x v="5"/>
    <s v=""/>
    <x v="66"/>
    <s v="2025 Semaine 19"/>
    <s v=""/>
    <s v="Eurecia"/>
    <s v=""/>
    <s v=""/>
    <s v=""/>
    <s v=""/>
    <s v="202505"/>
    <s v="2025"/>
    <n v="5"/>
    <s v="Q2"/>
  </r>
  <r>
    <s v="KB"/>
    <x v="3"/>
    <x v="3"/>
    <x v="3"/>
    <n v="0.25"/>
    <n v="1.9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KB"/>
    <x v="3"/>
    <x v="3"/>
    <x v="3"/>
    <n v="0.25"/>
    <n v="1.9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BPIINO"/>
    <x v="28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25"/>
    <n v="1.9"/>
    <s v="RI"/>
    <x v="6"/>
    <s v=""/>
    <x v="203"/>
    <s v="2025 Semaine 14"/>
    <s v=""/>
    <s v="Eurecia"/>
    <s v=""/>
    <s v=""/>
    <s v=""/>
    <s v=""/>
    <s v="202503"/>
    <s v="2025"/>
    <n v="3"/>
    <s v="Q1"/>
  </r>
  <r>
    <s v="KB"/>
    <x v="3"/>
    <x v="3"/>
    <x v="3"/>
    <n v="0.25"/>
    <n v="1.9"/>
    <s v="RI"/>
    <x v="6"/>
    <s v=""/>
    <x v="153"/>
    <s v="2025 Semaine 15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204"/>
    <s v="2025 Semaine 16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63"/>
    <s v="2025 Semaine 18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66"/>
    <s v="2025 Semaine 19"/>
    <s v=""/>
    <s v="Eurecia"/>
    <s v=""/>
    <s v=""/>
    <s v=""/>
    <s v=""/>
    <s v="202505"/>
    <s v="2025"/>
    <n v="5"/>
    <s v="Q2"/>
  </r>
  <r>
    <s v="KB"/>
    <x v="3"/>
    <x v="3"/>
    <x v="3"/>
    <n v="0.25"/>
    <n v="1.9"/>
    <s v="RI"/>
    <x v="6"/>
    <s v="BPIINO"/>
    <x v="28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75"/>
    <n v="5.7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BPIINO"/>
    <x v="26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75"/>
    <n v="5.7"/>
    <s v="RI"/>
    <x v="7"/>
    <s v=""/>
    <x v="205"/>
    <s v="2025 Semaine 18"/>
    <s v=""/>
    <s v="Eurecia"/>
    <s v=""/>
    <s v=""/>
    <s v=""/>
    <s v=""/>
    <s v="202505"/>
    <s v="2025"/>
    <n v="5"/>
    <s v="Q2"/>
  </r>
  <r>
    <s v="KB"/>
    <x v="3"/>
    <x v="3"/>
    <x v="3"/>
    <n v="0.75"/>
    <n v="5.7"/>
    <s v="RI"/>
    <x v="7"/>
    <s v="ADEPHE"/>
    <x v="30"/>
    <s v="2025 Semaine 03"/>
    <s v=""/>
    <s v="Eurecia"/>
    <s v="RI"/>
    <s v="2.3"/>
    <s v="M24"/>
    <s v=""/>
    <s v="202501"/>
    <s v="2025"/>
    <n v="1"/>
    <s v="Q1"/>
  </r>
  <r>
    <s v="KB"/>
    <x v="3"/>
    <x v="3"/>
    <x v="3"/>
    <n v="0.75"/>
    <n v="5.7"/>
    <s v="RI"/>
    <x v="7"/>
    <s v="ADEPHE"/>
    <x v="206"/>
    <s v="2025 Semaine 14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207"/>
    <s v="2025 Semaine 15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208"/>
    <s v="2025 Semaine 16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62"/>
    <s v="2025 Semaine 17"/>
    <s v=""/>
    <s v="Eurecia"/>
    <s v="RI"/>
    <s v="2.3"/>
    <s v="M24"/>
    <s v=""/>
    <s v="202504"/>
    <s v="2025"/>
    <n v="4"/>
    <s v="Q2"/>
  </r>
  <r>
    <s v="KB"/>
    <x v="4"/>
    <x v="4"/>
    <x v="4"/>
    <n v="1"/>
    <n v="7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4"/>
    <x v="4"/>
    <x v="4"/>
    <n v="1"/>
    <n v="7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4"/>
    <x v="4"/>
    <x v="4"/>
    <n v="1"/>
    <n v="7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209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5"/>
    <x v="5"/>
    <x v="5"/>
    <n v="0.5"/>
    <n v="3.8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5"/>
    <x v="5"/>
    <x v="5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5"/>
    <x v="5"/>
    <x v="5"/>
    <n v="0.5"/>
    <n v="3.8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5"/>
    <x v="5"/>
    <x v="5"/>
    <n v="0.5"/>
    <n v="3.8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5"/>
    <x v="5"/>
    <x v="5"/>
    <n v="0.5"/>
    <n v="3.8"/>
    <s v="RI"/>
    <x v="0"/>
    <s v="BPIINO"/>
    <x v="23"/>
    <s v="2025 Semaine 02"/>
    <s v=""/>
    <s v="Eurecia"/>
    <s v=""/>
    <s v="WP4"/>
    <s v="M18"/>
    <s v=""/>
    <s v="202501"/>
    <s v="2025"/>
    <n v="1"/>
    <s v="Q1"/>
  </r>
  <r>
    <s v="KB"/>
    <x v="5"/>
    <x v="5"/>
    <x v="5"/>
    <n v="0.5"/>
    <n v="3.8"/>
    <s v="RI"/>
    <x v="0"/>
    <s v="BPIINO"/>
    <x v="24"/>
    <s v="2025 Semaine 02"/>
    <s v=""/>
    <s v="Eurecia"/>
    <s v=""/>
    <s v="WP4"/>
    <s v="M18"/>
    <s v=""/>
    <s v="202501"/>
    <s v="2025"/>
    <n v="1"/>
    <s v="Q1"/>
  </r>
  <r>
    <s v="KB"/>
    <x v="5"/>
    <x v="5"/>
    <x v="5"/>
    <n v="0.5"/>
    <n v="3.8"/>
    <s v="RI"/>
    <x v="0"/>
    <s v="BPIINO"/>
    <x v="45"/>
    <s v="2025 Semaine 07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0"/>
    <s v="BPIINO"/>
    <x v="50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0"/>
    <s v="BPIINO"/>
    <x v="52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1"/>
    <s v=""/>
    <x v="7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1"/>
    <s v=""/>
    <x v="99"/>
    <s v="2025 Semaine 14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3"/>
    <s v=""/>
    <x v="47"/>
    <s v="2025 Semaine 07"/>
    <s v=""/>
    <s v="Eurecia"/>
    <s v=""/>
    <s v=""/>
    <s v=""/>
    <s v=""/>
    <s v="202502"/>
    <s v="2025"/>
    <n v="2"/>
    <s v="Q1"/>
  </r>
  <r>
    <s v="KB"/>
    <x v="5"/>
    <x v="5"/>
    <x v="5"/>
    <n v="0.5"/>
    <n v="3.8"/>
    <s v="RI"/>
    <x v="3"/>
    <s v=""/>
    <x v="3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3"/>
    <s v=""/>
    <x v="6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5"/>
    <x v="5"/>
    <x v="5"/>
    <n v="0.5"/>
    <n v="3.8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5"/>
    <x v="5"/>
    <x v="5"/>
    <n v="0.5"/>
    <n v="3.8"/>
    <s v="RI"/>
    <x v="3"/>
    <s v=""/>
    <x v="127"/>
    <s v="2025 Semaine 45"/>
    <s v=""/>
    <s v="Eurecia"/>
    <s v=""/>
    <s v=""/>
    <s v=""/>
    <s v=""/>
    <s v="202511"/>
    <s v="2025"/>
    <n v="11"/>
    <s v="Q4"/>
  </r>
  <r>
    <s v="KB"/>
    <x v="5"/>
    <x v="5"/>
    <x v="5"/>
    <n v="0.5"/>
    <n v="3.8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38"/>
    <s v="2025 Semaine 05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49"/>
    <s v="2025 Semaine 08"/>
    <s v=""/>
    <s v="Eurecia"/>
    <s v=""/>
    <s v=""/>
    <s v=""/>
    <s v=""/>
    <s v="202502"/>
    <s v="2025"/>
    <n v="2"/>
    <s v="Q1"/>
  </r>
  <r>
    <s v="KB"/>
    <x v="5"/>
    <x v="5"/>
    <x v="5"/>
    <n v="0.5"/>
    <n v="3.8"/>
    <s v="RI"/>
    <x v="4"/>
    <s v=""/>
    <x v="3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4"/>
    <s v=""/>
    <x v="13"/>
    <s v="2025 Semaine 12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7"/>
    <s v="ADEPHE"/>
    <x v="21"/>
    <s v="2025 Semaine 02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31"/>
    <s v="2025 Semaine 04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36"/>
    <s v="2025 Semaine 05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40"/>
    <s v="2025 Semaine 06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7"/>
    <s v="ADEPHE"/>
    <x v="49"/>
    <s v="2025 Semaine 08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7"/>
    <s v="ADEPHE"/>
    <x v="2"/>
    <s v="2025 Semaine 10"/>
    <s v=""/>
    <s v="Eurecia"/>
    <s v="RI"/>
    <s v="2.3"/>
    <s v="M24"/>
    <s v=""/>
    <s v="202503"/>
    <s v="2025"/>
    <n v="3"/>
    <s v="Q1"/>
  </r>
  <r>
    <s v="KB"/>
    <x v="5"/>
    <x v="5"/>
    <x v="5"/>
    <n v="0.5"/>
    <n v="3.8"/>
    <s v="RI"/>
    <x v="7"/>
    <s v="ADEPHE"/>
    <x v="6"/>
    <s v="2025 Semaine 11"/>
    <s v=""/>
    <s v="Eurecia"/>
    <s v="RI"/>
    <s v="2.3"/>
    <s v="M24"/>
    <s v=""/>
    <s v="202503"/>
    <s v="2025"/>
    <n v="3"/>
    <s v="Q1"/>
  </r>
  <r>
    <s v="KB"/>
    <x v="5"/>
    <x v="5"/>
    <x v="5"/>
    <n v="0.5"/>
    <n v="3.8"/>
    <s v="RI"/>
    <x v="7"/>
    <s v="ADEPHE"/>
    <x v="204"/>
    <s v="2025 Semaine 16"/>
    <s v=""/>
    <s v="Eurecia"/>
    <s v="RI"/>
    <s v="2.3"/>
    <s v="M24"/>
    <s v=""/>
    <s v="202504"/>
    <s v="2025"/>
    <n v="4"/>
    <s v="Q2"/>
  </r>
  <r>
    <s v="KB"/>
    <x v="5"/>
    <x v="5"/>
    <x v="5"/>
    <n v="0.5"/>
    <n v="3.8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2"/>
    <s v="ADEPHE"/>
    <x v="38"/>
    <s v="2025 Semaine 05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5"/>
    <x v="5"/>
    <x v="5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47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7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31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8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9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00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BPIINO"/>
    <x v="32"/>
    <s v="2025 Semaine 04"/>
    <s v=""/>
    <s v="Eurecia"/>
    <s v=""/>
    <s v="WP4"/>
    <s v="M18"/>
    <s v=""/>
    <s v="202501"/>
    <s v="2025"/>
    <n v="1"/>
    <s v="Q1"/>
  </r>
  <r>
    <s v="KB"/>
    <x v="5"/>
    <x v="5"/>
    <x v="5"/>
    <n v="1"/>
    <n v="7.6"/>
    <s v="RI"/>
    <x v="0"/>
    <s v="BPIINO"/>
    <x v="37"/>
    <s v="2025 Semaine 05"/>
    <s v=""/>
    <s v="Eurecia"/>
    <s v=""/>
    <s v="WP4"/>
    <s v="M18"/>
    <s v=""/>
    <s v="202501"/>
    <s v="2025"/>
    <n v="1"/>
    <s v="Q1"/>
  </r>
  <r>
    <s v="KB"/>
    <x v="5"/>
    <x v="5"/>
    <x v="5"/>
    <n v="1"/>
    <n v="7.6"/>
    <s v="RI"/>
    <x v="0"/>
    <s v="BPIINO"/>
    <x v="41"/>
    <s v="2025 Semaine 06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0"/>
    <s v="BPIINO"/>
    <x v="46"/>
    <s v="2025 Semaine 07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0"/>
    <s v="BPIINO"/>
    <x v="51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3"/>
    <s v=""/>
    <x v="136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4"/>
    <s v=""/>
    <x v="203"/>
    <s v="2025 Semaine 14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4"/>
    <s v=""/>
    <x v="153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7"/>
    <s v="ADEPHE"/>
    <x v="98"/>
    <s v="2025 Semaine 07"/>
    <s v=""/>
    <s v="Eurecia"/>
    <s v="RI"/>
    <s v="2.3"/>
    <s v="M24"/>
    <s v=""/>
    <s v="202502"/>
    <s v="2025"/>
    <n v="2"/>
    <s v="Q1"/>
  </r>
  <r>
    <s v="KB"/>
    <x v="5"/>
    <x v="5"/>
    <x v="5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7"/>
    <x v="7"/>
    <x v="7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7"/>
    <x v="7"/>
    <x v="7"/>
    <n v="0.5"/>
    <n v="3.8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6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36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237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209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47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49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38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39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0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1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2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3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4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2"/>
    <s v="ADEPHE"/>
    <x v="245"/>
    <s v="2025 Semaine 01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46"/>
    <s v="2025 Semaine 01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6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7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0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40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1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3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4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9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1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2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3"/>
    <s v="2025 Semaine 08"/>
    <s v=""/>
    <s v="Eurecia"/>
    <s v="RI"/>
    <s v="2.3"/>
    <s v="M24"/>
    <s v=""/>
    <s v="202502"/>
    <s v="2025"/>
    <n v="2"/>
    <s v="Q1"/>
  </r>
  <r>
    <s v="KB"/>
    <x v="8"/>
    <x v="8"/>
    <x v="8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BPIINO"/>
    <x v="21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2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3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4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5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6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7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8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9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0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1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2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3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4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5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6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7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8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9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0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40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1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2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3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4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98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5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6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7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0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1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2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3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0.5"/>
    <n v="3.8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9"/>
    <x v="9"/>
    <x v="9"/>
    <n v="0.5"/>
    <n v="3.8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6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36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47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7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31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8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9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00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49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BPIINO"/>
    <x v="49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0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1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2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3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7"/>
    <s v="ADEPHE"/>
    <x v="5"/>
    <s v="2025 Semaine 10"/>
    <s v=""/>
    <s v="Eurecia"/>
    <s v="RI"/>
    <s v="2.3"/>
    <s v="M24"/>
    <s v=""/>
    <s v="202503"/>
    <s v="2025"/>
    <n v="3"/>
    <s v="Q1"/>
  </r>
  <r>
    <s v="KB"/>
    <x v="9"/>
    <x v="9"/>
    <x v="9"/>
    <n v="1"/>
    <n v="7.6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6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7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8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9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40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1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3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4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.25"/>
    <n v="9.5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0.5"/>
    <n v="3.8"/>
    <s v="RI"/>
    <x v="0"/>
    <s v=""/>
    <x v="20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0.5"/>
    <n v="3.8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10"/>
    <x v="10"/>
    <x v="10"/>
    <n v="0.5"/>
    <n v="3.8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3"/>
    <s v=""/>
    <x v="189"/>
    <s v="2025 Semaine 39"/>
    <s v=""/>
    <s v="Eurecia"/>
    <s v=""/>
    <s v=""/>
    <s v=""/>
    <s v=""/>
    <s v="202509"/>
    <s v="2025"/>
    <n v="9"/>
    <s v="Q3"/>
  </r>
  <r>
    <s v="KB"/>
    <x v="10"/>
    <x v="10"/>
    <x v="10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8"/>
    <s v="ADEPHE"/>
    <x v="57"/>
    <s v="2025 Semaine 09"/>
    <s v=""/>
    <s v="Eurecia"/>
    <s v="RI"/>
    <s v="2.3"/>
    <s v="M24"/>
    <s v=""/>
    <s v="202502"/>
    <s v="2025"/>
    <n v="2"/>
    <s v="Q1"/>
  </r>
  <r>
    <s v="KB"/>
    <x v="10"/>
    <x v="10"/>
    <x v="10"/>
    <n v="0.5"/>
    <n v="3.8"/>
    <s v="RI"/>
    <x v="8"/>
    <s v="ADEPHE"/>
    <x v="179"/>
    <s v="2025 Semaine 09"/>
    <s v=""/>
    <s v="Eurecia"/>
    <s v="RI"/>
    <s v="2.3"/>
    <s v="M24"/>
    <s v=""/>
    <s v="202502"/>
    <s v="2025"/>
    <n v="2"/>
    <s v="Q1"/>
  </r>
  <r>
    <s v="KB"/>
    <x v="10"/>
    <x v="10"/>
    <x v="10"/>
    <n v="0.5"/>
    <n v="3.8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KB"/>
    <x v="10"/>
    <x v="10"/>
    <x v="10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10"/>
    <x v="10"/>
    <x v="10"/>
    <n v="1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10"/>
    <x v="10"/>
    <x v="10"/>
    <n v="1"/>
    <n v="7.6"/>
    <s v="RI"/>
    <x v="0"/>
    <s v="BPIINO"/>
    <x v="40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9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3"/>
    <s v=""/>
    <x v="223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224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5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6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7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41"/>
    <s v="2025 Semaine 39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14"/>
    <s v="2025 Semaine 40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4"/>
    <s v=""/>
    <x v="21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1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2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3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6"/>
    <s v="2025 Semaine 05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7"/>
    <s v="2025 Semaine 05"/>
    <s v=""/>
    <s v="Eurecia"/>
    <s v=""/>
    <s v=""/>
    <s v=""/>
    <s v=""/>
    <s v="202501"/>
    <s v="2025"/>
    <n v="1"/>
    <s v="Q1"/>
  </r>
  <r>
    <s v="KB"/>
    <x v="11"/>
    <x v="11"/>
    <x v="11"/>
    <n v="1"/>
    <n v="7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11"/>
    <x v="11"/>
    <x v="11"/>
    <n v="1"/>
    <n v="7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11"/>
    <x v="11"/>
    <x v="11"/>
    <n v="1"/>
    <n v="7"/>
    <s v="RI"/>
    <x v="3"/>
    <s v=""/>
    <x v="114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209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44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45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5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3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6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7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8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9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0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1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4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5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2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69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3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70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6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5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6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9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5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0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6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7"/>
    <s v="2025 Semaine 50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01"/>
    <s v="2025 Semaine 50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02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8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50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10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1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2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3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0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2"/>
    <s v="2026 Semaine 0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3"/>
    <s v="2026 Semaine 0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4"/>
    <s v="2026 Semaine 01"/>
    <s v=""/>
    <s v="Eurecia"/>
    <s v=""/>
    <s v=""/>
    <s v=""/>
    <s v=""/>
    <s v="202512"/>
    <s v="2025"/>
    <n v="12"/>
    <s v="Q4"/>
  </r>
  <r>
    <s v="KB"/>
    <x v="12"/>
    <x v="12"/>
    <x v="12"/>
    <n v="1"/>
    <n v="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3"/>
    <s v=""/>
    <x v="222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223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224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138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4"/>
    <s v=""/>
    <x v="21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4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5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0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5"/>
    <s v="2025 Semaine 04"/>
    <s v=""/>
    <s v="Eurecia"/>
    <s v=""/>
    <s v=""/>
    <s v=""/>
    <s v=""/>
    <s v="202501"/>
    <s v="2025"/>
    <n v="1"/>
    <s v="Q1"/>
  </r>
  <r>
    <s v="KB"/>
    <x v="13"/>
    <x v="13"/>
    <x v="13"/>
    <n v="1"/>
    <n v="7.6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3"/>
    <x v="13"/>
    <x v="13"/>
    <n v="1"/>
    <n v="7.6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4"/>
    <x v="14"/>
    <x v="14"/>
    <n v="0"/>
    <n v="7.6"/>
    <s v="RI"/>
    <x v="0"/>
    <s v="BPIINO"/>
    <x v="22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3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4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5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7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8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9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0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7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0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4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8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3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1"/>
    <n v="7.6"/>
    <s v="RI"/>
    <x v="0"/>
    <s v="BPIINO"/>
    <x v="32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3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4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5"/>
    <s v="2025 Semaine 04"/>
    <s v=""/>
    <s v="Eurecia"/>
    <s v=""/>
    <s v="WP1"/>
    <s v="M18"/>
    <s v=""/>
    <s v="202501"/>
    <s v="2025"/>
    <n v="1"/>
    <s v="Q1"/>
  </r>
  <r>
    <s v="RO"/>
    <x v="15"/>
    <x v="15"/>
    <x v="15"/>
    <n v="0.45"/>
    <n v="3.17"/>
    <s v="DE"/>
    <x v="0"/>
    <s v=""/>
    <x v="194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8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45"/>
    <n v="3.17"/>
    <s v="DE"/>
    <x v="0"/>
    <s v=""/>
    <x v="147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45"/>
    <n v="3.17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0"/>
    <s v=""/>
    <x v="22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0"/>
    <s v=""/>
    <x v="170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4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1"/>
    <n v="7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78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50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10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32"/>
    <s v="2025 Semaine 52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2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3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4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0.2"/>
    <n v="1.5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0.38"/>
    <n v="2.85"/>
    <s v="DE"/>
    <x v="0"/>
    <s v=""/>
    <x v="142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38"/>
    <n v="2.85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16"/>
    <x v="16"/>
    <x v="16"/>
    <n v="0.38"/>
    <n v="2.85"/>
    <s v="DE"/>
    <x v="7"/>
    <s v=""/>
    <x v="136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0.63"/>
    <n v="4.75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216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0.63"/>
    <n v="4.75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63"/>
    <n v="4.75"/>
    <s v="DE"/>
    <x v="5"/>
    <s v=""/>
    <x v="142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63"/>
    <n v="4.75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0.72370000000000001"/>
    <n v="5.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0.85"/>
    <n v="6.5"/>
    <s v="DE"/>
    <x v="4"/>
    <s v=""/>
    <x v="100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0.85519999999999996"/>
    <n v="6.5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85529999999999995"/>
    <n v="6.5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2"/>
    <n v="7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2"/>
    <n v="7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2"/>
    <n v="7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2100000000000004"/>
    <n v="7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2100000000000004"/>
    <n v="7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4"/>
    <n v="7.17"/>
    <s v="DE"/>
    <x v="4"/>
    <s v=""/>
    <x v="151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4"/>
    <s v=""/>
    <x v="152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4"/>
    <s v=""/>
    <x v="206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0.94"/>
    <n v="7.17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0.96709999999999996"/>
    <n v="7.35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6709999999999996"/>
    <n v="7.35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6709999999999996"/>
    <n v="7.35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7"/>
    <n v="7.4"/>
    <s v="DE"/>
    <x v="4"/>
    <s v=""/>
    <x v="60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7"/>
    <n v="7.4"/>
    <s v="DE"/>
    <x v="4"/>
    <s v=""/>
    <x v="61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7589999999999999"/>
    <n v="7.42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7589999999999999"/>
    <n v="7.42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8680000000000001"/>
    <n v="7.5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8680000000000001"/>
    <n v="7.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899999999999999"/>
    <n v="7.52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9"/>
    <n v="7.5"/>
    <s v="DE"/>
    <x v="4"/>
    <s v=""/>
    <x v="62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9"/>
    <n v="7.5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"/>
    <n v="7.6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27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1.01"/>
    <n v="7.6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2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3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3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4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5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7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8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0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1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2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3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4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38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12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5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7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8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5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6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7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225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8"/>
    <s v="2025 Semaine 38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40"/>
    <s v="2025 Semaine 38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90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2"/>
    <s v="2025 Semaine 40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45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5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3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7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0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1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70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4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46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7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8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6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8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9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47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7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1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2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30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4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9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5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6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48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7"/>
    <s v="2025 Semaine 50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201"/>
    <s v="2025 Semaine 50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4"/>
    <s v=""/>
    <x v="204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155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101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211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208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59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16"/>
    <x v="16"/>
    <x v="16"/>
    <n v="1.0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5"/>
    <n v="8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1.05"/>
    <n v="8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05"/>
    <n v="8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0526"/>
    <n v="8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1.0526"/>
    <n v="8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1.0526"/>
    <n v="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1.0527"/>
    <n v="8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1.0637000000000001"/>
    <n v="8.08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1.07"/>
    <n v="8.17"/>
    <s v="DE"/>
    <x v="4"/>
    <s v=""/>
    <x v="20"/>
    <s v="2025 Semaine 13"/>
    <s v=""/>
    <s v="Eurecia"/>
    <s v=""/>
    <s v=""/>
    <s v=""/>
    <s v=""/>
    <s v="202503"/>
    <s v="2025"/>
    <n v="3"/>
    <s v="Q1"/>
  </r>
  <r>
    <s v="RO"/>
    <x v="16"/>
    <x v="16"/>
    <x v="16"/>
    <n v="1.07"/>
    <n v="8.17"/>
    <s v="DE"/>
    <x v="4"/>
    <s v=""/>
    <x v="236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07"/>
    <n v="8.17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1.07"/>
    <n v="8.17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.07"/>
    <n v="8.17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.08"/>
    <n v="8.17"/>
    <s v="DE"/>
    <x v="4"/>
    <s v=""/>
    <x v="153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08"/>
    <n v="8.17"/>
    <s v="DE"/>
    <x v="4"/>
    <s v=""/>
    <x v="154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1100000000000001"/>
    <n v="8.470000000000000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1200000000000001"/>
    <n v="8.5"/>
    <s v="DE"/>
    <x v="4"/>
    <s v=""/>
    <x v="203"/>
    <s v="2025 Semaine 14"/>
    <s v=""/>
    <s v="Eurecia"/>
    <s v=""/>
    <s v=""/>
    <s v=""/>
    <s v=""/>
    <s v="202503"/>
    <s v="2025"/>
    <n v="3"/>
    <s v="Q1"/>
  </r>
  <r>
    <s v="RO"/>
    <x v="16"/>
    <x v="16"/>
    <x v="16"/>
    <n v="1.1200000000000001"/>
    <n v="8.5"/>
    <s v="DE"/>
    <x v="4"/>
    <s v=""/>
    <x v="99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1.1578999999999999"/>
    <n v="8.8000000000000007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1.2"/>
    <n v="9.17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0.43"/>
    <n v="3.25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0.46"/>
    <n v="3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0.47"/>
    <n v="3.58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47"/>
    <n v="3.58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48"/>
    <n v="3.67"/>
    <s v="DE"/>
    <x v="4"/>
    <s v=""/>
    <x v="203"/>
    <s v="2025 Semaine 14"/>
    <s v=""/>
    <s v="Eurecia"/>
    <s v=""/>
    <s v=""/>
    <s v=""/>
    <s v=""/>
    <s v="202503"/>
    <s v="2025"/>
    <n v="3"/>
    <s v="Q1"/>
  </r>
  <r>
    <s v="RO"/>
    <x v="17"/>
    <x v="17"/>
    <x v="17"/>
    <n v="0.48"/>
    <n v="3.67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17"/>
    <x v="17"/>
    <x v="17"/>
    <n v="0.49"/>
    <n v="3.75"/>
    <s v="DE"/>
    <x v="4"/>
    <s v=""/>
    <x v="1"/>
    <s v="2025 Semaine 10"/>
    <s v=""/>
    <s v="Eurecia"/>
    <s v=""/>
    <s v=""/>
    <s v=""/>
    <s v=""/>
    <s v="202503"/>
    <s v="2025"/>
    <n v="3"/>
    <s v="Q1"/>
  </r>
  <r>
    <s v="RO"/>
    <x v="17"/>
    <x v="17"/>
    <x v="17"/>
    <n v="0.5"/>
    <n v="3.8"/>
    <s v="DE"/>
    <x v="4"/>
    <s v=""/>
    <x v="151"/>
    <s v="2025 Semaine 14"/>
    <s v=""/>
    <s v="Eurecia"/>
    <s v=""/>
    <s v=""/>
    <s v=""/>
    <s v=""/>
    <s v="202504"/>
    <s v="2025"/>
    <n v="4"/>
    <s v="Q2"/>
  </r>
  <r>
    <s v="RO"/>
    <x v="17"/>
    <x v="17"/>
    <x v="17"/>
    <n v="0.51"/>
    <n v="3.85"/>
    <s v="DE"/>
    <x v="7"/>
    <s v=""/>
    <x v="235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51100000000000001"/>
    <n v="3.88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0.52"/>
    <n v="3.92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0.52"/>
    <n v="3.97"/>
    <s v="DE"/>
    <x v="4"/>
    <s v=""/>
    <x v="18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0.52190000000000003"/>
    <n v="3.97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0.54"/>
    <n v="4.08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0.55000000000000004"/>
    <n v="4.17"/>
    <s v="DE"/>
    <x v="4"/>
    <s v=""/>
    <x v="19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0.85529999999999995"/>
    <n v="6.5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0.86"/>
    <n v="6.5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86"/>
    <n v="6.58"/>
    <s v="DE"/>
    <x v="7"/>
    <s v=""/>
    <x v="159"/>
    <s v="2025 Semaine 27"/>
    <s v=""/>
    <s v="Eurecia"/>
    <s v=""/>
    <s v=""/>
    <s v=""/>
    <s v=""/>
    <s v="202507"/>
    <s v="2025"/>
    <n v="7"/>
    <s v="Q3"/>
  </r>
  <r>
    <s v="RO"/>
    <x v="17"/>
    <x v="17"/>
    <x v="17"/>
    <n v="0.88"/>
    <n v="6.75"/>
    <s v="DE"/>
    <x v="7"/>
    <s v=""/>
    <x v="92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0.8881"/>
    <n v="6.7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0.89"/>
    <n v="6.75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0.92"/>
    <n v="7"/>
    <s v="DE"/>
    <x v="7"/>
    <s v=""/>
    <x v="77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2"/>
    <n v="7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0.92"/>
    <n v="7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0.93"/>
    <n v="7.08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0.94"/>
    <n v="7.15"/>
    <s v="DE"/>
    <x v="7"/>
    <s v=""/>
    <x v="187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4299999999999995"/>
    <n v="7.17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0.95"/>
    <n v="7.17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0.95"/>
    <n v="7.25"/>
    <s v="DE"/>
    <x v="7"/>
    <s v=""/>
    <x v="68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0.95"/>
    <n v="7.25"/>
    <s v="DE"/>
    <x v="7"/>
    <s v=""/>
    <x v="233"/>
    <s v="2025 Semaine 31"/>
    <s v=""/>
    <s v="Eurecia"/>
    <s v=""/>
    <s v=""/>
    <s v=""/>
    <s v=""/>
    <s v="202508"/>
    <s v="2025"/>
    <n v="8"/>
    <s v="Q3"/>
  </r>
  <r>
    <s v="RO"/>
    <x v="17"/>
    <x v="17"/>
    <x v="17"/>
    <n v="0.95"/>
    <n v="7.25"/>
    <s v="DE"/>
    <x v="7"/>
    <s v=""/>
    <x v="186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5"/>
    <n v="7.25"/>
    <s v="DE"/>
    <x v="7"/>
    <s v=""/>
    <x v="139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5389999999999997"/>
    <n v="7.25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0.96"/>
    <n v="7.25"/>
    <s v="DE"/>
    <x v="7"/>
    <s v=""/>
    <x v="78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6"/>
    <n v="7.25"/>
    <s v="DE"/>
    <x v="7"/>
    <s v=""/>
    <x v="160"/>
    <s v="2025 Semaine 27"/>
    <s v=""/>
    <s v="Eurecia"/>
    <s v=""/>
    <s v=""/>
    <s v=""/>
    <s v=""/>
    <s v="202507"/>
    <s v="2025"/>
    <n v="7"/>
    <s v="Q3"/>
  </r>
  <r>
    <s v="RO"/>
    <x v="17"/>
    <x v="17"/>
    <x v="17"/>
    <n v="0.96489999999999998"/>
    <n v="7.33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0.96489999999999998"/>
    <n v="7.33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0.97"/>
    <n v="7.33"/>
    <s v="DE"/>
    <x v="7"/>
    <s v=""/>
    <x v="80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0.97"/>
    <n v="7.34"/>
    <s v="DE"/>
    <x v="7"/>
    <s v=""/>
    <x v="81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0.97"/>
    <n v="7.35"/>
    <s v="DE"/>
    <x v="7"/>
    <s v=""/>
    <x v="221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98"/>
    <n v="7.42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0.98"/>
    <n v="7.43"/>
    <s v="DE"/>
    <x v="7"/>
    <s v=""/>
    <x v="110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0.98"/>
    <n v="7.5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0.99"/>
    <n v="7.5"/>
    <s v="DE"/>
    <x v="7"/>
    <s v=""/>
    <x v="76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9"/>
    <n v="7.5"/>
    <s v="DE"/>
    <x v="7"/>
    <s v=""/>
    <x v="219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99"/>
    <n v="7.5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0.99"/>
    <n v="7.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0.99"/>
    <n v="7.5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8"/>
    <s v="DE"/>
    <x v="7"/>
    <s v=""/>
    <x v="95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0.99780000000000002"/>
    <n v="7.5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0.99780000000000002"/>
    <n v="7.58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"/>
    <n v="7.58"/>
    <s v="DE"/>
    <x v="7"/>
    <s v=""/>
    <x v="67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1"/>
    <n v="7.58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4"/>
    <s v=""/>
    <x v="4"/>
    <s v="2025 Semaine 10"/>
    <s v=""/>
    <s v="Eurecia"/>
    <s v=""/>
    <s v=""/>
    <s v=""/>
    <s v=""/>
    <s v="202503"/>
    <s v="2025"/>
    <n v="3"/>
    <s v="Q1"/>
  </r>
  <r>
    <s v="RO"/>
    <x v="17"/>
    <x v="17"/>
    <x v="17"/>
    <n v="1"/>
    <n v="7.59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6"/>
    <s v="DE"/>
    <x v="7"/>
    <s v=""/>
    <x v="87"/>
    <s v="2025 Semaine 24"/>
    <s v=""/>
    <s v="Eurecia"/>
    <s v=""/>
    <s v=""/>
    <s v=""/>
    <s v=""/>
    <s v="202506"/>
    <s v="2025"/>
    <n v="6"/>
    <s v="Q2"/>
  </r>
  <r>
    <s v="RO"/>
    <x v="17"/>
    <x v="17"/>
    <x v="17"/>
    <n v="1"/>
    <n v="7.6"/>
    <s v="DE"/>
    <x v="7"/>
    <s v=""/>
    <x v="157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"/>
    <n v="7.6"/>
    <s v="DE"/>
    <x v="7"/>
    <s v=""/>
    <x v="164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"/>
    <n v="7.6"/>
    <s v="DE"/>
    <x v="7"/>
    <s v=""/>
    <x v="182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137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14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34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2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3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4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138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ADEPHE"/>
    <x v="245"/>
    <s v="2025 Semaine 01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246"/>
    <s v="2025 Semaine 01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62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087999999999999"/>
    <n v="7.66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6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6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7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087999999999999"/>
    <n v="7.67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087999999999999"/>
    <n v="7.67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"/>
    <n v="7.6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1.01"/>
    <n v="7.66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1.01"/>
    <n v="7.67"/>
    <s v="DE"/>
    <x v="4"/>
    <s v=""/>
    <x v="99"/>
    <s v="2025 Semaine 14"/>
    <s v=""/>
    <s v="Eurecia"/>
    <s v=""/>
    <s v=""/>
    <s v=""/>
    <s v=""/>
    <s v="202504"/>
    <s v="2025"/>
    <n v="4"/>
    <s v="Q2"/>
  </r>
  <r>
    <s v="RO"/>
    <x v="17"/>
    <x v="17"/>
    <x v="17"/>
    <n v="1.01"/>
    <n v="7.67"/>
    <s v="DE"/>
    <x v="7"/>
    <s v=""/>
    <x v="82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01"/>
    <n v="7.67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1.01"/>
    <n v="7.67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1.0108999999999999"/>
    <n v="7.68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1.0197000000000001"/>
    <n v="7.75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8"/>
    <n v="7.75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1.02"/>
    <n v="7.75"/>
    <s v="DE"/>
    <x v="4"/>
    <s v=""/>
    <x v="7"/>
    <s v="2025 Semaine 11"/>
    <s v=""/>
    <s v="Eurecia"/>
    <s v=""/>
    <s v=""/>
    <s v=""/>
    <s v=""/>
    <s v="202503"/>
    <s v="2025"/>
    <n v="3"/>
    <s v="Q1"/>
  </r>
  <r>
    <s v="RO"/>
    <x v="17"/>
    <x v="17"/>
    <x v="17"/>
    <n v="1.02"/>
    <n v="7.75"/>
    <s v="DE"/>
    <x v="4"/>
    <s v=""/>
    <x v="12"/>
    <s v="2025 Semaine 12"/>
    <s v=""/>
    <s v="Eurecia"/>
    <s v=""/>
    <s v=""/>
    <s v=""/>
    <s v=""/>
    <s v="202503"/>
    <s v="2025"/>
    <n v="3"/>
    <s v="Q1"/>
  </r>
  <r>
    <s v="RO"/>
    <x v="17"/>
    <x v="17"/>
    <x v="17"/>
    <n v="1.02"/>
    <n v="7.75"/>
    <s v="DE"/>
    <x v="7"/>
    <s v=""/>
    <x v="102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2"/>
    <n v="7.75"/>
    <s v="DE"/>
    <x v="7"/>
    <s v=""/>
    <x v="111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.02"/>
    <n v="7.75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1.02"/>
    <n v="7.75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3"/>
    <n v="7.77"/>
    <s v="DE"/>
    <x v="7"/>
    <s v=""/>
    <x v="220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1.03"/>
    <n v="7.83"/>
    <s v="DE"/>
    <x v="7"/>
    <s v=""/>
    <x v="66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3"/>
    <n v="7.85"/>
    <s v="DE"/>
    <x v="7"/>
    <s v=""/>
    <x v="84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0306999999999999"/>
    <n v="7.83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4"/>
    <n v="7.85"/>
    <s v="DE"/>
    <x v="7"/>
    <s v=""/>
    <x v="90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1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3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4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92"/>
    <s v="DE"/>
    <x v="7"/>
    <s v=""/>
    <x v="96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4"/>
    <n v="7.92"/>
    <s v="DE"/>
    <x v="7"/>
    <s v=""/>
    <x v="97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417000000000001"/>
    <n v="7.92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5"/>
    <n v="8"/>
    <s v="DE"/>
    <x v="7"/>
    <s v=""/>
    <x v="181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.05"/>
    <n v="8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1.05"/>
    <n v="8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526"/>
    <n v="8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6"/>
    <n v="8"/>
    <s v="DE"/>
    <x v="7"/>
    <s v=""/>
    <x v="69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6"/>
    <n v="8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6"/>
    <n v="8.08"/>
    <s v="DE"/>
    <x v="7"/>
    <s v=""/>
    <x v="74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1.06"/>
    <n v="8.08"/>
    <s v="DE"/>
    <x v="7"/>
    <s v=""/>
    <x v="158"/>
    <s v="2025 Semaine 27"/>
    <s v=""/>
    <s v="Eurecia"/>
    <s v=""/>
    <s v=""/>
    <s v=""/>
    <s v=""/>
    <s v="202506"/>
    <s v="2025"/>
    <n v="6"/>
    <s v="Q2"/>
  </r>
  <r>
    <s v="RO"/>
    <x v="17"/>
    <x v="17"/>
    <x v="17"/>
    <n v="1.07"/>
    <n v="8.08"/>
    <s v="DE"/>
    <x v="7"/>
    <s v=""/>
    <x v="79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1.07"/>
    <n v="8.08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746"/>
    <n v="8.17"/>
    <s v="DE"/>
    <x v="7"/>
    <s v="ADEPHE"/>
    <x v="27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8"/>
    <n v="8.2100000000000009"/>
    <s v="DE"/>
    <x v="4"/>
    <s v=""/>
    <x v="17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1.0900000000000001"/>
    <n v="8.25"/>
    <s v="DE"/>
    <x v="7"/>
    <s v=""/>
    <x v="75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1.0900000000000001"/>
    <n v="8.25"/>
    <s v="DE"/>
    <x v="7"/>
    <s v=""/>
    <x v="83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1499999999999999"/>
    <n v="8.75"/>
    <s v="DE"/>
    <x v="7"/>
    <s v=""/>
    <x v="18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0"/>
    <s v=""/>
    <x v="154"/>
    <s v="2025 Semaine 15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101"/>
    <s v="2025 Semaine 16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1"/>
    <s v="2025 Semaine 17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4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5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8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69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70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81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83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03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07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80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35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22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1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229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0"/>
    <s v=""/>
    <x v="178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0"/>
    <s v=""/>
    <x v="131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5"/>
    <s v=""/>
    <x v="169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123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124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226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24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172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175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5"/>
    <s v="ADEPHE"/>
    <x v="19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4"/>
    <s v=""/>
    <x v="246"/>
    <s v="2025 Semaine 01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25"/>
    <s v="2025 Semaine 02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27"/>
    <s v="2025 Semaine 03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32"/>
    <s v="2025 Semaine 04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52"/>
    <s v="2025 Semaine 08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57"/>
    <s v="2025 Semaine 09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179"/>
    <s v="2025 Semaine 09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14"/>
    <s v="2025 Semaine 12"/>
    <s v=""/>
    <s v="Eurecia"/>
    <s v=""/>
    <s v=""/>
    <s v=""/>
    <s v=""/>
    <s v="202503"/>
    <s v="2025"/>
    <n v="3"/>
    <s v="Q1"/>
  </r>
  <r>
    <s v="RO"/>
    <x v="18"/>
    <x v="18"/>
    <x v="18"/>
    <n v="0.5"/>
    <n v="3.8"/>
    <s v="DE"/>
    <x v="4"/>
    <s v=""/>
    <x v="19"/>
    <s v="2025 Semaine 13"/>
    <s v=""/>
    <s v="Eurecia"/>
    <s v=""/>
    <s v=""/>
    <s v=""/>
    <s v=""/>
    <s v="202503"/>
    <s v="2025"/>
    <n v="3"/>
    <s v="Q1"/>
  </r>
  <r>
    <s v="RO"/>
    <x v="18"/>
    <x v="18"/>
    <x v="18"/>
    <n v="0.5"/>
    <n v="3.8"/>
    <s v="DE"/>
    <x v="4"/>
    <s v=""/>
    <x v="206"/>
    <s v="2025 Semaine 14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236"/>
    <s v="2025 Semaine 15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211"/>
    <s v="2025 Semaine 16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1"/>
    <s v="2025 Semaine 17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4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8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4"/>
    <s v=""/>
    <x v="139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4"/>
    <s v=""/>
    <x v="22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6"/>
    <s v="BPIINO"/>
    <x v="27"/>
    <s v="2025 Semaine 03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28"/>
    <s v="2025 Semaine 03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35"/>
    <s v="2025 Semaine 04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37"/>
    <s v="2025 Semaine 05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7"/>
    <s v=""/>
    <x v="67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74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80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91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7"/>
    <s v=""/>
    <x v="112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8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0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1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4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7"/>
    <s v=""/>
    <x v="124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7"/>
    <s v=""/>
    <x v="198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7"/>
    <s v="ADEPHE"/>
    <x v="245"/>
    <s v="2025 Semaine 01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46"/>
    <s v="2025 Semaine 01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81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4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6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4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159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8"/>
    <s v=""/>
    <x v="18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75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239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ADEPHE"/>
    <x v="51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8"/>
    <s v="ADEPHE"/>
    <x v="14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8"/>
    <s v="ADEPHE"/>
    <x v="152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208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59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18"/>
    <x v="18"/>
    <x v="18"/>
    <n v="1"/>
    <n v="7.6"/>
    <s v="DE"/>
    <x v="0"/>
    <s v=""/>
    <x v="89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102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232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109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220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0"/>
    <s v=""/>
    <x v="223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68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87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4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49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89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09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115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1"/>
    <s v=""/>
    <x v="92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1"/>
    <s v=""/>
    <x v="93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4"/>
    <s v=""/>
    <x v="22"/>
    <s v="2025 Semaine 02"/>
    <s v=""/>
    <s v="Eurecia"/>
    <s v=""/>
    <s v=""/>
    <s v=""/>
    <s v=""/>
    <s v="202501"/>
    <s v="2025"/>
    <n v="1"/>
    <s v="Q1"/>
  </r>
  <r>
    <s v="RO"/>
    <x v="18"/>
    <x v="18"/>
    <x v="18"/>
    <n v="1"/>
    <n v="7.6"/>
    <s v="DE"/>
    <x v="4"/>
    <s v=""/>
    <x v="15"/>
    <s v="2025 Semaine 12"/>
    <s v=""/>
    <s v="Eurecia"/>
    <s v=""/>
    <s v=""/>
    <s v=""/>
    <s v=""/>
    <s v="202503"/>
    <s v="2025"/>
    <n v="3"/>
    <s v="Q1"/>
  </r>
  <r>
    <s v="RO"/>
    <x v="18"/>
    <x v="18"/>
    <x v="18"/>
    <n v="1"/>
    <n v="7.6"/>
    <s v="DE"/>
    <x v="7"/>
    <s v=""/>
    <x v="250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85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97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105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61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06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34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219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21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34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14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74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77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01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50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42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171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99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74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78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131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2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3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4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69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3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70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96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4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6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46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7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8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9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47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97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72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30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31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98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00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73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9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5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0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6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48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7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01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49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38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39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02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50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10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2"/>
    <s v="2025 Semaine 52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3"/>
    <s v="2025 Semaine 52"/>
    <s v=""/>
    <s v="Eurecia"/>
    <s v=""/>
    <s v=""/>
    <s v=""/>
    <s v=""/>
    <s v="202512"/>
    <s v="2025"/>
    <n v="12"/>
    <s v="Q4"/>
  </r>
  <r>
    <s v="RO"/>
    <x v="20"/>
    <x v="20"/>
    <x v="20"/>
    <n v="0.5"/>
    <n v="4"/>
    <s v="OP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0"/>
    <s v=""/>
    <x v="135"/>
    <s v="2025 Semaine 30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0"/>
    <s v=""/>
    <x v="111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0"/>
    <s v=""/>
    <x v="112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67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85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88"/>
    <s v="2025 Semaine 38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43"/>
    <s v="2025 Semaine 39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91"/>
    <s v="2025 Semaine 40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92"/>
    <s v="2025 Semaine 40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45"/>
    <s v="2025 Semaine 41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17"/>
    <s v="2025 Semaine 42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0"/>
    <s v=""/>
    <x v="175"/>
    <s v="2025 Semaine 49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5"/>
    <s v=""/>
    <x v="177"/>
    <s v="2025 Semaine 50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7"/>
    <s v=""/>
    <x v="140"/>
    <s v="2025 Semaine 38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80"/>
    <s v="2025 Semaine 30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164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181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222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84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38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68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86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225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41"/>
    <s v="2025 Semaine 39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13"/>
    <s v="2025 Semaine 40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8"/>
    <s v=""/>
    <x v="201"/>
    <s v="2025 Semaine 50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0.31"/>
    <n v="2.33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0.38"/>
    <n v="2.85"/>
    <s v="DE"/>
    <x v="0"/>
    <s v=""/>
    <x v="92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0.38"/>
    <n v="2.85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38"/>
    <n v="2.92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21"/>
    <x v="21"/>
    <x v="21"/>
    <n v="0.46"/>
    <n v="3.5"/>
    <s v="DE"/>
    <x v="0"/>
    <s v=""/>
    <x v="58"/>
    <s v="2025 Semaine 28"/>
    <s v=""/>
    <s v="Eurecia"/>
    <s v=""/>
    <s v=""/>
    <s v=""/>
    <s v=""/>
    <s v="202507"/>
    <s v="2025"/>
    <n v="7"/>
    <s v="Q3"/>
  </r>
  <r>
    <s v="RO"/>
    <x v="21"/>
    <x v="21"/>
    <x v="21"/>
    <n v="0.5"/>
    <n v="3.8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0.53"/>
    <n v="4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0.63"/>
    <n v="4.75"/>
    <s v="DE"/>
    <x v="0"/>
    <s v=""/>
    <x v="88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63"/>
    <n v="4.75"/>
    <s v="DE"/>
    <x v="8"/>
    <s v=""/>
    <x v="87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63"/>
    <n v="4.75"/>
    <s v="DE"/>
    <x v="8"/>
    <s v=""/>
    <x v="92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0.66"/>
    <n v="5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21"/>
    <x v="21"/>
    <x v="21"/>
    <n v="0.66"/>
    <n v="5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0.78949999999999998"/>
    <n v="6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0.89"/>
    <n v="6.75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"/>
    <n v="6.83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0.92"/>
    <n v="7"/>
    <s v="DE"/>
    <x v="0"/>
    <s v=""/>
    <x v="102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0.92110000000000003"/>
    <n v="7"/>
    <s v="DE"/>
    <x v="2"/>
    <s v="ADEPHE"/>
    <x v="24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0.92110000000000003"/>
    <n v="7"/>
    <s v="DE"/>
    <x v="2"/>
    <s v="ADEPHE"/>
    <x v="30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5399999999999996"/>
    <n v="7.2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6"/>
    <n v="7.25"/>
    <s v="DE"/>
    <x v="8"/>
    <s v=""/>
    <x v="250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0.96"/>
    <n v="7.25"/>
    <s v="DE"/>
    <x v="8"/>
    <s v=""/>
    <x v="174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0.97"/>
    <n v="7.35"/>
    <s v="DE"/>
    <x v="8"/>
    <s v=""/>
    <x v="166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0.98"/>
    <n v="7.38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0.98"/>
    <n v="7.5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0.98"/>
    <n v="7.5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0.9869"/>
    <n v="7.5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31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36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0.99"/>
    <n v="7.5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21"/>
    <x v="21"/>
    <x v="21"/>
    <n v="0.99"/>
    <n v="7.5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9"/>
    <n v="7.5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9"/>
    <n v="7.5"/>
    <s v="DE"/>
    <x v="8"/>
    <s v=""/>
    <x v="187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0.99"/>
    <n v="7.5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0.99"/>
    <n v="7.5"/>
    <s v="DE"/>
    <x v="8"/>
    <s v=""/>
    <x v="119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0.99780000000000002"/>
    <n v="7.58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1"/>
    <n v="7.58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"/>
    <n v="7.6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0"/>
    <s v=""/>
    <x v="103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0"/>
    <s v=""/>
    <x v="104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0"/>
    <s v=""/>
    <x v="93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0"/>
    <s v=""/>
    <x v="182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183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213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8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84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4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01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38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39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50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ADEPHE"/>
    <x v="63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ADEPHE"/>
    <x v="64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1"/>
    <n v="7.67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1.01"/>
    <n v="7.69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97000000000001"/>
    <n v="7.75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1.0197000000000001"/>
    <n v="7.75"/>
    <s v="DE"/>
    <x v="2"/>
    <s v="ADEPHE"/>
    <x v="32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1.0197000000000001"/>
    <n v="7.75"/>
    <s v="DE"/>
    <x v="2"/>
    <s v="ADEPHE"/>
    <x v="38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198"/>
    <n v="7.75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2"/>
    <n v="7.75"/>
    <s v="DE"/>
    <x v="0"/>
    <s v=""/>
    <x v="94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7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248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249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114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1.02"/>
    <n v="7.75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2"/>
    <n v="7.75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4"/>
    <n v="7.85"/>
    <s v="DE"/>
    <x v="8"/>
    <s v=""/>
    <x v="189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4"/>
    <n v="7.85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05"/>
    <n v="7.93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5"/>
    <n v="8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5"/>
    <n v="8.02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526"/>
    <n v="8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2"/>
    <s v="ADEPHE"/>
    <x v="22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2"/>
    <s v="ADEPHE"/>
    <x v="39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6"/>
    <n v="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7"/>
    <n v="8.1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7"/>
    <n v="8.1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8"/>
    <n v="8.17"/>
    <s v="DE"/>
    <x v="8"/>
    <s v=""/>
    <x v="173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900000000000001"/>
    <n v="8.25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900000000000001"/>
    <n v="8.25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900000000000001"/>
    <n v="8.25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1200000000000001"/>
    <n v="8.5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1200000000000001"/>
    <n v="8.5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1.1200000000000001"/>
    <n v="8.5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1599999999999999"/>
    <n v="8.75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1841999999999999"/>
    <n v="9"/>
    <s v="DE"/>
    <x v="2"/>
    <s v="ADEPHE"/>
    <x v="23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2"/>
    <n v="9.08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22"/>
    <n v="9.25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0"/>
    <s v=""/>
    <x v="238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9"/>
    <s v=""/>
    <x v="41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9"/>
    <s v=""/>
    <x v="57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9"/>
    <s v=""/>
    <x v="179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68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2"/>
    <x v="22"/>
    <x v="22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2"/>
    <x v="22"/>
    <x v="22"/>
    <n v="0.5"/>
    <n v="3.8"/>
    <s v="DE"/>
    <x v="8"/>
    <s v=""/>
    <x v="164"/>
    <s v="2025 Semaine 31"/>
    <s v=""/>
    <s v="Eurecia"/>
    <s v=""/>
    <s v=""/>
    <s v=""/>
    <s v=""/>
    <s v="202507"/>
    <s v="2025"/>
    <n v="7"/>
    <s v="Q3"/>
  </r>
  <r>
    <s v="RO"/>
    <x v="22"/>
    <x v="22"/>
    <x v="22"/>
    <n v="0.5"/>
    <n v="3.8"/>
    <s v="DE"/>
    <x v="8"/>
    <s v=""/>
    <x v="234"/>
    <s v="2025 Semaine 34"/>
    <s v=""/>
    <s v="Eurecia"/>
    <s v=""/>
    <s v=""/>
    <s v=""/>
    <s v=""/>
    <s v="202508"/>
    <s v="2025"/>
    <n v="8"/>
    <s v="Q3"/>
  </r>
  <r>
    <s v="RO"/>
    <x v="22"/>
    <x v="22"/>
    <x v="22"/>
    <n v="0.5"/>
    <n v="3.8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238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ADEPHE"/>
    <x v="101"/>
    <s v="2025 Semaine 16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208"/>
    <s v="2025 Semaine 16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61"/>
    <s v="2025 Semaine 17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62"/>
    <s v="2025 Semaine 17"/>
    <s v=""/>
    <s v="Eurecia"/>
    <s v="DE"/>
    <s v="2.5"/>
    <s v="M24"/>
    <s v=""/>
    <s v="202504"/>
    <s v="2025"/>
    <n v="4"/>
    <s v="Q2"/>
  </r>
  <r>
    <s v="RO"/>
    <x v="22"/>
    <x v="22"/>
    <x v="22"/>
    <n v="0.7"/>
    <n v="5.3"/>
    <s v="DE"/>
    <x v="8"/>
    <s v="ADEPHE"/>
    <x v="9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9"/>
    <s v=""/>
    <x v="245"/>
    <s v="2025 Semaine 01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46"/>
    <s v="2025 Semaine 01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1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2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3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4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5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1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2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3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4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5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6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7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8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9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0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40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2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3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98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5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6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7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8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9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0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1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2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3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4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5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1"/>
    <n v="7.6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22"/>
    <x v="22"/>
    <x v="22"/>
    <n v="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2"/>
    <x v="22"/>
    <x v="22"/>
    <n v="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2"/>
    <x v="22"/>
    <x v="22"/>
    <n v="1"/>
    <n v="7.6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2"/>
    <x v="22"/>
    <x v="22"/>
    <n v="1"/>
    <n v="7.6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2"/>
    <x v="22"/>
    <x v="22"/>
    <n v="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2"/>
    <x v="22"/>
    <x v="22"/>
    <n v="1"/>
    <n v="7.6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2"/>
    <x v="22"/>
    <x v="22"/>
    <n v="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1"/>
    <n v="7.6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2"/>
    <x v="22"/>
    <x v="22"/>
    <n v="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2"/>
    <x v="22"/>
    <x v="22"/>
    <n v="1"/>
    <n v="7.6"/>
    <s v="DE"/>
    <x v="8"/>
    <s v="ADEPHE"/>
    <x v="7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8"/>
    <s v="ADEPHE"/>
    <x v="8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8"/>
    <s v="ADEPHE"/>
    <x v="64"/>
    <s v="2025 Semaine 18"/>
    <s v=""/>
    <s v="Eurecia"/>
    <s v="DE"/>
    <s v="2.5"/>
    <s v="M24"/>
    <s v=""/>
    <s v="202504"/>
    <s v="2025"/>
    <n v="4"/>
    <s v="Q2"/>
  </r>
  <r>
    <s v="RO"/>
    <x v="22"/>
    <x v="22"/>
    <x v="22"/>
    <n v="1.05"/>
    <n v="8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1299999999999999"/>
    <n v="8.6"/>
    <s v="DE"/>
    <x v="8"/>
    <s v="ADEPHE"/>
    <x v="6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.29"/>
    <n v="9.8000000000000007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1"/>
    <n v="10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2"/>
    <n v="10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2"/>
    <n v="10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"/>
    <s v="2025 Semaine 12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0"/>
    <s v=""/>
    <x v="151"/>
    <s v="2025 Semaine 14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207"/>
    <s v="2025 Semaine 15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155"/>
    <s v="2025 Semaine 16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75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0"/>
    <s v=""/>
    <x v="77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0"/>
    <s v=""/>
    <x v="156"/>
    <s v="2025 Semaine 24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1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2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4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05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62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35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218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112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86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22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91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92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4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7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22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30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75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76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49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78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50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BPIINO"/>
    <x v="41"/>
    <s v="2025 Semaine 06"/>
    <s v=""/>
    <s v="Eurecia"/>
    <s v=""/>
    <s v="WP1"/>
    <s v="M18"/>
    <s v=""/>
    <s v="202502"/>
    <s v="2025"/>
    <n v="2"/>
    <s v="Q1"/>
  </r>
  <r>
    <s v="RO"/>
    <x v="23"/>
    <x v="23"/>
    <x v="23"/>
    <n v="0.5"/>
    <n v="3.8"/>
    <s v="DE"/>
    <x v="0"/>
    <s v="BPIINO"/>
    <x v="54"/>
    <s v="2025 Semaine 09"/>
    <s v=""/>
    <s v="Eurecia"/>
    <s v=""/>
    <s v="WP1"/>
    <s v="M18"/>
    <s v=""/>
    <s v="202502"/>
    <s v="2025"/>
    <n v="2"/>
    <s v="Q1"/>
  </r>
  <r>
    <s v="RO"/>
    <x v="23"/>
    <x v="23"/>
    <x v="23"/>
    <n v="0.5"/>
    <n v="3.8"/>
    <s v="DE"/>
    <x v="1"/>
    <s v=""/>
    <x v="32"/>
    <s v="2025 Semaine 04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131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242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243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4"/>
    <s v=""/>
    <x v="246"/>
    <s v="2025 Semaine 01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21"/>
    <s v="2025 Semaine 02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36"/>
    <s v="2025 Semaine 05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15"/>
    <s v="2025 Semaine 12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4"/>
    <s v=""/>
    <x v="17"/>
    <s v="2025 Semaine 13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4"/>
    <s v=""/>
    <x v="64"/>
    <s v="2025 Semaine 18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7"/>
    <s v=""/>
    <x v="66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2"/>
    <s v="ADEPHE"/>
    <x v="21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24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31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55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212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69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2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3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96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62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83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137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4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5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8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9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35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9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175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30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42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43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ADEPHE"/>
    <x v="40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56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57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2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4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5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12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203"/>
    <s v="2025 Semaine 14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154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36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155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101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11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08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3"/>
    <x v="23"/>
    <x v="23"/>
    <n v="1"/>
    <n v="7.6"/>
    <s v="DE"/>
    <x v="0"/>
    <s v=""/>
    <x v="18"/>
    <s v="2025 Semaine 13"/>
    <s v=""/>
    <s v="Eurecia"/>
    <s v=""/>
    <s v=""/>
    <s v=""/>
    <s v=""/>
    <s v="202503"/>
    <s v="2025"/>
    <n v="3"/>
    <s v="Q1"/>
  </r>
  <r>
    <s v="RO"/>
    <x v="23"/>
    <x v="23"/>
    <x v="23"/>
    <n v="1"/>
    <n v="7.6"/>
    <s v="DE"/>
    <x v="0"/>
    <s v=""/>
    <x v="74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0"/>
    <s v=""/>
    <x v="97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1"/>
    <n v="7.6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17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21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88"/>
    <s v="2025 Semaine 38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89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0"/>
    <s v=""/>
    <x v="201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0"/>
    <s v=""/>
    <x v="244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0"/>
    <s v="BPIINO"/>
    <x v="51"/>
    <s v="2025 Semaine 08"/>
    <s v=""/>
    <s v="Eurecia"/>
    <s v=""/>
    <s v="WP1"/>
    <s v="M18"/>
    <s v=""/>
    <s v="202502"/>
    <s v="2025"/>
    <n v="2"/>
    <s v="Q1"/>
  </r>
  <r>
    <s v="RO"/>
    <x v="23"/>
    <x v="23"/>
    <x v="23"/>
    <n v="1"/>
    <n v="7.6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1"/>
    <n v="7.6"/>
    <s v="DE"/>
    <x v="2"/>
    <s v="ADEPHE"/>
    <x v="22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52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8"/>
    <s v=""/>
    <x v="205"/>
    <s v="2025 Semaine 18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0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8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161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34"/>
    <s v="2025 Semaine 29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82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13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20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138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8"/>
    <s v=""/>
    <x v="177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8"/>
    <s v="ADEPHE"/>
    <x v="6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7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8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9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"/>
    <x v="205"/>
    <s v="2025 Semaine 18"/>
    <s v=""/>
    <s v="Eurecia"/>
    <s v=""/>
    <s v=""/>
    <s v=""/>
    <s v=""/>
    <s v="202505"/>
    <s v="2025"/>
    <n v="5"/>
    <s v="Q2"/>
  </r>
  <r>
    <s v="RO"/>
    <x v="24"/>
    <x v="24"/>
    <x v="24"/>
    <n v="1"/>
    <n v="5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5"/>
    <s v="DE"/>
    <x v="7"/>
    <s v=""/>
    <x v="156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5"/>
    <s v="DE"/>
    <x v="7"/>
    <s v=""/>
    <x v="94"/>
    <s v="2025 Semaine 25"/>
    <s v=""/>
    <s v="Eurecia"/>
    <s v=""/>
    <s v=""/>
    <s v=""/>
    <s v=""/>
    <s v="202506"/>
    <s v="2025"/>
    <n v="6"/>
    <s v="Q2"/>
  </r>
  <r>
    <s v="RO"/>
    <x v="24"/>
    <x v="24"/>
    <x v="24"/>
    <n v="1"/>
    <n v="5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5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5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5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4"/>
    <x v="24"/>
    <x v="24"/>
    <n v="1"/>
    <n v="5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5"/>
    <s v="DE"/>
    <x v="7"/>
    <s v="ADEPHE"/>
    <x v="62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"/>
    <x v="69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88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89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93"/>
    <s v="2025 Semaine 25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95"/>
    <s v="2025 Semaine 26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4"/>
    <s v="2025 Semaine 18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5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0.51539999999999997"/>
    <n v="3.92"/>
    <s v="DE"/>
    <x v="2"/>
    <s v="ADEPHE"/>
    <x v="0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52629999999999999"/>
    <n v="4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59"/>
    <n v="4.5"/>
    <s v="DE"/>
    <x v="7"/>
    <s v=""/>
    <x v="149"/>
    <s v="2025 Semaine 50"/>
    <s v=""/>
    <s v="Eurecia"/>
    <s v=""/>
    <s v=""/>
    <s v=""/>
    <s v=""/>
    <s v="202512"/>
    <s v="2025"/>
    <n v="12"/>
    <s v="Q4"/>
  </r>
  <r>
    <s v="RO"/>
    <x v="25"/>
    <x v="14"/>
    <x v="25"/>
    <n v="0.83"/>
    <n v="6.27"/>
    <s v="DE"/>
    <x v="8"/>
    <s v=""/>
    <x v="218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0.91010000000000002"/>
    <n v="6.92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2100000000000004"/>
    <n v="7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0.95389999999999997"/>
    <n v="7.25"/>
    <s v="DE"/>
    <x v="2"/>
    <s v="ADEPHE"/>
    <x v="30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5399999999999996"/>
    <n v="7.2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0.96489999999999998"/>
    <n v="7.33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5"/>
    <x v="14"/>
    <x v="25"/>
    <n v="0.96489999999999998"/>
    <n v="7.33"/>
    <s v="DE"/>
    <x v="2"/>
    <s v="ADEPHE"/>
    <x v="36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6499999999999997"/>
    <n v="7.34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1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2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2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8680000000000001"/>
    <n v="7.5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8680000000000001"/>
    <n v="7.5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9780000000000002"/>
    <n v="7.58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8"/>
    <s v=""/>
    <x v="215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"/>
    <n v="7.6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.0087999999999999"/>
    <n v="7.67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25"/>
    <x v="14"/>
    <x v="25"/>
    <n v="1.0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0"/>
    <s v=""/>
    <x v="142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93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74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5"/>
    <s v=""/>
    <x v="178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5"/>
    <s v=""/>
    <x v="150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"/>
    <x v="69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0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2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4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0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1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4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5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6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7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9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2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3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4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6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7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7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02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8"/>
    <s v="2025 Semaine 27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9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60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03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233"/>
    <s v="2025 Semaine 31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2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3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37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13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14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0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1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4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6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7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9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8"/>
    <s v="ADEPHE"/>
    <x v="62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3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4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97000000000001"/>
    <n v="7.75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197000000000001"/>
    <n v="7.7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04"/>
    <n v="7.85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0416000000000001"/>
    <n v="7.92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1.0417000000000001"/>
    <n v="7.92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526"/>
    <n v="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526"/>
    <n v="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0526"/>
    <n v="8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1399999999999999"/>
    <n v="8.6"/>
    <s v="DE"/>
    <x v="8"/>
    <s v=""/>
    <x v="217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.1399999999999999"/>
    <n v="8.6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1399999999999999"/>
    <n v="8.6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2"/>
    <n v="9.1"/>
    <s v="DE"/>
    <x v="0"/>
    <s v=""/>
    <x v="177"/>
    <s v="2025 Semaine 50"/>
    <s v=""/>
    <s v="Eurecia"/>
    <s v=""/>
    <s v=""/>
    <s v=""/>
    <s v=""/>
    <s v="202512"/>
    <s v="2025"/>
    <n v="12"/>
    <s v="Q4"/>
  </r>
  <r>
    <s v="RO"/>
    <x v="25"/>
    <x v="14"/>
    <x v="25"/>
    <n v="1.26"/>
    <n v="9.5500000000000007"/>
    <s v="DE"/>
    <x v="0"/>
    <s v=""/>
    <x v="201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0.5"/>
    <n v="3.8"/>
    <s v="RI"/>
    <x v="5"/>
    <s v="ADEPHE"/>
    <x v="9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12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99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ADEPHE"/>
    <x v="154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ADEPHE"/>
    <x v="207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7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0.5"/>
    <n v="3.8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26"/>
    <x v="25"/>
    <x v="26"/>
    <n v="0.5"/>
    <n v="3.8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6"/>
    <x v="25"/>
    <x v="26"/>
    <n v="0.5"/>
    <n v="3.8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5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0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203"/>
    <s v="2025 Semaine 14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51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ADEPHE"/>
    <x v="246"/>
    <s v="2025 Semaine 01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01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4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.02"/>
    <n v="7.72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.05"/>
    <n v="8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6"/>
    <x v="25"/>
    <x v="26"/>
    <n v="1.26"/>
    <n v="9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6"/>
    <x v="25"/>
    <x v="26"/>
    <n v="1.26"/>
    <n v="9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26"/>
    <n v="9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26"/>
    <n v="9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31"/>
    <n v="10"/>
    <s v="RI"/>
    <x v="8"/>
    <s v="ADEPHE"/>
    <x v="60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1"/>
    <n v="10"/>
    <s v="RI"/>
    <x v="8"/>
    <s v="ADEPHE"/>
    <x v="61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2"/>
    <n v="10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ADEPHE"/>
    <x v="59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2"/>
    <n v="10"/>
    <s v="RI"/>
    <x v="8"/>
    <s v="ADEPHE"/>
    <x v="62"/>
    <s v="2025 Semaine 17"/>
    <s v=""/>
    <s v="Eurecia"/>
    <s v="RI"/>
    <s v="1.5"/>
    <s v="M24"/>
    <s v=""/>
    <s v="202504"/>
    <s v="2025"/>
    <n v="4"/>
    <s v="Q2"/>
  </r>
  <r>
    <s v="TO"/>
    <x v="27"/>
    <x v="26"/>
    <x v="27"/>
    <n v="0.03"/>
    <n v="0.2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0.39"/>
    <n v="3"/>
    <s v="RI"/>
    <x v="5"/>
    <s v="ADEPHE"/>
    <x v="9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0.5"/>
    <n v="3.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ADEPHE"/>
    <x v="152"/>
    <s v="2025 Semaine 14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ADEPHE"/>
    <x v="154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ADEPHE"/>
    <x v="207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45"/>
    <s v="2025 Semaine 07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3"/>
    <s v=""/>
    <x v="78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0.5"/>
    <n v="3.8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"/>
    <x v="244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20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27"/>
    <x v="26"/>
    <x v="27"/>
    <n v="0.60529999999999995"/>
    <n v="4.599999999999999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0.61"/>
    <n v="4.599999999999999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0.7"/>
    <n v="5.3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0.91"/>
    <n v="6.9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5"/>
    <s v="ADEPHE"/>
    <x v="1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2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0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4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42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43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2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179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27"/>
    <x v="26"/>
    <x v="27"/>
    <n v="1.06"/>
    <n v="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22"/>
    <n v="9.3000000000000007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.29"/>
    <n v="9.8000000000000007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1"/>
    <n v="10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1"/>
    <n v="10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158000000000001"/>
    <n v="10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.32"/>
    <n v="10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2"/>
    <n v="10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2"/>
    <n v="10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2"/>
    <n v="10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2"/>
    <n v="10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8"/>
    <x v="6"/>
    <x v="28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8"/>
    <x v="6"/>
    <x v="28"/>
    <n v="0.5"/>
    <n v="3.8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28"/>
    <x v="6"/>
    <x v="28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8"/>
    <x v="6"/>
    <x v="28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8"/>
    <x v="6"/>
    <x v="28"/>
    <n v="0.5"/>
    <n v="3.8"/>
    <s v="RI"/>
    <x v="3"/>
    <s v=""/>
    <x v="27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9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9"/>
    <s v="2025 Semaine 03"/>
    <s v="EDP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0"/>
    <s v="2025 Semaine 03"/>
    <s v="EDP (suite)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3"/>
    <s v="2025 Semaine 04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3"/>
    <s v="2025 Semaine 04"/>
    <s v="Medecine du travail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5"/>
    <s v="2025 Semaine 04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0"/>
    <s v="2025 Semaine 05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40"/>
    <s v="2025 Semaine 06"/>
    <s v=""/>
    <s v="Eurecia"/>
    <s v=""/>
    <s v=""/>
    <s v=""/>
    <s v=""/>
    <s v="202502"/>
    <s v="2025"/>
    <n v="2"/>
    <s v="Q1"/>
  </r>
  <r>
    <s v="TO"/>
    <x v="28"/>
    <x v="6"/>
    <x v="28"/>
    <n v="0.5"/>
    <n v="3.8"/>
    <s v="RI"/>
    <x v="3"/>
    <s v=""/>
    <x v="8"/>
    <s v="2025 Semaine 11"/>
    <s v=""/>
    <s v="Eurecia"/>
    <s v=""/>
    <s v=""/>
    <s v=""/>
    <s v=""/>
    <s v="202503"/>
    <s v="2025"/>
    <n v="3"/>
    <s v="Q1"/>
  </r>
  <r>
    <s v="TO"/>
    <x v="28"/>
    <x v="6"/>
    <x v="28"/>
    <n v="0.5"/>
    <n v="3.8"/>
    <s v="RI"/>
    <x v="3"/>
    <s v=""/>
    <x v="13"/>
    <s v="2025 Semaine 12"/>
    <s v=""/>
    <s v="Eurecia"/>
    <s v=""/>
    <s v=""/>
    <s v=""/>
    <s v=""/>
    <s v="202503"/>
    <s v="2025"/>
    <n v="3"/>
    <s v="Q1"/>
  </r>
  <r>
    <s v="TO"/>
    <x v="28"/>
    <x v="6"/>
    <x v="28"/>
    <n v="0.5"/>
    <n v="3.8"/>
    <s v="RI"/>
    <x v="3"/>
    <s v=""/>
    <x v="155"/>
    <s v="2025 Semaine 16"/>
    <s v=""/>
    <s v="Eurecia"/>
    <s v=""/>
    <s v=""/>
    <s v=""/>
    <s v=""/>
    <s v="202504"/>
    <s v="2025"/>
    <n v="4"/>
    <s v="Q2"/>
  </r>
  <r>
    <s v="TO"/>
    <x v="28"/>
    <x v="6"/>
    <x v="28"/>
    <n v="0.5"/>
    <n v="3.8"/>
    <s v="RI"/>
    <x v="3"/>
    <s v=""/>
    <x v="80"/>
    <s v="2025 Semaine 22"/>
    <s v=""/>
    <s v="Eurecia"/>
    <s v=""/>
    <s v=""/>
    <s v=""/>
    <s v=""/>
    <s v="202505"/>
    <s v="2025"/>
    <n v="5"/>
    <s v="Q2"/>
  </r>
  <r>
    <s v="TO"/>
    <x v="28"/>
    <x v="6"/>
    <x v="28"/>
    <n v="0.5"/>
    <n v="3.8"/>
    <s v="RI"/>
    <x v="3"/>
    <s v=""/>
    <x v="84"/>
    <s v="2025 Semaine 23"/>
    <s v=""/>
    <s v="Eurecia"/>
    <s v=""/>
    <s v=""/>
    <s v=""/>
    <s v=""/>
    <s v="202506"/>
    <s v="2025"/>
    <n v="6"/>
    <s v="Q2"/>
  </r>
  <r>
    <s v="TO"/>
    <x v="28"/>
    <x v="6"/>
    <x v="28"/>
    <n v="0.5"/>
    <n v="3.8"/>
    <s v="RI"/>
    <x v="3"/>
    <s v=""/>
    <x v="97"/>
    <s v="2025 Semaine 26"/>
    <s v=""/>
    <s v="Eurecia"/>
    <s v=""/>
    <s v=""/>
    <s v=""/>
    <s v=""/>
    <s v="202506"/>
    <s v="2025"/>
    <n v="6"/>
    <s v="Q2"/>
  </r>
  <r>
    <s v="TO"/>
    <x v="28"/>
    <x v="6"/>
    <x v="28"/>
    <n v="0.5"/>
    <n v="3.8"/>
    <s v="RI"/>
    <x v="3"/>
    <s v=""/>
    <x v="58"/>
    <s v="2025 Semaine 28"/>
    <s v=""/>
    <s v="Eurecia"/>
    <s v=""/>
    <s v=""/>
    <s v=""/>
    <s v=""/>
    <s v="202507"/>
    <s v="2025"/>
    <n v="7"/>
    <s v="Q3"/>
  </r>
  <r>
    <s v="TO"/>
    <x v="28"/>
    <x v="6"/>
    <x v="28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28"/>
    <x v="6"/>
    <x v="28"/>
    <n v="0.5"/>
    <n v="3.8"/>
    <s v="RI"/>
    <x v="3"/>
    <s v=""/>
    <x v="224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2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3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5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6"/>
    <s v="2025 Semaine 03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1"/>
    <s v="2025 Semaine 04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2"/>
    <s v="2025 Semaine 04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7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8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9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2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3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4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6"/>
    <s v="2025 Semaine 07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8"/>
    <s v="2025 Semaine 07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9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0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2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3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1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3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4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6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7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9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0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1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5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6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8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9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0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03"/>
    <s v="2025 Semaine 14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99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52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6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53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00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36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7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4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01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11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8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8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212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4"/>
    <s v="2025 Semaine 21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5"/>
    <s v="2025 Semaine 21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9"/>
    <s v="2025 Semaine 22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81"/>
    <s v="2025 Semaine 22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3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6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7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8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9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6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0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1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2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4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5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6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02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8"/>
    <s v="2025 Semaine 27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9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4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5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232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1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8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5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6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4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10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11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233"/>
    <s v="2025 Semaine 31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22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23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38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5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6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7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8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39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225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8"/>
    <s v="2025 Semaine 38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40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212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81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237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21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218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234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14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93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ADEPHE"/>
    <x v="1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52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ADEPHE"/>
    <x v="206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29"/>
    <x v="27"/>
    <x v="29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ADEPHE"/>
    <x v="246"/>
    <s v="2025 Semaine 01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1"/>
    <s v="2025 Semaine 04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0.65"/>
    <n v="5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0.79"/>
    <n v="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ADEPHE"/>
    <x v="2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5"/>
    <s v="ADEPHE"/>
    <x v="151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5"/>
    <s v="ADEPHE"/>
    <x v="100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ADEPHE"/>
    <x v="245"/>
    <s v="2025 Semaine 01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49"/>
    <s v="2025 Semaine 08"/>
    <s v=""/>
    <s v="Eurecia"/>
    <s v="RI"/>
    <s v="1.5"/>
    <s v="M24"/>
    <s v=""/>
    <s v="202502"/>
    <s v="2025"/>
    <n v="2"/>
    <s v="Q1"/>
  </r>
  <r>
    <s v="TO"/>
    <x v="29"/>
    <x v="27"/>
    <x v="29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1.18"/>
    <n v="9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1.58"/>
    <n v="12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0.5"/>
    <n v="3.8"/>
    <s v="RI"/>
    <x v="0"/>
    <s v=""/>
    <x v="14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0"/>
    <s v=""/>
    <x v="177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5"/>
    <s v="ADEPHE"/>
    <x v="5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0.5"/>
    <n v="3.8"/>
    <s v="RI"/>
    <x v="5"/>
    <s v="ADEPHE"/>
    <x v="208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30"/>
    <x v="28"/>
    <x v="30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30"/>
    <x v="28"/>
    <x v="30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87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0.5"/>
    <n v="3.8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0.5"/>
    <n v="3.8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0.5"/>
    <n v="3.8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5"/>
    <s v=""/>
    <x v="227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12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20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5"/>
    <s v="ADEPHE"/>
    <x v="155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3"/>
    <s v=""/>
    <x v="10"/>
    <s v="2025 Semaine 11"/>
    <s v=""/>
    <s v="Eurecia"/>
    <s v=""/>
    <s v=""/>
    <s v=""/>
    <s v=""/>
    <s v="202503"/>
    <s v="2025"/>
    <n v="3"/>
    <s v="Q1"/>
  </r>
  <r>
    <s v="TO"/>
    <x v="30"/>
    <x v="28"/>
    <x v="30"/>
    <n v="1"/>
    <n v="7.6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0"/>
    <x v="28"/>
    <x v="30"/>
    <n v="1"/>
    <n v="7.6"/>
    <s v="RI"/>
    <x v="3"/>
    <s v=""/>
    <x v="207"/>
    <s v="2025 Semaine 15"/>
    <s v=""/>
    <s v="Eurecia"/>
    <s v=""/>
    <s v=""/>
    <s v=""/>
    <s v=""/>
    <s v="202504"/>
    <s v="2025"/>
    <n v="4"/>
    <s v="Q2"/>
  </r>
  <r>
    <s v="TO"/>
    <x v="30"/>
    <x v="28"/>
    <x v="30"/>
    <n v="1"/>
    <n v="7.6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0"/>
    <x v="28"/>
    <x v="30"/>
    <n v="1"/>
    <n v="7.6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61"/>
    <s v="2025 Semaine 17"/>
    <s v=""/>
    <s v="Eurecia"/>
    <s v="RI"/>
    <s v="1.5"/>
    <s v="M24"/>
    <s v=""/>
    <s v="202504"/>
    <s v="2025"/>
    <n v="4"/>
    <s v="Q2"/>
  </r>
  <r>
    <s v="TO"/>
    <x v="31"/>
    <x v="29"/>
    <x v="31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1"/>
    <x v="29"/>
    <x v="31"/>
    <n v="0.5"/>
    <n v="3.8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0.5"/>
    <n v="3.8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0.5"/>
    <n v="3.8"/>
    <s v="RI"/>
    <x v="8"/>
    <s v="ADEPHE"/>
    <x v="246"/>
    <s v="2025 Semaine 01"/>
    <s v=""/>
    <s v="Eurecia"/>
    <s v="RI"/>
    <s v="1.3"/>
    <s v="M24"/>
    <s v=""/>
    <s v="202501"/>
    <s v="2025"/>
    <n v="1"/>
    <s v="Q1"/>
  </r>
  <r>
    <s v="TO"/>
    <x v="31"/>
    <x v="29"/>
    <x v="31"/>
    <n v="0.67"/>
    <n v="5.099999999999999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ADEPHE"/>
    <x v="245"/>
    <s v="2025 Semaine 01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2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5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6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7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2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3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5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6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8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0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40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2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3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9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1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2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5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6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7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179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1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6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7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9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03"/>
    <s v="2025 Semaine 14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51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99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2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6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36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4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5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.31"/>
    <n v="10"/>
    <s v="RI"/>
    <x v="8"/>
    <s v="ADEPHE"/>
    <x v="59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0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1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2"/>
    <s v="2025 Semaine 17"/>
    <s v=""/>
    <s v="Eurecia"/>
    <s v="RI"/>
    <s v="2.3"/>
    <s v="M24"/>
    <s v=""/>
    <s v="202504"/>
    <s v="2025"/>
    <n v="4"/>
    <s v="Q2"/>
  </r>
  <r>
    <s v="TO"/>
    <x v="32"/>
    <x v="30"/>
    <x v="32"/>
    <n v="0.5"/>
    <n v="3.8"/>
    <s v="RI"/>
    <x v="0"/>
    <s v=""/>
    <x v="204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0"/>
    <s v=""/>
    <x v="77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0"/>
    <s v=""/>
    <x v="79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0"/>
    <s v=""/>
    <x v="89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6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02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58"/>
    <s v="2025 Semaine 27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59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04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23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61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8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137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15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16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21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34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35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22"/>
    <s v="2025 Semaine 35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49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90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42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93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19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20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161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58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91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ADEPHE"/>
    <x v="8"/>
    <s v="2025 Semaine 11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11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32"/>
    <x v="30"/>
    <x v="32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2"/>
    <x v="30"/>
    <x v="32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32"/>
    <x v="30"/>
    <x v="32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2"/>
    <x v="30"/>
    <x v="32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32"/>
    <x v="30"/>
    <x v="32"/>
    <n v="0.5"/>
    <n v="3.8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32"/>
    <x v="30"/>
    <x v="32"/>
    <n v="0.5"/>
    <n v="3.8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6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8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9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42"/>
    <s v="2025 Semaine 06"/>
    <s v=""/>
    <s v="Eurecia"/>
    <s v=""/>
    <s v=""/>
    <s v=""/>
    <s v=""/>
    <s v="202502"/>
    <s v="2025"/>
    <n v="2"/>
    <s v="Q1"/>
  </r>
  <r>
    <s v="TO"/>
    <x v="32"/>
    <x v="30"/>
    <x v="32"/>
    <n v="0.5"/>
    <n v="3.8"/>
    <s v="RI"/>
    <x v="3"/>
    <s v=""/>
    <x v="52"/>
    <s v="2025 Semaine 08"/>
    <s v=""/>
    <s v="Eurecia"/>
    <s v=""/>
    <s v=""/>
    <s v=""/>
    <s v=""/>
    <s v="202502"/>
    <s v="2025"/>
    <n v="2"/>
    <s v="Q1"/>
  </r>
  <r>
    <s v="TO"/>
    <x v="32"/>
    <x v="30"/>
    <x v="32"/>
    <n v="0.5"/>
    <n v="3.8"/>
    <s v="RI"/>
    <x v="3"/>
    <s v=""/>
    <x v="4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6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16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20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152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206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153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8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35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82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16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17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22"/>
    <s v="2025 Semaine 35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122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6"/>
    <s v=""/>
    <x v="1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6"/>
    <s v=""/>
    <x v="6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6"/>
    <s v=""/>
    <x v="153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6"/>
    <s v=""/>
    <x v="72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6"/>
    <s v=""/>
    <x v="16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6"/>
    <s v="BPIINO"/>
    <x v="28"/>
    <s v="2025 Semaine 03"/>
    <s v=""/>
    <s v="Eurecia"/>
    <s v=""/>
    <s v="WP2"/>
    <s v="M18"/>
    <s v=""/>
    <s v="202501"/>
    <s v="2025"/>
    <n v="1"/>
    <s v="Q1"/>
  </r>
  <r>
    <s v="TO"/>
    <x v="32"/>
    <x v="30"/>
    <x v="32"/>
    <n v="0.5"/>
    <n v="3.8"/>
    <s v="RI"/>
    <x v="6"/>
    <s v="BPIINO"/>
    <x v="52"/>
    <s v="2025 Semaine 08"/>
    <s v=""/>
    <s v="Eurecia"/>
    <s v=""/>
    <s v="WP2"/>
    <s v="M18"/>
    <s v=""/>
    <s v="202502"/>
    <s v="2025"/>
    <n v="2"/>
    <s v="Q1"/>
  </r>
  <r>
    <s v="TO"/>
    <x v="32"/>
    <x v="30"/>
    <x v="32"/>
    <n v="0.5"/>
    <n v="3.8"/>
    <s v="RI"/>
    <x v="6"/>
    <s v="BPIINO"/>
    <x v="54"/>
    <s v="2025 Semaine 09"/>
    <s v=""/>
    <s v="Eurecia"/>
    <s v=""/>
    <s v="WP2"/>
    <s v="M18"/>
    <s v=""/>
    <s v="202502"/>
    <s v="2025"/>
    <n v="2"/>
    <s v="Q1"/>
  </r>
  <r>
    <s v="TO"/>
    <x v="32"/>
    <x v="30"/>
    <x v="32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249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54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2"/>
    <x v="30"/>
    <x v="32"/>
    <n v="0.59"/>
    <n v="4.5"/>
    <s v="RI"/>
    <x v="3"/>
    <s v=""/>
    <x v="83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72"/>
    <n v="5.5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1"/>
    <n v="3.8"/>
    <s v="RI"/>
    <x v="0"/>
    <s v=""/>
    <x v="155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3.8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32"/>
    <x v="30"/>
    <x v="32"/>
    <n v="1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2"/>
    <x v="30"/>
    <x v="32"/>
    <n v="1"/>
    <n v="3.8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2"/>
    <x v="30"/>
    <x v="32"/>
    <n v="1"/>
    <n v="3.8"/>
    <s v="RI"/>
    <x v="3"/>
    <s v=""/>
    <x v="25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27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35"/>
    <s v="2025 Semaine 04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32"/>
    <x v="30"/>
    <x v="32"/>
    <n v="1"/>
    <n v="3.8"/>
    <s v="RI"/>
    <x v="3"/>
    <s v=""/>
    <x v="179"/>
    <s v="2025 Semaine 09"/>
    <s v=""/>
    <s v="Eurecia"/>
    <s v=""/>
    <s v=""/>
    <s v=""/>
    <s v=""/>
    <s v="202502"/>
    <s v="2025"/>
    <n v="2"/>
    <s v="Q1"/>
  </r>
  <r>
    <s v="TO"/>
    <x v="32"/>
    <x v="30"/>
    <x v="32"/>
    <n v="1"/>
    <n v="3.8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7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1"/>
    <n v="3.8"/>
    <s v="RI"/>
    <x v="6"/>
    <s v="BPIINO"/>
    <x v="30"/>
    <s v="2025 Semaine 03"/>
    <s v=""/>
    <s v="Eurecia"/>
    <s v=""/>
    <s v="WP2"/>
    <s v="M18"/>
    <s v=""/>
    <s v="202501"/>
    <s v="2025"/>
    <n v="1"/>
    <s v="Q1"/>
  </r>
  <r>
    <s v="TO"/>
    <x v="32"/>
    <x v="30"/>
    <x v="32"/>
    <n v="1"/>
    <n v="3.8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0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1"/>
    <n v="3.8"/>
    <s v="RI"/>
    <x v="8"/>
    <s v="ADEPHE"/>
    <x v="55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1"/>
    <n v="3.8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1"/>
    <n v="3.8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1"/>
    <n v="3.8"/>
    <s v="RI"/>
    <x v="8"/>
    <s v="ADEPHE"/>
    <x v="59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4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250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0"/>
    <s v=""/>
    <x v="209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3"/>
    <s v=""/>
    <x v="23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29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33"/>
    <s v="2025 Semaine 04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32"/>
    <x v="30"/>
    <x v="32"/>
    <n v="1"/>
    <n v="7.6"/>
    <s v="RI"/>
    <x v="3"/>
    <s v=""/>
    <x v="56"/>
    <s v="2025 Semaine 09"/>
    <s v=""/>
    <s v="Eurecia"/>
    <s v=""/>
    <s v=""/>
    <s v=""/>
    <s v=""/>
    <s v="202502"/>
    <s v="2025"/>
    <n v="2"/>
    <s v="Q1"/>
  </r>
  <r>
    <s v="TO"/>
    <x v="32"/>
    <x v="30"/>
    <x v="32"/>
    <n v="1"/>
    <n v="7.6"/>
    <s v="RI"/>
    <x v="3"/>
    <s v=""/>
    <x v="3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9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99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3"/>
    <s v=""/>
    <x v="154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3"/>
    <s v=""/>
    <x v="88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1.1299999999999999"/>
    <n v="8.6"/>
    <s v="RI"/>
    <x v="1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83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6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6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2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6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8"/>
    <s v="2025 Semaine 27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03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5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23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8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9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6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64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8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1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5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6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92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44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16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55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3"/>
    <s v=""/>
    <x v="245"/>
    <s v="2025 Semaine 01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0"/>
    <s v="2025 Semaine 05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43"/>
    <s v="2025 Semaine 06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98"/>
    <s v="2025 Semaine 07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47"/>
    <s v="2025 Semaine 07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50"/>
    <s v="2025 Semaine 08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5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9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211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208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5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8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4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9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91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96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02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59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1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10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22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3"/>
    <s v=""/>
    <x v="138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3"/>
    <s v=""/>
    <x v="166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0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90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3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3"/>
    <s v=""/>
    <x v="229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3"/>
    <s v=""/>
    <x v="201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3"/>
    <s v=""/>
    <x v="21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"/>
    <s v="2025 Semaine 10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8"/>
    <s v="2025 Semaine 11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2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7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9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52"/>
    <s v="2025 Semaine 14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154"/>
    <s v="2025 Semaine 15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101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208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64"/>
    <s v="2025 Semaine 18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67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1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5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8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83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85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56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1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5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02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59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61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58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63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10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223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22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138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167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22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89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43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92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4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93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4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2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28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229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7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23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48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14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38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3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131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BPIINO"/>
    <x v="22"/>
    <s v="2025 Semaine 02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25"/>
    <s v="2025 Semaine 02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27"/>
    <s v="2025 Semaine 03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38"/>
    <s v="2025 Semaine 05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42"/>
    <s v="2025 Semaine 06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49"/>
    <s v="2025 Semaine 08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53"/>
    <s v="2025 Semaine 08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55"/>
    <s v="2025 Semaine 09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ADEPHE"/>
    <x v="245"/>
    <s v="2025 Semaine 01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46"/>
    <s v="2025 Semaine 01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0"/>
    <s v="2025 Semaine 03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41"/>
    <s v="2025 Semaine 06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98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203"/>
    <s v="2025 Semaine 14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1"/>
    <n v="7.6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1"/>
    <n v="7.6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6"/>
    <s v=""/>
    <x v="114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19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69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30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3"/>
    <x v="31"/>
    <x v="33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3"/>
    <x v="31"/>
    <x v="33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2697"/>
    <n v="2.049999999999999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2240000000000002"/>
    <n v="2.4500000000000002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3989999999999998"/>
    <n v="2.5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5089999999999999"/>
    <n v="2.67"/>
    <s v="RI"/>
    <x v="5"/>
    <s v="BPIINO"/>
    <x v="30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35089999999999999"/>
    <n v="2.67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36180000000000001"/>
    <n v="2.75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37280000000000002"/>
    <n v="2.83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38379999999999997"/>
    <n v="2.92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8379999999999997"/>
    <n v="2.92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38379999999999997"/>
    <n v="2.92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947"/>
    <n v="3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947"/>
    <n v="3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52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40570000000000001"/>
    <n v="3.0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7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41670000000000001"/>
    <n v="3.17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42759999999999998"/>
    <n v="3.25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2759999999999998"/>
    <n v="3.25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43859999999999999"/>
    <n v="3.33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43859999999999999"/>
    <n v="3.33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43859999999999999"/>
    <n v="3.33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4496"/>
    <n v="3.42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46050000000000002"/>
    <n v="3.5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48249999999999998"/>
    <n v="3.67"/>
    <s v="RI"/>
    <x v="5"/>
    <s v="BPIINO"/>
    <x v="45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55920000000000003"/>
    <n v="4.25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56999999999999995"/>
    <n v="4.37"/>
    <s v="RI"/>
    <x v="5"/>
    <s v=""/>
    <x v="102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57020000000000004"/>
    <n v="4.33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7020000000000004"/>
    <n v="4.33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7020000000000004"/>
    <n v="4.33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7999999999999996"/>
    <n v="4.42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0.58109999999999995"/>
    <n v="4.42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58109999999999995"/>
    <n v="4.42"/>
    <s v="RI"/>
    <x v="5"/>
    <s v="BPIINO"/>
    <x v="53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44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52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61399999999999999"/>
    <n v="4.67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1399999999999999"/>
    <n v="4.67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47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625"/>
    <n v="4.75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625"/>
    <n v="4.75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3600000000000001"/>
    <n v="4.83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63600000000000001"/>
    <n v="4.83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63600000000000001"/>
    <n v="4.83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64690000000000003"/>
    <n v="4.92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5790000000000004"/>
    <n v="5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81"/>
    <n v="6.17"/>
    <s v="RI"/>
    <x v="5"/>
    <s v=""/>
    <x v="126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0.89"/>
    <n v="6.75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0.89"/>
    <n v="6.75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0.89"/>
    <n v="6.75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0.89"/>
    <n v="6.75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0.89"/>
    <n v="6.75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"/>
    <n v="6.83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0.9"/>
    <n v="6.83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0.92"/>
    <n v="6.92"/>
    <s v="RI"/>
    <x v="5"/>
    <s v="ADEPHE"/>
    <x v="5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0.92"/>
    <n v="7"/>
    <s v="RI"/>
    <x v="5"/>
    <s v=""/>
    <x v="82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2"/>
    <n v="7"/>
    <s v="RI"/>
    <x v="5"/>
    <s v=""/>
    <x v="92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2"/>
    <n v="7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0.92"/>
    <n v="7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2"/>
    <n v="7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0.92"/>
    <n v="7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0.92"/>
    <n v="7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0.92"/>
    <n v="7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0.92"/>
    <n v="7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0.93"/>
    <n v="7"/>
    <s v="RI"/>
    <x v="5"/>
    <s v="ADEPHE"/>
    <x v="12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4"/>
    <n v="7.15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0.94"/>
    <n v="7.17"/>
    <s v="RI"/>
    <x v="5"/>
    <s v=""/>
    <x v="103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0.94"/>
    <n v="7.19"/>
    <s v="RI"/>
    <x v="5"/>
    <s v=""/>
    <x v="156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5"/>
    <n v="7.25"/>
    <s v="RI"/>
    <x v="5"/>
    <s v=""/>
    <x v="86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136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0.95"/>
    <n v="7.25"/>
    <s v="RI"/>
    <x v="5"/>
    <s v=""/>
    <x v="235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5"/>
    <n v="7.25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5"/>
    <n v="7.25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5"/>
    <n v="7.25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5"/>
    <n v="7.25"/>
    <s v="RI"/>
    <x v="5"/>
    <s v="ADEPHE"/>
    <x v="211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6"/>
    <n v="7.25"/>
    <s v="RI"/>
    <x v="5"/>
    <s v=""/>
    <x v="163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0.96"/>
    <n v="7.25"/>
    <s v="RI"/>
    <x v="5"/>
    <s v=""/>
    <x v="224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6"/>
    <n v="7.25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6"/>
    <n v="7.25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0.96"/>
    <n v="7.25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6"/>
    <n v="7.25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6"/>
    <n v="7.25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0.96"/>
    <n v="7.32"/>
    <s v="RI"/>
    <x v="5"/>
    <s v="ADEPHE"/>
    <x v="62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0.96"/>
    <n v="7.33"/>
    <s v="RI"/>
    <x v="5"/>
    <s v=""/>
    <x v="97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6"/>
    <n v="7.33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0.97"/>
    <n v="7.37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0.97"/>
    <n v="7.42"/>
    <s v="RI"/>
    <x v="5"/>
    <s v=""/>
    <x v="181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0.97"/>
    <n v="7.42"/>
    <s v="RI"/>
    <x v="5"/>
    <s v=""/>
    <x v="110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0.97"/>
    <n v="7.42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7"/>
    <n v="7.42"/>
    <s v="RI"/>
    <x v="5"/>
    <s v="ADEPHE"/>
    <x v="155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8"/>
    <n v="7.5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4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80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85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3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6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157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58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0.98"/>
    <n v="7.5"/>
    <s v="RI"/>
    <x v="5"/>
    <s v=""/>
    <x v="221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138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8"/>
    <n v="7.5"/>
    <s v="RI"/>
    <x v="5"/>
    <s v=""/>
    <x v="196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0.98"/>
    <n v="7.5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8"/>
    <n v="7.5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208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8"/>
    <n v="7.5"/>
    <s v="RI"/>
    <x v="5"/>
    <s v="ADEPHE"/>
    <x v="61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0.99"/>
    <n v="7.5"/>
    <s v="RI"/>
    <x v="5"/>
    <s v=""/>
    <x v="161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0.99"/>
    <n v="7.5"/>
    <s v="RI"/>
    <x v="5"/>
    <s v=""/>
    <x v="219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9"/>
    <n v="7.5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9"/>
    <n v="7.5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9"/>
    <n v="7.5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0.99"/>
    <n v="7.5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9"/>
    <n v="7.5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4"/>
    <x v="32"/>
    <x v="34"/>
    <n v="1"/>
    <n v="7.58"/>
    <s v="RI"/>
    <x v="5"/>
    <s v=""/>
    <x v="104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"/>
    <n v="7.58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4"/>
    <x v="32"/>
    <x v="34"/>
    <n v="1"/>
    <n v="7.6"/>
    <s v="RI"/>
    <x v="5"/>
    <s v=""/>
    <x v="140"/>
    <s v="2025 Semaine 38"/>
    <s v=""/>
    <s v="Eurecia"/>
    <s v=""/>
    <s v=""/>
    <s v=""/>
    <s v=""/>
    <s v="202509"/>
    <s v="2025"/>
    <n v="9"/>
    <s v="Q3"/>
  </r>
  <r>
    <s v="TO"/>
    <x v="34"/>
    <x v="32"/>
    <x v="34"/>
    <n v="1"/>
    <n v="7.6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"/>
    <s v="RI"/>
    <x v="5"/>
    <s v="ADEPHE"/>
    <x v="19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5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1"/>
    <n v="7.65"/>
    <s v="RI"/>
    <x v="5"/>
    <s v=""/>
    <x v="111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1"/>
    <n v="7.67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"/>
    <n v="7.67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1"/>
    <n v="7.6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1"/>
    <n v="7.67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1"/>
    <n v="7.7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83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158"/>
    <s v="2025 Semaine 27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159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60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232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80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09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220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1.02"/>
    <n v="7.75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1.02"/>
    <n v="7.75"/>
    <s v="RI"/>
    <x v="5"/>
    <s v=""/>
    <x v="166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43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1.02"/>
    <n v="7.75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2"/>
    <n v="7.75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ADEPHE"/>
    <x v="59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1.02"/>
    <n v="7.75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"/>
    <s v="RI"/>
    <x v="5"/>
    <s v=""/>
    <x v="81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1.03"/>
    <n v="7.83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1.03"/>
    <n v="7.83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1.03"/>
    <n v="7.83"/>
    <s v="RI"/>
    <x v="5"/>
    <s v="ADEPHE"/>
    <x v="236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3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4"/>
    <s v="RI"/>
    <x v="5"/>
    <s v="ADEPHE"/>
    <x v="60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1.04"/>
    <n v="7.92"/>
    <s v="RI"/>
    <x v="5"/>
    <s v=""/>
    <x v="164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1.05"/>
    <n v="7.91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5"/>
    <n v="7.99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.05"/>
    <n v="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1.05"/>
    <n v="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1.05"/>
    <n v="8"/>
    <s v="RI"/>
    <x v="5"/>
    <s v=""/>
    <x v="234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1.05"/>
    <n v="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5"/>
    <n v="8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1.06"/>
    <n v="8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1.06"/>
    <n v="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6"/>
    <n v="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.06"/>
    <n v="8.0500000000000007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1.07"/>
    <n v="8.08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7"/>
    <n v="8.0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.07"/>
    <n v="8.17"/>
    <s v="RI"/>
    <x v="5"/>
    <s v=""/>
    <x v="170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7"/>
    <n v="8.17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8"/>
    <n v="8.25"/>
    <s v="RI"/>
    <x v="5"/>
    <s v=""/>
    <x v="91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1.08"/>
    <n v="8.25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8"/>
    <n v="8.25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900000000000001"/>
    <n v="8.25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1.0900000000000001"/>
    <n v="8.25"/>
    <s v="RI"/>
    <x v="5"/>
    <s v=""/>
    <x v="165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1.0900000000000001"/>
    <n v="8.25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1.1100000000000001"/>
    <n v="8.5"/>
    <s v="RI"/>
    <x v="5"/>
    <s v=""/>
    <x v="108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1200000000000001"/>
    <n v="8.5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1.1200000000000001"/>
    <n v="8.5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1.1200000000000001"/>
    <n v="8.5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1.1200000000000001"/>
    <n v="8.5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35"/>
    <x v="33"/>
    <x v="35"/>
    <n v="0.46"/>
    <n v="3.5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5"/>
    <x v="33"/>
    <x v="35"/>
    <n v="0.5"/>
    <n v="3.8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1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3"/>
    <s v=""/>
    <x v="59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1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0.5"/>
    <n v="3.8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0.5"/>
    <n v="3.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0.66"/>
    <n v="5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74"/>
    <n v="5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0.76"/>
    <n v="5.78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0.79"/>
    <n v="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0.92"/>
    <n v="7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95399999999999996"/>
    <n v="7.25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6"/>
    <n v="7.25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0.98"/>
    <n v="7.5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0.98"/>
    <n v="7.5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0.98"/>
    <n v="7.5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0.98"/>
    <n v="7.5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5"/>
    <x v="33"/>
    <x v="35"/>
    <n v="0.98"/>
    <n v="7.5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0.9869"/>
    <n v="7.5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29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9"/>
    <n v="7.5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0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9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0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2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4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5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8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0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51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4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.0198"/>
    <n v="7.75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31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1.02"/>
    <n v="7.75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.05"/>
    <n v="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5"/>
    <n v="8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5"/>
    <n v="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1.05"/>
    <n v="8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1.05"/>
    <n v="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527"/>
    <n v="8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1.06"/>
    <n v="8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.06"/>
    <n v="8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8"/>
    <n v="8.17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.08"/>
    <n v="8.25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900000000000001"/>
    <n v="8.25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900000000000001"/>
    <n v="8.27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1100000000000001"/>
    <n v="8.5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1.18"/>
    <n v="8.92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39"/>
    <n v="3"/>
    <s v="RI"/>
    <x v="7"/>
    <s v="ADEPHE"/>
    <x v="100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0"/>
    <s v=""/>
    <x v="3"/>
    <s v="2025 Semaine 10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8"/>
    <s v="2025 Semaine 11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9"/>
    <s v="2025 Semaine 11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20"/>
    <s v="2025 Semaine 13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206"/>
    <s v="2025 Semaine 14"/>
    <s v=""/>
    <s v="Eurecia"/>
    <s v=""/>
    <s v=""/>
    <s v=""/>
    <s v=""/>
    <s v="202504"/>
    <s v="2025"/>
    <n v="4"/>
    <s v="Q2"/>
  </r>
  <r>
    <s v="TO"/>
    <x v="36"/>
    <x v="34"/>
    <x v="36"/>
    <n v="0.5"/>
    <n v="3.8"/>
    <s v="RI"/>
    <x v="0"/>
    <s v=""/>
    <x v="155"/>
    <s v="2025 Semaine 16"/>
    <s v=""/>
    <s v="Eurecia"/>
    <s v=""/>
    <s v=""/>
    <s v=""/>
    <s v=""/>
    <s v="202504"/>
    <s v="2025"/>
    <n v="4"/>
    <s v="Q2"/>
  </r>
  <r>
    <s v="TO"/>
    <x v="36"/>
    <x v="34"/>
    <x v="36"/>
    <n v="0.5"/>
    <n v="3.8"/>
    <s v="RI"/>
    <x v="0"/>
    <s v=""/>
    <x v="67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68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0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1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2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80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82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86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56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1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4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6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58"/>
    <s v="2025 Semaine 27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05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23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110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18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214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235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187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0"/>
    <s v=""/>
    <x v="188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0"/>
    <s v=""/>
    <x v="117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70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73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0"/>
    <s v=""/>
    <x v="175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176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201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132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1"/>
    <s v=""/>
    <x v="13"/>
    <s v="2025 Semaine 12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5"/>
    <s v=""/>
    <x v="205"/>
    <s v="2025 Semaine 18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212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6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33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1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08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6"/>
    <x v="34"/>
    <x v="36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7"/>
    <s v=""/>
    <x v="73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7"/>
    <s v=""/>
    <x v="79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7"/>
    <s v=""/>
    <x v="83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7"/>
    <s v="ADEPHE"/>
    <x v="56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7"/>
    <s v="ADEPHE"/>
    <x v="2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3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6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7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8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9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2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3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7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ADEPHE"/>
    <x v="31"/>
    <s v="2025 Semaine 04"/>
    <s v=""/>
    <s v="Eurecia"/>
    <s v="RI"/>
    <s v="2.3"/>
    <s v="M24"/>
    <s v=""/>
    <s v="202501"/>
    <s v="2025"/>
    <n v="1"/>
    <s v="Q1"/>
  </r>
  <r>
    <s v="TO"/>
    <x v="36"/>
    <x v="34"/>
    <x v="36"/>
    <n v="0.5"/>
    <n v="3.8"/>
    <s v="RI"/>
    <x v="8"/>
    <s v="ADEPHE"/>
    <x v="49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2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3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4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6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12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206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0.63"/>
    <n v="4.8"/>
    <s v="RI"/>
    <x v="0"/>
    <s v=""/>
    <x v="160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68"/>
    <n v="5.13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82"/>
    <n v="6.25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88"/>
    <n v="6.67"/>
    <s v="RI"/>
    <x v="0"/>
    <s v=""/>
    <x v="103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TO"/>
    <x v="36"/>
    <x v="34"/>
    <x v="36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TO"/>
    <x v="36"/>
    <x v="34"/>
    <x v="36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5"/>
    <s v=""/>
    <x v="85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7"/>
    <s v=""/>
    <x v="74"/>
    <s v="2025 Semaine 21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7"/>
    <s v="ADEPHE"/>
    <x v="55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1"/>
    <n v="7.6"/>
    <s v="RI"/>
    <x v="7"/>
    <s v="ADEPHE"/>
    <x v="16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7"/>
    <s v="ADEPHE"/>
    <x v="19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7"/>
    <s v="ADEPHE"/>
    <x v="236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ADEPHE"/>
    <x v="179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1.1299999999999999"/>
    <n v="8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1.1299999999999999"/>
    <n v="8.6"/>
    <s v="RI"/>
    <x v="7"/>
    <s v="ADEPHE"/>
    <x v="154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.2"/>
    <n v="9.1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.25"/>
    <n v="9.5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26"/>
    <n v="9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26"/>
    <n v="9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.27"/>
    <n v="9.6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32"/>
    <n v="10"/>
    <s v="RI"/>
    <x v="7"/>
    <s v="ADEPHE"/>
    <x v="207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.32"/>
    <n v="10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25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0.5"/>
    <n v="3.8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ADEPHE"/>
    <x v="19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1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5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7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2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52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3"/>
    <s v=""/>
    <x v="59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1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165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0.5"/>
    <n v="3.8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25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ADEPHE"/>
    <x v="50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0.71"/>
    <n v="5.37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0.74"/>
    <n v="5.6"/>
    <s v="RI"/>
    <x v="5"/>
    <s v=""/>
    <x v="144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0.98"/>
    <n v="7.43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45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3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240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ADEPHE"/>
    <x v="20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5"/>
    <s v="ADEPHE"/>
    <x v="206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5"/>
    <s v="ADEPHE"/>
    <x v="208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48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49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9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8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51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01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.02"/>
    <n v="7.75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1.05"/>
    <n v="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.05"/>
    <n v="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.07"/>
    <n v="8.17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.08"/>
    <n v="8.25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.1499999999999999"/>
    <n v="8.75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2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5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6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7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9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2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3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5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6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8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0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41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2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3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98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9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1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2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5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6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7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179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1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2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6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1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2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3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5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7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9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36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59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0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1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2"/>
    <s v="2025 Semaine 17"/>
    <s v=""/>
    <s v="Eurecia"/>
    <s v="RI"/>
    <s v="2.3"/>
    <s v="M24"/>
    <s v=""/>
    <s v="202504"/>
    <s v="2025"/>
    <n v="4"/>
    <s v="Q2"/>
  </r>
  <r>
    <s v="TO"/>
    <x v="39"/>
    <x v="36"/>
    <x v="39"/>
    <n v="1"/>
    <n v="7.6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224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38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0.5"/>
    <n v="3.8"/>
    <s v="RI"/>
    <x v="6"/>
    <s v=""/>
    <x v="15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0.5"/>
    <n v="3.8"/>
    <s v="RI"/>
    <x v="6"/>
    <s v=""/>
    <x v="65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0.5"/>
    <n v="3.8"/>
    <s v="RI"/>
    <x v="6"/>
    <s v=""/>
    <x v="95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0.5"/>
    <n v="3.8"/>
    <s v="RI"/>
    <x v="6"/>
    <s v=""/>
    <x v="239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0.5"/>
    <n v="3.8"/>
    <s v="RI"/>
    <x v="6"/>
    <s v="BPIINO"/>
    <x v="35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0.5"/>
    <n v="3.8"/>
    <s v="RI"/>
    <x v="6"/>
    <s v="BPIINO"/>
    <x v="38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0.5"/>
    <n v="3.8"/>
    <s v="RI"/>
    <x v="6"/>
    <s v="BPIINO"/>
    <x v="46"/>
    <s v="2025 Semaine 07"/>
    <s v=""/>
    <s v="Eurecia"/>
    <s v=""/>
    <s v="WP2"/>
    <s v="M18"/>
    <s v=""/>
    <s v="202502"/>
    <s v="2025"/>
    <n v="2"/>
    <s v="Q1"/>
  </r>
  <r>
    <s v="TO"/>
    <x v="40"/>
    <x v="37"/>
    <x v="40"/>
    <n v="0.5"/>
    <n v="3.8"/>
    <s v="RI"/>
    <x v="6"/>
    <s v="BPIINO"/>
    <x v="47"/>
    <s v="2025 Semaine 07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"/>
    <x v="1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2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3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4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5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1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2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3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4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6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7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8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9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20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52"/>
    <s v="2025 Semaine 14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6"/>
    <s v="2025 Semaine 14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3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00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4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36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7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4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5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01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11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8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59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0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1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2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3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4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9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0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1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2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3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4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5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6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7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8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9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0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1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2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3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4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5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6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7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8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9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6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0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1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2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3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4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6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7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7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02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8"/>
    <s v="2025 Semaine 27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9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0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3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4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5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232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1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2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58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3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6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7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34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80"/>
    <s v="2025 Semaine 30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4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81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10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11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233"/>
    <s v="2025 Semaine 31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2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3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37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3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4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5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6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7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8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9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0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1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34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35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2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3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4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4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38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8"/>
    <s v="2025 Semaine 38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0"/>
    <s v="2025 Semaine 38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1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89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90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2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3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91"/>
    <s v="2025 Semaine 40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13"/>
    <s v="2025 Semaine 40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14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209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2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4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5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5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3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6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7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8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9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0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1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4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5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2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69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3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70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6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4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5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6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6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7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8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6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47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8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9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47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7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1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2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30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31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8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00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4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9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5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30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6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48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7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01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49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02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8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50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10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31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BPIINO"/>
    <x v="23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4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5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6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7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8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9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0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1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2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3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4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6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7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9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0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40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1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2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3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4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9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0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1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2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3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4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5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6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7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179"/>
    <s v="2025 Semaine 09"/>
    <s v=""/>
    <s v="Eurecia"/>
    <s v=""/>
    <s v="WP2"/>
    <s v="M18"/>
    <s v=""/>
    <s v="202502"/>
    <s v="2025"/>
    <n v="2"/>
    <s v="Q1"/>
  </r>
  <r>
    <s v="TO"/>
    <x v="41"/>
    <x v="38"/>
    <x v="41"/>
    <n v="0.25"/>
    <n v="2"/>
    <s v="RI"/>
    <x v="5"/>
    <s v="BPIINO"/>
    <x v="51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25"/>
    <n v="2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41"/>
    <x v="38"/>
    <x v="41"/>
    <n v="0.25"/>
    <n v="2"/>
    <s v="RI"/>
    <x v="4"/>
    <s v=""/>
    <x v="11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25"/>
    <n v="2"/>
    <s v="RI"/>
    <x v="6"/>
    <s v="BPIINO"/>
    <x v="51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25"/>
    <n v="2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0"/>
    <s v="BPIINO"/>
    <x v="46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5"/>
    <s v="ADEPHE"/>
    <x v="203"/>
    <s v="2025 Semaine 14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5"/>
    <s v="BPIINO"/>
    <x v="28"/>
    <s v="2025 Semaine 03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5"/>
    <s v="BPIINO"/>
    <x v="47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4"/>
    <s v=""/>
    <x v="29"/>
    <s v="2025 Semaine 03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4"/>
    <s v=""/>
    <x v="34"/>
    <s v="2025 Semaine 04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4"/>
    <s v=""/>
    <x v="203"/>
    <s v="2025 Semaine 14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6"/>
    <s v=""/>
    <x v="14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6"/>
    <s v="BPIINO"/>
    <x v="23"/>
    <s v="2025 Semaine 02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6"/>
    <s v="BPIINO"/>
    <x v="28"/>
    <s v="2025 Semaine 03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6"/>
    <s v="BPIINO"/>
    <x v="47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6"/>
    <s v="BPIINO"/>
    <x v="53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7"/>
    <s v="ADEPHE"/>
    <x v="5"/>
    <s v="2025 Semaine 10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2"/>
    <s v="ADEPHE"/>
    <x v="24"/>
    <s v="2025 Semaine 02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2"/>
    <s v="ADEPHE"/>
    <x v="34"/>
    <s v="2025 Semaine 04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8"/>
    <s v="ADEPHE"/>
    <x v="53"/>
    <s v="2025 Semaine 08"/>
    <s v="travaillé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0.75"/>
    <n v="6"/>
    <s v="RI"/>
    <x v="7"/>
    <s v="ADEPHE"/>
    <x v="11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1"/>
    <n v="8"/>
    <s v="RI"/>
    <x v="0"/>
    <s v=""/>
    <x v="4"/>
    <s v="2025 Semaine 10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6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7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0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2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51"/>
    <s v="2025 Semaine 14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100"/>
    <s v="2025 Semaine 15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4"/>
    <s v="2025 Semaine 18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5"/>
    <s v="2025 Semaine 18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7"/>
    <s v="2025 Semaine 19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"/>
    <x v="72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"/>
    <x v="75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BPIINO"/>
    <x v="245"/>
    <s v="2025 Semaine 01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246"/>
    <s v="2025 Semaine 01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21"/>
    <s v="2025 Semaine 02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1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2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3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6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9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43"/>
    <s v="2025 Semaine 06"/>
    <s v=""/>
    <s v="Eurecia"/>
    <s v=""/>
    <s v="WP4"/>
    <s v="M18"/>
    <s v=""/>
    <s v="202502"/>
    <s v="2025"/>
    <n v="2"/>
    <s v="Q1"/>
  </r>
  <r>
    <s v="TO"/>
    <x v="41"/>
    <x v="38"/>
    <x v="41"/>
    <n v="1"/>
    <n v="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41"/>
    <x v="38"/>
    <x v="41"/>
    <n v="1"/>
    <n v="8"/>
    <s v="RI"/>
    <x v="3"/>
    <s v=""/>
    <x v="77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6"/>
    <s v=""/>
    <x v="99"/>
    <s v="2025 Semaine 14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6"/>
    <s v="BPIINO"/>
    <x v="38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7"/>
    <s v=""/>
    <x v="70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"/>
    <x v="79"/>
    <s v="2025 Semaine 22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"/>
    <x v="80"/>
    <s v="2025 Semaine 22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ADEPHE"/>
    <x v="152"/>
    <s v="2025 Semaine 14"/>
    <s v=""/>
    <s v="Eurecia"/>
    <s v="RI"/>
    <s v="1.5"/>
    <s v="M24"/>
    <s v=""/>
    <s v="202504"/>
    <s v="2025"/>
    <n v="4"/>
    <s v="Q2"/>
  </r>
  <r>
    <s v="TO"/>
    <x v="41"/>
    <x v="38"/>
    <x v="41"/>
    <n v="1"/>
    <n v="8"/>
    <s v="RI"/>
    <x v="2"/>
    <s v="ADEPHE"/>
    <x v="37"/>
    <s v="2025 Semaine 05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41"/>
    <x v="38"/>
    <x v="41"/>
    <n v="1"/>
    <n v="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42"/>
    <x v="39"/>
    <x v="42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0.5"/>
    <n v="3.8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0.5"/>
    <n v="3.8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0.5"/>
    <n v="3.8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0.5"/>
    <n v="3.8"/>
    <s v="RI"/>
    <x v="5"/>
    <s v="BPIINO"/>
    <x v="245"/>
    <s v="2025 Semaine 01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45"/>
    <s v="2025 Semaine 01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46"/>
    <s v="2025 Semaine 01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7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4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7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1"/>
    <n v="7.6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3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91"/>
    <s v="2025 Semaine 40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14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209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2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70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6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6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2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3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4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5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2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9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4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36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59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0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1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2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25"/>
    <x v="40"/>
    <x v="43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36">
  <r>
    <s v="512100"/>
    <x v="0"/>
    <s v="BANQUE POPULAIRE RIVE DE PARIS"/>
    <s v="BPRI"/>
    <n v="586315.42000000004"/>
    <d v="2025-11-04T00:00:00"/>
    <s v="/LIB/EVI DDFIP MAINE ET LOIRE/LIB/30, IA)-PILI-PIL/LIB/DDFIP MAINE ET LOIRE/LIB/2382D0237-AIDE REMBOURSABLE (F20/LIB/30, IA)-PIL"/>
    <m/>
    <e v="#N/A"/>
    <e v="#N/A"/>
    <n v="88179"/>
    <m/>
    <m/>
    <s v="Q4"/>
    <e v="#REF!"/>
    <e v="#REF!"/>
    <e v="#REF!"/>
  </r>
  <r>
    <s v="512100"/>
    <x v="1"/>
    <s v="BANQUE POPULAIRE RIVE DE PARIS"/>
    <s v="BPRI"/>
    <n v="-93815.5"/>
    <d v="2025-09-30T00:00:00"/>
    <s v="PRLV SEPA BPIFRANCE"/>
    <m/>
    <e v="#N/A"/>
    <e v="#N/A"/>
    <n v="82654"/>
    <m/>
    <m/>
    <s v="Q3"/>
    <e v="#REF!"/>
    <e v="#REF!"/>
    <e v="#REF!"/>
  </r>
  <r>
    <s v="512100"/>
    <x v="1"/>
    <s v="BANQUE POPULAIRE RIVE DE PARIS"/>
    <s v="BPRI"/>
    <n v="-59506.25"/>
    <d v="2025-01-02T00:00:00"/>
    <s v="PRLV SEPA BPIFRANCE"/>
    <m/>
    <e v="#N/A"/>
    <e v="#N/A"/>
    <n v="20859"/>
    <s v="06WUS1V"/>
    <m/>
    <s v="Q1"/>
    <e v="#REF!"/>
    <e v="#REF!"/>
    <e v="#REF!"/>
  </r>
  <r>
    <s v="512100"/>
    <x v="1"/>
    <s v="BANQUE POPULAIRE RIVE DE PARIS"/>
    <s v="BPRI"/>
    <n v="-59506.25"/>
    <d v="2025-03-31T00:00:00"/>
    <s v="Prélèvement BPI"/>
    <m/>
    <e v="#N/A"/>
    <e v="#N/A"/>
    <n v="66451"/>
    <m/>
    <m/>
    <s v="Q1"/>
    <e v="#REF!"/>
    <e v="#REF!"/>
    <e v="#REF!"/>
  </r>
  <r>
    <s v="512100"/>
    <x v="0"/>
    <s v="BANQUE POPULAIRE RIVE DE PARIS"/>
    <s v="BPRI"/>
    <n v="879472.78"/>
    <d v="2025-11-04T00:00:00"/>
    <s v="/LIB/EVI DDFIP MAINE ET LOIRE/LIB/-PILI-PILI SAS-A/LIB/DDFIP MAINE ET LOIRE/LIB/2382D0237-SUBVENTION (F2030, IA)/LIB/-PILI-PILI "/>
    <m/>
    <e v="#N/A"/>
    <e v="#N/A"/>
    <n v="88177"/>
    <m/>
    <m/>
    <s v="Q4"/>
    <e v="#REF!"/>
    <e v="#REF!"/>
    <e v="#REF!"/>
  </r>
  <r>
    <s v="512100"/>
    <x v="2"/>
    <s v="BANQUE POPULAIRE RIVE DE PARIS"/>
    <s v="BPRI"/>
    <n v="2333.33"/>
    <d v="2025-05-08T00:00:00"/>
    <s v="Virement Anrt - Dernier Zimberlin"/>
    <m/>
    <e v="#N/A"/>
    <e v="#N/A"/>
    <n v="71702"/>
    <m/>
    <m/>
    <s v="Q2"/>
    <e v="#REF!"/>
    <e v="#REF!"/>
    <e v="#REF!"/>
  </r>
  <r>
    <s v="512100"/>
    <x v="2"/>
    <s v="BANQUE POPULAIRE RIVE DE PARIS"/>
    <s v="BPRI"/>
    <n v="3500"/>
    <d v="2025-01-17T00:00:00"/>
    <s v="Anrt Zimberlin Q4 - 2024"/>
    <m/>
    <e v="#N/A"/>
    <e v="#N/A"/>
    <n v="21024"/>
    <s v="0R7FKHN"/>
    <m/>
    <s v="Q1"/>
    <e v="#REF!"/>
    <e v="#REF!"/>
    <e v="#REF!"/>
  </r>
  <r>
    <s v="512100"/>
    <x v="3"/>
    <s v="BANQUE POPULAIRE RIVE DE PARIS"/>
    <s v="BPRI"/>
    <n v="186407.67"/>
    <d v="2025-06-10T00:00:00"/>
    <s v="WOODVALOR PREFINANCING - LINQ CONSULTING  MANAGEMENT LTD"/>
    <m/>
    <e v="#N/A"/>
    <e v="#N/A"/>
    <n v="75935"/>
    <m/>
    <m/>
    <s v="Q2"/>
    <e v="#REF!"/>
    <e v="#REF!"/>
    <e v="#REF!"/>
  </r>
  <r>
    <s v="512100"/>
    <x v="4"/>
    <s v="BANQUE POPULAIRE RIVE DE PARIS"/>
    <s v="BPRI"/>
    <n v="249376.58"/>
    <d v="2025-08-13T00:00:00"/>
    <s v="Virement reçu Bpifrance - Inov Biopigments M18 - Avance remboursable"/>
    <m/>
    <e v="#N/A"/>
    <e v="#N/A"/>
    <n v="80822"/>
    <m/>
    <m/>
    <s v="Q3"/>
    <e v="#REF!"/>
    <e v="#REF!"/>
    <e v="#REF!"/>
  </r>
  <r>
    <s v="512100"/>
    <x v="5"/>
    <s v="BANQUE POPULAIRE RIVE DE PARIS"/>
    <s v="BPRI"/>
    <n v="541058"/>
    <d v="2025-06-03T00:00:00"/>
    <s v="M12 Ademe - Avances"/>
    <m/>
    <e v="#N/A"/>
    <e v="#N/A"/>
    <n v="75193"/>
    <m/>
    <m/>
    <s v="Q2"/>
    <e v="#REF!"/>
    <e v="#REF!"/>
    <e v="#REF!"/>
  </r>
  <r>
    <s v="512100"/>
    <x v="4"/>
    <s v="BANQUE POPULAIRE RIVE DE PARIS"/>
    <s v="BPRI"/>
    <n v="748129.73"/>
    <d v="2025-08-13T00:00:00"/>
    <s v="Virement reçu Bpifrance - Inov Biopigments M18 - subvention"/>
    <m/>
    <e v="#N/A"/>
    <e v="#N/A"/>
    <n v="80819"/>
    <m/>
    <m/>
    <s v="Q3"/>
    <e v="#REF!"/>
    <e v="#REF!"/>
    <e v="#REF!"/>
  </r>
  <r>
    <s v="512100"/>
    <x v="5"/>
    <s v="BANQUE POPULAIRE RIVE DE PARIS"/>
    <s v="BPRI"/>
    <n v="811586"/>
    <d v="2025-06-03T00:00:00"/>
    <s v="M12 Ademe - Subventions"/>
    <m/>
    <e v="#N/A"/>
    <e v="#N/A"/>
    <n v="75190"/>
    <m/>
    <m/>
    <s v="Q2"/>
    <e v="#REF!"/>
    <e v="#REF!"/>
    <e v="#REF!"/>
  </r>
  <r>
    <s v="512100"/>
    <x v="1"/>
    <s v="BANQUE POPULAIRE RIVE DE PARIS"/>
    <s v="BPRI"/>
    <n v="-59506.25"/>
    <d v="2025-06-30T00:00:00"/>
    <s v="PRLV SEPA BPIFRANCE/LIB/BPIFRANCE/LIB/5234775 F2506/000268639/LIB/RUM-01151940"/>
    <m/>
    <e v="#N/A"/>
    <e v="#N/A"/>
    <n v="76924"/>
    <m/>
    <m/>
    <s v="Q2"/>
    <e v="#REF!"/>
    <e v="#REF!"/>
    <e v="#REF!"/>
  </r>
  <r>
    <s v="167400"/>
    <x v="6"/>
    <s v="AVANCE CONDITIONNÉE ETAT CMI BLUE 2"/>
    <s v="BPRI"/>
    <n v="59506.25"/>
    <d v="2025-01-02T00:00:00"/>
    <s v="PRLV SEPA BPIFRANCE"/>
    <m/>
    <e v="#N/A"/>
    <e v="#N/A"/>
    <n v="20858"/>
    <s v="06WUS1V"/>
    <m/>
    <s v="Q1"/>
    <e v="#REF!"/>
    <e v="#REF!"/>
    <e v="#REF!"/>
  </r>
  <r>
    <s v="167400"/>
    <x v="6"/>
    <s v="AVANCE CONDITIONNÉE ETAT CMI BLUE 2"/>
    <s v="BPRI"/>
    <n v="59506.25"/>
    <d v="2025-03-31T00:00:00"/>
    <s v="Prélèvement BPI"/>
    <m/>
    <e v="#N/A"/>
    <e v="#N/A"/>
    <n v="66452"/>
    <m/>
    <m/>
    <s v="Q1"/>
    <e v="#REF!"/>
    <e v="#REF!"/>
    <e v="#REF!"/>
  </r>
  <r>
    <s v="167400"/>
    <x v="6"/>
    <s v="AVANCE CONDITIONNÉE ETAT CMI BLUE 2"/>
    <s v="OD"/>
    <n v="-59506.25"/>
    <d v="2025-01-01T00:00:00"/>
    <s v="Echéancier Emprunt"/>
    <m/>
    <e v="#N/A"/>
    <e v="#N/A"/>
    <n v="73944"/>
    <m/>
    <m/>
    <s v="Q1"/>
    <e v="#REF!"/>
    <e v="#REF!"/>
    <e v="#REF!"/>
  </r>
  <r>
    <s v="167400"/>
    <x v="6"/>
    <s v="AVANCE CONDITIONNÉE ETAT CMI BLUE 2"/>
    <s v="OD"/>
    <n v="-59506.25"/>
    <d v="2025-01-01T00:00:00"/>
    <s v="Echéancier Emprunt"/>
    <m/>
    <e v="#N/A"/>
    <e v="#N/A"/>
    <n v="73945"/>
    <m/>
    <m/>
    <s v="Q1"/>
    <e v="#REF!"/>
    <e v="#REF!"/>
    <e v="#REF!"/>
  </r>
  <r>
    <s v="167400"/>
    <x v="6"/>
    <s v="AVANCE CONDITIONNÉE ETAT CMI BLUE 2"/>
    <s v="OD"/>
    <n v="-59506.25"/>
    <d v="2025-01-01T00:00:00"/>
    <s v="Echéancier Emprunt 2025_06"/>
    <m/>
    <e v="#N/A"/>
    <e v="#N/A"/>
    <n v="73946"/>
    <m/>
    <m/>
    <s v="Q1"/>
    <e v="#REF!"/>
    <e v="#REF!"/>
    <e v="#REF!"/>
  </r>
  <r>
    <s v="167400"/>
    <x v="6"/>
    <s v="AVANCE CONDITIONNÉE ETAT CMI BLUE 2"/>
    <s v="OD"/>
    <n v="-59506.25"/>
    <d v="2025-01-01T00:00:00"/>
    <s v="Echéancier Emprunt 2025_09"/>
    <m/>
    <e v="#N/A"/>
    <e v="#N/A"/>
    <n v="73947"/>
    <m/>
    <m/>
    <s v="Q1"/>
    <e v="#REF!"/>
    <e v="#REF!"/>
    <e v="#REF!"/>
  </r>
  <r>
    <s v="167400"/>
    <x v="6"/>
    <s v="AVANCE CONDITIONNÉE ETAT CMI BLUE 2"/>
    <s v="OD"/>
    <n v="59506.25"/>
    <d v="2025-09-30T00:00:00"/>
    <s v="BPIFRANCE REMBOURSMENT CMI BLUE II + EFFET ACTUALISATION"/>
    <m/>
    <e v="#N/A"/>
    <e v="#N/A"/>
    <s v="86871"/>
    <m/>
    <m/>
    <s v="Q3"/>
    <e v="#REF!"/>
    <e v="#REF!"/>
    <e v="#REF!"/>
  </r>
  <r>
    <s v="167410"/>
    <x v="6"/>
    <s v="AVANCES CONDITIONNÉE BPI DOS0224590"/>
    <s v="BPRI"/>
    <n v="-249376.58"/>
    <d v="2025-08-13T00:00:00"/>
    <s v="Virement reçu Bpifrance - Inov Biopigments M18 - Avance remboursable"/>
    <m/>
    <e v="#N/A"/>
    <e v="#N/A"/>
    <n v="80823"/>
    <m/>
    <m/>
    <s v="Q3"/>
    <e v="#REF!"/>
    <e v="#REF!"/>
    <e v="#REF!"/>
  </r>
  <r>
    <s v="167420"/>
    <x v="6"/>
    <s v="AVANCES CONDITIONN.ADEME 2382D0237"/>
    <s v="BPRI"/>
    <n v="-541058"/>
    <d v="2025-06-03T00:00:00"/>
    <s v="M12 Ademe - Avances"/>
    <m/>
    <e v="#N/A"/>
    <e v="#N/A"/>
    <n v="75194"/>
    <m/>
    <m/>
    <s v="Q2"/>
    <e v="#REF!"/>
    <e v="#REF!"/>
    <e v="#REF!"/>
  </r>
  <r>
    <s v="167420"/>
    <x v="6"/>
    <s v="AVANCES CONDITIONN.ADEME 2382D0237"/>
    <s v="BPRI"/>
    <n v="-586315.42000000004"/>
    <d v="2025-11-04T00:00:00"/>
    <s v="/LIB/EVI DDFIP MAINE ET LOIRE/LIB/30, IA)-PILI-PIL/LIB/DDFIP MAINE ET LOIRE/LIB/2382D0237-AIDE REMBOURSABLE (F20/LIB/30, IA)-PIL"/>
    <m/>
    <e v="#N/A"/>
    <e v="#N/A"/>
    <n v="88180"/>
    <m/>
    <m/>
    <s v="Q4"/>
    <e v="#REF!"/>
    <e v="#REF!"/>
    <e v="#REF!"/>
  </r>
  <r>
    <s v="167400"/>
    <x v="6"/>
    <s v="AVANCE CONDITIONNÉE ETAT CMI BLUE 2"/>
    <s v="BPRI"/>
    <n v="59506.25"/>
    <d v="2025-06-30T00:00:00"/>
    <s v="PRLV SEPA BPIFRANCE/LIB/BPIFRANCE/LIB/5234775 F2506/000268639/LIB/RUM-01151940"/>
    <m/>
    <e v="#N/A"/>
    <e v="#N/A"/>
    <n v="76925"/>
    <m/>
    <m/>
    <s v="Q2"/>
    <e v="#REF!"/>
    <e v="#REF!"/>
    <e v="#REF!"/>
  </r>
  <r>
    <s v="441710"/>
    <x v="6"/>
    <s v="SUBVENTIONS A RECEVOIR SUR DOSSIERS RECHERCHE"/>
    <s v="BPRI"/>
    <n v="-879472.78"/>
    <d v="2025-11-04T00:00:00"/>
    <s v="/LIB/EVI DDFIP MAINE ET LOIRE/LIB/-PILI-PILI SAS-A/LIB/DDFIP MAINE ET LOIRE/LIB/2382D0237-SUBVENTION (F2030, IA)/LIB/-PILI-PILI "/>
    <m/>
    <e v="#N/A"/>
    <e v="#N/A"/>
    <n v="88178"/>
    <m/>
    <m/>
    <s v="Q4"/>
    <e v="#REF!"/>
    <e v="#REF!"/>
    <e v="#REF!"/>
  </r>
  <r>
    <s v="486100"/>
    <x v="6"/>
    <s v="CHARGES CONSTATÉES D'AVANCE"/>
    <s v="BPRI"/>
    <n v="93815.5"/>
    <d v="2025-09-30T00:00:00"/>
    <s v="PRLV SEPA BPIFRANCE - CMI BLUE II + EFFET ACTUALISATION"/>
    <m/>
    <e v="#N/A"/>
    <e v="#N/A"/>
    <n v="82655"/>
    <m/>
    <m/>
    <s v="Q3"/>
    <e v="#REF!"/>
    <e v="#REF!"/>
    <e v="#REF!"/>
  </r>
  <r>
    <s v="441710"/>
    <x v="6"/>
    <s v="SUBVENTIONS A RECEVOIR SUR DOSSIERS RECHERCHE"/>
    <s v="BPRI"/>
    <n v="-811586"/>
    <d v="2025-06-03T00:00:00"/>
    <s v="M12 Ademe - Subventions"/>
    <m/>
    <e v="#N/A"/>
    <e v="#N/A"/>
    <n v="75191"/>
    <m/>
    <m/>
    <s v="Q2"/>
    <e v="#REF!"/>
    <e v="#REF!"/>
    <e v="#REF!"/>
  </r>
  <r>
    <s v="441710"/>
    <x v="6"/>
    <s v="SUBVENTIONS A RECEVOIR SUR DOSSIERS RECHERCHE"/>
    <s v="BPRI"/>
    <n v="-748129.73"/>
    <d v="2025-08-13T00:00:00"/>
    <s v="Virement reçu Bpifrance - Inov Biopigments M18 - subvention"/>
    <m/>
    <e v="#N/A"/>
    <e v="#N/A"/>
    <n v="80820"/>
    <m/>
    <m/>
    <s v="Q3"/>
    <e v="#REF!"/>
    <e v="#REF!"/>
    <e v="#REF!"/>
  </r>
  <r>
    <s v="448700"/>
    <x v="6"/>
    <s v="ETAT PRODUITS A RECEVOIR"/>
    <s v="BPRI"/>
    <n v="-3500"/>
    <d v="2025-01-17T00:00:00"/>
    <s v="Anrt Zimberlin Q4 - 2024"/>
    <m/>
    <e v="#N/A"/>
    <e v="#N/A"/>
    <n v="21025"/>
    <s v="0R7FKHN"/>
    <m/>
    <s v="Q1"/>
    <e v="#REF!"/>
    <e v="#REF!"/>
    <e v="#REF!"/>
  </r>
  <r>
    <s v="487100"/>
    <x v="6"/>
    <s v="PRODUITS CONSTATÉS D'AVANCE SUR DOSSIERS RECHERCHE"/>
    <s v="BPRI"/>
    <n v="-186407.67"/>
    <d v="2025-06-10T00:00:00"/>
    <s v="WOODVALOR PREFINANCING - LINQ CONSULTING  MANAGEMENT LTD"/>
    <m/>
    <e v="#N/A"/>
    <e v="#N/A"/>
    <n v="75936"/>
    <m/>
    <m/>
    <s v="Q2"/>
    <e v="#REF!"/>
    <e v="#REF!"/>
    <e v="#REF!"/>
  </r>
  <r>
    <s v="740100"/>
    <x v="7"/>
    <s v="SUBVENTIONS D'EXPLOITATION - DIVERS"/>
    <s v="BPRI"/>
    <n v="-2333.33"/>
    <d v="2025-05-08T00:00:00"/>
    <s v="Virement Anrt - Dernier Zimberlin"/>
    <m/>
    <e v="#N/A"/>
    <e v="#N/A"/>
    <n v="71703"/>
    <m/>
    <m/>
    <s v="Q2"/>
    <e v="#REF!"/>
    <e v="#REF!"/>
    <e v="#REF!"/>
  </r>
  <r>
    <s v="101310"/>
    <x v="6"/>
    <s v="CAPITAL SOUSCRIT APPELÉ VERSÉ"/>
    <s v="AN"/>
    <n v="-696591"/>
    <d v="2025-01-01T00:00:00"/>
    <s v="Report à nouveau Exercice 2025"/>
    <m/>
    <e v="#N/A"/>
    <e v="#N/A"/>
    <n v="84570"/>
    <m/>
    <m/>
    <s v="Q1"/>
    <e v="#REF!"/>
    <e v="#REF!"/>
    <e v="#REF!"/>
  </r>
  <r>
    <s v="101310"/>
    <x v="6"/>
    <s v="CAPITAL SOUSCRIT APPELÉ VERSÉ"/>
    <s v="OD"/>
    <n v="-351234"/>
    <d v="2025-10-15T00:00:00"/>
    <s v="CONVERSION OC AU 15 OCT 2025 - ADP 2022"/>
    <m/>
    <e v="#N/A"/>
    <e v="#N/A"/>
    <n v="85097"/>
    <m/>
    <m/>
    <s v="Q4"/>
    <e v="#REF!"/>
    <e v="#REF!"/>
    <e v="#REF!"/>
  </r>
  <r>
    <s v="104100"/>
    <x v="6"/>
    <s v="PRIMES D'ÉMISSION"/>
    <s v="AN"/>
    <n v="-5513754.2999999998"/>
    <d v="2025-01-01T00:00:00"/>
    <s v="Report à nouveau Exercice 2025"/>
    <m/>
    <e v="#N/A"/>
    <e v="#N/A"/>
    <n v="84571"/>
    <m/>
    <m/>
    <s v="Q1"/>
    <e v="#REF!"/>
    <e v="#REF!"/>
    <e v="#REF!"/>
  </r>
  <r>
    <s v="104100"/>
    <x v="6"/>
    <s v="PRIMES D'ÉMISSION"/>
    <s v="OD"/>
    <n v="5513754.2999999998"/>
    <d v="2025-08-04T00:00:00"/>
    <s v="Apurement partiel du poste « Report à nouveau »"/>
    <m/>
    <e v="#N/A"/>
    <e v="#N/A"/>
    <n v="79233"/>
    <m/>
    <m/>
    <s v="Q3"/>
    <e v="#REF!"/>
    <e v="#REF!"/>
    <e v="#REF!"/>
  </r>
  <r>
    <s v="104400"/>
    <x v="6"/>
    <s v="PRIMES DE CONVERSION D'OBLIGATIONS CONVERTIBLES EN ACTIONS"/>
    <s v="OD"/>
    <n v="-8485813.4399999995"/>
    <d v="2025-10-15T00:00:00"/>
    <s v="CONVERSION OC AU 15 OCT 2025"/>
    <m/>
    <e v="#N/A"/>
    <e v="#N/A"/>
    <n v="85098"/>
    <m/>
    <m/>
    <s v="Q4"/>
    <e v="#REF!"/>
    <e v="#REF!"/>
    <e v="#REF!"/>
  </r>
  <r>
    <s v="106200"/>
    <x v="6"/>
    <s v="R.I  DROIT DE CONVERSION - RATCHET"/>
    <s v="AN"/>
    <n v="-1936584"/>
    <d v="2025-01-01T00:00:00"/>
    <s v="Report à nouveau Exercice 2025"/>
    <m/>
    <e v="#N/A"/>
    <e v="#N/A"/>
    <n v="84572"/>
    <m/>
    <m/>
    <s v="Q1"/>
    <e v="#REF!"/>
    <e v="#REF!"/>
    <e v="#REF!"/>
  </r>
  <r>
    <s v="106210"/>
    <x v="6"/>
    <s v="RESERVES DROIT ANTI-DILUTIF RATCHET"/>
    <s v="AN"/>
    <n v="-2219553"/>
    <d v="2025-01-01T00:00:00"/>
    <s v="Report à nouveau Exercice 2025"/>
    <m/>
    <e v="#N/A"/>
    <e v="#N/A"/>
    <n v="84573"/>
    <m/>
    <m/>
    <s v="Q1"/>
    <e v="#REF!"/>
    <e v="#REF!"/>
    <e v="#REF!"/>
  </r>
  <r>
    <s v="119000"/>
    <x v="6"/>
    <s v="REPORT À NOUVEAU SOLDE DÉBITEUR"/>
    <s v="AN"/>
    <n v="2978830.16"/>
    <d v="2025-01-01T00:00:00"/>
    <s v="Report à nouveau Exercice 2025"/>
    <m/>
    <e v="#N/A"/>
    <e v="#N/A"/>
    <n v="84574"/>
    <m/>
    <m/>
    <s v="Q1"/>
    <e v="#REF!"/>
    <e v="#REF!"/>
    <e v="#REF!"/>
  </r>
  <r>
    <s v="119000"/>
    <x v="6"/>
    <s v="REPORT À NOUVEAU SOLDE DÉBITEUR"/>
    <s v="OD"/>
    <n v="-5513754.2999999998"/>
    <d v="2025-08-04T00:00:00"/>
    <s v="Apurement partiel du poste « Report à nouveau »"/>
    <m/>
    <e v="#N/A"/>
    <e v="#N/A"/>
    <n v="79234"/>
    <m/>
    <m/>
    <s v="Q3"/>
    <e v="#REF!"/>
    <e v="#REF!"/>
    <e v="#REF!"/>
  </r>
  <r>
    <s v="119000"/>
    <x v="6"/>
    <s v="REPORT À NOUVEAU SOLDE DÉBITEUR"/>
    <s v="OD"/>
    <n v="5384600.7800000003"/>
    <d v="2025-07-18T00:00:00"/>
    <s v="Affectation résultat 2024"/>
    <m/>
    <e v="#N/A"/>
    <e v="#N/A"/>
    <n v="79236"/>
    <m/>
    <m/>
    <s v="Q3"/>
    <e v="#REF!"/>
    <e v="#REF!"/>
    <e v="#REF!"/>
  </r>
  <r>
    <s v="129000"/>
    <x v="6"/>
    <s v="RÉSULTAT DE L'EXERCICE (PERTE)"/>
    <s v="AN"/>
    <n v="33210.519999999997"/>
    <d v="2025-01-01T00:00:00"/>
    <s v="Report à nouveau Exercice 2025"/>
    <m/>
    <e v="#N/A"/>
    <e v="#N/A"/>
    <n v="84831"/>
    <m/>
    <m/>
    <s v="Q1"/>
    <e v="#REF!"/>
    <e v="#REF!"/>
    <e v="#REF!"/>
  </r>
  <r>
    <s v="129000"/>
    <x v="6"/>
    <s v="RÉSULTAT DE L'EXERCICE (PERTE)"/>
    <s v="AN"/>
    <n v="288197.43"/>
    <d v="2025-01-01T00:00:00"/>
    <s v="Report à nouveau Exercice 2025"/>
    <m/>
    <e v="#N/A"/>
    <e v="#N/A"/>
    <n v="84876"/>
    <m/>
    <m/>
    <s v="Q1"/>
    <e v="#REF!"/>
    <e v="#REF!"/>
    <e v="#REF!"/>
  </r>
  <r>
    <s v="129000"/>
    <x v="6"/>
    <s v="RÉSULTAT DE L'EXERCICE (PERTE)"/>
    <s v="AN"/>
    <n v="612249.86"/>
    <d v="2025-01-01T00:00:00"/>
    <s v="Report à nouveau Exercice 2025"/>
    <m/>
    <e v="#N/A"/>
    <e v="#N/A"/>
    <n v="84972"/>
    <m/>
    <m/>
    <s v="Q1"/>
    <e v="#REF!"/>
    <e v="#REF!"/>
    <e v="#REF!"/>
  </r>
  <r>
    <s v="129000"/>
    <x v="6"/>
    <s v="RÉSULTAT DE L'EXERCICE (PERTE)"/>
    <s v="AN"/>
    <n v="4450942.97"/>
    <d v="2025-01-01T00:00:00"/>
    <s v="Report à nouveau Exercice 2025"/>
    <m/>
    <e v="#N/A"/>
    <e v="#N/A"/>
    <n v="84799"/>
    <m/>
    <m/>
    <s v="Q1"/>
    <e v="#REF!"/>
    <e v="#REF!"/>
    <e v="#REF!"/>
  </r>
  <r>
    <s v="129000"/>
    <x v="6"/>
    <s v="RÉSULTAT DE L'EXERCICE (PERTE)"/>
    <s v="OD"/>
    <n v="-5384600.7800000003"/>
    <d v="2025-07-18T00:00:00"/>
    <s v="Affectation résultat 2024"/>
    <m/>
    <e v="#N/A"/>
    <e v="#N/A"/>
    <n v="79235"/>
    <m/>
    <m/>
    <s v="Q3"/>
    <e v="#REF!"/>
    <e v="#REF!"/>
    <e v="#REF!"/>
  </r>
  <r>
    <s v="131000"/>
    <x v="6"/>
    <s v="SUBVENTIONS D'INVESTISSEMENTS"/>
    <s v="AN"/>
    <n v="-222619.97"/>
    <d v="2025-01-01T00:00:00"/>
    <s v="Report à nouveau Exercice 2025"/>
    <m/>
    <e v="#N/A"/>
    <e v="#N/A"/>
    <n v="84575"/>
    <m/>
    <m/>
    <s v="Q1"/>
    <e v="#REF!"/>
    <e v="#REF!"/>
    <e v="#REF!"/>
  </r>
  <r>
    <s v="131000"/>
    <x v="6"/>
    <s v="SUBVENTIONS D'INVESTISSEMENTS"/>
    <s v="JC"/>
    <n v="-287272"/>
    <d v="2025-04-30T00:00:00"/>
    <s v="PRODUITS À RECEVOIR SUR M24 - ADEME"/>
    <m/>
    <e v="#N/A"/>
    <e v="#N/A"/>
    <n v="73969"/>
    <s v="Produits à recevoir sur M24 - Ademe"/>
    <m/>
    <s v="Q2"/>
    <e v="#REF!"/>
    <e v="#REF!"/>
    <e v="#REF!"/>
  </r>
  <r>
    <s v="131000"/>
    <x v="6"/>
    <s v="SUBVENTIONS D'INVESTISSEMENTS"/>
    <s v="JC"/>
    <n v="-263333"/>
    <d v="2025-03-31T00:00:00"/>
    <s v="PRODUITS À RECEVOIR SUR M24 - ADEME"/>
    <m/>
    <e v="#N/A"/>
    <e v="#N/A"/>
    <n v="73963"/>
    <s v="Produits à recevoir sur M24 - Ademe"/>
    <m/>
    <s v="Q1"/>
    <e v="#REF!"/>
    <e v="#REF!"/>
    <e v="#REF!"/>
  </r>
  <r>
    <s v="131000"/>
    <x v="6"/>
    <s v="SUBVENTIONS D'INVESTISSEMENTS"/>
    <s v="JC"/>
    <n v="-239394"/>
    <d v="2025-02-28T00:00:00"/>
    <s v="PRODUITS À RECEVOIR SUR M24 - ADEME"/>
    <m/>
    <e v="#N/A"/>
    <e v="#N/A"/>
    <n v="73957"/>
    <s v="Produits à recevoir sur M24 - Ademe"/>
    <m/>
    <s v="Q1"/>
    <e v="#REF!"/>
    <e v="#REF!"/>
    <e v="#REF!"/>
  </r>
  <r>
    <s v="131000"/>
    <x v="6"/>
    <s v="SUBVENTIONS D'INVESTISSEMENTS"/>
    <s v="JC"/>
    <n v="-215454"/>
    <d v="2025-01-31T00:00:00"/>
    <s v="PRODUITS À RECEVOIR SUR M24 - ADEME"/>
    <m/>
    <e v="#N/A"/>
    <e v="#N/A"/>
    <n v="73951"/>
    <s v="Produits à recevoir sur M24 - Ademe"/>
    <m/>
    <s v="Q1"/>
    <e v="#REF!"/>
    <e v="#REF!"/>
    <e v="#REF!"/>
  </r>
  <r>
    <s v="131000"/>
    <x v="6"/>
    <s v="SUBVENTIONS D'INVESTISSEMENTS"/>
    <s v="JC"/>
    <n v="-173441.97"/>
    <d v="2025-12-31T00:00:00"/>
    <s v="PRODUITS À RECEVOIR SUR M36 - ADEME"/>
    <m/>
    <e v="#N/A"/>
    <e v="#N/A"/>
    <n v="74014"/>
    <s v="Produits à recevoir sur M36 - Ademe"/>
    <m/>
    <s v="Q4"/>
    <e v="#REF!"/>
    <e v="#REF!"/>
    <e v="#REF!"/>
  </r>
  <r>
    <s v="131000"/>
    <x v="6"/>
    <s v="SUBVENTIONS D'INVESTISSEMENTS"/>
    <s v="JC"/>
    <n v="-151761.73000000001"/>
    <d v="2025-11-30T00:00:00"/>
    <s v="ine et"/>
    <m/>
    <e v="#N/A"/>
    <e v="#N/A"/>
    <n v="74008"/>
    <s v="Produits à recevoir sur M36 - Ademe"/>
    <m/>
    <s v="Q4"/>
    <e v="#REF!"/>
    <e v="#REF!"/>
    <e v="#REF!"/>
  </r>
  <r>
    <s v="131000"/>
    <x v="6"/>
    <s v="SUBVENTIONS D'INVESTISSEMENTS"/>
    <s v="JC"/>
    <n v="-130081.48"/>
    <d v="2025-10-31T00:00:00"/>
    <s v="PRODUITS À RECEVOIR SUR M36 - ADEME"/>
    <m/>
    <e v="#N/A"/>
    <e v="#N/A"/>
    <n v="74002"/>
    <s v="Produits à recevoir sur M36 - Ademe"/>
    <m/>
    <s v="Q4"/>
    <e v="#REF!"/>
    <e v="#REF!"/>
    <e v="#REF!"/>
  </r>
  <r>
    <s v="131000"/>
    <x v="6"/>
    <s v="SUBVENTIONS D'INVESTISSEMENTS"/>
    <s v="JC"/>
    <n v="-108401.23"/>
    <d v="2025-09-30T00:00:00"/>
    <s v="PRODUITS À RECEVOIR SUR M36 - ADEME"/>
    <m/>
    <e v="#N/A"/>
    <e v="#N/A"/>
    <n v="73996"/>
    <s v="Produits à recevoir sur M36 - Ademe"/>
    <m/>
    <s v="Q3"/>
    <e v="#REF!"/>
    <e v="#REF!"/>
    <e v="#REF!"/>
  </r>
  <r>
    <s v="131000"/>
    <x v="6"/>
    <s v="SUBVENTIONS D'INVESTISSEMENTS"/>
    <s v="JC"/>
    <n v="-86720.99"/>
    <d v="2025-08-31T00:00:00"/>
    <s v="PRODUITS À RECEVOIR SUR M36 - ADEME"/>
    <m/>
    <e v="#N/A"/>
    <e v="#N/A"/>
    <n v="73990"/>
    <s v="Produits à recevoir sur M36 - Ademe"/>
    <m/>
    <s v="Q3"/>
    <e v="#REF!"/>
    <e v="#REF!"/>
    <e v="#REF!"/>
  </r>
  <r>
    <s v="131000"/>
    <x v="6"/>
    <s v="SUBVENTIONS D'INVESTISSEMENTS"/>
    <s v="JC"/>
    <n v="-65040.74"/>
    <d v="2025-07-31T00:00:00"/>
    <s v="PRODUITS À RECEVOIR SUR M36 - ADEME"/>
    <m/>
    <e v="#N/A"/>
    <e v="#N/A"/>
    <n v="73984"/>
    <s v="Produits à recevoir sur M36 - Ademe"/>
    <m/>
    <s v="Q3"/>
    <e v="#REF!"/>
    <e v="#REF!"/>
    <e v="#REF!"/>
  </r>
  <r>
    <s v="131000"/>
    <x v="6"/>
    <s v="SUBVENTIONS D'INVESTISSEMENTS"/>
    <s v="JC"/>
    <n v="-43360.49"/>
    <d v="2025-06-30T00:00:00"/>
    <s v="PRODUITS À RECEVOIR SUR M36 - ADEME"/>
    <m/>
    <e v="#N/A"/>
    <e v="#N/A"/>
    <n v="73978"/>
    <s v="Produits à recevoir sur M36 - Ademe"/>
    <m/>
    <s v="Q2"/>
    <e v="#REF!"/>
    <e v="#REF!"/>
    <e v="#REF!"/>
  </r>
  <r>
    <s v="131000"/>
    <x v="6"/>
    <s v="SUBVENTIONS D'INVESTISSEMENTS"/>
    <s v="JC"/>
    <n v="-21680.25"/>
    <d v="2025-05-31T00:00:00"/>
    <s v="PRODUITS À RECEVOIR SUR M36 - ADEME"/>
    <m/>
    <e v="#N/A"/>
    <e v="#N/A"/>
    <n v="73975"/>
    <s v="Produits à recevoir sur M36 - Ademe"/>
    <m/>
    <s v="Q2"/>
    <e v="#REF!"/>
    <e v="#REF!"/>
    <e v="#REF!"/>
  </r>
  <r>
    <s v="131000"/>
    <x v="6"/>
    <s v="SUBVENTIONS D'INVESTISSEMENTS"/>
    <s v="JC"/>
    <n v="21680.25"/>
    <d v="2025-06-01T00:00:00"/>
    <s v="EXTOURNE PAR - M36"/>
    <m/>
    <e v="#N/A"/>
    <e v="#N/A"/>
    <n v="73981"/>
    <s v="Extourne PAR - M36"/>
    <m/>
    <s v="Q2"/>
    <e v="#REF!"/>
    <e v="#REF!"/>
    <e v="#REF!"/>
  </r>
  <r>
    <s v="131000"/>
    <x v="6"/>
    <s v="SUBVENTIONS D'INVESTISSEMENTS"/>
    <s v="JC"/>
    <n v="43360.49"/>
    <d v="2025-07-01T00:00:00"/>
    <s v="EXTOURNE PAR - M36"/>
    <m/>
    <e v="#N/A"/>
    <e v="#N/A"/>
    <n v="73987"/>
    <s v="Extourne PAR - M36"/>
    <m/>
    <s v="Q3"/>
    <e v="#REF!"/>
    <e v="#REF!"/>
    <e v="#REF!"/>
  </r>
  <r>
    <s v="131000"/>
    <x v="6"/>
    <s v="SUBVENTIONS D'INVESTISSEMENTS"/>
    <s v="JC"/>
    <n v="65040.74"/>
    <d v="2025-08-01T00:00:00"/>
    <s v="EXTOURNE PAR - M36"/>
    <m/>
    <e v="#N/A"/>
    <e v="#N/A"/>
    <n v="73993"/>
    <s v="Extourne PAR - M36"/>
    <m/>
    <s v="Q3"/>
    <e v="#REF!"/>
    <e v="#REF!"/>
    <e v="#REF!"/>
  </r>
  <r>
    <s v="131000"/>
    <x v="6"/>
    <s v="SUBVENTIONS D'INVESTISSEMENTS"/>
    <s v="JC"/>
    <n v="86720.99"/>
    <d v="2025-09-01T00:00:00"/>
    <s v="EXTOURNE PAR - M36"/>
    <m/>
    <e v="#N/A"/>
    <e v="#N/A"/>
    <n v="73999"/>
    <s v="Extourne PAR - M36"/>
    <m/>
    <s v="Q3"/>
    <e v="#REF!"/>
    <e v="#REF!"/>
    <e v="#REF!"/>
  </r>
  <r>
    <s v="131000"/>
    <x v="6"/>
    <s v="SUBVENTIONS D'INVESTISSEMENTS"/>
    <s v="JC"/>
    <n v="108401.23"/>
    <d v="2025-10-01T00:00:00"/>
    <s v="EXTOURNE PAR - M36"/>
    <m/>
    <e v="#N/A"/>
    <e v="#N/A"/>
    <n v="74005"/>
    <s v="Extourne PAR - M36"/>
    <m/>
    <s v="Q4"/>
    <e v="#REF!"/>
    <e v="#REF!"/>
    <e v="#REF!"/>
  </r>
  <r>
    <s v="131000"/>
    <x v="6"/>
    <s v="SUBVENTIONS D'INVESTISSEMENTS"/>
    <s v="JC"/>
    <n v="130081.48"/>
    <d v="2025-11-01T00:00:00"/>
    <s v="EXTOURNE PAR - M36"/>
    <m/>
    <e v="#N/A"/>
    <e v="#N/A"/>
    <n v="74011"/>
    <s v="Extourne PAR - M36"/>
    <m/>
    <s v="Q4"/>
    <e v="#REF!"/>
    <e v="#REF!"/>
    <e v="#REF!"/>
  </r>
  <r>
    <s v="131000"/>
    <x v="6"/>
    <s v="SUBVENTIONS D'INVESTISSEMENTS"/>
    <s v="JC"/>
    <n v="151761.73000000001"/>
    <d v="2025-12-01T00:00:00"/>
    <s v="EXTOURNE PAR - M36"/>
    <m/>
    <e v="#N/A"/>
    <e v="#N/A"/>
    <n v="74017"/>
    <s v="Extourne PAR - M36"/>
    <m/>
    <s v="Q4"/>
    <e v="#REF!"/>
    <e v="#REF!"/>
    <e v="#REF!"/>
  </r>
  <r>
    <s v="131000"/>
    <x v="6"/>
    <s v="SUBVENTIONS D'INVESTISSEMENTS"/>
    <s v="JC"/>
    <n v="191515"/>
    <d v="2025-01-01T00:00:00"/>
    <s v="EXTOURNE PAR - M-1"/>
    <m/>
    <e v="#N/A"/>
    <e v="#N/A"/>
    <n v="73954"/>
    <s v="Extourne PAR - M-1"/>
    <m/>
    <s v="Q1"/>
    <e v="#REF!"/>
    <e v="#REF!"/>
    <e v="#REF!"/>
  </r>
  <r>
    <s v="131000"/>
    <x v="6"/>
    <s v="SUBVENTIONS D'INVESTISSEMENTS"/>
    <s v="JC"/>
    <n v="215454"/>
    <d v="2025-02-01T00:00:00"/>
    <s v="EXTOURNE PAR - M-1"/>
    <m/>
    <e v="#N/A"/>
    <e v="#N/A"/>
    <n v="73960"/>
    <s v="Extourne PAR - M-1"/>
    <m/>
    <s v="Q1"/>
    <e v="#REF!"/>
    <e v="#REF!"/>
    <e v="#REF!"/>
  </r>
  <r>
    <s v="131000"/>
    <x v="6"/>
    <s v="SUBVENTIONS D'INVESTISSEMENTS"/>
    <s v="JC"/>
    <n v="239394"/>
    <d v="2025-03-01T00:00:00"/>
    <s v="EXTOURNE PAR - M-1"/>
    <m/>
    <e v="#N/A"/>
    <e v="#N/A"/>
    <n v="73966"/>
    <s v="Extourne PAR - M-1"/>
    <m/>
    <s v="Q1"/>
    <e v="#REF!"/>
    <e v="#REF!"/>
    <e v="#REF!"/>
  </r>
  <r>
    <s v="131000"/>
    <x v="6"/>
    <s v="SUBVENTIONS D'INVESTISSEMENTS"/>
    <s v="JC"/>
    <n v="263333"/>
    <d v="2025-04-01T00:00:00"/>
    <s v="EXTOURNE PAR - M-1"/>
    <m/>
    <e v="#N/A"/>
    <e v="#N/A"/>
    <n v="73972"/>
    <s v="Extourne PAR - M-1"/>
    <m/>
    <s v="Q2"/>
    <e v="#REF!"/>
    <e v="#REF!"/>
    <e v="#REF!"/>
  </r>
  <r>
    <s v="161000"/>
    <x v="6"/>
    <s v="EMPRUNTS OBLIGATAIRES CONVERTIBLES"/>
    <s v="AN"/>
    <n v="-8360919.7400000002"/>
    <d v="2025-01-01T00:00:00"/>
    <s v="Report à nouveau Exercice 2025"/>
    <m/>
    <e v="#N/A"/>
    <e v="#N/A"/>
    <n v="84576"/>
    <m/>
    <m/>
    <s v="Q1"/>
    <e v="#REF!"/>
    <e v="#REF!"/>
    <e v="#REF!"/>
  </r>
  <r>
    <s v="161000"/>
    <x v="6"/>
    <s v="EMPRUNTS OBLIGATAIRES CONVERTIBLES"/>
    <s v="OD"/>
    <n v="-50241.87"/>
    <d v="2025-01-01T00:00:00"/>
    <s v="INTERETS 2025 OC CAPITALISATION"/>
    <m/>
    <e v="#N/A"/>
    <e v="#N/A"/>
    <n v="85077"/>
    <m/>
    <m/>
    <s v="Q1"/>
    <e v="#REF!"/>
    <e v="#REF!"/>
    <e v="#REF!"/>
  </r>
  <r>
    <s v="161000"/>
    <x v="6"/>
    <s v="EMPRUNTS OBLIGATAIRES CONVERTIBLES"/>
    <s v="OD"/>
    <n v="-50241.87"/>
    <d v="2025-02-01T00:00:00"/>
    <s v="INTERETS 2025 OC CAPITALISATION"/>
    <m/>
    <e v="#N/A"/>
    <e v="#N/A"/>
    <n v="85079"/>
    <m/>
    <m/>
    <s v="Q1"/>
    <e v="#REF!"/>
    <e v="#REF!"/>
    <e v="#REF!"/>
  </r>
  <r>
    <s v="161000"/>
    <x v="6"/>
    <s v="EMPRUNTS OBLIGATAIRES CONVERTIBLES"/>
    <s v="OD"/>
    <n v="-50241.87"/>
    <d v="2025-03-01T00:00:00"/>
    <s v="INTERETS 2025 OC CAPITALISATION"/>
    <m/>
    <e v="#N/A"/>
    <e v="#N/A"/>
    <n v="85081"/>
    <m/>
    <m/>
    <s v="Q1"/>
    <e v="#REF!"/>
    <e v="#REF!"/>
    <e v="#REF!"/>
  </r>
  <r>
    <s v="161000"/>
    <x v="6"/>
    <s v="EMPRUNTS OBLIGATAIRES CONVERTIBLES"/>
    <s v="OD"/>
    <n v="-50241.87"/>
    <d v="2025-04-01T00:00:00"/>
    <s v="INTERETS 2025 OC CAPITALISATION"/>
    <m/>
    <e v="#N/A"/>
    <e v="#N/A"/>
    <n v="85083"/>
    <m/>
    <m/>
    <s v="Q2"/>
    <e v="#REF!"/>
    <e v="#REF!"/>
    <e v="#REF!"/>
  </r>
  <r>
    <s v="161000"/>
    <x v="6"/>
    <s v="EMPRUNTS OBLIGATAIRES CONVERTIBLES"/>
    <s v="OD"/>
    <n v="-50241.87"/>
    <d v="2025-05-01T00:00:00"/>
    <s v="INTERETS 2025 OC CAPITALISATION"/>
    <m/>
    <e v="#N/A"/>
    <e v="#N/A"/>
    <n v="85085"/>
    <m/>
    <m/>
    <s v="Q2"/>
    <e v="#REF!"/>
    <e v="#REF!"/>
    <e v="#REF!"/>
  </r>
  <r>
    <s v="161000"/>
    <x v="6"/>
    <s v="EMPRUNTS OBLIGATAIRES CONVERTIBLES"/>
    <s v="OD"/>
    <n v="-50241.87"/>
    <d v="2025-06-01T00:00:00"/>
    <s v="INTERETS 2025 OC CAPITALISATION"/>
    <m/>
    <e v="#N/A"/>
    <e v="#N/A"/>
    <n v="85087"/>
    <m/>
    <m/>
    <s v="Q2"/>
    <e v="#REF!"/>
    <e v="#REF!"/>
    <e v="#REF!"/>
  </r>
  <r>
    <s v="161000"/>
    <x v="6"/>
    <s v="EMPRUNTS OBLIGATAIRES CONVERTIBLES"/>
    <s v="OD"/>
    <n v="-50241.87"/>
    <d v="2025-07-01T00:00:00"/>
    <s v="INTERETS 2025 OC CAPITALISATION"/>
    <m/>
    <e v="#N/A"/>
    <e v="#N/A"/>
    <n v="85089"/>
    <m/>
    <m/>
    <s v="Q3"/>
    <e v="#REF!"/>
    <e v="#REF!"/>
    <e v="#REF!"/>
  </r>
  <r>
    <s v="161000"/>
    <x v="6"/>
    <s v="EMPRUNTS OBLIGATAIRES CONVERTIBLES"/>
    <s v="OD"/>
    <n v="-50241.87"/>
    <d v="2025-08-01T00:00:00"/>
    <s v="INTERETS 2025 OC CAPITALISATION"/>
    <m/>
    <e v="#N/A"/>
    <e v="#N/A"/>
    <n v="85091"/>
    <m/>
    <m/>
    <s v="Q3"/>
    <e v="#REF!"/>
    <e v="#REF!"/>
    <e v="#REF!"/>
  </r>
  <r>
    <s v="161000"/>
    <x v="6"/>
    <s v="EMPRUNTS OBLIGATAIRES CONVERTIBLES"/>
    <s v="OD"/>
    <n v="-50241.87"/>
    <d v="2025-09-01T00:00:00"/>
    <s v="INTERETS 2025 OC CAPITALISATION"/>
    <m/>
    <e v="#N/A"/>
    <e v="#N/A"/>
    <n v="85093"/>
    <m/>
    <m/>
    <s v="Q3"/>
    <e v="#REF!"/>
    <e v="#REF!"/>
    <e v="#REF!"/>
  </r>
  <r>
    <s v="161000"/>
    <x v="6"/>
    <s v="EMPRUNTS OBLIGATAIRES CONVERTIBLES"/>
    <s v="OD"/>
    <n v="-24052.01"/>
    <d v="2025-10-15T00:00:00"/>
    <s v="INTERETS 2025 OC CAPITALISATION"/>
    <m/>
    <e v="#N/A"/>
    <e v="#N/A"/>
    <n v="85095"/>
    <m/>
    <m/>
    <s v="Q4"/>
    <e v="#REF!"/>
    <e v="#REF!"/>
    <e v="#REF!"/>
  </r>
  <r>
    <s v="161000"/>
    <x v="6"/>
    <s v="EMPRUNTS OBLIGATAIRES CONVERTIBLES"/>
    <s v="OD"/>
    <n v="8837148.5800000001"/>
    <d v="2025-10-15T00:00:00"/>
    <s v="CONVERSION OC AU 15 OCT 2025"/>
    <m/>
    <e v="#N/A"/>
    <e v="#N/A"/>
    <n v="85099"/>
    <m/>
    <m/>
    <s v="Q4"/>
    <e v="#REF!"/>
    <e v="#REF!"/>
    <e v="#REF!"/>
  </r>
  <r>
    <s v="164110"/>
    <x v="6"/>
    <s v="PRET BP N°2 (LT) 08815036"/>
    <s v="AN"/>
    <n v="-168034.77"/>
    <d v="2025-01-01T00:00:00"/>
    <s v="Report à nouveau Exercice 2025"/>
    <m/>
    <e v="#N/A"/>
    <e v="#N/A"/>
    <n v="84577"/>
    <m/>
    <m/>
    <s v="Q1"/>
    <e v="#REF!"/>
    <e v="#REF!"/>
    <e v="#REF!"/>
  </r>
  <r>
    <s v="164110"/>
    <x v="6"/>
    <s v="PRET BP N°2 (LT) 08815036"/>
    <s v="BPRI"/>
    <n v="7933.26"/>
    <d v="2025-01-31T00:00:00"/>
    <s v="Prélèvement Emprunt"/>
    <m/>
    <e v="#N/A"/>
    <e v="#N/A"/>
    <n v="21152"/>
    <s v="8815036"/>
    <m/>
    <s v="Q1"/>
    <e v="#REF!"/>
    <e v="#REF!"/>
    <e v="#REF!"/>
  </r>
  <r>
    <s v="164110"/>
    <x v="6"/>
    <s v="PRET BP N°2 (LT) 08815036"/>
    <s v="BPRI"/>
    <n v="7938.08"/>
    <d v="2025-03-01T00:00:00"/>
    <s v="Prélèvement Emprunt"/>
    <m/>
    <e v="#N/A"/>
    <e v="#N/A"/>
    <n v="58993"/>
    <m/>
    <m/>
    <s v="Q1"/>
    <e v="#REF!"/>
    <e v="#REF!"/>
    <e v="#REF!"/>
  </r>
  <r>
    <s v="164110"/>
    <x v="6"/>
    <s v="PRET BP N°2 (LT) 08815036"/>
    <s v="BPRI"/>
    <n v="7942.91"/>
    <d v="2025-04-01T00:00:00"/>
    <s v="Prélèvement Emprunt"/>
    <m/>
    <e v="#N/A"/>
    <e v="#N/A"/>
    <n v="66457"/>
    <m/>
    <m/>
    <s v="Q2"/>
    <e v="#REF!"/>
    <e v="#REF!"/>
    <e v="#REF!"/>
  </r>
  <r>
    <s v="164110"/>
    <x v="6"/>
    <s v="PRET BP N°2 (LT) 08815036"/>
    <s v="BPRI"/>
    <n v="7947.74"/>
    <d v="2025-05-02T00:00:00"/>
    <s v="Echéance de prêt"/>
    <m/>
    <e v="#N/A"/>
    <e v="#N/A"/>
    <n v="70654"/>
    <m/>
    <m/>
    <s v="Q2"/>
    <e v="#REF!"/>
    <e v="#REF!"/>
    <e v="#REF!"/>
  </r>
  <r>
    <s v="164110"/>
    <x v="6"/>
    <s v="PRET BP N°2 (LT) 08815036"/>
    <s v="BPRI"/>
    <n v="7952.58"/>
    <d v="2025-05-31T00:00:00"/>
    <s v="Prélèvement échéance prêt"/>
    <m/>
    <e v="#N/A"/>
    <e v="#N/A"/>
    <n v="75203"/>
    <m/>
    <m/>
    <s v="Q2"/>
    <e v="#REF!"/>
    <e v="#REF!"/>
    <e v="#REF!"/>
  </r>
  <r>
    <s v="512100"/>
    <x v="6"/>
    <s v="BANQUE POPULAIRE RIVE DE PARIS"/>
    <s v="BPRI"/>
    <n v="-1100"/>
    <d v="2025-09-18T00:00:00"/>
    <s v="/170925 CB    3583/LIB/LE MAS DES AMANF"/>
    <m/>
    <e v="#N/A"/>
    <e v="#N/A"/>
    <n v="82447"/>
    <m/>
    <s v="DOMAINE DE CHRISTIN SAS"/>
    <s v="Q3"/>
    <e v="#REF!"/>
    <e v="#REF!"/>
    <e v="#REF!"/>
  </r>
  <r>
    <s v="409100"/>
    <x v="6"/>
    <s v="FOURNISSEURS - AVANCES ET ACOMPTES CMDES"/>
    <s v="BPRI"/>
    <n v="1100"/>
    <d v="2025-09-18T00:00:00"/>
    <s v="/170925 CB    3583/LIB/LE MAS DES AMANF - PROVISION SUR CHARGE"/>
    <m/>
    <e v="#N/A"/>
    <e v="#N/A"/>
    <n v="82448"/>
    <m/>
    <s v="DOMAINE DE CHRISTIN SAS"/>
    <s v="Q3"/>
    <e v="#REF!"/>
    <e v="#REF!"/>
    <e v="#REF!"/>
  </r>
  <r>
    <s v="401000"/>
    <x v="6"/>
    <s v="FOURNISSEURS"/>
    <s v="BPRI"/>
    <n v="152"/>
    <d v="2025-12-03T00:00:00"/>
    <s v="/LIB/021225 CB    6880/LIB/SNCF-VOYAGEURS F/LIB/021225 CB    6880/LIB/SNCF-VOYAGEURS FR PARIS 10/LIB/152,00EUR 1 EURO   1,000000"/>
    <m/>
    <e v="#N/A"/>
    <e v="#N/A"/>
    <n v="91319"/>
    <m/>
    <s v="SNCF"/>
    <s v="Q4"/>
    <e v="#REF!"/>
    <e v="#REF!"/>
    <e v="#REF!"/>
  </r>
  <r>
    <s v="512100"/>
    <x v="6"/>
    <s v="BANQUE POPULAIRE RIVE DE PARIS"/>
    <s v="BPRI"/>
    <n v="-152"/>
    <d v="2025-12-03T00:00:00"/>
    <s v="/LIB/021225 CB    6880/LIB/SNCF-VOYAGEURS F/LIB/021225 CB    6880/LIB/SNCF-VOYAGEURS FR PARIS 10/LIB/152,00EUR 1 EURO   1,000000"/>
    <m/>
    <e v="#N/A"/>
    <e v="#N/A"/>
    <n v="91318"/>
    <m/>
    <s v="SNCF"/>
    <s v="Q4"/>
    <e v="#REF!"/>
    <e v="#REF!"/>
    <e v="#REF!"/>
  </r>
  <r>
    <s v="401000"/>
    <x v="6"/>
    <s v="FOURNISSEURS"/>
    <s v="BPRI"/>
    <n v="17.600000000000001"/>
    <d v="2025-11-05T00:00:00"/>
    <s v="/LIB/041125 CB    6880/LIB/LAPOSTE L940430F/LIB/041125 CB    6880/LIB/LAPOSTE L940430FR KREMLIN BICE/LIB/17,60EUR 1 EURO   1,000"/>
    <m/>
    <e v="#N/A"/>
    <e v="#N/A"/>
    <n v="89259"/>
    <m/>
    <s v="LA POSTE"/>
    <s v="Q4"/>
    <e v="#REF!"/>
    <e v="#REF!"/>
    <e v="#REF!"/>
  </r>
  <r>
    <s v="512100"/>
    <x v="6"/>
    <s v="BANQUE POPULAIRE RIVE DE PARIS"/>
    <s v="BPRI"/>
    <n v="-17.600000000000001"/>
    <d v="2025-11-05T00:00:00"/>
    <s v="/LIB/041125 CB    6880/LIB/LAPOSTE L940430F/LIB/041125 CB    6880/LIB/LAPOSTE L940430FR KREMLIN BICE/LIB/17,60EUR 1 EURO   1,000"/>
    <m/>
    <e v="#N/A"/>
    <e v="#N/A"/>
    <n v="89258"/>
    <m/>
    <s v="LA POSTE"/>
    <s v="Q4"/>
    <e v="#REF!"/>
    <e v="#REF!"/>
    <e v="#REF!"/>
  </r>
  <r>
    <s v="401000"/>
    <x v="6"/>
    <s v="FOURNISSEURS"/>
    <s v="BPRI"/>
    <n v="7.96"/>
    <d v="2025-12-05T00:00:00"/>
    <s v="/LIB/041225 CB    6880/LIB/LAPOSTE L940430F/LIB/041225 CB    6880/LIB/LAPOSTE L940430FR KREMLIN BICE/LIB/7,96EUR 1 EURO   1,0000"/>
    <m/>
    <e v="#N/A"/>
    <e v="#N/A"/>
    <n v="91863"/>
    <m/>
    <s v="LA POSTE"/>
    <s v="Q4"/>
    <e v="#REF!"/>
    <e v="#REF!"/>
    <e v="#REF!"/>
  </r>
  <r>
    <s v="164110"/>
    <x v="6"/>
    <s v="PRET BP N°2 (LT) 08815036"/>
    <s v="JC"/>
    <n v="-8030.3"/>
    <d v="2025-01-01T00:00:00"/>
    <s v="ECHÉANCIER EMPRUNT"/>
    <m/>
    <e v="#N/A"/>
    <e v="#N/A"/>
    <n v="75331"/>
    <s v="Echéancier Emprunt"/>
    <m/>
    <s v="Q1"/>
    <e v="#REF!"/>
    <e v="#REF!"/>
    <e v="#REF!"/>
  </r>
  <r>
    <s v="164110"/>
    <x v="6"/>
    <s v="PRET BP N°2 (LT) 08815036"/>
    <s v="JC"/>
    <n v="-8025.46"/>
    <d v="2025-01-01T00:00:00"/>
    <s v="ECHÉANCIER EMPRUNT"/>
    <m/>
    <e v="#N/A"/>
    <e v="#N/A"/>
    <n v="75330"/>
    <s v="Echéancier Emprunt"/>
    <m/>
    <s v="Q1"/>
    <e v="#REF!"/>
    <e v="#REF!"/>
    <e v="#REF!"/>
  </r>
  <r>
    <s v="164110"/>
    <x v="6"/>
    <s v="PRET BP N°2 (LT) 08815036"/>
    <s v="JC"/>
    <n v="-8020.58"/>
    <d v="2025-01-01T00:00:00"/>
    <s v="ECHÉANCIER EMPRUNT"/>
    <m/>
    <e v="#N/A"/>
    <e v="#N/A"/>
    <n v="75329"/>
    <s v="Echéancier Emprunt"/>
    <m/>
    <s v="Q1"/>
    <e v="#REF!"/>
    <e v="#REF!"/>
    <e v="#REF!"/>
  </r>
  <r>
    <s v="164110"/>
    <x v="6"/>
    <s v="PRET BP N°2 (LT) 08815036"/>
    <s v="JC"/>
    <n v="-8015.7"/>
    <d v="2025-01-01T00:00:00"/>
    <s v="ECHÉANCIER EMPRUNT"/>
    <m/>
    <e v="#N/A"/>
    <e v="#N/A"/>
    <n v="75328"/>
    <s v="Echéancier Emprunt"/>
    <m/>
    <s v="Q1"/>
    <e v="#REF!"/>
    <e v="#REF!"/>
    <e v="#REF!"/>
  </r>
  <r>
    <s v="164110"/>
    <x v="6"/>
    <s v="PRET BP N°2 (LT) 08815036"/>
    <s v="JC"/>
    <n v="-8010.82"/>
    <d v="2025-01-01T00:00:00"/>
    <s v="ECHÉANCIER EMPRUNT"/>
    <m/>
    <e v="#N/A"/>
    <e v="#N/A"/>
    <n v="75327"/>
    <s v="Echéancier Emprunt"/>
    <m/>
    <s v="Q1"/>
    <e v="#REF!"/>
    <e v="#REF!"/>
    <e v="#REF!"/>
  </r>
  <r>
    <s v="164110"/>
    <x v="6"/>
    <s v="PRET BP N°2 (LT) 08815036"/>
    <s v="JC"/>
    <n v="-8005.95"/>
    <d v="2025-01-01T00:00:00"/>
    <s v="ECHÉANCIER EMPRUNT"/>
    <m/>
    <e v="#N/A"/>
    <e v="#N/A"/>
    <n v="75326"/>
    <s v="Echéancier Emprunt"/>
    <m/>
    <s v="Q1"/>
    <e v="#REF!"/>
    <e v="#REF!"/>
    <e v="#REF!"/>
  </r>
  <r>
    <s v="164110"/>
    <x v="6"/>
    <s v="PRET BP N°2 (LT) 08815036"/>
    <s v="JC"/>
    <n v="-8001.09"/>
    <d v="2025-01-01T00:00:00"/>
    <s v="ECHÉANCIER EMPRUNT"/>
    <m/>
    <e v="#N/A"/>
    <e v="#N/A"/>
    <n v="75325"/>
    <s v="Echéancier Emprunt"/>
    <m/>
    <s v="Q1"/>
    <e v="#REF!"/>
    <e v="#REF!"/>
    <e v="#REF!"/>
  </r>
  <r>
    <s v="164110"/>
    <x v="6"/>
    <s v="PRET BP N°2 (LT) 08815036"/>
    <s v="JC"/>
    <n v="-7996.22"/>
    <d v="2025-01-01T00:00:00"/>
    <s v="ECHÉANCIER EMPRUNT"/>
    <m/>
    <e v="#N/A"/>
    <e v="#N/A"/>
    <n v="75324"/>
    <s v="Echéancier Emprunt"/>
    <m/>
    <s v="Q1"/>
    <e v="#REF!"/>
    <e v="#REF!"/>
    <e v="#REF!"/>
  </r>
  <r>
    <s v="164110"/>
    <x v="6"/>
    <s v="PRET BP N°2 (LT) 08815036"/>
    <s v="JC"/>
    <n v="-7991.36"/>
    <d v="2025-01-01T00:00:00"/>
    <s v="ECHÉANCIER EMPRUNT"/>
    <m/>
    <e v="#N/A"/>
    <e v="#N/A"/>
    <n v="75323"/>
    <s v="Echéancier Emprunt"/>
    <m/>
    <s v="Q1"/>
    <e v="#REF!"/>
    <e v="#REF!"/>
    <e v="#REF!"/>
  </r>
  <r>
    <s v="164110"/>
    <x v="6"/>
    <s v="PRET BP N°2 (LT) 08815036"/>
    <s v="JC"/>
    <n v="-7986.5"/>
    <d v="2025-01-01T00:00:00"/>
    <s v="ECHÉANCIER EMPRUNT"/>
    <m/>
    <e v="#N/A"/>
    <e v="#N/A"/>
    <n v="75322"/>
    <s v="Echéancier Emprunt"/>
    <m/>
    <s v="Q1"/>
    <e v="#REF!"/>
    <e v="#REF!"/>
    <e v="#REF!"/>
  </r>
  <r>
    <s v="164110"/>
    <x v="6"/>
    <s v="PRET BP N°2 (LT) 08815036"/>
    <s v="JC"/>
    <n v="-7981.64"/>
    <d v="2025-01-01T00:00:00"/>
    <s v="ECHÉANCIER EMPRUNT"/>
    <m/>
    <e v="#N/A"/>
    <e v="#N/A"/>
    <n v="75321"/>
    <s v="Echéancier Emprunt"/>
    <m/>
    <s v="Q1"/>
    <e v="#REF!"/>
    <e v="#REF!"/>
    <e v="#REF!"/>
  </r>
  <r>
    <s v="164110"/>
    <x v="6"/>
    <s v="PRET BP N°2 (LT) 08815036"/>
    <s v="JC"/>
    <n v="-7976.8"/>
    <d v="2025-01-01T00:00:00"/>
    <s v="ECHÉANCIER EMPRUNT"/>
    <m/>
    <e v="#N/A"/>
    <e v="#N/A"/>
    <n v="75320"/>
    <s v="Echéancier Emprunt"/>
    <m/>
    <s v="Q1"/>
    <e v="#REF!"/>
    <e v="#REF!"/>
    <e v="#REF!"/>
  </r>
  <r>
    <s v="164110"/>
    <x v="6"/>
    <s v="PRET BP N°2 (LT) 08815036"/>
    <s v="JC"/>
    <n v="-7971.95"/>
    <d v="2025-01-01T00:00:00"/>
    <s v="ECHÉANCIER EMPRUNT"/>
    <m/>
    <e v="#N/A"/>
    <e v="#N/A"/>
    <n v="75319"/>
    <s v="Echéancier Emprunt"/>
    <m/>
    <s v="Q1"/>
    <e v="#REF!"/>
    <e v="#REF!"/>
    <e v="#REF!"/>
  </r>
  <r>
    <s v="164110"/>
    <x v="6"/>
    <s v="PRET BP N°2 (LT) 08815036"/>
    <s v="JC"/>
    <n v="-7967.1"/>
    <d v="2025-01-01T00:00:00"/>
    <s v="ECHÉANCIER EMPRUNT"/>
    <m/>
    <e v="#N/A"/>
    <e v="#N/A"/>
    <n v="75318"/>
    <s v="Echéancier Emprunt"/>
    <m/>
    <s v="Q1"/>
    <e v="#REF!"/>
    <e v="#REF!"/>
    <e v="#REF!"/>
  </r>
  <r>
    <s v="164110"/>
    <x v="6"/>
    <s v="PRET BP N°2 (LT) 08815036"/>
    <s v="JC"/>
    <n v="-7962.25"/>
    <d v="2025-01-01T00:00:00"/>
    <s v="ECHÉANCIER EMPRUNT"/>
    <m/>
    <e v="#N/A"/>
    <e v="#N/A"/>
    <n v="75317"/>
    <s v="Echéancier Emprunt"/>
    <m/>
    <s v="Q1"/>
    <e v="#REF!"/>
    <e v="#REF!"/>
    <e v="#REF!"/>
  </r>
  <r>
    <s v="164110"/>
    <x v="6"/>
    <s v="PRET BP N°2 (LT) 08815036"/>
    <s v="JC"/>
    <n v="-7957.42"/>
    <d v="2025-01-01T00:00:00"/>
    <s v="ECHÉANCIER EMPRUNT"/>
    <m/>
    <e v="#N/A"/>
    <e v="#N/A"/>
    <n v="75316"/>
    <s v="Echéancier Emprunt"/>
    <m/>
    <s v="Q1"/>
    <e v="#REF!"/>
    <e v="#REF!"/>
    <e v="#REF!"/>
  </r>
  <r>
    <s v="164110"/>
    <x v="6"/>
    <s v="PRET BP N°2 (LT) 08815036"/>
    <s v="JC"/>
    <n v="-7952.58"/>
    <d v="2025-01-01T00:00:00"/>
    <s v="ECHÉANCIER EMPRUNT"/>
    <m/>
    <e v="#N/A"/>
    <e v="#N/A"/>
    <n v="75315"/>
    <s v="Echéancier Emprunt"/>
    <m/>
    <s v="Q1"/>
    <e v="#REF!"/>
    <e v="#REF!"/>
    <e v="#REF!"/>
  </r>
  <r>
    <s v="164110"/>
    <x v="6"/>
    <s v="PRET BP N°2 (LT) 08815036"/>
    <s v="JC"/>
    <n v="-7947.74"/>
    <d v="2025-01-01T00:00:00"/>
    <s v="ECHÉANCIER EMPRUNT"/>
    <m/>
    <e v="#N/A"/>
    <e v="#N/A"/>
    <n v="75314"/>
    <s v="Echéancier Emprunt"/>
    <m/>
    <s v="Q1"/>
    <e v="#REF!"/>
    <e v="#REF!"/>
    <e v="#REF!"/>
  </r>
  <r>
    <s v="164110"/>
    <x v="6"/>
    <s v="PRET BP N°2 (LT) 08815036"/>
    <s v="JC"/>
    <n v="-7942.91"/>
    <d v="2025-01-01T00:00:00"/>
    <s v="ECHÉANCIER EMPRUNT"/>
    <m/>
    <e v="#N/A"/>
    <e v="#N/A"/>
    <n v="75313"/>
    <s v="Echéancier Emprunt"/>
    <m/>
    <s v="Q1"/>
    <e v="#REF!"/>
    <e v="#REF!"/>
    <e v="#REF!"/>
  </r>
  <r>
    <s v="164110"/>
    <x v="6"/>
    <s v="PRET BP N°2 (LT) 08815036"/>
    <s v="JC"/>
    <n v="-7938.08"/>
    <d v="2025-01-01T00:00:00"/>
    <s v="ECHÉANCIER EMPRUNT"/>
    <m/>
    <e v="#N/A"/>
    <e v="#N/A"/>
    <n v="75312"/>
    <s v="Echéancier Emprunt"/>
    <m/>
    <s v="Q1"/>
    <e v="#REF!"/>
    <e v="#REF!"/>
    <e v="#REF!"/>
  </r>
  <r>
    <s v="164110"/>
    <x v="6"/>
    <s v="PRET BP N°2 (LT) 08815036"/>
    <s v="JC"/>
    <n v="-7933.26"/>
    <d v="2025-01-01T00:00:00"/>
    <s v="ECHÉANCIER EMPRUNT"/>
    <m/>
    <e v="#N/A"/>
    <e v="#N/A"/>
    <n v="75311"/>
    <s v="Echéancier Emprunt"/>
    <m/>
    <s v="Q1"/>
    <e v="#REF!"/>
    <e v="#REF!"/>
    <e v="#REF!"/>
  </r>
  <r>
    <s v="164110"/>
    <x v="6"/>
    <s v="PRET BP N°2 (LT) 08815036"/>
    <s v="JC"/>
    <n v="-419.06"/>
    <d v="2025-01-01T00:00:00"/>
    <s v="ECHÉANCIER EMPRUNT"/>
    <m/>
    <e v="#N/A"/>
    <e v="#N/A"/>
    <n v="75343"/>
    <s v="Echéancier Emprunt"/>
    <m/>
    <s v="Q1"/>
    <e v="#REF!"/>
    <e v="#REF!"/>
    <e v="#REF!"/>
  </r>
  <r>
    <s v="164110"/>
    <x v="6"/>
    <s v="PRET BP N°2 (LT) 08815036"/>
    <s v="JC"/>
    <n v="419.06"/>
    <d v="2025-01-01T00:00:00"/>
    <s v="ECHÉANCIER EMPRUNT"/>
    <m/>
    <e v="#N/A"/>
    <e v="#N/A"/>
    <n v="75344"/>
    <s v="Echéancier Emprunt"/>
    <m/>
    <s v="Q1"/>
    <e v="#REF!"/>
    <e v="#REF!"/>
    <e v="#REF!"/>
  </r>
  <r>
    <s v="164110"/>
    <x v="6"/>
    <s v="PRET BP N°2 (LT) 08815036"/>
    <s v="JC"/>
    <n v="168034.77"/>
    <d v="2025-01-01T00:00:00"/>
    <s v="ECHÉANCIER EMPRUNT"/>
    <m/>
    <e v="#N/A"/>
    <e v="#N/A"/>
    <n v="75310"/>
    <s v="Echéancier Emprunt"/>
    <m/>
    <s v="Q1"/>
    <e v="#REF!"/>
    <e v="#REF!"/>
    <e v="#REF!"/>
  </r>
  <r>
    <s v="164120"/>
    <x v="6"/>
    <s v="PRET 500K BP 08857432"/>
    <s v="AN"/>
    <n v="-85060.31"/>
    <d v="2025-01-01T00:00:00"/>
    <s v="Report à nouveau Exercice 2025"/>
    <m/>
    <e v="#N/A"/>
    <e v="#N/A"/>
    <n v="84578"/>
    <m/>
    <m/>
    <s v="Q1"/>
    <e v="#REF!"/>
    <e v="#REF!"/>
    <e v="#REF!"/>
  </r>
  <r>
    <s v="164120"/>
    <x v="6"/>
    <s v="PRET 500K BP 08857432"/>
    <s v="BPRI"/>
    <n v="14128.06"/>
    <d v="2025-01-29T00:00:00"/>
    <s v="ECHEANCE PRET"/>
    <m/>
    <e v="#N/A"/>
    <e v="#N/A"/>
    <n v="21101"/>
    <s v="8857432"/>
    <m/>
    <s v="Q1"/>
    <e v="#REF!"/>
    <e v="#REF!"/>
    <e v="#REF!"/>
  </r>
  <r>
    <s v="164120"/>
    <x v="6"/>
    <s v="PRET 500K BP 08857432"/>
    <s v="BPRI"/>
    <n v="14147.49"/>
    <d v="2025-03-01T00:00:00"/>
    <s v="Prélèvement Emprunts"/>
    <m/>
    <e v="#N/A"/>
    <e v="#N/A"/>
    <n v="58989"/>
    <m/>
    <m/>
    <s v="Q1"/>
    <e v="#REF!"/>
    <e v="#REF!"/>
    <e v="#REF!"/>
  </r>
  <r>
    <s v="164120"/>
    <x v="6"/>
    <s v="PRET 500K BP 08857432"/>
    <s v="BPRI"/>
    <n v="14166.94"/>
    <d v="2025-03-29T00:00:00"/>
    <s v="Prélèvement BPI"/>
    <m/>
    <e v="#N/A"/>
    <e v="#N/A"/>
    <n v="66438"/>
    <m/>
    <m/>
    <s v="Q1"/>
    <e v="#REF!"/>
    <e v="#REF!"/>
    <e v="#REF!"/>
  </r>
  <r>
    <s v="164120"/>
    <x v="6"/>
    <s v="PRET 500K BP 08857432"/>
    <s v="BPRI"/>
    <n v="14186.42"/>
    <d v="2025-04-29T00:00:00"/>
    <s v="Echéance Prêt"/>
    <m/>
    <e v="#N/A"/>
    <e v="#N/A"/>
    <n v="70461"/>
    <m/>
    <m/>
    <s v="Q2"/>
    <e v="#REF!"/>
    <e v="#REF!"/>
    <e v="#REF!"/>
  </r>
  <r>
    <s v="164120"/>
    <x v="6"/>
    <s v="PRET 500K BP 08857432"/>
    <s v="BPRI"/>
    <n v="14205.93"/>
    <d v="2025-05-30T00:00:00"/>
    <s v="Prélèvement BPI"/>
    <m/>
    <e v="#N/A"/>
    <e v="#N/A"/>
    <n v="74999"/>
    <m/>
    <m/>
    <s v="Q2"/>
    <e v="#REF!"/>
    <e v="#REF!"/>
    <e v="#REF!"/>
  </r>
  <r>
    <s v="512100"/>
    <x v="6"/>
    <s v="BANQUE POPULAIRE RIVE DE PARIS"/>
    <s v="BPRI"/>
    <n v="-7.96"/>
    <d v="2025-12-05T00:00:00"/>
    <s v="/LIB/041225 CB    6880/LIB/LAPOSTE L940430F/LIB/041225 CB    6880/LIB/LAPOSTE L940430FR KREMLIN BICE/LIB/7,96EUR 1 EURO   1,0000"/>
    <m/>
    <e v="#N/A"/>
    <e v="#N/A"/>
    <n v="91862"/>
    <m/>
    <s v="LA POSTE"/>
    <s v="Q4"/>
    <e v="#REF!"/>
    <e v="#REF!"/>
    <e v="#REF!"/>
  </r>
  <r>
    <s v="164210"/>
    <x v="6"/>
    <s v="PRET BPI"/>
    <s v="AN"/>
    <n v="-5000"/>
    <d v="2025-01-01T00:00:00"/>
    <s v="Report à nouveau Exercice 2025"/>
    <m/>
    <e v="#N/A"/>
    <e v="#N/A"/>
    <n v="84579"/>
    <m/>
    <m/>
    <s v="Q1"/>
    <e v="#REF!"/>
    <e v="#REF!"/>
    <e v="#REF!"/>
  </r>
  <r>
    <s v="164210"/>
    <x v="6"/>
    <s v="PRET BPI"/>
    <s v="BPRI"/>
    <n v="2500"/>
    <d v="2025-01-02T00:00:00"/>
    <s v="PRLV SEPA BPIFRANCE"/>
    <m/>
    <e v="#N/A"/>
    <e v="#N/A"/>
    <n v="20856"/>
    <s v="06WURVS"/>
    <m/>
    <s v="Q1"/>
    <e v="#REF!"/>
    <e v="#REF!"/>
    <e v="#REF!"/>
  </r>
  <r>
    <s v="164210"/>
    <x v="6"/>
    <s v="PRET BPI"/>
    <s v="BPRI"/>
    <n v="2500"/>
    <d v="2025-03-31T00:00:00"/>
    <s v="Prélèvement BPI"/>
    <m/>
    <e v="#N/A"/>
    <e v="#N/A"/>
    <n v="66462"/>
    <m/>
    <m/>
    <s v="Q1"/>
    <e v="#REF!"/>
    <e v="#REF!"/>
    <e v="#REF!"/>
  </r>
  <r>
    <s v="164220"/>
    <x v="6"/>
    <s v="BPI - Emprunt Amorçage FEI - DOS009339700 "/>
    <s v="AN"/>
    <n v="-150000"/>
    <d v="2025-01-01T00:00:00"/>
    <s v="Report à nouveau Exercice 2025"/>
    <m/>
    <e v="#N/A"/>
    <e v="#N/A"/>
    <n v="84580"/>
    <m/>
    <m/>
    <s v="Q1"/>
    <e v="#REF!"/>
    <e v="#REF!"/>
    <e v="#REF!"/>
  </r>
  <r>
    <s v="401000"/>
    <x v="6"/>
    <s v="FOURNISSEURS"/>
    <s v="BPRI"/>
    <n v="18"/>
    <d v="2025-12-08T00:00:00"/>
    <s v="/LIB/061225 CB    3583/LIB/SNCF-VOYAGEURS F/LIB/061225 CB    3583/LIB/SNCF-VOYAGEURS FR PARIS 10/LIB/18,00EUR 1 EURO   1,000000"/>
    <m/>
    <e v="#N/A"/>
    <e v="#N/A"/>
    <n v="91893"/>
    <m/>
    <s v="SNCF"/>
    <s v="Q4"/>
    <e v="#REF!"/>
    <e v="#REF!"/>
    <e v="#REF!"/>
  </r>
  <r>
    <s v="164220"/>
    <x v="6"/>
    <s v="BPI - Emprunt Amorçage FEI - DOS009339700 "/>
    <s v="BPRI"/>
    <n v="12500"/>
    <d v="2025-01-02T00:00:00"/>
    <s v="PRLV SEPA BPIFRANCE"/>
    <m/>
    <e v="#N/A"/>
    <e v="#N/A"/>
    <n v="20862"/>
    <s v="06WUS9I"/>
    <m/>
    <s v="Q1"/>
    <e v="#REF!"/>
    <e v="#REF!"/>
    <e v="#REF!"/>
  </r>
  <r>
    <s v="164220"/>
    <x v="6"/>
    <s v="BPI - Emprunt Amorçage FEI - DOS009339700 "/>
    <s v="BPRI"/>
    <n v="12500"/>
    <d v="2025-03-31T00:00:00"/>
    <s v="Prélèvement BPI"/>
    <m/>
    <e v="#N/A"/>
    <e v="#N/A"/>
    <n v="66455"/>
    <m/>
    <m/>
    <s v="Q1"/>
    <e v="#REF!"/>
    <e v="#REF!"/>
    <e v="#REF!"/>
  </r>
  <r>
    <s v="512100"/>
    <x v="6"/>
    <s v="BANQUE POPULAIRE RIVE DE PARIS"/>
    <s v="BPRI"/>
    <n v="-18"/>
    <d v="2025-12-08T00:00:00"/>
    <s v="/LIB/061225 CB    3583/LIB/SNCF-VOYAGEURS F/LIB/061225 CB    3583/LIB/SNCF-VOYAGEURS FR PARIS 10/LIB/18,00EUR 1 EURO   1,000000"/>
    <m/>
    <e v="#N/A"/>
    <e v="#N/A"/>
    <n v="91892"/>
    <m/>
    <s v="SNCF"/>
    <s v="Q4"/>
    <e v="#REF!"/>
    <e v="#REF!"/>
    <e v="#REF!"/>
  </r>
  <r>
    <s v="164220"/>
    <x v="6"/>
    <s v="BPI - Emprunt Amorçage FEI - DOS009339700 "/>
    <s v="BPRI"/>
    <n v="12500"/>
    <d v="2025-09-30T00:00:00"/>
    <s v="PRLV SEPA BPIFRANCE"/>
    <m/>
    <e v="#N/A"/>
    <e v="#N/A"/>
    <n v="82650"/>
    <m/>
    <m/>
    <s v="Q3"/>
    <e v="#REF!"/>
    <e v="#REF!"/>
    <e v="#REF!"/>
  </r>
  <r>
    <s v="164220"/>
    <x v="6"/>
    <s v="BPI - Emprunt Amorçage FEI - DOS009339700 "/>
    <s v="OD"/>
    <n v="-9548"/>
    <d v="2025-12-31T00:00:00"/>
    <s v="Etalement échéance 2025_12"/>
    <m/>
    <e v="#N/A"/>
    <e v="#N/A"/>
    <n v="93915"/>
    <m/>
    <m/>
    <s v="Q4"/>
    <e v="#REF!"/>
    <e v="#REF!"/>
    <e v="#REF!"/>
  </r>
  <r>
    <s v="164220"/>
    <x v="6"/>
    <s v="BPI - Emprunt Amorçage FEI - DOS009339700 "/>
    <s v="OD"/>
    <n v="-2952"/>
    <d v="2025-12-31T00:00:00"/>
    <s v="Etalement échéance 2025_12"/>
    <m/>
    <e v="#N/A"/>
    <e v="#N/A"/>
    <n v="93916"/>
    <m/>
    <m/>
    <s v="Q4"/>
    <e v="#REF!"/>
    <e v="#REF!"/>
    <e v="#REF!"/>
  </r>
  <r>
    <s v="164220"/>
    <x v="6"/>
    <s v="BPI - Emprunt Amorçage FEI - DOS009339700 "/>
    <s v="OD"/>
    <n v="12500"/>
    <d v="2025-12-31T00:00:00"/>
    <s v="Etalement échéance 2025_12"/>
    <m/>
    <e v="#N/A"/>
    <e v="#N/A"/>
    <n v="93914"/>
    <m/>
    <m/>
    <s v="Q4"/>
    <e v="#REF!"/>
    <e v="#REF!"/>
    <e v="#REF!"/>
  </r>
  <r>
    <s v="164230"/>
    <x v="6"/>
    <s v="BPI 2 M€ DOS0220148/00"/>
    <s v="AN"/>
    <n v="-2000000"/>
    <d v="2025-01-01T00:00:00"/>
    <s v="Report à nouveau Exercice 2025"/>
    <m/>
    <e v="#N/A"/>
    <e v="#N/A"/>
    <n v="84581"/>
    <m/>
    <m/>
    <s v="Q1"/>
    <e v="#REF!"/>
    <e v="#REF!"/>
    <e v="#REF!"/>
  </r>
  <r>
    <s v="167400"/>
    <x v="6"/>
    <s v="AVANCE CONDITIONNÉE ETAT CMI BLUE 2"/>
    <s v="AN"/>
    <n v="-238025"/>
    <d v="2025-01-01T00:00:00"/>
    <s v="Report à nouveau Exercice 2025"/>
    <m/>
    <e v="#N/A"/>
    <e v="#N/A"/>
    <n v="84582"/>
    <m/>
    <m/>
    <s v="Q1"/>
    <e v="#REF!"/>
    <e v="#REF!"/>
    <e v="#REF!"/>
  </r>
  <r>
    <s v="401000"/>
    <x v="6"/>
    <s v="FOURNISSEURS"/>
    <s v="BPRI"/>
    <n v="55"/>
    <d v="2025-12-08T00:00:00"/>
    <s v="/LIB/061225 CB    3583/LIB/SNCF-VOYAGEURS F/LIB/061225 CB    3583/LIB/SNCF-VOYAGEURS FR PARIS 10/LIB/55,00EUR 1 EURO   1,000000"/>
    <m/>
    <e v="#N/A"/>
    <e v="#N/A"/>
    <n v="91896"/>
    <m/>
    <s v="SNCF"/>
    <s v="Q4"/>
    <e v="#REF!"/>
    <e v="#REF!"/>
    <e v="#REF!"/>
  </r>
  <r>
    <s v="167400"/>
    <x v="6"/>
    <s v="AVANCE CONDITIONNÉE ETAT CMI BLUE 2"/>
    <s v="OD"/>
    <n v="238025"/>
    <d v="2025-01-01T00:00:00"/>
    <s v="Echéancier Emprunt"/>
    <m/>
    <e v="#N/A"/>
    <e v="#N/A"/>
    <n v="73948"/>
    <m/>
    <m/>
    <s v="Q1"/>
    <e v="#REF!"/>
    <e v="#REF!"/>
    <e v="#REF!"/>
  </r>
  <r>
    <s v="167410"/>
    <x v="6"/>
    <s v="AVANCES CONDITIONNÉE BPI DOS0224590"/>
    <s v="AN"/>
    <n v="-99962"/>
    <d v="2025-01-01T00:00:00"/>
    <s v="Report à nouveau Exercice 2025"/>
    <m/>
    <e v="#N/A"/>
    <e v="#N/A"/>
    <n v="84583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24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25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27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29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30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31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32"/>
    <m/>
    <m/>
    <s v="Q1"/>
    <e v="#REF!"/>
    <e v="#REF!"/>
    <e v="#REF!"/>
  </r>
  <r>
    <s v="167410"/>
    <x v="6"/>
    <s v="AVANCES CONDITIONNÉE BPI DOS0224590"/>
    <s v="OD"/>
    <n v="-12495.25"/>
    <d v="2025-01-01T00:00:00"/>
    <s v="Echéancier Emprunt"/>
    <m/>
    <e v="#N/A"/>
    <e v="#N/A"/>
    <n v="73933"/>
    <m/>
    <m/>
    <s v="Q1"/>
    <e v="#REF!"/>
    <e v="#REF!"/>
    <e v="#REF!"/>
  </r>
  <r>
    <s v="167410"/>
    <x v="6"/>
    <s v="AVANCES CONDITIONNÉE BPI DOS0224590"/>
    <s v="OD"/>
    <n v="99962"/>
    <d v="2025-01-01T00:00:00"/>
    <s v="Echéancier Emprunt"/>
    <m/>
    <e v="#N/A"/>
    <e v="#N/A"/>
    <n v="73934"/>
    <m/>
    <m/>
    <s v="Q1"/>
    <e v="#REF!"/>
    <e v="#REF!"/>
    <e v="#REF!"/>
  </r>
  <r>
    <s v="167420"/>
    <x v="6"/>
    <s v="AVANCES CONDITIONN.ADEME 2382D0237"/>
    <s v="AN"/>
    <n v="-260163"/>
    <d v="2025-01-01T00:00:00"/>
    <s v="Report à nouveau Exercice 2025"/>
    <m/>
    <e v="#N/A"/>
    <e v="#N/A"/>
    <n v="84584"/>
    <m/>
    <m/>
    <s v="Q1"/>
    <e v="#REF!"/>
    <e v="#REF!"/>
    <e v="#REF!"/>
  </r>
  <r>
    <s v="512100"/>
    <x v="6"/>
    <s v="BANQUE POPULAIRE RIVE DE PARIS"/>
    <s v="BPRI"/>
    <n v="-55"/>
    <d v="2025-12-08T00:00:00"/>
    <s v="/LIB/061225 CB    3583/LIB/SNCF-VOYAGEURS F/LIB/061225 CB    3583/LIB/SNCF-VOYAGEURS FR PARIS 10/LIB/55,00EUR 1 EURO   1,000000"/>
    <m/>
    <e v="#N/A"/>
    <e v="#N/A"/>
    <n v="91895"/>
    <m/>
    <s v="SNCF"/>
    <s v="Q4"/>
    <e v="#REF!"/>
    <e v="#REF!"/>
    <e v="#REF!"/>
  </r>
  <r>
    <s v="167420"/>
    <x v="6"/>
    <s v="AVANCES CONDITIONN.ADEME 2382D0237"/>
    <s v="JC"/>
    <n v="-135264.5"/>
    <d v="2025-06-03T00:00:00"/>
    <s v="ECHÉANCIER EMPRUNT M12 - 2031_06"/>
    <m/>
    <e v="#N/A"/>
    <e v="#N/A"/>
    <n v="75336"/>
    <s v="Echéancier Emprunt"/>
    <m/>
    <s v="Q2"/>
    <e v="#REF!"/>
    <e v="#REF!"/>
    <e v="#REF!"/>
  </r>
  <r>
    <s v="167420"/>
    <x v="6"/>
    <s v="AVANCES CONDITIONN.ADEME 2382D0237"/>
    <s v="JC"/>
    <n v="-135264.5"/>
    <d v="2025-06-03T00:00:00"/>
    <s v="ECHÉANCIER EMPRUNT M12 - 2032_06"/>
    <m/>
    <e v="#N/A"/>
    <e v="#N/A"/>
    <n v="75337"/>
    <s v="Echéancier Emprunt"/>
    <m/>
    <s v="Q2"/>
    <e v="#REF!"/>
    <e v="#REF!"/>
    <e v="#REF!"/>
  </r>
  <r>
    <s v="167420"/>
    <x v="6"/>
    <s v="AVANCES CONDITIONN.ADEME 2382D0237"/>
    <s v="JC"/>
    <n v="-135264.5"/>
    <d v="2025-06-03T00:00:00"/>
    <s v="ECHÉANCIER EMPRUNT M12 - 2033_06"/>
    <m/>
    <e v="#N/A"/>
    <e v="#N/A"/>
    <n v="75338"/>
    <s v="Echéancier Emprunt"/>
    <m/>
    <s v="Q2"/>
    <e v="#REF!"/>
    <e v="#REF!"/>
    <e v="#REF!"/>
  </r>
  <r>
    <s v="167420"/>
    <x v="6"/>
    <s v="AVANCES CONDITIONN.ADEME 2382D0237"/>
    <s v="JC"/>
    <n v="-135264.5"/>
    <d v="2025-06-03T00:00:00"/>
    <s v="ECHÉANCIER EMPRUNT M12 - 2034_06"/>
    <m/>
    <e v="#N/A"/>
    <e v="#N/A"/>
    <n v="75339"/>
    <s v="Echéancier Emprunt"/>
    <m/>
    <s v="Q2"/>
    <e v="#REF!"/>
    <e v="#REF!"/>
    <e v="#REF!"/>
  </r>
  <r>
    <s v="167420"/>
    <x v="6"/>
    <s v="AVANCES CONDITIONN.ADEME 2382D0237"/>
    <s v="JC"/>
    <n v="541058"/>
    <d v="2025-06-03T00:00:00"/>
    <s v="ECHÉANCIER EMPRUNT"/>
    <m/>
    <e v="#N/A"/>
    <e v="#N/A"/>
    <n v="75335"/>
    <s v="Echéancier Emprunt"/>
    <m/>
    <s v="Q2"/>
    <e v="#REF!"/>
    <e v="#REF!"/>
    <e v="#REF!"/>
  </r>
  <r>
    <s v="167420"/>
    <x v="6"/>
    <s v="AVANCES CONDITIONN.ADEME 2382D0237"/>
    <s v="OD"/>
    <n v="-65040.75"/>
    <d v="2025-01-01T00:00:00"/>
    <s v="Echéancier Emprunt 2031_06"/>
    <m/>
    <e v="#N/A"/>
    <e v="#N/A"/>
    <n v="73935"/>
    <m/>
    <m/>
    <s v="Q1"/>
    <e v="#REF!"/>
    <e v="#REF!"/>
    <e v="#REF!"/>
  </r>
  <r>
    <s v="167420"/>
    <x v="6"/>
    <s v="AVANCES CONDITIONN.ADEME 2382D0237"/>
    <s v="OD"/>
    <n v="-65040.75"/>
    <d v="2025-01-01T00:00:00"/>
    <s v="Echéancier Emprunt 2032_06"/>
    <m/>
    <e v="#N/A"/>
    <e v="#N/A"/>
    <n v="73936"/>
    <m/>
    <m/>
    <s v="Q1"/>
    <e v="#REF!"/>
    <e v="#REF!"/>
    <e v="#REF!"/>
  </r>
  <r>
    <s v="167420"/>
    <x v="6"/>
    <s v="AVANCES CONDITIONN.ADEME 2382D0237"/>
    <s v="OD"/>
    <n v="-65040.75"/>
    <d v="2025-01-01T00:00:00"/>
    <s v="Echéancier Emprunt 2033_06"/>
    <m/>
    <e v="#N/A"/>
    <e v="#N/A"/>
    <n v="73937"/>
    <m/>
    <m/>
    <s v="Q1"/>
    <e v="#REF!"/>
    <e v="#REF!"/>
    <e v="#REF!"/>
  </r>
  <r>
    <s v="167420"/>
    <x v="6"/>
    <s v="AVANCES CONDITIONN.ADEME 2382D0237"/>
    <s v="OD"/>
    <n v="-65040.75"/>
    <d v="2025-01-01T00:00:00"/>
    <s v="Echéancier Emprunt 2034_06"/>
    <m/>
    <e v="#N/A"/>
    <e v="#N/A"/>
    <n v="73938"/>
    <m/>
    <m/>
    <s v="Q1"/>
    <e v="#REF!"/>
    <e v="#REF!"/>
    <e v="#REF!"/>
  </r>
  <r>
    <s v="167420"/>
    <x v="6"/>
    <s v="AVANCES CONDITIONN.ADEME 2382D0237"/>
    <s v="OD"/>
    <n v="260163"/>
    <d v="2025-01-01T00:00:00"/>
    <s v="Echéancier Emprunt"/>
    <m/>
    <e v="#N/A"/>
    <e v="#N/A"/>
    <n v="73939"/>
    <m/>
    <m/>
    <s v="Q1"/>
    <e v="#REF!"/>
    <e v="#REF!"/>
    <e v="#REF!"/>
  </r>
  <r>
    <s v="168810"/>
    <x v="6"/>
    <s v="INT.COUR./EMPR.OBLIG.CONV"/>
    <s v="AN"/>
    <n v="-14431"/>
    <d v="2025-01-01T00:00:00"/>
    <s v="Report à nouveau Exercice 2025"/>
    <m/>
    <e v="#N/A"/>
    <e v="#N/A"/>
    <n v="84585"/>
    <m/>
    <m/>
    <s v="Q1"/>
    <e v="#REF!"/>
    <e v="#REF!"/>
    <e v="#REF!"/>
  </r>
  <r>
    <s v="168810"/>
    <x v="6"/>
    <s v="INT.COUR./EMPR.OBLIG.CONV"/>
    <s v="OD"/>
    <n v="14431"/>
    <d v="2025-10-15T00:00:00"/>
    <s v="REPRISE PROVISION INTERETS COURUS OC"/>
    <m/>
    <e v="#N/A"/>
    <e v="#N/A"/>
    <n v="86878"/>
    <m/>
    <m/>
    <s v="Q4"/>
    <e v="#REF!"/>
    <e v="#REF!"/>
    <e v="#REF!"/>
  </r>
  <r>
    <s v="168840"/>
    <x v="6"/>
    <s v="INT.COURUS S/EMPRUNTS"/>
    <s v="AN"/>
    <n v="-24410"/>
    <d v="2025-01-01T00:00:00"/>
    <s v="Report à nouveau Exercice 2025"/>
    <m/>
    <e v="#N/A"/>
    <e v="#N/A"/>
    <n v="84586"/>
    <m/>
    <m/>
    <s v="Q1"/>
    <e v="#REF!"/>
    <e v="#REF!"/>
    <e v="#REF!"/>
  </r>
  <r>
    <s v="168840"/>
    <x v="6"/>
    <s v="INT.COURUS S/EMPRUNTS"/>
    <s v="BPRI"/>
    <n v="1710"/>
    <d v="2025-01-02T00:00:00"/>
    <s v="06WUS9I"/>
    <m/>
    <e v="#N/A"/>
    <e v="#N/A"/>
    <n v="70558"/>
    <s v="06WUS9I"/>
    <m/>
    <s v="Q1"/>
    <e v="#REF!"/>
    <e v="#REF!"/>
    <e v="#REF!"/>
  </r>
  <r>
    <s v="168840"/>
    <x v="6"/>
    <s v="INT.COURUS S/EMPRUNTS"/>
    <s v="BPRI"/>
    <n v="22700"/>
    <d v="2025-03-31T00:00:00"/>
    <s v="Prélèvement BPI"/>
    <m/>
    <e v="#N/A"/>
    <e v="#N/A"/>
    <n v="66441"/>
    <m/>
    <m/>
    <s v="Q1"/>
    <e v="#REF!"/>
    <e v="#REF!"/>
    <e v="#REF!"/>
  </r>
  <r>
    <s v="168841"/>
    <x v="6"/>
    <s v="INT.CAPITALISÉS BP .08815036"/>
    <s v="AN"/>
    <n v="-530.98"/>
    <d v="2025-01-01T00:00:00"/>
    <s v="Report à nouveau Exercice 2025"/>
    <m/>
    <e v="#N/A"/>
    <e v="#N/A"/>
    <n v="84587"/>
    <m/>
    <m/>
    <s v="Q1"/>
    <e v="#REF!"/>
    <e v="#REF!"/>
    <e v="#REF!"/>
  </r>
  <r>
    <s v="168841"/>
    <x v="6"/>
    <s v="INT.CAPITALISÉS BP .08815036"/>
    <s v="OD"/>
    <n v="530.98"/>
    <d v="2025-12-31T00:00:00"/>
    <s v="Reclassement des intérêts capitalisés - BPRI - 08815036"/>
    <m/>
    <e v="#N/A"/>
    <e v="#N/A"/>
    <n v="97886"/>
    <m/>
    <m/>
    <s v="Q4"/>
    <e v="#REF!"/>
    <e v="#REF!"/>
    <e v="#REF!"/>
  </r>
  <r>
    <s v="168870"/>
    <x v="6"/>
    <s v="INT.COUR./AVANCES CONDITIONNÉES CMI BLUE"/>
    <s v="AN"/>
    <n v="-38044.01"/>
    <d v="2025-01-01T00:00:00"/>
    <s v="Report à nouveau Exercice 2025"/>
    <m/>
    <e v="#N/A"/>
    <e v="#N/A"/>
    <n v="84588"/>
    <m/>
    <m/>
    <s v="Q1"/>
    <e v="#REF!"/>
    <e v="#REF!"/>
    <e v="#REF!"/>
  </r>
  <r>
    <s v="168870"/>
    <x v="6"/>
    <s v="INT.COUR./AVANCES CONDITIONNÉES CMI BLUE"/>
    <s v="OD"/>
    <n v="38044.01"/>
    <d v="2025-09-30T00:00:00"/>
    <s v="REPRISE PROVISION INTERETS COURUS CMI BLUE II"/>
    <m/>
    <e v="#N/A"/>
    <e v="#N/A"/>
    <n v="86875"/>
    <m/>
    <m/>
    <s v="Q3"/>
    <e v="#REF!"/>
    <e v="#REF!"/>
    <e v="#REF!"/>
  </r>
  <r>
    <s v="181000"/>
    <x v="6"/>
    <s v="COMPTE DE LIAISON DES ETABLISSEMENTS"/>
    <s v="AN"/>
    <n v="-2518588.42"/>
    <d v="2025-01-01T00:00:00"/>
    <s v="Report à nouveau Exercice 2025"/>
    <m/>
    <e v="#N/A"/>
    <e v="#N/A"/>
    <n v="84877"/>
    <m/>
    <m/>
    <s v="Q1"/>
    <e v="#REF!"/>
    <e v="#REF!"/>
    <e v="#REF!"/>
  </r>
  <r>
    <s v="181000"/>
    <x v="6"/>
    <s v="COMPTE DE LIAISON DES ETABLISSEMENTS"/>
    <s v="AN"/>
    <n v="-276506.98"/>
    <d v="2025-01-01T00:00:00"/>
    <s v="Report à nouveau Exercice 2025"/>
    <m/>
    <e v="#N/A"/>
    <e v="#N/A"/>
    <n v="84832"/>
    <m/>
    <m/>
    <s v="Q1"/>
    <e v="#REF!"/>
    <e v="#REF!"/>
    <e v="#REF!"/>
  </r>
  <r>
    <s v="181000"/>
    <x v="6"/>
    <s v="COMPTE DE LIAISON DES ETABLISSEMENTS"/>
    <s v="AN"/>
    <n v="-64097.72"/>
    <d v="2025-01-01T00:00:00"/>
    <s v="Report à nouveau Exercice 2025"/>
    <m/>
    <e v="#N/A"/>
    <e v="#N/A"/>
    <n v="84800"/>
    <m/>
    <m/>
    <s v="Q1"/>
    <e v="#REF!"/>
    <e v="#REF!"/>
    <e v="#REF!"/>
  </r>
  <r>
    <s v="181000"/>
    <x v="6"/>
    <s v="COMPTE DE LIAISON DES ETABLISSEMENTS"/>
    <s v="AN"/>
    <n v="2859193.12"/>
    <d v="2025-01-01T00:00:00"/>
    <s v="Report à nouveau Exercice 2025"/>
    <m/>
    <e v="#N/A"/>
    <e v="#N/A"/>
    <n v="84589"/>
    <m/>
    <m/>
    <s v="Q1"/>
    <e v="#REF!"/>
    <e v="#REF!"/>
    <e v="#REF!"/>
  </r>
  <r>
    <s v="181000"/>
    <x v="6"/>
    <s v="COMPTE DE LIAISON DES ETABLISSEMENTS"/>
    <s v="OD"/>
    <n v="-532771.19999999995"/>
    <d v="2025-09-26T00:00:00"/>
    <s v="Liaison inter-établissement vers TO "/>
    <m/>
    <e v="#N/A"/>
    <n v="0"/>
    <n v="86861"/>
    <m/>
    <s v="INTEROR"/>
    <s v="Q3"/>
    <e v="#REF!"/>
    <e v="#REF!"/>
    <e v="#REF!"/>
  </r>
  <r>
    <s v="181000"/>
    <x v="6"/>
    <s v="COMPTE DE LIAISON DES ETABLISSEMENTS"/>
    <s v="OD"/>
    <n v="-194000"/>
    <d v="2025-02-05T00:00:00"/>
    <s v="Liaison inter-établissement vers TO "/>
    <m/>
    <e v="#N/A"/>
    <e v="#N/A"/>
    <n v="63642"/>
    <m/>
    <s v="GL FILTRATION"/>
    <s v="Q1"/>
    <e v="#REF!"/>
    <e v="#REF!"/>
    <e v="#REF!"/>
  </r>
  <r>
    <s v="181000"/>
    <x v="6"/>
    <s v="COMPTE DE LIAISON DES ETABLISSEMENTS"/>
    <s v="OD"/>
    <n v="-177590.39999999999"/>
    <d v="2025-06-30T00:00:00"/>
    <s v="Liaison établissement 401000 INTEROR RO"/>
    <s v="Non"/>
    <e v="#N/A"/>
    <n v="0"/>
    <n v="76876"/>
    <s v="COMMANDE 4-240154 DU 19/09/2024"/>
    <s v="INTEROR"/>
    <s v="Q2"/>
    <e v="#REF!"/>
    <e v="#REF!"/>
    <e v="#REF!"/>
  </r>
  <r>
    <s v="181000"/>
    <x v="6"/>
    <s v="COMPTE DE LIAISON DES ETABLISSEMENTS"/>
    <s v="OD"/>
    <n v="-124761.05"/>
    <d v="2025-03-31T00:00:00"/>
    <s v="Liaison inter-établissement"/>
    <m/>
    <e v="#N/A"/>
    <e v="#N/A"/>
    <n v="70271"/>
    <m/>
    <m/>
    <s v="Q1"/>
    <e v="#REF!"/>
    <e v="#REF!"/>
    <e v="#REF!"/>
  </r>
  <r>
    <s v="181000"/>
    <x v="6"/>
    <s v="COMPTE DE LIAISON DES ETABLISSEMENTS"/>
    <s v="OD"/>
    <n v="-99000"/>
    <d v="2025-03-31T00:00:00"/>
    <s v="Liaison inter-établissement vers TO "/>
    <s v="Non"/>
    <e v="#N/A"/>
    <e v="#N/A"/>
    <n v="78567"/>
    <m/>
    <s v="BIOTIKA"/>
    <s v="Q1"/>
    <e v="#REF!"/>
    <e v="#REF!"/>
    <e v="#REF!"/>
  </r>
  <r>
    <s v="181000"/>
    <x v="6"/>
    <s v="COMPTE DE LIAISON DES ETABLISSEMENTS"/>
    <s v="OD"/>
    <n v="-81415.91"/>
    <d v="2025-06-30T00:00:00"/>
    <s v="Liaison inter-établissement"/>
    <m/>
    <e v="#N/A"/>
    <e v="#N/A"/>
    <n v="78478"/>
    <m/>
    <m/>
    <s v="Q2"/>
    <e v="#REF!"/>
    <e v="#REF!"/>
    <e v="#REF!"/>
  </r>
  <r>
    <s v="181000"/>
    <x v="6"/>
    <s v="COMPTE DE LIAISON DES ETABLISSEMENTS"/>
    <s v="OD"/>
    <n v="-81415.91"/>
    <d v="2025-06-30T00:00:00"/>
    <s v="Liaison inter-établissement vers TO "/>
    <m/>
    <e v="#N/A"/>
    <e v="#N/A"/>
    <n v="78466"/>
    <m/>
    <m/>
    <s v="Q2"/>
    <e v="#REF!"/>
    <e v="#REF!"/>
    <e v="#REF!"/>
  </r>
  <r>
    <s v="181000"/>
    <x v="6"/>
    <s v="COMPTE DE LIAISON DES ETABLISSEMENTS"/>
    <s v="OD"/>
    <n v="-64720.5"/>
    <d v="2025-03-12T00:00:00"/>
    <s v="Liaison inter-établissement vers TO "/>
    <m/>
    <e v="#N/A"/>
    <e v="#N/A"/>
    <n v="68031"/>
    <m/>
    <s v="LIBERTY PM"/>
    <s v="Q1"/>
    <e v="#REF!"/>
    <e v="#REF!"/>
    <e v="#REF!"/>
  </r>
  <r>
    <s v="181000"/>
    <x v="6"/>
    <s v="COMPTE DE LIAISON DES ETABLISSEMENTS"/>
    <s v="OD"/>
    <n v="-64000"/>
    <d v="2025-07-18T00:00:00"/>
    <s v="Liaison inter-établissement vers TO "/>
    <s v="Non"/>
    <e v="#N/A"/>
    <e v="#N/A"/>
    <n v="78947"/>
    <m/>
    <s v="BIOTIKA"/>
    <s v="Q3"/>
    <e v="#REF!"/>
    <e v="#REF!"/>
    <e v="#REF!"/>
  </r>
  <r>
    <s v="181000"/>
    <x v="6"/>
    <s v="COMPTE DE LIAISON DES ETABLISSEMENTS"/>
    <s v="OD"/>
    <n v="-56362.01"/>
    <d v="2025-01-07T00:00:00"/>
    <s v="Liaison inter-établissement vers TO "/>
    <m/>
    <e v="#N/A"/>
    <e v="#N/A"/>
    <n v="63742"/>
    <m/>
    <s v="LIBERTY PM"/>
    <s v="Q1"/>
    <e v="#REF!"/>
    <e v="#REF!"/>
    <e v="#REF!"/>
  </r>
  <r>
    <s v="181000"/>
    <x v="6"/>
    <s v="COMPTE DE LIAISON DES ETABLISSEMENTS"/>
    <s v="OD"/>
    <n v="-49912.08"/>
    <d v="2025-12-31T00:00:00"/>
    <s v="Liaison inter-établissement"/>
    <m/>
    <e v="#N/A"/>
    <e v="#N/A"/>
    <n v="96170"/>
    <m/>
    <m/>
    <s v="Q4"/>
    <e v="#REF!"/>
    <e v="#REF!"/>
    <e v="#REF!"/>
  </r>
  <r>
    <s v="181000"/>
    <x v="6"/>
    <s v="COMPTE DE LIAISON DES ETABLISSEMENTS"/>
    <s v="OD"/>
    <n v="-46968"/>
    <d v="2025-01-01T00:00:00"/>
    <s v="Liaison inter-établissement"/>
    <m/>
    <e v="#N/A"/>
    <e v="#N/A"/>
    <n v="86492"/>
    <m/>
    <m/>
    <s v="Q1"/>
    <e v="#REF!"/>
    <e v="#REF!"/>
    <e v="#REF!"/>
  </r>
  <r>
    <s v="181000"/>
    <x v="6"/>
    <s v="COMPTE DE LIAISON DES ETABLISSEMENTS"/>
    <s v="OD"/>
    <n v="-46968"/>
    <d v="2025-12-01T00:00:00"/>
    <s v="Liaison inter-établissement"/>
    <m/>
    <e v="#N/A"/>
    <e v="#N/A"/>
    <n v="94511"/>
    <m/>
    <s v="LIBERTY PM"/>
    <s v="Q4"/>
    <e v="#REF!"/>
    <e v="#REF!"/>
    <e v="#REF!"/>
  </r>
  <r>
    <s v="181000"/>
    <x v="6"/>
    <s v="COMPTE DE LIAISON DES ETABLISSEMENTS"/>
    <s v="OD"/>
    <n v="-45360"/>
    <d v="2025-01-02T00:00:00"/>
    <s v="Liaison inter-établissement vers TO "/>
    <m/>
    <e v="#N/A"/>
    <e v="#N/A"/>
    <n v="63912"/>
    <m/>
    <s v="TECHNIP ENERGIES FRANCE"/>
    <s v="Q1"/>
    <e v="#REF!"/>
    <e v="#REF!"/>
    <e v="#REF!"/>
  </r>
  <r>
    <s v="401000"/>
    <x v="6"/>
    <s v="FOURNISSEURS"/>
    <s v="BPRI"/>
    <n v="55"/>
    <d v="2025-12-09T00:00:00"/>
    <s v="/LIB/081225 CB    3583/LIB/SNCF-VOYAGEURS F/LIB/081225 CB    3583/LIB/SNCF-VOYAGEURS FR PARIS 10/LIB/55,00EUR 1 EURO   1,000000"/>
    <m/>
    <e v="#N/A"/>
    <e v="#N/A"/>
    <n v="91905"/>
    <m/>
    <s v="SNCF"/>
    <s v="Q4"/>
    <e v="#REF!"/>
    <e v="#REF!"/>
    <e v="#REF!"/>
  </r>
  <r>
    <s v="181000"/>
    <x v="6"/>
    <s v="COMPTE DE LIAISON DES ETABLISSEMENTS"/>
    <s v="OD"/>
    <n v="-41676"/>
    <d v="2025-02-05T00:00:00"/>
    <s v="Liaison inter-établissement vers TO "/>
    <m/>
    <e v="#N/A"/>
    <e v="#N/A"/>
    <n v="71661"/>
    <m/>
    <s v="AIGP INGENIERIE"/>
    <s v="Q1"/>
    <e v="#REF!"/>
    <e v="#REF!"/>
    <e v="#REF!"/>
  </r>
  <r>
    <s v="181000"/>
    <x v="6"/>
    <s v="COMPTE DE LIAISON DES ETABLISSEMENTS"/>
    <s v="OD"/>
    <n v="-37800"/>
    <d v="2025-04-25T00:00:00"/>
    <s v="Liaison inter-établissement vers TO "/>
    <s v="Non"/>
    <s v="Non"/>
    <e v="#N/A"/>
    <n v="70551"/>
    <m/>
    <s v="INSIDE MANAGEMENT"/>
    <s v="Q2"/>
    <e v="#REF!"/>
    <e v="#REF!"/>
    <e v="#REF!"/>
  </r>
  <r>
    <s v="181000"/>
    <x v="6"/>
    <s v="COMPTE DE LIAISON DES ETABLISSEMENTS"/>
    <s v="OD"/>
    <n v="-36000"/>
    <d v="2025-03-12T00:00:00"/>
    <s v="Liaison inter-établissement vers TO "/>
    <s v="Non"/>
    <s v="Non"/>
    <e v="#N/A"/>
    <n v="63734"/>
    <m/>
    <s v="INSIDE MANAGEMENT"/>
    <s v="Q1"/>
    <e v="#REF!"/>
    <e v="#REF!"/>
    <e v="#REF!"/>
  </r>
  <r>
    <s v="181000"/>
    <x v="6"/>
    <s v="COMPTE DE LIAISON DES ETABLISSEMENTS"/>
    <s v="OD"/>
    <n v="-36000"/>
    <d v="2025-03-13T00:00:00"/>
    <s v="Liaison inter-établissement vers TO "/>
    <s v="Non"/>
    <s v="Non"/>
    <e v="#N/A"/>
    <n v="63738"/>
    <m/>
    <s v="INSIDE MANAGEMENT"/>
    <s v="Q1"/>
    <e v="#REF!"/>
    <e v="#REF!"/>
    <e v="#REF!"/>
  </r>
  <r>
    <s v="181000"/>
    <x v="6"/>
    <s v="COMPTE DE LIAISON DES ETABLISSEMENTS"/>
    <s v="OD"/>
    <n v="-34000"/>
    <d v="2025-08-08T00:00:00"/>
    <s v="Liaison établissement 401000 BIOTIKA RO"/>
    <s v="Non"/>
    <e v="#N/A"/>
    <e v="#N/A"/>
    <n v="80725"/>
    <s v="PHOENIX III REPORT"/>
    <s v="BIOTIKA"/>
    <s v="Q3"/>
    <e v="#REF!"/>
    <e v="#REF!"/>
    <e v="#REF!"/>
  </r>
  <r>
    <s v="181000"/>
    <x v="6"/>
    <s v="COMPTE DE LIAISON DES ETABLISSEMENTS"/>
    <s v="OD"/>
    <n v="-33953.9"/>
    <d v="2025-09-01T00:00:00"/>
    <s v="Liaison inter-établissement"/>
    <m/>
    <e v="#N/A"/>
    <e v="#N/A"/>
    <n v="86317"/>
    <m/>
    <m/>
    <s v="Q3"/>
    <e v="#REF!"/>
    <e v="#REF!"/>
    <e v="#REF!"/>
  </r>
  <r>
    <s v="181000"/>
    <x v="6"/>
    <s v="COMPTE DE LIAISON DES ETABLISSEMENTS"/>
    <s v="OD"/>
    <n v="-33953.9"/>
    <d v="2025-09-01T00:00:00"/>
    <s v="Liaison inter-établissement vers TO "/>
    <m/>
    <e v="#N/A"/>
    <e v="#N/A"/>
    <n v="86691"/>
    <m/>
    <m/>
    <s v="Q3"/>
    <e v="#REF!"/>
    <e v="#REF!"/>
    <e v="#REF!"/>
  </r>
  <r>
    <s v="181000"/>
    <x v="6"/>
    <s v="COMPTE DE LIAISON DES ETABLISSEMENTS"/>
    <s v="OD"/>
    <n v="-31500"/>
    <d v="2025-11-14T00:00:00"/>
    <s v="Liaison établissement 401000 BIOTIKA RO"/>
    <s v="Non"/>
    <e v="#N/A"/>
    <e v="#N/A"/>
    <n v="90001"/>
    <s v="DEVELOPMENT AGREEMENT PHOENIX VI, 3.1."/>
    <s v="BIOTIKA"/>
    <s v="Q4"/>
    <e v="#REF!"/>
    <e v="#REF!"/>
    <e v="#REF!"/>
  </r>
  <r>
    <s v="181000"/>
    <x v="6"/>
    <s v="COMPTE DE LIAISON DES ETABLISSEMENTS"/>
    <s v="OD"/>
    <n v="-31200"/>
    <d v="2025-11-28T00:00:00"/>
    <s v="Liaison établissement 401000 LOPEZ PLOMBERIE ELECTRICITE RO"/>
    <s v="Non"/>
    <e v="#N/A"/>
    <e v="#N/A"/>
    <n v="91186"/>
    <s v="FC6781"/>
    <s v="LOPEZ PLOMBERIE ELECTRICITE"/>
    <s v="Q4"/>
    <e v="#REF!"/>
    <e v="#REF!"/>
    <e v="#REF!"/>
  </r>
  <r>
    <s v="181000"/>
    <x v="6"/>
    <s v="COMPTE DE LIAISON DES ETABLISSEMENTS"/>
    <s v="OD"/>
    <n v="-30840"/>
    <d v="2025-06-30T00:00:00"/>
    <s v="Liaison établissement 401000 DOTMATICS KB"/>
    <s v="Non"/>
    <e v="#N/A"/>
    <e v="#N/A"/>
    <n v="76892"/>
    <s v="LICENCES DOTMATICS 2026 - 1 READ ONLY - 21 CHEMISTRY - 7 BIOREGISTER"/>
    <s v="DOTMATICS LIMITED"/>
    <s v="Q2"/>
    <e v="#REF!"/>
    <e v="#REF!"/>
    <e v="#REF!"/>
  </r>
  <r>
    <s v="181000"/>
    <x v="6"/>
    <s v="COMPTE DE LIAISON DES ETABLISSEMENTS"/>
    <s v="OD"/>
    <n v="-30103.74"/>
    <d v="2025-03-31T00:00:00"/>
    <s v="Liaison inter-établissement"/>
    <m/>
    <e v="#N/A"/>
    <e v="#N/A"/>
    <n v="68503"/>
    <m/>
    <m/>
    <s v="Q1"/>
    <e v="#REF!"/>
    <e v="#REF!"/>
    <e v="#REF!"/>
  </r>
  <r>
    <s v="181000"/>
    <x v="6"/>
    <s v="COMPTE DE LIAISON DES ETABLISSEMENTS"/>
    <s v="OD"/>
    <n v="-30000"/>
    <d v="2025-05-23T00:00:00"/>
    <s v="Liaison inter-établissement vers TO "/>
    <s v="Non"/>
    <e v="#N/A"/>
    <e v="#N/A"/>
    <n v="78571"/>
    <m/>
    <s v="BIOTIKA"/>
    <s v="Q2"/>
    <e v="#REF!"/>
    <e v="#REF!"/>
    <e v="#REF!"/>
  </r>
  <r>
    <s v="181000"/>
    <x v="6"/>
    <s v="COMPTE DE LIAISON DES ETABLISSEMENTS"/>
    <s v="OD"/>
    <n v="-30000"/>
    <d v="2025-05-30T00:00:00"/>
    <s v="Liaison inter-établissement vers TO "/>
    <s v="Non"/>
    <e v="#N/A"/>
    <e v="#N/A"/>
    <n v="78575"/>
    <m/>
    <s v="BIOTIKA"/>
    <s v="Q2"/>
    <e v="#REF!"/>
    <e v="#REF!"/>
    <e v="#REF!"/>
  </r>
  <r>
    <s v="181000"/>
    <x v="6"/>
    <s v="COMPTE DE LIAISON DES ETABLISSEMENTS"/>
    <s v="OD"/>
    <n v="-30000"/>
    <d v="2025-06-06T00:00:00"/>
    <s v="Liaison inter-établissement vers TO "/>
    <s v="Non"/>
    <e v="#N/A"/>
    <e v="#N/A"/>
    <n v="78579"/>
    <m/>
    <s v="BIOTIKA"/>
    <s v="Q2"/>
    <e v="#REF!"/>
    <e v="#REF!"/>
    <e v="#REF!"/>
  </r>
  <r>
    <s v="181000"/>
    <x v="6"/>
    <s v="COMPTE DE LIAISON DES ETABLISSEMENTS"/>
    <s v="OD"/>
    <n v="-30000"/>
    <d v="2025-06-13T00:00:00"/>
    <s v="Liaison inter-établissement vers TO "/>
    <s v="Non"/>
    <e v="#N/A"/>
    <e v="#N/A"/>
    <n v="78583"/>
    <m/>
    <s v="BIOTIKA"/>
    <s v="Q2"/>
    <e v="#REF!"/>
    <e v="#REF!"/>
    <e v="#REF!"/>
  </r>
  <r>
    <s v="181000"/>
    <x v="6"/>
    <s v="COMPTE DE LIAISON DES ETABLISSEMENTS"/>
    <s v="OD"/>
    <n v="-30000"/>
    <d v="2025-06-19T00:00:00"/>
    <s v="Liaison inter-établissement vers TO "/>
    <s v="Non"/>
    <e v="#N/A"/>
    <e v="#N/A"/>
    <n v="78587"/>
    <m/>
    <s v="BIOTIKA"/>
    <s v="Q2"/>
    <e v="#REF!"/>
    <e v="#REF!"/>
    <e v="#REF!"/>
  </r>
  <r>
    <s v="181000"/>
    <x v="6"/>
    <s v="COMPTE DE LIAISON DES ETABLISSEMENTS"/>
    <s v="OD"/>
    <n v="-30000"/>
    <d v="2025-06-26T00:00:00"/>
    <s v="Liaison inter-établissement vers TO "/>
    <s v="Non"/>
    <e v="#N/A"/>
    <e v="#N/A"/>
    <n v="78591"/>
    <m/>
    <s v="BIOTIKA"/>
    <s v="Q2"/>
    <e v="#REF!"/>
    <e v="#REF!"/>
    <e v="#REF!"/>
  </r>
  <r>
    <s v="181000"/>
    <x v="6"/>
    <s v="COMPTE DE LIAISON DES ETABLISSEMENTS"/>
    <s v="OD"/>
    <n v="-30000"/>
    <d v="2025-06-26T00:00:00"/>
    <s v="Liaison établissement 401000 INSIDE KB"/>
    <s v="Non"/>
    <s v="Non"/>
    <e v="#N/A"/>
    <n v="76323"/>
    <s v="INVOICE PAYMENT BY PILI"/>
    <s v="INSIDE MANAGEMENT"/>
    <s v="Q2"/>
    <e v="#REF!"/>
    <e v="#REF!"/>
    <e v="#REF!"/>
  </r>
  <r>
    <s v="181000"/>
    <x v="6"/>
    <s v="COMPTE DE LIAISON DES ETABLISSEMENTS"/>
    <s v="OD"/>
    <n v="-30000"/>
    <d v="2025-07-03T00:00:00"/>
    <s v="Liaison inter-établissement vers TO "/>
    <s v="Non"/>
    <e v="#N/A"/>
    <e v="#N/A"/>
    <n v="78595"/>
    <m/>
    <s v="BIOTIKA"/>
    <s v="Q3"/>
    <e v="#REF!"/>
    <e v="#REF!"/>
    <e v="#REF!"/>
  </r>
  <r>
    <s v="181000"/>
    <x v="6"/>
    <s v="COMPTE DE LIAISON DES ETABLISSEMENTS"/>
    <s v="OD"/>
    <n v="-30000"/>
    <d v="2025-07-11T00:00:00"/>
    <s v="Liaison inter-établissement vers TO "/>
    <s v="Non"/>
    <e v="#N/A"/>
    <e v="#N/A"/>
    <n v="78599"/>
    <m/>
    <s v="BIOTIKA"/>
    <s v="Q3"/>
    <e v="#REF!"/>
    <e v="#REF!"/>
    <e v="#REF!"/>
  </r>
  <r>
    <s v="181000"/>
    <x v="6"/>
    <s v="COMPTE DE LIAISON DES ETABLISSEMENTS"/>
    <s v="OD"/>
    <n v="-30000"/>
    <d v="2025-07-17T00:00:00"/>
    <s v="Liaison inter-établissement vers TO "/>
    <s v="Non"/>
    <e v="#N/A"/>
    <e v="#N/A"/>
    <n v="78603"/>
    <m/>
    <s v="BIOTIKA"/>
    <s v="Q3"/>
    <e v="#REF!"/>
    <e v="#REF!"/>
    <e v="#REF!"/>
  </r>
  <r>
    <s v="181000"/>
    <x v="6"/>
    <s v="COMPTE DE LIAISON DES ETABLISSEMENTS"/>
    <s v="OD"/>
    <n v="-30000"/>
    <d v="2025-10-21T00:00:00"/>
    <s v="Liaison établissement 401000 CNAM KB"/>
    <m/>
    <e v="#N/A"/>
    <e v="#N/A"/>
    <n v="87204"/>
    <s v="Facture Convention n°240011005"/>
    <s v="CNAM"/>
    <s v="Q4"/>
    <e v="#REF!"/>
    <e v="#REF!"/>
    <e v="#REF!"/>
  </r>
  <r>
    <s v="181000"/>
    <x v="6"/>
    <s v="COMPTE DE LIAISON DES ETABLISSEMENTS"/>
    <s v="OD"/>
    <n v="-29005.98"/>
    <d v="2025-09-30T00:00:00"/>
    <s v="Liaison inter-établissement"/>
    <m/>
    <e v="#N/A"/>
    <e v="#N/A"/>
    <n v="87216"/>
    <m/>
    <m/>
    <s v="Q3"/>
    <e v="#REF!"/>
    <e v="#REF!"/>
    <e v="#REF!"/>
  </r>
  <r>
    <s v="181000"/>
    <x v="6"/>
    <s v="COMPTE DE LIAISON DES ETABLISSEMENTS"/>
    <s v="OD"/>
    <n v="-29000"/>
    <d v="2025-08-14T00:00:00"/>
    <s v="Liaison inter-établissement vers TO "/>
    <s v="Non"/>
    <e v="#N/A"/>
    <e v="#N/A"/>
    <n v="81354"/>
    <m/>
    <s v="BIOTIKA"/>
    <s v="Q3"/>
    <e v="#REF!"/>
    <e v="#REF!"/>
    <e v="#REF!"/>
  </r>
  <r>
    <s v="181000"/>
    <x v="6"/>
    <s v="COMPTE DE LIAISON DES ETABLISSEMENTS"/>
    <s v="OD"/>
    <n v="-28329.759999999998"/>
    <d v="2025-06-30T00:00:00"/>
    <s v="Liaison inter-établissement"/>
    <m/>
    <e v="#N/A"/>
    <e v="#N/A"/>
    <n v="78714"/>
    <m/>
    <m/>
    <s v="Q2"/>
    <e v="#REF!"/>
    <e v="#REF!"/>
    <e v="#REF!"/>
  </r>
  <r>
    <s v="181000"/>
    <x v="6"/>
    <s v="COMPTE DE LIAISON DES ETABLISSEMENTS"/>
    <s v="OD"/>
    <n v="-28000"/>
    <d v="2025-06-30T00:00:00"/>
    <s v="Liaison établissement 401000 BIOTIKA RO"/>
    <s v="Non"/>
    <e v="#N/A"/>
    <e v="#N/A"/>
    <n v="76851"/>
    <s v="INVOICING AFTER FINISHING OF 2TRIALS IN 30L FERMENTER  INVOICING AFTER 3RD TRIAL IN LABORATORY FERMENTER"/>
    <s v="BIOTIKA"/>
    <s v="Q2"/>
    <e v="#REF!"/>
    <e v="#REF!"/>
    <e v="#REF!"/>
  </r>
  <r>
    <s v="181000"/>
    <x v="6"/>
    <s v="COMPTE DE LIAISON DES ETABLISSEMENTS"/>
    <s v="OD"/>
    <n v="-27782.3"/>
    <d v="2025-11-04T00:00:00"/>
    <s v="Liaison établissement 401000 AMERICAN CHEMICAL SOCIETY KB"/>
    <m/>
    <e v="#N/A"/>
    <e v="#N/A"/>
    <n v="88172"/>
    <s v="LICENCES SCIFINDER"/>
    <s v="AMERICAN CHEMICAL SOCIETY"/>
    <s v="Q4"/>
    <e v="#REF!"/>
    <e v="#REF!"/>
    <e v="#REF!"/>
  </r>
  <r>
    <s v="181000"/>
    <x v="6"/>
    <s v="COMPTE DE LIAISON DES ETABLISSEMENTS"/>
    <s v="OD"/>
    <n v="-26907.46"/>
    <d v="2025-09-30T00:00:00"/>
    <s v="Liaison inter-établissement"/>
    <m/>
    <e v="#N/A"/>
    <e v="#N/A"/>
    <n v="87250"/>
    <m/>
    <m/>
    <s v="Q3"/>
    <e v="#REF!"/>
    <e v="#REF!"/>
    <e v="#REF!"/>
  </r>
  <r>
    <s v="181000"/>
    <x v="6"/>
    <s v="COMPTE DE LIAISON DES ETABLISSEMENTS"/>
    <s v="OD"/>
    <n v="-26907.46"/>
    <d v="2025-09-30T00:00:00"/>
    <s v="Liaison inter-établissement vers TO "/>
    <m/>
    <e v="#N/A"/>
    <e v="#N/A"/>
    <n v="87238"/>
    <m/>
    <m/>
    <s v="Q3"/>
    <e v="#REF!"/>
    <e v="#REF!"/>
    <e v="#REF!"/>
  </r>
  <r>
    <s v="181000"/>
    <x v="6"/>
    <s v="COMPTE DE LIAISON DES ETABLISSEMENTS"/>
    <s v="OD"/>
    <n v="-26583.5"/>
    <d v="2025-09-30T00:00:00"/>
    <s v="Liaison inter-établissement"/>
    <m/>
    <e v="#N/A"/>
    <e v="#N/A"/>
    <n v="87210"/>
    <m/>
    <m/>
    <s v="Q3"/>
    <e v="#REF!"/>
    <e v="#REF!"/>
    <e v="#REF!"/>
  </r>
  <r>
    <s v="181000"/>
    <x v="6"/>
    <s v="COMPTE DE LIAISON DES ETABLISSEMENTS"/>
    <s v="OD"/>
    <n v="-25742.25"/>
    <d v="2025-05-31T00:00:00"/>
    <s v="Liaison inter-établissement"/>
    <m/>
    <e v="#N/A"/>
    <e v="#N/A"/>
    <n v="79018"/>
    <m/>
    <m/>
    <s v="Q2"/>
    <e v="#REF!"/>
    <e v="#REF!"/>
    <e v="#REF!"/>
  </r>
  <r>
    <s v="181000"/>
    <x v="6"/>
    <s v="COMPTE DE LIAISON DES ETABLISSEMENTS"/>
    <s v="OD"/>
    <n v="-24772.68"/>
    <d v="2025-06-02T00:00:00"/>
    <s v="Liaison établissement 401000 OSIRIS RO"/>
    <s v="Non"/>
    <s v="Non"/>
    <e v="#N/A"/>
    <n v="75283"/>
    <s v="INVOICE PAYMENT BY PILI"/>
    <s v="OSIRIS"/>
    <s v="Q2"/>
    <e v="#REF!"/>
    <e v="#REF!"/>
    <e v="#REF!"/>
  </r>
  <r>
    <s v="181000"/>
    <x v="6"/>
    <s v="COMPTE DE LIAISON DES ETABLISSEMENTS"/>
    <s v="OD"/>
    <n v="-24562.880000000001"/>
    <d v="2025-02-18T00:00:00"/>
    <s v="Liaison inter-établissement vers TO "/>
    <s v="Non"/>
    <s v="Non"/>
    <e v="#N/A"/>
    <n v="63558"/>
    <m/>
    <s v="AURIGNAC FINANCE"/>
    <s v="Q1"/>
    <e v="#REF!"/>
    <e v="#REF!"/>
    <e v="#REF!"/>
  </r>
  <r>
    <s v="181000"/>
    <x v="6"/>
    <s v="COMPTE DE LIAISON DES ETABLISSEMENTS"/>
    <s v="OD"/>
    <n v="-24391"/>
    <d v="2025-03-07T00:00:00"/>
    <s v="Liaison inter-établissement vers TO "/>
    <s v="Non"/>
    <e v="#N/A"/>
    <e v="#N/A"/>
    <n v="63578"/>
    <m/>
    <s v="BIOTIKA"/>
    <s v="Q1"/>
    <e v="#REF!"/>
    <e v="#REF!"/>
    <e v="#REF!"/>
  </r>
  <r>
    <s v="181000"/>
    <x v="6"/>
    <s v="COMPTE DE LIAISON DES ETABLISSEMENTS"/>
    <s v="OD"/>
    <n v="-24000"/>
    <d v="2025-09-26T00:00:00"/>
    <s v="Liaison inter-établissement vers TO "/>
    <s v="Non"/>
    <e v="#N/A"/>
    <n v="0"/>
    <n v="86865"/>
    <m/>
    <s v="INTEROR"/>
    <s v="Q3"/>
    <e v="#REF!"/>
    <e v="#REF!"/>
    <e v="#REF!"/>
  </r>
  <r>
    <s v="181000"/>
    <x v="6"/>
    <s v="COMPTE DE LIAISON DES ETABLISSEMENTS"/>
    <s v="OD"/>
    <n v="-23891"/>
    <d v="2025-02-17T00:00:00"/>
    <s v="Liaison inter-établissement"/>
    <s v="Non"/>
    <e v="#N/A"/>
    <e v="#N/A"/>
    <n v="95556"/>
    <m/>
    <s v="BIOTIKA"/>
    <s v="Q1"/>
    <e v="#REF!"/>
    <e v="#REF!"/>
    <e v="#REF!"/>
  </r>
  <r>
    <s v="181000"/>
    <x v="6"/>
    <s v="COMPTE DE LIAISON DES ETABLISSEMENTS"/>
    <s v="OD"/>
    <n v="-22766.02"/>
    <d v="2025-06-02T00:00:00"/>
    <s v="Liaison établissement 401000 OSIRIS RO"/>
    <s v="Non"/>
    <s v="Non"/>
    <e v="#N/A"/>
    <n v="75273"/>
    <s v="INVOICE PAYMENT BY PILI"/>
    <s v="OSIRIS"/>
    <s v="Q2"/>
    <e v="#REF!"/>
    <e v="#REF!"/>
    <e v="#REF!"/>
  </r>
  <r>
    <s v="181000"/>
    <x v="6"/>
    <s v="COMPTE DE LIAISON DES ETABLISSEMENTS"/>
    <s v="OD"/>
    <n v="-21272.06"/>
    <d v="2025-12-31T00:00:00"/>
    <s v="Liaison inter-établissement"/>
    <m/>
    <e v="#N/A"/>
    <e v="#N/A"/>
    <n v="96176"/>
    <m/>
    <m/>
    <s v="Q4"/>
    <e v="#REF!"/>
    <e v="#REF!"/>
    <e v="#REF!"/>
  </r>
  <r>
    <s v="181000"/>
    <x v="6"/>
    <s v="COMPTE DE LIAISON DES ETABLISSEMENTS"/>
    <s v="OD"/>
    <n v="-20700"/>
    <d v="2025-03-20T00:00:00"/>
    <s v="Liaison inter-établissement vers TO "/>
    <s v="Non"/>
    <s v="Non"/>
    <e v="#N/A"/>
    <n v="69980"/>
    <m/>
    <s v="INSIDE MANAGEMENT"/>
    <s v="Q1"/>
    <e v="#REF!"/>
    <e v="#REF!"/>
    <e v="#REF!"/>
  </r>
  <r>
    <s v="181000"/>
    <x v="6"/>
    <s v="COMPTE DE LIAISON DES ETABLISSEMENTS"/>
    <s v="OD"/>
    <n v="-20000"/>
    <d v="2025-05-30T00:00:00"/>
    <s v="Liaison établissement 401000 BIOTIKA RO"/>
    <s v="Non"/>
    <e v="#N/A"/>
    <e v="#N/A"/>
    <n v="74896"/>
    <s v="INVOICE PAYMENT BY PILI"/>
    <s v="BIOTIKA"/>
    <s v="Q2"/>
    <e v="#REF!"/>
    <e v="#REF!"/>
    <e v="#REF!"/>
  </r>
  <r>
    <s v="181000"/>
    <x v="6"/>
    <s v="COMPTE DE LIAISON DES ETABLISSEMENTS"/>
    <s v="OD"/>
    <n v="-19543.52"/>
    <d v="2025-07-01T00:00:00"/>
    <s v="Liaison inter-établissement vers TO "/>
    <m/>
    <e v="#N/A"/>
    <e v="#N/A"/>
    <n v="77352"/>
    <m/>
    <s v="LIBERTY PM"/>
    <s v="Q3"/>
    <e v="#REF!"/>
    <e v="#REF!"/>
    <e v="#REF!"/>
  </r>
  <r>
    <s v="181000"/>
    <x v="6"/>
    <s v="COMPTE DE LIAISON DES ETABLISSEMENTS"/>
    <s v="OD"/>
    <n v="-18000"/>
    <d v="2025-06-29T00:00:00"/>
    <s v="Liaison inter-établissement vers KB "/>
    <s v="Non"/>
    <s v="Non"/>
    <e v="#N/A"/>
    <n v="77188"/>
    <m/>
    <s v="FORVIS MAZARS"/>
    <s v="Q2"/>
    <e v="#REF!"/>
    <e v="#REF!"/>
    <e v="#REF!"/>
  </r>
  <r>
    <s v="181000"/>
    <x v="6"/>
    <s v="COMPTE DE LIAISON DES ETABLISSEMENTS"/>
    <s v="OD"/>
    <n v="-18000"/>
    <d v="2025-12-22T00:00:00"/>
    <s v="Liaison inter-établissement vers TO "/>
    <m/>
    <e v="#N/A"/>
    <e v="#N/A"/>
    <n v="93719"/>
    <m/>
    <s v="VEG'EXTRA"/>
    <s v="Q4"/>
    <e v="#REF!"/>
    <e v="#REF!"/>
    <e v="#REF!"/>
  </r>
  <r>
    <s v="181000"/>
    <x v="6"/>
    <s v="COMPTE DE LIAISON DES ETABLISSEMENTS"/>
    <s v="OD"/>
    <n v="-17444"/>
    <d v="2025-09-22T00:00:00"/>
    <s v="Liaison établissement 401000 TAROS KB"/>
    <m/>
    <e v="#N/A"/>
    <e v="#N/A"/>
    <n v="82362"/>
    <s v="INV/2025/00193"/>
    <s v="Taros Chemicals GmbH &amp; Co. KG"/>
    <s v="Q3"/>
    <e v="#REF!"/>
    <e v="#REF!"/>
    <e v="#REF!"/>
  </r>
  <r>
    <s v="181000"/>
    <x v="6"/>
    <s v="COMPTE DE LIAISON DES ETABLISSEMENTS"/>
    <s v="OD"/>
    <n v="-17443"/>
    <d v="2025-10-31T00:00:00"/>
    <s v="Liaison établissement 401000 TAROS KB"/>
    <m/>
    <e v="#N/A"/>
    <e v="#N/A"/>
    <n v="87565"/>
    <s v="INV/2025/00261"/>
    <s v="Taros Chemicals GmbH &amp; Co. KG"/>
    <s v="Q4"/>
    <e v="#REF!"/>
    <e v="#REF!"/>
    <e v="#REF!"/>
  </r>
  <r>
    <s v="181000"/>
    <x v="6"/>
    <s v="COMPTE DE LIAISON DES ETABLISSEMENTS"/>
    <s v="OD"/>
    <n v="-17357"/>
    <d v="2025-12-15T00:00:00"/>
    <s v="Liaison inter-établissement"/>
    <m/>
    <e v="#N/A"/>
    <e v="#N/A"/>
    <n v="95667"/>
    <m/>
    <m/>
    <s v="Q4"/>
    <e v="#REF!"/>
    <e v="#REF!"/>
    <e v="#REF!"/>
  </r>
  <r>
    <s v="181000"/>
    <x v="6"/>
    <s v="COMPTE DE LIAISON DES ETABLISSEMENTS"/>
    <s v="OD"/>
    <n v="-17218.97"/>
    <d v="2025-03-31T00:00:00"/>
    <s v="Liaison inter-établissement"/>
    <m/>
    <e v="#N/A"/>
    <e v="#N/A"/>
    <n v="70265"/>
    <m/>
    <m/>
    <s v="Q1"/>
    <e v="#REF!"/>
    <e v="#REF!"/>
    <e v="#REF!"/>
  </r>
  <r>
    <s v="181000"/>
    <x v="6"/>
    <s v="COMPTE DE LIAISON DES ETABLISSEMENTS"/>
    <s v="OD"/>
    <n v="-16824"/>
    <d v="2025-06-02T00:00:00"/>
    <s v="Liaison établissement 401000 ACTIVATION KB"/>
    <m/>
    <e v="#N/A"/>
    <e v="#N/A"/>
    <n v="75217"/>
    <s v="INVOICE PAYMENT BY PILI"/>
    <s v="ACTIVATION"/>
    <s v="Q2"/>
    <e v="#REF!"/>
    <e v="#REF!"/>
    <e v="#REF!"/>
  </r>
  <r>
    <s v="181000"/>
    <x v="6"/>
    <s v="COMPTE DE LIAISON DES ETABLISSEMENTS"/>
    <s v="OD"/>
    <n v="-16577.439999999999"/>
    <d v="2025-05-14T00:00:00"/>
    <s v="Liaison établissement 401000 BIOTIKA RO"/>
    <s v="Non"/>
    <e v="#N/A"/>
    <e v="#N/A"/>
    <n v="72316"/>
    <m/>
    <s v="BIOTIKA"/>
    <s v="Q2"/>
    <e v="#REF!"/>
    <e v="#REF!"/>
    <e v="#REF!"/>
  </r>
  <r>
    <s v="181000"/>
    <x v="6"/>
    <s v="COMPTE DE LIAISON DES ETABLISSEMENTS"/>
    <s v="OD"/>
    <n v="-16499"/>
    <d v="2025-01-01T00:00:00"/>
    <s v="Liaison inter-établissement"/>
    <m/>
    <e v="#N/A"/>
    <e v="#N/A"/>
    <n v="86529"/>
    <m/>
    <m/>
    <s v="Q1"/>
    <e v="#REF!"/>
    <e v="#REF!"/>
    <e v="#REF!"/>
  </r>
  <r>
    <s v="181000"/>
    <x v="6"/>
    <s v="COMPTE DE LIAISON DES ETABLISSEMENTS"/>
    <s v="OD"/>
    <n v="-15848.51"/>
    <d v="2025-06-30T00:00:00"/>
    <s v="Liaison établissement 401000 INTEROR RO"/>
    <s v="Non"/>
    <e v="#N/A"/>
    <n v="0"/>
    <n v="76866"/>
    <s v="BROYAGE  AMORTISSEUR DU BROYEUR"/>
    <s v="INTEROR"/>
    <s v="Q2"/>
    <e v="#REF!"/>
    <e v="#REF!"/>
    <e v="#REF!"/>
  </r>
  <r>
    <s v="181000"/>
    <x v="6"/>
    <s v="COMPTE DE LIAISON DES ETABLISSEMENTS"/>
    <s v="OD"/>
    <n v="-15840"/>
    <d v="2025-09-11T00:00:00"/>
    <s v="Liaison inter-établissement vers TO "/>
    <s v="Non"/>
    <e v="#N/A"/>
    <e v="#N/A"/>
    <n v="81966"/>
    <m/>
    <s v="KAPP"/>
    <s v="Q3"/>
    <e v="#REF!"/>
    <e v="#REF!"/>
    <e v="#REF!"/>
  </r>
  <r>
    <s v="181000"/>
    <x v="6"/>
    <s v="COMPTE DE LIAISON DES ETABLISSEMENTS"/>
    <s v="OD"/>
    <n v="-15000"/>
    <d v="2025-06-26T00:00:00"/>
    <s v="Liaison établissement 401000 INSIDE KB"/>
    <s v="Non"/>
    <s v="Non"/>
    <e v="#N/A"/>
    <n v="76331"/>
    <s v="INVOICE PAYMENT BY PILI"/>
    <s v="INSIDE MANAGEMENT"/>
    <s v="Q2"/>
    <e v="#REF!"/>
    <e v="#REF!"/>
    <e v="#REF!"/>
  </r>
  <r>
    <s v="181000"/>
    <x v="6"/>
    <s v="COMPTE DE LIAISON DES ETABLISSEMENTS"/>
    <s v="OD"/>
    <n v="-14205.23"/>
    <d v="2025-06-04T00:00:00"/>
    <s v="Liaison établissement 401000 BUSINOVE KB"/>
    <s v="Non"/>
    <s v="Non"/>
    <e v="#N/A"/>
    <n v="75512"/>
    <s v="INVOICE PAYMENT BY PILI"/>
    <s v="BUSINOVE"/>
    <s v="Q2"/>
    <e v="#REF!"/>
    <e v="#REF!"/>
    <e v="#REF!"/>
  </r>
  <r>
    <s v="181000"/>
    <x v="6"/>
    <s v="COMPTE DE LIAISON DES ETABLISSEMENTS"/>
    <s v="OD"/>
    <n v="-13914.31"/>
    <d v="2025-01-31T00:00:00"/>
    <s v="Liaison inter-établissement vers TO "/>
    <s v="Non"/>
    <s v="Non"/>
    <e v="#N/A"/>
    <n v="63786"/>
    <m/>
    <s v="OSIRIS"/>
    <s v="Q1"/>
    <e v="#REF!"/>
    <e v="#REF!"/>
    <e v="#REF!"/>
  </r>
  <r>
    <s v="181000"/>
    <x v="6"/>
    <s v="COMPTE DE LIAISON DES ETABLISSEMENTS"/>
    <s v="OD"/>
    <n v="-13800"/>
    <d v="2025-08-22T00:00:00"/>
    <s v="Liaison établissement 401000 EUROLYSINE RO"/>
    <m/>
    <e v="#N/A"/>
    <e v="#N/A"/>
    <n v="81622"/>
    <s v="MP POUR FERMENTATION VBIO"/>
    <s v="Eurolysine"/>
    <s v="Q3"/>
    <e v="#REF!"/>
    <e v="#REF!"/>
    <e v="#REF!"/>
  </r>
  <r>
    <s v="181000"/>
    <x v="6"/>
    <s v="COMPTE DE LIAISON DES ETABLISSEMENTS"/>
    <s v="OD"/>
    <n v="-13500"/>
    <d v="2025-08-18T00:00:00"/>
    <s v="Liaison établissement 401000 INSIDE KB"/>
    <s v="Non"/>
    <s v="Non"/>
    <e v="#N/A"/>
    <n v="81117"/>
    <s v="MISSION B. LAJUGIE - JUIN 2025"/>
    <s v="INSIDE MANAGEMENT"/>
    <s v="Q3"/>
    <e v="#REF!"/>
    <e v="#REF!"/>
    <e v="#REF!"/>
  </r>
  <r>
    <s v="181000"/>
    <x v="6"/>
    <s v="COMPTE DE LIAISON DES ETABLISSEMENTS"/>
    <s v="OD"/>
    <n v="-13500"/>
    <d v="2025-11-14T00:00:00"/>
    <s v="Liaison inter-établissement vers TO "/>
    <s v="Non"/>
    <e v="#N/A"/>
    <e v="#N/A"/>
    <n v="90015"/>
    <m/>
    <s v="BIOTIKA"/>
    <s v="Q4"/>
    <e v="#REF!"/>
    <e v="#REF!"/>
    <e v="#REF!"/>
  </r>
  <r>
    <s v="181000"/>
    <x v="6"/>
    <s v="COMPTE DE LIAISON DES ETABLISSEMENTS"/>
    <s v="OD"/>
    <n v="-13068"/>
    <d v="2025-02-28T00:00:00"/>
    <s v="Liaison inter-établissement vers TO "/>
    <m/>
    <s v="Non"/>
    <e v="#N/A"/>
    <n v="66543"/>
    <m/>
    <s v="AXE GESCOM"/>
    <s v="Q1"/>
    <e v="#REF!"/>
    <e v="#REF!"/>
    <e v="#REF!"/>
  </r>
  <r>
    <s v="181000"/>
    <x v="6"/>
    <s v="COMPTE DE LIAISON DES ETABLISSEMENTS"/>
    <s v="OD"/>
    <n v="-12910.19"/>
    <d v="2025-09-08T00:00:00"/>
    <s v="Liaison établissement 401000 MAZARS KB"/>
    <s v="Non"/>
    <s v="Non"/>
    <e v="#N/A"/>
    <n v="81730"/>
    <s v="COMMISSARIAT AUX COMPTES AU TITRE DE L'EXERCICE CLOS LE 31 DÉCEMBRE 2024 - SOLDE"/>
    <s v="FORVIS MAZARS"/>
    <s v="Q3"/>
    <e v="#REF!"/>
    <e v="#REF!"/>
    <e v="#REF!"/>
  </r>
  <r>
    <s v="181000"/>
    <x v="6"/>
    <s v="COMPTE DE LIAISON DES ETABLISSEMENTS"/>
    <s v="OD"/>
    <n v="-12655.81"/>
    <d v="2025-03-31T00:00:00"/>
    <s v="Liaison inter-établissement"/>
    <m/>
    <e v="#N/A"/>
    <e v="#N/A"/>
    <n v="70255"/>
    <m/>
    <m/>
    <s v="Q1"/>
    <e v="#REF!"/>
    <e v="#REF!"/>
    <e v="#REF!"/>
  </r>
  <r>
    <s v="181000"/>
    <x v="6"/>
    <s v="COMPTE DE LIAISON DES ETABLISSEMENTS"/>
    <s v="OD"/>
    <n v="-12500"/>
    <d v="2025-03-07T00:00:00"/>
    <s v="Liaison inter-établissement vers TO "/>
    <s v="Non"/>
    <e v="#N/A"/>
    <e v="#N/A"/>
    <n v="63574"/>
    <m/>
    <s v="BIOTIKA"/>
    <s v="Q1"/>
    <e v="#REF!"/>
    <e v="#REF!"/>
    <e v="#REF!"/>
  </r>
  <r>
    <s v="181000"/>
    <x v="6"/>
    <s v="COMPTE DE LIAISON DES ETABLISSEMENTS"/>
    <s v="OD"/>
    <n v="-12441.21"/>
    <d v="2025-06-30T00:00:00"/>
    <s v="Liaison inter-établissement"/>
    <m/>
    <e v="#N/A"/>
    <e v="#N/A"/>
    <n v="78704"/>
    <m/>
    <m/>
    <s v="Q2"/>
    <e v="#REF!"/>
    <e v="#REF!"/>
    <e v="#REF!"/>
  </r>
  <r>
    <s v="181000"/>
    <x v="6"/>
    <s v="COMPTE DE LIAISON DES ETABLISSEMENTS"/>
    <s v="OD"/>
    <n v="-12243.8"/>
    <d v="2025-03-31T00:00:00"/>
    <s v="Liaison inter-établissement"/>
    <m/>
    <e v="#N/A"/>
    <e v="#N/A"/>
    <n v="68523"/>
    <m/>
    <m/>
    <s v="Q1"/>
    <e v="#REF!"/>
    <e v="#REF!"/>
    <e v="#REF!"/>
  </r>
  <r>
    <s v="181000"/>
    <x v="6"/>
    <s v="COMPTE DE LIAISON DES ETABLISSEMENTS"/>
    <s v="OD"/>
    <n v="-12129.4"/>
    <d v="2025-05-23T00:00:00"/>
    <s v="Liaison établissement 401000 OSIRIS RO"/>
    <s v="Non"/>
    <s v="Non"/>
    <e v="#N/A"/>
    <n v="74047"/>
    <s v="INVOICE PAYMENT BY PILI"/>
    <s v="OSIRIS"/>
    <s v="Q2"/>
    <e v="#REF!"/>
    <e v="#REF!"/>
    <e v="#REF!"/>
  </r>
  <r>
    <s v="181000"/>
    <x v="6"/>
    <s v="COMPTE DE LIAISON DES ETABLISSEMENTS"/>
    <s v="OD"/>
    <n v="-12000"/>
    <d v="2025-04-09T00:00:00"/>
    <s v="Liaison inter-établissement vers KB "/>
    <s v="Non"/>
    <s v="Non"/>
    <e v="#N/A"/>
    <n v="77181"/>
    <m/>
    <s v="FORVIS MAZARS"/>
    <s v="Q2"/>
    <e v="#REF!"/>
    <e v="#REF!"/>
    <e v="#REF!"/>
  </r>
  <r>
    <s v="181000"/>
    <x v="6"/>
    <s v="COMPTE DE LIAISON DES ETABLISSEMENTS"/>
    <s v="OD"/>
    <n v="-12000"/>
    <d v="2025-05-07T00:00:00"/>
    <s v="Liaison établissement 401000 MAZARS KB"/>
    <s v="Non"/>
    <s v="Non"/>
    <e v="#N/A"/>
    <n v="71791"/>
    <s v="COMMISSARIAT AUX COMPTES AU TITRE DE L'EXERCICE CLOS LE 31 DÉCEMBRE 2024"/>
    <s v="FORVIS MAZARS"/>
    <s v="Q2"/>
    <e v="#REF!"/>
    <e v="#REF!"/>
    <e v="#REF!"/>
  </r>
  <r>
    <s v="181000"/>
    <x v="6"/>
    <s v="COMPTE DE LIAISON DES ETABLISSEMENTS"/>
    <s v="OD"/>
    <n v="-11880"/>
    <d v="2025-01-20T00:00:00"/>
    <s v="Liaison inter-établissement vers TO "/>
    <m/>
    <e v="#N/A"/>
    <e v="#N/A"/>
    <n v="63626"/>
    <m/>
    <s v="Eurolysine"/>
    <s v="Q1"/>
    <e v="#REF!"/>
    <e v="#REF!"/>
    <e v="#REF!"/>
  </r>
  <r>
    <s v="181000"/>
    <x v="6"/>
    <s v="COMPTE DE LIAISON DES ETABLISSEMENTS"/>
    <s v="OD"/>
    <n v="-11837.69"/>
    <d v="2025-05-05T00:00:00"/>
    <s v="Liaison inter-établissement vers KB "/>
    <s v="Non"/>
    <s v="Non"/>
    <e v="#N/A"/>
    <n v="77450"/>
    <m/>
    <s v="BUSINOVE"/>
    <s v="Q2"/>
    <e v="#REF!"/>
    <e v="#REF!"/>
    <e v="#REF!"/>
  </r>
  <r>
    <s v="181000"/>
    <x v="6"/>
    <s v="COMPTE DE LIAISON DES ETABLISSEMENTS"/>
    <s v="OD"/>
    <n v="-11427"/>
    <d v="2025-01-01T00:00:00"/>
    <s v="Liaison inter-établissement"/>
    <m/>
    <e v="#N/A"/>
    <e v="#N/A"/>
    <n v="86488"/>
    <m/>
    <m/>
    <s v="Q1"/>
    <e v="#REF!"/>
    <e v="#REF!"/>
    <e v="#REF!"/>
  </r>
  <r>
    <s v="181000"/>
    <x v="6"/>
    <s v="COMPTE DE LIAISON DES ETABLISSEMENTS"/>
    <s v="OD"/>
    <n v="-11405.2"/>
    <d v="2025-03-06T00:00:00"/>
    <s v="Liaison inter-établissement vers TO "/>
    <m/>
    <s v="Non"/>
    <e v="#N/A"/>
    <n v="66532"/>
    <m/>
    <s v="AXE GESCOM"/>
    <s v="Q1"/>
    <e v="#REF!"/>
    <e v="#REF!"/>
    <e v="#REF!"/>
  </r>
  <r>
    <s v="181000"/>
    <x v="6"/>
    <s v="COMPTE DE LIAISON DES ETABLISSEMENTS"/>
    <s v="OD"/>
    <n v="-11256"/>
    <d v="2025-06-02T00:00:00"/>
    <s v="Liaison établissement 401000 ACTIVATION KB"/>
    <m/>
    <e v="#N/A"/>
    <e v="#N/A"/>
    <n v="75212"/>
    <s v="INVOICE PAYMENT BY PILI"/>
    <s v="ACTIVATION"/>
    <s v="Q2"/>
    <e v="#REF!"/>
    <e v="#REF!"/>
    <e v="#REF!"/>
  </r>
  <r>
    <s v="181000"/>
    <x v="6"/>
    <s v="COMPTE DE LIAISON DES ETABLISSEMENTS"/>
    <s v="OD"/>
    <n v="-11211.25"/>
    <d v="2025-05-14T00:00:00"/>
    <s v="Liaison établissement 401000 BIOTIKA RO"/>
    <s v="Non"/>
    <e v="#N/A"/>
    <e v="#N/A"/>
    <n v="72312"/>
    <m/>
    <s v="BIOTIKA"/>
    <s v="Q2"/>
    <e v="#REF!"/>
    <e v="#REF!"/>
    <e v="#REF!"/>
  </r>
  <r>
    <s v="181000"/>
    <x v="6"/>
    <s v="COMPTE DE LIAISON DES ETABLISSEMENTS"/>
    <s v="OD"/>
    <n v="-11140.7"/>
    <d v="2025-10-15T00:00:00"/>
    <s v="Liaison inter-établissement vers TO "/>
    <m/>
    <e v="#N/A"/>
    <e v="#N/A"/>
    <n v="86967"/>
    <m/>
    <s v="EURECIA"/>
    <s v="Q4"/>
    <e v="#REF!"/>
    <e v="#REF!"/>
    <e v="#REF!"/>
  </r>
  <r>
    <s v="181000"/>
    <x v="6"/>
    <s v="COMPTE DE LIAISON DES ETABLISSEMENTS"/>
    <s v="OD"/>
    <n v="-10861.31"/>
    <d v="2025-11-04T00:00:00"/>
    <s v="Liaison établissement 401000 OSIRIS RO"/>
    <s v="Non"/>
    <s v="Non"/>
    <e v="#N/A"/>
    <n v="88038"/>
    <s v="DIVERS OSIRIS JUILLET 25"/>
    <s v="OSIRIS"/>
    <s v="Q4"/>
    <e v="#REF!"/>
    <e v="#REF!"/>
    <e v="#REF!"/>
  </r>
  <r>
    <s v="181000"/>
    <x v="6"/>
    <s v="COMPTE DE LIAISON DES ETABLISSEMENTS"/>
    <s v="OD"/>
    <n v="-10715"/>
    <d v="2025-06-17T00:00:00"/>
    <s v="Liaison établissement 401000 TAROS KB"/>
    <m/>
    <e v="#N/A"/>
    <e v="#N/A"/>
    <n v="76140"/>
    <s v="FIN DE LA SYNTHÈSE ET DÉVELOPPEMENT DE 1KG CYANOBENZOIC ACID - KEENB"/>
    <s v="Taros Chemicals GmbH &amp; Co. KG"/>
    <s v="Q2"/>
    <e v="#REF!"/>
    <e v="#REF!"/>
    <e v="#REF!"/>
  </r>
  <r>
    <s v="181000"/>
    <x v="6"/>
    <s v="COMPTE DE LIAISON DES ETABLISSEMENTS"/>
    <s v="OD"/>
    <n v="-10714"/>
    <d v="2025-03-19T00:00:00"/>
    <s v="Liaison inter-établissement vers TO "/>
    <m/>
    <e v="#N/A"/>
    <e v="#N/A"/>
    <n v="64452"/>
    <m/>
    <s v="Taros Chemicals GmbH &amp; Co. KG"/>
    <s v="Q1"/>
    <e v="#REF!"/>
    <e v="#REF!"/>
    <e v="#REF!"/>
  </r>
  <r>
    <s v="181000"/>
    <x v="6"/>
    <s v="COMPTE DE LIAISON DES ETABLISSEMENTS"/>
    <s v="OD"/>
    <n v="-10677.6"/>
    <d v="2025-06-30T00:00:00"/>
    <s v="Liaison établissement 401000 INTEROR RO"/>
    <s v="Non"/>
    <e v="#N/A"/>
    <n v="0"/>
    <n v="76871"/>
    <s v="INDIGO STADE 2"/>
    <s v="INTEROR"/>
    <s v="Q2"/>
    <e v="#REF!"/>
    <e v="#REF!"/>
    <e v="#REF!"/>
  </r>
  <r>
    <s v="181000"/>
    <x v="6"/>
    <s v="COMPTE DE LIAISON DES ETABLISSEMENTS"/>
    <s v="OD"/>
    <n v="-10518.86"/>
    <d v="2025-11-28T00:00:00"/>
    <s v="Liaison établissement 401000 OSIRIS RO"/>
    <s v="Non"/>
    <s v="Non"/>
    <e v="#N/A"/>
    <n v="91232"/>
    <s v="93813582"/>
    <s v="OSIRIS"/>
    <s v="Q4"/>
    <e v="#REF!"/>
    <e v="#REF!"/>
    <e v="#REF!"/>
  </r>
  <r>
    <s v="181000"/>
    <x v="6"/>
    <s v="COMPTE DE LIAISON DES ETABLISSEMENTS"/>
    <s v="OD"/>
    <n v="-10500"/>
    <d v="2025-09-10T00:00:00"/>
    <s v="Liaison établissement 401000 QWINCY KB"/>
    <s v="Non"/>
    <s v="Non"/>
    <e v="#N/A"/>
    <n v="81980"/>
    <s v="PRESTATION DE SERVICES, AVRIL 2025"/>
    <s v="QWINCY"/>
    <s v="Q3"/>
    <e v="#REF!"/>
    <e v="#REF!"/>
    <e v="#REF!"/>
  </r>
  <r>
    <s v="181000"/>
    <x v="6"/>
    <s v="COMPTE DE LIAISON DES ETABLISSEMENTS"/>
    <s v="OD"/>
    <n v="-10500"/>
    <d v="2025-11-04T00:00:00"/>
    <s v="Liaison établissement 401000 QWINCY KB"/>
    <s v="Non"/>
    <s v="Non"/>
    <e v="#N/A"/>
    <n v="88006"/>
    <s v="PRESTATION DE SERVICES, AVRIL 2025"/>
    <s v="QWINCY"/>
    <s v="Q4"/>
    <e v="#REF!"/>
    <e v="#REF!"/>
    <e v="#REF!"/>
  </r>
  <r>
    <s v="181000"/>
    <x v="6"/>
    <s v="COMPTE DE LIAISON DES ETABLISSEMENTS"/>
    <s v="OD"/>
    <n v="-10380"/>
    <d v="2025-11-28T00:00:00"/>
    <s v="Liaison établissement 401000 KYMONO LY"/>
    <m/>
    <e v="#N/A"/>
    <e v="#N/A"/>
    <n v="91202"/>
    <s v="FACT-20251103-23126"/>
    <s v="Kymono"/>
    <s v="Q4"/>
    <e v="#REF!"/>
    <e v="#REF!"/>
    <e v="#REF!"/>
  </r>
  <r>
    <s v="181000"/>
    <x v="6"/>
    <s v="COMPTE DE LIAISON DES ETABLISSEMENTS"/>
    <s v="OD"/>
    <n v="-10200"/>
    <d v="2025-02-20T00:00:00"/>
    <s v="Liaison inter-établissement vers TO "/>
    <s v="Non"/>
    <e v="#N/A"/>
    <e v="#N/A"/>
    <n v="63754"/>
    <m/>
    <s v="MAMA DATA"/>
    <s v="Q1"/>
    <e v="#REF!"/>
    <e v="#REF!"/>
    <e v="#REF!"/>
  </r>
  <r>
    <s v="181000"/>
    <x v="6"/>
    <s v="COMPTE DE LIAISON DES ETABLISSEMENTS"/>
    <s v="OD"/>
    <n v="-10093.799999999999"/>
    <d v="2025-06-16T00:00:00"/>
    <s v="Liaison établissement 401000 RIBIERE RO"/>
    <m/>
    <e v="#N/A"/>
    <e v="#N/A"/>
    <n v="76025"/>
    <s v="DEMO : SÉCURISATION ZONE DÉMONSTRATEUR : - FONDATION POTEAUX EXISTANTS - TERRASSEMENT"/>
    <s v="RIBIERE"/>
    <s v="Q2"/>
    <e v="#REF!"/>
    <e v="#REF!"/>
    <e v="#REF!"/>
  </r>
  <r>
    <s v="181000"/>
    <x v="6"/>
    <s v="COMPTE DE LIAISON DES ETABLISSEMENTS"/>
    <s v="OD"/>
    <n v="-9720"/>
    <d v="2025-07-31T00:00:00"/>
    <s v="Liaison établissement 401000 CONSEILCPP KB"/>
    <s v="Oui"/>
    <s v="Non"/>
    <e v="#N/A"/>
    <n v="79266"/>
    <s v="ACTIVITÉ DE CONSEIL RÉALISÉE SOUS LA DIRECTION DE MONSIEUR GUILLAUME BOISSONNAT"/>
    <s v="CONSEIL CPP"/>
    <s v="Q3"/>
    <e v="#REF!"/>
    <e v="#REF!"/>
    <e v="#REF!"/>
  </r>
  <r>
    <s v="181000"/>
    <x v="6"/>
    <s v="COMPTE DE LIAISON DES ETABLISSEMENTS"/>
    <s v="OD"/>
    <n v="-9450"/>
    <d v="2025-11-28T00:00:00"/>
    <s v="Liaison établissement 401000 QWINCY KB"/>
    <s v="Non"/>
    <s v="Non"/>
    <e v="#N/A"/>
    <n v="91197"/>
    <s v="F2025050087"/>
    <s v="QWINCY"/>
    <s v="Q4"/>
    <e v="#REF!"/>
    <e v="#REF!"/>
    <e v="#REF!"/>
  </r>
  <r>
    <s v="181000"/>
    <x v="6"/>
    <s v="COMPTE DE LIAISON DES ETABLISSEMENTS"/>
    <s v="OD"/>
    <n v="-9444.6"/>
    <d v="2025-07-01T00:00:00"/>
    <s v="Liaison établissement 401000 OSIRIS RO"/>
    <s v="Non"/>
    <s v="Non"/>
    <e v="#N/A"/>
    <n v="76835"/>
    <s v="FACTURE MENSUELLE OSIRIS"/>
    <s v="OSIRIS"/>
    <s v="Q3"/>
    <e v="#REF!"/>
    <e v="#REF!"/>
    <e v="#REF!"/>
  </r>
  <r>
    <s v="181000"/>
    <x v="6"/>
    <s v="COMPTE DE LIAISON DES ETABLISSEMENTS"/>
    <s v="OD"/>
    <n v="-9000"/>
    <d v="2025-06-24T00:00:00"/>
    <s v="Liaison établissement 401000 MANACH KB"/>
    <s v="Non"/>
    <s v="Non"/>
    <e v="#N/A"/>
    <n v="76167"/>
    <s v="PARTICIPATION BOARD MICHEL MANACH"/>
    <s v="Michel Manach"/>
    <s v="Q2"/>
    <e v="#REF!"/>
    <e v="#REF!"/>
    <e v="#REF!"/>
  </r>
  <r>
    <s v="181000"/>
    <x v="6"/>
    <s v="COMPTE DE LIAISON DES ETABLISSEMENTS"/>
    <s v="OD"/>
    <n v="-9000"/>
    <d v="2025-12-31T00:00:00"/>
    <s v="Liaison établissement 401000 CNAM KB"/>
    <m/>
    <e v="#N/A"/>
    <e v="#N/A"/>
    <n v="93875"/>
    <s v="2110000565"/>
    <s v="CNAM"/>
    <s v="Q4"/>
    <e v="#REF!"/>
    <e v="#REF!"/>
    <e v="#REF!"/>
  </r>
  <r>
    <s v="181000"/>
    <x v="6"/>
    <s v="COMPTE DE LIAISON DES ETABLISSEMENTS"/>
    <s v="OD"/>
    <n v="-8967.9"/>
    <d v="2025-07-25T00:00:00"/>
    <s v="Liaison inter-établissement vers TO "/>
    <s v="Non"/>
    <e v="#N/A"/>
    <e v="#N/A"/>
    <n v="78607"/>
    <m/>
    <s v="BIOTIKA"/>
    <s v="Q3"/>
    <e v="#REF!"/>
    <e v="#REF!"/>
    <e v="#REF!"/>
  </r>
  <r>
    <s v="181000"/>
    <x v="6"/>
    <s v="COMPTE DE LIAISON DES ETABLISSEMENTS"/>
    <s v="OD"/>
    <n v="-8792.08"/>
    <d v="2025-06-30T00:00:00"/>
    <s v="Liaison inter-établissement"/>
    <m/>
    <e v="#N/A"/>
    <e v="#N/A"/>
    <n v="78674"/>
    <m/>
    <m/>
    <s v="Q2"/>
    <e v="#REF!"/>
    <e v="#REF!"/>
    <e v="#REF!"/>
  </r>
  <r>
    <s v="181000"/>
    <x v="6"/>
    <s v="COMPTE DE LIAISON DES ETABLISSEMENTS"/>
    <s v="OD"/>
    <n v="-8763.7000000000007"/>
    <d v="2025-08-21T00:00:00"/>
    <s v="Liaison établissement 401000 BECKER KB"/>
    <s v="Non"/>
    <s v="Oui"/>
    <e v="#N/A"/>
    <n v="81416"/>
    <s v="SUITE ENTRÉE EN PHASE NATIONALE USA - BREVET PHOENIX"/>
    <s v="BECKER"/>
    <s v="Q3"/>
    <e v="#REF!"/>
    <e v="#REF!"/>
    <e v="#REF!"/>
  </r>
  <r>
    <s v="181000"/>
    <x v="6"/>
    <s v="COMPTE DE LIAISON DES ETABLISSEMENTS"/>
    <s v="OD"/>
    <n v="-8729.66"/>
    <d v="2025-06-02T00:00:00"/>
    <s v="Liaison établissement 401000 OSIRIS RO"/>
    <s v="Non"/>
    <s v="Non"/>
    <e v="#N/A"/>
    <n v="75288"/>
    <s v="Invoice Payment By Pili"/>
    <s v="OSIRIS"/>
    <s v="Q2"/>
    <e v="#REF!"/>
    <e v="#REF!"/>
    <e v="#REF!"/>
  </r>
  <r>
    <s v="181000"/>
    <x v="6"/>
    <s v="COMPTE DE LIAISON DES ETABLISSEMENTS"/>
    <s v="OD"/>
    <n v="-8400"/>
    <d v="2025-01-02T00:00:00"/>
    <s v="Liaison inter-établissement vers TO "/>
    <m/>
    <e v="#N/A"/>
    <e v="#N/A"/>
    <n v="63916"/>
    <m/>
    <s v="TECHNIP ENERGIES FRANCE"/>
    <s v="Q1"/>
    <e v="#REF!"/>
    <e v="#REF!"/>
    <e v="#REF!"/>
  </r>
  <r>
    <s v="181000"/>
    <x v="6"/>
    <s v="COMPTE DE LIAISON DES ETABLISSEMENTS"/>
    <s v="OD"/>
    <n v="-8400"/>
    <d v="2025-06-26T00:00:00"/>
    <s v="Liaison établissement 401000 INSIDE KB"/>
    <s v="Non"/>
    <s v="Non"/>
    <e v="#N/A"/>
    <n v="76335"/>
    <s v="INVOICE PAYMENT BY PILI"/>
    <s v="INSIDE MANAGEMENT"/>
    <s v="Q2"/>
    <e v="#REF!"/>
    <e v="#REF!"/>
    <e v="#REF!"/>
  </r>
  <r>
    <s v="181000"/>
    <x v="6"/>
    <s v="COMPTE DE LIAISON DES ETABLISSEMENTS"/>
    <s v="OD"/>
    <n v="-8137.74"/>
    <d v="2025-03-31T00:00:00"/>
    <s v="Liaison inter-établissement"/>
    <m/>
    <e v="#N/A"/>
    <e v="#N/A"/>
    <n v="68496"/>
    <m/>
    <m/>
    <s v="Q1"/>
    <e v="#REF!"/>
    <e v="#REF!"/>
    <e v="#REF!"/>
  </r>
  <r>
    <s v="181000"/>
    <x v="6"/>
    <s v="COMPTE DE LIAISON DES ETABLISSEMENTS"/>
    <s v="OD"/>
    <n v="-8137.74"/>
    <d v="2025-03-31T00:00:00"/>
    <s v="Liaison inter-établissement vers TO "/>
    <m/>
    <e v="#N/A"/>
    <e v="#N/A"/>
    <n v="68487"/>
    <m/>
    <m/>
    <s v="Q1"/>
    <e v="#REF!"/>
    <e v="#REF!"/>
    <e v="#REF!"/>
  </r>
  <r>
    <s v="181000"/>
    <x v="6"/>
    <s v="COMPTE DE LIAISON DES ETABLISSEMENTS"/>
    <s v="OD"/>
    <n v="-7781.48"/>
    <d v="2025-08-22T00:00:00"/>
    <s v="Liaison établissement 401000 OSIRIS RO"/>
    <s v="Non"/>
    <s v="Non"/>
    <e v="#N/A"/>
    <n v="81581"/>
    <s v="DIVERS OSIRIS : PRESTATIONS DE SERVICE, LABORATOIRE, STOCKAGE PALETTES"/>
    <s v="OSIRIS"/>
    <s v="Q3"/>
    <e v="#REF!"/>
    <e v="#REF!"/>
    <e v="#REF!"/>
  </r>
  <r>
    <s v="181000"/>
    <x v="6"/>
    <s v="COMPTE DE LIAISON DES ETABLISSEMENTS"/>
    <s v="OD"/>
    <n v="-7680"/>
    <d v="2025-01-07T00:00:00"/>
    <s v="Liaison inter-établissement vers TO "/>
    <m/>
    <e v="#N/A"/>
    <e v="#N/A"/>
    <n v="63638"/>
    <m/>
    <s v="CISION"/>
    <s v="Q1"/>
    <e v="#REF!"/>
    <e v="#REF!"/>
    <e v="#REF!"/>
  </r>
  <r>
    <s v="181000"/>
    <x v="6"/>
    <s v="COMPTE DE LIAISON DES ETABLISSEMENTS"/>
    <s v="OD"/>
    <n v="-7437.6"/>
    <d v="2025-04-02T00:00:00"/>
    <s v="Liaison établissement 401000 3BCLIM KB"/>
    <m/>
    <e v="#N/A"/>
    <e v="#N/A"/>
    <n v="66477"/>
    <s v="CONTRAT DE MAINTENANCE N°CT0662 - PÉRIODE DU 01/03/2025 AU 28/02/2026"/>
    <s v="3BCLIM"/>
    <s v="Q2"/>
    <e v="#REF!"/>
    <e v="#REF!"/>
    <e v="#REF!"/>
  </r>
  <r>
    <s v="181000"/>
    <x v="6"/>
    <s v="COMPTE DE LIAISON DES ETABLISSEMENTS"/>
    <s v="OD"/>
    <n v="-7326.34"/>
    <d v="2025-06-30T00:00:00"/>
    <s v="Liaison inter-établissement"/>
    <m/>
    <e v="#N/A"/>
    <e v="#N/A"/>
    <n v="78694"/>
    <m/>
    <m/>
    <s v="Q2"/>
    <e v="#REF!"/>
    <e v="#REF!"/>
    <e v="#REF!"/>
  </r>
  <r>
    <s v="181000"/>
    <x v="6"/>
    <s v="COMPTE DE LIAISON DES ETABLISSEMENTS"/>
    <s v="OD"/>
    <n v="-7014.63"/>
    <d v="2025-03-31T00:00:00"/>
    <s v="Liaison inter-établissement"/>
    <m/>
    <e v="#N/A"/>
    <e v="#N/A"/>
    <n v="70261"/>
    <m/>
    <m/>
    <s v="Q1"/>
    <e v="#REF!"/>
    <e v="#REF!"/>
    <e v="#REF!"/>
  </r>
  <r>
    <s v="181000"/>
    <x v="6"/>
    <s v="COMPTE DE LIAISON DES ETABLISSEMENTS"/>
    <s v="OD"/>
    <n v="-6998.2"/>
    <d v="2025-09-30T00:00:00"/>
    <s v="Liaison inter-établissement"/>
    <m/>
    <e v="#N/A"/>
    <e v="#N/A"/>
    <n v="87244"/>
    <m/>
    <m/>
    <s v="Q3"/>
    <e v="#REF!"/>
    <e v="#REF!"/>
    <e v="#REF!"/>
  </r>
  <r>
    <s v="181000"/>
    <x v="6"/>
    <s v="COMPTE DE LIAISON DES ETABLISSEMENTS"/>
    <s v="OD"/>
    <n v="-6998.2"/>
    <d v="2025-09-30T00:00:00"/>
    <s v="Liaison inter-établissement vers TO "/>
    <m/>
    <e v="#N/A"/>
    <e v="#N/A"/>
    <n v="87231"/>
    <m/>
    <m/>
    <s v="Q3"/>
    <e v="#REF!"/>
    <e v="#REF!"/>
    <e v="#REF!"/>
  </r>
  <r>
    <s v="181000"/>
    <x v="6"/>
    <s v="COMPTE DE LIAISON DES ETABLISSEMENTS"/>
    <s v="OD"/>
    <n v="-6952.17"/>
    <d v="2025-04-02T00:00:00"/>
    <s v="Liaison inter-établissement vers TO "/>
    <s v="Non"/>
    <s v="Non"/>
    <e v="#N/A"/>
    <n v="68133"/>
    <m/>
    <s v="TRICIA CAREY"/>
    <s v="Q2"/>
    <e v="#REF!"/>
    <e v="#REF!"/>
    <e v="#REF!"/>
  </r>
  <r>
    <s v="181000"/>
    <x v="6"/>
    <s v="COMPTE DE LIAISON DES ETABLISSEMENTS"/>
    <s v="OD"/>
    <n v="-6867.36"/>
    <d v="2025-03-31T00:00:00"/>
    <s v="Liaison inter-établissement"/>
    <m/>
    <e v="#N/A"/>
    <e v="#N/A"/>
    <n v="68500"/>
    <m/>
    <m/>
    <s v="Q1"/>
    <e v="#REF!"/>
    <e v="#REF!"/>
    <e v="#REF!"/>
  </r>
  <r>
    <s v="181000"/>
    <x v="6"/>
    <s v="COMPTE DE LIAISON DES ETABLISSEMENTS"/>
    <s v="OD"/>
    <n v="-6859.79"/>
    <d v="2025-02-28T00:00:00"/>
    <s v="Liaison inter-établissement vers TO "/>
    <s v="Non"/>
    <s v="Non"/>
    <e v="#N/A"/>
    <n v="63774"/>
    <m/>
    <s v="OSIRIS"/>
    <s v="Q1"/>
    <e v="#REF!"/>
    <e v="#REF!"/>
    <e v="#REF!"/>
  </r>
  <r>
    <s v="181000"/>
    <x v="6"/>
    <s v="COMPTE DE LIAISON DES ETABLISSEMENTS"/>
    <s v="OD"/>
    <n v="-6806.45"/>
    <d v="2025-06-30T00:00:00"/>
    <s v="Liaison inter-établissement"/>
    <m/>
    <e v="#N/A"/>
    <e v="#N/A"/>
    <n v="78720"/>
    <m/>
    <m/>
    <s v="Q2"/>
    <e v="#REF!"/>
    <e v="#REF!"/>
    <e v="#REF!"/>
  </r>
  <r>
    <s v="181000"/>
    <x v="6"/>
    <s v="COMPTE DE LIAISON DES ETABLISSEMENTS"/>
    <s v="OD"/>
    <n v="-6623.52"/>
    <d v="2025-07-31T00:00:00"/>
    <s v="Liaison établissement 401000 OSIRIS RO"/>
    <s v="Non"/>
    <s v="Non"/>
    <e v="#N/A"/>
    <n v="79286"/>
    <s v="DIVERS OSIRIS"/>
    <s v="OSIRIS"/>
    <s v="Q3"/>
    <e v="#REF!"/>
    <e v="#REF!"/>
    <e v="#REF!"/>
  </r>
  <r>
    <s v="181000"/>
    <x v="6"/>
    <s v="COMPTE DE LIAISON DES ETABLISSEMENTS"/>
    <s v="OD"/>
    <n v="-6610"/>
    <d v="2025-06-30T00:00:00"/>
    <s v="Liaison établissement 401000 DOTMATICS KB"/>
    <s v="Non"/>
    <e v="#N/A"/>
    <e v="#N/A"/>
    <n v="76897"/>
    <s v="LICENCES DOTMATICS 2025_06 À 2026_05 - 1 READ ONLY - 5 ADDITIONAL CHEMISTRY"/>
    <s v="DOTMATICS LIMITED"/>
    <s v="Q2"/>
    <e v="#REF!"/>
    <e v="#REF!"/>
    <e v="#REF!"/>
  </r>
  <r>
    <s v="181000"/>
    <x v="6"/>
    <s v="COMPTE DE LIAISON DES ETABLISSEMENTS"/>
    <s v="OD"/>
    <n v="-6591.56"/>
    <d v="2025-08-18T00:00:00"/>
    <s v="Liaison établissement 401000 TRICIA CAREY LY"/>
    <s v="Non"/>
    <s v="Non"/>
    <e v="#N/A"/>
    <n v="81111"/>
    <s v="FACTURE T CARREY CONSULTANTE GO TO MARKET INDIGO - FACTURE FINALE"/>
    <s v="TRICIA CAREY"/>
    <s v="Q3"/>
    <e v="#REF!"/>
    <e v="#REF!"/>
    <e v="#REF!"/>
  </r>
  <r>
    <s v="181000"/>
    <x v="6"/>
    <s v="COMPTE DE LIAISON DES ETABLISSEMENTS"/>
    <s v="OD"/>
    <n v="-6389.4"/>
    <d v="2025-11-04T00:00:00"/>
    <s v="Liaison établissement 401000 BECKER KB"/>
    <s v="Non"/>
    <s v="Oui"/>
    <e v="#N/A"/>
    <n v="88017"/>
    <s v="ETUDE PI, FTO ET PRÉPARATION AU DÉPÔT D'EXTENSION PCT PALOMA CHIMIE"/>
    <s v="BECKER"/>
    <s v="Q4"/>
    <e v="#REF!"/>
    <e v="#REF!"/>
    <e v="#REF!"/>
  </r>
  <r>
    <s v="181000"/>
    <x v="6"/>
    <s v="COMPTE DE LIAISON DES ETABLISSEMENTS"/>
    <s v="OD"/>
    <n v="-6210"/>
    <d v="2025-01-01T00:00:00"/>
    <s v="Liaison inter-établissement"/>
    <m/>
    <e v="#N/A"/>
    <e v="#N/A"/>
    <n v="86625"/>
    <m/>
    <m/>
    <s v="Q1"/>
    <e v="#REF!"/>
    <e v="#REF!"/>
    <e v="#REF!"/>
  </r>
  <r>
    <s v="181000"/>
    <x v="6"/>
    <s v="COMPTE DE LIAISON DES ETABLISSEMENTS"/>
    <s v="OD"/>
    <n v="-6171.17"/>
    <d v="2025-04-28T00:00:00"/>
    <s v="Liaison inter-établissement vers TO "/>
    <s v="Non"/>
    <s v="Non"/>
    <e v="#N/A"/>
    <n v="70536"/>
    <m/>
    <s v="BDO EXPERTISE"/>
    <s v="Q2"/>
    <e v="#REF!"/>
    <e v="#REF!"/>
    <e v="#REF!"/>
  </r>
  <r>
    <s v="181000"/>
    <x v="6"/>
    <s v="COMPTE DE LIAISON DES ETABLISSEMENTS"/>
    <s v="OD"/>
    <n v="-6141.33"/>
    <d v="2025-12-31T00:00:00"/>
    <s v="Liaison inter-établissement"/>
    <m/>
    <e v="#N/A"/>
    <e v="#N/A"/>
    <n v="96173"/>
    <m/>
    <m/>
    <s v="Q4"/>
    <e v="#REF!"/>
    <e v="#REF!"/>
    <e v="#REF!"/>
  </r>
  <r>
    <s v="181000"/>
    <x v="6"/>
    <s v="COMPTE DE LIAISON DES ETABLISSEMENTS"/>
    <s v="OD"/>
    <n v="-6024.43"/>
    <d v="2025-03-31T00:00:00"/>
    <s v="Liaison inter-établissement"/>
    <m/>
    <e v="#N/A"/>
    <e v="#N/A"/>
    <n v="70277"/>
    <m/>
    <m/>
    <s v="Q1"/>
    <e v="#REF!"/>
    <e v="#REF!"/>
    <e v="#REF!"/>
  </r>
  <r>
    <s v="181000"/>
    <x v="6"/>
    <s v="COMPTE DE LIAISON DES ETABLISSEMENTS"/>
    <s v="OD"/>
    <n v="-6000"/>
    <d v="2025-02-28T00:00:00"/>
    <s v="Liaison inter-établissement vers TO "/>
    <m/>
    <e v="#N/A"/>
    <e v="#N/A"/>
    <n v="63924"/>
    <m/>
    <s v="UBIQUITIZ CONSULTING"/>
    <s v="Q1"/>
    <e v="#REF!"/>
    <e v="#REF!"/>
    <e v="#REF!"/>
  </r>
  <r>
    <s v="181000"/>
    <x v="6"/>
    <s v="COMPTE DE LIAISON DES ETABLISSEMENTS"/>
    <s v="OD"/>
    <n v="-6000"/>
    <d v="2025-06-26T00:00:00"/>
    <s v="Liaison établissement 401000 INSIDE KB"/>
    <s v="Non"/>
    <s v="Non"/>
    <e v="#N/A"/>
    <n v="76327"/>
    <s v="INVOICE PAYMENT BY PILI"/>
    <s v="INSIDE MANAGEMENT"/>
    <s v="Q2"/>
    <e v="#REF!"/>
    <e v="#REF!"/>
    <e v="#REF!"/>
  </r>
  <r>
    <s v="181000"/>
    <x v="6"/>
    <s v="COMPTE DE LIAISON DES ETABLISSEMENTS"/>
    <s v="OD"/>
    <n v="-5876"/>
    <d v="2025-12-16T00:00:00"/>
    <s v="Liaison inter-établissement vers TO "/>
    <m/>
    <e v="#N/A"/>
    <e v="#N/A"/>
    <n v="95656"/>
    <m/>
    <m/>
    <s v="Q4"/>
    <e v="#REF!"/>
    <e v="#REF!"/>
    <e v="#REF!"/>
  </r>
  <r>
    <s v="181000"/>
    <x v="6"/>
    <s v="COMPTE DE LIAISON DES ETABLISSEMENTS"/>
    <s v="OD"/>
    <n v="-5720.71"/>
    <d v="2025-08-18T00:00:00"/>
    <s v="Liaison établissement 401000 CHIMIREC RO"/>
    <m/>
    <s v="Non"/>
    <n v="0"/>
    <n v="81122"/>
    <s v="F061352698"/>
    <s v="CHIMIREC CENTRE EST"/>
    <s v="Q3"/>
    <e v="#REF!"/>
    <e v="#REF!"/>
    <e v="#REF!"/>
  </r>
  <r>
    <s v="181000"/>
    <x v="6"/>
    <s v="COMPTE DE LIAISON DES ETABLISSEMENTS"/>
    <s v="OD"/>
    <n v="-5708.53"/>
    <d v="2025-06-30T00:00:00"/>
    <s v="Liaison inter-établissement"/>
    <m/>
    <e v="#N/A"/>
    <e v="#N/A"/>
    <n v="78519"/>
    <m/>
    <m/>
    <s v="Q2"/>
    <e v="#REF!"/>
    <e v="#REF!"/>
    <e v="#REF!"/>
  </r>
  <r>
    <s v="181000"/>
    <x v="6"/>
    <s v="COMPTE DE LIAISON DES ETABLISSEMENTS"/>
    <s v="OD"/>
    <n v="-5702.6"/>
    <d v="2025-02-28T00:00:00"/>
    <s v="Liaison inter-établissement vers TO "/>
    <m/>
    <s v="Non"/>
    <e v="#N/A"/>
    <n v="66528"/>
    <m/>
    <s v="AXE GESCOM"/>
    <s v="Q1"/>
    <e v="#REF!"/>
    <e v="#REF!"/>
    <e v="#REF!"/>
  </r>
  <r>
    <s v="181000"/>
    <x v="6"/>
    <s v="COMPTE DE LIAISON DES ETABLISSEMENTS"/>
    <s v="OD"/>
    <n v="-5686.19"/>
    <d v="2025-12-08T00:00:00"/>
    <s v="Liaison établissement 401000 BIOADVICE KB"/>
    <s v="Non"/>
    <s v="Non"/>
    <e v="#N/A"/>
    <n v="91348"/>
    <s v="F2025-013-PILI"/>
    <s v="BIOADVICE"/>
    <s v="Q4"/>
    <e v="#REF!"/>
    <e v="#REF!"/>
    <e v="#REF!"/>
  </r>
  <r>
    <s v="181000"/>
    <x v="6"/>
    <s v="COMPTE DE LIAISON DES ETABLISSEMENTS"/>
    <s v="OD"/>
    <n v="-5532"/>
    <d v="2025-02-18T00:00:00"/>
    <s v="Liaison inter-établissement vers TO "/>
    <m/>
    <e v="#N/A"/>
    <e v="#N/A"/>
    <n v="63806"/>
    <m/>
    <s v="REED EXHIBITIONS LTD"/>
    <s v="Q1"/>
    <e v="#REF!"/>
    <e v="#REF!"/>
    <e v="#REF!"/>
  </r>
  <r>
    <s v="181000"/>
    <x v="6"/>
    <s v="COMPTE DE LIAISON DES ETABLISSEMENTS"/>
    <s v="OD"/>
    <n v="-5415.12"/>
    <d v="2025-04-15T00:00:00"/>
    <s v="Liaison inter-établissement vers TO "/>
    <m/>
    <e v="#N/A"/>
    <e v="#N/A"/>
    <n v="69972"/>
    <m/>
    <s v="FISHER SCIENTIFIC"/>
    <s v="Q2"/>
    <e v="#REF!"/>
    <e v="#REF!"/>
    <e v="#REF!"/>
  </r>
  <r>
    <s v="181000"/>
    <x v="6"/>
    <s v="COMPTE DE LIAISON DES ETABLISSEMENTS"/>
    <s v="OD"/>
    <n v="-5412"/>
    <d v="2025-12-08T00:00:00"/>
    <s v="Liaison établissement 401000 SCMI RO"/>
    <m/>
    <e v="#N/A"/>
    <e v="#N/A"/>
    <n v="91343"/>
    <s v="FA25-08-15222"/>
    <s v="SCMI"/>
    <s v="Q4"/>
    <e v="#REF!"/>
    <e v="#REF!"/>
    <e v="#REF!"/>
  </r>
  <r>
    <s v="181000"/>
    <x v="6"/>
    <s v="COMPTE DE LIAISON DES ETABLISSEMENTS"/>
    <s v="OD"/>
    <n v="-5400"/>
    <d v="2025-03-18T00:00:00"/>
    <s v="Liaison inter-établissement vers TO "/>
    <s v="Oui"/>
    <s v="Non"/>
    <e v="#N/A"/>
    <n v="70033"/>
    <m/>
    <s v="CONSEIL CPP"/>
    <s v="Q1"/>
    <e v="#REF!"/>
    <e v="#REF!"/>
    <e v="#REF!"/>
  </r>
  <r>
    <s v="181000"/>
    <x v="6"/>
    <s v="COMPTE DE LIAISON DES ETABLISSEMENTS"/>
    <s v="OD"/>
    <n v="-5328.4"/>
    <d v="2025-11-19T00:00:00"/>
    <s v="Liaison établissement 401000 BIOTIKA RO"/>
    <s v="Non"/>
    <e v="#N/A"/>
    <e v="#N/A"/>
    <n v="90501"/>
    <s v="91250170"/>
    <s v="BIOTIKA"/>
    <s v="Q4"/>
    <e v="#REF!"/>
    <e v="#REF!"/>
    <e v="#REF!"/>
  </r>
  <r>
    <s v="181000"/>
    <x v="6"/>
    <s v="COMPTE DE LIAISON DES ETABLISSEMENTS"/>
    <s v="OD"/>
    <n v="-5217.95"/>
    <d v="2025-11-14T00:00:00"/>
    <s v="Liaison établissement 401000 BIOTIKA RO"/>
    <s v="Non"/>
    <e v="#N/A"/>
    <e v="#N/A"/>
    <n v="89996"/>
    <s v="91250161"/>
    <s v="BIOTIKA"/>
    <s v="Q4"/>
    <e v="#REF!"/>
    <e v="#REF!"/>
    <e v="#REF!"/>
  </r>
  <r>
    <s v="181000"/>
    <x v="6"/>
    <s v="COMPTE DE LIAISON DES ETABLISSEMENTS"/>
    <s v="OD"/>
    <n v="-5082.07"/>
    <d v="2025-01-30T00:00:00"/>
    <s v="Liaison inter-établissement vers TO "/>
    <m/>
    <s v="Non"/>
    <n v="0"/>
    <n v="63670"/>
    <m/>
    <s v="CHIMIREC CENTRE EST"/>
    <s v="Q1"/>
    <e v="#REF!"/>
    <e v="#REF!"/>
    <e v="#REF!"/>
  </r>
  <r>
    <s v="181000"/>
    <x v="6"/>
    <s v="COMPTE DE LIAISON DES ETABLISSEMENTS"/>
    <s v="OD"/>
    <n v="-5040"/>
    <d v="2025-10-03T00:00:00"/>
    <s v="Liaison établissement 401000 DMI RO"/>
    <m/>
    <e v="#N/A"/>
    <e v="#N/A"/>
    <n v="82709"/>
    <s v="FACT1903"/>
    <s v="DMI"/>
    <s v="Q4"/>
    <e v="#REF!"/>
    <e v="#REF!"/>
    <e v="#REF!"/>
  </r>
  <r>
    <s v="181000"/>
    <x v="6"/>
    <s v="COMPTE DE LIAISON DES ETABLISSEMENTS"/>
    <s v="OD"/>
    <n v="-5000"/>
    <d v="2025-06-29T00:00:00"/>
    <s v="Liaison inter-établissement"/>
    <m/>
    <e v="#N/A"/>
    <e v="#N/A"/>
    <n v="77552"/>
    <m/>
    <m/>
    <s v="Q2"/>
    <e v="#REF!"/>
    <e v="#REF!"/>
    <e v="#REF!"/>
  </r>
  <r>
    <s v="181000"/>
    <x v="6"/>
    <s v="COMPTE DE LIAISON DES ETABLISSEMENTS"/>
    <s v="OD"/>
    <n v="-5000"/>
    <d v="2025-06-30T00:00:00"/>
    <s v="Liaison établissement 401000 BIOTIKA RO"/>
    <s v="Non"/>
    <e v="#N/A"/>
    <e v="#N/A"/>
    <n v="76881"/>
    <s v="SUMMARY REPORT - AGREEMENT"/>
    <s v="BIOTIKA"/>
    <s v="Q2"/>
    <e v="#REF!"/>
    <e v="#REF!"/>
    <e v="#REF!"/>
  </r>
  <r>
    <s v="181000"/>
    <x v="6"/>
    <s v="COMPTE DE LIAISON DES ETABLISSEMENTS"/>
    <s v="OD"/>
    <n v="-5000"/>
    <d v="2025-07-09T00:00:00"/>
    <s v="Liaison établissement 401000 BIOTIKA RO"/>
    <s v="Non"/>
    <e v="#N/A"/>
    <e v="#N/A"/>
    <n v="77200"/>
    <s v="AGREEMENT  PHOENIX I - FACTURE FINALE - RAPPORT"/>
    <s v="BIOTIKA"/>
    <s v="Q3"/>
    <e v="#REF!"/>
    <e v="#REF!"/>
    <e v="#REF!"/>
  </r>
  <r>
    <s v="181000"/>
    <x v="6"/>
    <s v="COMPTE DE LIAISON DES ETABLISSEMENTS"/>
    <s v="OD"/>
    <n v="-4979.78"/>
    <d v="2025-11-14T00:00:00"/>
    <s v="Liaison établissement 401000 COTE RO"/>
    <m/>
    <e v="#N/A"/>
    <e v="#N/A"/>
    <n v="90007"/>
    <s v="PRISES LABORATOIRE : 1775.13€ PRISES ATEX : 4130.91€ ALIMENTATION CLIM + AIR : 1501.94€ PLANS : 872.75€"/>
    <s v="COTE"/>
    <s v="Q4"/>
    <e v="#REF!"/>
    <e v="#REF!"/>
    <e v="#REF!"/>
  </r>
  <r>
    <s v="181000"/>
    <x v="6"/>
    <s v="COMPTE DE LIAISON DES ETABLISSEMENTS"/>
    <s v="OD"/>
    <n v="-4782.96"/>
    <d v="2025-02-18T00:00:00"/>
    <s v="Liaison inter-établissement vers TO "/>
    <m/>
    <e v="#N/A"/>
    <e v="#N/A"/>
    <n v="63666"/>
    <m/>
    <s v="FOURE LAGADEC"/>
    <s v="Q1"/>
    <e v="#REF!"/>
    <e v="#REF!"/>
    <e v="#REF!"/>
  </r>
  <r>
    <s v="181000"/>
    <x v="6"/>
    <s v="COMPTE DE LIAISON DES ETABLISSEMENTS"/>
    <s v="OD"/>
    <n v="-4752"/>
    <d v="2025-03-18T00:00:00"/>
    <s v="Liaison inter-établissement vers TO "/>
    <m/>
    <s v="Non"/>
    <e v="#N/A"/>
    <n v="66547"/>
    <m/>
    <s v="AXE GESCOM"/>
    <s v="Q1"/>
    <e v="#REF!"/>
    <e v="#REF!"/>
    <e v="#REF!"/>
  </r>
  <r>
    <s v="181000"/>
    <x v="6"/>
    <s v="COMPTE DE LIAISON DES ETABLISSEMENTS"/>
    <s v="OD"/>
    <n v="-4632.59"/>
    <d v="2025-04-18T00:00:00"/>
    <s v="Liaison établissement 401000 BIOADVICE KB"/>
    <s v="Non"/>
    <s v="Non"/>
    <e v="#N/A"/>
    <n v="68143"/>
    <s v="Invoice Payment by Pili"/>
    <s v="BIOADVICE"/>
    <s v="Q2"/>
    <e v="#REF!"/>
    <e v="#REF!"/>
    <e v="#REF!"/>
  </r>
  <r>
    <s v="181000"/>
    <x v="6"/>
    <s v="COMPTE DE LIAISON DES ETABLISSEMENTS"/>
    <s v="OD"/>
    <n v="-4560"/>
    <d v="2025-02-28T00:00:00"/>
    <s v="Liaison inter-établissement vers TO "/>
    <m/>
    <e v="#N/A"/>
    <e v="#N/A"/>
    <n v="63646"/>
    <m/>
    <s v="DROOMS"/>
    <s v="Q1"/>
    <e v="#REF!"/>
    <e v="#REF!"/>
    <e v="#REF!"/>
  </r>
  <r>
    <s v="181000"/>
    <x v="6"/>
    <s v="COMPTE DE LIAISON DES ETABLISSEMENTS"/>
    <s v="OD"/>
    <n v="-4471.5600000000004"/>
    <d v="2025-04-18T00:00:00"/>
    <s v="Liaison établissement 401000 HIPOLITO LY"/>
    <m/>
    <e v="#N/A"/>
    <e v="#N/A"/>
    <n v="68193"/>
    <s v="Invoice Payment by Pili"/>
    <s v="HIPOLITO"/>
    <s v="Q2"/>
    <e v="#REF!"/>
    <e v="#REF!"/>
    <e v="#REF!"/>
  </r>
  <r>
    <s v="181000"/>
    <x v="6"/>
    <s v="COMPTE DE LIAISON DES ETABLISSEMENTS"/>
    <s v="OD"/>
    <n v="-4344"/>
    <d v="2025-01-30T00:00:00"/>
    <s v="Liaison inter-établissement vers TO "/>
    <s v="Non"/>
    <e v="#N/A"/>
    <e v="#N/A"/>
    <n v="63750"/>
    <m/>
    <s v="LOPEZ PLOMBERIE ELECTRICITE"/>
    <s v="Q1"/>
    <e v="#REF!"/>
    <e v="#REF!"/>
    <e v="#REF!"/>
  </r>
  <r>
    <s v="181000"/>
    <x v="6"/>
    <s v="COMPTE DE LIAISON DES ETABLISSEMENTS"/>
    <s v="OD"/>
    <n v="-4260"/>
    <d v="2025-11-26T00:00:00"/>
    <s v="Liaison inter-établissement vers TO "/>
    <m/>
    <e v="#N/A"/>
    <e v="#N/A"/>
    <n v="91858"/>
    <m/>
    <s v="SD TECH"/>
    <s v="Q4"/>
    <e v="#REF!"/>
    <e v="#REF!"/>
    <e v="#REF!"/>
  </r>
  <r>
    <s v="181000"/>
    <x v="6"/>
    <s v="COMPTE DE LIAISON DES ETABLISSEMENTS"/>
    <s v="OD"/>
    <n v="-4234.1899999999996"/>
    <d v="2025-06-30T00:00:00"/>
    <s v="Liaison inter-établissement"/>
    <m/>
    <e v="#N/A"/>
    <e v="#N/A"/>
    <n v="78710"/>
    <m/>
    <m/>
    <s v="Q2"/>
    <e v="#REF!"/>
    <e v="#REF!"/>
    <e v="#REF!"/>
  </r>
  <r>
    <s v="181000"/>
    <x v="6"/>
    <s v="COMPTE DE LIAISON DES ETABLISSEMENTS"/>
    <s v="OD"/>
    <n v="-4217.22"/>
    <d v="2025-06-16T00:00:00"/>
    <s v="Liaison établissement 401000 MAZARS KB"/>
    <s v="Non"/>
    <s v="Non"/>
    <e v="#N/A"/>
    <n v="76045"/>
    <s v="AUDIT ERD BPI INOV"/>
    <s v="FORVIS MAZARS"/>
    <s v="Q2"/>
    <e v="#REF!"/>
    <e v="#REF!"/>
    <e v="#REF!"/>
  </r>
  <r>
    <s v="181000"/>
    <x v="6"/>
    <s v="COMPTE DE LIAISON DES ETABLISSEMENTS"/>
    <s v="OD"/>
    <n v="-4200"/>
    <d v="2025-12-10T00:00:00"/>
    <s v="Liaison établissement 401000 HIPOLITO LY"/>
    <m/>
    <e v="#N/A"/>
    <e v="#N/A"/>
    <n v="92044"/>
    <s v="PROJET VIDÉO PILI"/>
    <s v="HIPOLITO"/>
    <s v="Q4"/>
    <e v="#REF!"/>
    <e v="#REF!"/>
    <e v="#REF!"/>
  </r>
  <r>
    <s v="181000"/>
    <x v="6"/>
    <s v="COMPTE DE LIAISON DES ETABLISSEMENTS"/>
    <s v="OD"/>
    <n v="-4072"/>
    <d v="2025-09-22T00:00:00"/>
    <s v="Liaison établissement 401000 BIOTIKA RO"/>
    <s v="Non"/>
    <e v="#N/A"/>
    <e v="#N/A"/>
    <n v="82381"/>
    <s v="LOCATION EQUIPEMENT FLOTWEG"/>
    <s v="BIOTIKA"/>
    <s v="Q3"/>
    <e v="#REF!"/>
    <e v="#REF!"/>
    <e v="#REF!"/>
  </r>
  <r>
    <s v="181000"/>
    <x v="6"/>
    <s v="COMPTE DE LIAISON DES ETABLISSEMENTS"/>
    <s v="OD"/>
    <n v="-3875"/>
    <d v="2025-06-16T00:00:00"/>
    <s v="Liaison établissement 401000 BIOTIKA RO"/>
    <s v="Non"/>
    <e v="#N/A"/>
    <e v="#N/A"/>
    <n v="76055"/>
    <s v="TRANSPORT COSTS"/>
    <s v="BIOTIKA"/>
    <s v="Q2"/>
    <e v="#REF!"/>
    <e v="#REF!"/>
    <e v="#REF!"/>
  </r>
  <r>
    <s v="181000"/>
    <x v="6"/>
    <s v="COMPTE DE LIAISON DES ETABLISSEMENTS"/>
    <s v="OD"/>
    <n v="-3871.32"/>
    <d v="2025-02-28T00:00:00"/>
    <s v="Liaison inter-établissement vers TO "/>
    <m/>
    <e v="#N/A"/>
    <e v="#N/A"/>
    <n v="63662"/>
    <m/>
    <s v="FOURE LAGADEC"/>
    <s v="Q1"/>
    <e v="#REF!"/>
    <e v="#REF!"/>
    <e v="#REF!"/>
  </r>
  <r>
    <s v="181000"/>
    <x v="6"/>
    <s v="COMPTE DE LIAISON DES ETABLISSEMENTS"/>
    <s v="OD"/>
    <n v="-3840"/>
    <d v="2025-02-28T00:00:00"/>
    <s v="Liaison inter-établissement vers TO "/>
    <m/>
    <s v="Non"/>
    <e v="#N/A"/>
    <n v="66554"/>
    <m/>
    <s v="AXE GESCOM"/>
    <s v="Q1"/>
    <e v="#REF!"/>
    <e v="#REF!"/>
    <e v="#REF!"/>
  </r>
  <r>
    <s v="181000"/>
    <x v="6"/>
    <s v="COMPTE DE LIAISON DES ETABLISSEMENTS"/>
    <s v="OD"/>
    <n v="-3684"/>
    <d v="2025-11-28T00:00:00"/>
    <s v="Liaison établissement 401000 ROUSSELET RO"/>
    <s v="Non"/>
    <e v="#N/A"/>
    <e v="#N/A"/>
    <n v="91267"/>
    <s v="FA006465"/>
    <s v="ROUSSELET CENTRIFUGATION"/>
    <s v="Q4"/>
    <e v="#REF!"/>
    <e v="#REF!"/>
    <e v="#REF!"/>
  </r>
  <r>
    <s v="181000"/>
    <x v="6"/>
    <s v="COMPTE DE LIAISON DES ETABLISSEMENTS"/>
    <s v="OD"/>
    <n v="-3588"/>
    <d v="2025-04-18T00:00:00"/>
    <s v="Liaison établissement 401000 HAYS KB"/>
    <m/>
    <s v="Non"/>
    <e v="#N/A"/>
    <n v="68188"/>
    <s v="Invoice Payment by Pili"/>
    <s v="HAYS"/>
    <s v="Q2"/>
    <e v="#REF!"/>
    <e v="#REF!"/>
    <e v="#REF!"/>
  </r>
  <r>
    <s v="181000"/>
    <x v="6"/>
    <s v="COMPTE DE LIAISON DES ETABLISSEMENTS"/>
    <s v="OD"/>
    <n v="-3574.97"/>
    <d v="2025-12-30T00:00:00"/>
    <s v="Liaison établissement 401000 BIOTIKA RO"/>
    <s v="Non"/>
    <e v="#N/A"/>
    <e v="#N/A"/>
    <n v="93776"/>
    <s v="91250196"/>
    <s v="BIOTIKA"/>
    <s v="Q4"/>
    <e v="#REF!"/>
    <e v="#REF!"/>
    <e v="#REF!"/>
  </r>
  <r>
    <s v="181000"/>
    <x v="6"/>
    <s v="COMPTE DE LIAISON DES ETABLISSEMENTS"/>
    <s v="OD"/>
    <n v="-3568.48"/>
    <d v="2025-11-28T00:00:00"/>
    <s v="Liaison établissement 401000 CHIMIREC RO"/>
    <m/>
    <s v="Non"/>
    <n v="0"/>
    <n v="91212"/>
    <s v="F061358047"/>
    <s v="CHIMIREC CENTRE EST"/>
    <s v="Q4"/>
    <e v="#REF!"/>
    <e v="#REF!"/>
    <e v="#REF!"/>
  </r>
  <r>
    <s v="181000"/>
    <x v="6"/>
    <s v="COMPTE DE LIAISON DES ETABLISSEMENTS"/>
    <s v="OD"/>
    <n v="-3547.5"/>
    <d v="2025-02-18T00:00:00"/>
    <s v="Liaison inter-établissement vers TO "/>
    <s v="Non"/>
    <s v="Non"/>
    <e v="#N/A"/>
    <n v="63514"/>
    <m/>
    <s v="ALTAIR AVOCATS"/>
    <s v="Q1"/>
    <e v="#REF!"/>
    <e v="#REF!"/>
    <e v="#REF!"/>
  </r>
  <r>
    <s v="181000"/>
    <x v="6"/>
    <s v="COMPTE DE LIAISON DES ETABLISSEMENTS"/>
    <s v="OD"/>
    <n v="-3516.48"/>
    <d v="2025-04-18T00:00:00"/>
    <s v="Liaison établissement 401000 CHIMIREC RO"/>
    <m/>
    <s v="Non"/>
    <n v="0"/>
    <n v="68158"/>
    <s v="Invoice Payment by Pili"/>
    <s v="CHIMIREC CENTRE EST"/>
    <s v="Q2"/>
    <e v="#REF!"/>
    <e v="#REF!"/>
    <e v="#REF!"/>
  </r>
  <r>
    <s v="181000"/>
    <x v="6"/>
    <s v="COMPTE DE LIAISON DES ETABLISSEMENTS"/>
    <s v="OD"/>
    <n v="-3500"/>
    <d v="2025-01-17T00:00:00"/>
    <s v="Liaison inter-établissement"/>
    <m/>
    <e v="#N/A"/>
    <e v="#N/A"/>
    <n v="87976"/>
    <m/>
    <m/>
    <s v="Q1"/>
    <e v="#REF!"/>
    <e v="#REF!"/>
    <e v="#REF!"/>
  </r>
  <r>
    <s v="181000"/>
    <x v="6"/>
    <s v="COMPTE DE LIAISON DES ETABLISSEMENTS"/>
    <s v="OD"/>
    <n v="-3499.2"/>
    <d v="2025-01-30T00:00:00"/>
    <s v="Liaison inter-établissement vers TO "/>
    <m/>
    <e v="#N/A"/>
    <e v="#N/A"/>
    <n v="63498"/>
    <m/>
    <s v="ADVERIS"/>
    <s v="Q1"/>
    <e v="#REF!"/>
    <e v="#REF!"/>
    <e v="#REF!"/>
  </r>
  <r>
    <s v="181000"/>
    <x v="6"/>
    <s v="COMPTE DE LIAISON DES ETABLISSEMENTS"/>
    <s v="OD"/>
    <n v="-3462.75"/>
    <d v="2025-02-25T00:00:00"/>
    <s v="Liaison inter-établissement vers TO "/>
    <m/>
    <e v="#N/A"/>
    <e v="#N/A"/>
    <n v="72801"/>
    <m/>
    <s v="NEGATIF -"/>
    <s v="Q1"/>
    <e v="#REF!"/>
    <e v="#REF!"/>
    <e v="#REF!"/>
  </r>
  <r>
    <s v="181000"/>
    <x v="6"/>
    <s v="COMPTE DE LIAISON DES ETABLISSEMENTS"/>
    <s v="OD"/>
    <n v="-3408"/>
    <d v="2025-01-30T00:00:00"/>
    <s v="Liaison inter-établissement vers TO "/>
    <m/>
    <e v="#N/A"/>
    <e v="#N/A"/>
    <n v="63928"/>
    <m/>
    <s v="VALENTIN"/>
    <s v="Q1"/>
    <e v="#REF!"/>
    <e v="#REF!"/>
    <e v="#REF!"/>
  </r>
  <r>
    <s v="181000"/>
    <x v="6"/>
    <s v="COMPTE DE LIAISON DES ETABLISSEMENTS"/>
    <s v="OD"/>
    <n v="-3316.8"/>
    <d v="2025-01-31T00:00:00"/>
    <s v="Liaison inter-établissement vers TO "/>
    <m/>
    <e v="#N/A"/>
    <e v="#N/A"/>
    <n v="64240"/>
    <m/>
    <s v="ACTEA"/>
    <s v="Q1"/>
    <e v="#REF!"/>
    <e v="#REF!"/>
    <e v="#REF!"/>
  </r>
  <r>
    <s v="181000"/>
    <x v="6"/>
    <s v="COMPTE DE LIAISON DES ETABLISSEMENTS"/>
    <s v="OD"/>
    <n v="-3316.8"/>
    <d v="2025-02-28T00:00:00"/>
    <s v="Liaison inter-établissement vers TO "/>
    <m/>
    <e v="#N/A"/>
    <e v="#N/A"/>
    <n v="64244"/>
    <m/>
    <s v="ACTEA"/>
    <s v="Q1"/>
    <e v="#REF!"/>
    <e v="#REF!"/>
    <e v="#REF!"/>
  </r>
  <r>
    <s v="181000"/>
    <x v="6"/>
    <s v="COMPTE DE LIAISON DES ETABLISSEMENTS"/>
    <s v="OD"/>
    <n v="-3316.8"/>
    <d v="2025-03-31T00:00:00"/>
    <s v="Liaison inter-établissement vers TO "/>
    <m/>
    <e v="#N/A"/>
    <e v="#N/A"/>
    <n v="64392"/>
    <m/>
    <s v="ACTEA"/>
    <s v="Q1"/>
    <e v="#REF!"/>
    <e v="#REF!"/>
    <e v="#REF!"/>
  </r>
  <r>
    <s v="181000"/>
    <x v="6"/>
    <s v="COMPTE DE LIAISON DES ETABLISSEMENTS"/>
    <s v="OD"/>
    <n v="-3316.8"/>
    <d v="2025-04-30T00:00:00"/>
    <s v="Liaison inter-établissement vers TO "/>
    <m/>
    <e v="#N/A"/>
    <e v="#N/A"/>
    <n v="67983"/>
    <m/>
    <s v="ACTEA"/>
    <s v="Q2"/>
    <e v="#REF!"/>
    <e v="#REF!"/>
    <e v="#REF!"/>
  </r>
  <r>
    <s v="181000"/>
    <x v="6"/>
    <s v="COMPTE DE LIAISON DES ETABLISSEMENTS"/>
    <s v="OD"/>
    <n v="-3316.8"/>
    <d v="2025-05-31T00:00:00"/>
    <s v="Liaison inter-établissement vers TO "/>
    <m/>
    <e v="#N/A"/>
    <e v="#N/A"/>
    <n v="71384"/>
    <m/>
    <s v="ACTEA"/>
    <s v="Q2"/>
    <e v="#REF!"/>
    <e v="#REF!"/>
    <e v="#REF!"/>
  </r>
  <r>
    <s v="181000"/>
    <x v="6"/>
    <s v="COMPTE DE LIAISON DES ETABLISSEMENTS"/>
    <s v="OD"/>
    <n v="-3316.8"/>
    <d v="2025-06-30T00:00:00"/>
    <s v="Liaison inter-établissement vers TO "/>
    <m/>
    <e v="#N/A"/>
    <e v="#N/A"/>
    <n v="75304"/>
    <m/>
    <s v="ACTEA"/>
    <s v="Q2"/>
    <e v="#REF!"/>
    <e v="#REF!"/>
    <e v="#REF!"/>
  </r>
  <r>
    <s v="181000"/>
    <x v="6"/>
    <s v="COMPTE DE LIAISON DES ETABLISSEMENTS"/>
    <s v="OD"/>
    <n v="-3316.8"/>
    <d v="2025-07-01T00:00:00"/>
    <s v="Liaison inter-établissement vers TO "/>
    <m/>
    <e v="#N/A"/>
    <e v="#N/A"/>
    <n v="77075"/>
    <m/>
    <s v="ACTEA"/>
    <s v="Q3"/>
    <e v="#REF!"/>
    <e v="#REF!"/>
    <e v="#REF!"/>
  </r>
  <r>
    <s v="181000"/>
    <x v="6"/>
    <s v="COMPTE DE LIAISON DES ETABLISSEMENTS"/>
    <s v="OD"/>
    <n v="-3316.8"/>
    <d v="2025-08-01T00:00:00"/>
    <s v="Liaison inter-établissement vers TO "/>
    <m/>
    <e v="#N/A"/>
    <e v="#N/A"/>
    <n v="80674"/>
    <m/>
    <s v="ACTEA"/>
    <s v="Q3"/>
    <e v="#REF!"/>
    <e v="#REF!"/>
    <e v="#REF!"/>
  </r>
  <r>
    <s v="181000"/>
    <x v="6"/>
    <s v="COMPTE DE LIAISON DES ETABLISSEMENTS"/>
    <s v="OD"/>
    <n v="-3316.8"/>
    <d v="2025-09-01T00:00:00"/>
    <s v="Liaison inter-établissement vers TO "/>
    <m/>
    <e v="#N/A"/>
    <e v="#N/A"/>
    <n v="81686"/>
    <m/>
    <s v="ACTEA"/>
    <s v="Q3"/>
    <e v="#REF!"/>
    <e v="#REF!"/>
    <e v="#REF!"/>
  </r>
  <r>
    <s v="181000"/>
    <x v="6"/>
    <s v="COMPTE DE LIAISON DES ETABLISSEMENTS"/>
    <s v="OD"/>
    <n v="-3316.8"/>
    <d v="2025-10-01T00:00:00"/>
    <s v="Liaison inter-établissement vers TO "/>
    <m/>
    <e v="#N/A"/>
    <e v="#N/A"/>
    <n v="82815"/>
    <m/>
    <s v="ACTEA"/>
    <s v="Q4"/>
    <e v="#REF!"/>
    <e v="#REF!"/>
    <e v="#REF!"/>
  </r>
  <r>
    <s v="181000"/>
    <x v="6"/>
    <s v="COMPTE DE LIAISON DES ETABLISSEMENTS"/>
    <s v="OD"/>
    <n v="-3316.8"/>
    <d v="2025-11-03T00:00:00"/>
    <s v="Liaison inter-établissement vers TO "/>
    <m/>
    <e v="#N/A"/>
    <e v="#N/A"/>
    <n v="87992"/>
    <m/>
    <s v="ACTEA"/>
    <s v="Q4"/>
    <e v="#REF!"/>
    <e v="#REF!"/>
    <e v="#REF!"/>
  </r>
  <r>
    <s v="181000"/>
    <x v="6"/>
    <s v="COMPTE DE LIAISON DES ETABLISSEMENTS"/>
    <s v="OD"/>
    <n v="-3316.8"/>
    <d v="2025-12-01T00:00:00"/>
    <s v="Liaison inter-établissement vers TO "/>
    <m/>
    <e v="#N/A"/>
    <e v="#N/A"/>
    <n v="91308"/>
    <m/>
    <s v="ACTEA"/>
    <s v="Q4"/>
    <e v="#REF!"/>
    <e v="#REF!"/>
    <e v="#REF!"/>
  </r>
  <r>
    <s v="181000"/>
    <x v="6"/>
    <s v="COMPTE DE LIAISON DES ETABLISSEMENTS"/>
    <s v="OD"/>
    <n v="-3280"/>
    <d v="2025-09-12T00:00:00"/>
    <s v="Liaison inter-établissement vers TO "/>
    <m/>
    <e v="#N/A"/>
    <e v="#N/A"/>
    <n v="85005"/>
    <m/>
    <s v="DOMAINE DE CHRISTIN SAS"/>
    <s v="Q3"/>
    <e v="#REF!"/>
    <e v="#REF!"/>
    <e v="#REF!"/>
  </r>
  <r>
    <s v="181000"/>
    <x v="6"/>
    <s v="COMPTE DE LIAISON DES ETABLISSEMENTS"/>
    <s v="OD"/>
    <n v="-3120"/>
    <d v="2025-05-07T00:00:00"/>
    <s v="Liaison établissement 401000 PAGE KB"/>
    <s v="Non"/>
    <s v="Non"/>
    <e v="#N/A"/>
    <n v="71801"/>
    <s v="PACK EXPERT PLUSMP"/>
    <s v="MICHAEL PAGE"/>
    <s v="Q2"/>
    <e v="#REF!"/>
    <e v="#REF!"/>
    <e v="#REF!"/>
  </r>
  <r>
    <s v="181000"/>
    <x v="6"/>
    <s v="COMPTE DE LIAISON DES ETABLISSEMENTS"/>
    <s v="OD"/>
    <n v="-3041.31"/>
    <d v="2025-06-30T00:00:00"/>
    <s v="Liaison inter-établissement"/>
    <m/>
    <e v="#N/A"/>
    <e v="#N/A"/>
    <n v="78690"/>
    <m/>
    <m/>
    <s v="Q2"/>
    <e v="#REF!"/>
    <e v="#REF!"/>
    <e v="#REF!"/>
  </r>
  <r>
    <s v="181000"/>
    <x v="6"/>
    <s v="COMPTE DE LIAISON DES ETABLISSEMENTS"/>
    <s v="OD"/>
    <n v="-3027.91"/>
    <d v="2025-04-08T00:00:00"/>
    <s v="Liaison inter-établissement vers TO "/>
    <s v="Non"/>
    <s v="Non"/>
    <e v="#N/A"/>
    <n v="67995"/>
    <m/>
    <s v="F2P AUDIT &amp; CONSEIL"/>
    <s v="Q2"/>
    <e v="#REF!"/>
    <e v="#REF!"/>
    <e v="#REF!"/>
  </r>
  <r>
    <s v="181000"/>
    <x v="6"/>
    <s v="COMPTE DE LIAISON DES ETABLISSEMENTS"/>
    <s v="OD"/>
    <n v="-3000"/>
    <d v="2025-02-18T00:00:00"/>
    <s v="Liaison inter-établissement vers TO "/>
    <s v="Non"/>
    <s v="Non"/>
    <e v="#N/A"/>
    <n v="63602"/>
    <m/>
    <s v="WE ARE BOLD"/>
    <s v="Q1"/>
    <e v="#REF!"/>
    <e v="#REF!"/>
    <e v="#REF!"/>
  </r>
  <r>
    <s v="181000"/>
    <x v="6"/>
    <s v="COMPTE DE LIAISON DES ETABLISSEMENTS"/>
    <s v="OD"/>
    <n v="-3000"/>
    <d v="2025-03-19T00:00:00"/>
    <s v="Liaison inter-établissement vers TO "/>
    <s v="Non"/>
    <s v="Non"/>
    <e v="#N/A"/>
    <n v="63594"/>
    <m/>
    <s v="WE ARE BOLD"/>
    <s v="Q1"/>
    <e v="#REF!"/>
    <e v="#REF!"/>
    <e v="#REF!"/>
  </r>
  <r>
    <s v="181000"/>
    <x v="6"/>
    <s v="COMPTE DE LIAISON DES ETABLISSEMENTS"/>
    <s v="OD"/>
    <n v="-3000"/>
    <d v="2025-04-15T00:00:00"/>
    <s v="Liaison inter-établissement vers TO "/>
    <s v="Non"/>
    <s v="Non"/>
    <e v="#N/A"/>
    <n v="68023"/>
    <m/>
    <s v="WE ARE BOLD"/>
    <s v="Q2"/>
    <e v="#REF!"/>
    <e v="#REF!"/>
    <e v="#REF!"/>
  </r>
  <r>
    <s v="181000"/>
    <x v="6"/>
    <s v="COMPTE DE LIAISON DES ETABLISSEMENTS"/>
    <s v="OD"/>
    <n v="-3000"/>
    <d v="2025-06-02T00:00:00"/>
    <s v="Liaison établissement 401000 BOLD KB"/>
    <s v="Non"/>
    <s v="Non"/>
    <e v="#N/A"/>
    <n v="75237"/>
    <s v="Invoice Payment By Pili"/>
    <s v="WE ARE BOLD"/>
    <s v="Q2"/>
    <e v="#REF!"/>
    <e v="#REF!"/>
    <e v="#REF!"/>
  </r>
  <r>
    <s v="181000"/>
    <x v="6"/>
    <s v="COMPTE DE LIAISON DES ETABLISSEMENTS"/>
    <s v="OD"/>
    <n v="-3000"/>
    <d v="2025-07-31T00:00:00"/>
    <s v="Liaison établissement 401000 BOLD KB"/>
    <s v="Non"/>
    <s v="Non"/>
    <e v="#N/A"/>
    <n v="79256"/>
    <s v="FORFAIT JURIDIQUE 2025_05"/>
    <s v="WE ARE BOLD"/>
    <s v="Q3"/>
    <e v="#REF!"/>
    <e v="#REF!"/>
    <e v="#REF!"/>
  </r>
  <r>
    <s v="181000"/>
    <x v="6"/>
    <s v="COMPTE DE LIAISON DES ETABLISSEMENTS"/>
    <s v="OD"/>
    <n v="-3000"/>
    <d v="2025-08-21T00:00:00"/>
    <s v="Liaison établissement 401000 BOLD KB"/>
    <s v="Non"/>
    <s v="Non"/>
    <e v="#N/A"/>
    <n v="81421"/>
    <s v="PRESTATION BOLD"/>
    <s v="WE ARE BOLD"/>
    <s v="Q3"/>
    <e v="#REF!"/>
    <e v="#REF!"/>
    <e v="#REF!"/>
  </r>
  <r>
    <s v="181000"/>
    <x v="6"/>
    <s v="COMPTE DE LIAISON DES ETABLISSEMENTS"/>
    <s v="OD"/>
    <n v="-3000"/>
    <d v="2025-09-12T00:00:00"/>
    <s v="Liaison établissement 401000 BOLD KB"/>
    <s v="Non"/>
    <s v="Non"/>
    <e v="#N/A"/>
    <n v="81991"/>
    <s v="FORFAIT JURIDIQUE"/>
    <s v="WE ARE BOLD"/>
    <s v="Q3"/>
    <e v="#REF!"/>
    <e v="#REF!"/>
    <e v="#REF!"/>
  </r>
  <r>
    <s v="181000"/>
    <x v="6"/>
    <s v="COMPTE DE LIAISON DES ETABLISSEMENTS"/>
    <s v="OD"/>
    <n v="-2913.06"/>
    <d v="2025-01-17T00:00:00"/>
    <s v="Liaison inter-établissement vers TO "/>
    <m/>
    <e v="#N/A"/>
    <e v="#N/A"/>
    <n v="71896"/>
    <m/>
    <s v="PROMINENT"/>
    <s v="Q1"/>
    <e v="#REF!"/>
    <e v="#REF!"/>
    <e v="#REF!"/>
  </r>
  <r>
    <s v="181000"/>
    <x v="6"/>
    <s v="COMPTE DE LIAISON DES ETABLISSEMENTS"/>
    <s v="OD"/>
    <n v="-2907.91"/>
    <d v="2025-03-14T00:00:00"/>
    <s v="Liaison inter-établissement vers TO "/>
    <s v="Non"/>
    <s v="Non"/>
    <e v="#N/A"/>
    <n v="64424"/>
    <m/>
    <s v="F2P AUDIT &amp; CONSEIL"/>
    <s v="Q1"/>
    <e v="#REF!"/>
    <e v="#REF!"/>
    <e v="#REF!"/>
  </r>
  <r>
    <s v="181000"/>
    <x v="6"/>
    <s v="COMPTE DE LIAISON DES ETABLISSEMENTS"/>
    <s v="OD"/>
    <n v="-2904"/>
    <d v="2025-11-28T00:00:00"/>
    <s v="Liaison établissement 401000 INSAR RO"/>
    <m/>
    <e v="#N/A"/>
    <e v="#N/A"/>
    <n v="91207"/>
    <s v="FAR-2025-000189"/>
    <s v="INSA ROUEN"/>
    <s v="Q4"/>
    <e v="#REF!"/>
    <e v="#REF!"/>
    <e v="#REF!"/>
  </r>
  <r>
    <s v="181000"/>
    <x v="6"/>
    <s v="COMPTE DE LIAISON DES ETABLISSEMENTS"/>
    <s v="OD"/>
    <n v="-2904"/>
    <d v="2025-12-10T00:00:00"/>
    <s v="Liaison établissement 401000 INSAR RO"/>
    <m/>
    <e v="#N/A"/>
    <e v="#N/A"/>
    <n v="92070"/>
    <s v="FAR-2025-000562"/>
    <s v="INSA ROUEN"/>
    <s v="Q4"/>
    <e v="#REF!"/>
    <e v="#REF!"/>
    <e v="#REF!"/>
  </r>
  <r>
    <s v="181000"/>
    <x v="6"/>
    <s v="COMPTE DE LIAISON DES ETABLISSEMENTS"/>
    <s v="OD"/>
    <n v="-2904"/>
    <d v="2025-12-30T00:00:00"/>
    <s v="Liaison établissement 401000 INSAR RO"/>
    <m/>
    <e v="#N/A"/>
    <e v="#N/A"/>
    <n v="93727"/>
    <s v="FAR-2025-000749"/>
    <s v="INSA ROUEN"/>
    <s v="Q4"/>
    <e v="#REF!"/>
    <e v="#REF!"/>
    <e v="#REF!"/>
  </r>
  <r>
    <s v="181000"/>
    <x v="6"/>
    <s v="COMPTE DE LIAISON DES ETABLISSEMENTS"/>
    <s v="OD"/>
    <n v="-2896.05"/>
    <d v="2025-09-23T00:00:00"/>
    <s v="Liaison inter-établissement vers TO "/>
    <m/>
    <e v="#N/A"/>
    <e v="#N/A"/>
    <n v="87127"/>
    <m/>
    <s v="TRAITEUR GRAND"/>
    <s v="Q3"/>
    <e v="#REF!"/>
    <e v="#REF!"/>
    <e v="#REF!"/>
  </r>
  <r>
    <s v="181000"/>
    <x v="6"/>
    <s v="COMPTE DE LIAISON DES ETABLISSEMENTS"/>
    <s v="OD"/>
    <n v="-2896.04"/>
    <d v="2025-11-17T00:00:00"/>
    <s v="Liaison établissement 401000 TRAITEUR GRAND LY"/>
    <m/>
    <e v="#N/A"/>
    <e v="#N/A"/>
    <n v="90127"/>
    <s v="PRESTATION TRAITEUR SÉMINAIRE PILI"/>
    <s v="TRAITEUR GRAND"/>
    <s v="Q4"/>
    <e v="#REF!"/>
    <e v="#REF!"/>
    <e v="#REF!"/>
  </r>
  <r>
    <s v="181000"/>
    <x v="6"/>
    <s v="COMPTE DE LIAISON DES ETABLISSEMENTS"/>
    <s v="OD"/>
    <n v="-2886.24"/>
    <d v="2025-10-31T00:00:00"/>
    <s v="Liaison établissement 401000 LABSERVICES RO"/>
    <m/>
    <e v="#N/A"/>
    <e v="#N/A"/>
    <n v="87560"/>
    <s v="LSE-049745"/>
    <s v="LABSERVICES"/>
    <s v="Q4"/>
    <e v="#REF!"/>
    <e v="#REF!"/>
    <e v="#REF!"/>
  </r>
  <r>
    <s v="181000"/>
    <x v="6"/>
    <s v="COMPTE DE LIAISON DES ETABLISSEMENTS"/>
    <s v="OD"/>
    <n v="-2880"/>
    <d v="2025-10-03T00:00:00"/>
    <s v="Liaison établissement 401000 DMI RO"/>
    <m/>
    <e v="#N/A"/>
    <e v="#N/A"/>
    <n v="82704"/>
    <s v="FACT1901"/>
    <s v="DMI"/>
    <s v="Q4"/>
    <e v="#REF!"/>
    <e v="#REF!"/>
    <e v="#REF!"/>
  </r>
  <r>
    <s v="181000"/>
    <x v="6"/>
    <s v="COMPTE DE LIAISON DES ETABLISSEMENTS"/>
    <s v="OD"/>
    <n v="-2875"/>
    <d v="2025-05-07T00:00:00"/>
    <s v="Liaison établissement 401000 ACDV KB"/>
    <m/>
    <s v="Non"/>
    <s v="Oui"/>
    <n v="71760"/>
    <s v="COTISATION 2025"/>
    <s v="ASSOCIATION CHIMIE DU VEGETAL"/>
    <s v="Q2"/>
    <e v="#REF!"/>
    <e v="#REF!"/>
    <e v="#REF!"/>
  </r>
  <r>
    <s v="181000"/>
    <x v="6"/>
    <s v="COMPTE DE LIAISON DES ETABLISSEMENTS"/>
    <s v="OD"/>
    <n v="-2862"/>
    <d v="2025-12-29T00:00:00"/>
    <s v="Liaison inter-établissement vers TO "/>
    <m/>
    <s v="Non"/>
    <e v="#N/A"/>
    <n v="93708"/>
    <m/>
    <s v="AXE GESCOM"/>
    <s v="Q4"/>
    <e v="#REF!"/>
    <e v="#REF!"/>
    <e v="#REF!"/>
  </r>
  <r>
    <s v="181000"/>
    <x v="6"/>
    <s v="COMPTE DE LIAISON DES ETABLISSEMENTS"/>
    <s v="OD"/>
    <n v="-2806.51"/>
    <d v="2025-02-18T00:00:00"/>
    <s v="Liaison inter-établissement vers TO "/>
    <s v="Non"/>
    <s v="Non"/>
    <e v="#N/A"/>
    <n v="61648"/>
    <m/>
    <s v="F2P AUDIT &amp; CONSEIL"/>
    <s v="Q1"/>
    <e v="#REF!"/>
    <e v="#REF!"/>
    <e v="#REF!"/>
  </r>
  <r>
    <s v="181000"/>
    <x v="6"/>
    <s v="COMPTE DE LIAISON DES ETABLISSEMENTS"/>
    <s v="OD"/>
    <n v="-2700"/>
    <d v="2025-05-26T00:00:00"/>
    <s v="Liaison inter-établissement vers TO "/>
    <m/>
    <s v="Non"/>
    <e v="#N/A"/>
    <n v="74115"/>
    <m/>
    <s v="AXE GESCOM"/>
    <s v="Q2"/>
    <e v="#REF!"/>
    <e v="#REF!"/>
    <e v="#REF!"/>
  </r>
  <r>
    <s v="181000"/>
    <x v="6"/>
    <s v="COMPTE DE LIAISON DES ETABLISSEMENTS"/>
    <s v="OD"/>
    <n v="-2700"/>
    <d v="2025-08-28T00:00:00"/>
    <s v="Liaison inter-établissement vers TO "/>
    <m/>
    <s v="Non"/>
    <e v="#N/A"/>
    <n v="82138"/>
    <m/>
    <s v="AXE GESCOM"/>
    <s v="Q3"/>
    <e v="#REF!"/>
    <e v="#REF!"/>
    <e v="#REF!"/>
  </r>
  <r>
    <s v="181000"/>
    <x v="6"/>
    <s v="COMPTE DE LIAISON DES ETABLISSEMENTS"/>
    <s v="OD"/>
    <n v="-2700"/>
    <d v="2025-11-28T00:00:00"/>
    <s v="Liaison inter-établissement vers TO "/>
    <m/>
    <s v="Non"/>
    <e v="#N/A"/>
    <n v="91282"/>
    <m/>
    <s v="AXE GESCOM"/>
    <s v="Q4"/>
    <e v="#REF!"/>
    <e v="#REF!"/>
    <e v="#REF!"/>
  </r>
  <r>
    <s v="181000"/>
    <x v="6"/>
    <s v="COMPTE DE LIAISON DES ETABLISSEMENTS"/>
    <s v="OD"/>
    <n v="-2684.62"/>
    <d v="2025-10-31T00:00:00"/>
    <s v="Liaison établissement 401000 CLOUP RO"/>
    <m/>
    <e v="#N/A"/>
    <e v="#N/A"/>
    <n v="87540"/>
    <s v="0189108"/>
    <s v="CLOUP"/>
    <s v="Q4"/>
    <e v="#REF!"/>
    <e v="#REF!"/>
    <e v="#REF!"/>
  </r>
  <r>
    <s v="181000"/>
    <x v="6"/>
    <s v="COMPTE DE LIAISON DES ETABLISSEMENTS"/>
    <s v="OD"/>
    <n v="-2657.84"/>
    <d v="2025-02-15T00:00:00"/>
    <s v="Liaison inter-établissement vers TO "/>
    <m/>
    <s v="Non"/>
    <e v="#N/A"/>
    <n v="64288"/>
    <m/>
    <s v="DIVERS"/>
    <s v="Q1"/>
    <e v="#REF!"/>
    <e v="#REF!"/>
    <e v="#REF!"/>
  </r>
  <r>
    <s v="181000"/>
    <x v="6"/>
    <s v="COMPTE DE LIAISON DES ETABLISSEMENTS"/>
    <s v="OD"/>
    <n v="-2638"/>
    <d v="2025-01-01T00:00:00"/>
    <s v="Liaison inter-établissement"/>
    <m/>
    <e v="#N/A"/>
    <e v="#N/A"/>
    <n v="86545"/>
    <m/>
    <m/>
    <s v="Q1"/>
    <e v="#REF!"/>
    <e v="#REF!"/>
    <e v="#REF!"/>
  </r>
  <r>
    <s v="181000"/>
    <x v="6"/>
    <s v="COMPTE DE LIAISON DES ETABLISSEMENTS"/>
    <s v="OD"/>
    <n v="-2638"/>
    <d v="2025-06-01T00:00:00"/>
    <s v="Liaison inter-établissement"/>
    <m/>
    <e v="#N/A"/>
    <e v="#N/A"/>
    <n v="89382"/>
    <m/>
    <s v="ASCONA"/>
    <s v="Q2"/>
    <e v="#REF!"/>
    <e v="#REF!"/>
    <e v="#REF!"/>
  </r>
  <r>
    <s v="181000"/>
    <x v="6"/>
    <s v="COMPTE DE LIAISON DES ETABLISSEMENTS"/>
    <s v="OD"/>
    <n v="-2628"/>
    <d v="2025-03-19T00:00:00"/>
    <s v="Liaison inter-établissement vers TO "/>
    <m/>
    <s v="Non"/>
    <n v="0"/>
    <n v="64400"/>
    <m/>
    <s v="CEGOS"/>
    <s v="Q1"/>
    <e v="#REF!"/>
    <e v="#REF!"/>
    <e v="#REF!"/>
  </r>
  <r>
    <s v="181000"/>
    <x v="6"/>
    <s v="COMPTE DE LIAISON DES ETABLISSEMENTS"/>
    <s v="OD"/>
    <n v="-2590"/>
    <d v="2025-07-09T00:00:00"/>
    <s v="Liaison établissement 401000 BIOTIKA RO"/>
    <s v="Non"/>
    <e v="#N/A"/>
    <e v="#N/A"/>
    <n v="77205"/>
    <s v="TRANSPORTATION COSTS"/>
    <s v="BIOTIKA"/>
    <s v="Q3"/>
    <e v="#REF!"/>
    <e v="#REF!"/>
    <e v="#REF!"/>
  </r>
  <r>
    <s v="181000"/>
    <x v="6"/>
    <s v="COMPTE DE LIAISON DES ETABLISSEMENTS"/>
    <s v="OD"/>
    <n v="-2560.1"/>
    <d v="2025-09-03T00:00:00"/>
    <s v="Liaison inter-établissement vers KB "/>
    <m/>
    <e v="#N/A"/>
    <e v="#N/A"/>
    <n v="87480"/>
    <m/>
    <s v="DENIOS"/>
    <s v="Q3"/>
    <e v="#REF!"/>
    <e v="#REF!"/>
    <e v="#REF!"/>
  </r>
  <r>
    <s v="181000"/>
    <x v="6"/>
    <s v="COMPTE DE LIAISON DES ETABLISSEMENTS"/>
    <s v="OD"/>
    <n v="-2472"/>
    <d v="2025-01-30T00:00:00"/>
    <s v="Liaison inter-établissement vers TO "/>
    <m/>
    <e v="#N/A"/>
    <e v="#N/A"/>
    <n v="63876"/>
    <m/>
    <s v="SMTS"/>
    <s v="Q1"/>
    <e v="#REF!"/>
    <e v="#REF!"/>
    <e v="#REF!"/>
  </r>
  <r>
    <s v="181000"/>
    <x v="6"/>
    <s v="COMPTE DE LIAISON DES ETABLISSEMENTS"/>
    <s v="OD"/>
    <n v="-2459.5"/>
    <d v="2025-06-30T00:00:00"/>
    <s v="Liaison inter-établissement"/>
    <m/>
    <e v="#N/A"/>
    <e v="#N/A"/>
    <n v="78472"/>
    <m/>
    <m/>
    <s v="Q2"/>
    <e v="#REF!"/>
    <e v="#REF!"/>
    <e v="#REF!"/>
  </r>
  <r>
    <s v="181000"/>
    <x v="6"/>
    <s v="COMPTE DE LIAISON DES ETABLISSEMENTS"/>
    <s v="OD"/>
    <n v="-2459.5"/>
    <d v="2025-06-30T00:00:00"/>
    <s v="Liaison inter-établissement vers TO "/>
    <m/>
    <e v="#N/A"/>
    <e v="#N/A"/>
    <n v="78459"/>
    <m/>
    <m/>
    <s v="Q2"/>
    <e v="#REF!"/>
    <e v="#REF!"/>
    <e v="#REF!"/>
  </r>
  <r>
    <s v="181000"/>
    <x v="6"/>
    <s v="COMPTE DE LIAISON DES ETABLISSEMENTS"/>
    <s v="OD"/>
    <n v="-2450.7399999999998"/>
    <d v="2025-03-26T00:00:00"/>
    <s v="Liaison inter-établissement vers TO "/>
    <m/>
    <e v="#N/A"/>
    <e v="#N/A"/>
    <n v="67999"/>
    <m/>
    <s v="DENIOS"/>
    <s v="Q1"/>
    <e v="#REF!"/>
    <e v="#REF!"/>
    <e v="#REF!"/>
  </r>
  <r>
    <s v="181000"/>
    <x v="6"/>
    <s v="COMPTE DE LIAISON DES ETABLISSEMENTS"/>
    <s v="OD"/>
    <n v="-2412.63"/>
    <d v="2025-07-01T00:00:00"/>
    <s v="Liaison inter-établissement vers TO "/>
    <s v="Non"/>
    <s v="Non"/>
    <e v="#N/A"/>
    <n v="76955"/>
    <m/>
    <s v="NEIL BELL"/>
    <s v="Q3"/>
    <e v="#REF!"/>
    <e v="#REF!"/>
    <e v="#REF!"/>
  </r>
  <r>
    <s v="181000"/>
    <x v="6"/>
    <s v="COMPTE DE LIAISON DES ETABLISSEMENTS"/>
    <s v="OD"/>
    <n v="-2408.88"/>
    <d v="2025-07-18T00:00:00"/>
    <s v="Liaison établissement 401000 NEILB LY"/>
    <s v="Non"/>
    <s v="Non"/>
    <e v="#N/A"/>
    <n v="78322"/>
    <s v="MONTHLY CONSULTANCE SERVICES 2025_03"/>
    <s v="NEIL BELL"/>
    <s v="Q3"/>
    <e v="#REF!"/>
    <e v="#REF!"/>
    <e v="#REF!"/>
  </r>
  <r>
    <s v="181000"/>
    <x v="6"/>
    <s v="COMPTE DE LIAISON DES ETABLISSEMENTS"/>
    <s v="OD"/>
    <n v="-2402.54"/>
    <d v="2025-04-02T00:00:00"/>
    <s v="Liaison inter-établissement vers LY "/>
    <s v="Non"/>
    <s v="Non"/>
    <e v="#N/A"/>
    <n v="76939"/>
    <m/>
    <s v="NEIL BELL"/>
    <s v="Q2"/>
    <e v="#REF!"/>
    <e v="#REF!"/>
    <e v="#REF!"/>
  </r>
  <r>
    <s v="181000"/>
    <x v="6"/>
    <s v="COMPTE DE LIAISON DES ETABLISSEMENTS"/>
    <s v="OD"/>
    <n v="-2402.54"/>
    <d v="2025-04-02T00:00:00"/>
    <s v="Liaison inter-établissement vers TO "/>
    <s v="Non"/>
    <s v="Non"/>
    <e v="#N/A"/>
    <n v="76931"/>
    <m/>
    <s v="NEIL BELL"/>
    <s v="Q2"/>
    <e v="#REF!"/>
    <e v="#REF!"/>
    <e v="#REF!"/>
  </r>
  <r>
    <s v="181000"/>
    <x v="6"/>
    <s v="COMPTE DE LIAISON DES ETABLISSEMENTS"/>
    <s v="OD"/>
    <n v="-2402.54"/>
    <d v="2025-04-02T00:00:00"/>
    <s v="Liaison inter-établissement vers TO "/>
    <s v="Non"/>
    <s v="Non"/>
    <e v="#N/A"/>
    <n v="76935"/>
    <m/>
    <s v="NEIL BELL"/>
    <s v="Q2"/>
    <e v="#REF!"/>
    <e v="#REF!"/>
    <e v="#REF!"/>
  </r>
  <r>
    <s v="181000"/>
    <x v="6"/>
    <s v="COMPTE DE LIAISON DES ETABLISSEMENTS"/>
    <s v="OD"/>
    <n v="-2400"/>
    <d v="2025-04-18T00:00:00"/>
    <s v="Liaison établissement 401000 BUSINOVE KB"/>
    <s v="Non"/>
    <s v="Non"/>
    <e v="#N/A"/>
    <n v="68148"/>
    <s v="Invoice Payment by Pili"/>
    <s v="BUSINOVE"/>
    <s v="Q2"/>
    <e v="#REF!"/>
    <e v="#REF!"/>
    <e v="#REF!"/>
  </r>
  <r>
    <s v="181000"/>
    <x v="6"/>
    <s v="COMPTE DE LIAISON DES ETABLISSEMENTS"/>
    <s v="OD"/>
    <n v="-2400"/>
    <d v="2025-05-05T00:00:00"/>
    <s v="Liaison inter-établissement"/>
    <m/>
    <e v="#N/A"/>
    <e v="#N/A"/>
    <n v="77577"/>
    <m/>
    <m/>
    <s v="Q2"/>
    <e v="#REF!"/>
    <e v="#REF!"/>
    <e v="#REF!"/>
  </r>
  <r>
    <s v="181000"/>
    <x v="6"/>
    <s v="COMPTE DE LIAISON DES ETABLISSEMENTS"/>
    <s v="OD"/>
    <n v="-2350.5"/>
    <d v="2025-03-06T00:00:00"/>
    <s v="Liaison inter-établissement vers TO "/>
    <m/>
    <e v="#N/A"/>
    <e v="#N/A"/>
    <n v="69964"/>
    <m/>
    <s v="Eurofins BLC Leather Technology Centre Limited"/>
    <s v="Q1"/>
    <e v="#REF!"/>
    <e v="#REF!"/>
    <e v="#REF!"/>
  </r>
  <r>
    <s v="181000"/>
    <x v="6"/>
    <s v="COMPTE DE LIAISON DES ETABLISSEMENTS"/>
    <s v="OD"/>
    <n v="-2341.81"/>
    <d v="2025-03-31T00:00:00"/>
    <s v="Liaison inter-établissement"/>
    <m/>
    <e v="#N/A"/>
    <e v="#N/A"/>
    <n v="70280"/>
    <m/>
    <m/>
    <s v="Q1"/>
    <e v="#REF!"/>
    <e v="#REF!"/>
    <e v="#REF!"/>
  </r>
  <r>
    <s v="181000"/>
    <x v="6"/>
    <s v="COMPTE DE LIAISON DES ETABLISSEMENTS"/>
    <s v="OD"/>
    <n v="-2340"/>
    <d v="2025-01-18T00:00:00"/>
    <s v="Liaison inter-établissement vers TO "/>
    <m/>
    <e v="#N/A"/>
    <e v="#N/A"/>
    <n v="70105"/>
    <m/>
    <s v="CIAMT"/>
    <s v="Q1"/>
    <e v="#REF!"/>
    <e v="#REF!"/>
    <e v="#REF!"/>
  </r>
  <r>
    <s v="181000"/>
    <x v="6"/>
    <s v="COMPTE DE LIAISON DES ETABLISSEMENTS"/>
    <s v="OD"/>
    <n v="-2335.12"/>
    <d v="2025-12-30T00:00:00"/>
    <s v="Liaison établissement 401000 CLOUP KB"/>
    <m/>
    <e v="#N/A"/>
    <e v="#N/A"/>
    <n v="93796"/>
    <s v="0190171"/>
    <s v="CLOUP"/>
    <s v="Q4"/>
    <e v="#REF!"/>
    <e v="#REF!"/>
    <e v="#REF!"/>
  </r>
  <r>
    <s v="181000"/>
    <x v="6"/>
    <s v="COMPTE DE LIAISON DES ETABLISSEMENTS"/>
    <s v="OD"/>
    <n v="-2328"/>
    <d v="2025-12-05T00:00:00"/>
    <s v="Liaison établissement 401000 HIPOLITO LY"/>
    <m/>
    <e v="#N/A"/>
    <e v="#N/A"/>
    <n v="91365"/>
    <s v="2025/156"/>
    <s v="HIPOLITO"/>
    <s v="Q4"/>
    <e v="#REF!"/>
    <e v="#REF!"/>
    <e v="#REF!"/>
  </r>
  <r>
    <s v="181000"/>
    <x v="6"/>
    <s v="COMPTE DE LIAISON DES ETABLISSEMENTS"/>
    <s v="OD"/>
    <n v="-2326.1999999999998"/>
    <d v="2025-07-31T00:00:00"/>
    <s v="Liaison établissement 401000 RIBIERE RO"/>
    <m/>
    <e v="#N/A"/>
    <e v="#N/A"/>
    <n v="79291"/>
    <s v="DEMO : SÉCURISATION ZONE DÉMONSTRATEUR : - FONDATION POTEAUX EXISTANTS - TERRASSEMENT"/>
    <s v="RIBIERE"/>
    <s v="Q3"/>
    <e v="#REF!"/>
    <e v="#REF!"/>
    <e v="#REF!"/>
  </r>
  <r>
    <s v="181000"/>
    <x v="6"/>
    <s v="COMPTE DE LIAISON DES ETABLISSEMENTS"/>
    <s v="OD"/>
    <n v="-2320"/>
    <d v="2025-06-30T00:00:00"/>
    <s v="Liaison établissement 401000 DOTMATICS KB"/>
    <s v="Non"/>
    <e v="#N/A"/>
    <e v="#N/A"/>
    <n v="76887"/>
    <s v="LICENCES DOTMATICS 2026 - 2 ADDITIONAL CHEMISTRY"/>
    <s v="DOTMATICS LIMITED"/>
    <s v="Q2"/>
    <e v="#REF!"/>
    <e v="#REF!"/>
    <e v="#REF!"/>
  </r>
  <r>
    <s v="181000"/>
    <x v="6"/>
    <s v="COMPTE DE LIAISON DES ETABLISSEMENTS"/>
    <s v="OD"/>
    <n v="-2310.9899999999998"/>
    <d v="2025-08-18T00:00:00"/>
    <s v="Liaison établissement 401000 NEILB LY"/>
    <s v="Non"/>
    <s v="Non"/>
    <e v="#N/A"/>
    <n v="81178"/>
    <s v="MONTHLY CONSULTANCY SERVICES 2025_04"/>
    <s v="NEIL BELL"/>
    <s v="Q3"/>
    <e v="#REF!"/>
    <e v="#REF!"/>
    <e v="#REF!"/>
  </r>
  <r>
    <s v="181000"/>
    <x v="6"/>
    <s v="COMPTE DE LIAISON DES ETABLISSEMENTS"/>
    <s v="OD"/>
    <n v="-2308.36"/>
    <d v="2025-08-21T00:00:00"/>
    <s v="Liaison établissement 401000 CJLAB RO"/>
    <m/>
    <e v="#N/A"/>
    <e v="#N/A"/>
    <n v="81467"/>
    <s v="INTERVENTION SUR HPLC ROUSSILLON"/>
    <s v="C.J. LAB"/>
    <s v="Q3"/>
    <e v="#REF!"/>
    <e v="#REF!"/>
    <e v="#REF!"/>
  </r>
  <r>
    <s v="181000"/>
    <x v="6"/>
    <s v="COMPTE DE LIAISON DES ETABLISSEMENTS"/>
    <s v="OD"/>
    <n v="-2297.17"/>
    <d v="2025-03-31T00:00:00"/>
    <s v="Liaison inter-établissement"/>
    <m/>
    <e v="#N/A"/>
    <e v="#N/A"/>
    <n v="70283"/>
    <m/>
    <m/>
    <s v="Q1"/>
    <e v="#REF!"/>
    <e v="#REF!"/>
    <e v="#REF!"/>
  </r>
  <r>
    <s v="181000"/>
    <x v="6"/>
    <s v="COMPTE DE LIAISON DES ETABLISSEMENTS"/>
    <s v="OD"/>
    <n v="-2288.6"/>
    <d v="2025-06-30T00:00:00"/>
    <s v="Liaison inter-établissement"/>
    <m/>
    <e v="#N/A"/>
    <e v="#N/A"/>
    <n v="78485"/>
    <m/>
    <m/>
    <s v="Q2"/>
    <e v="#REF!"/>
    <e v="#REF!"/>
    <e v="#REF!"/>
  </r>
  <r>
    <s v="181000"/>
    <x v="6"/>
    <s v="COMPTE DE LIAISON DES ETABLISSEMENTS"/>
    <s v="OD"/>
    <n v="-2280"/>
    <d v="2025-07-07T00:00:00"/>
    <s v="Liaison inter-établissement vers TO "/>
    <m/>
    <e v="#N/A"/>
    <e v="#N/A"/>
    <n v="78974"/>
    <m/>
    <s v="APIE"/>
    <s v="Q3"/>
    <e v="#REF!"/>
    <e v="#REF!"/>
    <e v="#REF!"/>
  </r>
  <r>
    <s v="181000"/>
    <x v="6"/>
    <s v="COMPTE DE LIAISON DES ETABLISSEMENTS"/>
    <s v="OD"/>
    <n v="-2250"/>
    <d v="2025-07-31T00:00:00"/>
    <s v="Liaison établissement 401000 CHARRIERE LY"/>
    <s v="Non"/>
    <s v="Non"/>
    <e v="#N/A"/>
    <n v="79261"/>
    <s v="PRESTATION CONSEIL DISTRIBUTION E. CHARRIERE"/>
    <s v="CHARRIERE Eugenie"/>
    <s v="Q3"/>
    <e v="#REF!"/>
    <e v="#REF!"/>
    <e v="#REF!"/>
  </r>
  <r>
    <s v="181000"/>
    <x v="6"/>
    <s v="COMPTE DE LIAISON DES ETABLISSEMENTS"/>
    <s v="OD"/>
    <n v="-2232.13"/>
    <d v="2025-01-15T00:00:00"/>
    <s v="Liaison inter-établissement vers TO "/>
    <m/>
    <e v="#N/A"/>
    <e v="#N/A"/>
    <n v="63682"/>
    <m/>
    <s v="COTE"/>
    <s v="Q1"/>
    <e v="#REF!"/>
    <e v="#REF!"/>
    <e v="#REF!"/>
  </r>
  <r>
    <s v="181000"/>
    <x v="6"/>
    <s v="COMPTE DE LIAISON DES ETABLISSEMENTS"/>
    <s v="OD"/>
    <n v="-2220"/>
    <d v="2025-09-22T00:00:00"/>
    <s v="Liaison établissement 401000 PIGNAT RO"/>
    <m/>
    <e v="#N/A"/>
    <e v="#N/A"/>
    <n v="82456"/>
    <s v="FACTURE 0017360"/>
    <s v="PIGNAT"/>
    <s v="Q3"/>
    <e v="#REF!"/>
    <e v="#REF!"/>
    <e v="#REF!"/>
  </r>
  <r>
    <s v="181000"/>
    <x v="6"/>
    <s v="COMPTE DE LIAISON DES ETABLISSEMENTS"/>
    <s v="OD"/>
    <n v="-2214"/>
    <d v="2025-03-14T00:00:00"/>
    <s v="Liaison inter-établissement vers TO "/>
    <m/>
    <e v="#N/A"/>
    <e v="#N/A"/>
    <n v="68051"/>
    <m/>
    <s v="ARCANE INDUSTRIE"/>
    <s v="Q1"/>
    <e v="#REF!"/>
    <e v="#REF!"/>
    <e v="#REF!"/>
  </r>
  <r>
    <s v="181000"/>
    <x v="6"/>
    <s v="COMPTE DE LIAISON DES ETABLISSEMENTS"/>
    <s v="OD"/>
    <n v="-2191.1999999999998"/>
    <d v="2025-03-14T00:00:00"/>
    <s v="Liaison inter-établissement vers TO "/>
    <m/>
    <e v="#N/A"/>
    <e v="#N/A"/>
    <n v="68003"/>
    <m/>
    <s v="LE CURIEUX PROMOTION"/>
    <s v="Q1"/>
    <e v="#REF!"/>
    <e v="#REF!"/>
    <e v="#REF!"/>
  </r>
  <r>
    <s v="181000"/>
    <x v="6"/>
    <s v="COMPTE DE LIAISON DES ETABLISSEMENTS"/>
    <s v="OD"/>
    <n v="-2175.37"/>
    <d v="2025-08-21T00:00:00"/>
    <s v="Liaison inter-établissement vers TO "/>
    <s v="Non"/>
    <s v="Non"/>
    <e v="#N/A"/>
    <n v="81721"/>
    <m/>
    <s v="NEIL BELL"/>
    <s v="Q3"/>
    <e v="#REF!"/>
    <e v="#REF!"/>
    <e v="#REF!"/>
  </r>
  <r>
    <s v="181000"/>
    <x v="6"/>
    <s v="COMPTE DE LIAISON DES ETABLISSEMENTS"/>
    <s v="OD"/>
    <n v="-2160"/>
    <d v="2025-06-02T00:00:00"/>
    <s v="Liaison établissement 401000 COFICIEL RO"/>
    <m/>
    <e v="#N/A"/>
    <e v="#N/A"/>
    <n v="75248"/>
    <s v="Invoice Payment By Pili"/>
    <s v="COFICIEL"/>
    <s v="Q2"/>
    <e v="#REF!"/>
    <e v="#REF!"/>
    <e v="#REF!"/>
  </r>
  <r>
    <s v="181000"/>
    <x v="6"/>
    <s v="COMPTE DE LIAISON DES ETABLISSEMENTS"/>
    <s v="OD"/>
    <n v="-2150"/>
    <d v="2025-01-01T00:00:00"/>
    <s v="Liaison inter-établissement"/>
    <m/>
    <e v="#N/A"/>
    <e v="#N/A"/>
    <n v="86525"/>
    <m/>
    <m/>
    <s v="Q1"/>
    <e v="#REF!"/>
    <e v="#REF!"/>
    <e v="#REF!"/>
  </r>
  <r>
    <s v="181000"/>
    <x v="6"/>
    <s v="COMPTE DE LIAISON DES ETABLISSEMENTS"/>
    <s v="OD"/>
    <n v="-2142.8000000000002"/>
    <d v="2025-03-31T00:00:00"/>
    <s v="Liaison inter-établissement"/>
    <m/>
    <e v="#N/A"/>
    <e v="#N/A"/>
    <n v="68493"/>
    <m/>
    <m/>
    <s v="Q1"/>
    <e v="#REF!"/>
    <e v="#REF!"/>
    <e v="#REF!"/>
  </r>
  <r>
    <s v="181000"/>
    <x v="6"/>
    <s v="COMPTE DE LIAISON DES ETABLISSEMENTS"/>
    <s v="OD"/>
    <n v="-2142.8000000000002"/>
    <d v="2025-03-31T00:00:00"/>
    <s v="Liaison inter-établissement vers TO "/>
    <m/>
    <e v="#N/A"/>
    <e v="#N/A"/>
    <n v="68483"/>
    <m/>
    <m/>
    <s v="Q1"/>
    <e v="#REF!"/>
    <e v="#REF!"/>
    <e v="#REF!"/>
  </r>
  <r>
    <s v="181000"/>
    <x v="6"/>
    <s v="COMPTE DE LIAISON DES ETABLISSEMENTS"/>
    <s v="OD"/>
    <n v="-2142.5"/>
    <d v="2025-03-07T00:00:00"/>
    <s v="Liaison inter-établissement vers TO "/>
    <s v="Non"/>
    <e v="#N/A"/>
    <e v="#N/A"/>
    <n v="63940"/>
    <m/>
    <s v="ZDHC Gateway B.V."/>
    <s v="Q1"/>
    <e v="#REF!"/>
    <e v="#REF!"/>
    <e v="#REF!"/>
  </r>
  <r>
    <s v="181000"/>
    <x v="6"/>
    <s v="COMPTE DE LIAISON DES ETABLISSEMENTS"/>
    <s v="OD"/>
    <n v="-2133.42"/>
    <d v="2025-09-01T00:00:00"/>
    <s v="Liaison inter-établissement"/>
    <m/>
    <e v="#N/A"/>
    <e v="#N/A"/>
    <n v="92185"/>
    <m/>
    <s v="DENIOS"/>
    <s v="Q3"/>
    <e v="#REF!"/>
    <e v="#REF!"/>
    <e v="#REF!"/>
  </r>
  <r>
    <s v="181000"/>
    <x v="6"/>
    <s v="COMPTE DE LIAISON DES ETABLISSEMENTS"/>
    <s v="OD"/>
    <n v="-2133.25"/>
    <d v="2025-06-30T00:00:00"/>
    <s v="Liaison inter-établissement"/>
    <m/>
    <e v="#N/A"/>
    <e v="#N/A"/>
    <n v="78700"/>
    <m/>
    <m/>
    <s v="Q2"/>
    <e v="#REF!"/>
    <e v="#REF!"/>
    <e v="#REF!"/>
  </r>
  <r>
    <s v="181000"/>
    <x v="6"/>
    <s v="COMPTE DE LIAISON DES ETABLISSEMENTS"/>
    <s v="OD"/>
    <n v="-2106.7600000000002"/>
    <d v="2025-09-12T00:00:00"/>
    <s v="Liaison établissement 401000 ARESCOM KB"/>
    <m/>
    <e v="#N/A"/>
    <e v="#N/A"/>
    <n v="81986"/>
    <s v="LICENCES OFFICE 365"/>
    <s v="ARESCOM"/>
    <s v="Q3"/>
    <e v="#REF!"/>
    <e v="#REF!"/>
    <e v="#REF!"/>
  </r>
  <r>
    <s v="181000"/>
    <x v="6"/>
    <s v="COMPTE DE LIAISON DES ETABLISSEMENTS"/>
    <s v="OD"/>
    <n v="-2062.67"/>
    <d v="2025-04-29T00:00:00"/>
    <s v="Liaison établissement 401000 COTE RO"/>
    <m/>
    <e v="#N/A"/>
    <e v="#N/A"/>
    <n v="70488"/>
    <s v="Invocie Payment by Pili"/>
    <s v="COTE"/>
    <s v="Q2"/>
    <e v="#REF!"/>
    <e v="#REF!"/>
    <e v="#REF!"/>
  </r>
  <r>
    <s v="181000"/>
    <x v="6"/>
    <s v="COMPTE DE LIAISON DES ETABLISSEMENTS"/>
    <s v="OD"/>
    <n v="-2054.6999999999998"/>
    <d v="2025-01-31T00:00:00"/>
    <s v="Liaison inter-établissement vers TO "/>
    <s v="Non"/>
    <s v="Non"/>
    <e v="#N/A"/>
    <n v="63790"/>
    <m/>
    <s v="OSIRIS"/>
    <s v="Q1"/>
    <e v="#REF!"/>
    <e v="#REF!"/>
    <e v="#REF!"/>
  </r>
  <r>
    <s v="181000"/>
    <x v="6"/>
    <s v="COMPTE DE LIAISON DES ETABLISSEMENTS"/>
    <s v="OD"/>
    <n v="-2052"/>
    <d v="2025-12-30T00:00:00"/>
    <s v="Liaison établissement 401000 EIFFAGE ENERGIE SYSTEMES RO"/>
    <m/>
    <e v="#N/A"/>
    <e v="#N/A"/>
    <n v="93791"/>
    <s v="F00034250900143"/>
    <s v="EIFFAGE ENERGIE SYSTEMES"/>
    <s v="Q4"/>
    <e v="#REF!"/>
    <e v="#REF!"/>
    <e v="#REF!"/>
  </r>
  <r>
    <s v="181000"/>
    <x v="6"/>
    <s v="COMPTE DE LIAISON DES ETABLISSEMENTS"/>
    <s v="OD"/>
    <n v="-2034.4"/>
    <d v="2025-01-30T00:00:00"/>
    <s v="Liaison inter-établissement vers TO "/>
    <m/>
    <e v="#N/A"/>
    <e v="#N/A"/>
    <n v="63726"/>
    <m/>
    <s v="FISHER SCIENTIFIC"/>
    <s v="Q1"/>
    <e v="#REF!"/>
    <e v="#REF!"/>
    <e v="#REF!"/>
  </r>
  <r>
    <s v="181000"/>
    <x v="6"/>
    <s v="COMPTE DE LIAISON DES ETABLISSEMENTS"/>
    <s v="OD"/>
    <n v="-2000"/>
    <d v="2025-03-31T00:00:00"/>
    <s v="Liaison inter-établissement vers KB "/>
    <s v="Non"/>
    <s v="Non"/>
    <e v="#N/A"/>
    <n v="77446"/>
    <m/>
    <s v="BUSINOVE"/>
    <s v="Q1"/>
    <e v="#REF!"/>
    <e v="#REF!"/>
    <e v="#REF!"/>
  </r>
  <r>
    <s v="181000"/>
    <x v="6"/>
    <s v="COMPTE DE LIAISON DES ETABLISSEMENTS"/>
    <s v="OD"/>
    <n v="-2000"/>
    <d v="2025-08-08T00:00:00"/>
    <s v="Liaison établissement 401000 WATIER LY"/>
    <s v="Non"/>
    <s v="Non"/>
    <e v="#N/A"/>
    <n v="80735"/>
    <s v="REVUE DE LITT SCIENTIFIQUE INDIGO ET COLORANTS/PIGMENTS"/>
    <s v="WATIER Marie"/>
    <s v="Q3"/>
    <e v="#REF!"/>
    <e v="#REF!"/>
    <e v="#REF!"/>
  </r>
  <r>
    <s v="181000"/>
    <x v="6"/>
    <s v="COMPTE DE LIAISON DES ETABLISSEMENTS"/>
    <s v="OD"/>
    <n v="-2000"/>
    <d v="2025-09-22T00:00:00"/>
    <s v="Liaison établissement 401000 BIOTIKA RO"/>
    <s v="Non"/>
    <e v="#N/A"/>
    <e v="#N/A"/>
    <n v="82376"/>
    <s v="PHOENIX VBIO - ESSAI DECANTEUR - CENTRIGUGE / MARINER"/>
    <s v="BIOTIKA"/>
    <s v="Q3"/>
    <e v="#REF!"/>
    <e v="#REF!"/>
    <e v="#REF!"/>
  </r>
  <r>
    <s v="181000"/>
    <x v="6"/>
    <s v="COMPTE DE LIAISON DES ETABLISSEMENTS"/>
    <s v="OD"/>
    <n v="-1981.1"/>
    <d v="2025-09-26T00:00:00"/>
    <s v="Liaison établissement 401000 ARESCOM KB"/>
    <m/>
    <e v="#N/A"/>
    <e v="#N/A"/>
    <n v="82478"/>
    <s v="INVOICE PAYMENT BY PILI"/>
    <s v="ARESCOM"/>
    <s v="Q3"/>
    <e v="#REF!"/>
    <e v="#REF!"/>
    <e v="#REF!"/>
  </r>
  <r>
    <s v="181000"/>
    <x v="6"/>
    <s v="COMPTE DE LIAISON DES ETABLISSEMENTS"/>
    <s v="OD"/>
    <n v="-1981.1"/>
    <d v="2025-11-04T00:00:00"/>
    <s v="Liaison établissement 401000 ARESCOM KB"/>
    <m/>
    <e v="#N/A"/>
    <e v="#N/A"/>
    <n v="88053"/>
    <s v="LICENCES OFFICE 365"/>
    <s v="ARESCOM"/>
    <s v="Q4"/>
    <e v="#REF!"/>
    <e v="#REF!"/>
    <e v="#REF!"/>
  </r>
  <r>
    <s v="181000"/>
    <x v="6"/>
    <s v="COMPTE DE LIAISON DES ETABLISSEMENTS"/>
    <s v="OD"/>
    <n v="-1981.1"/>
    <d v="2025-11-28T00:00:00"/>
    <s v="Liaison établissement 401000 ARESCOM KB"/>
    <m/>
    <e v="#N/A"/>
    <e v="#N/A"/>
    <n v="91227"/>
    <s v="145166"/>
    <s v="ARESCOM"/>
    <s v="Q4"/>
    <e v="#REF!"/>
    <e v="#REF!"/>
    <e v="#REF!"/>
  </r>
  <r>
    <s v="181000"/>
    <x v="6"/>
    <s v="COMPTE DE LIAISON DES ETABLISSEMENTS"/>
    <s v="OD"/>
    <n v="-1981.1"/>
    <d v="2025-12-30T00:00:00"/>
    <s v="Liaison établissement 401000 ARESCOM KB"/>
    <m/>
    <e v="#N/A"/>
    <e v="#N/A"/>
    <n v="93801"/>
    <s v="145679"/>
    <s v="ARESCOM"/>
    <s v="Q4"/>
    <e v="#REF!"/>
    <e v="#REF!"/>
    <e v="#REF!"/>
  </r>
  <r>
    <s v="181000"/>
    <x v="6"/>
    <s v="COMPTE DE LIAISON DES ETABLISSEMENTS"/>
    <s v="OD"/>
    <n v="-1969.73"/>
    <d v="2025-03-28T00:00:00"/>
    <s v="Liaison établissement 401000 COFICIEL RO"/>
    <m/>
    <e v="#N/A"/>
    <e v="#N/A"/>
    <n v="65021"/>
    <s v="Invoice Payment by Pili"/>
    <s v="COFICIEL"/>
    <s v="Q1"/>
    <e v="#REF!"/>
    <e v="#REF!"/>
    <e v="#REF!"/>
  </r>
  <r>
    <s v="181000"/>
    <x v="6"/>
    <s v="COMPTE DE LIAISON DES ETABLISSEMENTS"/>
    <s v="OD"/>
    <n v="-1957.16"/>
    <d v="2025-03-18T00:00:00"/>
    <s v="Liaison inter-établissement vers TO "/>
    <m/>
    <e v="#N/A"/>
    <e v="#N/A"/>
    <n v="72761"/>
    <m/>
    <s v="ENGIE"/>
    <s v="Q1"/>
    <e v="#REF!"/>
    <e v="#REF!"/>
    <e v="#REF!"/>
  </r>
  <r>
    <s v="181000"/>
    <x v="6"/>
    <s v="COMPTE DE LIAISON DES ETABLISSEMENTS"/>
    <s v="OD"/>
    <n v="-1946.6"/>
    <d v="2025-06-04T00:00:00"/>
    <s v="Liaison inter-établissement vers TO "/>
    <m/>
    <e v="#N/A"/>
    <e v="#N/A"/>
    <n v="81973"/>
    <m/>
    <s v="INITIATIVE &amp; RISK PARTNERS"/>
    <s v="Q2"/>
    <e v="#REF!"/>
    <e v="#REF!"/>
    <e v="#REF!"/>
  </r>
  <r>
    <s v="181000"/>
    <x v="6"/>
    <s v="COMPTE DE LIAISON DES ETABLISSEMENTS"/>
    <s v="OD"/>
    <n v="-1945.3"/>
    <d v="2025-05-23T00:00:00"/>
    <s v="Liaison établissement 401000 ALTAIR KB"/>
    <s v="Non"/>
    <s v="Non"/>
    <e v="#N/A"/>
    <n v="74042"/>
    <s v="Invoice payment by Pili"/>
    <s v="ALTAIR AVOCATS"/>
    <s v="Q2"/>
    <e v="#REF!"/>
    <e v="#REF!"/>
    <e v="#REF!"/>
  </r>
  <r>
    <s v="181000"/>
    <x v="6"/>
    <s v="COMPTE DE LIAISON DES ETABLISSEMENTS"/>
    <s v="OD"/>
    <n v="-1840"/>
    <d v="2025-07-09T00:00:00"/>
    <s v="Liaison établissement 401000 BIOTIKA RO"/>
    <s v="Non"/>
    <e v="#N/A"/>
    <e v="#N/A"/>
    <n v="77195"/>
    <s v="TRANSPORT OF MATERIAL TO ALFA  LAVAL ITALY (MEDICAL LOGISTICS),"/>
    <s v="BIOTIKA"/>
    <s v="Q3"/>
    <e v="#REF!"/>
    <e v="#REF!"/>
    <e v="#REF!"/>
  </r>
  <r>
    <s v="181000"/>
    <x v="6"/>
    <s v="COMPTE DE LIAISON DES ETABLISSEMENTS"/>
    <s v="OD"/>
    <n v="-1828.97"/>
    <d v="2025-06-02T00:00:00"/>
    <s v="Liaison établissement 401000 ARESCOM KB"/>
    <m/>
    <e v="#N/A"/>
    <e v="#N/A"/>
    <n v="75227"/>
    <s v="Invoice Payment By Pili"/>
    <s v="ARESCOM"/>
    <s v="Q2"/>
    <e v="#REF!"/>
    <e v="#REF!"/>
    <e v="#REF!"/>
  </r>
  <r>
    <s v="181000"/>
    <x v="6"/>
    <s v="COMPTE DE LIAISON DES ETABLISSEMENTS"/>
    <s v="OD"/>
    <n v="-1827.26"/>
    <d v="2025-06-27T00:00:00"/>
    <s v="Liaison inter-établissement vers TO "/>
    <m/>
    <e v="#N/A"/>
    <e v="#N/A"/>
    <n v="76799"/>
    <m/>
    <s v="Pierre-Yves Bolle"/>
    <s v="Q2"/>
    <e v="#REF!"/>
    <e v="#REF!"/>
    <e v="#REF!"/>
  </r>
  <r>
    <s v="181000"/>
    <x v="6"/>
    <s v="COMPTE DE LIAISON DES ETABLISSEMENTS"/>
    <s v="OD"/>
    <n v="-1825.81"/>
    <d v="2025-08-21T00:00:00"/>
    <s v="Liaison établissement 401000 ACI RO"/>
    <m/>
    <e v="#N/A"/>
    <e v="#N/A"/>
    <n v="81462"/>
    <s v="R1000 - VANNE À BOISSEAU SPHÉRIQUE KK/F DN40"/>
    <s v="ACI"/>
    <s v="Q3"/>
    <e v="#REF!"/>
    <e v="#REF!"/>
    <e v="#REF!"/>
  </r>
  <r>
    <s v="181000"/>
    <x v="6"/>
    <s v="COMPTE DE LIAISON DES ETABLISSEMENTS"/>
    <s v="OD"/>
    <n v="-1812"/>
    <d v="2025-05-12T00:00:00"/>
    <s v="Liaison établissement 401000 AIGP RO"/>
    <m/>
    <e v="#N/A"/>
    <e v="#N/A"/>
    <n v="71752"/>
    <s v="GESTION DE PROJET SÉCURISATION BÂTIMENT DÉMO"/>
    <s v="AIGP INGENIERIE"/>
    <s v="Q2"/>
    <e v="#REF!"/>
    <e v="#REF!"/>
    <e v="#REF!"/>
  </r>
  <r>
    <s v="181000"/>
    <x v="6"/>
    <s v="COMPTE DE LIAISON DES ETABLISSEMENTS"/>
    <s v="OD"/>
    <n v="-1812"/>
    <d v="2025-06-16T00:00:00"/>
    <s v="Liaison établissement 401000 AIGP RO"/>
    <m/>
    <e v="#N/A"/>
    <e v="#N/A"/>
    <n v="76030"/>
    <s v="GESTION DE PROJET SÉCURISATION BÂTIMENT DÉMO"/>
    <s v="AIGP INGENIERIE"/>
    <s v="Q2"/>
    <e v="#REF!"/>
    <e v="#REF!"/>
    <e v="#REF!"/>
  </r>
  <r>
    <s v="181000"/>
    <x v="6"/>
    <s v="COMPTE DE LIAISON DES ETABLISSEMENTS"/>
    <s v="OD"/>
    <n v="-1804.04"/>
    <d v="2025-06-04T00:00:00"/>
    <s v="Liaison établissement 401000 ARESCOM KB"/>
    <m/>
    <e v="#N/A"/>
    <e v="#N/A"/>
    <n v="75502"/>
    <s v="Invoice payment by Pili"/>
    <s v="ARESCOM"/>
    <s v="Q2"/>
    <e v="#REF!"/>
    <e v="#REF!"/>
    <e v="#REF!"/>
  </r>
  <r>
    <s v="181000"/>
    <x v="6"/>
    <s v="COMPTE DE LIAISON DES ETABLISSEMENTS"/>
    <s v="OD"/>
    <n v="-1804.04"/>
    <d v="2025-08-08T00:00:00"/>
    <s v="Liaison établissement 401000 ARESCOM KB"/>
    <m/>
    <e v="#N/A"/>
    <e v="#N/A"/>
    <n v="80740"/>
    <s v="LICENCES OFFICE 365"/>
    <s v="ARESCOM"/>
    <s v="Q3"/>
    <e v="#REF!"/>
    <e v="#REF!"/>
    <e v="#REF!"/>
  </r>
  <r>
    <s v="181000"/>
    <x v="6"/>
    <s v="COMPTE DE LIAISON DES ETABLISSEMENTS"/>
    <s v="OD"/>
    <n v="-1800"/>
    <d v="2025-02-28T00:00:00"/>
    <s v="Liaison inter-établissement vers TO "/>
    <s v="Non"/>
    <s v="Non"/>
    <e v="#N/A"/>
    <n v="63598"/>
    <m/>
    <s v="WE ARE BOLD"/>
    <s v="Q1"/>
    <e v="#REF!"/>
    <e v="#REF!"/>
    <e v="#REF!"/>
  </r>
  <r>
    <s v="181000"/>
    <x v="6"/>
    <s v="COMPTE DE LIAISON DES ETABLISSEMENTS"/>
    <s v="OD"/>
    <n v="-1800"/>
    <d v="2025-03-19T00:00:00"/>
    <s v="Liaison inter-établissement vers TO "/>
    <s v="Non"/>
    <s v="Non"/>
    <e v="#N/A"/>
    <n v="63590"/>
    <m/>
    <s v="WE ARE BOLD"/>
    <s v="Q1"/>
    <e v="#REF!"/>
    <e v="#REF!"/>
    <e v="#REF!"/>
  </r>
  <r>
    <s v="181000"/>
    <x v="6"/>
    <s v="COMPTE DE LIAISON DES ETABLISSEMENTS"/>
    <s v="OD"/>
    <n v="-1800"/>
    <d v="2025-03-31T00:00:00"/>
    <s v="Liaison inter-établissement vers KB "/>
    <s v="Non"/>
    <s v="Non"/>
    <e v="#N/A"/>
    <n v="77511"/>
    <m/>
    <s v="BIOADVICE"/>
    <s v="Q1"/>
    <e v="#REF!"/>
    <e v="#REF!"/>
    <e v="#REF!"/>
  </r>
  <r>
    <s v="181000"/>
    <x v="6"/>
    <s v="COMPTE DE LIAISON DES ETABLISSEMENTS"/>
    <s v="OD"/>
    <n v="-1800"/>
    <d v="2025-06-04T00:00:00"/>
    <s v="Liaison établissement 401000 MAGELAN KB"/>
    <s v="Non"/>
    <s v="Non"/>
    <e v="#N/A"/>
    <n v="75527"/>
    <s v="Invoice payment by Pili"/>
    <s v="MAGELAN"/>
    <s v="Q2"/>
    <e v="#REF!"/>
    <e v="#REF!"/>
    <e v="#REF!"/>
  </r>
  <r>
    <s v="181000"/>
    <x v="6"/>
    <s v="COMPTE DE LIAISON DES ETABLISSEMENTS"/>
    <s v="OD"/>
    <n v="-1766.65"/>
    <d v="2025-04-02T00:00:00"/>
    <s v="Liaison établissement 401000 CHIMIREC RO"/>
    <m/>
    <s v="Non"/>
    <n v="0"/>
    <n v="66482"/>
    <s v="Invoice Payment by Pili"/>
    <s v="CHIMIREC CENTRE EST"/>
    <s v="Q2"/>
    <e v="#REF!"/>
    <e v="#REF!"/>
    <e v="#REF!"/>
  </r>
  <r>
    <s v="181000"/>
    <x v="6"/>
    <s v="COMPTE DE LIAISON DES ETABLISSEMENTS"/>
    <s v="OD"/>
    <n v="-1761.79"/>
    <d v="2025-09-08T00:00:00"/>
    <s v="Liaison établissement 401000 NOVA KB"/>
    <m/>
    <e v="#N/A"/>
    <e v="#N/A"/>
    <n v="81735"/>
    <s v="TICKET CONFÉRENCE RMC GBW"/>
    <s v="NOVA-INSTITUT"/>
    <s v="Q3"/>
    <e v="#REF!"/>
    <e v="#REF!"/>
    <e v="#REF!"/>
  </r>
  <r>
    <s v="181000"/>
    <x v="6"/>
    <s v="COMPTE DE LIAISON DES ETABLISSEMENTS"/>
    <s v="OD"/>
    <n v="-1758.99"/>
    <d v="2025-12-23T00:00:00"/>
    <s v="Liaison inter-établissement vers TO "/>
    <m/>
    <e v="#N/A"/>
    <e v="#N/A"/>
    <n v="93567"/>
    <m/>
    <s v="Pauline Rullière"/>
    <s v="Q4"/>
    <e v="#REF!"/>
    <e v="#REF!"/>
    <e v="#REF!"/>
  </r>
  <r>
    <s v="181000"/>
    <x v="6"/>
    <s v="COMPTE DE LIAISON DES ETABLISSEMENTS"/>
    <s v="OD"/>
    <n v="-1751.48"/>
    <d v="2025-04-08T00:00:00"/>
    <s v="Liaison inter-établissement vers TO "/>
    <m/>
    <e v="#N/A"/>
    <e v="#N/A"/>
    <n v="69912"/>
    <m/>
    <s v="ARESCOM"/>
    <s v="Q2"/>
    <e v="#REF!"/>
    <e v="#REF!"/>
    <e v="#REF!"/>
  </r>
  <r>
    <s v="181000"/>
    <x v="6"/>
    <s v="COMPTE DE LIAISON DES ETABLISSEMENTS"/>
    <s v="OD"/>
    <n v="-1730.3"/>
    <d v="2025-08-21T00:00:00"/>
    <s v="Liaison établissement 401000 ALTAIR KB"/>
    <s v="Non"/>
    <s v="Non"/>
    <e v="#N/A"/>
    <n v="81366"/>
    <s v="HONORAIRES DE PROGRESSION SUR LA PÉRIODE DU 1ER AU 31 MAI 2025"/>
    <s v="ALTAIR AVOCATS"/>
    <s v="Q3"/>
    <e v="#REF!"/>
    <e v="#REF!"/>
    <e v="#REF!"/>
  </r>
  <r>
    <s v="181000"/>
    <x v="6"/>
    <s v="COMPTE DE LIAISON DES ETABLISSEMENTS"/>
    <s v="OD"/>
    <n v="-1679.02"/>
    <d v="2025-12-16T00:00:00"/>
    <s v="Liaison inter-établissement vers TO "/>
    <m/>
    <e v="#N/A"/>
    <e v="#N/A"/>
    <n v="92238"/>
    <m/>
    <s v="ENGIE"/>
    <s v="Q4"/>
    <e v="#REF!"/>
    <e v="#REF!"/>
    <e v="#REF!"/>
  </r>
  <r>
    <s v="181000"/>
    <x v="6"/>
    <s v="COMPTE DE LIAISON DES ETABLISSEMENTS"/>
    <s v="OD"/>
    <n v="-1670.24"/>
    <d v="2025-03-21T00:00:00"/>
    <s v="Liaison inter-établissement vers TO "/>
    <m/>
    <s v="Non"/>
    <n v="0"/>
    <n v="67987"/>
    <m/>
    <s v="SERVICE ACTION SANTE"/>
    <s v="Q1"/>
    <e v="#REF!"/>
    <e v="#REF!"/>
    <e v="#REF!"/>
  </r>
  <r>
    <s v="181000"/>
    <x v="6"/>
    <s v="COMPTE DE LIAISON DES ETABLISSEMENTS"/>
    <s v="OD"/>
    <n v="-1657.05"/>
    <d v="2025-02-18T00:00:00"/>
    <s v="Liaison inter-établissement vers TO "/>
    <m/>
    <e v="#N/A"/>
    <e v="#N/A"/>
    <n v="63546"/>
    <m/>
    <s v="ARESCOM"/>
    <s v="Q1"/>
    <e v="#REF!"/>
    <e v="#REF!"/>
    <e v="#REF!"/>
  </r>
  <r>
    <s v="181000"/>
    <x v="6"/>
    <s v="COMPTE DE LIAISON DES ETABLISSEMENTS"/>
    <s v="OD"/>
    <n v="-1652.96"/>
    <d v="2025-08-21T00:00:00"/>
    <s v="Liaison établissement 401000 BECKER KB"/>
    <s v="Non"/>
    <s v="Oui"/>
    <e v="#N/A"/>
    <n v="81411"/>
    <s v="GESTION DES ANNUITÉS"/>
    <s v="BECKER"/>
    <s v="Q3"/>
    <e v="#REF!"/>
    <e v="#REF!"/>
    <e v="#REF!"/>
  </r>
  <r>
    <s v="181000"/>
    <x v="6"/>
    <s v="COMPTE DE LIAISON DES ETABLISSEMENTS"/>
    <s v="OD"/>
    <n v="-1652.73"/>
    <d v="2025-02-18T00:00:00"/>
    <s v="Liaison inter-établissement vers TO "/>
    <m/>
    <e v="#N/A"/>
    <e v="#N/A"/>
    <n v="63542"/>
    <m/>
    <s v="ARESCOM"/>
    <s v="Q1"/>
    <e v="#REF!"/>
    <e v="#REF!"/>
    <e v="#REF!"/>
  </r>
  <r>
    <s v="181000"/>
    <x v="6"/>
    <s v="COMPTE DE LIAISON DES ETABLISSEMENTS"/>
    <s v="OD"/>
    <n v="-1648.56"/>
    <d v="2025-03-06T00:00:00"/>
    <s v="Liaison inter-établissement vers TO "/>
    <m/>
    <e v="#N/A"/>
    <e v="#N/A"/>
    <n v="68059"/>
    <m/>
    <s v="ARESCOM"/>
    <s v="Q1"/>
    <e v="#REF!"/>
    <e v="#REF!"/>
    <e v="#REF!"/>
  </r>
  <r>
    <s v="181000"/>
    <x v="6"/>
    <s v="COMPTE DE LIAISON DES ETABLISSEMENTS"/>
    <s v="OD"/>
    <n v="-1648.56"/>
    <d v="2025-04-08T00:00:00"/>
    <s v="Liaison inter-établissement vers TO "/>
    <m/>
    <e v="#N/A"/>
    <e v="#N/A"/>
    <n v="69916"/>
    <m/>
    <s v="ARESCOM"/>
    <s v="Q2"/>
    <e v="#REF!"/>
    <e v="#REF!"/>
    <e v="#REF!"/>
  </r>
  <r>
    <s v="181000"/>
    <x v="6"/>
    <s v="COMPTE DE LIAISON DES ETABLISSEMENTS"/>
    <s v="OD"/>
    <n v="-1648.56"/>
    <d v="2025-06-02T00:00:00"/>
    <s v="Liaison établissement 401000 ARESCOM KB"/>
    <m/>
    <e v="#N/A"/>
    <e v="#N/A"/>
    <n v="75232"/>
    <s v="Invoice Payment By Pili"/>
    <s v="ARESCOM"/>
    <s v="Q2"/>
    <e v="#REF!"/>
    <e v="#REF!"/>
    <e v="#REF!"/>
  </r>
  <r>
    <s v="181000"/>
    <x v="6"/>
    <s v="COMPTE DE LIAISON DES ETABLISSEMENTS"/>
    <s v="OD"/>
    <n v="-1646.72"/>
    <d v="2025-12-30T00:00:00"/>
    <s v="Liaison établissement 401000 ARESCOM KB"/>
    <m/>
    <e v="#N/A"/>
    <e v="#N/A"/>
    <n v="93766"/>
    <s v="145557"/>
    <s v="ARESCOM"/>
    <s v="Q4"/>
    <e v="#REF!"/>
    <e v="#REF!"/>
    <e v="#REF!"/>
  </r>
  <r>
    <s v="181000"/>
    <x v="6"/>
    <s v="COMPTE DE LIAISON DES ETABLISSEMENTS"/>
    <s v="OD"/>
    <n v="-1637.52"/>
    <d v="2025-03-06T00:00:00"/>
    <s v="Liaison inter-établissement vers TO "/>
    <m/>
    <e v="#N/A"/>
    <e v="#N/A"/>
    <n v="68055"/>
    <m/>
    <s v="ARESCOM"/>
    <s v="Q1"/>
    <e v="#REF!"/>
    <e v="#REF!"/>
    <e v="#REF!"/>
  </r>
  <r>
    <s v="181000"/>
    <x v="6"/>
    <s v="COMPTE DE LIAISON DES ETABLISSEMENTS"/>
    <s v="OD"/>
    <n v="-1636.05"/>
    <d v="2025-02-10T00:00:00"/>
    <s v="Liaison inter-établissement vers TO "/>
    <m/>
    <e v="#N/A"/>
    <e v="#N/A"/>
    <n v="63538"/>
    <m/>
    <s v="ARESCOM"/>
    <s v="Q1"/>
    <e v="#REF!"/>
    <e v="#REF!"/>
    <e v="#REF!"/>
  </r>
  <r>
    <s v="181000"/>
    <x v="6"/>
    <s v="COMPTE DE LIAISON DES ETABLISSEMENTS"/>
    <s v="OD"/>
    <n v="-1632.14"/>
    <d v="2025-02-10T00:00:00"/>
    <s v="Liaison inter-établissement vers TO "/>
    <m/>
    <e v="#N/A"/>
    <e v="#N/A"/>
    <n v="63534"/>
    <m/>
    <s v="ARESCOM"/>
    <s v="Q1"/>
    <e v="#REF!"/>
    <e v="#REF!"/>
    <e v="#REF!"/>
  </r>
  <r>
    <s v="181000"/>
    <x v="6"/>
    <s v="COMPTE DE LIAISON DES ETABLISSEMENTS"/>
    <s v="OD"/>
    <n v="-1632"/>
    <d v="2025-01-01T00:00:00"/>
    <s v="Liaison inter-établissement"/>
    <m/>
    <e v="#N/A"/>
    <e v="#N/A"/>
    <n v="86603"/>
    <m/>
    <m/>
    <s v="Q1"/>
    <e v="#REF!"/>
    <e v="#REF!"/>
    <e v="#REF!"/>
  </r>
  <r>
    <s v="181000"/>
    <x v="6"/>
    <s v="COMPTE DE LIAISON DES ETABLISSEMENTS"/>
    <s v="OD"/>
    <n v="-1619.08"/>
    <d v="2025-03-21T00:00:00"/>
    <s v="Liaison inter-établissement vers TO "/>
    <m/>
    <e v="#N/A"/>
    <e v="#N/A"/>
    <n v="69948"/>
    <m/>
    <s v="AIR FRANCE"/>
    <s v="Q1"/>
    <e v="#REF!"/>
    <e v="#REF!"/>
    <e v="#REF!"/>
  </r>
  <r>
    <s v="181000"/>
    <x v="6"/>
    <s v="COMPTE DE LIAISON DES ETABLISSEMENTS"/>
    <s v="OD"/>
    <n v="-1610.66"/>
    <d v="2025-01-31T00:00:00"/>
    <s v="Liaison inter-établissement vers TO "/>
    <m/>
    <e v="#N/A"/>
    <e v="#N/A"/>
    <n v="82845"/>
    <m/>
    <s v="Banque Populaire Rive de Paris"/>
    <s v="Q1"/>
    <e v="#REF!"/>
    <e v="#REF!"/>
    <e v="#REF!"/>
  </r>
  <r>
    <s v="181000"/>
    <x v="6"/>
    <s v="COMPTE DE LIAISON DES ETABLISSEMENTS"/>
    <s v="OD"/>
    <n v="-1608"/>
    <d v="2025-07-31T00:00:00"/>
    <s v="Liaison établissement 401000 ROUSSELET RO"/>
    <s v="Non"/>
    <e v="#N/A"/>
    <e v="#N/A"/>
    <n v="79382"/>
    <s v="ESSAIS LABORATOIRE ESSOREUSE / DECANTEUSE À BOL POUR SÉPARATION INDIGO ET MOÛT DE FERMENTATION"/>
    <s v="ROUSSELET CENTRIFUGATION"/>
    <s v="Q3"/>
    <e v="#REF!"/>
    <e v="#REF!"/>
    <e v="#REF!"/>
  </r>
  <r>
    <s v="181000"/>
    <x v="6"/>
    <s v="COMPTE DE LIAISON DES ETABLISSEMENTS"/>
    <s v="OD"/>
    <n v="-1600.56"/>
    <d v="2025-12-10T00:00:00"/>
    <s v="Liaison établissement 401000 CRIT RO"/>
    <m/>
    <e v="#N/A"/>
    <e v="#N/A"/>
    <n v="92022"/>
    <s v="N6171053-2025"/>
    <s v="CRIT"/>
    <s v="Q4"/>
    <e v="#REF!"/>
    <e v="#REF!"/>
    <e v="#REF!"/>
  </r>
  <r>
    <s v="181000"/>
    <x v="6"/>
    <s v="COMPTE DE LIAISON DES ETABLISSEMENTS"/>
    <s v="OD"/>
    <n v="-1600.56"/>
    <d v="2025-12-30T00:00:00"/>
    <s v="Liaison établissement 401000 CRIT RO"/>
    <m/>
    <e v="#N/A"/>
    <e v="#N/A"/>
    <n v="93732"/>
    <s v="N6171211-2025"/>
    <s v="CRIT"/>
    <s v="Q4"/>
    <e v="#REF!"/>
    <e v="#REF!"/>
    <e v="#REF!"/>
  </r>
  <r>
    <s v="181000"/>
    <x v="6"/>
    <s v="COMPTE DE LIAISON DES ETABLISSEMENTS"/>
    <s v="OD"/>
    <n v="-1600.56"/>
    <d v="2025-12-30T00:00:00"/>
    <s v="Liaison établissement 401000 CRIT RO"/>
    <m/>
    <e v="#N/A"/>
    <e v="#N/A"/>
    <n v="93863"/>
    <s v="N6171054-2025"/>
    <s v="CRIT"/>
    <s v="Q4"/>
    <e v="#REF!"/>
    <e v="#REF!"/>
    <e v="#REF!"/>
  </r>
  <r>
    <s v="181000"/>
    <x v="6"/>
    <s v="COMPTE DE LIAISON DES ETABLISSEMENTS"/>
    <s v="OD"/>
    <n v="-1597.9"/>
    <d v="2025-11-04T00:00:00"/>
    <s v="Liaison établissement 401000 ARESCOM KB"/>
    <m/>
    <e v="#N/A"/>
    <e v="#N/A"/>
    <n v="88048"/>
    <s v="CONTRAT DE MAINTENANCE PRO"/>
    <s v="ARESCOM"/>
    <s v="Q4"/>
    <e v="#REF!"/>
    <e v="#REF!"/>
    <e v="#REF!"/>
  </r>
  <r>
    <s v="181000"/>
    <x v="6"/>
    <s v="COMPTE DE LIAISON DES ETABLISSEMENTS"/>
    <s v="OD"/>
    <n v="-1589.28"/>
    <d v="2025-11-28T00:00:00"/>
    <s v="Liaison établissement 401000 ARESCOM KB"/>
    <m/>
    <e v="#N/A"/>
    <e v="#N/A"/>
    <n v="91222"/>
    <s v="145044"/>
    <s v="ARESCOM"/>
    <s v="Q4"/>
    <e v="#REF!"/>
    <e v="#REF!"/>
    <e v="#REF!"/>
  </r>
  <r>
    <s v="181000"/>
    <x v="6"/>
    <s v="COMPTE DE LIAISON DES ETABLISSEMENTS"/>
    <s v="OD"/>
    <n v="-1584"/>
    <d v="2025-02-28T00:00:00"/>
    <s v="Liaison inter-établissement vers TO "/>
    <m/>
    <s v="Non"/>
    <n v="0"/>
    <n v="63518"/>
    <m/>
    <s v="APF SECURITE"/>
    <s v="Q1"/>
    <e v="#REF!"/>
    <e v="#REF!"/>
    <e v="#REF!"/>
  </r>
  <r>
    <s v="181000"/>
    <x v="6"/>
    <s v="COMPTE DE LIAISON DES ETABLISSEMENTS"/>
    <s v="OD"/>
    <n v="-1582.5"/>
    <d v="2025-06-15T00:00:00"/>
    <s v="Liaison inter-établissement vers TO "/>
    <m/>
    <e v="#N/A"/>
    <e v="#N/A"/>
    <n v="78248"/>
    <m/>
    <s v="GREENDELTA"/>
    <s v="Q2"/>
    <e v="#REF!"/>
    <e v="#REF!"/>
    <e v="#REF!"/>
  </r>
  <r>
    <s v="181000"/>
    <x v="6"/>
    <s v="COMPTE DE LIAISON DES ETABLISSEMENTS"/>
    <s v="OD"/>
    <n v="-1579.77"/>
    <d v="2025-04-11T00:00:00"/>
    <s v="Liaison inter-établissement vers TO "/>
    <m/>
    <e v="#N/A"/>
    <e v="#N/A"/>
    <n v="74832"/>
    <m/>
    <s v="AIR FRANCE"/>
    <s v="Q2"/>
    <e v="#REF!"/>
    <e v="#REF!"/>
    <e v="#REF!"/>
  </r>
  <r>
    <s v="181000"/>
    <x v="6"/>
    <s v="COMPTE DE LIAISON DES ETABLISSEMENTS"/>
    <s v="OD"/>
    <n v="-1562.4"/>
    <d v="2025-06-04T00:00:00"/>
    <s v="Liaison établissement 401000 ARESCOM KB"/>
    <m/>
    <e v="#N/A"/>
    <e v="#N/A"/>
    <n v="75507"/>
    <s v="Invoice payment by Pili"/>
    <s v="ARESCOM"/>
    <s v="Q2"/>
    <e v="#REF!"/>
    <e v="#REF!"/>
    <e v="#REF!"/>
  </r>
  <r>
    <s v="181000"/>
    <x v="6"/>
    <s v="COMPTE DE LIAISON DES ETABLISSEMENTS"/>
    <s v="OD"/>
    <n v="-1562.4"/>
    <d v="2025-08-21T00:00:00"/>
    <s v="Liaison établissement 401000 ARESCOM KB"/>
    <m/>
    <e v="#N/A"/>
    <e v="#N/A"/>
    <n v="81376"/>
    <s v="CONTRAT DE MAINTENANCE PRO"/>
    <s v="ARESCOM"/>
    <s v="Q3"/>
    <e v="#REF!"/>
    <e v="#REF!"/>
    <e v="#REF!"/>
  </r>
  <r>
    <s v="181000"/>
    <x v="6"/>
    <s v="COMPTE DE LIAISON DES ETABLISSEMENTS"/>
    <s v="OD"/>
    <n v="-1562.4"/>
    <d v="2025-09-26T00:00:00"/>
    <s v="Liaison établissement 401000 ARESCOM KB"/>
    <m/>
    <e v="#N/A"/>
    <e v="#N/A"/>
    <n v="82473"/>
    <s v="INVOICE PAYMENT BY PILI"/>
    <s v="ARESCOM"/>
    <s v="Q3"/>
    <e v="#REF!"/>
    <e v="#REF!"/>
    <e v="#REF!"/>
  </r>
  <r>
    <s v="181000"/>
    <x v="6"/>
    <s v="COMPTE DE LIAISON DES ETABLISSEMENTS"/>
    <s v="OD"/>
    <n v="-1557"/>
    <d v="2025-01-01T00:00:00"/>
    <s v="Liaison inter-établissement"/>
    <m/>
    <e v="#N/A"/>
    <e v="#N/A"/>
    <n v="86690"/>
    <m/>
    <m/>
    <s v="Q1"/>
    <e v="#REF!"/>
    <e v="#REF!"/>
    <e v="#REF!"/>
  </r>
  <r>
    <s v="181000"/>
    <x v="6"/>
    <s v="COMPTE DE LIAISON DES ETABLISSEMENTS"/>
    <s v="OD"/>
    <n v="-1548.62"/>
    <d v="2025-03-21T00:00:00"/>
    <s v="Liaison inter-établissement vers TO "/>
    <m/>
    <e v="#N/A"/>
    <e v="#N/A"/>
    <n v="68011"/>
    <m/>
    <s v="AIR FRANCE"/>
    <s v="Q1"/>
    <e v="#REF!"/>
    <e v="#REF!"/>
    <e v="#REF!"/>
  </r>
  <r>
    <s v="181000"/>
    <x v="6"/>
    <s v="COMPTE DE LIAISON DES ETABLISSEMENTS"/>
    <s v="OD"/>
    <n v="-1546.2"/>
    <d v="2025-09-26T00:00:00"/>
    <s v="Liaison établissement 401000 ARESCOM KB"/>
    <m/>
    <e v="#N/A"/>
    <e v="#N/A"/>
    <n v="82483"/>
    <s v="INVOICE PAYMENT BY PILI"/>
    <s v="ARESCOM"/>
    <s v="Q3"/>
    <e v="#REF!"/>
    <e v="#REF!"/>
    <e v="#REF!"/>
  </r>
  <r>
    <s v="181000"/>
    <x v="6"/>
    <s v="COMPTE DE LIAISON DES ETABLISSEMENTS"/>
    <s v="OD"/>
    <n v="-1536"/>
    <d v="2025-12-23T00:00:00"/>
    <s v="Liaison établissement 401000 INSAR RO"/>
    <m/>
    <e v="#N/A"/>
    <e v="#N/A"/>
    <n v="93627"/>
    <s v="FAR-2025-000748"/>
    <s v="INSA ROUEN"/>
    <s v="Q4"/>
    <e v="#REF!"/>
    <e v="#REF!"/>
    <e v="#REF!"/>
  </r>
  <r>
    <s v="181000"/>
    <x v="6"/>
    <s v="COMPTE DE LIAISON DES ETABLISSEMENTS"/>
    <s v="OD"/>
    <n v="-1525.62"/>
    <d v="2025-09-16T00:00:00"/>
    <s v="Liaison inter-établissement vers TO "/>
    <m/>
    <e v="#N/A"/>
    <e v="#N/A"/>
    <n v="82799"/>
    <m/>
    <s v="ENGIE"/>
    <s v="Q3"/>
    <e v="#REF!"/>
    <e v="#REF!"/>
    <e v="#REF!"/>
  </r>
  <r>
    <s v="181000"/>
    <x v="6"/>
    <s v="COMPTE DE LIAISON DES ETABLISSEMENTS"/>
    <s v="OD"/>
    <n v="-1525.39"/>
    <d v="2025-02-18T00:00:00"/>
    <s v="Liaison inter-établissement vers TO "/>
    <m/>
    <e v="#N/A"/>
    <e v="#N/A"/>
    <n v="63686"/>
    <m/>
    <s v="COTE"/>
    <s v="Q1"/>
    <e v="#REF!"/>
    <e v="#REF!"/>
    <e v="#REF!"/>
  </r>
  <r>
    <s v="181000"/>
    <x v="6"/>
    <s v="COMPTE DE LIAISON DES ETABLISSEMENTS"/>
    <s v="OD"/>
    <n v="-1512"/>
    <d v="2025-02-18T00:00:00"/>
    <s v="Liaison inter-établissement vers TO "/>
    <m/>
    <e v="#N/A"/>
    <e v="#N/A"/>
    <n v="63650"/>
    <m/>
    <s v="CIMEO"/>
    <s v="Q1"/>
    <e v="#REF!"/>
    <e v="#REF!"/>
    <e v="#REF!"/>
  </r>
  <r>
    <s v="181000"/>
    <x v="6"/>
    <s v="COMPTE DE LIAISON DES ETABLISSEMENTS"/>
    <s v="OD"/>
    <n v="-1504.2"/>
    <d v="2025-11-04T00:00:00"/>
    <s v="Liaison établissement 401000 RIVOIRE RO"/>
    <m/>
    <e v="#N/A"/>
    <e v="#N/A"/>
    <n v="88022"/>
    <s v="MODIFICATION FILTRE À PLAQUES :  - AJOUT BAC DE RÉTENTION - AJOUT SUPPORT SEAU 30L"/>
    <s v="RIVOIRE"/>
    <s v="Q4"/>
    <e v="#REF!"/>
    <e v="#REF!"/>
    <e v="#REF!"/>
  </r>
  <r>
    <s v="181000"/>
    <x v="6"/>
    <s v="COMPTE DE LIAISON DES ETABLISSEMENTS"/>
    <s v="OD"/>
    <n v="-1502.09"/>
    <d v="2025-07-23T00:00:00"/>
    <s v="Liaison inter-établissement vers TO "/>
    <m/>
    <s v="Non"/>
    <n v="0"/>
    <n v="81251"/>
    <m/>
    <s v="SERVICE ACTION SANTE"/>
    <s v="Q3"/>
    <e v="#REF!"/>
    <e v="#REF!"/>
    <e v="#REF!"/>
  </r>
  <r>
    <s v="181000"/>
    <x v="6"/>
    <s v="COMPTE DE LIAISON DES ETABLISSEMENTS"/>
    <s v="OD"/>
    <n v="-1500"/>
    <d v="2025-04-18T00:00:00"/>
    <s v="Liaison établissement 401000 LRC2 KB"/>
    <s v="Non"/>
    <s v="Non"/>
    <e v="#N/A"/>
    <n v="68198"/>
    <s v="Invoice Payment by Pili"/>
    <s v="LRC2"/>
    <s v="Q2"/>
    <e v="#REF!"/>
    <e v="#REF!"/>
    <e v="#REF!"/>
  </r>
  <r>
    <s v="181000"/>
    <x v="6"/>
    <s v="COMPTE DE LIAISON DES ETABLISSEMENTS"/>
    <s v="OD"/>
    <n v="-1500"/>
    <d v="2025-05-06T00:00:00"/>
    <s v="Liaison inter-établissement vers KB "/>
    <s v="Oui"/>
    <s v="Non"/>
    <e v="#N/A"/>
    <n v="77505"/>
    <m/>
    <s v="CONSEIL CPP"/>
    <s v="Q2"/>
    <e v="#REF!"/>
    <e v="#REF!"/>
    <e v="#REF!"/>
  </r>
  <r>
    <s v="181000"/>
    <x v="6"/>
    <s v="COMPTE DE LIAISON DES ETABLISSEMENTS"/>
    <s v="OD"/>
    <n v="-1500"/>
    <d v="2025-06-10T00:00:00"/>
    <s v="Liaison établissement 401000 START KB"/>
    <m/>
    <e v="#N/A"/>
    <e v="#N/A"/>
    <n v="75921"/>
    <s v="START INDUSTRIE – COTISATION MEMBRE ACTIF 2025/2026"/>
    <s v="STARTINDUSTRIE"/>
    <s v="Q2"/>
    <e v="#REF!"/>
    <e v="#REF!"/>
    <e v="#REF!"/>
  </r>
  <r>
    <s v="181000"/>
    <x v="6"/>
    <s v="COMPTE DE LIAISON DES ETABLISSEMENTS"/>
    <s v="OD"/>
    <n v="-1500"/>
    <d v="2025-10-31T00:00:00"/>
    <s v="Liaison établissement 401000 WATIER LY"/>
    <s v="Non"/>
    <s v="Non"/>
    <e v="#N/A"/>
    <n v="87590"/>
    <s v="PHASE 2 ET FACTURE FINALE M WATIER"/>
    <s v="WATIER Marie"/>
    <s v="Q4"/>
    <e v="#REF!"/>
    <e v="#REF!"/>
    <e v="#REF!"/>
  </r>
  <r>
    <s v="181000"/>
    <x v="6"/>
    <s v="COMPTE DE LIAISON DES ETABLISSEMENTS"/>
    <s v="OD"/>
    <n v="-1488.95"/>
    <d v="2025-10-16T00:00:00"/>
    <s v="Liaison inter-établissement vers TO "/>
    <m/>
    <e v="#N/A"/>
    <e v="#N/A"/>
    <n v="86959"/>
    <m/>
    <s v="ENGIE"/>
    <s v="Q4"/>
    <e v="#REF!"/>
    <e v="#REF!"/>
    <e v="#REF!"/>
  </r>
  <r>
    <s v="181000"/>
    <x v="6"/>
    <s v="COMPTE DE LIAISON DES ETABLISSEMENTS"/>
    <s v="OD"/>
    <n v="-1487"/>
    <d v="2025-01-01T00:00:00"/>
    <s v="Liaison inter-établissement vers KB "/>
    <m/>
    <e v="#N/A"/>
    <e v="#N/A"/>
    <n v="88061"/>
    <m/>
    <m/>
    <s v="Q1"/>
    <e v="#REF!"/>
    <e v="#REF!"/>
    <e v="#REF!"/>
  </r>
  <r>
    <s v="181000"/>
    <x v="6"/>
    <s v="COMPTE DE LIAISON DES ETABLISSEMENTS"/>
    <s v="OD"/>
    <n v="-1486.97"/>
    <d v="2025-01-10T00:00:00"/>
    <s v="Liaison inter-établissement vers TO "/>
    <m/>
    <e v="#N/A"/>
    <e v="#N/A"/>
    <n v="72716"/>
    <m/>
    <s v="Banque Populaire Rive de Paris"/>
    <s v="Q1"/>
    <e v="#REF!"/>
    <e v="#REF!"/>
    <e v="#REF!"/>
  </r>
  <r>
    <s v="181000"/>
    <x v="6"/>
    <s v="COMPTE DE LIAISON DES ETABLISSEMENTS"/>
    <s v="OD"/>
    <n v="-1471.57"/>
    <d v="2025-04-29T00:00:00"/>
    <s v="Liaison inter-établissement vers TO "/>
    <m/>
    <e v="#N/A"/>
    <e v="#N/A"/>
    <n v="76623"/>
    <m/>
    <s v="Pierre-Yves Bolle"/>
    <s v="Q2"/>
    <e v="#REF!"/>
    <e v="#REF!"/>
    <e v="#REF!"/>
  </r>
  <r>
    <s v="181000"/>
    <x v="6"/>
    <s v="COMPTE DE LIAISON DES ETABLISSEMENTS"/>
    <s v="OD"/>
    <n v="-1464.24"/>
    <d v="2025-04-25T00:00:00"/>
    <s v="Liaison inter-établissement vers TO "/>
    <s v="Non"/>
    <s v="Non"/>
    <e v="#N/A"/>
    <n v="71421"/>
    <m/>
    <s v="IN MANAGEMENT"/>
    <s v="Q2"/>
    <e v="#REF!"/>
    <e v="#REF!"/>
    <e v="#REF!"/>
  </r>
  <r>
    <s v="181000"/>
    <x v="6"/>
    <s v="COMPTE DE LIAISON DES ETABLISSEMENTS"/>
    <s v="OD"/>
    <n v="-1452"/>
    <d v="2025-01-15T00:00:00"/>
    <s v="Liaison inter-établissement vers TO "/>
    <m/>
    <e v="#N/A"/>
    <e v="#N/A"/>
    <n v="62274"/>
    <m/>
    <s v="AGELAB"/>
    <s v="Q1"/>
    <e v="#REF!"/>
    <e v="#REF!"/>
    <e v="#REF!"/>
  </r>
  <r>
    <s v="181000"/>
    <x v="6"/>
    <s v="COMPTE DE LIAISON DES ETABLISSEMENTS"/>
    <s v="OD"/>
    <n v="-1449.6"/>
    <d v="2025-01-31T00:00:00"/>
    <s v="Liaison inter-établissement vers TO "/>
    <m/>
    <e v="#N/A"/>
    <e v="#N/A"/>
    <n v="63698"/>
    <m/>
    <s v="DENIOS"/>
    <s v="Q1"/>
    <e v="#REF!"/>
    <e v="#REF!"/>
    <e v="#REF!"/>
  </r>
  <r>
    <s v="181000"/>
    <x v="6"/>
    <s v="COMPTE DE LIAISON DES ETABLISSEMENTS"/>
    <s v="OD"/>
    <n v="-1431.04"/>
    <d v="2025-12-10T00:00:00"/>
    <s v="Liaison inter-établissement vers TO "/>
    <m/>
    <e v="#N/A"/>
    <e v="#N/A"/>
    <n v="92148"/>
    <m/>
    <s v="REGIE CONSEIL"/>
    <s v="Q4"/>
    <e v="#REF!"/>
    <e v="#REF!"/>
    <e v="#REF!"/>
  </r>
  <r>
    <s v="181000"/>
    <x v="6"/>
    <s v="COMPTE DE LIAISON DES ETABLISSEMENTS"/>
    <s v="OD"/>
    <n v="-1428"/>
    <d v="2025-08-08T00:00:00"/>
    <s v="Liaison établissement 401000 ALGOCHEM RO"/>
    <m/>
    <e v="#N/A"/>
    <e v="#N/A"/>
    <n v="80730"/>
    <s v="RACCORD / FLEXIBLE TCU F3000"/>
    <s v="ALGOCHEM"/>
    <s v="Q3"/>
    <e v="#REF!"/>
    <e v="#REF!"/>
    <e v="#REF!"/>
  </r>
  <r>
    <s v="181000"/>
    <x v="6"/>
    <s v="COMPTE DE LIAISON DES ETABLISSEMENTS"/>
    <s v="OD"/>
    <n v="-1426.92"/>
    <d v="2025-08-08T00:00:00"/>
    <s v="Liaison inter-établissement vers TO "/>
    <m/>
    <e v="#N/A"/>
    <e v="#N/A"/>
    <n v="89383"/>
    <m/>
    <s v="Marie Rézeau"/>
    <s v="Q3"/>
    <e v="#REF!"/>
    <e v="#REF!"/>
    <e v="#REF!"/>
  </r>
  <r>
    <s v="181000"/>
    <x v="6"/>
    <s v="COMPTE DE LIAISON DES ETABLISSEMENTS"/>
    <s v="OD"/>
    <n v="-1426.11"/>
    <d v="2025-08-11T00:00:00"/>
    <s v="Liaison inter-établissement vers TO "/>
    <m/>
    <e v="#N/A"/>
    <e v="#N/A"/>
    <n v="81932"/>
    <m/>
    <s v="REGIE CONSEIL"/>
    <s v="Q3"/>
    <e v="#REF!"/>
    <e v="#REF!"/>
    <e v="#REF!"/>
  </r>
  <r>
    <s v="181000"/>
    <x v="6"/>
    <s v="COMPTE DE LIAISON DES ETABLISSEMENTS"/>
    <s v="OD"/>
    <n v="-1416"/>
    <d v="2025-08-21T00:00:00"/>
    <s v="Liaison établissement 401000 CONTROLAIR RO"/>
    <m/>
    <e v="#N/A"/>
    <e v="#N/A"/>
    <n v="81432"/>
    <s v="CONTRÔLE AÉRAULIQUE D'ÉQUIPEMENTS DE PROTECTION COLLECTIVE VENTILÉS SUR SITE"/>
    <s v="CONTROL'AIR"/>
    <s v="Q3"/>
    <e v="#REF!"/>
    <e v="#REF!"/>
    <e v="#REF!"/>
  </r>
  <r>
    <s v="181000"/>
    <x v="6"/>
    <s v="COMPTE DE LIAISON DES ETABLISSEMENTS"/>
    <s v="OD"/>
    <n v="-1411.13"/>
    <d v="2025-08-15T00:00:00"/>
    <s v="Liaison inter-établissement vers TO "/>
    <m/>
    <e v="#N/A"/>
    <e v="#N/A"/>
    <n v="81928"/>
    <m/>
    <s v="ENGIE"/>
    <s v="Q3"/>
    <e v="#REF!"/>
    <e v="#REF!"/>
    <e v="#REF!"/>
  </r>
  <r>
    <s v="181000"/>
    <x v="6"/>
    <s v="COMPTE DE LIAISON DES ETABLISSEMENTS"/>
    <s v="OD"/>
    <n v="-1408.56"/>
    <d v="2025-06-02T00:00:00"/>
    <s v="Liaison établissement 401000 OSIRIS RO"/>
    <s v="Non"/>
    <s v="Non"/>
    <e v="#N/A"/>
    <n v="75278"/>
    <s v="Invoice Payment By Pili"/>
    <s v="OSIRIS"/>
    <s v="Q2"/>
    <e v="#REF!"/>
    <e v="#REF!"/>
    <e v="#REF!"/>
  </r>
  <r>
    <s v="181000"/>
    <x v="6"/>
    <s v="COMPTE DE LIAISON DES ETABLISSEMENTS"/>
    <s v="OD"/>
    <n v="-1408.06"/>
    <d v="2025-04-14T00:00:00"/>
    <s v="Liaison inter-établissement vers TO "/>
    <m/>
    <e v="#N/A"/>
    <e v="#N/A"/>
    <n v="72781"/>
    <m/>
    <s v="ENGIE"/>
    <s v="Q2"/>
    <e v="#REF!"/>
    <e v="#REF!"/>
    <e v="#REF!"/>
  </r>
  <r>
    <s v="181000"/>
    <x v="6"/>
    <s v="COMPTE DE LIAISON DES ETABLISSEMENTS"/>
    <s v="OD"/>
    <n v="-1404"/>
    <d v="2025-08-21T00:00:00"/>
    <s v="Liaison établissement 401000 ROUSSELET RO"/>
    <s v="Non"/>
    <e v="#N/A"/>
    <e v="#N/A"/>
    <n v="81442"/>
    <s v="ESSAI ROUSSELET (APRÈS LYSE SOUDE)"/>
    <s v="ROUSSELET CENTRIFUGATION"/>
    <s v="Q3"/>
    <e v="#REF!"/>
    <e v="#REF!"/>
    <e v="#REF!"/>
  </r>
  <r>
    <s v="181000"/>
    <x v="6"/>
    <s v="COMPTE DE LIAISON DES ETABLISSEMENTS"/>
    <s v="OD"/>
    <n v="-1389.3"/>
    <d v="2025-10-10T00:00:00"/>
    <s v="Liaison inter-établissement vers TO "/>
    <m/>
    <e v="#N/A"/>
    <e v="#N/A"/>
    <n v="86975"/>
    <m/>
    <s v="REGIE CONSEIL"/>
    <s v="Q4"/>
    <e v="#REF!"/>
    <e v="#REF!"/>
    <e v="#REF!"/>
  </r>
  <r>
    <s v="181000"/>
    <x v="6"/>
    <s v="COMPTE DE LIAISON DES ETABLISSEMENTS"/>
    <s v="OD"/>
    <n v="-1374.9"/>
    <d v="2025-08-21T00:00:00"/>
    <s v="Liaison établissement 401000 BECKER KB"/>
    <s v="Non"/>
    <s v="Oui"/>
    <e v="#N/A"/>
    <n v="81391"/>
    <s v="PRÉSENTATION DE LA REQUÊTE EN EXAMEN - PHASES NATIONALES CHINE - BREVET PHOENIX"/>
    <s v="BECKER"/>
    <s v="Q3"/>
    <e v="#REF!"/>
    <e v="#REF!"/>
    <e v="#REF!"/>
  </r>
  <r>
    <s v="181000"/>
    <x v="6"/>
    <s v="COMPTE DE LIAISON DES ETABLISSEMENTS"/>
    <s v="OD"/>
    <n v="-1370.76"/>
    <d v="2025-08-21T00:00:00"/>
    <s v="Liaison établissement 401000 OPTIMUS RO"/>
    <m/>
    <e v="#N/A"/>
    <e v="#N/A"/>
    <n v="81457"/>
    <s v="COUVERCLE DE RÉACTEUR 10L"/>
    <s v="OPTIMUS"/>
    <s v="Q3"/>
    <e v="#REF!"/>
    <e v="#REF!"/>
    <e v="#REF!"/>
  </r>
  <r>
    <s v="181000"/>
    <x v="6"/>
    <s v="COMPTE DE LIAISON DES ETABLISSEMENTS"/>
    <s v="OD"/>
    <n v="-1356.48"/>
    <d v="2025-02-15T00:00:00"/>
    <s v="Liaison inter-établissement vers TO "/>
    <m/>
    <e v="#N/A"/>
    <e v="#N/A"/>
    <n v="64316"/>
    <m/>
    <s v="MANUTAN"/>
    <s v="Q1"/>
    <e v="#REF!"/>
    <e v="#REF!"/>
    <e v="#REF!"/>
  </r>
  <r>
    <s v="181000"/>
    <x v="6"/>
    <s v="COMPTE DE LIAISON DES ETABLISSEMENTS"/>
    <s v="OD"/>
    <n v="-1348.8"/>
    <d v="2025-02-10T00:00:00"/>
    <s v="Liaison inter-établissement vers TO "/>
    <m/>
    <s v="Non"/>
    <s v="Oui"/>
    <n v="63562"/>
    <m/>
    <s v="AXELERA"/>
    <s v="Q1"/>
    <e v="#REF!"/>
    <e v="#REF!"/>
    <e v="#REF!"/>
  </r>
  <r>
    <s v="181000"/>
    <x v="6"/>
    <s v="COMPTE DE LIAISON DES ETABLISSEMENTS"/>
    <s v="OD"/>
    <n v="-1340.96"/>
    <d v="2025-03-06T00:00:00"/>
    <s v="Liaison inter-établissement vers KB "/>
    <m/>
    <e v="#N/A"/>
    <e v="#N/A"/>
    <n v="64328"/>
    <m/>
    <s v="REGIE CONSEIL"/>
    <s v="Q1"/>
    <e v="#REF!"/>
    <e v="#REF!"/>
    <e v="#REF!"/>
  </r>
  <r>
    <s v="181000"/>
    <x v="6"/>
    <s v="COMPTE DE LIAISON DES ETABLISSEMENTS"/>
    <s v="OD"/>
    <n v="-1340.96"/>
    <d v="2025-03-14T00:00:00"/>
    <s v="Liaison inter-établissement vers TO "/>
    <m/>
    <e v="#N/A"/>
    <e v="#N/A"/>
    <n v="69992"/>
    <m/>
    <s v="REGIE CONSEIL"/>
    <s v="Q1"/>
    <e v="#REF!"/>
    <e v="#REF!"/>
    <e v="#REF!"/>
  </r>
  <r>
    <s v="181000"/>
    <x v="6"/>
    <s v="COMPTE DE LIAISON DES ETABLISSEMENTS"/>
    <s v="OD"/>
    <n v="-1340.96"/>
    <d v="2025-05-10T00:00:00"/>
    <s v="Liaison inter-établissement vers TO "/>
    <m/>
    <e v="#N/A"/>
    <e v="#N/A"/>
    <n v="72921"/>
    <m/>
    <s v="REGIE CONSEIL"/>
    <s v="Q2"/>
    <e v="#REF!"/>
    <e v="#REF!"/>
    <e v="#REF!"/>
  </r>
  <r>
    <s v="181000"/>
    <x v="6"/>
    <s v="COMPTE DE LIAISON DES ETABLISSEMENTS"/>
    <s v="OD"/>
    <n v="-1340.96"/>
    <d v="2025-06-10T00:00:00"/>
    <s v="Liaison inter-établissement vers TO "/>
    <m/>
    <e v="#N/A"/>
    <e v="#N/A"/>
    <n v="77358"/>
    <m/>
    <s v="REGIE CONSEIL"/>
    <s v="Q2"/>
    <e v="#REF!"/>
    <e v="#REF!"/>
    <e v="#REF!"/>
  </r>
  <r>
    <s v="181000"/>
    <x v="6"/>
    <s v="COMPTE DE LIAISON DES ETABLISSEMENTS"/>
    <s v="OD"/>
    <n v="-1340.96"/>
    <d v="2025-07-11T00:00:00"/>
    <s v="Liaison inter-établissement vers TO "/>
    <m/>
    <e v="#N/A"/>
    <e v="#N/A"/>
    <n v="78865"/>
    <m/>
    <s v="REGIE CONSEIL"/>
    <s v="Q3"/>
    <e v="#REF!"/>
    <e v="#REF!"/>
    <e v="#REF!"/>
  </r>
  <r>
    <s v="181000"/>
    <x v="6"/>
    <s v="COMPTE DE LIAISON DES ETABLISSEMENTS"/>
    <s v="OD"/>
    <n v="-1335.78"/>
    <d v="2025-11-07T00:00:00"/>
    <s v="Liaison établissement 401000 VWR KB"/>
    <m/>
    <e v="#N/A"/>
    <e v="#N/A"/>
    <n v="89423"/>
    <s v="4067821369"/>
    <s v="VWR AVANTOR"/>
    <s v="Q4"/>
    <e v="#REF!"/>
    <e v="#REF!"/>
    <e v="#REF!"/>
  </r>
  <r>
    <s v="181000"/>
    <x v="6"/>
    <s v="COMPTE DE LIAISON DES ETABLISSEMENTS"/>
    <s v="OD"/>
    <n v="-1335.65"/>
    <d v="2025-11-21T00:00:00"/>
    <s v="Liaison inter-établissement vers TO "/>
    <m/>
    <s v="Non"/>
    <n v="0"/>
    <n v="90602"/>
    <m/>
    <s v="SERVICE ACTION SANTE"/>
    <s v="Q4"/>
    <e v="#REF!"/>
    <e v="#REF!"/>
    <e v="#REF!"/>
  </r>
  <r>
    <s v="181000"/>
    <x v="6"/>
    <s v="COMPTE DE LIAISON DES ETABLISSEMENTS"/>
    <s v="OD"/>
    <n v="-1330.62"/>
    <d v="2025-01-07T00:00:00"/>
    <s v="Liaison inter-établissement vers TO "/>
    <m/>
    <e v="#N/A"/>
    <e v="#N/A"/>
    <n v="63810"/>
    <m/>
    <s v="REGIE CONSEIL"/>
    <s v="Q1"/>
    <e v="#REF!"/>
    <e v="#REF!"/>
    <e v="#REF!"/>
  </r>
  <r>
    <s v="181000"/>
    <x v="6"/>
    <s v="COMPTE DE LIAISON DES ETABLISSEMENTS"/>
    <s v="OD"/>
    <n v="-1328.88"/>
    <d v="2025-11-04T00:00:00"/>
    <s v="Liaison établissement 401000 FENWICK-LINDE RO"/>
    <m/>
    <e v="#N/A"/>
    <e v="#N/A"/>
    <n v="88011"/>
    <s v="MAINTENANCE GERBEUR ÉLECTRIQUE : CHANGEMENT CARTE DE COMMANDE ÉLECTRONIQUE"/>
    <s v="FENWICK-LINDE"/>
    <s v="Q4"/>
    <e v="#REF!"/>
    <e v="#REF!"/>
    <e v="#REF!"/>
  </r>
  <r>
    <s v="181000"/>
    <x v="6"/>
    <s v="COMPTE DE LIAISON DES ETABLISSEMENTS"/>
    <s v="OD"/>
    <n v="-1328.01"/>
    <d v="2025-06-30T00:00:00"/>
    <s v="Liaison inter-établissement"/>
    <m/>
    <e v="#N/A"/>
    <e v="#N/A"/>
    <n v="78717"/>
    <m/>
    <m/>
    <s v="Q2"/>
    <e v="#REF!"/>
    <e v="#REF!"/>
    <e v="#REF!"/>
  </r>
  <r>
    <s v="181000"/>
    <x v="6"/>
    <s v="COMPTE DE LIAISON DES ETABLISSEMENTS"/>
    <s v="OD"/>
    <n v="-1320.72"/>
    <d v="2025-07-22T00:00:00"/>
    <s v="Liaison établissement 401000 OPTIMUS RO"/>
    <m/>
    <e v="#N/A"/>
    <e v="#N/A"/>
    <n v="78281"/>
    <s v="ACCESSOIRES MAINTENANCE KL"/>
    <s v="OPTIMUS"/>
    <s v="Q3"/>
    <e v="#REF!"/>
    <e v="#REF!"/>
    <e v="#REF!"/>
  </r>
  <r>
    <s v="181000"/>
    <x v="6"/>
    <s v="COMPTE DE LIAISON DES ETABLISSEMENTS"/>
    <s v="OD"/>
    <n v="-1317.04"/>
    <d v="2025-07-16T00:00:00"/>
    <s v="Liaison inter-établissement vers TO "/>
    <m/>
    <e v="#N/A"/>
    <e v="#N/A"/>
    <n v="78813"/>
    <m/>
    <s v="ENGIE"/>
    <s v="Q3"/>
    <e v="#REF!"/>
    <e v="#REF!"/>
    <e v="#REF!"/>
  </r>
  <r>
    <s v="181000"/>
    <x v="6"/>
    <s v="COMPTE DE LIAISON DES ETABLISSEMENTS"/>
    <s v="OD"/>
    <n v="-1307.31"/>
    <d v="2025-04-30T00:00:00"/>
    <s v="Liaison inter-établissement vers TO "/>
    <m/>
    <e v="#N/A"/>
    <e v="#N/A"/>
    <n v="74554"/>
    <m/>
    <s v="Kevin Cottet"/>
    <s v="Q2"/>
    <e v="#REF!"/>
    <e v="#REF!"/>
    <e v="#REF!"/>
  </r>
  <r>
    <s v="181000"/>
    <x v="6"/>
    <s v="COMPTE DE LIAISON DES ETABLISSEMENTS"/>
    <s v="OD"/>
    <n v="-1305.24"/>
    <d v="2025-11-04T00:00:00"/>
    <s v="Liaison établissement 401000 EURISOTOP KB"/>
    <m/>
    <e v="#N/A"/>
    <e v="#N/A"/>
    <n v="88028"/>
    <s v="SOLVANTS DEUTÉRÉS POUR ANALYSE RMN"/>
    <s v="EURISOTOP"/>
    <s v="Q4"/>
    <e v="#REF!"/>
    <e v="#REF!"/>
    <e v="#REF!"/>
  </r>
  <r>
    <s v="181000"/>
    <x v="6"/>
    <s v="COMPTE DE LIAISON DES ETABLISSEMENTS"/>
    <s v="OD"/>
    <n v="-1300"/>
    <d v="2025-05-11T00:00:00"/>
    <s v="Liaison inter-établissement vers KB "/>
    <s v="Non"/>
    <s v="Non"/>
    <e v="#N/A"/>
    <n v="77515"/>
    <m/>
    <s v="CHEM"/>
    <s v="Q2"/>
    <e v="#REF!"/>
    <e v="#REF!"/>
    <e v="#REF!"/>
  </r>
  <r>
    <s v="181000"/>
    <x v="6"/>
    <s v="COMPTE DE LIAISON DES ETABLISSEMENTS"/>
    <s v="OD"/>
    <n v="-1300"/>
    <d v="2025-06-04T00:00:00"/>
    <s v="Liaison établissement 401000 CHEM KB"/>
    <s v="Non"/>
    <s v="Non"/>
    <e v="#N/A"/>
    <n v="75522"/>
    <s v="Invoice payment by Pili"/>
    <s v="CHEM"/>
    <s v="Q2"/>
    <e v="#REF!"/>
    <e v="#REF!"/>
    <e v="#REF!"/>
  </r>
  <r>
    <s v="181000"/>
    <x v="6"/>
    <s v="COMPTE DE LIAISON DES ETABLISSEMENTS"/>
    <s v="OD"/>
    <n v="-1300"/>
    <d v="2025-12-30T00:00:00"/>
    <s v="Liaison établissement 401000 CHEM KB"/>
    <s v="Non"/>
    <s v="Non"/>
    <e v="#N/A"/>
    <n v="93755"/>
    <s v="2025/1219"/>
    <s v="CHEM"/>
    <s v="Q4"/>
    <e v="#REF!"/>
    <e v="#REF!"/>
    <e v="#REF!"/>
  </r>
  <r>
    <s v="181000"/>
    <x v="6"/>
    <s v="COMPTE DE LIAISON DES ETABLISSEMENTS"/>
    <s v="OD"/>
    <n v="-1292.5"/>
    <d v="2025-07-31T00:00:00"/>
    <s v="Liaison établissement 401000 ABELC KB"/>
    <m/>
    <e v="#N/A"/>
    <e v="#N/A"/>
    <n v="79376"/>
    <s v="ENTRETIEN MÉNAGER"/>
    <s v="ABEL CHRIST SOMPLEI"/>
    <s v="Q3"/>
    <e v="#REF!"/>
    <e v="#REF!"/>
    <e v="#REF!"/>
  </r>
  <r>
    <s v="181000"/>
    <x v="6"/>
    <s v="COMPTE DE LIAISON DES ETABLISSEMENTS"/>
    <s v="OD"/>
    <n v="-1288.3599999999999"/>
    <d v="2025-09-10T00:00:00"/>
    <s v="Liaison inter-établissement vers TO "/>
    <m/>
    <e v="#N/A"/>
    <e v="#N/A"/>
    <n v="82108"/>
    <m/>
    <s v="REGIE CONSEIL"/>
    <s v="Q3"/>
    <e v="#REF!"/>
    <e v="#REF!"/>
    <e v="#REF!"/>
  </r>
  <r>
    <s v="181000"/>
    <x v="6"/>
    <s v="COMPTE DE LIAISON DES ETABLISSEMENTS"/>
    <s v="OD"/>
    <n v="-1288.3599999999999"/>
    <d v="2025-11-10T00:00:00"/>
    <s v="Liaison inter-établissement vers TO "/>
    <m/>
    <e v="#N/A"/>
    <e v="#N/A"/>
    <n v="89541"/>
    <m/>
    <s v="REGIE CONSEIL"/>
    <s v="Q4"/>
    <e v="#REF!"/>
    <e v="#REF!"/>
    <e v="#REF!"/>
  </r>
  <r>
    <s v="181000"/>
    <x v="6"/>
    <s v="COMPTE DE LIAISON DES ETABLISSEMENTS"/>
    <s v="OD"/>
    <n v="-1268.52"/>
    <d v="2025-05-07T00:00:00"/>
    <s v="Liaison établissement 401000 OPTIMUS RO"/>
    <m/>
    <e v="#N/A"/>
    <e v="#N/A"/>
    <n v="71796"/>
    <s v="TURBINE RUSHTON - KL - PROJET KEENY ET AUTRES PROJETS"/>
    <s v="OPTIMUS"/>
    <s v="Q2"/>
    <e v="#REF!"/>
    <e v="#REF!"/>
    <e v="#REF!"/>
  </r>
  <r>
    <s v="181000"/>
    <x v="6"/>
    <s v="COMPTE DE LIAISON DES ETABLISSEMENTS"/>
    <s v="OD"/>
    <n v="-1265.82"/>
    <d v="2025-03-13T00:00:00"/>
    <s v="Liaison inter-établissement vers TO "/>
    <m/>
    <s v="Non"/>
    <e v="#N/A"/>
    <n v="71904"/>
    <m/>
    <s v="DIVERS"/>
    <s v="Q1"/>
    <e v="#REF!"/>
    <e v="#REF!"/>
    <e v="#REF!"/>
  </r>
  <r>
    <s v="181000"/>
    <x v="6"/>
    <s v="COMPTE DE LIAISON DES ETABLISSEMENTS"/>
    <s v="OD"/>
    <n v="-1249.03"/>
    <d v="2025-03-24T00:00:00"/>
    <s v="Liaison inter-établissement vers TO "/>
    <m/>
    <e v="#N/A"/>
    <e v="#N/A"/>
    <n v="75887"/>
    <m/>
    <s v="Marie Rézeau"/>
    <s v="Q1"/>
    <e v="#REF!"/>
    <e v="#REF!"/>
    <e v="#REF!"/>
  </r>
  <r>
    <s v="181000"/>
    <x v="6"/>
    <s v="COMPTE DE LIAISON DES ETABLISSEMENTS"/>
    <s v="OD"/>
    <n v="-1243.02"/>
    <d v="2025-03-03T00:00:00"/>
    <s v="Liaison inter-établissement vers TO "/>
    <m/>
    <e v="#N/A"/>
    <e v="#N/A"/>
    <n v="68007"/>
    <m/>
    <s v="AIR FRANCE"/>
    <s v="Q1"/>
    <e v="#REF!"/>
    <e v="#REF!"/>
    <e v="#REF!"/>
  </r>
  <r>
    <s v="181000"/>
    <x v="6"/>
    <s v="COMPTE DE LIAISON DES ETABLISSEMENTS"/>
    <s v="OD"/>
    <n v="-1236.8599999999999"/>
    <d v="2025-02-20T00:00:00"/>
    <s v="Liaison inter-établissement vers TO "/>
    <m/>
    <e v="#N/A"/>
    <e v="#N/A"/>
    <n v="63822"/>
    <m/>
    <s v="RYTHMES ET SONS"/>
    <s v="Q1"/>
    <e v="#REF!"/>
    <e v="#REF!"/>
    <e v="#REF!"/>
  </r>
  <r>
    <s v="181000"/>
    <x v="6"/>
    <s v="COMPTE DE LIAISON DES ETABLISSEMENTS"/>
    <s v="OD"/>
    <n v="-1231.2"/>
    <d v="2025-10-06T00:00:00"/>
    <s v="Liaison inter-établissement vers TO "/>
    <m/>
    <e v="#N/A"/>
    <n v="0"/>
    <n v="85001"/>
    <m/>
    <s v="LOCAPROD EVENEMENT"/>
    <s v="Q4"/>
    <e v="#REF!"/>
    <e v="#REF!"/>
    <e v="#REF!"/>
  </r>
  <r>
    <s v="181000"/>
    <x v="6"/>
    <s v="COMPTE DE LIAISON DES ETABLISSEMENTS"/>
    <s v="OD"/>
    <n v="-1229.72"/>
    <d v="2025-02-18T00:00:00"/>
    <s v="Liaison inter-établissement vers TO "/>
    <m/>
    <e v="#N/A"/>
    <e v="#N/A"/>
    <n v="74955"/>
    <m/>
    <s v="ENGIE"/>
    <s v="Q1"/>
    <e v="#REF!"/>
    <e v="#REF!"/>
    <e v="#REF!"/>
  </r>
  <r>
    <s v="181000"/>
    <x v="6"/>
    <s v="COMPTE DE LIAISON DES ETABLISSEMENTS"/>
    <s v="OD"/>
    <n v="-1222"/>
    <d v="2025-04-25T00:00:00"/>
    <s v="Liaison établissement 401000 ABELC KB"/>
    <m/>
    <e v="#N/A"/>
    <e v="#N/A"/>
    <n v="70122"/>
    <s v="Invoice Payment by Pili"/>
    <s v="ABEL CHRIST SOMPLEI"/>
    <s v="Q2"/>
    <e v="#REF!"/>
    <e v="#REF!"/>
    <e v="#REF!"/>
  </r>
  <r>
    <s v="181000"/>
    <x v="6"/>
    <s v="COMPTE DE LIAISON DES ETABLISSEMENTS"/>
    <s v="OD"/>
    <n v="-1212.67"/>
    <d v="2025-10-31T00:00:00"/>
    <s v="Liaison inter-établissement vers TO "/>
    <m/>
    <e v="#N/A"/>
    <e v="#N/A"/>
    <n v="87607"/>
    <m/>
    <s v="AIR LIQUIDE"/>
    <s v="Q4"/>
    <e v="#REF!"/>
    <e v="#REF!"/>
    <e v="#REF!"/>
  </r>
  <r>
    <s v="181000"/>
    <x v="6"/>
    <s v="COMPTE DE LIAISON DES ETABLISSEMENTS"/>
    <s v="OD"/>
    <n v="-1200"/>
    <d v="2025-03-07T00:00:00"/>
    <s v="Liaison inter-établissement vers TO "/>
    <s v="Non"/>
    <s v="Non"/>
    <e v="#N/A"/>
    <n v="63634"/>
    <m/>
    <s v="GARRIGUE CONSULTING"/>
    <s v="Q1"/>
    <e v="#REF!"/>
    <e v="#REF!"/>
    <e v="#REF!"/>
  </r>
  <r>
    <s v="181000"/>
    <x v="6"/>
    <s v="COMPTE DE LIAISON DES ETABLISSEMENTS"/>
    <s v="OD"/>
    <n v="-1200"/>
    <d v="2025-04-25T00:00:00"/>
    <s v="Liaison établissement 401000 GARRIGUE KB"/>
    <s v="Non"/>
    <s v="Non"/>
    <e v="#N/A"/>
    <n v="70172"/>
    <s v="Invoice Payment by Pili"/>
    <s v="GARRIGUE CONSULTING"/>
    <s v="Q2"/>
    <e v="#REF!"/>
    <e v="#REF!"/>
    <e v="#REF!"/>
  </r>
  <r>
    <s v="181000"/>
    <x v="6"/>
    <s v="COMPTE DE LIAISON DES ETABLISSEMENTS"/>
    <s v="OD"/>
    <n v="-1200"/>
    <d v="2025-06-16T00:00:00"/>
    <s v="Liaison établissement 401000 GARRIGUE KB"/>
    <s v="Non"/>
    <s v="Non"/>
    <e v="#N/A"/>
    <n v="76070"/>
    <s v="FOFAIT 1 BOARD -13/05/2025 - PILI BOARD SERIE B"/>
    <s v="GARRIGUE CONSULTING"/>
    <s v="Q2"/>
    <e v="#REF!"/>
    <e v="#REF!"/>
    <e v="#REF!"/>
  </r>
  <r>
    <s v="181000"/>
    <x v="6"/>
    <s v="COMPTE DE LIAISON DES ETABLISSEMENTS"/>
    <s v="OD"/>
    <n v="-1200"/>
    <d v="2025-08-21T00:00:00"/>
    <s v="Liaison établissement 401000 GARRIGUE KB"/>
    <s v="Non"/>
    <s v="Non"/>
    <e v="#N/A"/>
    <n v="81452"/>
    <s v="FOFAIT 1 BOARD -10/06/2025 - PILI BOARD"/>
    <s v="GARRIGUE CONSULTING"/>
    <s v="Q3"/>
    <e v="#REF!"/>
    <e v="#REF!"/>
    <e v="#REF!"/>
  </r>
  <r>
    <s v="181000"/>
    <x v="6"/>
    <s v="COMPTE DE LIAISON DES ETABLISSEMENTS"/>
    <s v="OD"/>
    <n v="-1200"/>
    <d v="2025-08-22T00:00:00"/>
    <s v="Liaison établissement 401000 OSIRIS RO"/>
    <s v="Non"/>
    <s v="Non"/>
    <e v="#N/A"/>
    <n v="81576"/>
    <s v="LOYER ANNUEL OSIRIS"/>
    <s v="OSIRIS"/>
    <s v="Q3"/>
    <e v="#REF!"/>
    <e v="#REF!"/>
    <e v="#REF!"/>
  </r>
  <r>
    <s v="181000"/>
    <x v="6"/>
    <s v="COMPTE DE LIAISON DES ETABLISSEMENTS"/>
    <s v="OD"/>
    <n v="-1200"/>
    <d v="2025-11-04T00:00:00"/>
    <s v="Liaison établissement 401000 HELLITAX LY"/>
    <s v="Non"/>
    <s v="Non"/>
    <e v="#N/A"/>
    <n v="88033"/>
    <s v="BUSINESS ADVISORY BOARD - E PETIOT."/>
    <s v="HELLITAX"/>
    <s v="Q4"/>
    <e v="#REF!"/>
    <e v="#REF!"/>
    <e v="#REF!"/>
  </r>
  <r>
    <s v="181000"/>
    <x v="6"/>
    <s v="COMPTE DE LIAISON DES ETABLISSEMENTS"/>
    <s v="OD"/>
    <n v="-1200"/>
    <d v="2025-12-11T00:00:00"/>
    <s v="Liaison établissement 401000 GARRIGUE KB"/>
    <s v="Non"/>
    <s v="Non"/>
    <e v="#N/A"/>
    <n v="92089"/>
    <s v="20251001-0001"/>
    <s v="GARRIGUE CONSULTING"/>
    <s v="Q4"/>
    <e v="#REF!"/>
    <e v="#REF!"/>
    <e v="#REF!"/>
  </r>
  <r>
    <s v="181000"/>
    <x v="6"/>
    <s v="COMPTE DE LIAISON DES ETABLISSEMENTS"/>
    <s v="OD"/>
    <n v="-1200"/>
    <d v="2025-12-11T00:00:00"/>
    <s v="Liaison établissement 401000 HELLITAX LY"/>
    <s v="Non"/>
    <s v="Non"/>
    <e v="#N/A"/>
    <n v="92099"/>
    <s v="F25X0003"/>
    <s v="HELLITAX"/>
    <s v="Q4"/>
    <e v="#REF!"/>
    <e v="#REF!"/>
    <e v="#REF!"/>
  </r>
  <r>
    <s v="181000"/>
    <x v="6"/>
    <s v="COMPTE DE LIAISON DES ETABLISSEMENTS"/>
    <s v="OD"/>
    <n v="-1188"/>
    <d v="2025-02-18T00:00:00"/>
    <s v="Liaison inter-établissement vers TO "/>
    <m/>
    <s v="Non"/>
    <e v="#N/A"/>
    <n v="66539"/>
    <m/>
    <s v="AXE GESCOM"/>
    <s v="Q1"/>
    <e v="#REF!"/>
    <e v="#REF!"/>
    <e v="#REF!"/>
  </r>
  <r>
    <s v="181000"/>
    <x v="6"/>
    <s v="COMPTE DE LIAISON DES ETABLISSEMENTS"/>
    <s v="OD"/>
    <n v="-1188"/>
    <d v="2025-06-02T00:00:00"/>
    <s v="Liaison établissement 401000 AXEINFO KB"/>
    <m/>
    <s v="Non"/>
    <e v="#N/A"/>
    <n v="75293"/>
    <s v="Invoice Payment By Pili"/>
    <s v="AXE GESCOM"/>
    <s v="Q2"/>
    <e v="#REF!"/>
    <e v="#REF!"/>
    <e v="#REF!"/>
  </r>
  <r>
    <s v="181000"/>
    <x v="6"/>
    <s v="COMPTE DE LIAISON DES ETABLISSEMENTS"/>
    <s v="OD"/>
    <n v="-1188"/>
    <d v="2025-08-21T00:00:00"/>
    <s v="Liaison établissement 401000 AXEINFO KB"/>
    <m/>
    <s v="Non"/>
    <e v="#N/A"/>
    <n v="81381"/>
    <s v="FORMATION À DISTANCE SAGE"/>
    <s v="AXE GESCOM"/>
    <s v="Q3"/>
    <e v="#REF!"/>
    <e v="#REF!"/>
    <e v="#REF!"/>
  </r>
  <r>
    <s v="181000"/>
    <x v="6"/>
    <s v="COMPTE DE LIAISON DES ETABLISSEMENTS"/>
    <s v="OD"/>
    <n v="-1188"/>
    <d v="2025-08-21T00:00:00"/>
    <s v="Liaison établissement 401000 AXEINFO KB"/>
    <m/>
    <s v="Non"/>
    <e v="#N/A"/>
    <n v="81386"/>
    <s v="FORMATION À DISTANCE SAGE G. ZIANI"/>
    <s v="AXE GESCOM"/>
    <s v="Q3"/>
    <e v="#REF!"/>
    <e v="#REF!"/>
    <e v="#REF!"/>
  </r>
  <r>
    <s v="181000"/>
    <x v="6"/>
    <s v="COMPTE DE LIAISON DES ETABLISSEMENTS"/>
    <s v="OD"/>
    <n v="-1176"/>
    <d v="2025-06-02T00:00:00"/>
    <s v="Liaison établissement 401000 AFCIC KB"/>
    <m/>
    <s v="Non"/>
    <n v="0"/>
    <n v="75222"/>
    <s v="Invoice Payment By Pili"/>
    <s v="ASS FORMATION CONTINUE INDUS CHIMIQUES"/>
    <s v="Q2"/>
    <e v="#REF!"/>
    <e v="#REF!"/>
    <e v="#REF!"/>
  </r>
  <r>
    <s v="181000"/>
    <x v="6"/>
    <s v="COMPTE DE LIAISON DES ETABLISSEMENTS"/>
    <s v="OD"/>
    <n v="-1173.5999999999999"/>
    <d v="2025-08-21T00:00:00"/>
    <s v="Liaison établissement 401000 BECKER KB"/>
    <s v="Non"/>
    <s v="Oui"/>
    <e v="#N/A"/>
    <n v="81486"/>
    <s v="RÉPONSE À LA NOTIFICATION DE DEMANDE DE BREVET EUROPÉEN - BREVET PHOENIX"/>
    <s v="BECKER"/>
    <s v="Q3"/>
    <e v="#REF!"/>
    <e v="#REF!"/>
    <e v="#REF!"/>
  </r>
  <r>
    <s v="181000"/>
    <x v="6"/>
    <s v="COMPTE DE LIAISON DES ETABLISSEMENTS"/>
    <s v="OD"/>
    <n v="-1170.1600000000001"/>
    <d v="2025-11-17T00:00:00"/>
    <s v="Liaison inter-établissement vers TO "/>
    <m/>
    <e v="#N/A"/>
    <e v="#N/A"/>
    <n v="90168"/>
    <m/>
    <s v="ENGIE"/>
    <s v="Q4"/>
    <e v="#REF!"/>
    <e v="#REF!"/>
    <e v="#REF!"/>
  </r>
  <r>
    <s v="181000"/>
    <x v="6"/>
    <s v="COMPTE DE LIAISON DES ETABLISSEMENTS"/>
    <s v="OD"/>
    <n v="-1168.02"/>
    <d v="2025-02-10T00:00:00"/>
    <s v="Liaison inter-établissement vers TO "/>
    <m/>
    <e v="#N/A"/>
    <e v="#N/A"/>
    <n v="63658"/>
    <m/>
    <s v="EXELL SECURITE"/>
    <s v="Q1"/>
    <e v="#REF!"/>
    <e v="#REF!"/>
    <e v="#REF!"/>
  </r>
  <r>
    <s v="181000"/>
    <x v="6"/>
    <s v="COMPTE DE LIAISON DES ETABLISSEMENTS"/>
    <s v="OD"/>
    <n v="-1158"/>
    <d v="2025-08-21T00:00:00"/>
    <s v="Liaison établissement 401000 CONTROLAIR KB"/>
    <m/>
    <e v="#N/A"/>
    <e v="#N/A"/>
    <n v="81427"/>
    <s v="CONTRÔLE ANNUEL DES SORBONNES ET DES ARMOIRES"/>
    <s v="CONTROL'AIR"/>
    <s v="Q3"/>
    <e v="#REF!"/>
    <e v="#REF!"/>
    <e v="#REF!"/>
  </r>
  <r>
    <s v="181000"/>
    <x v="6"/>
    <s v="COMPTE DE LIAISON DES ETABLISSEMENTS"/>
    <s v="OD"/>
    <n v="-1148.67"/>
    <d v="2025-09-30T00:00:00"/>
    <s v="Liaison inter-établissement"/>
    <m/>
    <e v="#N/A"/>
    <e v="#N/A"/>
    <n v="87213"/>
    <m/>
    <m/>
    <s v="Q3"/>
    <e v="#REF!"/>
    <e v="#REF!"/>
    <e v="#REF!"/>
  </r>
  <r>
    <s v="181000"/>
    <x v="6"/>
    <s v="COMPTE DE LIAISON DES ETABLISSEMENTS"/>
    <s v="OD"/>
    <n v="-1131.31"/>
    <d v="2025-05-19T00:00:00"/>
    <s v="Liaison inter-établissement vers TO "/>
    <m/>
    <e v="#N/A"/>
    <e v="#N/A"/>
    <n v="78829"/>
    <m/>
    <s v="ENGIE"/>
    <s v="Q2"/>
    <e v="#REF!"/>
    <e v="#REF!"/>
    <e v="#REF!"/>
  </r>
  <r>
    <s v="181000"/>
    <x v="6"/>
    <s v="COMPTE DE LIAISON DES ETABLISSEMENTS"/>
    <s v="OD"/>
    <n v="-1129.2"/>
    <d v="2025-03-03T00:00:00"/>
    <s v="Liaison inter-établissement vers TO "/>
    <m/>
    <e v="#N/A"/>
    <e v="#N/A"/>
    <n v="68047"/>
    <m/>
    <s v="GAZ DETECT"/>
    <s v="Q1"/>
    <e v="#REF!"/>
    <e v="#REF!"/>
    <e v="#REF!"/>
  </r>
  <r>
    <s v="181000"/>
    <x v="6"/>
    <s v="COMPTE DE LIAISON DES ETABLISSEMENTS"/>
    <s v="OD"/>
    <n v="-1123.3"/>
    <d v="2025-04-01T00:00:00"/>
    <s v="Liaison inter-établissement vers TO "/>
    <m/>
    <e v="#N/A"/>
    <e v="#N/A"/>
    <n v="92125"/>
    <m/>
    <s v="REGIE CONSEIL"/>
    <s v="Q2"/>
    <e v="#REF!"/>
    <e v="#REF!"/>
    <e v="#REF!"/>
  </r>
  <r>
    <s v="181000"/>
    <x v="6"/>
    <s v="COMPTE DE LIAISON DES ETABLISSEMENTS"/>
    <s v="OD"/>
    <n v="-1116"/>
    <d v="2025-01-30T00:00:00"/>
    <s v="Liaison inter-établissement vers TO "/>
    <m/>
    <e v="#N/A"/>
    <e v="#N/A"/>
    <n v="63706"/>
    <m/>
    <s v="AGENCE DIVA"/>
    <s v="Q1"/>
    <e v="#REF!"/>
    <e v="#REF!"/>
    <e v="#REF!"/>
  </r>
  <r>
    <s v="181000"/>
    <x v="6"/>
    <s v="COMPTE DE LIAISON DES ETABLISSEMENTS"/>
    <s v="OD"/>
    <n v="-1116"/>
    <d v="2025-03-03T00:00:00"/>
    <s v="Liaison inter-établissement vers TO "/>
    <m/>
    <e v="#N/A"/>
    <e v="#N/A"/>
    <n v="63702"/>
    <m/>
    <s v="AGENCE DIVA"/>
    <s v="Q1"/>
    <e v="#REF!"/>
    <e v="#REF!"/>
    <e v="#REF!"/>
  </r>
  <r>
    <s v="181000"/>
    <x v="6"/>
    <s v="COMPTE DE LIAISON DES ETABLISSEMENTS"/>
    <s v="OD"/>
    <n v="-1116"/>
    <d v="2025-04-18T00:00:00"/>
    <s v="Liaison établissement 401000 DIVA KB"/>
    <m/>
    <e v="#N/A"/>
    <e v="#N/A"/>
    <n v="68168"/>
    <s v="Invoice Payment by Pili"/>
    <s v="AGENCE DIVA"/>
    <s v="Q2"/>
    <e v="#REF!"/>
    <e v="#REF!"/>
    <e v="#REF!"/>
  </r>
  <r>
    <s v="181000"/>
    <x v="6"/>
    <s v="COMPTE DE LIAISON DES ETABLISSEMENTS"/>
    <s v="OD"/>
    <n v="-1116"/>
    <d v="2025-06-02T00:00:00"/>
    <s v="Liaison établissement 401000 DIVA KB"/>
    <m/>
    <e v="#N/A"/>
    <e v="#N/A"/>
    <n v="75263"/>
    <s v="Invoice Payment By Pili"/>
    <s v="AGENCE DIVA"/>
    <s v="Q2"/>
    <e v="#REF!"/>
    <e v="#REF!"/>
    <e v="#REF!"/>
  </r>
  <r>
    <s v="181000"/>
    <x v="6"/>
    <s v="COMPTE DE LIAISON DES ETABLISSEMENTS"/>
    <s v="OD"/>
    <n v="-1116"/>
    <d v="2025-08-08T00:00:00"/>
    <s v="Liaison établissement 401000 DIVA KB"/>
    <m/>
    <e v="#N/A"/>
    <e v="#N/A"/>
    <n v="80745"/>
    <s v="PRESTATION ASSISTANT(E) OFFICE MANAGER"/>
    <s v="AGENCE DIVA"/>
    <s v="Q3"/>
    <e v="#REF!"/>
    <e v="#REF!"/>
    <e v="#REF!"/>
  </r>
  <r>
    <s v="181000"/>
    <x v="6"/>
    <s v="COMPTE DE LIAISON DES ETABLISSEMENTS"/>
    <s v="OD"/>
    <n v="-1116"/>
    <d v="2025-08-21T00:00:00"/>
    <s v="Liaison établissement 401000 DIVA KB"/>
    <m/>
    <e v="#N/A"/>
    <e v="#N/A"/>
    <n v="81447"/>
    <s v="PRESTATION ASSISTANT(E) OFFICE MANAGER"/>
    <s v="AGENCE DIVA"/>
    <s v="Q3"/>
    <e v="#REF!"/>
    <e v="#REF!"/>
    <e v="#REF!"/>
  </r>
  <r>
    <s v="181000"/>
    <x v="6"/>
    <s v="COMPTE DE LIAISON DES ETABLISSEMENTS"/>
    <s v="OD"/>
    <n v="-1116"/>
    <d v="2025-09-26T00:00:00"/>
    <s v="Liaison établissement 401000 DIVA KB"/>
    <m/>
    <e v="#N/A"/>
    <e v="#N/A"/>
    <n v="82504"/>
    <s v="INVOICE PAYMENT BY PILI"/>
    <s v="AGENCE DIVA"/>
    <s v="Q3"/>
    <e v="#REF!"/>
    <e v="#REF!"/>
    <e v="#REF!"/>
  </r>
  <r>
    <s v="181000"/>
    <x v="6"/>
    <s v="COMPTE DE LIAISON DES ETABLISSEMENTS"/>
    <s v="OD"/>
    <n v="-1116"/>
    <d v="2025-11-04T00:00:00"/>
    <s v="Liaison établissement 401000 DIVA KB"/>
    <m/>
    <e v="#N/A"/>
    <e v="#N/A"/>
    <n v="88043"/>
    <s v="PRESTATION ASSISTANT(E) OFFICE MANAGER"/>
    <s v="AGENCE DIVA"/>
    <s v="Q4"/>
    <e v="#REF!"/>
    <e v="#REF!"/>
    <e v="#REF!"/>
  </r>
  <r>
    <s v="181000"/>
    <x v="6"/>
    <s v="COMPTE DE LIAISON DES ETABLISSEMENTS"/>
    <s v="OD"/>
    <n v="-1116"/>
    <d v="2025-11-28T00:00:00"/>
    <s v="Liaison établissement 401000 DIVA KB"/>
    <m/>
    <e v="#N/A"/>
    <e v="#N/A"/>
    <n v="91217"/>
    <s v="F-25100652"/>
    <s v="AGENCE DIVA"/>
    <s v="Q4"/>
    <e v="#REF!"/>
    <e v="#REF!"/>
    <e v="#REF!"/>
  </r>
  <r>
    <s v="181000"/>
    <x v="6"/>
    <s v="COMPTE DE LIAISON DES ETABLISSEMENTS"/>
    <s v="OD"/>
    <n v="-1116"/>
    <d v="2025-12-30T00:00:00"/>
    <s v="Liaison établissement 401000 DIVA KB"/>
    <m/>
    <e v="#N/A"/>
    <e v="#N/A"/>
    <n v="93813"/>
    <s v="F-25110721"/>
    <s v="AGENCE DIVA"/>
    <s v="Q4"/>
    <e v="#REF!"/>
    <e v="#REF!"/>
    <e v="#REF!"/>
  </r>
  <r>
    <s v="181000"/>
    <x v="6"/>
    <s v="COMPTE DE LIAISON DES ETABLISSEMENTS"/>
    <s v="OD"/>
    <n v="-1113"/>
    <d v="2025-01-01T00:00:00"/>
    <s v="Liaison inter-établissement"/>
    <m/>
    <e v="#N/A"/>
    <e v="#N/A"/>
    <n v="86517"/>
    <m/>
    <m/>
    <s v="Q1"/>
    <e v="#REF!"/>
    <e v="#REF!"/>
    <e v="#REF!"/>
  </r>
  <r>
    <s v="181000"/>
    <x v="6"/>
    <s v="COMPTE DE LIAISON DES ETABLISSEMENTS"/>
    <s v="OD"/>
    <n v="-1113"/>
    <d v="2025-01-01T00:00:00"/>
    <s v="Liaison inter-établissement"/>
    <m/>
    <e v="#N/A"/>
    <e v="#N/A"/>
    <n v="89842"/>
    <m/>
    <s v="REGIE CONSEIL"/>
    <s v="Q1"/>
    <e v="#REF!"/>
    <e v="#REF!"/>
    <e v="#REF!"/>
  </r>
  <r>
    <s v="181000"/>
    <x v="6"/>
    <s v="COMPTE DE LIAISON DES ETABLISSEMENTS"/>
    <s v="OD"/>
    <n v="-1107.9100000000001"/>
    <d v="2025-12-23T00:00:00"/>
    <s v="Liaison inter-établissement vers TO "/>
    <m/>
    <e v="#N/A"/>
    <e v="#N/A"/>
    <n v="93591"/>
    <m/>
    <s v="Yves Combret"/>
    <s v="Q4"/>
    <e v="#REF!"/>
    <e v="#REF!"/>
    <e v="#REF!"/>
  </r>
  <r>
    <s v="181000"/>
    <x v="6"/>
    <s v="COMPTE DE LIAISON DES ETABLISSEMENTS"/>
    <s v="OD"/>
    <n v="-1104.5"/>
    <d v="2025-02-05T00:00:00"/>
    <s v="Liaison inter-établissement vers TO "/>
    <m/>
    <e v="#N/A"/>
    <e v="#N/A"/>
    <n v="63482"/>
    <m/>
    <s v="ABEL CHRIST SOMPLEI"/>
    <s v="Q1"/>
    <e v="#REF!"/>
    <e v="#REF!"/>
    <e v="#REF!"/>
  </r>
  <r>
    <s v="181000"/>
    <x v="6"/>
    <s v="COMPTE DE LIAISON DES ETABLISSEMENTS"/>
    <s v="OD"/>
    <n v="-1104.5"/>
    <d v="2025-06-02T00:00:00"/>
    <s v="Liaison établissement 401000 ABELC KB"/>
    <m/>
    <e v="#N/A"/>
    <e v="#N/A"/>
    <n v="75268"/>
    <s v="Invoice Payment By Pili"/>
    <s v="ABEL CHRIST SOMPLEI"/>
    <s v="Q2"/>
    <e v="#REF!"/>
    <e v="#REF!"/>
    <e v="#REF!"/>
  </r>
  <r>
    <s v="181000"/>
    <x v="6"/>
    <s v="COMPTE DE LIAISON DES ETABLISSEMENTS"/>
    <s v="OD"/>
    <n v="-1086"/>
    <d v="2025-07-01T00:00:00"/>
    <s v="Liaison établissement 401000 OSIRIS RO"/>
    <s v="Non"/>
    <s v="Non"/>
    <e v="#N/A"/>
    <n v="76840"/>
    <s v="FORMATION 04/2025 : HABILITATION ÉLECTRIQUE BR BC B1V B2V BE ESSAI H"/>
    <s v="OSIRIS"/>
    <s v="Q3"/>
    <e v="#REF!"/>
    <e v="#REF!"/>
    <e v="#REF!"/>
  </r>
  <r>
    <s v="181000"/>
    <x v="6"/>
    <s v="COMPTE DE LIAISON DES ETABLISSEMENTS"/>
    <s v="OD"/>
    <n v="-1080"/>
    <d v="2025-04-29T00:00:00"/>
    <s v="Liaison établissement 401000 WOOSPEAK KB"/>
    <m/>
    <s v="Non"/>
    <e v="#N/A"/>
    <n v="70483"/>
    <s v="Invocie Payment by Pili"/>
    <s v="WOOSPEAK"/>
    <s v="Q2"/>
    <e v="#REF!"/>
    <e v="#REF!"/>
    <e v="#REF!"/>
  </r>
  <r>
    <s v="181000"/>
    <x v="6"/>
    <s v="COMPTE DE LIAISON DES ETABLISSEMENTS"/>
    <s v="OD"/>
    <n v="-1080"/>
    <d v="2025-05-14T00:00:00"/>
    <s v="Liaison établissement 401000 WOOSPEAK KB"/>
    <m/>
    <s v="Non"/>
    <e v="#N/A"/>
    <n v="72352"/>
    <s v="Invoice Payment by Pili"/>
    <s v="WOOSPEAK"/>
    <s v="Q2"/>
    <e v="#REF!"/>
    <e v="#REF!"/>
    <e v="#REF!"/>
  </r>
  <r>
    <s v="181000"/>
    <x v="6"/>
    <s v="COMPTE DE LIAISON DES ETABLISSEMENTS"/>
    <s v="OD"/>
    <n v="-1068.5999999999999"/>
    <d v="2025-07-31T00:00:00"/>
    <s v="Liaison établissement 401000 BECKER KB"/>
    <s v="Non"/>
    <s v="Oui"/>
    <e v="#N/A"/>
    <n v="79246"/>
    <s v="TRANSMISSION ET ANALYSE DU RAPPORT DE RECHERCHE EUROPÉEN - BREVET BIOPIGMENTS"/>
    <s v="BECKER"/>
    <s v="Q3"/>
    <e v="#REF!"/>
    <e v="#REF!"/>
    <e v="#REF!"/>
  </r>
  <r>
    <s v="181000"/>
    <x v="6"/>
    <s v="COMPTE DE LIAISON DES ETABLISSEMENTS"/>
    <s v="OD"/>
    <n v="-1061.49"/>
    <d v="2025-04-10T00:00:00"/>
    <s v="Liaison inter-établissement vers TO "/>
    <m/>
    <e v="#N/A"/>
    <e v="#N/A"/>
    <n v="72720"/>
    <m/>
    <s v="Banque Populaire Rive de Paris"/>
    <s v="Q2"/>
    <e v="#REF!"/>
    <e v="#REF!"/>
    <e v="#REF!"/>
  </r>
  <r>
    <s v="181000"/>
    <x v="6"/>
    <s v="COMPTE DE LIAISON DES ETABLISSEMENTS"/>
    <s v="OD"/>
    <n v="-1059.31"/>
    <d v="2025-02-28T00:00:00"/>
    <s v="Liaison inter-établissement vers TO "/>
    <m/>
    <e v="#N/A"/>
    <e v="#N/A"/>
    <n v="76218"/>
    <m/>
    <s v="AIR LIQUIDE"/>
    <s v="Q1"/>
    <e v="#REF!"/>
    <e v="#REF!"/>
    <e v="#REF!"/>
  </r>
  <r>
    <s v="181000"/>
    <x v="6"/>
    <s v="COMPTE DE LIAISON DES ETABLISSEMENTS"/>
    <s v="OD"/>
    <n v="-1056"/>
    <d v="2025-01-01T00:00:00"/>
    <s v="Liaison inter-établissement"/>
    <m/>
    <e v="#N/A"/>
    <e v="#N/A"/>
    <n v="86643"/>
    <m/>
    <m/>
    <s v="Q1"/>
    <e v="#REF!"/>
    <e v="#REF!"/>
    <e v="#REF!"/>
  </r>
  <r>
    <s v="181000"/>
    <x v="6"/>
    <s v="COMPTE DE LIAISON DES ETABLISSEMENTS"/>
    <s v="OD"/>
    <n v="-1056"/>
    <d v="2025-05-14T00:00:00"/>
    <s v="Liaison établissement 401000 ECHAFAUDAGE RO"/>
    <m/>
    <e v="#N/A"/>
    <e v="#N/A"/>
    <n v="72327"/>
    <s v="Invoice Payment by Pili"/>
    <s v="ECHAFAUDAGE"/>
    <s v="Q2"/>
    <e v="#REF!"/>
    <e v="#REF!"/>
    <e v="#REF!"/>
  </r>
  <r>
    <s v="181000"/>
    <x v="6"/>
    <s v="COMPTE DE LIAISON DES ETABLISSEMENTS"/>
    <s v="OD"/>
    <n v="-1050"/>
    <d v="2025-03-14T00:00:00"/>
    <s v="Liaison inter-établissement vers TO "/>
    <m/>
    <e v="#N/A"/>
    <n v="0"/>
    <n v="63746"/>
    <m/>
    <s v="LOCAPROD EVENEMENT"/>
    <s v="Q1"/>
    <e v="#REF!"/>
    <e v="#REF!"/>
    <e v="#REF!"/>
  </r>
  <r>
    <s v="181000"/>
    <x v="6"/>
    <s v="COMPTE DE LIAISON DES ETABLISSEMENTS"/>
    <s v="OD"/>
    <n v="-1050"/>
    <d v="2025-06-04T00:00:00"/>
    <s v="Liaison établissement 401000 QWINCY KB"/>
    <s v="Non"/>
    <s v="Non"/>
    <e v="#N/A"/>
    <n v="75532"/>
    <s v="Invoice payment by Pili"/>
    <s v="QWINCY"/>
    <s v="Q2"/>
    <e v="#REF!"/>
    <e v="#REF!"/>
    <e v="#REF!"/>
  </r>
  <r>
    <s v="181000"/>
    <x v="6"/>
    <s v="COMPTE DE LIAISON DES ETABLISSEMENTS"/>
    <s v="OD"/>
    <n v="-1050"/>
    <d v="2025-11-28T00:00:00"/>
    <s v="Liaison établissement 401000 QWINCY KB"/>
    <s v="Non"/>
    <s v="Non"/>
    <e v="#N/A"/>
    <n v="91192"/>
    <s v="F2025040078"/>
    <s v="QWINCY"/>
    <s v="Q4"/>
    <e v="#REF!"/>
    <e v="#REF!"/>
    <e v="#REF!"/>
  </r>
  <r>
    <s v="181000"/>
    <x v="6"/>
    <s v="COMPTE DE LIAISON DES ETABLISSEMENTS"/>
    <s v="OD"/>
    <n v="-1046.69"/>
    <d v="2025-03-14T00:00:00"/>
    <s v="Liaison inter-établissement vers TO "/>
    <m/>
    <e v="#N/A"/>
    <e v="#N/A"/>
    <n v="75895"/>
    <m/>
    <s v="Maud Sanchez"/>
    <s v="Q1"/>
    <e v="#REF!"/>
    <e v="#REF!"/>
    <e v="#REF!"/>
  </r>
  <r>
    <s v="181000"/>
    <x v="6"/>
    <s v="COMPTE DE LIAISON DES ETABLISSEMENTS"/>
    <s v="OD"/>
    <n v="-1044"/>
    <d v="2025-07-31T00:00:00"/>
    <s v="Liaison inter-établissement vers TO "/>
    <m/>
    <e v="#N/A"/>
    <e v="#N/A"/>
    <n v="81054"/>
    <m/>
    <s v="SNCF"/>
    <s v="Q3"/>
    <e v="#REF!"/>
    <e v="#REF!"/>
    <e v="#REF!"/>
  </r>
  <r>
    <s v="181000"/>
    <x v="6"/>
    <s v="COMPTE DE LIAISON DES ETABLISSEMENTS"/>
    <s v="OD"/>
    <n v="-1037.4000000000001"/>
    <d v="2025-04-25T00:00:00"/>
    <s v="Liaison établissement 401000 DENIOS RO"/>
    <m/>
    <e v="#N/A"/>
    <e v="#N/A"/>
    <n v="70157"/>
    <s v="Invoice Payment by Pili"/>
    <s v="DENIOS"/>
    <s v="Q2"/>
    <e v="#REF!"/>
    <e v="#REF!"/>
    <e v="#REF!"/>
  </r>
  <r>
    <s v="181000"/>
    <x v="6"/>
    <s v="COMPTE DE LIAISON DES ETABLISSEMENTS"/>
    <s v="OD"/>
    <n v="-1034"/>
    <d v="2025-02-28T00:00:00"/>
    <s v="Liaison inter-établissement vers TO "/>
    <m/>
    <e v="#N/A"/>
    <e v="#N/A"/>
    <n v="63486"/>
    <m/>
    <s v="ABEL CHRIST SOMPLEI"/>
    <s v="Q1"/>
    <e v="#REF!"/>
    <e v="#REF!"/>
    <e v="#REF!"/>
  </r>
  <r>
    <s v="181000"/>
    <x v="6"/>
    <s v="COMPTE DE LIAISON DES ETABLISSEMENTS"/>
    <s v="OD"/>
    <n v="-1034"/>
    <d v="2025-04-02T00:00:00"/>
    <s v="Liaison inter-établissement vers TO "/>
    <m/>
    <e v="#N/A"/>
    <e v="#N/A"/>
    <n v="67979"/>
    <m/>
    <s v="ABEL CHRIST SOMPLEI"/>
    <s v="Q2"/>
    <e v="#REF!"/>
    <e v="#REF!"/>
    <e v="#REF!"/>
  </r>
  <r>
    <s v="181000"/>
    <x v="6"/>
    <s v="COMPTE DE LIAISON DES ETABLISSEMENTS"/>
    <s v="OD"/>
    <n v="-1034"/>
    <d v="2025-07-04T00:00:00"/>
    <s v="Liaison établissement 401000 ABELC KB"/>
    <m/>
    <e v="#N/A"/>
    <e v="#N/A"/>
    <n v="77021"/>
    <s v="ENTRETIEN MÉNAGER"/>
    <s v="ABEL CHRIST SOMPLEI"/>
    <s v="Q3"/>
    <e v="#REF!"/>
    <e v="#REF!"/>
    <e v="#REF!"/>
  </r>
  <r>
    <s v="181000"/>
    <x v="6"/>
    <s v="COMPTE DE LIAISON DES ETABLISSEMENTS"/>
    <s v="OD"/>
    <n v="-1026"/>
    <d v="2025-03-19T00:00:00"/>
    <s v="Liaison inter-établissement vers TO "/>
    <m/>
    <e v="#N/A"/>
    <e v="#N/A"/>
    <n v="63794"/>
    <m/>
    <s v="PHENOMENEX"/>
    <s v="Q1"/>
    <e v="#REF!"/>
    <e v="#REF!"/>
    <e v="#REF!"/>
  </r>
  <r>
    <s v="181000"/>
    <x v="6"/>
    <s v="COMPTE DE LIAISON DES ETABLISSEMENTS"/>
    <s v="OD"/>
    <n v="-1022"/>
    <d v="2025-11-17T00:00:00"/>
    <s v="Liaison établissement 401000 CANOVAS STEVE EI LY"/>
    <m/>
    <e v="#N/A"/>
    <e v="#N/A"/>
    <n v="90140"/>
    <s v="TRAITEUR SÉMINAIRE PILI (JEUDI 18 SEPT. SOIR)"/>
    <s v="CANOVAS STEVE EI"/>
    <s v="Q4"/>
    <e v="#REF!"/>
    <e v="#REF!"/>
    <e v="#REF!"/>
  </r>
  <r>
    <s v="181000"/>
    <x v="6"/>
    <s v="COMPTE DE LIAISON DES ETABLISSEMENTS"/>
    <s v="OD"/>
    <n v="-1013.84"/>
    <d v="2025-12-11T00:00:00"/>
    <s v="Liaison établissement 401000 BECKER KB"/>
    <s v="Non"/>
    <s v="Oui"/>
    <e v="#N/A"/>
    <n v="92104"/>
    <s v="254432"/>
    <s v="BECKER"/>
    <s v="Q4"/>
    <e v="#REF!"/>
    <e v="#REF!"/>
    <e v="#REF!"/>
  </r>
  <r>
    <s v="181000"/>
    <x v="6"/>
    <s v="COMPTE DE LIAISON DES ETABLISSEMENTS"/>
    <s v="OD"/>
    <n v="-1010.82"/>
    <d v="2025-06-16T00:00:00"/>
    <s v="Liaison inter-établissement vers TO "/>
    <m/>
    <e v="#N/A"/>
    <e v="#N/A"/>
    <n v="78841"/>
    <m/>
    <s v="ENGIE"/>
    <s v="Q2"/>
    <e v="#REF!"/>
    <e v="#REF!"/>
    <e v="#REF!"/>
  </r>
  <r>
    <s v="181000"/>
    <x v="6"/>
    <s v="COMPTE DE LIAISON DES ETABLISSEMENTS"/>
    <s v="OD"/>
    <n v="-1000"/>
    <d v="2025-04-15T00:00:00"/>
    <s v="Liaison inter-établissement vers KB "/>
    <s v="Non"/>
    <s v="Non"/>
    <e v="#N/A"/>
    <n v="77524"/>
    <m/>
    <s v="IN MANAGEMENT"/>
    <s v="Q2"/>
    <e v="#REF!"/>
    <e v="#REF!"/>
    <e v="#REF!"/>
  </r>
  <r>
    <s v="181000"/>
    <x v="6"/>
    <s v="COMPTE DE LIAISON DES ETABLISSEMENTS"/>
    <s v="OD"/>
    <n v="-1000"/>
    <d v="2025-08-21T00:00:00"/>
    <s v="Liaison établissement 401000 MANACH KB"/>
    <s v="Non"/>
    <s v="Non"/>
    <e v="#N/A"/>
    <n v="81437"/>
    <s v="PARTICIPATION AU BOARD BUSINESS"/>
    <s v="Michel Manach"/>
    <s v="Q3"/>
    <e v="#REF!"/>
    <e v="#REF!"/>
    <e v="#REF!"/>
  </r>
  <r>
    <s v="181000"/>
    <x v="6"/>
    <s v="COMPTE DE LIAISON DES ETABLISSEMENTS"/>
    <s v="OD"/>
    <n v="-1000"/>
    <d v="2025-12-11T00:00:00"/>
    <s v="Liaison établissement 401000 MANACH LY"/>
    <s v="Non"/>
    <s v="Non"/>
    <e v="#N/A"/>
    <n v="92094"/>
    <s v="20251002"/>
    <s v="Michel Manach"/>
    <s v="Q4"/>
    <e v="#REF!"/>
    <e v="#REF!"/>
    <e v="#REF!"/>
  </r>
  <r>
    <s v="181000"/>
    <x v="6"/>
    <s v="COMPTE DE LIAISON DES ETABLISSEMENTS"/>
    <s v="OD"/>
    <n v="-992.72"/>
    <d v="2025-07-22T00:00:00"/>
    <s v="Liaison établissement 401000 ROTH RO"/>
    <m/>
    <e v="#N/A"/>
    <e v="#N/A"/>
    <n v="78286"/>
    <s v="MÉTHANOL 2MIN. 99 % EAU 5 ROTISOLV HPLC GRADIENT GRADE MÉTHYLE-2-TÉTRAHYDROFURANE"/>
    <s v="ROTH SOCHIEL"/>
    <s v="Q3"/>
    <e v="#REF!"/>
    <e v="#REF!"/>
    <e v="#REF!"/>
  </r>
  <r>
    <s v="181000"/>
    <x v="6"/>
    <s v="COMPTE DE LIAISON DES ETABLISSEMENTS"/>
    <s v="OD"/>
    <n v="-980.67"/>
    <d v="2025-03-03T00:00:00"/>
    <s v="Liaison inter-établissement vers TO "/>
    <m/>
    <e v="#N/A"/>
    <e v="#N/A"/>
    <n v="87135"/>
    <m/>
    <s v="AIR LIQUIDE"/>
    <s v="Q1"/>
    <e v="#REF!"/>
    <e v="#REF!"/>
    <e v="#REF!"/>
  </r>
  <r>
    <s v="181000"/>
    <x v="6"/>
    <s v="COMPTE DE LIAISON DES ETABLISSEMENTS"/>
    <s v="OD"/>
    <n v="-960"/>
    <d v="2025-03-19T00:00:00"/>
    <s v="Liaison inter-établissement vers TO "/>
    <m/>
    <s v="Non"/>
    <n v="0"/>
    <n v="69944"/>
    <m/>
    <s v="ASS FORMATION CONTINUE INDUS CHIMIQUES"/>
    <s v="Q1"/>
    <e v="#REF!"/>
    <e v="#REF!"/>
    <e v="#REF!"/>
  </r>
  <r>
    <s v="181000"/>
    <x v="6"/>
    <s v="COMPTE DE LIAISON DES ETABLISSEMENTS"/>
    <s v="OD"/>
    <n v="-960"/>
    <d v="2025-12-30T00:00:00"/>
    <s v="Liaison établissement 401000 BOLD LY"/>
    <s v="Non"/>
    <s v="Non"/>
    <e v="#N/A"/>
    <n v="93833"/>
    <s v="BOLD-031819"/>
    <s v="WE ARE BOLD"/>
    <s v="Q4"/>
    <e v="#REF!"/>
    <e v="#REF!"/>
    <e v="#REF!"/>
  </r>
  <r>
    <s v="181000"/>
    <x v="6"/>
    <s v="COMPTE DE LIAISON DES ETABLISSEMENTS"/>
    <s v="OD"/>
    <n v="-940"/>
    <d v="2025-10-31T00:00:00"/>
    <s v="Liaison établissement 401000 ABELC KB"/>
    <m/>
    <e v="#N/A"/>
    <e v="#N/A"/>
    <n v="87498"/>
    <s v="ENTRETIEN MÉNAGER"/>
    <s v="ABEL CHRIST SOMPLEI"/>
    <s v="Q4"/>
    <e v="#REF!"/>
    <e v="#REF!"/>
    <e v="#REF!"/>
  </r>
  <r>
    <s v="181000"/>
    <x v="6"/>
    <s v="COMPTE DE LIAISON DES ETABLISSEMENTS"/>
    <s v="OD"/>
    <n v="-940"/>
    <d v="2025-12-30T00:00:00"/>
    <s v="Liaison établissement 401000 ABELC KB"/>
    <m/>
    <e v="#N/A"/>
    <e v="#N/A"/>
    <n v="93807"/>
    <s v="PILI-231225"/>
    <s v="ABEL CHRIST SOMPLEI"/>
    <s v="Q4"/>
    <e v="#REF!"/>
    <e v="#REF!"/>
    <e v="#REF!"/>
  </r>
  <r>
    <s v="181000"/>
    <x v="6"/>
    <s v="COMPTE DE LIAISON DES ETABLISSEMENTS"/>
    <s v="OD"/>
    <n v="-918"/>
    <d v="2025-03-19T00:00:00"/>
    <s v="Liaison inter-établissement vers TO "/>
    <m/>
    <e v="#N/A"/>
    <e v="#N/A"/>
    <n v="63798"/>
    <m/>
    <s v="PHENOMENEX"/>
    <s v="Q1"/>
    <e v="#REF!"/>
    <e v="#REF!"/>
    <e v="#REF!"/>
  </r>
  <r>
    <s v="181000"/>
    <x v="6"/>
    <s v="COMPTE DE LIAISON DES ETABLISSEMENTS"/>
    <s v="OD"/>
    <n v="-912"/>
    <d v="2025-01-30T00:00:00"/>
    <s v="Liaison inter-établissement vers TO "/>
    <m/>
    <e v="#N/A"/>
    <e v="#N/A"/>
    <n v="63674"/>
    <m/>
    <s v="COFICIEL"/>
    <s v="Q1"/>
    <e v="#REF!"/>
    <e v="#REF!"/>
    <e v="#REF!"/>
  </r>
  <r>
    <s v="181000"/>
    <x v="6"/>
    <s v="COMPTE DE LIAISON DES ETABLISSEMENTS"/>
    <s v="OD"/>
    <n v="-912"/>
    <d v="2025-03-28T00:00:00"/>
    <s v="Liaison établissement 401000 COFICIEL RO"/>
    <m/>
    <e v="#N/A"/>
    <e v="#N/A"/>
    <n v="65016"/>
    <s v="Invoice Payment by Pili"/>
    <s v="COFICIEL"/>
    <s v="Q1"/>
    <e v="#REF!"/>
    <e v="#REF!"/>
    <e v="#REF!"/>
  </r>
  <r>
    <s v="181000"/>
    <x v="6"/>
    <s v="COMPTE DE LIAISON DES ETABLISSEMENTS"/>
    <s v="OD"/>
    <n v="-912"/>
    <d v="2025-04-18T00:00:00"/>
    <s v="Liaison établissement 401000 COFICIEL RO"/>
    <m/>
    <e v="#N/A"/>
    <e v="#N/A"/>
    <n v="68163"/>
    <s v="Invoice Payment by Pili"/>
    <s v="COFICIEL"/>
    <s v="Q2"/>
    <e v="#REF!"/>
    <e v="#REF!"/>
    <e v="#REF!"/>
  </r>
  <r>
    <s v="181000"/>
    <x v="6"/>
    <s v="COMPTE DE LIAISON DES ETABLISSEMENTS"/>
    <s v="OD"/>
    <n v="-912"/>
    <d v="2025-06-02T00:00:00"/>
    <s v="Liaison établissement 401000 COFICIEL RO"/>
    <m/>
    <e v="#N/A"/>
    <e v="#N/A"/>
    <n v="75258"/>
    <s v="Invoice Payment By Pili"/>
    <s v="COFICIEL"/>
    <s v="Q2"/>
    <e v="#REF!"/>
    <e v="#REF!"/>
    <e v="#REF!"/>
  </r>
  <r>
    <s v="181000"/>
    <x v="6"/>
    <s v="COMPTE DE LIAISON DES ETABLISSEMENTS"/>
    <s v="OD"/>
    <n v="-912"/>
    <d v="2025-08-08T00:00:00"/>
    <s v="Liaison établissement 401000 COFICIEL RO"/>
    <m/>
    <e v="#N/A"/>
    <e v="#N/A"/>
    <n v="80755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-912"/>
    <d v="2025-08-22T00:00:00"/>
    <s v="Liaison établissement 401000 COFICIEL RO"/>
    <m/>
    <e v="#N/A"/>
    <e v="#N/A"/>
    <n v="81602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-912"/>
    <d v="2025-09-12T00:00:00"/>
    <s v="Liaison établissement 401000 COFICIEL RO"/>
    <m/>
    <e v="#N/A"/>
    <e v="#N/A"/>
    <n v="81996"/>
    <s v="F2507/0532"/>
    <s v="COFICIEL"/>
    <s v="Q3"/>
    <e v="#REF!"/>
    <e v="#REF!"/>
    <e v="#REF!"/>
  </r>
  <r>
    <s v="181000"/>
    <x v="6"/>
    <s v="COMPTE DE LIAISON DES ETABLISSEMENTS"/>
    <s v="OD"/>
    <n v="-912"/>
    <d v="2025-09-26T00:00:00"/>
    <s v="Liaison établissement 401000 COFICIEL RO"/>
    <m/>
    <e v="#N/A"/>
    <e v="#N/A"/>
    <n v="82494"/>
    <s v="INVOICE PAYMENT BY PILI"/>
    <s v="COFICIEL"/>
    <s v="Q3"/>
    <e v="#REF!"/>
    <e v="#REF!"/>
    <e v="#REF!"/>
  </r>
  <r>
    <s v="181000"/>
    <x v="6"/>
    <s v="COMPTE DE LIAISON DES ETABLISSEMENTS"/>
    <s v="OD"/>
    <n v="-912"/>
    <d v="2025-10-31T00:00:00"/>
    <s v="Liaison établissement 401000 COFICIEL RO"/>
    <m/>
    <e v="#N/A"/>
    <e v="#N/A"/>
    <n v="87550"/>
    <s v="F2509/0832"/>
    <s v="COFICIEL"/>
    <s v="Q4"/>
    <e v="#REF!"/>
    <e v="#REF!"/>
    <e v="#REF!"/>
  </r>
  <r>
    <s v="181000"/>
    <x v="6"/>
    <s v="COMPTE DE LIAISON DES ETABLISSEMENTS"/>
    <s v="OD"/>
    <n v="-912"/>
    <d v="2025-12-05T00:00:00"/>
    <s v="Liaison établissement 401000 COFICIEL RO"/>
    <m/>
    <e v="#N/A"/>
    <e v="#N/A"/>
    <n v="91355"/>
    <s v="F2510/0735"/>
    <s v="COFICIEL"/>
    <s v="Q4"/>
    <e v="#REF!"/>
    <e v="#REF!"/>
    <e v="#REF!"/>
  </r>
  <r>
    <s v="181000"/>
    <x v="6"/>
    <s v="COMPTE DE LIAISON DES ETABLISSEMENTS"/>
    <s v="OD"/>
    <n v="-912"/>
    <d v="2025-12-30T00:00:00"/>
    <s v="Liaison établissement 401000 COFICIEL RO"/>
    <m/>
    <e v="#N/A"/>
    <e v="#N/A"/>
    <n v="93818"/>
    <s v="F2511/1366"/>
    <s v="COFICIEL"/>
    <s v="Q4"/>
    <e v="#REF!"/>
    <e v="#REF!"/>
    <e v="#REF!"/>
  </r>
  <r>
    <s v="181000"/>
    <x v="6"/>
    <s v="COMPTE DE LIAISON DES ETABLISSEMENTS"/>
    <s v="OD"/>
    <n v="-907.2"/>
    <d v="2025-02-05T00:00:00"/>
    <s v="Liaison inter-établissement vers TO "/>
    <m/>
    <e v="#N/A"/>
    <e v="#N/A"/>
    <n v="74260"/>
    <m/>
    <s v="ORANGE"/>
    <s v="Q1"/>
    <e v="#REF!"/>
    <e v="#REF!"/>
    <e v="#REF!"/>
  </r>
  <r>
    <s v="181000"/>
    <x v="6"/>
    <s v="COMPTE DE LIAISON DES ETABLISSEMENTS"/>
    <s v="OD"/>
    <n v="-907.2"/>
    <d v="2025-04-08T00:00:00"/>
    <s v="Liaison inter-établissement vers TO "/>
    <m/>
    <e v="#N/A"/>
    <e v="#N/A"/>
    <n v="70057"/>
    <m/>
    <s v="ORANGE"/>
    <s v="Q2"/>
    <e v="#REF!"/>
    <e v="#REF!"/>
    <e v="#REF!"/>
  </r>
  <r>
    <s v="181000"/>
    <x v="6"/>
    <s v="COMPTE DE LIAISON DES ETABLISSEMENTS"/>
    <s v="OD"/>
    <n v="-907.2"/>
    <d v="2025-06-04T00:00:00"/>
    <s v="Liaison inter-établissement vers TO "/>
    <m/>
    <e v="#N/A"/>
    <e v="#N/A"/>
    <n v="78861"/>
    <m/>
    <s v="ORANGE"/>
    <s v="Q2"/>
    <e v="#REF!"/>
    <e v="#REF!"/>
    <e v="#REF!"/>
  </r>
  <r>
    <s v="181000"/>
    <x v="6"/>
    <s v="COMPTE DE LIAISON DES ETABLISSEMENTS"/>
    <s v="OD"/>
    <n v="-907.2"/>
    <d v="2025-10-06T00:00:00"/>
    <s v="Liaison inter-établissement vers TO "/>
    <m/>
    <e v="#N/A"/>
    <e v="#N/A"/>
    <n v="86963"/>
    <m/>
    <s v="ORANGE"/>
    <s v="Q4"/>
    <e v="#REF!"/>
    <e v="#REF!"/>
    <e v="#REF!"/>
  </r>
  <r>
    <s v="181000"/>
    <x v="6"/>
    <s v="COMPTE DE LIAISON DES ETABLISSEMENTS"/>
    <s v="OD"/>
    <n v="-907.2"/>
    <d v="2025-12-05T00:00:00"/>
    <s v="Liaison inter-établissement vers TO "/>
    <m/>
    <e v="#N/A"/>
    <e v="#N/A"/>
    <n v="91919"/>
    <m/>
    <s v="ORANGE"/>
    <s v="Q4"/>
    <e v="#REF!"/>
    <e v="#REF!"/>
    <e v="#REF!"/>
  </r>
  <r>
    <s v="181000"/>
    <x v="6"/>
    <s v="COMPTE DE LIAISON DES ETABLISSEMENTS"/>
    <s v="OD"/>
    <n v="-900"/>
    <d v="2025-04-15T00:00:00"/>
    <s v="Liaison inter-établissement vers TO "/>
    <m/>
    <e v="#N/A"/>
    <e v="#N/A"/>
    <n v="68087"/>
    <m/>
    <s v="CLOUP"/>
    <s v="Q2"/>
    <e v="#REF!"/>
    <e v="#REF!"/>
    <e v="#REF!"/>
  </r>
  <r>
    <s v="181000"/>
    <x v="6"/>
    <s v="COMPTE DE LIAISON DES ETABLISSEMENTS"/>
    <s v="OD"/>
    <n v="-900"/>
    <d v="2025-06-16T00:00:00"/>
    <s v="Liaison établissement 401000 CHARRIERE LY"/>
    <s v="Non"/>
    <s v="Non"/>
    <e v="#N/A"/>
    <n v="76075"/>
    <s v="CONSULTANTE E CHARRIÈRE"/>
    <s v="CHARRIERE Eugenie"/>
    <s v="Q2"/>
    <e v="#REF!"/>
    <e v="#REF!"/>
    <e v="#REF!"/>
  </r>
  <r>
    <s v="181000"/>
    <x v="6"/>
    <s v="COMPTE DE LIAISON DES ETABLISSEMENTS"/>
    <s v="OD"/>
    <n v="-900"/>
    <d v="2025-09-12T00:00:00"/>
    <s v="Liaison inter-établissement vers TO "/>
    <m/>
    <e v="#N/A"/>
    <e v="#N/A"/>
    <n v="85009"/>
    <m/>
    <s v="BURAY ERIC"/>
    <s v="Q3"/>
    <e v="#REF!"/>
    <e v="#REF!"/>
    <e v="#REF!"/>
  </r>
  <r>
    <s v="181000"/>
    <x v="6"/>
    <s v="COMPTE DE LIAISON DES ETABLISSEMENTS"/>
    <s v="OD"/>
    <n v="-888.06"/>
    <d v="2025-02-28T00:00:00"/>
    <s v="Liaison inter-établissement vers TO "/>
    <s v="Non"/>
    <s v="Non"/>
    <e v="#N/A"/>
    <n v="63778"/>
    <m/>
    <s v="OSIRIS"/>
    <s v="Q1"/>
    <e v="#REF!"/>
    <e v="#REF!"/>
    <e v="#REF!"/>
  </r>
  <r>
    <s v="181000"/>
    <x v="6"/>
    <s v="COMPTE DE LIAISON DES ETABLISSEMENTS"/>
    <s v="OD"/>
    <n v="-885.18"/>
    <d v="2025-04-23T00:00:00"/>
    <s v="Liaison inter-établissement vers TO "/>
    <m/>
    <s v="Non"/>
    <n v="0"/>
    <n v="68215"/>
    <m/>
    <s v="SERVICE ACTION SANTE"/>
    <s v="Q2"/>
    <e v="#REF!"/>
    <e v="#REF!"/>
    <e v="#REF!"/>
  </r>
  <r>
    <s v="181000"/>
    <x v="6"/>
    <s v="COMPTE DE LIAISON DES ETABLISSEMENTS"/>
    <s v="OD"/>
    <n v="-882.42"/>
    <d v="2025-06-30T00:00:00"/>
    <s v="Liaison inter-établissement"/>
    <m/>
    <e v="#N/A"/>
    <e v="#N/A"/>
    <n v="78684"/>
    <m/>
    <m/>
    <s v="Q2"/>
    <e v="#REF!"/>
    <e v="#REF!"/>
    <e v="#REF!"/>
  </r>
  <r>
    <s v="181000"/>
    <x v="6"/>
    <s v="COMPTE DE LIAISON DES ETABLISSEMENTS"/>
    <s v="OD"/>
    <n v="-859.96"/>
    <d v="2025-04-07T00:00:00"/>
    <s v="Liaison inter-établissement vers TO "/>
    <m/>
    <e v="#N/A"/>
    <e v="#N/A"/>
    <n v="75855"/>
    <m/>
    <s v="Kevin Cottet"/>
    <s v="Q2"/>
    <e v="#REF!"/>
    <e v="#REF!"/>
    <e v="#REF!"/>
  </r>
  <r>
    <s v="181000"/>
    <x v="6"/>
    <s v="COMPTE DE LIAISON DES ETABLISSEMENTS"/>
    <s v="OD"/>
    <n v="-859.74"/>
    <d v="2025-02-10T00:00:00"/>
    <s v="Liaison inter-établissement vers TO "/>
    <m/>
    <e v="#N/A"/>
    <e v="#N/A"/>
    <n v="75903"/>
    <m/>
    <s v="Pierre-Yves Bolle"/>
    <s v="Q1"/>
    <e v="#REF!"/>
    <e v="#REF!"/>
    <e v="#REF!"/>
  </r>
  <r>
    <s v="181000"/>
    <x v="6"/>
    <s v="COMPTE DE LIAISON DES ETABLISSEMENTS"/>
    <s v="OD"/>
    <n v="-859.07"/>
    <d v="2025-08-01T00:00:00"/>
    <s v="Liaison inter-établissement vers TO "/>
    <m/>
    <e v="#N/A"/>
    <e v="#N/A"/>
    <n v="85069"/>
    <m/>
    <s v="MAXOUTILS"/>
    <s v="Q3"/>
    <e v="#REF!"/>
    <e v="#REF!"/>
    <e v="#REF!"/>
  </r>
  <r>
    <s v="181000"/>
    <x v="6"/>
    <s v="COMPTE DE LIAISON DES ETABLISSEMENTS"/>
    <s v="OD"/>
    <n v="-859.06"/>
    <d v="2025-04-04T00:00:00"/>
    <s v="Liaison inter-établissement vers TO "/>
    <m/>
    <e v="#N/A"/>
    <e v="#N/A"/>
    <n v="75851"/>
    <m/>
    <s v="Guillaume Boissonnat-Wu"/>
    <s v="Q2"/>
    <e v="#REF!"/>
    <e v="#REF!"/>
    <e v="#REF!"/>
  </r>
  <r>
    <s v="181000"/>
    <x v="6"/>
    <s v="COMPTE DE LIAISON DES ETABLISSEMENTS"/>
    <s v="OD"/>
    <n v="-858"/>
    <d v="2025-03-28T00:00:00"/>
    <s v="Liaison établissement 401000 DIVA KB"/>
    <m/>
    <e v="#N/A"/>
    <e v="#N/A"/>
    <n v="65011"/>
    <s v="Invoice Payment by Pili"/>
    <s v="AGENCE DIVA"/>
    <s v="Q1"/>
    <e v="#REF!"/>
    <e v="#REF!"/>
    <e v="#REF!"/>
  </r>
  <r>
    <s v="181000"/>
    <x v="6"/>
    <s v="COMPTE DE LIAISON DES ETABLISSEMENTS"/>
    <s v="OD"/>
    <n v="-852"/>
    <d v="2025-09-12T00:00:00"/>
    <s v="Liaison établissement 401000 ALGOCHEM RO"/>
    <m/>
    <e v="#N/A"/>
    <e v="#N/A"/>
    <n v="82016"/>
    <s v="FACTURE 910"/>
    <s v="ALGOCHEM"/>
    <s v="Q3"/>
    <e v="#REF!"/>
    <e v="#REF!"/>
    <e v="#REF!"/>
  </r>
  <r>
    <s v="181000"/>
    <x v="6"/>
    <s v="COMPTE DE LIAISON DES ETABLISSEMENTS"/>
    <s v="OD"/>
    <n v="-849.6"/>
    <d v="2025-03-11T00:00:00"/>
    <s v="Liaison inter-établissement vers TO "/>
    <m/>
    <e v="#N/A"/>
    <e v="#N/A"/>
    <n v="74063"/>
    <m/>
    <s v="BROSSIER TRANSPORTS"/>
    <s v="Q1"/>
    <e v="#REF!"/>
    <e v="#REF!"/>
    <e v="#REF!"/>
  </r>
  <r>
    <s v="181000"/>
    <x v="6"/>
    <s v="COMPTE DE LIAISON DES ETABLISSEMENTS"/>
    <s v="OD"/>
    <n v="-844.73"/>
    <d v="2025-08-21T00:00:00"/>
    <s v="Liaison établissement 401000 VWR KB"/>
    <m/>
    <e v="#N/A"/>
    <e v="#N/A"/>
    <n v="81512"/>
    <s v="COMMANDE CONSOMMABLES ET SOLVANTS POUR LABO"/>
    <s v="VWR AVANTOR"/>
    <s v="Q3"/>
    <e v="#REF!"/>
    <e v="#REF!"/>
    <e v="#REF!"/>
  </r>
  <r>
    <s v="181000"/>
    <x v="6"/>
    <s v="COMPTE DE LIAISON DES ETABLISSEMENTS"/>
    <s v="OD"/>
    <n v="-834"/>
    <d v="2025-11-17T00:00:00"/>
    <s v="Liaison établissement 401000 SAESPCI KB"/>
    <m/>
    <e v="#N/A"/>
    <e v="#N/A"/>
    <n v="90145"/>
    <s v="RMN ESPCI"/>
    <s v="SAESPCI"/>
    <s v="Q4"/>
    <e v="#REF!"/>
    <e v="#REF!"/>
    <e v="#REF!"/>
  </r>
  <r>
    <s v="181000"/>
    <x v="6"/>
    <s v="COMPTE DE LIAISON DES ETABLISSEMENTS"/>
    <s v="OD"/>
    <n v="-832.2"/>
    <d v="2025-04-29T00:00:00"/>
    <s v="Liaison établissement 401000 SAESPCI KB"/>
    <m/>
    <e v="#N/A"/>
    <e v="#N/A"/>
    <n v="70493"/>
    <s v="Invocie Payment by Pili"/>
    <s v="SAESPCI"/>
    <s v="Q2"/>
    <e v="#REF!"/>
    <e v="#REF!"/>
    <e v="#REF!"/>
  </r>
  <r>
    <s v="181000"/>
    <x v="6"/>
    <s v="COMPTE DE LIAISON DES ETABLISSEMENTS"/>
    <s v="OD"/>
    <n v="-828.34"/>
    <d v="2025-11-19T00:00:00"/>
    <s v="Liaison établissement 401000 BOUFFE KB"/>
    <m/>
    <e v="#N/A"/>
    <e v="#N/A"/>
    <n v="90479"/>
    <s v="F-1013-1766"/>
    <s v="LES BOUFFESQUETAIRES"/>
    <s v="Q4"/>
    <e v="#REF!"/>
    <e v="#REF!"/>
    <e v="#REF!"/>
  </r>
  <r>
    <s v="181000"/>
    <x v="6"/>
    <s v="COMPTE DE LIAISON DES ETABLISSEMENTS"/>
    <s v="OD"/>
    <n v="-828"/>
    <d v="2025-08-21T00:00:00"/>
    <s v="Liaison établissement 401000 THERMOELECTRON KB"/>
    <m/>
    <s v="Non"/>
    <e v="#N/A"/>
    <n v="81480"/>
    <s v="UTILISATION LOGICIEL CHROMOLEON - NIVEAU 2 - 1 JOURNÉE"/>
    <s v="THERMOELECTRON"/>
    <s v="Q3"/>
    <e v="#REF!"/>
    <e v="#REF!"/>
    <e v="#REF!"/>
  </r>
  <r>
    <s v="181000"/>
    <x v="6"/>
    <s v="COMPTE DE LIAISON DES ETABLISSEMENTS"/>
    <s v="OD"/>
    <n v="-818.4"/>
    <d v="2025-09-12T00:00:00"/>
    <s v="Liaison établissement 401000 GAZDETECT RO"/>
    <m/>
    <e v="#N/A"/>
    <e v="#N/A"/>
    <n v="82011"/>
    <s v="PAC 6500 SO2 0-100 PPM STANDARD"/>
    <s v="GAZ DETECT"/>
    <s v="Q3"/>
    <e v="#REF!"/>
    <e v="#REF!"/>
    <e v="#REF!"/>
  </r>
  <r>
    <s v="181000"/>
    <x v="6"/>
    <s v="COMPTE DE LIAISON DES ETABLISSEMENTS"/>
    <s v="OD"/>
    <n v="-817.52"/>
    <d v="2025-04-14T00:00:00"/>
    <s v="Liaison inter-établissement vers TO "/>
    <m/>
    <e v="#N/A"/>
    <e v="#N/A"/>
    <n v="76272"/>
    <m/>
    <s v="Yves Combret"/>
    <s v="Q2"/>
    <e v="#REF!"/>
    <e v="#REF!"/>
    <e v="#REF!"/>
  </r>
  <r>
    <s v="181000"/>
    <x v="6"/>
    <s v="COMPTE DE LIAISON DES ETABLISSEMENTS"/>
    <s v="OD"/>
    <n v="-810"/>
    <d v="2025-01-30T00:00:00"/>
    <s v="Liaison inter-établissement vers TO "/>
    <m/>
    <e v="#N/A"/>
    <e v="#N/A"/>
    <n v="63872"/>
    <m/>
    <s v="SMTS"/>
    <s v="Q1"/>
    <e v="#REF!"/>
    <e v="#REF!"/>
    <e v="#REF!"/>
  </r>
  <r>
    <s v="181000"/>
    <x v="6"/>
    <s v="COMPTE DE LIAISON DES ETABLISSEMENTS"/>
    <s v="OD"/>
    <n v="-800.84"/>
    <d v="2025-01-25T00:00:00"/>
    <s v="Liaison inter-établissement vers TO "/>
    <m/>
    <e v="#N/A"/>
    <e v="#N/A"/>
    <n v="63506"/>
    <m/>
    <s v="AIR FRANCE"/>
    <s v="Q1"/>
    <e v="#REF!"/>
    <e v="#REF!"/>
    <e v="#REF!"/>
  </r>
  <r>
    <s v="181000"/>
    <x v="6"/>
    <s v="COMPTE DE LIAISON DES ETABLISSEMENTS"/>
    <s v="OD"/>
    <n v="-800.84"/>
    <d v="2025-01-25T00:00:00"/>
    <s v="Liaison inter-établissement vers TO "/>
    <m/>
    <e v="#N/A"/>
    <e v="#N/A"/>
    <n v="63510"/>
    <m/>
    <s v="AIR FRANCE"/>
    <s v="Q1"/>
    <e v="#REF!"/>
    <e v="#REF!"/>
    <e v="#REF!"/>
  </r>
  <r>
    <s v="181000"/>
    <x v="6"/>
    <s v="COMPTE DE LIAISON DES ETABLISSEMENTS"/>
    <s v="OD"/>
    <n v="-800"/>
    <d v="2025-08-18T00:00:00"/>
    <s v="Liaison établissement 401000 IRCOM LY"/>
    <m/>
    <s v="Non"/>
    <e v="#N/A"/>
    <n v="81142"/>
    <s v="FORMATION COMMUNICATION DE CRISE"/>
    <s v="IRCOM"/>
    <s v="Q3"/>
    <e v="#REF!"/>
    <e v="#REF!"/>
    <e v="#REF!"/>
  </r>
  <r>
    <s v="181000"/>
    <x v="6"/>
    <s v="COMPTE DE LIAISON DES ETABLISSEMENTS"/>
    <s v="OD"/>
    <n v="-799.42"/>
    <d v="2025-11-24T00:00:00"/>
    <s v="Liaison inter-établissement vers TO "/>
    <m/>
    <e v="#N/A"/>
    <e v="#N/A"/>
    <n v="91012"/>
    <m/>
    <s v="Marie Rézeau"/>
    <s v="Q4"/>
    <e v="#REF!"/>
    <e v="#REF!"/>
    <e v="#REF!"/>
  </r>
  <r>
    <s v="181000"/>
    <x v="6"/>
    <s v="COMPTE DE LIAISON DES ETABLISSEMENTS"/>
    <s v="OD"/>
    <n v="-797.01"/>
    <d v="2025-11-21T00:00:00"/>
    <s v="Liaison inter-établissement"/>
    <m/>
    <e v="#N/A"/>
    <e v="#N/A"/>
    <n v="97988"/>
    <m/>
    <s v="MAXIBURO"/>
    <s v="Q4"/>
    <e v="#REF!"/>
    <e v="#REF!"/>
    <e v="#REF!"/>
  </r>
  <r>
    <s v="181000"/>
    <x v="6"/>
    <s v="COMPTE DE LIAISON DES ETABLISSEMENTS"/>
    <s v="OD"/>
    <n v="-796.3"/>
    <d v="2025-04-25T00:00:00"/>
    <s v="Liaison établissement 401000 BOUFFE KB"/>
    <m/>
    <e v="#N/A"/>
    <e v="#N/A"/>
    <n v="70198"/>
    <s v="Invoice Payment by Pili"/>
    <s v="LES BOUFFESQUETAIRES"/>
    <s v="Q2"/>
    <e v="#REF!"/>
    <e v="#REF!"/>
    <e v="#REF!"/>
  </r>
  <r>
    <s v="181000"/>
    <x v="6"/>
    <s v="COMPTE DE LIAISON DES ETABLISSEMENTS"/>
    <s v="OD"/>
    <n v="-792"/>
    <d v="2025-05-16T00:00:00"/>
    <s v="Liaison établissement 401000 AGRUME KB"/>
    <m/>
    <s v="Non"/>
    <e v="#N/A"/>
    <n v="72837"/>
    <s v="ELECTIONS CSE PAR VOIE ÉLECTRONIQUE SUR LA BASE DE 40 ÉLECTEURS"/>
    <s v="AGRUME"/>
    <s v="Q2"/>
    <e v="#REF!"/>
    <e v="#REF!"/>
    <e v="#REF!"/>
  </r>
  <r>
    <s v="181000"/>
    <x v="6"/>
    <s v="COMPTE DE LIAISON DES ETABLISSEMENTS"/>
    <s v="OD"/>
    <n v="-778.8"/>
    <d v="2025-01-02T00:00:00"/>
    <s v="Liaison inter-établissement vers TO "/>
    <m/>
    <e v="#N/A"/>
    <e v="#N/A"/>
    <n v="63904"/>
    <m/>
    <s v="SPENDESK"/>
    <s v="Q1"/>
    <e v="#REF!"/>
    <e v="#REF!"/>
    <e v="#REF!"/>
  </r>
  <r>
    <s v="181000"/>
    <x v="6"/>
    <s v="COMPTE DE LIAISON DES ETABLISSEMENTS"/>
    <s v="OD"/>
    <n v="-778.8"/>
    <d v="2025-02-04T00:00:00"/>
    <s v="Liaison inter-établissement vers TO "/>
    <m/>
    <e v="#N/A"/>
    <e v="#N/A"/>
    <n v="64344"/>
    <m/>
    <s v="SPENDESK"/>
    <s v="Q1"/>
    <e v="#REF!"/>
    <e v="#REF!"/>
    <e v="#REF!"/>
  </r>
  <r>
    <s v="181000"/>
    <x v="6"/>
    <s v="COMPTE DE LIAISON DES ETABLISSEMENTS"/>
    <s v="OD"/>
    <n v="-778.8"/>
    <d v="2025-03-04T00:00:00"/>
    <s v="Liaison inter-établissement vers TO "/>
    <m/>
    <e v="#N/A"/>
    <e v="#N/A"/>
    <n v="70029"/>
    <m/>
    <s v="SPENDESK"/>
    <s v="Q1"/>
    <e v="#REF!"/>
    <e v="#REF!"/>
    <e v="#REF!"/>
  </r>
  <r>
    <s v="181000"/>
    <x v="6"/>
    <s v="COMPTE DE LIAISON DES ETABLISSEMENTS"/>
    <s v="OD"/>
    <n v="-778.8"/>
    <d v="2025-04-02T00:00:00"/>
    <s v="Liaison inter-établissement vers TO "/>
    <m/>
    <e v="#N/A"/>
    <e v="#N/A"/>
    <n v="74738"/>
    <m/>
    <s v="SPENDESK"/>
    <s v="Q2"/>
    <e v="#REF!"/>
    <e v="#REF!"/>
    <e v="#REF!"/>
  </r>
  <r>
    <s v="181000"/>
    <x v="6"/>
    <s v="COMPTE DE LIAISON DES ETABLISSEMENTS"/>
    <s v="OD"/>
    <n v="-778.8"/>
    <d v="2025-05-02T00:00:00"/>
    <s v="Liaison inter-établissement vers TO "/>
    <m/>
    <e v="#N/A"/>
    <e v="#N/A"/>
    <n v="75096"/>
    <m/>
    <s v="SPENDESK"/>
    <s v="Q2"/>
    <e v="#REF!"/>
    <e v="#REF!"/>
    <e v="#REF!"/>
  </r>
  <r>
    <s v="181000"/>
    <x v="6"/>
    <s v="COMPTE DE LIAISON DES ETABLISSEMENTS"/>
    <s v="OD"/>
    <n v="-778.8"/>
    <d v="2025-06-05T00:00:00"/>
    <s v="Liaison inter-établissement vers TO "/>
    <m/>
    <e v="#N/A"/>
    <e v="#N/A"/>
    <n v="78212"/>
    <m/>
    <s v="SPENDESK"/>
    <s v="Q2"/>
    <e v="#REF!"/>
    <e v="#REF!"/>
    <e v="#REF!"/>
  </r>
  <r>
    <s v="181000"/>
    <x v="6"/>
    <s v="COMPTE DE LIAISON DES ETABLISSEMENTS"/>
    <s v="OD"/>
    <n v="-778.8"/>
    <d v="2025-07-02T00:00:00"/>
    <s v="Liaison inter-établissement vers TO "/>
    <m/>
    <e v="#N/A"/>
    <e v="#N/A"/>
    <n v="81050"/>
    <m/>
    <s v="SPENDESK"/>
    <s v="Q3"/>
    <e v="#REF!"/>
    <e v="#REF!"/>
    <e v="#REF!"/>
  </r>
  <r>
    <s v="181000"/>
    <x v="6"/>
    <s v="COMPTE DE LIAISON DES ETABLISSEMENTS"/>
    <s v="OD"/>
    <n v="-778.8"/>
    <d v="2025-08-05T00:00:00"/>
    <s v="Liaison inter-établissement vers TO "/>
    <m/>
    <e v="#N/A"/>
    <e v="#N/A"/>
    <n v="83249"/>
    <m/>
    <s v="SPENDESK"/>
    <s v="Q3"/>
    <e v="#REF!"/>
    <e v="#REF!"/>
    <e v="#REF!"/>
  </r>
  <r>
    <s v="181000"/>
    <x v="6"/>
    <s v="COMPTE DE LIAISON DES ETABLISSEMENTS"/>
    <s v="OD"/>
    <n v="-778.8"/>
    <d v="2025-09-02T00:00:00"/>
    <s v="Liaison inter-établissement vers TO "/>
    <m/>
    <e v="#N/A"/>
    <e v="#N/A"/>
    <n v="83173"/>
    <m/>
    <s v="SPENDESK"/>
    <s v="Q3"/>
    <e v="#REF!"/>
    <e v="#REF!"/>
    <e v="#REF!"/>
  </r>
  <r>
    <s v="181000"/>
    <x v="6"/>
    <s v="COMPTE DE LIAISON DES ETABLISSEMENTS"/>
    <s v="OD"/>
    <n v="-778.8"/>
    <d v="2025-10-02T00:00:00"/>
    <s v="Liaison inter-établissement vers TO "/>
    <m/>
    <e v="#N/A"/>
    <e v="#N/A"/>
    <n v="89830"/>
    <m/>
    <s v="SPENDESK"/>
    <s v="Q4"/>
    <e v="#REF!"/>
    <e v="#REF!"/>
    <e v="#REF!"/>
  </r>
  <r>
    <s v="181000"/>
    <x v="6"/>
    <s v="COMPTE DE LIAISON DES ETABLISSEMENTS"/>
    <s v="OD"/>
    <n v="-778.8"/>
    <d v="2025-11-04T00:00:00"/>
    <s v="Liaison inter-établissement vers TO "/>
    <m/>
    <e v="#N/A"/>
    <e v="#N/A"/>
    <n v="91750"/>
    <m/>
    <s v="SPENDESK"/>
    <s v="Q4"/>
    <e v="#REF!"/>
    <e v="#REF!"/>
    <e v="#REF!"/>
  </r>
  <r>
    <s v="181000"/>
    <x v="6"/>
    <s v="COMPTE DE LIAISON DES ETABLISSEMENTS"/>
    <s v="OD"/>
    <n v="-778.8"/>
    <d v="2025-12-02T00:00:00"/>
    <s v="Liaison inter-établissement vers TO "/>
    <m/>
    <e v="#N/A"/>
    <e v="#N/A"/>
    <n v="94145"/>
    <m/>
    <s v="SPENDESK"/>
    <s v="Q4"/>
    <e v="#REF!"/>
    <e v="#REF!"/>
    <e v="#REF!"/>
  </r>
  <r>
    <s v="181000"/>
    <x v="6"/>
    <s v="COMPTE DE LIAISON DES ETABLISSEMENTS"/>
    <s v="OD"/>
    <n v="-769.28"/>
    <d v="2025-03-18T00:00:00"/>
    <s v="Liaison inter-établissement vers TO "/>
    <m/>
    <e v="#N/A"/>
    <e v="#N/A"/>
    <n v="64472"/>
    <m/>
    <s v="VWR AVANTOR"/>
    <s v="Q1"/>
    <e v="#REF!"/>
    <e v="#REF!"/>
    <e v="#REF!"/>
  </r>
  <r>
    <s v="181000"/>
    <x v="6"/>
    <s v="COMPTE DE LIAISON DES ETABLISSEMENTS"/>
    <s v="OD"/>
    <n v="-766.45"/>
    <d v="2025-01-20T00:00:00"/>
    <s v="Liaison inter-établissement vers TO "/>
    <m/>
    <e v="#N/A"/>
    <e v="#N/A"/>
    <n v="74228"/>
    <m/>
    <s v="Alain Pinchard"/>
    <s v="Q1"/>
    <e v="#REF!"/>
    <e v="#REF!"/>
    <e v="#REF!"/>
  </r>
  <r>
    <s v="181000"/>
    <x v="6"/>
    <s v="COMPTE DE LIAISON DES ETABLISSEMENTS"/>
    <s v="OD"/>
    <n v="-760.83"/>
    <d v="2025-02-06T00:00:00"/>
    <s v="Liaison inter-établissement vers TO "/>
    <m/>
    <e v="#N/A"/>
    <e v="#N/A"/>
    <n v="63932"/>
    <m/>
    <s v="VWR AVANTOR"/>
    <s v="Q1"/>
    <e v="#REF!"/>
    <e v="#REF!"/>
    <e v="#REF!"/>
  </r>
  <r>
    <s v="181000"/>
    <x v="6"/>
    <s v="COMPTE DE LIAISON DES ETABLISSEMENTS"/>
    <s v="OD"/>
    <n v="-760.57"/>
    <d v="2025-03-04T00:00:00"/>
    <s v="Liaison inter-établissement vers TO "/>
    <m/>
    <s v="Non"/>
    <e v="#N/A"/>
    <n v="71900"/>
    <m/>
    <s v="DIVERS"/>
    <s v="Q1"/>
    <e v="#REF!"/>
    <e v="#REF!"/>
    <e v="#REF!"/>
  </r>
  <r>
    <s v="181000"/>
    <x v="6"/>
    <s v="COMPTE DE LIAISON DES ETABLISSEMENTS"/>
    <s v="OD"/>
    <n v="-756"/>
    <d v="2025-07-01T00:00:00"/>
    <s v="Liaison inter-établissement vers TO "/>
    <m/>
    <e v="#N/A"/>
    <e v="#N/A"/>
    <n v="89501"/>
    <m/>
    <s v="ORANGE"/>
    <s v="Q3"/>
    <e v="#REF!"/>
    <e v="#REF!"/>
    <e v="#REF!"/>
  </r>
  <r>
    <s v="181000"/>
    <x v="6"/>
    <s v="COMPTE DE LIAISON DES ETABLISSEMENTS"/>
    <s v="OD"/>
    <n v="-752"/>
    <d v="2025-10-06T00:00:00"/>
    <s v="Liaison établissement 401000 ABELC KB"/>
    <m/>
    <e v="#N/A"/>
    <e v="#N/A"/>
    <n v="82895"/>
    <s v="ENTRETIEN MÉNAGER"/>
    <s v="ABEL CHRIST SOMPLEI"/>
    <s v="Q4"/>
    <e v="#REF!"/>
    <e v="#REF!"/>
    <e v="#REF!"/>
  </r>
  <r>
    <s v="181000"/>
    <x v="6"/>
    <s v="COMPTE DE LIAISON DES ETABLISSEMENTS"/>
    <s v="OD"/>
    <n v="-752"/>
    <d v="2025-11-28T00:00:00"/>
    <s v="Liaison établissement 401000 ABELC KB"/>
    <m/>
    <e v="#N/A"/>
    <e v="#N/A"/>
    <n v="91242"/>
    <s v="PILI-171125"/>
    <s v="ABEL CHRIST SOMPLEI"/>
    <s v="Q4"/>
    <e v="#REF!"/>
    <e v="#REF!"/>
    <e v="#REF!"/>
  </r>
  <r>
    <s v="181000"/>
    <x v="6"/>
    <s v="COMPTE DE LIAISON DES ETABLISSEMENTS"/>
    <s v="OD"/>
    <n v="-750.65"/>
    <d v="2025-12-23T00:00:00"/>
    <s v="Liaison inter-établissement vers TO "/>
    <m/>
    <e v="#N/A"/>
    <e v="#N/A"/>
    <n v="93579"/>
    <m/>
    <s v="Marie-Sarah Adenis"/>
    <s v="Q4"/>
    <e v="#REF!"/>
    <e v="#REF!"/>
    <e v="#REF!"/>
  </r>
  <r>
    <s v="181000"/>
    <x v="6"/>
    <s v="COMPTE DE LIAISON DES ETABLISSEMENTS"/>
    <s v="OD"/>
    <n v="-747.97"/>
    <d v="2025-01-23T00:00:00"/>
    <s v="Liaison inter-établissement vers TO "/>
    <m/>
    <s v="Non"/>
    <e v="#N/A"/>
    <n v="63714"/>
    <m/>
    <s v="DIVERS"/>
    <s v="Q1"/>
    <e v="#REF!"/>
    <e v="#REF!"/>
    <e v="#REF!"/>
  </r>
  <r>
    <s v="181000"/>
    <x v="6"/>
    <s v="COMPTE DE LIAISON DES ETABLISSEMENTS"/>
    <s v="OD"/>
    <n v="-739.98"/>
    <d v="2025-12-10T00:00:00"/>
    <s v="Liaison établissement 401000 FRANCECHIMIE RO"/>
    <m/>
    <s v="Non"/>
    <s v="Oui"/>
    <n v="92076"/>
    <s v="SD 106 - 072025"/>
    <s v="FRANCE CHIMIE"/>
    <s v="Q4"/>
    <e v="#REF!"/>
    <e v="#REF!"/>
    <e v="#REF!"/>
  </r>
  <r>
    <s v="181000"/>
    <x v="6"/>
    <s v="COMPTE DE LIAISON DES ETABLISSEMENTS"/>
    <s v="OD"/>
    <n v="-738"/>
    <d v="2025-01-01T00:00:00"/>
    <s v="Liaison inter-établissement"/>
    <m/>
    <e v="#N/A"/>
    <e v="#N/A"/>
    <n v="86746"/>
    <m/>
    <m/>
    <s v="Q1"/>
    <e v="#REF!"/>
    <e v="#REF!"/>
    <e v="#REF!"/>
  </r>
  <r>
    <s v="181000"/>
    <x v="6"/>
    <s v="COMPTE DE LIAISON DES ETABLISSEMENTS"/>
    <s v="OD"/>
    <n v="-736.02"/>
    <d v="2025-09-12T00:00:00"/>
    <s v="Liaison établissement 401000 FISHER RO"/>
    <m/>
    <e v="#N/A"/>
    <e v="#N/A"/>
    <n v="82001"/>
    <s v="BENZENE SULFONYLE CHLORURE POUR KEENY STEP 3"/>
    <s v="FISHER SCIENTIFIC"/>
    <s v="Q3"/>
    <e v="#REF!"/>
    <e v="#REF!"/>
    <e v="#REF!"/>
  </r>
  <r>
    <s v="181000"/>
    <x v="6"/>
    <s v="COMPTE DE LIAISON DES ETABLISSEMENTS"/>
    <s v="OD"/>
    <n v="-731.15"/>
    <d v="2025-02-18T00:00:00"/>
    <s v="Liaison inter-établissement vers TO "/>
    <m/>
    <e v="#N/A"/>
    <e v="#N/A"/>
    <n v="74232"/>
    <m/>
    <s v="Alain Pinchard"/>
    <s v="Q1"/>
    <e v="#REF!"/>
    <e v="#REF!"/>
    <e v="#REF!"/>
  </r>
  <r>
    <s v="181000"/>
    <x v="6"/>
    <s v="COMPTE DE LIAISON DES ETABLISSEMENTS"/>
    <s v="OD"/>
    <n v="-723.6"/>
    <d v="2025-12-30T00:00:00"/>
    <s v="Liaison établissement 401000 EIFFAGE ENERGIE SYSTEMES RO"/>
    <m/>
    <e v="#N/A"/>
    <e v="#N/A"/>
    <n v="93786"/>
    <s v="F00034250900145"/>
    <s v="EIFFAGE ENERGIE SYSTEMES"/>
    <s v="Q4"/>
    <e v="#REF!"/>
    <e v="#REF!"/>
    <e v="#REF!"/>
  </r>
  <r>
    <s v="181000"/>
    <x v="6"/>
    <s v="COMPTE DE LIAISON DES ETABLISSEMENTS"/>
    <s v="OD"/>
    <n v="-721"/>
    <d v="2025-04-25T00:00:00"/>
    <s v="Liaison inter-établissement vers TO "/>
    <m/>
    <e v="#N/A"/>
    <e v="#N/A"/>
    <n v="74784"/>
    <m/>
    <s v="SNCF"/>
    <s v="Q2"/>
    <e v="#REF!"/>
    <e v="#REF!"/>
    <e v="#REF!"/>
  </r>
  <r>
    <s v="181000"/>
    <x v="6"/>
    <s v="COMPTE DE LIAISON DES ETABLISSEMENTS"/>
    <s v="OD"/>
    <n v="-721"/>
    <d v="2025-06-16T00:00:00"/>
    <s v="Liaison établissement 401000 BIOTIKA RO"/>
    <s v="Non"/>
    <e v="#N/A"/>
    <e v="#N/A"/>
    <n v="76065"/>
    <s v="TRANSPORT COSTS"/>
    <s v="BIOTIKA"/>
    <s v="Q2"/>
    <e v="#REF!"/>
    <e v="#REF!"/>
    <e v="#REF!"/>
  </r>
  <r>
    <s v="181000"/>
    <x v="6"/>
    <s v="COMPTE DE LIAISON DES ETABLISSEMENTS"/>
    <s v="OD"/>
    <n v="-720"/>
    <d v="2025-04-07T00:00:00"/>
    <s v="Liaison inter-établissement vers TO "/>
    <m/>
    <e v="#N/A"/>
    <e v="#N/A"/>
    <n v="72913"/>
    <m/>
    <s v="EURECIA"/>
    <s v="Q2"/>
    <e v="#REF!"/>
    <e v="#REF!"/>
    <e v="#REF!"/>
  </r>
  <r>
    <s v="181000"/>
    <x v="6"/>
    <s v="COMPTE DE LIAISON DES ETABLISSEMENTS"/>
    <s v="OD"/>
    <n v="-716.7"/>
    <d v="2025-04-29T00:00:00"/>
    <s v="Liaison établissement 401000 METTLER RO"/>
    <m/>
    <e v="#N/A"/>
    <e v="#N/A"/>
    <n v="70466"/>
    <s v="Invocie Payment by Pili"/>
    <s v="METTLER TOLEDO"/>
    <s v="Q2"/>
    <e v="#REF!"/>
    <e v="#REF!"/>
    <e v="#REF!"/>
  </r>
  <r>
    <s v="181000"/>
    <x v="6"/>
    <s v="COMPTE DE LIAISON DES ETABLISSEMENTS"/>
    <s v="OD"/>
    <n v="-709.8"/>
    <d v="2025-05-07T00:00:00"/>
    <s v="Liaison établissement 401000 FOURE RO"/>
    <m/>
    <e v="#N/A"/>
    <e v="#N/A"/>
    <n v="71771"/>
    <s v="MODIFICATION BUTÉE MONORAIL RÉACTEUR INOX"/>
    <s v="FOURE LAGADEC"/>
    <s v="Q2"/>
    <e v="#REF!"/>
    <e v="#REF!"/>
    <e v="#REF!"/>
  </r>
  <r>
    <s v="181000"/>
    <x v="6"/>
    <s v="COMPTE DE LIAISON DES ETABLISSEMENTS"/>
    <s v="OD"/>
    <n v="-696.42"/>
    <d v="2025-03-12T00:00:00"/>
    <s v="Liaison inter-établissement vers TO "/>
    <m/>
    <s v="Non"/>
    <e v="#N/A"/>
    <n v="68107"/>
    <m/>
    <s v="DIVERS"/>
    <s v="Q1"/>
    <e v="#REF!"/>
    <e v="#REF!"/>
    <e v="#REF!"/>
  </r>
  <r>
    <s v="181000"/>
    <x v="6"/>
    <s v="COMPTE DE LIAISON DES ETABLISSEMENTS"/>
    <s v="OD"/>
    <n v="-690"/>
    <d v="2025-06-30T00:00:00"/>
    <s v="Liaison établissement 401000 BIOTIKA RO"/>
    <s v="Non"/>
    <e v="#N/A"/>
    <e v="#N/A"/>
    <n v="76861"/>
    <s v="TRANSPORT COST"/>
    <s v="BIOTIKA"/>
    <s v="Q2"/>
    <e v="#REF!"/>
    <e v="#REF!"/>
    <e v="#REF!"/>
  </r>
  <r>
    <s v="181000"/>
    <x v="6"/>
    <s v="COMPTE DE LIAISON DES ETABLISSEMENTS"/>
    <s v="OD"/>
    <n v="-664.8"/>
    <d v="2025-04-18T00:00:00"/>
    <s v="Liaison établissement 401000 GSF RO"/>
    <m/>
    <e v="#N/A"/>
    <e v="#N/A"/>
    <n v="68178"/>
    <s v="Invoice Payment by Pili"/>
    <s v="GSF"/>
    <s v="Q2"/>
    <e v="#REF!"/>
    <e v="#REF!"/>
    <e v="#REF!"/>
  </r>
  <r>
    <s v="181000"/>
    <x v="6"/>
    <s v="COMPTE DE LIAISON DES ETABLISSEMENTS"/>
    <s v="OD"/>
    <n v="-663.32"/>
    <d v="2025-02-11T00:00:00"/>
    <s v="Liaison inter-établissement vers TO "/>
    <m/>
    <e v="#N/A"/>
    <e v="#N/A"/>
    <n v="75843"/>
    <m/>
    <s v="Guillaume Boissonnat-Wu"/>
    <s v="Q1"/>
    <e v="#REF!"/>
    <e v="#REF!"/>
    <e v="#REF!"/>
  </r>
  <r>
    <s v="181000"/>
    <x v="6"/>
    <s v="COMPTE DE LIAISON DES ETABLISSEMENTS"/>
    <s v="OD"/>
    <n v="-661.69"/>
    <d v="2025-09-22T00:00:00"/>
    <s v="Liaison établissement 401000 THERMOELECTRON KB"/>
    <m/>
    <s v="Non"/>
    <e v="#N/A"/>
    <n v="82401"/>
    <s v="FILTRE DE PROTECTION POUR LA GC-MS (ARRIVÉ D'HÉLIUM + SORTIE DE LA POMPE)"/>
    <s v="THERMOELECTRON"/>
    <s v="Q3"/>
    <e v="#REF!"/>
    <e v="#REF!"/>
    <e v="#REF!"/>
  </r>
  <r>
    <s v="181000"/>
    <x v="6"/>
    <s v="COMPTE DE LIAISON DES ETABLISSEMENTS"/>
    <s v="OD"/>
    <n v="-661.11"/>
    <d v="2025-06-27T00:00:00"/>
    <s v="Liaison inter-établissement vers TO "/>
    <m/>
    <e v="#N/A"/>
    <e v="#N/A"/>
    <n v="76768"/>
    <m/>
    <s v="Marie-Sarah Adenis"/>
    <s v="Q2"/>
    <e v="#REF!"/>
    <e v="#REF!"/>
    <e v="#REF!"/>
  </r>
  <r>
    <s v="181000"/>
    <x v="6"/>
    <s v="COMPTE DE LIAISON DES ETABLISSEMENTS"/>
    <s v="OD"/>
    <n v="-660"/>
    <d v="2025-08-18T00:00:00"/>
    <s v="Liaison établissement 401000 COFICIEL RO"/>
    <m/>
    <e v="#N/A"/>
    <e v="#N/A"/>
    <n v="81147"/>
    <s v="F2506/0476"/>
    <s v="COFICIEL"/>
    <s v="Q3"/>
    <e v="#REF!"/>
    <e v="#REF!"/>
    <e v="#REF!"/>
  </r>
  <r>
    <s v="181000"/>
    <x v="6"/>
    <s v="COMPTE DE LIAISON DES ETABLISSEMENTS"/>
    <s v="OD"/>
    <n v="-660"/>
    <d v="2025-10-03T00:00:00"/>
    <s v="Liaison inter-établissement vers TO "/>
    <m/>
    <e v="#N/A"/>
    <e v="#N/A"/>
    <n v="89732"/>
    <m/>
    <s v="HOTELS"/>
    <s v="Q4"/>
    <e v="#REF!"/>
    <e v="#REF!"/>
    <e v="#REF!"/>
  </r>
  <r>
    <s v="181000"/>
    <x v="6"/>
    <s v="COMPTE DE LIAISON DES ETABLISSEMENTS"/>
    <s v="OD"/>
    <n v="-658"/>
    <d v="2025-01-07T00:00:00"/>
    <s v="Liaison inter-établissement vers TO "/>
    <m/>
    <e v="#N/A"/>
    <e v="#N/A"/>
    <n v="63478"/>
    <m/>
    <s v="ABEL CHRIST SOMPLEI"/>
    <s v="Q1"/>
    <e v="#REF!"/>
    <e v="#REF!"/>
    <e v="#REF!"/>
  </r>
  <r>
    <s v="181000"/>
    <x v="6"/>
    <s v="COMPTE DE LIAISON DES ETABLISSEMENTS"/>
    <s v="OD"/>
    <n v="-656.5"/>
    <d v="2025-07-17T00:00:00"/>
    <s v="Liaison inter-établissement vers TO "/>
    <m/>
    <e v="#N/A"/>
    <e v="#N/A"/>
    <n v="81350"/>
    <m/>
    <s v="BRENNTAG"/>
    <s v="Q3"/>
    <e v="#REF!"/>
    <e v="#REF!"/>
    <e v="#REF!"/>
  </r>
  <r>
    <s v="181000"/>
    <x v="6"/>
    <s v="COMPTE DE LIAISON DES ETABLISSEMENTS"/>
    <s v="OD"/>
    <n v="-655.09"/>
    <d v="2025-12-22T00:00:00"/>
    <s v="Liaison inter-établissement vers TO "/>
    <m/>
    <e v="#N/A"/>
    <e v="#N/A"/>
    <n v="93027"/>
    <m/>
    <s v="ROTH SOCHIEL"/>
    <s v="Q4"/>
    <e v="#REF!"/>
    <e v="#REF!"/>
    <e v="#REF!"/>
  </r>
  <r>
    <s v="181000"/>
    <x v="6"/>
    <s v="COMPTE DE LIAISON DES ETABLISSEMENTS"/>
    <s v="OD"/>
    <n v="-652.63"/>
    <d v="2025-10-06T00:00:00"/>
    <s v="Liaison établissement 401000 VWR KB"/>
    <m/>
    <e v="#N/A"/>
    <e v="#N/A"/>
    <n v="82910"/>
    <s v="PRODUITS KEENB"/>
    <s v="VWR AVANTOR"/>
    <s v="Q4"/>
    <e v="#REF!"/>
    <e v="#REF!"/>
    <e v="#REF!"/>
  </r>
  <r>
    <s v="181000"/>
    <x v="6"/>
    <s v="COMPTE DE LIAISON DES ETABLISSEMENTS"/>
    <s v="OD"/>
    <n v="-651.6"/>
    <d v="2025-03-18T00:00:00"/>
    <s v="Liaison inter-établissement vers TO "/>
    <m/>
    <e v="#N/A"/>
    <e v="#N/A"/>
    <n v="64388"/>
    <m/>
    <s v="3BCLIM"/>
    <s v="Q1"/>
    <e v="#REF!"/>
    <e v="#REF!"/>
    <e v="#REF!"/>
  </r>
  <r>
    <s v="181000"/>
    <x v="6"/>
    <s v="COMPTE DE LIAISON DES ETABLISSEMENTS"/>
    <s v="OD"/>
    <n v="-649"/>
    <d v="2025-04-29T00:00:00"/>
    <s v="Liaison inter-établissement vers TO "/>
    <m/>
    <e v="#N/A"/>
    <e v="#N/A"/>
    <n v="71409"/>
    <m/>
    <s v="ETAI"/>
    <s v="Q2"/>
    <e v="#REF!"/>
    <e v="#REF!"/>
    <e v="#REF!"/>
  </r>
  <r>
    <s v="181000"/>
    <x v="6"/>
    <s v="COMPTE DE LIAISON DES ETABLISSEMENTS"/>
    <s v="OD"/>
    <n v="-644.83000000000004"/>
    <d v="2025-01-09T00:00:00"/>
    <s v="Liaison inter-établissement vers TO "/>
    <m/>
    <e v="#N/A"/>
    <e v="#N/A"/>
    <n v="63694"/>
    <m/>
    <s v="DENIOS"/>
    <s v="Q1"/>
    <e v="#REF!"/>
    <e v="#REF!"/>
    <e v="#REF!"/>
  </r>
  <r>
    <s v="181000"/>
    <x v="6"/>
    <s v="COMPTE DE LIAISON DES ETABLISSEMENTS"/>
    <s v="OD"/>
    <n v="-644.52"/>
    <d v="2025-04-18T00:00:00"/>
    <s v="Liaison établissement 401000 EURISOTOP KB"/>
    <m/>
    <e v="#N/A"/>
    <e v="#N/A"/>
    <n v="68173"/>
    <s v="Invoice Payment by Pili"/>
    <s v="EURISOTOP"/>
    <s v="Q2"/>
    <e v="#REF!"/>
    <e v="#REF!"/>
    <e v="#REF!"/>
  </r>
  <r>
    <s v="181000"/>
    <x v="6"/>
    <s v="COMPTE DE LIAISON DES ETABLISSEMENTS"/>
    <s v="OD"/>
    <n v="-638"/>
    <d v="2025-04-29T00:00:00"/>
    <s v="Liaison établissement 401000 NURNBERG LY"/>
    <m/>
    <e v="#N/A"/>
    <e v="#N/A"/>
    <n v="70478"/>
    <s v="Invocie Payment by Pili"/>
    <s v="NURNBERG"/>
    <s v="Q2"/>
    <e v="#REF!"/>
    <e v="#REF!"/>
    <e v="#REF!"/>
  </r>
  <r>
    <s v="181000"/>
    <x v="6"/>
    <s v="COMPTE DE LIAISON DES ETABLISSEMENTS"/>
    <s v="OD"/>
    <n v="-637.20000000000005"/>
    <d v="2025-06-04T00:00:00"/>
    <s v="Liaison établissement 401000 CHAUM KB"/>
    <m/>
    <e v="#N/A"/>
    <e v="#N/A"/>
    <n v="75517"/>
    <s v="Invoice payment by Pili"/>
    <s v="GROUPE CHAUMEIL"/>
    <s v="Q2"/>
    <e v="#REF!"/>
    <e v="#REF!"/>
    <e v="#REF!"/>
  </r>
  <r>
    <s v="181000"/>
    <x v="6"/>
    <s v="COMPTE DE LIAISON DES ETABLISSEMENTS"/>
    <s v="OD"/>
    <n v="-631.20000000000005"/>
    <d v="2025-01-31T00:00:00"/>
    <s v="Liaison inter-établissement vers TO "/>
    <s v="Non"/>
    <s v="Non"/>
    <e v="#N/A"/>
    <n v="63782"/>
    <m/>
    <s v="OSIRIS"/>
    <s v="Q1"/>
    <e v="#REF!"/>
    <e v="#REF!"/>
    <e v="#REF!"/>
  </r>
  <r>
    <s v="181000"/>
    <x v="6"/>
    <s v="COMPTE DE LIAISON DES ETABLISSEMENTS"/>
    <s v="OD"/>
    <n v="-623.4"/>
    <d v="2025-04-29T00:00:00"/>
    <s v="Liaison établissement 401000 BECKER KB"/>
    <s v="Non"/>
    <s v="Oui"/>
    <e v="#N/A"/>
    <n v="70473"/>
    <s v="Invocie Payment by Pili"/>
    <s v="BECKER"/>
    <s v="Q2"/>
    <e v="#REF!"/>
    <e v="#REF!"/>
    <e v="#REF!"/>
  </r>
  <r>
    <s v="181000"/>
    <x v="6"/>
    <s v="COMPTE DE LIAISON DES ETABLISSEMENTS"/>
    <s v="OD"/>
    <n v="-615"/>
    <d v="2025-08-21T00:00:00"/>
    <s v="Liaison établissement 401000 BECKER KB"/>
    <s v="Non"/>
    <s v="Oui"/>
    <e v="#N/A"/>
    <n v="81401"/>
    <s v="RAPPORT DE RECHERCHE - BREVET PALOMA CHIMIE"/>
    <s v="BECKER"/>
    <s v="Q3"/>
    <e v="#REF!"/>
    <e v="#REF!"/>
    <e v="#REF!"/>
  </r>
  <r>
    <s v="181000"/>
    <x v="6"/>
    <s v="COMPTE DE LIAISON DES ETABLISSEMENTS"/>
    <s v="OD"/>
    <n v="-614.4"/>
    <d v="2025-02-08T00:00:00"/>
    <s v="Liaison inter-établissement vers TO "/>
    <m/>
    <e v="#N/A"/>
    <e v="#N/A"/>
    <n v="64252"/>
    <m/>
    <s v="ARCANE INDUSTRIE"/>
    <s v="Q1"/>
    <e v="#REF!"/>
    <e v="#REF!"/>
    <e v="#REF!"/>
  </r>
  <r>
    <s v="181000"/>
    <x v="6"/>
    <s v="COMPTE DE LIAISON DES ETABLISSEMENTS"/>
    <s v="OD"/>
    <n v="-609.24"/>
    <d v="2025-09-22T00:00:00"/>
    <s v="Liaison établissement 401000 ACRITEC RO"/>
    <m/>
    <e v="#N/A"/>
    <e v="#N/A"/>
    <n v="82412"/>
    <s v="CONTRÔLE ANNUEL ÉLECTRIQUE + VGP GERBEUR ÉLECTRIQUE"/>
    <s v="ACRITEC"/>
    <s v="Q3"/>
    <e v="#REF!"/>
    <e v="#REF!"/>
    <e v="#REF!"/>
  </r>
  <r>
    <s v="181000"/>
    <x v="6"/>
    <s v="COMPTE DE LIAISON DES ETABLISSEMENTS"/>
    <s v="OD"/>
    <n v="-608.58000000000004"/>
    <d v="2025-01-31T00:00:00"/>
    <s v="Liaison inter-établissement vers TO "/>
    <m/>
    <e v="#N/A"/>
    <e v="#N/A"/>
    <n v="89853"/>
    <m/>
    <s v="AIR LIQUIDE"/>
    <s v="Q1"/>
    <e v="#REF!"/>
    <e v="#REF!"/>
    <e v="#REF!"/>
  </r>
  <r>
    <s v="181000"/>
    <x v="6"/>
    <s v="COMPTE DE LIAISON DES ETABLISSEMENTS"/>
    <s v="OD"/>
    <n v="-607.51"/>
    <d v="2025-03-18T00:00:00"/>
    <s v="Liaison inter-établissement vers TO "/>
    <m/>
    <e v="#N/A"/>
    <e v="#N/A"/>
    <n v="64480"/>
    <m/>
    <s v="VWR AVANTOR"/>
    <s v="Q1"/>
    <e v="#REF!"/>
    <e v="#REF!"/>
    <e v="#REF!"/>
  </r>
  <r>
    <s v="181000"/>
    <x v="6"/>
    <s v="COMPTE DE LIAISON DES ETABLISSEMENTS"/>
    <s v="OD"/>
    <n v="-603.70000000000005"/>
    <d v="2025-02-18T00:00:00"/>
    <s v="Liaison inter-établissement vers TO "/>
    <m/>
    <e v="#N/A"/>
    <e v="#N/A"/>
    <n v="75863"/>
    <m/>
    <s v="Kevin Cottet"/>
    <s v="Q1"/>
    <e v="#REF!"/>
    <e v="#REF!"/>
    <e v="#REF!"/>
  </r>
  <r>
    <s v="181000"/>
    <x v="6"/>
    <s v="COMPTE DE LIAISON DES ETABLISSEMENTS"/>
    <s v="OD"/>
    <n v="-600"/>
    <d v="2025-01-27T00:00:00"/>
    <s v="Liaison inter-établissement vers TO "/>
    <m/>
    <e v="#N/A"/>
    <e v="#N/A"/>
    <n v="73874"/>
    <m/>
    <s v="Jérémie Blache"/>
    <s v="Q1"/>
    <e v="#REF!"/>
    <e v="#REF!"/>
    <e v="#REF!"/>
  </r>
  <r>
    <s v="181000"/>
    <x v="6"/>
    <s v="COMPTE DE LIAISON DES ETABLISSEMENTS"/>
    <s v="OD"/>
    <n v="-600"/>
    <d v="2025-02-11T00:00:00"/>
    <s v="Liaison inter-établissement vers TO "/>
    <m/>
    <e v="#N/A"/>
    <e v="#N/A"/>
    <n v="76683"/>
    <m/>
    <s v="Jérémie Blache"/>
    <s v="Q1"/>
    <e v="#REF!"/>
    <e v="#REF!"/>
    <e v="#REF!"/>
  </r>
  <r>
    <s v="181000"/>
    <x v="6"/>
    <s v="COMPTE DE LIAISON DES ETABLISSEMENTS"/>
    <s v="OD"/>
    <n v="-600"/>
    <d v="2025-03-10T00:00:00"/>
    <s v="Liaison inter-établissement vers TO "/>
    <m/>
    <e v="#N/A"/>
    <e v="#N/A"/>
    <n v="76687"/>
    <m/>
    <s v="Jérémie Blache"/>
    <s v="Q1"/>
    <e v="#REF!"/>
    <e v="#REF!"/>
    <e v="#REF!"/>
  </r>
  <r>
    <s v="181000"/>
    <x v="6"/>
    <s v="COMPTE DE LIAISON DES ETABLISSEMENTS"/>
    <s v="OD"/>
    <n v="-600"/>
    <d v="2025-06-24T00:00:00"/>
    <s v="Liaison inter-établissement vers TO "/>
    <m/>
    <e v="#N/A"/>
    <e v="#N/A"/>
    <n v="76679"/>
    <m/>
    <s v="Jérémie Blache"/>
    <s v="Q2"/>
    <e v="#REF!"/>
    <e v="#REF!"/>
    <e v="#REF!"/>
  </r>
  <r>
    <s v="181000"/>
    <x v="6"/>
    <s v="COMPTE DE LIAISON DES ETABLISSEMENTS"/>
    <s v="OD"/>
    <n v="-600"/>
    <d v="2025-08-08T00:00:00"/>
    <s v="Liaison établissement 401000 ALTAIR KB"/>
    <s v="Non"/>
    <s v="Non"/>
    <e v="#N/A"/>
    <n v="80781"/>
    <s v="HONORAIRE FORFAITAIRE ATTENDANCE TO THE BOARD 13/05/2025"/>
    <s v="ALTAIR AVOCATS"/>
    <s v="Q3"/>
    <e v="#REF!"/>
    <e v="#REF!"/>
    <e v="#REF!"/>
  </r>
  <r>
    <s v="181000"/>
    <x v="6"/>
    <s v="COMPTE DE LIAISON DES ETABLISSEMENTS"/>
    <s v="OD"/>
    <n v="-600"/>
    <d v="2025-08-18T00:00:00"/>
    <s v="Liaison établissement 401000 SOCIETE CHIMIQUE DE FRANCE KB"/>
    <m/>
    <s v="Non"/>
    <e v="#N/A"/>
    <n v="81152"/>
    <s v="ADHÉSION SFC"/>
    <s v="SOCIETE CHIMIQUE DE FRANCE"/>
    <s v="Q3"/>
    <e v="#REF!"/>
    <e v="#REF!"/>
    <e v="#REF!"/>
  </r>
  <r>
    <s v="181000"/>
    <x v="6"/>
    <s v="COMPTE DE LIAISON DES ETABLISSEMENTS"/>
    <s v="OD"/>
    <n v="-600"/>
    <d v="2025-08-21T00:00:00"/>
    <s v="Liaison établissement 401000 ALTAIR KB"/>
    <s v="Non"/>
    <s v="Non"/>
    <e v="#N/A"/>
    <n v="81371"/>
    <s v="HONORAIRE FORFAITAIRE ATTENDANCE TO THE BOARD 10/06/2025"/>
    <s v="ALTAIR AVOCATS"/>
    <s v="Q3"/>
    <e v="#REF!"/>
    <e v="#REF!"/>
    <e v="#REF!"/>
  </r>
  <r>
    <s v="181000"/>
    <x v="6"/>
    <s v="COMPTE DE LIAISON DES ETABLISSEMENTS"/>
    <s v="OD"/>
    <n v="-599.85"/>
    <d v="2025-11-24T00:00:00"/>
    <s v="Liaison inter-établissement vers TO "/>
    <m/>
    <e v="#N/A"/>
    <e v="#N/A"/>
    <n v="91024"/>
    <m/>
    <s v="Pierre-Yves Bolle"/>
    <s v="Q4"/>
    <e v="#REF!"/>
    <e v="#REF!"/>
    <e v="#REF!"/>
  </r>
  <r>
    <s v="181000"/>
    <x v="6"/>
    <s v="COMPTE DE LIAISON DES ETABLISSEMENTS"/>
    <s v="OD"/>
    <n v="-597.6"/>
    <d v="2025-09-16T00:00:00"/>
    <s v="Liaison inter-établissement vers TO "/>
    <m/>
    <e v="#N/A"/>
    <e v="#N/A"/>
    <n v="83245"/>
    <m/>
    <s v="ARCANE INDUSTRIE"/>
    <s v="Q3"/>
    <e v="#REF!"/>
    <e v="#REF!"/>
    <e v="#REF!"/>
  </r>
  <r>
    <s v="181000"/>
    <x v="6"/>
    <s v="COMPTE DE LIAISON DES ETABLISSEMENTS"/>
    <s v="OD"/>
    <n v="-594"/>
    <d v="2025-03-31T00:00:00"/>
    <s v="Liaison inter-établissement"/>
    <m/>
    <e v="#N/A"/>
    <e v="#N/A"/>
    <n v="70258"/>
    <m/>
    <m/>
    <s v="Q1"/>
    <e v="#REF!"/>
    <e v="#REF!"/>
    <e v="#REF!"/>
  </r>
  <r>
    <s v="181000"/>
    <x v="6"/>
    <s v="COMPTE DE LIAISON DES ETABLISSEMENTS"/>
    <s v="OD"/>
    <n v="-594"/>
    <d v="2025-04-08T00:00:00"/>
    <s v="Liaison inter-établissement vers TO "/>
    <m/>
    <s v="Non"/>
    <e v="#N/A"/>
    <n v="68063"/>
    <m/>
    <s v="AXE GESCOM"/>
    <s v="Q2"/>
    <e v="#REF!"/>
    <e v="#REF!"/>
    <e v="#REF!"/>
  </r>
  <r>
    <s v="181000"/>
    <x v="6"/>
    <s v="COMPTE DE LIAISON DES ETABLISSEMENTS"/>
    <s v="OD"/>
    <n v="-594"/>
    <d v="2025-04-08T00:00:00"/>
    <s v="Liaison inter-établissement vers TO "/>
    <m/>
    <s v="Non"/>
    <e v="#N/A"/>
    <n v="68067"/>
    <m/>
    <s v="AXE GESCOM"/>
    <s v="Q2"/>
    <e v="#REF!"/>
    <e v="#REF!"/>
    <e v="#REF!"/>
  </r>
  <r>
    <s v="181000"/>
    <x v="6"/>
    <s v="COMPTE DE LIAISON DES ETABLISSEMENTS"/>
    <s v="OD"/>
    <n v="-585.01"/>
    <d v="2025-08-18T00:00:00"/>
    <s v="Liaison établissement 401000 ALTAIR KB"/>
    <s v="Non"/>
    <s v="Non"/>
    <e v="#N/A"/>
    <n v="81137"/>
    <s v="HOTLINE"/>
    <s v="ALTAIR AVOCATS"/>
    <s v="Q3"/>
    <e v="#REF!"/>
    <e v="#REF!"/>
    <e v="#REF!"/>
  </r>
  <r>
    <s v="181000"/>
    <x v="6"/>
    <s v="COMPTE DE LIAISON DES ETABLISSEMENTS"/>
    <s v="OD"/>
    <n v="-582"/>
    <d v="2025-01-01T00:00:00"/>
    <s v="Liaison inter-établissement"/>
    <m/>
    <e v="#N/A"/>
    <e v="#N/A"/>
    <n v="74074"/>
    <m/>
    <s v="BROSSIER TRANSPORTS"/>
    <s v="Q1"/>
    <e v="#REF!"/>
    <e v="#REF!"/>
    <e v="#REF!"/>
  </r>
  <r>
    <s v="181000"/>
    <x v="6"/>
    <s v="COMPTE DE LIAISON DES ETABLISSEMENTS"/>
    <s v="OD"/>
    <n v="-581.4"/>
    <d v="2025-03-14T00:00:00"/>
    <s v="Liaison inter-établissement vers TO "/>
    <m/>
    <e v="#N/A"/>
    <e v="#N/A"/>
    <n v="75859"/>
    <m/>
    <s v="Kevin Cottet"/>
    <s v="Q1"/>
    <e v="#REF!"/>
    <e v="#REF!"/>
    <e v="#REF!"/>
  </r>
  <r>
    <s v="181000"/>
    <x v="6"/>
    <s v="COMPTE DE LIAISON DES ETABLISSEMENTS"/>
    <s v="OD"/>
    <n v="-579.08000000000004"/>
    <d v="2025-04-09T00:00:00"/>
    <s v="Liaison inter-établissement vers TO "/>
    <m/>
    <e v="#N/A"/>
    <e v="#N/A"/>
    <n v="74824"/>
    <m/>
    <s v="MANUTAN"/>
    <s v="Q2"/>
    <e v="#REF!"/>
    <e v="#REF!"/>
    <e v="#REF!"/>
  </r>
  <r>
    <s v="181000"/>
    <x v="6"/>
    <s v="COMPTE DE LIAISON DES ETABLISSEMENTS"/>
    <s v="OD"/>
    <n v="-577.20000000000005"/>
    <d v="2025-06-27T00:00:00"/>
    <s v="Liaison inter-établissement vers TO "/>
    <m/>
    <e v="#N/A"/>
    <e v="#N/A"/>
    <n v="76719"/>
    <m/>
    <s v="Kevin Cottet"/>
    <s v="Q2"/>
    <e v="#REF!"/>
    <e v="#REF!"/>
    <e v="#REF!"/>
  </r>
  <r>
    <s v="181000"/>
    <x v="6"/>
    <s v="COMPTE DE LIAISON DES ETABLISSEMENTS"/>
    <s v="OD"/>
    <n v="-576.4"/>
    <d v="2025-02-05T00:00:00"/>
    <s v="Liaison inter-établissement vers TO "/>
    <m/>
    <e v="#N/A"/>
    <e v="#N/A"/>
    <n v="74236"/>
    <m/>
    <s v="Alain Pinchard"/>
    <s v="Q1"/>
    <e v="#REF!"/>
    <e v="#REF!"/>
    <e v="#REF!"/>
  </r>
  <r>
    <s v="181000"/>
    <x v="6"/>
    <s v="COMPTE DE LIAISON DES ETABLISSEMENTS"/>
    <s v="OD"/>
    <n v="-576"/>
    <d v="2025-01-30T00:00:00"/>
    <s v="Liaison inter-établissement vers TO "/>
    <m/>
    <e v="#N/A"/>
    <e v="#N/A"/>
    <n v="63566"/>
    <m/>
    <s v="BIOKAL"/>
    <s v="Q1"/>
    <e v="#REF!"/>
    <e v="#REF!"/>
    <e v="#REF!"/>
  </r>
  <r>
    <s v="181000"/>
    <x v="6"/>
    <s v="COMPTE DE LIAISON DES ETABLISSEMENTS"/>
    <s v="OD"/>
    <n v="-575.9"/>
    <d v="2025-12-23T00:00:00"/>
    <s v="Liaison inter-établissement vers TO "/>
    <m/>
    <e v="#N/A"/>
    <e v="#N/A"/>
    <n v="93587"/>
    <m/>
    <s v="Kevin Cottet"/>
    <s v="Q4"/>
    <e v="#REF!"/>
    <e v="#REF!"/>
    <e v="#REF!"/>
  </r>
  <r>
    <s v="181000"/>
    <x v="6"/>
    <s v="COMPTE DE LIAISON DES ETABLISSEMENTS"/>
    <s v="OD"/>
    <n v="-570.53"/>
    <d v="2025-04-29T00:00:00"/>
    <s v="Liaison inter-établissement vers TO "/>
    <m/>
    <e v="#N/A"/>
    <e v="#N/A"/>
    <n v="74566"/>
    <m/>
    <s v="Marie Rézeau"/>
    <s v="Q2"/>
    <e v="#REF!"/>
    <e v="#REF!"/>
    <e v="#REF!"/>
  </r>
  <r>
    <s v="181000"/>
    <x v="6"/>
    <s v="COMPTE DE LIAISON DES ETABLISSEMENTS"/>
    <s v="OD"/>
    <n v="-570"/>
    <d v="2025-04-08T00:00:00"/>
    <s v="Liaison inter-établissement vers TO "/>
    <s v="Non"/>
    <s v="Non"/>
    <e v="#N/A"/>
    <n v="71669"/>
    <m/>
    <s v="TESSIER PAUL"/>
    <s v="Q2"/>
    <e v="#REF!"/>
    <e v="#REF!"/>
    <e v="#REF!"/>
  </r>
  <r>
    <s v="181000"/>
    <x v="6"/>
    <s v="COMPTE DE LIAISON DES ETABLISSEMENTS"/>
    <s v="OD"/>
    <n v="-569.46"/>
    <d v="2025-04-30T00:00:00"/>
    <s v="Liaison inter-établissement vers TO "/>
    <m/>
    <e v="#N/A"/>
    <e v="#N/A"/>
    <n v="87139"/>
    <m/>
    <s v="AIR LIQUIDE"/>
    <s v="Q2"/>
    <e v="#REF!"/>
    <e v="#REF!"/>
    <e v="#REF!"/>
  </r>
  <r>
    <s v="181000"/>
    <x v="6"/>
    <s v="COMPTE DE LIAISON DES ETABLISSEMENTS"/>
    <s v="OD"/>
    <n v="-568.70000000000005"/>
    <d v="2025-01-16T00:00:00"/>
    <s v="Liaison inter-établissement vers TO "/>
    <m/>
    <s v="Non"/>
    <e v="#N/A"/>
    <n v="63710"/>
    <m/>
    <s v="DIVERS"/>
    <s v="Q1"/>
    <e v="#REF!"/>
    <e v="#REF!"/>
    <e v="#REF!"/>
  </r>
  <r>
    <s v="181000"/>
    <x v="6"/>
    <s v="COMPTE DE LIAISON DES ETABLISSEMENTS"/>
    <s v="OD"/>
    <n v="-566.26"/>
    <d v="2025-11-27T00:00:00"/>
    <s v="Liaison inter-établissement vers TO "/>
    <m/>
    <e v="#N/A"/>
    <e v="#N/A"/>
    <n v="94049"/>
    <m/>
    <s v="AIRBNB"/>
    <s v="Q4"/>
    <e v="#REF!"/>
    <e v="#REF!"/>
    <e v="#REF!"/>
  </r>
  <r>
    <s v="181000"/>
    <x v="6"/>
    <s v="COMPTE DE LIAISON DES ETABLISSEMENTS"/>
    <s v="OD"/>
    <n v="-564"/>
    <d v="2025-08-22T00:00:00"/>
    <s v="Liaison établissement 401000 ABELC KB"/>
    <m/>
    <e v="#N/A"/>
    <e v="#N/A"/>
    <n v="81566"/>
    <s v="ENTRETIEN MÉNAGER"/>
    <s v="ABEL CHRIST SOMPLEI"/>
    <s v="Q3"/>
    <e v="#REF!"/>
    <e v="#REF!"/>
    <e v="#REF!"/>
  </r>
  <r>
    <s v="181000"/>
    <x v="6"/>
    <s v="COMPTE DE LIAISON DES ETABLISSEMENTS"/>
    <s v="OD"/>
    <n v="-563.88"/>
    <d v="2025-06-28T00:00:00"/>
    <s v="Liaison inter-établissement vers TO "/>
    <m/>
    <e v="#N/A"/>
    <e v="#N/A"/>
    <n v="78268"/>
    <m/>
    <s v="ARCANE INDUSTRIE"/>
    <s v="Q2"/>
    <e v="#REF!"/>
    <e v="#REF!"/>
    <e v="#REF!"/>
  </r>
  <r>
    <s v="181000"/>
    <x v="6"/>
    <s v="COMPTE DE LIAISON DES ETABLISSEMENTS"/>
    <s v="OD"/>
    <n v="-563.17999999999995"/>
    <d v="2025-05-07T00:00:00"/>
    <s v="Liaison établissement 401000 VWR KB"/>
    <m/>
    <e v="#N/A"/>
    <e v="#N/A"/>
    <n v="71826"/>
    <s v="COMMANDE PRODUIT ET CONSOMMABLE LABO"/>
    <s v="VWR AVANTOR"/>
    <s v="Q2"/>
    <e v="#REF!"/>
    <e v="#REF!"/>
    <e v="#REF!"/>
  </r>
  <r>
    <s v="181000"/>
    <x v="6"/>
    <s v="COMPTE DE LIAISON DES ETABLISSEMENTS"/>
    <s v="OD"/>
    <n v="-562.30999999999995"/>
    <d v="2025-05-05T00:00:00"/>
    <s v="Liaison inter-établissement vers KB "/>
    <s v="Non"/>
    <s v="Non"/>
    <e v="#N/A"/>
    <n v="77456"/>
    <m/>
    <s v="BUSINOVE"/>
    <s v="Q2"/>
    <e v="#REF!"/>
    <e v="#REF!"/>
    <e v="#REF!"/>
  </r>
  <r>
    <s v="181000"/>
    <x v="6"/>
    <s v="COMPTE DE LIAISON DES ETABLISSEMENTS"/>
    <s v="OD"/>
    <n v="-561.89"/>
    <d v="2025-02-22T00:00:00"/>
    <s v="Liaison inter-établissement vers TO "/>
    <m/>
    <e v="#N/A"/>
    <e v="#N/A"/>
    <n v="70037"/>
    <m/>
    <s v="MANUTAN"/>
    <s v="Q1"/>
    <e v="#REF!"/>
    <e v="#REF!"/>
    <e v="#REF!"/>
  </r>
  <r>
    <s v="181000"/>
    <x v="6"/>
    <s v="COMPTE DE LIAISON DES ETABLISSEMENTS"/>
    <s v="OD"/>
    <n v="-556.52"/>
    <d v="2025-11-24T00:00:00"/>
    <s v="Liaison inter-établissement vers TO "/>
    <m/>
    <e v="#N/A"/>
    <e v="#N/A"/>
    <n v="91008"/>
    <m/>
    <s v="Marie-Sarah Adenis"/>
    <s v="Q4"/>
    <e v="#REF!"/>
    <e v="#REF!"/>
    <e v="#REF!"/>
  </r>
  <r>
    <s v="181000"/>
    <x v="6"/>
    <s v="COMPTE DE LIAISON DES ETABLISSEMENTS"/>
    <s v="OD"/>
    <n v="-544.78"/>
    <d v="2025-01-01T00:00:00"/>
    <s v="Liaison inter-établissement"/>
    <m/>
    <e v="#N/A"/>
    <e v="#N/A"/>
    <n v="79049"/>
    <m/>
    <m/>
    <s v="Q1"/>
    <e v="#REF!"/>
    <e v="#REF!"/>
    <e v="#REF!"/>
  </r>
  <r>
    <s v="181000"/>
    <x v="6"/>
    <s v="COMPTE DE LIAISON DES ETABLISSEMENTS"/>
    <s v="OD"/>
    <n v="-544.78"/>
    <d v="2025-01-01T00:00:00"/>
    <s v="Liaison inter-établissement vers RO "/>
    <m/>
    <e v="#N/A"/>
    <e v="#N/A"/>
    <n v="90199"/>
    <m/>
    <m/>
    <s v="Q1"/>
    <e v="#REF!"/>
    <e v="#REF!"/>
    <e v="#REF!"/>
  </r>
  <r>
    <s v="181000"/>
    <x v="6"/>
    <s v="COMPTE DE LIAISON DES ETABLISSEMENTS"/>
    <s v="OD"/>
    <n v="-543"/>
    <d v="2025-11-06T00:00:00"/>
    <s v="Liaison inter-établissement vers TO "/>
    <m/>
    <e v="#N/A"/>
    <e v="#N/A"/>
    <n v="91694"/>
    <m/>
    <s v="SNCF"/>
    <s v="Q4"/>
    <e v="#REF!"/>
    <e v="#REF!"/>
    <e v="#REF!"/>
  </r>
  <r>
    <s v="181000"/>
    <x v="6"/>
    <s v="COMPTE DE LIAISON DES ETABLISSEMENTS"/>
    <s v="OD"/>
    <n v="-540"/>
    <d v="2025-08-21T00:00:00"/>
    <s v="Liaison établissement 401000 AFTPVA LY"/>
    <m/>
    <e v="#N/A"/>
    <e v="#N/A"/>
    <n v="81475"/>
    <s v="FACTURE CONFÉRENCE PYB AFTPVA"/>
    <s v="AFTPVA"/>
    <s v="Q3"/>
    <e v="#REF!"/>
    <e v="#REF!"/>
    <e v="#REF!"/>
  </r>
  <r>
    <s v="181000"/>
    <x v="6"/>
    <s v="COMPTE DE LIAISON DES ETABLISSEMENTS"/>
    <s v="OD"/>
    <n v="-539.29"/>
    <d v="2025-06-30T00:00:00"/>
    <s v="Liaison inter-établissement"/>
    <m/>
    <e v="#N/A"/>
    <e v="#N/A"/>
    <n v="78680"/>
    <m/>
    <m/>
    <s v="Q2"/>
    <e v="#REF!"/>
    <e v="#REF!"/>
    <e v="#REF!"/>
  </r>
  <r>
    <s v="181000"/>
    <x v="6"/>
    <s v="COMPTE DE LIAISON DES ETABLISSEMENTS"/>
    <s v="OD"/>
    <n v="-534"/>
    <d v="2025-12-10T00:00:00"/>
    <s v="Liaison établissement 401000 CHAUM KB"/>
    <m/>
    <e v="#N/A"/>
    <e v="#N/A"/>
    <n v="92028"/>
    <s v="FL260970"/>
    <s v="GROUPE CHAUMEIL"/>
    <s v="Q4"/>
    <e v="#REF!"/>
    <e v="#REF!"/>
    <e v="#REF!"/>
  </r>
  <r>
    <s v="181000"/>
    <x v="6"/>
    <s v="COMPTE DE LIAISON DES ETABLISSEMENTS"/>
    <s v="OD"/>
    <n v="-530.46"/>
    <d v="2025-05-26T00:00:00"/>
    <s v="Liaison inter-établissement vers TO "/>
    <m/>
    <e v="#N/A"/>
    <e v="#N/A"/>
    <n v="74264"/>
    <m/>
    <s v="ORANGE"/>
    <s v="Q2"/>
    <e v="#REF!"/>
    <e v="#REF!"/>
    <e v="#REF!"/>
  </r>
  <r>
    <s v="181000"/>
    <x v="6"/>
    <s v="COMPTE DE LIAISON DES ETABLISSEMENTS"/>
    <s v="OD"/>
    <n v="-529.91999999999996"/>
    <d v="2025-06-27T00:00:00"/>
    <s v="Liaison inter-établissement vers TO "/>
    <m/>
    <e v="#N/A"/>
    <e v="#N/A"/>
    <n v="76772"/>
    <m/>
    <s v="Yves Combret"/>
    <s v="Q2"/>
    <e v="#REF!"/>
    <e v="#REF!"/>
    <e v="#REF!"/>
  </r>
  <r>
    <s v="181000"/>
    <x v="6"/>
    <s v="COMPTE DE LIAISON DES ETABLISSEMENTS"/>
    <s v="OD"/>
    <n v="-529.20000000000005"/>
    <d v="2025-08-08T00:00:00"/>
    <s v="Liaison établissement 401000 VWR KB"/>
    <m/>
    <e v="#N/A"/>
    <e v="#N/A"/>
    <n v="80765"/>
    <s v="COMMANDE PRODUIT LABO"/>
    <s v="VWR AVANTOR"/>
    <s v="Q3"/>
    <e v="#REF!"/>
    <e v="#REF!"/>
    <e v="#REF!"/>
  </r>
  <r>
    <s v="181000"/>
    <x v="6"/>
    <s v="COMPTE DE LIAISON DES ETABLISSEMENTS"/>
    <s v="OD"/>
    <n v="-525"/>
    <d v="2025-10-31T00:00:00"/>
    <s v="Liaison établissement 401000 BECKER KB"/>
    <s v="Non"/>
    <s v="Oui"/>
    <e v="#N/A"/>
    <n v="87503"/>
    <s v="ETUDE RAPPORT DE RECHERCHE OEB"/>
    <s v="BECKER"/>
    <s v="Q4"/>
    <e v="#REF!"/>
    <e v="#REF!"/>
    <e v="#REF!"/>
  </r>
  <r>
    <s v="181000"/>
    <x v="6"/>
    <s v="COMPTE DE LIAISON DES ETABLISSEMENTS"/>
    <s v="OD"/>
    <n v="-523.20000000000005"/>
    <d v="2025-09-12T00:00:00"/>
    <s v="Liaison établissement 401000 SIGMA RO"/>
    <m/>
    <e v="#N/A"/>
    <e v="#N/A"/>
    <n v="82021"/>
    <s v="HYDROXYLAMINE SULFATE POUR KEENY STEP 2"/>
    <s v="Sigma-Aldrich chimie"/>
    <s v="Q3"/>
    <e v="#REF!"/>
    <e v="#REF!"/>
    <e v="#REF!"/>
  </r>
  <r>
    <s v="181000"/>
    <x v="6"/>
    <s v="COMPTE DE LIAISON DES ETABLISSEMENTS"/>
    <s v="OD"/>
    <n v="-516"/>
    <d v="2025-05-23T00:00:00"/>
    <s v="Liaison établissement 401000 OSIRIS RO"/>
    <s v="Non"/>
    <s v="Non"/>
    <e v="#N/A"/>
    <n v="74052"/>
    <s v="Invoice payment by Pili"/>
    <s v="OSIRIS"/>
    <s v="Q2"/>
    <e v="#REF!"/>
    <e v="#REF!"/>
    <e v="#REF!"/>
  </r>
  <r>
    <s v="181000"/>
    <x v="6"/>
    <s v="COMPTE DE LIAISON DES ETABLISSEMENTS"/>
    <s v="OD"/>
    <n v="-515.69000000000005"/>
    <d v="2025-03-28T00:00:00"/>
    <s v="Liaison établissement 401000 ROTH RO"/>
    <m/>
    <e v="#N/A"/>
    <e v="#N/A"/>
    <n v="64993"/>
    <s v="Invoice Payment by Pili"/>
    <s v="ROTH SOCHIEL"/>
    <s v="Q1"/>
    <e v="#REF!"/>
    <e v="#REF!"/>
    <e v="#REF!"/>
  </r>
  <r>
    <s v="181000"/>
    <x v="6"/>
    <s v="COMPTE DE LIAISON DES ETABLISSEMENTS"/>
    <s v="OD"/>
    <n v="-514.08000000000004"/>
    <d v="2025-09-29T00:00:00"/>
    <s v="Liaison inter-établissement vers TO "/>
    <m/>
    <e v="#N/A"/>
    <e v="#N/A"/>
    <n v="82671"/>
    <m/>
    <s v="ORANGE"/>
    <s v="Q3"/>
    <e v="#REF!"/>
    <e v="#REF!"/>
    <e v="#REF!"/>
  </r>
  <r>
    <s v="181000"/>
    <x v="6"/>
    <s v="COMPTE DE LIAISON DES ETABLISSEMENTS"/>
    <s v="OD"/>
    <n v="-512.04"/>
    <d v="2025-12-30T00:00:00"/>
    <s v="Liaison établissement 401000 ARESCOM KB"/>
    <m/>
    <e v="#N/A"/>
    <e v="#N/A"/>
    <n v="93761"/>
    <s v="145295"/>
    <s v="ARESCOM"/>
    <s v="Q4"/>
    <e v="#REF!"/>
    <e v="#REF!"/>
    <e v="#REF!"/>
  </r>
  <r>
    <s v="181000"/>
    <x v="6"/>
    <s v="COMPTE DE LIAISON DES ETABLISSEMENTS"/>
    <s v="OD"/>
    <n v="-509.96"/>
    <d v="2025-12-16T00:00:00"/>
    <s v="Liaison inter-établissement vers TO "/>
    <m/>
    <e v="#N/A"/>
    <e v="#N/A"/>
    <n v="92234"/>
    <m/>
    <s v="ENGIE"/>
    <s v="Q4"/>
    <e v="#REF!"/>
    <e v="#REF!"/>
    <e v="#REF!"/>
  </r>
  <r>
    <s v="181000"/>
    <x v="6"/>
    <s v="COMPTE DE LIAISON DES ETABLISSEMENTS"/>
    <s v="OD"/>
    <n v="-506.39"/>
    <d v="2025-11-24T00:00:00"/>
    <s v="Liaison inter-établissement vers TO "/>
    <m/>
    <e v="#N/A"/>
    <e v="#N/A"/>
    <n v="91020"/>
    <m/>
    <s v="Guillaume Boissonnat-Wu"/>
    <s v="Q4"/>
    <e v="#REF!"/>
    <e v="#REF!"/>
    <e v="#REF!"/>
  </r>
  <r>
    <s v="181000"/>
    <x v="6"/>
    <s v="COMPTE DE LIAISON DES ETABLISSEMENTS"/>
    <s v="OD"/>
    <n v="-504"/>
    <d v="2025-12-11T00:00:00"/>
    <s v="Liaison établissement 401000 FMGE KB"/>
    <m/>
    <e v="#N/A"/>
    <e v="#N/A"/>
    <n v="92084"/>
    <s v="25-212"/>
    <s v="FMGE"/>
    <s v="Q4"/>
    <e v="#REF!"/>
    <e v="#REF!"/>
    <e v="#REF!"/>
  </r>
  <r>
    <s v="181000"/>
    <x v="6"/>
    <s v="COMPTE DE LIAISON DES ETABLISSEMENTS"/>
    <s v="OD"/>
    <n v="-500"/>
    <d v="2025-06-30T00:00:00"/>
    <s v="Liaison établissement 401000 BIOTIKA RO"/>
    <s v="Non"/>
    <e v="#N/A"/>
    <e v="#N/A"/>
    <n v="76846"/>
    <s v="TESTING OF MATERIAL BY MARINER"/>
    <s v="BIOTIKA"/>
    <s v="Q2"/>
    <e v="#REF!"/>
    <e v="#REF!"/>
    <e v="#REF!"/>
  </r>
  <r>
    <s v="181000"/>
    <x v="6"/>
    <s v="COMPTE DE LIAISON DES ETABLISSEMENTS"/>
    <s v="OD"/>
    <n v="-500"/>
    <d v="2025-07-23T00:00:00"/>
    <s v="Liaison établissement 401000 BIOTIKA RO"/>
    <s v="Non"/>
    <e v="#N/A"/>
    <e v="#N/A"/>
    <n v="78345"/>
    <s v="TESTING OF MATERIAL BY MARINER"/>
    <s v="BIOTIKA"/>
    <s v="Q3"/>
    <e v="#REF!"/>
    <e v="#REF!"/>
    <e v="#REF!"/>
  </r>
  <r>
    <s v="181000"/>
    <x v="6"/>
    <s v="COMPTE DE LIAISON DES ETABLISSEMENTS"/>
    <s v="OD"/>
    <n v="-498"/>
    <d v="2025-01-30T00:00:00"/>
    <s v="Liaison inter-établissement vers TO "/>
    <m/>
    <e v="#N/A"/>
    <e v="#N/A"/>
    <n v="63630"/>
    <m/>
    <s v="FMGE"/>
    <s v="Q1"/>
    <e v="#REF!"/>
    <e v="#REF!"/>
    <e v="#REF!"/>
  </r>
  <r>
    <s v="181000"/>
    <x v="6"/>
    <s v="COMPTE DE LIAISON DES ETABLISSEMENTS"/>
    <s v="OD"/>
    <n v="-493"/>
    <d v="2025-09-26T00:00:00"/>
    <s v="Liaison établissement 401000 TCI KB"/>
    <m/>
    <e v="#N/A"/>
    <e v="#N/A"/>
    <n v="82525"/>
    <s v="INVOICE PAYMENT BY PILI"/>
    <s v="TCI"/>
    <s v="Q3"/>
    <e v="#REF!"/>
    <e v="#REF!"/>
    <e v="#REF!"/>
  </r>
  <r>
    <s v="181000"/>
    <x v="6"/>
    <s v="COMPTE DE LIAISON DES ETABLISSEMENTS"/>
    <s v="OD"/>
    <n v="-492.8"/>
    <d v="2025-01-31T00:00:00"/>
    <s v="Liaison inter-établissement vers TO "/>
    <m/>
    <e v="#N/A"/>
    <e v="#N/A"/>
    <n v="82144"/>
    <m/>
    <s v="KILOUTOU"/>
    <s v="Q1"/>
    <e v="#REF!"/>
    <e v="#REF!"/>
    <e v="#REF!"/>
  </r>
  <r>
    <s v="181000"/>
    <x v="6"/>
    <s v="COMPTE DE LIAISON DES ETABLISSEMENTS"/>
    <s v="OD"/>
    <n v="-491.92"/>
    <d v="2025-09-18T00:00:00"/>
    <s v="Liaison inter-établissement vers TO "/>
    <m/>
    <e v="#N/A"/>
    <e v="#N/A"/>
    <n v="83393"/>
    <m/>
    <s v="INTERMARCHE"/>
    <s v="Q3"/>
    <e v="#REF!"/>
    <e v="#REF!"/>
    <e v="#REF!"/>
  </r>
  <r>
    <s v="181000"/>
    <x v="6"/>
    <s v="COMPTE DE LIAISON DES ETABLISSEMENTS"/>
    <s v="OD"/>
    <n v="-490.01"/>
    <d v="2025-04-25T00:00:00"/>
    <s v="Liaison établissement 401000 ALTAIR KB"/>
    <s v="Non"/>
    <s v="Non"/>
    <e v="#N/A"/>
    <n v="70137"/>
    <s v="Invoice Payment by Pili"/>
    <s v="ALTAIR AVOCATS"/>
    <s v="Q2"/>
    <e v="#REF!"/>
    <e v="#REF!"/>
    <e v="#REF!"/>
  </r>
  <r>
    <s v="181000"/>
    <x v="6"/>
    <s v="COMPTE DE LIAISON DES ETABLISSEMENTS"/>
    <s v="OD"/>
    <n v="-482.04"/>
    <d v="2025-08-22T00:00:00"/>
    <s v="Liaison établissement 401000 EXELL KB"/>
    <m/>
    <e v="#N/A"/>
    <e v="#N/A"/>
    <n v="81538"/>
    <s v="PRESTATION : SPS"/>
    <s v="EXELL SECURITE"/>
    <s v="Q3"/>
    <e v="#REF!"/>
    <e v="#REF!"/>
    <e v="#REF!"/>
  </r>
  <r>
    <s v="181000"/>
    <x v="6"/>
    <s v="COMPTE DE LIAISON DES ETABLISSEMENTS"/>
    <s v="OD"/>
    <n v="-480"/>
    <d v="2025-06-11T00:00:00"/>
    <s v="Liaison établissement 401000 F2P KB"/>
    <s v="Non"/>
    <s v="Non"/>
    <e v="#N/A"/>
    <n v="75947"/>
    <s v="ARRÊTÉ ANNUEL DES COMPTES 2024 : SOLDE"/>
    <s v="F2P AUDIT &amp; CONSEIL"/>
    <s v="Q2"/>
    <e v="#REF!"/>
    <e v="#REF!"/>
    <e v="#REF!"/>
  </r>
  <r>
    <s v="181000"/>
    <x v="6"/>
    <s v="COMPTE DE LIAISON DES ETABLISSEMENTS"/>
    <s v="OD"/>
    <n v="-476.9"/>
    <d v="2025-01-01T00:00:00"/>
    <s v="Liaison inter-établissement vers TO "/>
    <m/>
    <e v="#N/A"/>
    <e v="#N/A"/>
    <n v="70521"/>
    <m/>
    <s v="Marie Rézeau"/>
    <s v="Q1"/>
    <e v="#REF!"/>
    <e v="#REF!"/>
    <e v="#REF!"/>
  </r>
  <r>
    <s v="181000"/>
    <x v="6"/>
    <s v="COMPTE DE LIAISON DES ETABLISSEMENTS"/>
    <s v="OD"/>
    <n v="-476.52"/>
    <d v="2025-01-02T00:00:00"/>
    <s v="Liaison inter-établissement vers TO "/>
    <m/>
    <e v="#N/A"/>
    <e v="#N/A"/>
    <n v="87089"/>
    <m/>
    <s v="BNP PARIBAS LEASE GROUP"/>
    <s v="Q1"/>
    <e v="#REF!"/>
    <e v="#REF!"/>
    <e v="#REF!"/>
  </r>
  <r>
    <s v="181000"/>
    <x v="6"/>
    <s v="COMPTE DE LIAISON DES ETABLISSEMENTS"/>
    <s v="OD"/>
    <n v="-476.52"/>
    <d v="2025-04-01T00:00:00"/>
    <s v="Liaison inter-établissement vers TO "/>
    <m/>
    <e v="#N/A"/>
    <e v="#N/A"/>
    <n v="87093"/>
    <m/>
    <s v="BNP PARIBAS LEASE GROUP"/>
    <s v="Q2"/>
    <e v="#REF!"/>
    <e v="#REF!"/>
    <e v="#REF!"/>
  </r>
  <r>
    <s v="181000"/>
    <x v="6"/>
    <s v="COMPTE DE LIAISON DES ETABLISSEMENTS"/>
    <s v="OD"/>
    <n v="-476.52"/>
    <d v="2025-07-01T00:00:00"/>
    <s v="Liaison inter-établissement vers TO "/>
    <m/>
    <e v="#N/A"/>
    <e v="#N/A"/>
    <n v="87097"/>
    <m/>
    <s v="BNP PARIBAS LEASE GROUP"/>
    <s v="Q3"/>
    <e v="#REF!"/>
    <e v="#REF!"/>
    <e v="#REF!"/>
  </r>
  <r>
    <s v="181000"/>
    <x v="6"/>
    <s v="COMPTE DE LIAISON DES ETABLISSEMENTS"/>
    <s v="OD"/>
    <n v="-476.52"/>
    <d v="2025-10-01T00:00:00"/>
    <s v="Liaison inter-établissement vers TO "/>
    <m/>
    <e v="#N/A"/>
    <e v="#N/A"/>
    <n v="87101"/>
    <m/>
    <s v="BNP PARIBAS LEASE GROUP"/>
    <s v="Q4"/>
    <e v="#REF!"/>
    <e v="#REF!"/>
    <e v="#REF!"/>
  </r>
  <r>
    <s v="181000"/>
    <x v="6"/>
    <s v="COMPTE DE LIAISON DES ETABLISSEMENTS"/>
    <s v="OD"/>
    <n v="-475"/>
    <d v="2025-07-02T00:00:00"/>
    <s v="Liaison établissement 401000 HERPORT LY"/>
    <m/>
    <e v="#N/A"/>
    <e v="#N/A"/>
    <n v="76827"/>
    <s v="FACTURE 70002119"/>
    <s v="HERPORT"/>
    <s v="Q3"/>
    <e v="#REF!"/>
    <e v="#REF!"/>
    <e v="#REF!"/>
  </r>
  <r>
    <s v="181000"/>
    <x v="6"/>
    <s v="COMPTE DE LIAISON DES ETABLISSEMENTS"/>
    <s v="OD"/>
    <n v="-474.75"/>
    <d v="2025-09-26T00:00:00"/>
    <s v="Liaison inter-établissement vers TO "/>
    <m/>
    <e v="#N/A"/>
    <e v="#N/A"/>
    <n v="91585"/>
    <m/>
    <s v="AIRLINES"/>
    <s v="Q3"/>
    <e v="#REF!"/>
    <e v="#REF!"/>
    <e v="#REF!"/>
  </r>
  <r>
    <s v="181000"/>
    <x v="6"/>
    <s v="COMPTE DE LIAISON DES ETABLISSEMENTS"/>
    <s v="OD"/>
    <n v="-473.94"/>
    <d v="2025-04-07T00:00:00"/>
    <s v="Liaison inter-établissement vers TO "/>
    <m/>
    <e v="#N/A"/>
    <e v="#N/A"/>
    <n v="75899"/>
    <m/>
    <s v="Maud Sanchez"/>
    <s v="Q2"/>
    <e v="#REF!"/>
    <e v="#REF!"/>
    <e v="#REF!"/>
  </r>
  <r>
    <s v="181000"/>
    <x v="6"/>
    <s v="COMPTE DE LIAISON DES ETABLISSEMENTS"/>
    <s v="OD"/>
    <n v="-473.47"/>
    <d v="2025-12-05T00:00:00"/>
    <s v="Liaison établissement 401000 VWR KB"/>
    <m/>
    <e v="#N/A"/>
    <e v="#N/A"/>
    <n v="91376"/>
    <s v="4067854697"/>
    <s v="VWR AVANTOR"/>
    <s v="Q4"/>
    <e v="#REF!"/>
    <e v="#REF!"/>
    <e v="#REF!"/>
  </r>
  <r>
    <s v="181000"/>
    <x v="6"/>
    <s v="COMPTE DE LIAISON DES ETABLISSEMENTS"/>
    <s v="OD"/>
    <n v="-473"/>
    <d v="2025-11-25T00:00:00"/>
    <s v="Liaison établissement 401000 ROLAND GRANGIER LY"/>
    <m/>
    <e v="#N/A"/>
    <e v="#N/A"/>
    <n v="91138"/>
    <s v="COMMANDE VIN SOIRÉE 10 ANS PILI"/>
    <s v="ROLAND GRANGIER"/>
    <s v="Q4"/>
    <e v="#REF!"/>
    <e v="#REF!"/>
    <e v="#REF!"/>
  </r>
  <r>
    <s v="181000"/>
    <x v="6"/>
    <s v="COMPTE DE LIAISON DES ETABLISSEMENTS"/>
    <s v="OD"/>
    <n v="-469.32"/>
    <d v="2025-12-10T00:00:00"/>
    <s v="Liaison établissement 401000 CLOUP RO"/>
    <m/>
    <e v="#N/A"/>
    <e v="#N/A"/>
    <n v="92049"/>
    <s v="0190028"/>
    <s v="CLOUP"/>
    <s v="Q4"/>
    <e v="#REF!"/>
    <e v="#REF!"/>
    <e v="#REF!"/>
  </r>
  <r>
    <s v="181000"/>
    <x v="6"/>
    <s v="COMPTE DE LIAISON DES ETABLISSEMENTS"/>
    <s v="OD"/>
    <n v="-468"/>
    <d v="2025-04-25T00:00:00"/>
    <s v="Liaison établissement 401000 COFICIEL RO"/>
    <m/>
    <e v="#N/A"/>
    <e v="#N/A"/>
    <n v="70152"/>
    <s v="Invoice Payment by Pili"/>
    <s v="COFICIEL"/>
    <s v="Q2"/>
    <e v="#REF!"/>
    <e v="#REF!"/>
    <e v="#REF!"/>
  </r>
  <r>
    <s v="181000"/>
    <x v="6"/>
    <s v="COMPTE DE LIAISON DES ETABLISSEMENTS"/>
    <s v="OD"/>
    <n v="-468"/>
    <d v="2025-06-02T00:00:00"/>
    <s v="Liaison établissement 401000 COFICIEL RO"/>
    <m/>
    <e v="#N/A"/>
    <e v="#N/A"/>
    <n v="75253"/>
    <s v="Invoice Payment By Pili"/>
    <s v="COFICIEL"/>
    <s v="Q2"/>
    <e v="#REF!"/>
    <e v="#REF!"/>
    <e v="#REF!"/>
  </r>
  <r>
    <s v="181000"/>
    <x v="6"/>
    <s v="COMPTE DE LIAISON DES ETABLISSEMENTS"/>
    <s v="OD"/>
    <n v="-468"/>
    <d v="2025-08-08T00:00:00"/>
    <s v="Liaison établissement 401000 COFICIEL RO"/>
    <m/>
    <e v="#N/A"/>
    <e v="#N/A"/>
    <n v="80750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-468"/>
    <d v="2025-08-22T00:00:00"/>
    <s v="Liaison établissement 401000 COFICIEL RO"/>
    <m/>
    <e v="#N/A"/>
    <e v="#N/A"/>
    <n v="81607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-468"/>
    <d v="2025-09-26T00:00:00"/>
    <s v="Liaison établissement 401000 COFICIEL RO"/>
    <m/>
    <e v="#N/A"/>
    <e v="#N/A"/>
    <n v="82499"/>
    <s v="INVOICE PAYMENT BY PILI"/>
    <s v="COFICIEL"/>
    <s v="Q3"/>
    <e v="#REF!"/>
    <e v="#REF!"/>
    <e v="#REF!"/>
  </r>
  <r>
    <s v="181000"/>
    <x v="6"/>
    <s v="COMPTE DE LIAISON DES ETABLISSEMENTS"/>
    <s v="OD"/>
    <n v="-468"/>
    <d v="2025-10-31T00:00:00"/>
    <s v="Liaison établissement 401000 COFICIEL RO"/>
    <m/>
    <e v="#N/A"/>
    <e v="#N/A"/>
    <n v="87545"/>
    <s v="F2509/0833"/>
    <s v="COFICIEL"/>
    <s v="Q4"/>
    <e v="#REF!"/>
    <e v="#REF!"/>
    <e v="#REF!"/>
  </r>
  <r>
    <s v="181000"/>
    <x v="6"/>
    <s v="COMPTE DE LIAISON DES ETABLISSEMENTS"/>
    <s v="OD"/>
    <n v="-468"/>
    <d v="2025-12-05T00:00:00"/>
    <s v="Liaison établissement 401000 COFICIEL RO"/>
    <m/>
    <e v="#N/A"/>
    <e v="#N/A"/>
    <n v="91360"/>
    <s v="F2510/0736"/>
    <s v="COFICIEL"/>
    <s v="Q4"/>
    <e v="#REF!"/>
    <e v="#REF!"/>
    <e v="#REF!"/>
  </r>
  <r>
    <s v="181000"/>
    <x v="6"/>
    <s v="COMPTE DE LIAISON DES ETABLISSEMENTS"/>
    <s v="OD"/>
    <n v="-468"/>
    <d v="2025-12-30T00:00:00"/>
    <s v="Liaison établissement 401000 COFICIEL RO"/>
    <m/>
    <e v="#N/A"/>
    <e v="#N/A"/>
    <n v="93823"/>
    <s v="F2511/1367"/>
    <s v="COFICIEL"/>
    <s v="Q4"/>
    <e v="#REF!"/>
    <e v="#REF!"/>
    <e v="#REF!"/>
  </r>
  <r>
    <s v="181000"/>
    <x v="6"/>
    <s v="COMPTE DE LIAISON DES ETABLISSEMENTS"/>
    <s v="OD"/>
    <n v="-465.82"/>
    <d v="2025-11-06T00:00:00"/>
    <s v="Liaison inter-établissement vers TO "/>
    <m/>
    <e v="#N/A"/>
    <e v="#N/A"/>
    <n v="91581"/>
    <m/>
    <s v="AIRBNB"/>
    <s v="Q4"/>
    <e v="#REF!"/>
    <e v="#REF!"/>
    <e v="#REF!"/>
  </r>
  <r>
    <s v="181000"/>
    <x v="6"/>
    <s v="COMPTE DE LIAISON DES ETABLISSEMENTS"/>
    <s v="OD"/>
    <n v="-458.77"/>
    <d v="2025-05-07T00:00:00"/>
    <s v="Liaison établissement 401000 FRANCECHIMIE RO"/>
    <m/>
    <s v="Non"/>
    <s v="Oui"/>
    <n v="71776"/>
    <s v="ACOMPTE COTISATION SYNDICALE"/>
    <s v="FRANCE CHIMIE"/>
    <s v="Q2"/>
    <e v="#REF!"/>
    <e v="#REF!"/>
    <e v="#REF!"/>
  </r>
  <r>
    <s v="181000"/>
    <x v="6"/>
    <s v="COMPTE DE LIAISON DES ETABLISSEMENTS"/>
    <s v="OD"/>
    <n v="-457.2"/>
    <d v="2025-07-31T00:00:00"/>
    <s v="Liaison établissement 401000 VWR KB"/>
    <m/>
    <e v="#N/A"/>
    <e v="#N/A"/>
    <n v="79316"/>
    <s v="COMMANDE PRODUIT KEENB"/>
    <s v="VWR AVANTOR"/>
    <s v="Q3"/>
    <e v="#REF!"/>
    <e v="#REF!"/>
    <e v="#REF!"/>
  </r>
  <r>
    <s v="181000"/>
    <x v="6"/>
    <s v="COMPTE DE LIAISON DES ETABLISSEMENTS"/>
    <s v="OD"/>
    <n v="-456"/>
    <d v="2025-04-15T00:00:00"/>
    <s v="Liaison inter-établissement vers TO "/>
    <m/>
    <e v="#N/A"/>
    <e v="#N/A"/>
    <n v="69920"/>
    <m/>
    <s v="BROSSIER TRANSPORTS"/>
    <s v="Q2"/>
    <e v="#REF!"/>
    <e v="#REF!"/>
    <e v="#REF!"/>
  </r>
  <r>
    <s v="181000"/>
    <x v="6"/>
    <s v="COMPTE DE LIAISON DES ETABLISSEMENTS"/>
    <s v="OD"/>
    <n v="-452.02"/>
    <d v="2025-05-14T00:00:00"/>
    <s v="Liaison établissement 401000 FISHER RO"/>
    <m/>
    <e v="#N/A"/>
    <e v="#N/A"/>
    <n v="72337"/>
    <s v="Invoice Payment by Pili"/>
    <s v="FISHER SCIENTIFIC"/>
    <s v="Q2"/>
    <e v="#REF!"/>
    <e v="#REF!"/>
    <e v="#REF!"/>
  </r>
  <r>
    <s v="181000"/>
    <x v="6"/>
    <s v="COMPTE DE LIAISON DES ETABLISSEMENTS"/>
    <s v="OD"/>
    <n v="-450.05"/>
    <d v="2025-04-01T00:00:00"/>
    <s v="Liaison inter-établissement vers KB "/>
    <m/>
    <e v="#N/A"/>
    <e v="#N/A"/>
    <n v="89493"/>
    <m/>
    <s v="ORANGE"/>
    <s v="Q2"/>
    <e v="#REF!"/>
    <e v="#REF!"/>
    <e v="#REF!"/>
  </r>
  <r>
    <s v="181000"/>
    <x v="6"/>
    <s v="COMPTE DE LIAISON DES ETABLISSEMENTS"/>
    <s v="OD"/>
    <n v="-449.4"/>
    <d v="2025-07-28T00:00:00"/>
    <s v="Liaison inter-établissement vers TO "/>
    <m/>
    <e v="#N/A"/>
    <e v="#N/A"/>
    <n v="81293"/>
    <m/>
    <s v="ORANGE"/>
    <s v="Q3"/>
    <e v="#REF!"/>
    <e v="#REF!"/>
    <e v="#REF!"/>
  </r>
  <r>
    <s v="181000"/>
    <x v="6"/>
    <s v="COMPTE DE LIAISON DES ETABLISSEMENTS"/>
    <s v="OD"/>
    <n v="-447"/>
    <d v="2025-02-06T00:00:00"/>
    <s v="Liaison inter-établissement vers TO "/>
    <m/>
    <s v="Non"/>
    <e v="#N/A"/>
    <n v="64300"/>
    <m/>
    <s v="DIVERS"/>
    <s v="Q1"/>
    <e v="#REF!"/>
    <e v="#REF!"/>
    <e v="#REF!"/>
  </r>
  <r>
    <s v="181000"/>
    <x v="6"/>
    <s v="COMPTE DE LIAISON DES ETABLISSEMENTS"/>
    <s v="OD"/>
    <n v="-443.25"/>
    <d v="2025-01-13T00:00:00"/>
    <s v="Liaison inter-établissement vers TO "/>
    <m/>
    <e v="#N/A"/>
    <e v="#N/A"/>
    <n v="75867"/>
    <m/>
    <s v="Kevin Cottet"/>
    <s v="Q1"/>
    <e v="#REF!"/>
    <e v="#REF!"/>
    <e v="#REF!"/>
  </r>
  <r>
    <s v="181000"/>
    <x v="6"/>
    <s v="COMPTE DE LIAISON DES ETABLISSEMENTS"/>
    <s v="OD"/>
    <n v="-443.1"/>
    <d v="2025-05-07T00:00:00"/>
    <s v="Liaison établissement 401000 CAWAT KB"/>
    <m/>
    <e v="#N/A"/>
    <e v="#N/A"/>
    <n v="71766"/>
    <s v="CAFÉ DES TERROIRS"/>
    <s v="CAWATOES"/>
    <s v="Q2"/>
    <e v="#REF!"/>
    <e v="#REF!"/>
    <e v="#REF!"/>
  </r>
  <r>
    <s v="181000"/>
    <x v="6"/>
    <s v="COMPTE DE LIAISON DES ETABLISSEMENTS"/>
    <s v="OD"/>
    <n v="-437.92"/>
    <d v="2025-06-27T00:00:00"/>
    <s v="Liaison inter-établissement vers TO "/>
    <m/>
    <e v="#N/A"/>
    <e v="#N/A"/>
    <n v="76760"/>
    <m/>
    <s v="Marie-Sarah Adenis"/>
    <s v="Q2"/>
    <e v="#REF!"/>
    <e v="#REF!"/>
    <e v="#REF!"/>
  </r>
  <r>
    <s v="181000"/>
    <x v="6"/>
    <s v="COMPTE DE LIAISON DES ETABLISSEMENTS"/>
    <s v="OD"/>
    <n v="-436.4"/>
    <d v="2025-08-01T00:00:00"/>
    <s v="Liaison inter-établissement vers KB "/>
    <m/>
    <e v="#N/A"/>
    <e v="#N/A"/>
    <n v="89505"/>
    <m/>
    <s v="ORANGE"/>
    <s v="Q3"/>
    <e v="#REF!"/>
    <e v="#REF!"/>
    <e v="#REF!"/>
  </r>
  <r>
    <s v="181000"/>
    <x v="6"/>
    <s v="COMPTE DE LIAISON DES ETABLISSEMENTS"/>
    <s v="OD"/>
    <n v="-431.94"/>
    <d v="2025-11-19T00:00:00"/>
    <s v="Liaison établissement 401000 BIOTIKA RO"/>
    <s v="Non"/>
    <e v="#N/A"/>
    <e v="#N/A"/>
    <n v="90496"/>
    <s v="91250167"/>
    <s v="BIOTIKA"/>
    <s v="Q4"/>
    <e v="#REF!"/>
    <e v="#REF!"/>
    <e v="#REF!"/>
  </r>
  <r>
    <s v="181000"/>
    <x v="6"/>
    <s v="COMPTE DE LIAISON DES ETABLISSEMENTS"/>
    <s v="OD"/>
    <n v="-430.7"/>
    <d v="2025-09-11T00:00:00"/>
    <s v="Liaison inter-établissement vers TO "/>
    <m/>
    <e v="#N/A"/>
    <e v="#N/A"/>
    <n v="83385"/>
    <m/>
    <s v="GETAROUND"/>
    <s v="Q3"/>
    <e v="#REF!"/>
    <e v="#REF!"/>
    <e v="#REF!"/>
  </r>
  <r>
    <s v="181000"/>
    <x v="6"/>
    <s v="COMPTE DE LIAISON DES ETABLISSEMENTS"/>
    <s v="OD"/>
    <n v="-422.3"/>
    <d v="2025-06-16T00:00:00"/>
    <s v="Liaison établissement 401000 BIOTIKA RO"/>
    <s v="Non"/>
    <e v="#N/A"/>
    <e v="#N/A"/>
    <n v="76060"/>
    <s v="TRANSPORT COSTS"/>
    <s v="BIOTIKA"/>
    <s v="Q2"/>
    <e v="#REF!"/>
    <e v="#REF!"/>
    <e v="#REF!"/>
  </r>
  <r>
    <s v="181000"/>
    <x v="6"/>
    <s v="COMPTE DE LIAISON DES ETABLISSEMENTS"/>
    <s v="OD"/>
    <n v="-421.6"/>
    <d v="2025-11-28T00:00:00"/>
    <s v="Liaison établissement 401000 GUERLET-DEGUERNE LY"/>
    <m/>
    <e v="#N/A"/>
    <e v="#N/A"/>
    <n v="91180"/>
    <s v="20251089"/>
    <s v="GUERLET-DEGUERNE"/>
    <s v="Q4"/>
    <e v="#REF!"/>
    <e v="#REF!"/>
    <e v="#REF!"/>
  </r>
  <r>
    <s v="181000"/>
    <x v="6"/>
    <s v="COMPTE DE LIAISON DES ETABLISSEMENTS"/>
    <s v="OD"/>
    <n v="-419.05"/>
    <d v="2025-11-19T00:00:00"/>
    <s v="Liaison établissement 401000 BIOTIKA RO"/>
    <s v="Non"/>
    <e v="#N/A"/>
    <e v="#N/A"/>
    <n v="90491"/>
    <s v="91250166"/>
    <s v="BIOTIKA"/>
    <s v="Q4"/>
    <e v="#REF!"/>
    <e v="#REF!"/>
    <e v="#REF!"/>
  </r>
  <r>
    <s v="181000"/>
    <x v="6"/>
    <s v="COMPTE DE LIAISON DES ETABLISSEMENTS"/>
    <s v="OD"/>
    <n v="-418.37"/>
    <d v="2025-12-01T00:00:00"/>
    <s v="Liaison inter-établissement vers TO "/>
    <m/>
    <e v="#N/A"/>
    <e v="#N/A"/>
    <n v="94057"/>
    <m/>
    <s v="ARCANE INDUSTRIE"/>
    <s v="Q4"/>
    <e v="#REF!"/>
    <e v="#REF!"/>
    <e v="#REF!"/>
  </r>
  <r>
    <s v="181000"/>
    <x v="6"/>
    <s v="COMPTE DE LIAISON DES ETABLISSEMENTS"/>
    <s v="OD"/>
    <n v="-418.01"/>
    <d v="2025-11-24T00:00:00"/>
    <s v="Liaison inter-établissement vers TO "/>
    <m/>
    <e v="#N/A"/>
    <e v="#N/A"/>
    <n v="91036"/>
    <m/>
    <s v="Maud Sanchez"/>
    <s v="Q4"/>
    <e v="#REF!"/>
    <e v="#REF!"/>
    <e v="#REF!"/>
  </r>
  <r>
    <s v="181000"/>
    <x v="6"/>
    <s v="COMPTE DE LIAISON DES ETABLISSEMENTS"/>
    <s v="OD"/>
    <n v="-412.27"/>
    <d v="2025-06-30T00:00:00"/>
    <s v="Liaison établissement 401000 BIOTIKA RO"/>
    <s v="Non"/>
    <e v="#N/A"/>
    <e v="#N/A"/>
    <n v="76856"/>
    <s v="TRANSPORT COSTS"/>
    <s v="BIOTIKA"/>
    <s v="Q2"/>
    <e v="#REF!"/>
    <e v="#REF!"/>
    <e v="#REF!"/>
  </r>
  <r>
    <s v="181000"/>
    <x v="6"/>
    <s v="COMPTE DE LIAISON DES ETABLISSEMENTS"/>
    <s v="OD"/>
    <n v="-409.81"/>
    <d v="2025-11-07T00:00:00"/>
    <s v="Liaison établissement 401000 CLOUP RO"/>
    <m/>
    <e v="#N/A"/>
    <e v="#N/A"/>
    <n v="89418"/>
    <s v="0189538"/>
    <s v="CLOUP"/>
    <s v="Q4"/>
    <e v="#REF!"/>
    <e v="#REF!"/>
    <e v="#REF!"/>
  </r>
  <r>
    <s v="181000"/>
    <x v="6"/>
    <s v="COMPTE DE LIAISON DES ETABLISSEMENTS"/>
    <s v="OD"/>
    <n v="-406.8"/>
    <d v="2025-09-26T00:00:00"/>
    <s v="Liaison établissement 401000 CLOUP KB"/>
    <m/>
    <e v="#N/A"/>
    <e v="#N/A"/>
    <n v="82489"/>
    <s v="INVOICE PAYMENT BY PILI"/>
    <s v="CLOUP"/>
    <s v="Q3"/>
    <e v="#REF!"/>
    <e v="#REF!"/>
    <e v="#REF!"/>
  </r>
  <r>
    <s v="181000"/>
    <x v="6"/>
    <s v="COMPTE DE LIAISON DES ETABLISSEMENTS"/>
    <s v="OD"/>
    <n v="-406.11"/>
    <d v="2025-12-23T00:00:00"/>
    <s v="Liaison inter-établissement vers TO "/>
    <m/>
    <e v="#N/A"/>
    <e v="#N/A"/>
    <n v="93571"/>
    <m/>
    <s v="Pierre-Yves Bolle"/>
    <s v="Q4"/>
    <e v="#REF!"/>
    <e v="#REF!"/>
    <e v="#REF!"/>
  </r>
  <r>
    <s v="181000"/>
    <x v="6"/>
    <s v="COMPTE DE LIAISON DES ETABLISSEMENTS"/>
    <s v="OD"/>
    <n v="-406.01"/>
    <d v="2025-03-19T00:00:00"/>
    <s v="Liaison inter-établissement vers TO "/>
    <m/>
    <e v="#N/A"/>
    <e v="#N/A"/>
    <n v="63690"/>
    <m/>
    <s v="COTE"/>
    <s v="Q1"/>
    <e v="#REF!"/>
    <e v="#REF!"/>
    <e v="#REF!"/>
  </r>
  <r>
    <s v="181000"/>
    <x v="6"/>
    <s v="COMPTE DE LIAISON DES ETABLISSEMENTS"/>
    <s v="OD"/>
    <n v="-404.71"/>
    <d v="2025-03-18T00:00:00"/>
    <s v="Liaison inter-établissement vers TO "/>
    <m/>
    <e v="#N/A"/>
    <e v="#N/A"/>
    <n v="72773"/>
    <m/>
    <s v="ENGIE"/>
    <s v="Q1"/>
    <e v="#REF!"/>
    <e v="#REF!"/>
    <e v="#REF!"/>
  </r>
  <r>
    <s v="181000"/>
    <x v="6"/>
    <s v="COMPTE DE LIAISON DES ETABLISSEMENTS"/>
    <s v="OD"/>
    <n v="-404.49"/>
    <d v="2025-10-30T00:00:00"/>
    <s v="Liaison inter-établissement vers TO "/>
    <m/>
    <e v="#N/A"/>
    <e v="#N/A"/>
    <n v="91784"/>
    <m/>
    <s v="BACKMARKET"/>
    <s v="Q4"/>
    <e v="#REF!"/>
    <e v="#REF!"/>
    <e v="#REF!"/>
  </r>
  <r>
    <s v="181000"/>
    <x v="6"/>
    <s v="COMPTE DE LIAISON DES ETABLISSEMENTS"/>
    <s v="OD"/>
    <n v="-402.8"/>
    <d v="2025-11-17T00:00:00"/>
    <s v="Liaison inter-établissement vers TO "/>
    <m/>
    <e v="#N/A"/>
    <e v="#N/A"/>
    <n v="90172"/>
    <m/>
    <s v="ENGIE"/>
    <s v="Q4"/>
    <e v="#REF!"/>
    <e v="#REF!"/>
    <e v="#REF!"/>
  </r>
  <r>
    <s v="181000"/>
    <x v="6"/>
    <s v="COMPTE DE LIAISON DES ETABLISSEMENTS"/>
    <s v="OD"/>
    <n v="-398.79"/>
    <d v="2025-06-27T00:00:00"/>
    <s v="Liaison inter-établissement vers TO "/>
    <m/>
    <e v="#N/A"/>
    <e v="#N/A"/>
    <n v="76691"/>
    <m/>
    <s v="Anne-Sophie Goutierre"/>
    <s v="Q2"/>
    <e v="#REF!"/>
    <e v="#REF!"/>
    <e v="#REF!"/>
  </r>
  <r>
    <s v="181000"/>
    <x v="6"/>
    <s v="COMPTE DE LIAISON DES ETABLISSEMENTS"/>
    <s v="OD"/>
    <n v="-396.6"/>
    <d v="2025-03-28T00:00:00"/>
    <s v="Liaison inter-établissement vers TO "/>
    <m/>
    <e v="#N/A"/>
    <e v="#N/A"/>
    <n v="70077"/>
    <m/>
    <s v="RS COMPONENT"/>
    <s v="Q1"/>
    <e v="#REF!"/>
    <e v="#REF!"/>
    <e v="#REF!"/>
  </r>
  <r>
    <s v="181000"/>
    <x v="6"/>
    <s v="COMPTE DE LIAISON DES ETABLISSEMENTS"/>
    <s v="OD"/>
    <n v="-393.92"/>
    <d v="2025-12-10T00:00:00"/>
    <s v="Liaison établissement 401000 ROTH KB"/>
    <m/>
    <e v="#N/A"/>
    <e v="#N/A"/>
    <n v="92039"/>
    <s v="4184079"/>
    <s v="ROTH SOCHIEL"/>
    <s v="Q4"/>
    <e v="#REF!"/>
    <e v="#REF!"/>
    <e v="#REF!"/>
  </r>
  <r>
    <s v="181000"/>
    <x v="6"/>
    <s v="COMPTE DE LIAISON DES ETABLISSEMENTS"/>
    <s v="OD"/>
    <n v="-392.44"/>
    <d v="2025-09-16T00:00:00"/>
    <s v="Liaison inter-établissement vers TO "/>
    <m/>
    <e v="#N/A"/>
    <e v="#N/A"/>
    <n v="82803"/>
    <m/>
    <s v="ENGIE"/>
    <s v="Q3"/>
    <e v="#REF!"/>
    <e v="#REF!"/>
    <e v="#REF!"/>
  </r>
  <r>
    <s v="181000"/>
    <x v="6"/>
    <s v="COMPTE DE LIAISON DES ETABLISSEMENTS"/>
    <s v="OD"/>
    <n v="-391.51"/>
    <d v="2025-10-30T00:00:00"/>
    <s v="Liaison inter-établissement vers TO "/>
    <m/>
    <e v="#N/A"/>
    <e v="#N/A"/>
    <n v="89740"/>
    <m/>
    <s v="INFORMA MARKETS"/>
    <s v="Q4"/>
    <e v="#REF!"/>
    <e v="#REF!"/>
    <e v="#REF!"/>
  </r>
  <r>
    <s v="181000"/>
    <x v="6"/>
    <s v="COMPTE DE LIAISON DES ETABLISSEMENTS"/>
    <s v="OD"/>
    <n v="-386.4"/>
    <d v="2025-08-21T00:00:00"/>
    <s v="Liaison établissement 401000 BECKER KB"/>
    <s v="Non"/>
    <s v="Oui"/>
    <e v="#N/A"/>
    <n v="81396"/>
    <s v="FRAIS PI LISA EN AMONT BREVET PALOMA CHIMIE"/>
    <s v="BECKER"/>
    <s v="Q3"/>
    <e v="#REF!"/>
    <e v="#REF!"/>
    <e v="#REF!"/>
  </r>
  <r>
    <s v="181000"/>
    <x v="6"/>
    <s v="COMPTE DE LIAISON DES ETABLISSEMENTS"/>
    <s v="OD"/>
    <n v="-384.15"/>
    <d v="2025-06-27T00:00:00"/>
    <s v="Liaison inter-établissement vers TO "/>
    <m/>
    <e v="#N/A"/>
    <e v="#N/A"/>
    <n v="76764"/>
    <m/>
    <s v="Marie-Sarah Adenis"/>
    <s v="Q2"/>
    <e v="#REF!"/>
    <e v="#REF!"/>
    <e v="#REF!"/>
  </r>
  <r>
    <s v="181000"/>
    <x v="6"/>
    <s v="COMPTE DE LIAISON DES ETABLISSEMENTS"/>
    <s v="OD"/>
    <n v="-382.5"/>
    <d v="2025-06-01T00:00:00"/>
    <s v="Liaison inter-établissement vers KB "/>
    <m/>
    <e v="#N/A"/>
    <e v="#N/A"/>
    <n v="89497"/>
    <m/>
    <s v="ORANGE"/>
    <s v="Q2"/>
    <e v="#REF!"/>
    <e v="#REF!"/>
    <e v="#REF!"/>
  </r>
  <r>
    <s v="181000"/>
    <x v="6"/>
    <s v="COMPTE DE LIAISON DES ETABLISSEMENTS"/>
    <s v="OD"/>
    <n v="-380.53"/>
    <d v="2025-03-12T00:00:00"/>
    <s v="Liaison inter-établissement vers TO "/>
    <m/>
    <s v="Non"/>
    <e v="#N/A"/>
    <n v="71916"/>
    <m/>
    <s v="DIVERS"/>
    <s v="Q1"/>
    <e v="#REF!"/>
    <e v="#REF!"/>
    <e v="#REF!"/>
  </r>
  <r>
    <s v="181000"/>
    <x v="6"/>
    <s v="COMPTE DE LIAISON DES ETABLISSEMENTS"/>
    <s v="OD"/>
    <n v="-380"/>
    <d v="2025-05-14T00:00:00"/>
    <s v="Liaison établissement 401000 BIOTIKA RO"/>
    <s v="Non"/>
    <e v="#N/A"/>
    <e v="#N/A"/>
    <n v="72304"/>
    <m/>
    <s v="BIOTIKA"/>
    <s v="Q2"/>
    <e v="#REF!"/>
    <e v="#REF!"/>
    <e v="#REF!"/>
  </r>
  <r>
    <s v="181000"/>
    <x v="6"/>
    <s v="COMPTE DE LIAISON DES ETABLISSEMENTS"/>
    <s v="OD"/>
    <n v="-380"/>
    <d v="2025-09-26T00:00:00"/>
    <s v="Liaison inter-établissement vers TO "/>
    <m/>
    <e v="#N/A"/>
    <e v="#N/A"/>
    <n v="89790"/>
    <m/>
    <s v="SNCF"/>
    <s v="Q3"/>
    <e v="#REF!"/>
    <e v="#REF!"/>
    <e v="#REF!"/>
  </r>
  <r>
    <s v="181000"/>
    <x v="6"/>
    <s v="COMPTE DE LIAISON DES ETABLISSEMENTS"/>
    <s v="OD"/>
    <n v="-380"/>
    <d v="2025-09-30T00:00:00"/>
    <s v="Liaison inter-établissement"/>
    <m/>
    <e v="#N/A"/>
    <e v="#N/A"/>
    <n v="87230"/>
    <m/>
    <m/>
    <s v="Q3"/>
    <e v="#REF!"/>
    <e v="#REF!"/>
    <e v="#REF!"/>
  </r>
  <r>
    <s v="181000"/>
    <x v="6"/>
    <s v="COMPTE DE LIAISON DES ETABLISSEMENTS"/>
    <s v="OD"/>
    <n v="-378"/>
    <d v="2025-03-07T00:00:00"/>
    <s v="Liaison inter-établissement vers TO "/>
    <m/>
    <e v="#N/A"/>
    <e v="#N/A"/>
    <n v="63826"/>
    <m/>
    <s v="SAESPCI"/>
    <s v="Q1"/>
    <e v="#REF!"/>
    <e v="#REF!"/>
    <e v="#REF!"/>
  </r>
  <r>
    <s v="181000"/>
    <x v="6"/>
    <s v="COMPTE DE LIAISON DES ETABLISSEMENTS"/>
    <s v="OD"/>
    <n v="-378"/>
    <d v="2025-09-25T00:00:00"/>
    <s v="Liaison inter-établissement vers TO "/>
    <m/>
    <e v="#N/A"/>
    <e v="#N/A"/>
    <n v="91638"/>
    <m/>
    <s v="HOTELS"/>
    <s v="Q3"/>
    <e v="#REF!"/>
    <e v="#REF!"/>
    <e v="#REF!"/>
  </r>
  <r>
    <s v="181000"/>
    <x v="6"/>
    <s v="COMPTE DE LIAISON DES ETABLISSEMENTS"/>
    <s v="OD"/>
    <n v="-376.96"/>
    <d v="2025-10-01T00:00:00"/>
    <s v="Liaison inter-établissement vers TO "/>
    <m/>
    <e v="#N/A"/>
    <e v="#N/A"/>
    <n v="89716"/>
    <m/>
    <s v="AVIS"/>
    <s v="Q4"/>
    <e v="#REF!"/>
    <e v="#REF!"/>
    <e v="#REF!"/>
  </r>
  <r>
    <s v="181000"/>
    <x v="6"/>
    <s v="COMPTE DE LIAISON DES ETABLISSEMENTS"/>
    <s v="OD"/>
    <n v="-373.2"/>
    <d v="2025-04-18T00:00:00"/>
    <s v="Liaison établissement 401000 GSF RO"/>
    <m/>
    <e v="#N/A"/>
    <e v="#N/A"/>
    <n v="68183"/>
    <s v="Invoice Payment by Pili"/>
    <s v="GSF"/>
    <s v="Q2"/>
    <e v="#REF!"/>
    <e v="#REF!"/>
    <e v="#REF!"/>
  </r>
  <r>
    <s v="181000"/>
    <x v="6"/>
    <s v="COMPTE DE LIAISON DES ETABLISSEMENTS"/>
    <s v="OD"/>
    <n v="-373.2"/>
    <d v="2025-05-07T00:00:00"/>
    <s v="Liaison établissement 401000 GSF RO"/>
    <m/>
    <e v="#N/A"/>
    <e v="#N/A"/>
    <n v="71786"/>
    <s v="ENTRETIEN DES LOCAUX ROUSSILLON AVRIL 2025"/>
    <s v="GSF"/>
    <s v="Q2"/>
    <e v="#REF!"/>
    <e v="#REF!"/>
    <e v="#REF!"/>
  </r>
  <r>
    <s v="181000"/>
    <x v="6"/>
    <s v="COMPTE DE LIAISON DES ETABLISSEMENTS"/>
    <s v="OD"/>
    <n v="-373.2"/>
    <d v="2025-07-22T00:00:00"/>
    <s v="Liaison établissement 401000 GSF RO"/>
    <m/>
    <e v="#N/A"/>
    <e v="#N/A"/>
    <n v="78316"/>
    <s v="ENTRETIEN LOCAUX ROUSSILLON"/>
    <s v="GSF"/>
    <s v="Q3"/>
    <e v="#REF!"/>
    <e v="#REF!"/>
    <e v="#REF!"/>
  </r>
  <r>
    <s v="181000"/>
    <x v="6"/>
    <s v="COMPTE DE LIAISON DES ETABLISSEMENTS"/>
    <s v="OD"/>
    <n v="-373.2"/>
    <d v="2025-08-22T00:00:00"/>
    <s v="Liaison établissement 401000 GSF RO"/>
    <m/>
    <e v="#N/A"/>
    <e v="#N/A"/>
    <n v="81596"/>
    <s v="CONTRAT DE NETTOYAGE DES ALGECOS - ROUSSILLON"/>
    <s v="GSF"/>
    <s v="Q3"/>
    <e v="#REF!"/>
    <e v="#REF!"/>
    <e v="#REF!"/>
  </r>
  <r>
    <s v="181000"/>
    <x v="6"/>
    <s v="COMPTE DE LIAISON DES ETABLISSEMENTS"/>
    <s v="OD"/>
    <n v="-373.2"/>
    <d v="2025-09-26T00:00:00"/>
    <s v="Liaison établissement 401000 GSF RO"/>
    <m/>
    <e v="#N/A"/>
    <e v="#N/A"/>
    <n v="82515"/>
    <s v="INVOICE PAYMENT BY PILI"/>
    <s v="GSF"/>
    <s v="Q3"/>
    <e v="#REF!"/>
    <e v="#REF!"/>
    <e v="#REF!"/>
  </r>
  <r>
    <s v="181000"/>
    <x v="6"/>
    <s v="COMPTE DE LIAISON DES ETABLISSEMENTS"/>
    <s v="OD"/>
    <n v="-373.2"/>
    <d v="2025-10-31T00:00:00"/>
    <s v="Liaison établissement 401000 GSF RO"/>
    <m/>
    <e v="#N/A"/>
    <e v="#N/A"/>
    <n v="87555"/>
    <s v="ENTRETIEN DES ALGÉCOS"/>
    <s v="GSF"/>
    <s v="Q4"/>
    <e v="#REF!"/>
    <e v="#REF!"/>
    <e v="#REF!"/>
  </r>
  <r>
    <s v="181000"/>
    <x v="6"/>
    <s v="COMPTE DE LIAISON DES ETABLISSEMENTS"/>
    <s v="OD"/>
    <n v="-373.2"/>
    <d v="2025-11-28T00:00:00"/>
    <s v="Liaison établissement 401000 GSF RO"/>
    <m/>
    <e v="#N/A"/>
    <e v="#N/A"/>
    <n v="91237"/>
    <s v="251P1464"/>
    <s v="GSF"/>
    <s v="Q4"/>
    <e v="#REF!"/>
    <e v="#REF!"/>
    <e v="#REF!"/>
  </r>
  <r>
    <s v="181000"/>
    <x v="6"/>
    <s v="COMPTE DE LIAISON DES ETABLISSEMENTS"/>
    <s v="OD"/>
    <n v="-373.2"/>
    <d v="2025-12-30T00:00:00"/>
    <s v="Liaison établissement 401000 GSF RO"/>
    <m/>
    <e v="#N/A"/>
    <e v="#N/A"/>
    <n v="93828"/>
    <s v="251P1661"/>
    <s v="GSF"/>
    <s v="Q4"/>
    <e v="#REF!"/>
    <e v="#REF!"/>
    <e v="#REF!"/>
  </r>
  <r>
    <s v="181000"/>
    <x v="6"/>
    <s v="COMPTE DE LIAISON DES ETABLISSEMENTS"/>
    <s v="OD"/>
    <n v="-373.14"/>
    <d v="2025-02-18T00:00:00"/>
    <s v="Liaison inter-établissement vers TO "/>
    <s v="Non"/>
    <e v="#N/A"/>
    <e v="#N/A"/>
    <n v="63570"/>
    <m/>
    <s v="BIOTIKA"/>
    <s v="Q1"/>
    <e v="#REF!"/>
    <e v="#REF!"/>
    <e v="#REF!"/>
  </r>
  <r>
    <s v="181000"/>
    <x v="6"/>
    <s v="COMPTE DE LIAISON DES ETABLISSEMENTS"/>
    <s v="OD"/>
    <n v="-371.26"/>
    <d v="2025-05-14T00:00:00"/>
    <s v="Liaison établissement 401000 BIOTIKA RO"/>
    <s v="Non"/>
    <e v="#N/A"/>
    <e v="#N/A"/>
    <n v="72296"/>
    <m/>
    <s v="BIOTIKA"/>
    <s v="Q2"/>
    <e v="#REF!"/>
    <e v="#REF!"/>
    <e v="#REF!"/>
  </r>
  <r>
    <s v="181000"/>
    <x v="6"/>
    <s v="COMPTE DE LIAISON DES ETABLISSEMENTS"/>
    <s v="OD"/>
    <n v="-364.78"/>
    <d v="2025-02-28T00:00:00"/>
    <s v="Liaison inter-établissement vers TO "/>
    <m/>
    <e v="#N/A"/>
    <e v="#N/A"/>
    <n v="64420"/>
    <m/>
    <s v="COTRAL LAB"/>
    <s v="Q1"/>
    <e v="#REF!"/>
    <e v="#REF!"/>
    <e v="#REF!"/>
  </r>
  <r>
    <s v="181000"/>
    <x v="6"/>
    <s v="COMPTE DE LIAISON DES ETABLISSEMENTS"/>
    <s v="OD"/>
    <n v="-362.31"/>
    <d v="2025-03-14T00:00:00"/>
    <s v="Liaison inter-établissement vers TO "/>
    <m/>
    <s v="Non"/>
    <e v="#N/A"/>
    <n v="71908"/>
    <m/>
    <s v="DIVERS"/>
    <s v="Q1"/>
    <e v="#REF!"/>
    <e v="#REF!"/>
    <e v="#REF!"/>
  </r>
  <r>
    <s v="181000"/>
    <x v="6"/>
    <s v="COMPTE DE LIAISON DES ETABLISSEMENTS"/>
    <s v="OD"/>
    <n v="-360.2"/>
    <d v="2025-11-13T00:00:00"/>
    <s v="Liaison établissement 401000 INITIATIVE LY"/>
    <m/>
    <e v="#N/A"/>
    <e v="#N/A"/>
    <n v="89954"/>
    <s v="COUVERTURE MULTIRISQUE PROFESSIONNELLE AV DE SULLY LYON"/>
    <s v="INITIATIVE &amp; RISK PARTNERS"/>
    <s v="Q4"/>
    <e v="#REF!"/>
    <e v="#REF!"/>
    <e v="#REF!"/>
  </r>
  <r>
    <s v="181000"/>
    <x v="6"/>
    <s v="COMPTE DE LIAISON DES ETABLISSEMENTS"/>
    <s v="OD"/>
    <n v="-360"/>
    <d v="2025-08-21T00:00:00"/>
    <s v="Liaison établissement 401000 BECKER KB"/>
    <s v="Non"/>
    <s v="Oui"/>
    <e v="#N/A"/>
    <n v="81406"/>
    <s v="SURVEILLANCE BREVET"/>
    <s v="BECKER"/>
    <s v="Q3"/>
    <e v="#REF!"/>
    <e v="#REF!"/>
    <e v="#REF!"/>
  </r>
  <r>
    <s v="181000"/>
    <x v="6"/>
    <s v="COMPTE DE LIAISON DES ETABLISSEMENTS"/>
    <s v="OD"/>
    <n v="-360"/>
    <d v="2025-09-25T00:00:00"/>
    <s v="Liaison inter-établissement vers TO "/>
    <m/>
    <e v="#N/A"/>
    <e v="#N/A"/>
    <n v="83397"/>
    <m/>
    <s v="BILLETWEB"/>
    <s v="Q3"/>
    <e v="#REF!"/>
    <e v="#REF!"/>
    <e v="#REF!"/>
  </r>
  <r>
    <s v="181000"/>
    <x v="6"/>
    <s v="COMPTE DE LIAISON DES ETABLISSEMENTS"/>
    <s v="OD"/>
    <n v="-360"/>
    <d v="2025-11-04T00:00:00"/>
    <s v="Liaison inter-établissement vers TO "/>
    <m/>
    <e v="#N/A"/>
    <e v="#N/A"/>
    <n v="91754"/>
    <m/>
    <s v="YOUSIGN"/>
    <s v="Q4"/>
    <e v="#REF!"/>
    <e v="#REF!"/>
    <e v="#REF!"/>
  </r>
  <r>
    <s v="181000"/>
    <x v="6"/>
    <s v="COMPTE DE LIAISON DES ETABLISSEMENTS"/>
    <s v="OD"/>
    <n v="-359.69"/>
    <d v="2025-04-25T00:00:00"/>
    <s v="Liaison établissement 401000 ROTH RO"/>
    <m/>
    <e v="#N/A"/>
    <e v="#N/A"/>
    <n v="70182"/>
    <s v="Invoice Payment by Pili"/>
    <s v="ROTH SOCHIEL"/>
    <s v="Q2"/>
    <e v="#REF!"/>
    <e v="#REF!"/>
    <e v="#REF!"/>
  </r>
  <r>
    <s v="181000"/>
    <x v="6"/>
    <s v="COMPTE DE LIAISON DES ETABLISSEMENTS"/>
    <s v="OD"/>
    <n v="-356.4"/>
    <d v="2025-08-21T00:00:00"/>
    <s v="Liaison établissement 401000 SAESPCI KB"/>
    <m/>
    <e v="#N/A"/>
    <e v="#N/A"/>
    <n v="81492"/>
    <s v="ANALYSE RMN ESPCI - AVR-JUIN 2025"/>
    <s v="SAESPCI"/>
    <s v="Q3"/>
    <e v="#REF!"/>
    <e v="#REF!"/>
    <e v="#REF!"/>
  </r>
  <r>
    <s v="181000"/>
    <x v="6"/>
    <s v="COMPTE DE LIAISON DES ETABLISSEMENTS"/>
    <s v="OD"/>
    <n v="-356.12"/>
    <d v="2025-12-30T00:00:00"/>
    <s v="Liaison établissement 401000 BIOTIKA RO"/>
    <s v="Non"/>
    <e v="#N/A"/>
    <e v="#N/A"/>
    <n v="93781"/>
    <s v="91250194"/>
    <s v="BIOTIKA"/>
    <s v="Q4"/>
    <e v="#REF!"/>
    <e v="#REF!"/>
    <e v="#REF!"/>
  </r>
  <r>
    <s v="181000"/>
    <x v="6"/>
    <s v="COMPTE DE LIAISON DES ETABLISSEMENTS"/>
    <s v="OD"/>
    <n v="-354.95"/>
    <d v="2025-03-07T00:00:00"/>
    <s v="Liaison inter-établissement vers TO "/>
    <m/>
    <e v="#N/A"/>
    <e v="#N/A"/>
    <n v="68071"/>
    <m/>
    <s v="BRUNEAU"/>
    <s v="Q1"/>
    <e v="#REF!"/>
    <e v="#REF!"/>
    <e v="#REF!"/>
  </r>
  <r>
    <s v="181000"/>
    <x v="6"/>
    <s v="COMPTE DE LIAISON DES ETABLISSEMENTS"/>
    <s v="OD"/>
    <n v="-350.44"/>
    <d v="2025-10-08T00:00:00"/>
    <s v="Liaison inter-établissement vers TO "/>
    <m/>
    <e v="#N/A"/>
    <e v="#N/A"/>
    <n v="89766"/>
    <m/>
    <s v="MANUTAN"/>
    <s v="Q4"/>
    <e v="#REF!"/>
    <e v="#REF!"/>
    <e v="#REF!"/>
  </r>
  <r>
    <s v="181000"/>
    <x v="6"/>
    <s v="COMPTE DE LIAISON DES ETABLISSEMENTS"/>
    <s v="OD"/>
    <n v="-349"/>
    <d v="2025-05-29T00:00:00"/>
    <s v="Liaison inter-établissement vers TO "/>
    <m/>
    <e v="#N/A"/>
    <e v="#N/A"/>
    <n v="78137"/>
    <m/>
    <s v="SNCF"/>
    <s v="Q2"/>
    <e v="#REF!"/>
    <e v="#REF!"/>
    <e v="#REF!"/>
  </r>
  <r>
    <s v="181000"/>
    <x v="6"/>
    <s v="COMPTE DE LIAISON DES ETABLISSEMENTS"/>
    <s v="OD"/>
    <n v="-349"/>
    <d v="2025-11-28T00:00:00"/>
    <s v="Liaison inter-établissement vers TO "/>
    <m/>
    <e v="#N/A"/>
    <e v="#N/A"/>
    <n v="91730"/>
    <m/>
    <s v="SNCF"/>
    <s v="Q4"/>
    <e v="#REF!"/>
    <e v="#REF!"/>
    <e v="#REF!"/>
  </r>
  <r>
    <s v="181000"/>
    <x v="6"/>
    <s v="COMPTE DE LIAISON DES ETABLISSEMENTS"/>
    <s v="OD"/>
    <n v="-349"/>
    <d v="2025-12-09T00:00:00"/>
    <s v="Liaison inter-établissement vers TO "/>
    <m/>
    <e v="#N/A"/>
    <e v="#N/A"/>
    <n v="94133"/>
    <m/>
    <s v="SNCF"/>
    <s v="Q4"/>
    <e v="#REF!"/>
    <e v="#REF!"/>
    <e v="#REF!"/>
  </r>
  <r>
    <s v="181000"/>
    <x v="6"/>
    <s v="COMPTE DE LIAISON DES ETABLISSEMENTS"/>
    <s v="OD"/>
    <n v="-348.34"/>
    <d v="2025-04-25T00:00:00"/>
    <s v="Liaison établissement 401000 ROTH RO"/>
    <m/>
    <e v="#N/A"/>
    <e v="#N/A"/>
    <n v="70177"/>
    <s v="Invoice Payment by Pili"/>
    <s v="ROTH SOCHIEL"/>
    <s v="Q2"/>
    <e v="#REF!"/>
    <e v="#REF!"/>
    <e v="#REF!"/>
  </r>
  <r>
    <s v="181000"/>
    <x v="6"/>
    <s v="COMPTE DE LIAISON DES ETABLISSEMENTS"/>
    <s v="OD"/>
    <n v="-346.55"/>
    <d v="2025-05-07T00:00:00"/>
    <s v="Liaison établissement 401000 VWR KB"/>
    <m/>
    <e v="#N/A"/>
    <e v="#N/A"/>
    <n v="71861"/>
    <s v="COMMANDE PRODUITS ET CONSOMMABLES LABO"/>
    <s v="VWR AVANTOR"/>
    <s v="Q2"/>
    <e v="#REF!"/>
    <e v="#REF!"/>
    <e v="#REF!"/>
  </r>
  <r>
    <s v="181000"/>
    <x v="6"/>
    <s v="COMPTE DE LIAISON DES ETABLISSEMENTS"/>
    <s v="OD"/>
    <n v="-344.4"/>
    <d v="2025-07-23T00:00:00"/>
    <s v="Liaison établissement 401000 BIOTIKA RO"/>
    <s v="Non"/>
    <e v="#N/A"/>
    <e v="#N/A"/>
    <n v="78350"/>
    <s v="TRANSPORT OF ADR MATERIAL TO MILANO ITALY"/>
    <s v="BIOTIKA"/>
    <s v="Q3"/>
    <e v="#REF!"/>
    <e v="#REF!"/>
    <e v="#REF!"/>
  </r>
  <r>
    <s v="181000"/>
    <x v="6"/>
    <s v="COMPTE DE LIAISON DES ETABLISSEMENTS"/>
    <s v="OD"/>
    <n v="-341.36"/>
    <d v="2025-05-30T00:00:00"/>
    <s v="Liaison inter-établissement vers TO "/>
    <m/>
    <e v="#N/A"/>
    <e v="#N/A"/>
    <n v="75021"/>
    <m/>
    <s v="AIR LIQUIDE"/>
    <s v="Q2"/>
    <e v="#REF!"/>
    <e v="#REF!"/>
    <e v="#REF!"/>
  </r>
  <r>
    <s v="181000"/>
    <x v="6"/>
    <s v="COMPTE DE LIAISON DES ETABLISSEMENTS"/>
    <s v="OD"/>
    <n v="-336.86"/>
    <d v="2025-03-19T00:00:00"/>
    <s v="Liaison inter-établissement vers TO "/>
    <m/>
    <e v="#N/A"/>
    <e v="#N/A"/>
    <n v="63758"/>
    <m/>
    <s v="MANUTAN"/>
    <s v="Q1"/>
    <e v="#REF!"/>
    <e v="#REF!"/>
    <e v="#REF!"/>
  </r>
  <r>
    <s v="181000"/>
    <x v="6"/>
    <s v="COMPTE DE LIAISON DES ETABLISSEMENTS"/>
    <s v="OD"/>
    <n v="-336"/>
    <d v="2025-10-31T00:00:00"/>
    <s v="Liaison établissement 401000 BECKER KB"/>
    <s v="Non"/>
    <s v="Oui"/>
    <e v="#N/A"/>
    <n v="87508"/>
    <s v="RETRAIT DEMANDE INITIALE EP AVANT PCT DE PALOMA CHIMIE"/>
    <s v="BECKER"/>
    <s v="Q4"/>
    <e v="#REF!"/>
    <e v="#REF!"/>
    <e v="#REF!"/>
  </r>
  <r>
    <s v="181000"/>
    <x v="6"/>
    <s v="COMPTE DE LIAISON DES ETABLISSEMENTS"/>
    <s v="OD"/>
    <n v="-334.19"/>
    <d v="2025-10-24T00:00:00"/>
    <s v="Liaison inter-établissement vers TO "/>
    <m/>
    <e v="#N/A"/>
    <e v="#N/A"/>
    <n v="94873"/>
    <m/>
    <s v="RICOH"/>
    <s v="Q4"/>
    <e v="#REF!"/>
    <e v="#REF!"/>
    <e v="#REF!"/>
  </r>
  <r>
    <s v="181000"/>
    <x v="6"/>
    <s v="COMPTE DE LIAISON DES ETABLISSEMENTS"/>
    <s v="OD"/>
    <n v="-333.2"/>
    <d v="2025-01-01T00:00:00"/>
    <s v="Liaison inter-établissement"/>
    <m/>
    <e v="#N/A"/>
    <e v="#N/A"/>
    <n v="74070"/>
    <m/>
    <s v="BROSSIER TRANSPORTS"/>
    <s v="Q1"/>
    <e v="#REF!"/>
    <e v="#REF!"/>
    <e v="#REF!"/>
  </r>
  <r>
    <s v="181000"/>
    <x v="6"/>
    <s v="COMPTE DE LIAISON DES ETABLISSEMENTS"/>
    <s v="OD"/>
    <n v="-332.45"/>
    <d v="2025-03-14T00:00:00"/>
    <s v="Liaison inter-établissement vers TO "/>
    <m/>
    <e v="#N/A"/>
    <e v="#N/A"/>
    <n v="75883"/>
    <m/>
    <s v="Marie-Sarah Adenis"/>
    <s v="Q1"/>
    <e v="#REF!"/>
    <e v="#REF!"/>
    <e v="#REF!"/>
  </r>
  <r>
    <s v="181000"/>
    <x v="6"/>
    <s v="COMPTE DE LIAISON DES ETABLISSEMENTS"/>
    <s v="OD"/>
    <n v="-330.2"/>
    <d v="2025-03-21T00:00:00"/>
    <s v="Liaison inter-établissement vers TO "/>
    <m/>
    <e v="#N/A"/>
    <e v="#N/A"/>
    <n v="68079"/>
    <m/>
    <s v="BRUNEAU"/>
    <s v="Q1"/>
    <e v="#REF!"/>
    <e v="#REF!"/>
    <e v="#REF!"/>
  </r>
  <r>
    <s v="181000"/>
    <x v="6"/>
    <s v="COMPTE DE LIAISON DES ETABLISSEMENTS"/>
    <s v="OD"/>
    <n v="-329.19"/>
    <d v="2025-08-15T00:00:00"/>
    <s v="Liaison inter-établissement vers TO "/>
    <m/>
    <e v="#N/A"/>
    <e v="#N/A"/>
    <n v="81924"/>
    <m/>
    <s v="ENGIE"/>
    <s v="Q3"/>
    <e v="#REF!"/>
    <e v="#REF!"/>
    <e v="#REF!"/>
  </r>
  <r>
    <s v="181000"/>
    <x v="6"/>
    <s v="COMPTE DE LIAISON DES ETABLISSEMENTS"/>
    <s v="OD"/>
    <n v="-328.09"/>
    <d v="2025-08-21T00:00:00"/>
    <s v="Liaison inter-établissement vers TO "/>
    <m/>
    <e v="#N/A"/>
    <e v="#N/A"/>
    <n v="83241"/>
    <m/>
    <s v="ARCANE INDUSTRIE"/>
    <s v="Q3"/>
    <e v="#REF!"/>
    <e v="#REF!"/>
    <e v="#REF!"/>
  </r>
  <r>
    <s v="181000"/>
    <x v="6"/>
    <s v="COMPTE DE LIAISON DES ETABLISSEMENTS"/>
    <s v="OD"/>
    <n v="-328.09"/>
    <d v="2025-11-05T00:00:00"/>
    <s v="Liaison inter-établissement vers TO "/>
    <m/>
    <e v="#N/A"/>
    <e v="#N/A"/>
    <n v="91597"/>
    <m/>
    <s v="ARCANE INDUSTRIE"/>
    <s v="Q4"/>
    <e v="#REF!"/>
    <e v="#REF!"/>
    <e v="#REF!"/>
  </r>
  <r>
    <s v="181000"/>
    <x v="6"/>
    <s v="COMPTE DE LIAISON DES ETABLISSEMENTS"/>
    <s v="OD"/>
    <n v="-325.93"/>
    <d v="2025-10-31T00:00:00"/>
    <s v="Liaison établissement 401000 BIOTIKA RO"/>
    <s v="Non"/>
    <e v="#N/A"/>
    <e v="#N/A"/>
    <n v="87524"/>
    <s v="TRANSPORT COSTS"/>
    <s v="BIOTIKA"/>
    <s v="Q4"/>
    <e v="#REF!"/>
    <e v="#REF!"/>
    <e v="#REF!"/>
  </r>
  <r>
    <s v="181000"/>
    <x v="6"/>
    <s v="COMPTE DE LIAISON DES ETABLISSEMENTS"/>
    <s v="OD"/>
    <n v="-324"/>
    <d v="2025-10-21T00:00:00"/>
    <s v="Liaison inter-établissement vers TO "/>
    <m/>
    <e v="#N/A"/>
    <e v="#N/A"/>
    <n v="87488"/>
    <m/>
    <s v="DOMAINE DE CHRISTIN SAS"/>
    <s v="Q4"/>
    <e v="#REF!"/>
    <e v="#REF!"/>
    <e v="#REF!"/>
  </r>
  <r>
    <s v="181000"/>
    <x v="6"/>
    <s v="COMPTE DE LIAISON DES ETABLISSEMENTS"/>
    <s v="OD"/>
    <n v="-321.35000000000002"/>
    <d v="2025-07-31T00:00:00"/>
    <s v="Liaison inter-établissement vers TO "/>
    <m/>
    <e v="#N/A"/>
    <e v="#N/A"/>
    <n v="81920"/>
    <m/>
    <s v="AIR LIQUIDE"/>
    <s v="Q3"/>
    <e v="#REF!"/>
    <e v="#REF!"/>
    <e v="#REF!"/>
  </r>
  <r>
    <s v="181000"/>
    <x v="6"/>
    <s v="COMPTE DE LIAISON DES ETABLISSEMENTS"/>
    <s v="OD"/>
    <n v="-321.18"/>
    <d v="2025-12-30T00:00:00"/>
    <s v="Liaison établissement 401000 VWR KB"/>
    <m/>
    <e v="#N/A"/>
    <e v="#N/A"/>
    <n v="93843"/>
    <s v="4067873149"/>
    <s v="VWR AVANTOR"/>
    <s v="Q4"/>
    <e v="#REF!"/>
    <e v="#REF!"/>
    <e v="#REF!"/>
  </r>
  <r>
    <s v="181000"/>
    <x v="6"/>
    <s v="COMPTE DE LIAISON DES ETABLISSEMENTS"/>
    <s v="OD"/>
    <n v="-319.43"/>
    <d v="2025-09-12T00:00:00"/>
    <s v="Liaison établissement 401000 VWR KB"/>
    <m/>
    <e v="#N/A"/>
    <e v="#N/A"/>
    <n v="82041"/>
    <s v="CONSOMMABLES LABO"/>
    <s v="VWR AVANTOR"/>
    <s v="Q3"/>
    <e v="#REF!"/>
    <e v="#REF!"/>
    <e v="#REF!"/>
  </r>
  <r>
    <s v="181000"/>
    <x v="6"/>
    <s v="COMPTE DE LIAISON DES ETABLISSEMENTS"/>
    <s v="OD"/>
    <n v="-318"/>
    <d v="2025-05-07T00:00:00"/>
    <s v="Liaison établissement 401000 GAZDETECT RO"/>
    <m/>
    <e v="#N/A"/>
    <e v="#N/A"/>
    <n v="71781"/>
    <s v="CARTOUCHE AX POUR MASQUE À GAZ"/>
    <s v="GAZ DETECT"/>
    <s v="Q2"/>
    <e v="#REF!"/>
    <e v="#REF!"/>
    <e v="#REF!"/>
  </r>
  <r>
    <s v="181000"/>
    <x v="6"/>
    <s v="COMPTE DE LIAISON DES ETABLISSEMENTS"/>
    <s v="OD"/>
    <n v="-316.7"/>
    <d v="2025-03-21T00:00:00"/>
    <s v="Liaison inter-établissement vers TO "/>
    <m/>
    <s v="Non"/>
    <e v="#N/A"/>
    <n v="68111"/>
    <m/>
    <s v="DIVERS"/>
    <s v="Q1"/>
    <e v="#REF!"/>
    <e v="#REF!"/>
    <e v="#REF!"/>
  </r>
  <r>
    <s v="181000"/>
    <x v="6"/>
    <s v="COMPTE DE LIAISON DES ETABLISSEMENTS"/>
    <s v="OD"/>
    <n v="-313.33"/>
    <d v="2025-04-25T00:00:00"/>
    <s v="Liaison inter-établissement vers TO "/>
    <m/>
    <e v="#N/A"/>
    <e v="#N/A"/>
    <n v="74470"/>
    <m/>
    <s v="Bob Fernandez"/>
    <s v="Q2"/>
    <e v="#REF!"/>
    <e v="#REF!"/>
    <e v="#REF!"/>
  </r>
  <r>
    <s v="181000"/>
    <x v="6"/>
    <s v="COMPTE DE LIAISON DES ETABLISSEMENTS"/>
    <s v="OD"/>
    <n v="-313.2"/>
    <d v="2025-05-07T00:00:00"/>
    <s v="Liaison établissement 401000 RAJA LY"/>
    <m/>
    <e v="#N/A"/>
    <e v="#N/A"/>
    <n v="71806"/>
    <s v="TUBE BRUN RAJA D60 LONG500"/>
    <s v="RAJA"/>
    <s v="Q2"/>
    <e v="#REF!"/>
    <e v="#REF!"/>
    <e v="#REF!"/>
  </r>
  <r>
    <s v="181000"/>
    <x v="6"/>
    <s v="COMPTE DE LIAISON DES ETABLISSEMENTS"/>
    <s v="OD"/>
    <n v="-313.2"/>
    <d v="2025-09-12T00:00:00"/>
    <s v="Liaison établissement 401000 FISHER RO"/>
    <m/>
    <e v="#N/A"/>
    <e v="#N/A"/>
    <n v="82006"/>
    <s v="HYDROXYLAMINE SULFATE POUR STEP 2 KEENY"/>
    <s v="FISHER SCIENTIFIC"/>
    <s v="Q3"/>
    <e v="#REF!"/>
    <e v="#REF!"/>
    <e v="#REF!"/>
  </r>
  <r>
    <s v="181000"/>
    <x v="6"/>
    <s v="COMPTE DE LIAISON DES ETABLISSEMENTS"/>
    <s v="OD"/>
    <n v="-313.2"/>
    <d v="2025-10-06T00:00:00"/>
    <s v="Liaison établissement 401000 FISHER RO"/>
    <m/>
    <e v="#N/A"/>
    <e v="#N/A"/>
    <n v="82930"/>
    <s v="HYDROXYLAMINE SULFATE POUR STEP 2 KEENY"/>
    <s v="FISHER SCIENTIFIC"/>
    <s v="Q4"/>
    <e v="#REF!"/>
    <e v="#REF!"/>
    <e v="#REF!"/>
  </r>
  <r>
    <s v="181000"/>
    <x v="6"/>
    <s v="COMPTE DE LIAISON DES ETABLISSEMENTS"/>
    <s v="OD"/>
    <n v="-309.12"/>
    <d v="2025-03-28T00:00:00"/>
    <s v="Liaison établissement 401000 CLOUP KB"/>
    <m/>
    <e v="#N/A"/>
    <e v="#N/A"/>
    <n v="65003"/>
    <s v="Invoice Payment by Pili"/>
    <s v="CLOUP"/>
    <s v="Q1"/>
    <e v="#REF!"/>
    <e v="#REF!"/>
    <e v="#REF!"/>
  </r>
  <r>
    <s v="181000"/>
    <x v="6"/>
    <s v="COMPTE DE LIAISON DES ETABLISSEMENTS"/>
    <s v="OD"/>
    <n v="-308.41000000000003"/>
    <d v="2025-11-13T00:00:00"/>
    <s v="Liaison établissement 401000 VWR KB"/>
    <m/>
    <e v="#N/A"/>
    <e v="#N/A"/>
    <n v="89948"/>
    <s v="CONSOMMABLE LABO"/>
    <s v="VWR AVANTOR"/>
    <s v="Q4"/>
    <e v="#REF!"/>
    <e v="#REF!"/>
    <e v="#REF!"/>
  </r>
  <r>
    <s v="181000"/>
    <x v="6"/>
    <s v="COMPTE DE LIAISON DES ETABLISSEMENTS"/>
    <s v="OD"/>
    <n v="-308.27"/>
    <d v="2025-04-14T00:00:00"/>
    <s v="Liaison inter-établissement vers TO "/>
    <m/>
    <e v="#N/A"/>
    <e v="#N/A"/>
    <n v="72777"/>
    <m/>
    <s v="ENGIE"/>
    <s v="Q2"/>
    <e v="#REF!"/>
    <e v="#REF!"/>
    <e v="#REF!"/>
  </r>
  <r>
    <s v="181000"/>
    <x v="6"/>
    <s v="COMPTE DE LIAISON DES ETABLISSEMENTS"/>
    <s v="OD"/>
    <n v="-305.92"/>
    <d v="2025-10-16T00:00:00"/>
    <s v="Liaison inter-établissement vers TO "/>
    <m/>
    <e v="#N/A"/>
    <e v="#N/A"/>
    <n v="86955"/>
    <m/>
    <s v="ENGIE"/>
    <s v="Q4"/>
    <e v="#REF!"/>
    <e v="#REF!"/>
    <e v="#REF!"/>
  </r>
  <r>
    <s v="181000"/>
    <x v="6"/>
    <s v="COMPTE DE LIAISON DES ETABLISSEMENTS"/>
    <s v="OD"/>
    <n v="-303.10000000000002"/>
    <d v="2025-07-16T00:00:00"/>
    <s v="Liaison inter-établissement vers TO "/>
    <m/>
    <e v="#N/A"/>
    <e v="#N/A"/>
    <n v="78857"/>
    <m/>
    <s v="ENGIE"/>
    <s v="Q3"/>
    <e v="#REF!"/>
    <e v="#REF!"/>
    <e v="#REF!"/>
  </r>
  <r>
    <s v="181000"/>
    <x v="6"/>
    <s v="COMPTE DE LIAISON DES ETABLISSEMENTS"/>
    <s v="OD"/>
    <n v="-302.39999999999998"/>
    <d v="2025-09-12T00:00:00"/>
    <s v="Liaison établissement 401000 VWR KB"/>
    <m/>
    <e v="#N/A"/>
    <e v="#N/A"/>
    <n v="82031"/>
    <s v="CONSOMMABLES LABO"/>
    <s v="VWR AVANTOR"/>
    <s v="Q3"/>
    <e v="#REF!"/>
    <e v="#REF!"/>
    <e v="#REF!"/>
  </r>
  <r>
    <s v="181000"/>
    <x v="6"/>
    <s v="COMPTE DE LIAISON DES ETABLISSEMENTS"/>
    <s v="OD"/>
    <n v="-300.89"/>
    <d v="2025-09-30T00:00:00"/>
    <s v="Liaison inter-établissement vers TO "/>
    <m/>
    <e v="#N/A"/>
    <e v="#N/A"/>
    <n v="82675"/>
    <m/>
    <s v="BRENNTAG"/>
    <s v="Q3"/>
    <e v="#REF!"/>
    <e v="#REF!"/>
    <e v="#REF!"/>
  </r>
  <r>
    <s v="181000"/>
    <x v="6"/>
    <s v="COMPTE DE LIAISON DES ETABLISSEMENTS"/>
    <s v="OD"/>
    <n v="-300"/>
    <d v="2025-06-27T00:00:00"/>
    <s v="Liaison inter-établissement vers TO "/>
    <m/>
    <e v="#N/A"/>
    <e v="#N/A"/>
    <n v="76675"/>
    <m/>
    <s v="Jérémie Blache"/>
    <s v="Q2"/>
    <e v="#REF!"/>
    <e v="#REF!"/>
    <e v="#REF!"/>
  </r>
  <r>
    <s v="181000"/>
    <x v="6"/>
    <s v="COMPTE DE LIAISON DES ETABLISSEMENTS"/>
    <s v="OD"/>
    <n v="-300"/>
    <d v="2025-07-31T00:00:00"/>
    <s v="Liaison établissement 401000 GONZALEZ KB"/>
    <s v="Non"/>
    <s v="Non"/>
    <e v="#N/A"/>
    <n v="79281"/>
    <s v="PRESTATION PHOTOGRAPHIQUE COMPRENANT LA PRISE DE VUES ET LA POST-PRODUCTION"/>
    <s v="GONZALEZ VICTOR"/>
    <s v="Q3"/>
    <e v="#REF!"/>
    <e v="#REF!"/>
    <e v="#REF!"/>
  </r>
  <r>
    <s v="181000"/>
    <x v="6"/>
    <s v="COMPTE DE LIAISON DES ETABLISSEMENTS"/>
    <s v="OD"/>
    <n v="-299.51"/>
    <d v="2025-12-24T00:00:00"/>
    <s v="Liaison établissement 401000 WARNER NORCROSS JUDD LY"/>
    <s v="Non"/>
    <s v="Non"/>
    <e v="#N/A"/>
    <n v="93669"/>
    <s v="2473501"/>
    <s v="WARNER NORCROSS JUDD"/>
    <s v="Q4"/>
    <e v="#REF!"/>
    <e v="#REF!"/>
    <e v="#REF!"/>
  </r>
  <r>
    <s v="181000"/>
    <x v="6"/>
    <s v="COMPTE DE LIAISON DES ETABLISSEMENTS"/>
    <s v="OD"/>
    <n v="-298.8"/>
    <d v="2025-03-03T00:00:00"/>
    <s v="Liaison inter-établissement vers TO "/>
    <m/>
    <e v="#N/A"/>
    <e v="#N/A"/>
    <n v="64404"/>
    <m/>
    <s v="CLOUP"/>
    <s v="Q1"/>
    <e v="#REF!"/>
    <e v="#REF!"/>
    <e v="#REF!"/>
  </r>
  <r>
    <s v="181000"/>
    <x v="6"/>
    <s v="COMPTE DE LIAISON DES ETABLISSEMENTS"/>
    <s v="OD"/>
    <n v="-298"/>
    <d v="2025-02-06T00:00:00"/>
    <s v="Liaison inter-établissement vers TO "/>
    <m/>
    <s v="Non"/>
    <e v="#N/A"/>
    <n v="64292"/>
    <m/>
    <s v="DIVERS"/>
    <s v="Q1"/>
    <e v="#REF!"/>
    <e v="#REF!"/>
    <e v="#REF!"/>
  </r>
  <r>
    <s v="181000"/>
    <x v="6"/>
    <s v="COMPTE DE LIAISON DES ETABLISSEMENTS"/>
    <s v="OD"/>
    <n v="-294.95999999999998"/>
    <d v="2025-10-25T00:00:00"/>
    <s v="Liaison inter-établissement vers TO "/>
    <m/>
    <e v="#N/A"/>
    <e v="#N/A"/>
    <n v="91593"/>
    <m/>
    <s v="AIRLINES"/>
    <s v="Q4"/>
    <e v="#REF!"/>
    <e v="#REF!"/>
    <e v="#REF!"/>
  </r>
  <r>
    <s v="181000"/>
    <x v="6"/>
    <s v="COMPTE DE LIAISON DES ETABLISSEMENTS"/>
    <s v="OD"/>
    <n v="-294.49"/>
    <d v="2025-06-30T00:00:00"/>
    <s v="Liaison inter-établissement"/>
    <m/>
    <e v="#N/A"/>
    <e v="#N/A"/>
    <n v="78536"/>
    <m/>
    <m/>
    <s v="Q2"/>
    <e v="#REF!"/>
    <e v="#REF!"/>
    <e v="#REF!"/>
  </r>
  <r>
    <s v="181000"/>
    <x v="6"/>
    <s v="COMPTE DE LIAISON DES ETABLISSEMENTS"/>
    <s v="OD"/>
    <n v="-293.54000000000002"/>
    <d v="2025-02-18T00:00:00"/>
    <s v="Liaison inter-établissement vers TO "/>
    <m/>
    <e v="#N/A"/>
    <e v="#N/A"/>
    <n v="63762"/>
    <m/>
    <s v="MANUTAN"/>
    <s v="Q1"/>
    <e v="#REF!"/>
    <e v="#REF!"/>
    <e v="#REF!"/>
  </r>
  <r>
    <s v="181000"/>
    <x v="6"/>
    <s v="COMPTE DE LIAISON DES ETABLISSEMENTS"/>
    <s v="OD"/>
    <n v="-292"/>
    <d v="2025-11-28T00:00:00"/>
    <s v="Liaison établissement 401000 BLD PHARMATECH KB"/>
    <m/>
    <e v="#N/A"/>
    <e v="#N/A"/>
    <n v="91262"/>
    <s v="INGM238822"/>
    <s v="BLD PHARMATECH"/>
    <s v="Q4"/>
    <e v="#REF!"/>
    <e v="#REF!"/>
    <e v="#REF!"/>
  </r>
  <r>
    <s v="181000"/>
    <x v="6"/>
    <s v="COMPTE DE LIAISON DES ETABLISSEMENTS"/>
    <s v="OD"/>
    <n v="-290"/>
    <d v="2025-10-29T00:00:00"/>
    <s v="Liaison inter-établissement vers TO "/>
    <m/>
    <e v="#N/A"/>
    <e v="#N/A"/>
    <n v="89826"/>
    <m/>
    <s v="SNCF"/>
    <s v="Q4"/>
    <e v="#REF!"/>
    <e v="#REF!"/>
    <e v="#REF!"/>
  </r>
  <r>
    <s v="181000"/>
    <x v="6"/>
    <s v="COMPTE DE LIAISON DES ETABLISSEMENTS"/>
    <s v="OD"/>
    <n v="-288.27"/>
    <d v="2025-11-28T00:00:00"/>
    <s v="Liaison établissement 401000 VWR KB"/>
    <m/>
    <e v="#N/A"/>
    <e v="#N/A"/>
    <n v="91247"/>
    <s v="4067842722"/>
    <s v="VWR AVANTOR"/>
    <s v="Q4"/>
    <e v="#REF!"/>
    <e v="#REF!"/>
    <e v="#REF!"/>
  </r>
  <r>
    <s v="181000"/>
    <x v="6"/>
    <s v="COMPTE DE LIAISON DES ETABLISSEMENTS"/>
    <s v="OD"/>
    <n v="-288"/>
    <d v="2025-01-23T00:00:00"/>
    <s v="Liaison inter-établissement vers TO "/>
    <m/>
    <s v="Non"/>
    <e v="#N/A"/>
    <n v="63718"/>
    <m/>
    <s v="DIVERS"/>
    <s v="Q1"/>
    <e v="#REF!"/>
    <e v="#REF!"/>
    <e v="#REF!"/>
  </r>
  <r>
    <s v="181000"/>
    <x v="6"/>
    <s v="COMPTE DE LIAISON DES ETABLISSEMENTS"/>
    <s v="OD"/>
    <n v="-288"/>
    <d v="2025-09-26T00:00:00"/>
    <s v="Liaison établissement 401000 GSF RO"/>
    <m/>
    <e v="#N/A"/>
    <e v="#N/A"/>
    <n v="82520"/>
    <s v="INVOICE PAYMENT BY PILI"/>
    <s v="GSF"/>
    <s v="Q3"/>
    <e v="#REF!"/>
    <e v="#REF!"/>
    <e v="#REF!"/>
  </r>
  <r>
    <s v="181000"/>
    <x v="6"/>
    <s v="COMPTE DE LIAISON DES ETABLISSEMENTS"/>
    <s v="OD"/>
    <n v="-287.83999999999997"/>
    <d v="2025-12-14T00:00:00"/>
    <s v="Liaison inter-établissement vers TO "/>
    <m/>
    <e v="#N/A"/>
    <e v="#N/A"/>
    <n v="94101"/>
    <m/>
    <s v="BRADY GROUPE"/>
    <s v="Q4"/>
    <e v="#REF!"/>
    <e v="#REF!"/>
    <e v="#REF!"/>
  </r>
  <r>
    <s v="181000"/>
    <x v="6"/>
    <s v="COMPTE DE LIAISON DES ETABLISSEMENTS"/>
    <s v="OD"/>
    <n v="-286.08"/>
    <d v="2025-08-18T00:00:00"/>
    <s v="Liaison établissement 401000 VWR KB"/>
    <m/>
    <e v="#N/A"/>
    <e v="#N/A"/>
    <n v="81132"/>
    <s v="COMMANDE PRODUIT POUR LABO"/>
    <s v="VWR AVANTOR"/>
    <s v="Q3"/>
    <e v="#REF!"/>
    <e v="#REF!"/>
    <e v="#REF!"/>
  </r>
  <r>
    <s v="181000"/>
    <x v="6"/>
    <s v="COMPTE DE LIAISON DES ETABLISSEMENTS"/>
    <s v="OD"/>
    <n v="-283.39"/>
    <d v="2025-08-18T00:00:00"/>
    <s v="Liaison établissement 401000 VWR KB"/>
    <m/>
    <e v="#N/A"/>
    <e v="#N/A"/>
    <n v="81127"/>
    <s v="COMMANDE CONSOMMABLE LABO"/>
    <s v="VWR AVANTOR"/>
    <s v="Q3"/>
    <e v="#REF!"/>
    <e v="#REF!"/>
    <e v="#REF!"/>
  </r>
  <r>
    <s v="181000"/>
    <x v="6"/>
    <s v="COMPTE DE LIAISON DES ETABLISSEMENTS"/>
    <s v="OD"/>
    <n v="-282.08999999999997"/>
    <d v="2025-05-16T00:00:00"/>
    <s v="Liaison inter-établissement vers TO "/>
    <m/>
    <e v="#N/A"/>
    <e v="#N/A"/>
    <n v="74550"/>
    <m/>
    <s v="Julie Lacondemine"/>
    <s v="Q2"/>
    <e v="#REF!"/>
    <e v="#REF!"/>
    <e v="#REF!"/>
  </r>
  <r>
    <s v="181000"/>
    <x v="6"/>
    <s v="COMPTE DE LIAISON DES ETABLISSEMENTS"/>
    <s v="OD"/>
    <n v="-281.32"/>
    <d v="2025-05-16T00:00:00"/>
    <s v="Liaison inter-établissement vers TO "/>
    <m/>
    <e v="#N/A"/>
    <e v="#N/A"/>
    <n v="74502"/>
    <m/>
    <s v="Jérémie Blache"/>
    <s v="Q2"/>
    <e v="#REF!"/>
    <e v="#REF!"/>
    <e v="#REF!"/>
  </r>
  <r>
    <s v="181000"/>
    <x v="6"/>
    <s v="COMPTE DE LIAISON DES ETABLISSEMENTS"/>
    <s v="OD"/>
    <n v="-280"/>
    <d v="2025-01-31T00:00:00"/>
    <s v="Liaison inter-établissement"/>
    <m/>
    <e v="#N/A"/>
    <e v="#N/A"/>
    <n v="88002"/>
    <m/>
    <s v="SOFFIERA"/>
    <s v="Q1"/>
    <e v="#REF!"/>
    <e v="#REF!"/>
    <e v="#REF!"/>
  </r>
  <r>
    <s v="181000"/>
    <x v="6"/>
    <s v="COMPTE DE LIAISON DES ETABLISSEMENTS"/>
    <s v="OD"/>
    <n v="-279.74"/>
    <d v="2025-09-22T00:00:00"/>
    <s v="Liaison établissement 401000 OPTIMUS RO"/>
    <m/>
    <e v="#N/A"/>
    <e v="#N/A"/>
    <n v="82391"/>
    <s v="JOINTS ÉTANCHÉITÉ KL POUR MAINTENANCE JUILLET - URGENT"/>
    <s v="OPTIMUS"/>
    <s v="Q3"/>
    <e v="#REF!"/>
    <e v="#REF!"/>
    <e v="#REF!"/>
  </r>
  <r>
    <s v="181000"/>
    <x v="6"/>
    <s v="COMPTE DE LIAISON DES ETABLISSEMENTS"/>
    <s v="OD"/>
    <n v="-279.01"/>
    <d v="2025-06-28T00:00:00"/>
    <s v="Liaison inter-établissement vers TO "/>
    <m/>
    <e v="#N/A"/>
    <e v="#N/A"/>
    <n v="83305"/>
    <m/>
    <s v="FNAC"/>
    <s v="Q2"/>
    <e v="#REF!"/>
    <e v="#REF!"/>
    <e v="#REF!"/>
  </r>
  <r>
    <s v="181000"/>
    <x v="6"/>
    <s v="COMPTE DE LIAISON DES ETABLISSEMENTS"/>
    <s v="OD"/>
    <n v="-276.61"/>
    <d v="2025-06-16T00:00:00"/>
    <s v="Liaison inter-établissement vers TO "/>
    <m/>
    <e v="#N/A"/>
    <e v="#N/A"/>
    <n v="78845"/>
    <m/>
    <s v="ENGIE"/>
    <s v="Q2"/>
    <e v="#REF!"/>
    <e v="#REF!"/>
    <e v="#REF!"/>
  </r>
  <r>
    <s v="181000"/>
    <x v="6"/>
    <s v="COMPTE DE LIAISON DES ETABLISSEMENTS"/>
    <s v="OD"/>
    <n v="-276.45999999999998"/>
    <d v="2025-10-31T00:00:00"/>
    <s v="Liaison établissement 401000 BIOTIKA RO"/>
    <s v="Non"/>
    <e v="#N/A"/>
    <e v="#N/A"/>
    <n v="87519"/>
    <s v="TRANSPORT COSTS"/>
    <s v="BIOTIKA"/>
    <s v="Q4"/>
    <e v="#REF!"/>
    <e v="#REF!"/>
    <e v="#REF!"/>
  </r>
  <r>
    <s v="181000"/>
    <x v="6"/>
    <s v="COMPTE DE LIAISON DES ETABLISSEMENTS"/>
    <s v="OD"/>
    <n v="-275.89"/>
    <d v="2025-05-14T00:00:00"/>
    <s v="Liaison établissement 401000 BIOTIKA RO"/>
    <s v="Non"/>
    <e v="#N/A"/>
    <e v="#N/A"/>
    <n v="72300"/>
    <m/>
    <s v="BIOTIKA"/>
    <s v="Q2"/>
    <e v="#REF!"/>
    <e v="#REF!"/>
    <e v="#REF!"/>
  </r>
  <r>
    <s v="181000"/>
    <x v="6"/>
    <s v="COMPTE DE LIAISON DES ETABLISSEMENTS"/>
    <s v="OD"/>
    <n v="-274.56"/>
    <d v="2025-12-19T00:00:00"/>
    <s v="Liaison établissement 401000 OSIRIS RO"/>
    <s v="Non"/>
    <s v="Non"/>
    <e v="#N/A"/>
    <n v="92695"/>
    <s v="93813939"/>
    <s v="OSIRIS"/>
    <s v="Q4"/>
    <e v="#REF!"/>
    <e v="#REF!"/>
    <e v="#REF!"/>
  </r>
  <r>
    <s v="181000"/>
    <x v="6"/>
    <s v="COMPTE DE LIAISON DES ETABLISSEMENTS"/>
    <s v="OD"/>
    <n v="-274.45999999999998"/>
    <d v="2025-06-27T00:00:00"/>
    <s v="Liaison inter-établissement vers TO "/>
    <m/>
    <e v="#N/A"/>
    <e v="#N/A"/>
    <n v="76727"/>
    <m/>
    <s v="Marie-Sarah Adenis"/>
    <s v="Q2"/>
    <e v="#REF!"/>
    <e v="#REF!"/>
    <e v="#REF!"/>
  </r>
  <r>
    <s v="181000"/>
    <x v="6"/>
    <s v="COMPTE DE LIAISON DES ETABLISSEMENTS"/>
    <s v="OD"/>
    <n v="-274.29000000000002"/>
    <d v="2025-02-28T00:00:00"/>
    <s v="Liaison inter-établissement vers TO "/>
    <m/>
    <e v="#N/A"/>
    <e v="#N/A"/>
    <n v="74932"/>
    <m/>
    <s v="DHL"/>
    <s v="Q1"/>
    <e v="#REF!"/>
    <e v="#REF!"/>
    <e v="#REF!"/>
  </r>
  <r>
    <s v="181000"/>
    <x v="6"/>
    <s v="COMPTE DE LIAISON DES ETABLISSEMENTS"/>
    <s v="OD"/>
    <n v="-273.94"/>
    <d v="2025-05-28T00:00:00"/>
    <s v="Liaison inter-établissement vers TO "/>
    <m/>
    <e v="#N/A"/>
    <e v="#N/A"/>
    <n v="74252"/>
    <m/>
    <s v="ORANGE"/>
    <s v="Q2"/>
    <e v="#REF!"/>
    <e v="#REF!"/>
    <e v="#REF!"/>
  </r>
  <r>
    <s v="181000"/>
    <x v="6"/>
    <s v="COMPTE DE LIAISON DES ETABLISSEMENTS"/>
    <s v="OD"/>
    <n v="-273.60000000000002"/>
    <d v="2025-05-16T00:00:00"/>
    <s v="Liaison inter-établissement vers TO "/>
    <m/>
    <e v="#N/A"/>
    <e v="#N/A"/>
    <n v="74574"/>
    <m/>
    <s v="Thibault Dejardin"/>
    <s v="Q2"/>
    <e v="#REF!"/>
    <e v="#REF!"/>
    <e v="#REF!"/>
  </r>
  <r>
    <s v="181000"/>
    <x v="6"/>
    <s v="COMPTE DE LIAISON DES ETABLISSEMENTS"/>
    <s v="OD"/>
    <n v="-271.06"/>
    <d v="2025-01-07T00:00:00"/>
    <s v="Liaison inter-établissement vers TO "/>
    <m/>
    <e v="#N/A"/>
    <e v="#N/A"/>
    <n v="76776"/>
    <m/>
    <s v="Yves Combret"/>
    <s v="Q1"/>
    <e v="#REF!"/>
    <e v="#REF!"/>
    <e v="#REF!"/>
  </r>
  <r>
    <s v="181000"/>
    <x v="6"/>
    <s v="COMPTE DE LIAISON DES ETABLISSEMENTS"/>
    <s v="OD"/>
    <n v="-271"/>
    <d v="2025-01-01T00:00:00"/>
    <s v="Liaison inter-établissement"/>
    <m/>
    <e v="#N/A"/>
    <e v="#N/A"/>
    <n v="86716"/>
    <m/>
    <m/>
    <s v="Q1"/>
    <e v="#REF!"/>
    <e v="#REF!"/>
    <e v="#REF!"/>
  </r>
  <r>
    <s v="181000"/>
    <x v="6"/>
    <s v="COMPTE DE LIAISON DES ETABLISSEMENTS"/>
    <s v="OD"/>
    <n v="-267.39999999999998"/>
    <d v="2025-04-14T00:00:00"/>
    <s v="Liaison inter-établissement vers TO "/>
    <m/>
    <e v="#N/A"/>
    <e v="#N/A"/>
    <n v="74466"/>
    <m/>
    <s v="Anne-Sophie Goutierre"/>
    <s v="Q2"/>
    <e v="#REF!"/>
    <e v="#REF!"/>
    <e v="#REF!"/>
  </r>
  <r>
    <s v="181000"/>
    <x v="6"/>
    <s v="COMPTE DE LIAISON DES ETABLISSEMENTS"/>
    <s v="OD"/>
    <n v="-266.8"/>
    <d v="2025-11-09T00:00:00"/>
    <s v="Liaison inter-établissement vers TO "/>
    <m/>
    <e v="#N/A"/>
    <e v="#N/A"/>
    <n v="91609"/>
    <m/>
    <s v="BOOKING"/>
    <s v="Q4"/>
    <e v="#REF!"/>
    <e v="#REF!"/>
    <e v="#REF!"/>
  </r>
  <r>
    <s v="181000"/>
    <x v="6"/>
    <s v="COMPTE DE LIAISON DES ETABLISSEMENTS"/>
    <s v="OD"/>
    <n v="-264.89999999999998"/>
    <d v="2025-11-06T00:00:00"/>
    <s v="Liaison inter-établissement vers TO "/>
    <m/>
    <e v="#N/A"/>
    <e v="#N/A"/>
    <n v="91642"/>
    <m/>
    <s v="HOTELS"/>
    <s v="Q4"/>
    <e v="#REF!"/>
    <e v="#REF!"/>
    <e v="#REF!"/>
  </r>
  <r>
    <s v="181000"/>
    <x v="6"/>
    <s v="COMPTE DE LIAISON DES ETABLISSEMENTS"/>
    <s v="OD"/>
    <n v="-264.88"/>
    <d v="2025-08-22T00:00:00"/>
    <s v="Liaison établissement 401000 FENWICK-LINDE RO"/>
    <m/>
    <e v="#N/A"/>
    <e v="#N/A"/>
    <n v="81617"/>
    <s v="MAINTENANCE GERBEUR : RÉPARATION BOUTON MONTÉE-BAISSE"/>
    <s v="FENWICK-LINDE"/>
    <s v="Q3"/>
    <e v="#REF!"/>
    <e v="#REF!"/>
    <e v="#REF!"/>
  </r>
  <r>
    <s v="181000"/>
    <x v="6"/>
    <s v="COMPTE DE LIAISON DES ETABLISSEMENTS"/>
    <s v="OD"/>
    <n v="-263.60000000000002"/>
    <d v="2025-11-24T00:00:00"/>
    <s v="Liaison inter-établissement vers TO "/>
    <m/>
    <e v="#N/A"/>
    <e v="#N/A"/>
    <n v="91028"/>
    <m/>
    <s v="Kevin Cottet"/>
    <s v="Q4"/>
    <e v="#REF!"/>
    <e v="#REF!"/>
    <e v="#REF!"/>
  </r>
  <r>
    <s v="181000"/>
    <x v="6"/>
    <s v="COMPTE DE LIAISON DES ETABLISSEMENTS"/>
    <s v="OD"/>
    <n v="-262.58999999999997"/>
    <d v="2025-09-12T00:00:00"/>
    <s v="Liaison établissement 401000 BIOTIKA RO"/>
    <s v="Non"/>
    <e v="#N/A"/>
    <e v="#N/A"/>
    <n v="82051"/>
    <s v="COÛTS DE TRANSPORT - ECHANTILLONS"/>
    <s v="BIOTIKA"/>
    <s v="Q3"/>
    <e v="#REF!"/>
    <e v="#REF!"/>
    <e v="#REF!"/>
  </r>
  <r>
    <s v="181000"/>
    <x v="6"/>
    <s v="COMPTE DE LIAISON DES ETABLISSEMENTS"/>
    <s v="OD"/>
    <n v="-262.58999999999997"/>
    <d v="2025-09-12T00:00:00"/>
    <s v="Liaison établissement 401000 BIOTIKA RO"/>
    <s v="Non"/>
    <e v="#N/A"/>
    <e v="#N/A"/>
    <n v="82056"/>
    <s v="COUTS DE TRANSPORT"/>
    <s v="BIOTIKA"/>
    <s v="Q3"/>
    <e v="#REF!"/>
    <e v="#REF!"/>
    <e v="#REF!"/>
  </r>
  <r>
    <s v="181000"/>
    <x v="6"/>
    <s v="COMPTE DE LIAISON DES ETABLISSEMENTS"/>
    <s v="OD"/>
    <n v="-259.2"/>
    <d v="2025-04-15T00:00:00"/>
    <s v="Liaison inter-établissement vers TO "/>
    <m/>
    <e v="#N/A"/>
    <e v="#N/A"/>
    <n v="68027"/>
    <m/>
    <s v="ALGOCHEM"/>
    <s v="Q2"/>
    <e v="#REF!"/>
    <e v="#REF!"/>
    <e v="#REF!"/>
  </r>
  <r>
    <s v="181000"/>
    <x v="6"/>
    <s v="COMPTE DE LIAISON DES ETABLISSEMENTS"/>
    <s v="OD"/>
    <n v="-258.72000000000003"/>
    <d v="2025-03-18T00:00:00"/>
    <s v="Liaison inter-établissement vers TO "/>
    <m/>
    <e v="#N/A"/>
    <e v="#N/A"/>
    <n v="64384"/>
    <m/>
    <s v="ABCR"/>
    <s v="Q1"/>
    <e v="#REF!"/>
    <e v="#REF!"/>
    <e v="#REF!"/>
  </r>
  <r>
    <s v="181000"/>
    <x v="6"/>
    <s v="COMPTE DE LIAISON DES ETABLISSEMENTS"/>
    <s v="OD"/>
    <n v="-258.27999999999997"/>
    <d v="2025-07-30T00:00:00"/>
    <s v="Liaison inter-établissement vers TO "/>
    <m/>
    <e v="#N/A"/>
    <e v="#N/A"/>
    <n v="80980"/>
    <m/>
    <s v="PTFE TUBE SHOP"/>
    <s v="Q3"/>
    <e v="#REF!"/>
    <e v="#REF!"/>
    <e v="#REF!"/>
  </r>
  <r>
    <s v="181000"/>
    <x v="6"/>
    <s v="COMPTE DE LIAISON DES ETABLISSEMENTS"/>
    <s v="OD"/>
    <n v="-258"/>
    <d v="2025-09-10T00:00:00"/>
    <s v="Liaison inter-établissement vers TO "/>
    <m/>
    <e v="#N/A"/>
    <e v="#N/A"/>
    <n v="83149"/>
    <m/>
    <s v="SNCF"/>
    <s v="Q3"/>
    <e v="#REF!"/>
    <e v="#REF!"/>
    <e v="#REF!"/>
  </r>
  <r>
    <s v="181000"/>
    <x v="6"/>
    <s v="COMPTE DE LIAISON DES ETABLISSEMENTS"/>
    <s v="OD"/>
    <n v="-257.47000000000003"/>
    <d v="2025-05-01T00:00:00"/>
    <s v="Liaison inter-établissement vers TO "/>
    <m/>
    <e v="#N/A"/>
    <e v="#N/A"/>
    <n v="74820"/>
    <m/>
    <s v="MANUTAN"/>
    <s v="Q2"/>
    <e v="#REF!"/>
    <e v="#REF!"/>
    <e v="#REF!"/>
  </r>
  <r>
    <s v="181000"/>
    <x v="6"/>
    <s v="COMPTE DE LIAISON DES ETABLISSEMENTS"/>
    <s v="OD"/>
    <n v="-257.41000000000003"/>
    <d v="2025-05-19T00:00:00"/>
    <s v="Liaison inter-établissement vers TO "/>
    <m/>
    <e v="#N/A"/>
    <e v="#N/A"/>
    <n v="78825"/>
    <m/>
    <s v="ENGIE"/>
    <s v="Q2"/>
    <e v="#REF!"/>
    <e v="#REF!"/>
    <e v="#REF!"/>
  </r>
  <r>
    <s v="181000"/>
    <x v="6"/>
    <s v="COMPTE DE LIAISON DES ETABLISSEMENTS"/>
    <s v="OD"/>
    <n v="-257.10000000000002"/>
    <d v="2025-05-22T00:00:00"/>
    <s v="Liaison inter-établissement vers TO "/>
    <m/>
    <e v="#N/A"/>
    <e v="#N/A"/>
    <n v="76699"/>
    <m/>
    <s v="Guillaume Boissonnat-Wu"/>
    <s v="Q2"/>
    <e v="#REF!"/>
    <e v="#REF!"/>
    <e v="#REF!"/>
  </r>
  <r>
    <s v="181000"/>
    <x v="6"/>
    <s v="COMPTE DE LIAISON DES ETABLISSEMENTS"/>
    <s v="OD"/>
    <n v="-254.99"/>
    <d v="2025-02-20T00:00:00"/>
    <s v="Liaison inter-établissement vers TO "/>
    <m/>
    <s v="Non"/>
    <e v="#N/A"/>
    <n v="64284"/>
    <m/>
    <s v="DIVERS"/>
    <s v="Q1"/>
    <e v="#REF!"/>
    <e v="#REF!"/>
    <e v="#REF!"/>
  </r>
  <r>
    <s v="181000"/>
    <x v="6"/>
    <s v="COMPTE DE LIAISON DES ETABLISSEMENTS"/>
    <s v="OD"/>
    <n v="-250.8"/>
    <d v="2025-04-25T00:00:00"/>
    <s v="Liaison établissement 401000 DENIOS RO"/>
    <m/>
    <e v="#N/A"/>
    <e v="#N/A"/>
    <n v="70162"/>
    <s v="Invoice Payment by Pili"/>
    <s v="DENIOS"/>
    <s v="Q2"/>
    <e v="#REF!"/>
    <e v="#REF!"/>
    <e v="#REF!"/>
  </r>
  <r>
    <s v="181000"/>
    <x v="6"/>
    <s v="COMPTE DE LIAISON DES ETABLISSEMENTS"/>
    <s v="OD"/>
    <n v="-250.63"/>
    <d v="2025-03-18T00:00:00"/>
    <s v="Liaison inter-établissement vers TO "/>
    <m/>
    <e v="#N/A"/>
    <e v="#N/A"/>
    <n v="70045"/>
    <m/>
    <s v="MANUTAN"/>
    <s v="Q1"/>
    <e v="#REF!"/>
    <e v="#REF!"/>
    <e v="#REF!"/>
  </r>
  <r>
    <s v="181000"/>
    <x v="6"/>
    <s v="COMPTE DE LIAISON DES ETABLISSEMENTS"/>
    <s v="OD"/>
    <n v="-250.63"/>
    <d v="2025-07-25T00:00:00"/>
    <s v="Liaison inter-établissement vers TO "/>
    <m/>
    <e v="#N/A"/>
    <e v="#N/A"/>
    <n v="81000"/>
    <m/>
    <s v="MANUTAN"/>
    <s v="Q3"/>
    <e v="#REF!"/>
    <e v="#REF!"/>
    <e v="#REF!"/>
  </r>
  <r>
    <s v="181000"/>
    <x v="6"/>
    <s v="COMPTE DE LIAISON DES ETABLISSEMENTS"/>
    <s v="OD"/>
    <n v="-250.44"/>
    <d v="2025-12-30T00:00:00"/>
    <s v="Liaison établissement 401000 ABCR KB"/>
    <m/>
    <e v="#N/A"/>
    <e v="#N/A"/>
    <n v="93743"/>
    <s v="VRGG25-025479"/>
    <s v="ABCR"/>
    <s v="Q4"/>
    <e v="#REF!"/>
    <e v="#REF!"/>
    <e v="#REF!"/>
  </r>
  <r>
    <s v="181000"/>
    <x v="6"/>
    <s v="COMPTE DE LIAISON DES ETABLISSEMENTS"/>
    <s v="OD"/>
    <n v="-249.6"/>
    <d v="2025-03-11T00:00:00"/>
    <s v="Liaison inter-établissement vers TO "/>
    <m/>
    <e v="#N/A"/>
    <e v="#N/A"/>
    <n v="64448"/>
    <m/>
    <s v="Sigma-Aldrich chimie"/>
    <s v="Q1"/>
    <e v="#REF!"/>
    <e v="#REF!"/>
    <e v="#REF!"/>
  </r>
  <r>
    <s v="181000"/>
    <x v="6"/>
    <s v="COMPTE DE LIAISON DES ETABLISSEMENTS"/>
    <s v="OD"/>
    <n v="-249.6"/>
    <d v="2025-08-22T00:00:00"/>
    <s v="Liaison établissement 401000 GAZDETECT KB"/>
    <m/>
    <e v="#N/A"/>
    <e v="#N/A"/>
    <n v="81591"/>
    <s v="MAINTENANCE/RÉPARATION DES 4 DÉTECTEURS HCN DU LABO"/>
    <s v="GAZ DETECT"/>
    <s v="Q3"/>
    <e v="#REF!"/>
    <e v="#REF!"/>
    <e v="#REF!"/>
  </r>
  <r>
    <s v="181000"/>
    <x v="6"/>
    <s v="COMPTE DE LIAISON DES ETABLISSEMENTS"/>
    <s v="OD"/>
    <n v="-247.74"/>
    <d v="2025-09-12T00:00:00"/>
    <s v="Liaison établissement 401000 BIOTIKA RO"/>
    <s v="Non"/>
    <e v="#N/A"/>
    <e v="#N/A"/>
    <n v="82071"/>
    <s v="COÛT TRANSPORT"/>
    <s v="BIOTIKA"/>
    <s v="Q3"/>
    <e v="#REF!"/>
    <e v="#REF!"/>
    <e v="#REF!"/>
  </r>
  <r>
    <s v="181000"/>
    <x v="6"/>
    <s v="COMPTE DE LIAISON DES ETABLISSEMENTS"/>
    <s v="OD"/>
    <n v="-246"/>
    <d v="2025-10-24T00:00:00"/>
    <s v="Liaison inter-établissement vers TO "/>
    <m/>
    <e v="#N/A"/>
    <e v="#N/A"/>
    <n v="89818"/>
    <m/>
    <s v="SNCF"/>
    <s v="Q4"/>
    <e v="#REF!"/>
    <e v="#REF!"/>
    <e v="#REF!"/>
  </r>
  <r>
    <s v="181000"/>
    <x v="6"/>
    <s v="COMPTE DE LIAISON DES ETABLISSEMENTS"/>
    <s v="OD"/>
    <n v="-244.12"/>
    <d v="2025-10-15T00:00:00"/>
    <s v="Liaison inter-établissement vers TO "/>
    <s v="Non"/>
    <s v="Non"/>
    <e v="#N/A"/>
    <n v="89692"/>
    <m/>
    <s v="LINKEDIN"/>
    <s v="Q4"/>
    <e v="#REF!"/>
    <e v="#REF!"/>
    <e v="#REF!"/>
  </r>
  <r>
    <s v="181000"/>
    <x v="6"/>
    <s v="COMPTE DE LIAISON DES ETABLISSEMENTS"/>
    <s v="OD"/>
    <n v="-243.98"/>
    <d v="2025-03-04T00:00:00"/>
    <s v="Liaison inter-établissement vers TO "/>
    <m/>
    <s v="Non"/>
    <e v="#N/A"/>
    <n v="68103"/>
    <m/>
    <s v="DIVERS"/>
    <s v="Q1"/>
    <e v="#REF!"/>
    <e v="#REF!"/>
    <e v="#REF!"/>
  </r>
  <r>
    <s v="181000"/>
    <x v="6"/>
    <s v="COMPTE DE LIAISON DES ETABLISSEMENTS"/>
    <s v="OD"/>
    <n v="-243.6"/>
    <d v="2025-08-21T00:00:00"/>
    <s v="Liaison établissement 401000 VWR KB"/>
    <m/>
    <e v="#N/A"/>
    <e v="#N/A"/>
    <n v="81502"/>
    <s v="COMMANDE CONSOMMABLE LABO"/>
    <s v="VWR AVANTOR"/>
    <s v="Q3"/>
    <e v="#REF!"/>
    <e v="#REF!"/>
    <e v="#REF!"/>
  </r>
  <r>
    <s v="181000"/>
    <x v="6"/>
    <s v="COMPTE DE LIAISON DES ETABLISSEMENTS"/>
    <s v="OD"/>
    <n v="-242.52"/>
    <d v="2025-04-28T00:00:00"/>
    <s v="Liaison inter-établissement vers TO "/>
    <m/>
    <e v="#N/A"/>
    <e v="#N/A"/>
    <n v="73132"/>
    <m/>
    <s v="ORANGE"/>
    <s v="Q2"/>
    <e v="#REF!"/>
    <e v="#REF!"/>
    <e v="#REF!"/>
  </r>
  <r>
    <s v="181000"/>
    <x v="6"/>
    <s v="COMPTE DE LIAISON DES ETABLISSEMENTS"/>
    <s v="OD"/>
    <n v="-242.14"/>
    <d v="2025-02-05T00:00:00"/>
    <s v="Liaison inter-établissement vers TO "/>
    <m/>
    <s v="Non"/>
    <e v="#N/A"/>
    <n v="68095"/>
    <m/>
    <s v="DIVERS"/>
    <s v="Q1"/>
    <e v="#REF!"/>
    <e v="#REF!"/>
    <e v="#REF!"/>
  </r>
  <r>
    <s v="181000"/>
    <x v="6"/>
    <s v="COMPTE DE LIAISON DES ETABLISSEMENTS"/>
    <s v="OD"/>
    <n v="-241.33"/>
    <d v="2025-07-25T00:00:00"/>
    <s v="Liaison inter-établissement vers TO "/>
    <m/>
    <e v="#N/A"/>
    <e v="#N/A"/>
    <n v="80808"/>
    <m/>
    <s v="RICOH"/>
    <s v="Q3"/>
    <e v="#REF!"/>
    <e v="#REF!"/>
    <e v="#REF!"/>
  </r>
  <r>
    <s v="181000"/>
    <x v="6"/>
    <s v="COMPTE DE LIAISON DES ETABLISSEMENTS"/>
    <s v="OD"/>
    <n v="-241.08"/>
    <d v="2025-01-27T00:00:00"/>
    <s v="Liaison inter-établissement vers TO "/>
    <m/>
    <e v="#N/A"/>
    <e v="#N/A"/>
    <n v="76238"/>
    <m/>
    <s v="ORANGE"/>
    <s v="Q1"/>
    <e v="#REF!"/>
    <e v="#REF!"/>
    <e v="#REF!"/>
  </r>
  <r>
    <s v="181000"/>
    <x v="6"/>
    <s v="COMPTE DE LIAISON DES ETABLISSEMENTS"/>
    <s v="OD"/>
    <n v="-241.08"/>
    <d v="2025-02-24T00:00:00"/>
    <s v="Liaison inter-établissement vers TO "/>
    <m/>
    <e v="#N/A"/>
    <e v="#N/A"/>
    <n v="76234"/>
    <m/>
    <s v="ORANGE"/>
    <s v="Q1"/>
    <e v="#REF!"/>
    <e v="#REF!"/>
    <e v="#REF!"/>
  </r>
  <r>
    <s v="181000"/>
    <x v="6"/>
    <s v="COMPTE DE LIAISON DES ETABLISSEMENTS"/>
    <s v="OD"/>
    <n v="-240.67"/>
    <d v="2025-03-31T00:00:00"/>
    <s v="Liaison inter-établissement"/>
    <m/>
    <e v="#N/A"/>
    <e v="#N/A"/>
    <n v="68526"/>
    <m/>
    <m/>
    <s v="Q1"/>
    <e v="#REF!"/>
    <e v="#REF!"/>
    <e v="#REF!"/>
  </r>
  <r>
    <s v="181000"/>
    <x v="6"/>
    <s v="COMPTE DE LIAISON DES ETABLISSEMENTS"/>
    <s v="OD"/>
    <n v="-240"/>
    <d v="2025-02-18T00:00:00"/>
    <s v="Liaison inter-établissement vers TO "/>
    <m/>
    <s v="Non"/>
    <n v="0"/>
    <n v="63654"/>
    <m/>
    <s v="CNFSE RECYCLAGE"/>
    <s v="Q1"/>
    <e v="#REF!"/>
    <e v="#REF!"/>
    <e v="#REF!"/>
  </r>
  <r>
    <s v="181000"/>
    <x v="6"/>
    <s v="COMPTE DE LIAISON DES ETABLISSEMENTS"/>
    <s v="OD"/>
    <n v="-240"/>
    <d v="2025-07-23T00:00:00"/>
    <s v="Liaison établissement 401000 BIOTIKA RO"/>
    <s v="Non"/>
    <e v="#N/A"/>
    <e v="#N/A"/>
    <n v="78340"/>
    <s v="TRANSPORT OF MATERIAL FROM GBELY SK TO SLOVENSKÁ"/>
    <s v="BIOTIKA"/>
    <s v="Q3"/>
    <e v="#REF!"/>
    <e v="#REF!"/>
    <e v="#REF!"/>
  </r>
  <r>
    <s v="181000"/>
    <x v="6"/>
    <s v="COMPTE DE LIAISON DES ETABLISSEMENTS"/>
    <s v="OD"/>
    <n v="-240"/>
    <d v="2025-12-10T00:00:00"/>
    <s v="Liaison établissement 401000 LEGICHEM SERVICES RO"/>
    <m/>
    <e v="#N/A"/>
    <e v="#N/A"/>
    <n v="92064"/>
    <s v="FA000262"/>
    <s v="LEGICHEM SERVICES"/>
    <s v="Q4"/>
    <e v="#REF!"/>
    <e v="#REF!"/>
    <e v="#REF!"/>
  </r>
  <r>
    <s v="181000"/>
    <x v="6"/>
    <s v="COMPTE DE LIAISON DES ETABLISSEMENTS"/>
    <s v="OD"/>
    <n v="-239.8"/>
    <d v="2025-02-05T00:00:00"/>
    <s v="Liaison inter-établissement vers TO "/>
    <m/>
    <e v="#N/A"/>
    <e v="#N/A"/>
    <n v="64348"/>
    <m/>
    <s v="SNCF"/>
    <s v="Q1"/>
    <e v="#REF!"/>
    <e v="#REF!"/>
    <e v="#REF!"/>
  </r>
  <r>
    <s v="181000"/>
    <x v="6"/>
    <s v="COMPTE DE LIAISON DES ETABLISSEMENTS"/>
    <s v="OD"/>
    <n v="-239.14"/>
    <d v="2025-07-09T00:00:00"/>
    <s v="Liaison établissement 401000 VWR KB"/>
    <m/>
    <e v="#N/A"/>
    <e v="#N/A"/>
    <n v="77251"/>
    <s v="COMMANDE PRODUIT LABO"/>
    <s v="VWR AVANTOR"/>
    <s v="Q3"/>
    <e v="#REF!"/>
    <e v="#REF!"/>
    <e v="#REF!"/>
  </r>
  <r>
    <s v="181000"/>
    <x v="6"/>
    <s v="COMPTE DE LIAISON DES ETABLISSEMENTS"/>
    <s v="OD"/>
    <n v="-237.13"/>
    <d v="2025-02-18T00:00:00"/>
    <s v="Liaison inter-établissement vers TO "/>
    <m/>
    <e v="#N/A"/>
    <e v="#N/A"/>
    <n v="74959"/>
    <m/>
    <s v="ENGIE"/>
    <s v="Q1"/>
    <e v="#REF!"/>
    <e v="#REF!"/>
    <e v="#REF!"/>
  </r>
  <r>
    <s v="181000"/>
    <x v="6"/>
    <s v="COMPTE DE LIAISON DES ETABLISSEMENTS"/>
    <s v="OD"/>
    <n v="-236.4"/>
    <d v="2025-11-07T00:00:00"/>
    <s v="Liaison établissement 401000 VWR KB"/>
    <m/>
    <e v="#N/A"/>
    <e v="#N/A"/>
    <n v="89438"/>
    <s v="4067827511"/>
    <s v="VWR AVANTOR"/>
    <s v="Q4"/>
    <e v="#REF!"/>
    <e v="#REF!"/>
    <e v="#REF!"/>
  </r>
  <r>
    <s v="181000"/>
    <x v="6"/>
    <s v="COMPTE DE LIAISON DES ETABLISSEMENTS"/>
    <s v="OD"/>
    <n v="-235.32"/>
    <d v="2025-03-28T00:00:00"/>
    <s v="Liaison inter-établissement vers TO "/>
    <m/>
    <e v="#N/A"/>
    <e v="#N/A"/>
    <n v="68119"/>
    <m/>
    <s v="Sigma-Aldrich chimie"/>
    <s v="Q1"/>
    <e v="#REF!"/>
    <e v="#REF!"/>
    <e v="#REF!"/>
  </r>
  <r>
    <s v="181000"/>
    <x v="6"/>
    <s v="COMPTE DE LIAISON DES ETABLISSEMENTS"/>
    <s v="OD"/>
    <n v="-235"/>
    <d v="2025-02-06T00:00:00"/>
    <s v="Liaison inter-établissement vers TO "/>
    <m/>
    <s v="Non"/>
    <e v="#N/A"/>
    <n v="64296"/>
    <m/>
    <s v="DIVERS"/>
    <s v="Q1"/>
    <e v="#REF!"/>
    <e v="#REF!"/>
    <e v="#REF!"/>
  </r>
  <r>
    <s v="181000"/>
    <x v="6"/>
    <s v="COMPTE DE LIAISON DES ETABLISSEMENTS"/>
    <s v="OD"/>
    <n v="-234.64"/>
    <d v="2025-03-04T00:00:00"/>
    <s v="Liaison inter-établissement vers TO "/>
    <m/>
    <e v="#N/A"/>
    <e v="#N/A"/>
    <n v="75847"/>
    <m/>
    <s v="Guillaume Boissonnat-Wu"/>
    <s v="Q1"/>
    <e v="#REF!"/>
    <e v="#REF!"/>
    <e v="#REF!"/>
  </r>
  <r>
    <s v="181000"/>
    <x v="6"/>
    <s v="COMPTE DE LIAISON DES ETABLISSEMENTS"/>
    <s v="OD"/>
    <n v="-233.68"/>
    <d v="2025-06-24T00:00:00"/>
    <s v="Liaison inter-établissement vers TO "/>
    <m/>
    <e v="#N/A"/>
    <e v="#N/A"/>
    <n v="78264"/>
    <m/>
    <s v="BRUNEAU"/>
    <s v="Q2"/>
    <e v="#REF!"/>
    <e v="#REF!"/>
    <e v="#REF!"/>
  </r>
  <r>
    <s v="181000"/>
    <x v="6"/>
    <s v="COMPTE DE LIAISON DES ETABLISSEMENTS"/>
    <s v="OD"/>
    <n v="-233.11"/>
    <d v="2025-01-31T00:00:00"/>
    <s v="Liaison inter-établissement vers TO "/>
    <m/>
    <e v="#N/A"/>
    <e v="#N/A"/>
    <n v="63606"/>
    <m/>
    <s v="BRUNEAU"/>
    <s v="Q1"/>
    <e v="#REF!"/>
    <e v="#REF!"/>
    <e v="#REF!"/>
  </r>
  <r>
    <s v="181000"/>
    <x v="6"/>
    <s v="COMPTE DE LIAISON DES ETABLISSEMENTS"/>
    <s v="OD"/>
    <n v="-231.65"/>
    <d v="2025-04-22T00:00:00"/>
    <s v="Liaison inter-établissement vers TO "/>
    <m/>
    <e v="#N/A"/>
    <e v="#N/A"/>
    <n v="81200"/>
    <m/>
    <s v="RICOH"/>
    <s v="Q2"/>
    <e v="#REF!"/>
    <e v="#REF!"/>
    <e v="#REF!"/>
  </r>
  <r>
    <s v="181000"/>
    <x v="6"/>
    <s v="COMPTE DE LIAISON DES ETABLISSEMENTS"/>
    <s v="OD"/>
    <n v="-230.89"/>
    <d v="2025-07-13T00:00:00"/>
    <s v="Liaison inter-établissement vers TO "/>
    <m/>
    <e v="#N/A"/>
    <e v="#N/A"/>
    <n v="81022"/>
    <m/>
    <s v="RS COMPONENT"/>
    <s v="Q3"/>
    <e v="#REF!"/>
    <e v="#REF!"/>
    <e v="#REF!"/>
  </r>
  <r>
    <s v="181000"/>
    <x v="6"/>
    <s v="COMPTE DE LIAISON DES ETABLISSEMENTS"/>
    <s v="OD"/>
    <n v="-230.49"/>
    <d v="2025-11-26T00:00:00"/>
    <s v="Liaison inter-établissement vers TO "/>
    <m/>
    <e v="#N/A"/>
    <e v="#N/A"/>
    <n v="91577"/>
    <m/>
    <s v="AIRBNB"/>
    <s v="Q4"/>
    <e v="#REF!"/>
    <e v="#REF!"/>
    <e v="#REF!"/>
  </r>
  <r>
    <s v="181000"/>
    <x v="6"/>
    <s v="COMPTE DE LIAISON DES ETABLISSEMENTS"/>
    <s v="OD"/>
    <n v="-229.55"/>
    <d v="2025-02-26T00:00:00"/>
    <s v="Liaison inter-établissement vers TO "/>
    <m/>
    <e v="#N/A"/>
    <e v="#N/A"/>
    <n v="75839"/>
    <m/>
    <s v="Anne-Sophie Goutierre"/>
    <s v="Q1"/>
    <e v="#REF!"/>
    <e v="#REF!"/>
    <e v="#REF!"/>
  </r>
  <r>
    <s v="181000"/>
    <x v="6"/>
    <s v="COMPTE DE LIAISON DES ETABLISSEMENTS"/>
    <s v="OD"/>
    <n v="-229.06"/>
    <d v="2025-09-30T00:00:00"/>
    <s v="Liaison inter-établissement vers TO "/>
    <m/>
    <e v="#N/A"/>
    <e v="#N/A"/>
    <n v="82667"/>
    <m/>
    <s v="AIR LIQUIDE"/>
    <s v="Q3"/>
    <e v="#REF!"/>
    <e v="#REF!"/>
    <e v="#REF!"/>
  </r>
  <r>
    <s v="181000"/>
    <x v="6"/>
    <s v="COMPTE DE LIAISON DES ETABLISSEMENTS"/>
    <s v="OD"/>
    <n v="-228.1"/>
    <d v="2025-04-25T00:00:00"/>
    <s v="Liaison établissement 401000 AIRLIQUIDE RO"/>
    <m/>
    <e v="#N/A"/>
    <e v="#N/A"/>
    <n v="70132"/>
    <s v="Invoice Payment by Pili"/>
    <s v="AIR LIQUIDE"/>
    <s v="Q2"/>
    <e v="#REF!"/>
    <e v="#REF!"/>
    <e v="#REF!"/>
  </r>
  <r>
    <s v="181000"/>
    <x v="6"/>
    <s v="COMPTE DE LIAISON DES ETABLISSEMENTS"/>
    <s v="OD"/>
    <n v="-228"/>
    <d v="2025-12-10T00:00:00"/>
    <s v="Liaison établissement 401000 ARESCOM KB"/>
    <m/>
    <e v="#N/A"/>
    <e v="#N/A"/>
    <n v="92033"/>
    <s v="144835"/>
    <s v="ARESCOM"/>
    <s v="Q4"/>
    <e v="#REF!"/>
    <e v="#REF!"/>
    <e v="#REF!"/>
  </r>
  <r>
    <s v="181000"/>
    <x v="6"/>
    <s v="COMPTE DE LIAISON DES ETABLISSEMENTS"/>
    <s v="OD"/>
    <n v="-228"/>
    <d v="2025-12-23T00:00:00"/>
    <s v="Liaison établissement 401000 HIPOLITO LY"/>
    <m/>
    <e v="#N/A"/>
    <e v="#N/A"/>
    <n v="93617"/>
    <s v="2025 / 177"/>
    <s v="HIPOLITO"/>
    <s v="Q4"/>
    <e v="#REF!"/>
    <e v="#REF!"/>
    <e v="#REF!"/>
  </r>
  <r>
    <s v="181000"/>
    <x v="6"/>
    <s v="COMPTE DE LIAISON DES ETABLISSEMENTS"/>
    <s v="OD"/>
    <n v="-227.61"/>
    <d v="2025-09-15T00:00:00"/>
    <s v="Liaison inter-établissement vers TO "/>
    <m/>
    <e v="#N/A"/>
    <e v="#N/A"/>
    <n v="82350"/>
    <m/>
    <s v="VWR AVANTOR"/>
    <s v="Q3"/>
    <e v="#REF!"/>
    <e v="#REF!"/>
    <e v="#REF!"/>
  </r>
  <r>
    <s v="181000"/>
    <x v="6"/>
    <s v="COMPTE DE LIAISON DES ETABLISSEMENTS"/>
    <s v="OD"/>
    <n v="-226.8"/>
    <d v="2025-08-08T00:00:00"/>
    <s v="Liaison établissement 401000 CLOUP KB"/>
    <m/>
    <e v="#N/A"/>
    <e v="#N/A"/>
    <n v="80760"/>
    <s v="CARTOUCHES POUR L'EAU DÉMINÉRALISÉE"/>
    <s v="CLOUP"/>
    <s v="Q3"/>
    <e v="#REF!"/>
    <e v="#REF!"/>
    <e v="#REF!"/>
  </r>
  <r>
    <s v="181000"/>
    <x v="6"/>
    <s v="COMPTE DE LIAISON DES ETABLISSEMENTS"/>
    <s v="OD"/>
    <n v="-224.99"/>
    <d v="2025-09-30T00:00:00"/>
    <s v="Liaison inter-établissement"/>
    <m/>
    <e v="#N/A"/>
    <e v="#N/A"/>
    <n v="87223"/>
    <m/>
    <m/>
    <s v="Q3"/>
    <e v="#REF!"/>
    <e v="#REF!"/>
    <e v="#REF!"/>
  </r>
  <r>
    <s v="181000"/>
    <x v="6"/>
    <s v="COMPTE DE LIAISON DES ETABLISSEMENTS"/>
    <s v="OD"/>
    <n v="-224.1"/>
    <d v="2025-04-07T00:00:00"/>
    <s v="Liaison inter-établissement vers TO "/>
    <m/>
    <e v="#N/A"/>
    <e v="#N/A"/>
    <n v="75879"/>
    <m/>
    <s v="Marie-Sarah Adenis"/>
    <s v="Q2"/>
    <e v="#REF!"/>
    <e v="#REF!"/>
    <e v="#REF!"/>
  </r>
  <r>
    <s v="181000"/>
    <x v="6"/>
    <s v="COMPTE DE LIAISON DES ETABLISSEMENTS"/>
    <s v="OD"/>
    <n v="-223.46"/>
    <d v="2025-03-31T00:00:00"/>
    <s v="Liaison inter-établissement"/>
    <m/>
    <e v="#N/A"/>
    <e v="#N/A"/>
    <n v="70268"/>
    <m/>
    <m/>
    <s v="Q1"/>
    <e v="#REF!"/>
    <e v="#REF!"/>
    <e v="#REF!"/>
  </r>
  <r>
    <s v="181000"/>
    <x v="6"/>
    <s v="COMPTE DE LIAISON DES ETABLISSEMENTS"/>
    <s v="OD"/>
    <n v="-223.02"/>
    <d v="2025-03-31T00:00:00"/>
    <s v="Liaison inter-établissement vers TO "/>
    <m/>
    <e v="#N/A"/>
    <e v="#N/A"/>
    <n v="70053"/>
    <m/>
    <s v="ORANGE"/>
    <s v="Q1"/>
    <e v="#REF!"/>
    <e v="#REF!"/>
    <e v="#REF!"/>
  </r>
  <r>
    <s v="181000"/>
    <x v="6"/>
    <s v="COMPTE DE LIAISON DES ETABLISSEMENTS"/>
    <s v="OD"/>
    <n v="-222.48"/>
    <d v="2025-09-22T00:00:00"/>
    <s v="Liaison établissement 401000 FENWICK-LINDE RO"/>
    <m/>
    <e v="#N/A"/>
    <e v="#N/A"/>
    <n v="82406"/>
    <s v="MAINTENANCE GERBEUR : RÉPARATION BOUTON MONTÉE-BAISSE"/>
    <s v="FENWICK-LINDE"/>
    <s v="Q3"/>
    <e v="#REF!"/>
    <e v="#REF!"/>
    <e v="#REF!"/>
  </r>
  <r>
    <s v="181000"/>
    <x v="6"/>
    <s v="COMPTE DE LIAISON DES ETABLISSEMENTS"/>
    <s v="OD"/>
    <n v="-220.4"/>
    <d v="2025-10-31T00:00:00"/>
    <s v="Liaison établissement 401000 BECKER KB"/>
    <s v="Non"/>
    <s v="Oui"/>
    <e v="#N/A"/>
    <n v="87513"/>
    <s v="EXTENSION BREVET PHOENIX V20 AUX US"/>
    <s v="BECKER"/>
    <s v="Q4"/>
    <e v="#REF!"/>
    <e v="#REF!"/>
    <e v="#REF!"/>
  </r>
  <r>
    <s v="181000"/>
    <x v="6"/>
    <s v="COMPTE DE LIAISON DES ETABLISSEMENTS"/>
    <s v="OD"/>
    <n v="-220.32"/>
    <d v="2025-03-18T00:00:00"/>
    <s v="Liaison inter-établissement vers TO "/>
    <m/>
    <e v="#N/A"/>
    <e v="#N/A"/>
    <n v="64380"/>
    <m/>
    <s v="ABCR"/>
    <s v="Q1"/>
    <e v="#REF!"/>
    <e v="#REF!"/>
    <e v="#REF!"/>
  </r>
  <r>
    <s v="181000"/>
    <x v="6"/>
    <s v="COMPTE DE LIAISON DES ETABLISSEMENTS"/>
    <s v="OD"/>
    <n v="-219.94"/>
    <d v="2025-09-12T00:00:00"/>
    <s v="Liaison établissement 401000 BIOTIKA RO"/>
    <s v="Non"/>
    <e v="#N/A"/>
    <e v="#N/A"/>
    <n v="82061"/>
    <s v="COÛTS DE TRANSPORT ECHANTILLONS"/>
    <s v="BIOTIKA"/>
    <s v="Q3"/>
    <e v="#REF!"/>
    <e v="#REF!"/>
    <e v="#REF!"/>
  </r>
  <r>
    <s v="181000"/>
    <x v="6"/>
    <s v="COMPTE DE LIAISON DES ETABLISSEMENTS"/>
    <s v="OD"/>
    <n v="-218.75"/>
    <d v="2025-11-24T00:00:00"/>
    <s v="Liaison inter-établissement vers TO "/>
    <m/>
    <e v="#N/A"/>
    <e v="#N/A"/>
    <n v="91032"/>
    <m/>
    <s v="Anne-Sophie Goutierre"/>
    <s v="Q4"/>
    <e v="#REF!"/>
    <e v="#REF!"/>
    <e v="#REF!"/>
  </r>
  <r>
    <s v="181000"/>
    <x v="6"/>
    <s v="COMPTE DE LIAISON DES ETABLISSEMENTS"/>
    <s v="OD"/>
    <n v="-217.68"/>
    <d v="2025-12-30T00:00:00"/>
    <s v="Liaison établissement 401000 FISHER RO"/>
    <m/>
    <e v="#N/A"/>
    <e v="#N/A"/>
    <n v="93748"/>
    <s v="4175244732"/>
    <s v="FISHER SCIENTIFIC"/>
    <s v="Q4"/>
    <e v="#REF!"/>
    <e v="#REF!"/>
    <e v="#REF!"/>
  </r>
  <r>
    <s v="181000"/>
    <x v="6"/>
    <s v="COMPTE DE LIAISON DES ETABLISSEMENTS"/>
    <s v="OD"/>
    <n v="-217"/>
    <d v="2025-01-01T00:00:00"/>
    <s v="Liaison inter-établissement"/>
    <m/>
    <e v="#N/A"/>
    <e v="#N/A"/>
    <n v="86537"/>
    <m/>
    <m/>
    <s v="Q1"/>
    <e v="#REF!"/>
    <e v="#REF!"/>
    <e v="#REF!"/>
  </r>
  <r>
    <s v="181000"/>
    <x v="6"/>
    <s v="COMPTE DE LIAISON DES ETABLISSEMENTS"/>
    <s v="OD"/>
    <n v="-217"/>
    <d v="2025-01-01T00:00:00"/>
    <s v="Liaison inter-établissement"/>
    <m/>
    <s v="Non"/>
    <e v="#N/A"/>
    <n v="89334"/>
    <m/>
    <s v="AXE GESCOM"/>
    <s v="Q1"/>
    <e v="#REF!"/>
    <e v="#REF!"/>
    <e v="#REF!"/>
  </r>
  <r>
    <s v="181000"/>
    <x v="6"/>
    <s v="COMPTE DE LIAISON DES ETABLISSEMENTS"/>
    <s v="OD"/>
    <n v="-216.24"/>
    <d v="2025-03-20T00:00:00"/>
    <s v="Liaison inter-établissement vers TO "/>
    <m/>
    <e v="#N/A"/>
    <e v="#N/A"/>
    <n v="64440"/>
    <m/>
    <s v="ROTH SOCHIEL"/>
    <s v="Q1"/>
    <e v="#REF!"/>
    <e v="#REF!"/>
    <e v="#REF!"/>
  </r>
  <r>
    <s v="181000"/>
    <x v="6"/>
    <s v="COMPTE DE LIAISON DES ETABLISSEMENTS"/>
    <s v="OD"/>
    <n v="-215.2"/>
    <d v="2025-03-18T00:00:00"/>
    <s v="Liaison inter-établissement vers TO "/>
    <m/>
    <e v="#N/A"/>
    <e v="#N/A"/>
    <n v="66760"/>
    <m/>
    <s v="SNCF"/>
    <s v="Q1"/>
    <e v="#REF!"/>
    <e v="#REF!"/>
    <e v="#REF!"/>
  </r>
  <r>
    <s v="181000"/>
    <x v="6"/>
    <s v="COMPTE DE LIAISON DES ETABLISSEMENTS"/>
    <s v="OD"/>
    <n v="-214.03"/>
    <d v="2025-09-08T00:00:00"/>
    <s v="Liaison inter-établissement vers TO "/>
    <m/>
    <e v="#N/A"/>
    <e v="#N/A"/>
    <n v="89834"/>
    <m/>
    <s v="LITFAD"/>
    <s v="Q3"/>
    <e v="#REF!"/>
    <e v="#REF!"/>
    <e v="#REF!"/>
  </r>
  <r>
    <s v="181000"/>
    <x v="6"/>
    <s v="COMPTE DE LIAISON DES ETABLISSEMENTS"/>
    <s v="OD"/>
    <n v="-213.71"/>
    <d v="2025-06-30T00:00:00"/>
    <s v="Liaison inter-établissement vers TO "/>
    <m/>
    <e v="#N/A"/>
    <e v="#N/A"/>
    <n v="77348"/>
    <m/>
    <s v="DHL"/>
    <s v="Q2"/>
    <e v="#REF!"/>
    <e v="#REF!"/>
    <e v="#REF!"/>
  </r>
  <r>
    <s v="181000"/>
    <x v="6"/>
    <s v="COMPTE DE LIAISON DES ETABLISSEMENTS"/>
    <s v="OD"/>
    <n v="-213.45"/>
    <d v="2025-07-03T00:00:00"/>
    <s v="Liaison inter-établissement vers TO "/>
    <m/>
    <e v="#N/A"/>
    <e v="#N/A"/>
    <n v="80976"/>
    <m/>
    <s v="PTFE TUBE SHOP"/>
    <s v="Q3"/>
    <e v="#REF!"/>
    <e v="#REF!"/>
    <e v="#REF!"/>
  </r>
  <r>
    <s v="181000"/>
    <x v="6"/>
    <s v="COMPTE DE LIAISON DES ETABLISSEMENTS"/>
    <s v="OD"/>
    <n v="-212.8"/>
    <d v="2025-05-29T00:00:00"/>
    <s v="Liaison inter-établissement vers TO "/>
    <m/>
    <e v="#N/A"/>
    <e v="#N/A"/>
    <n v="81062"/>
    <m/>
    <s v="EUROPCAR"/>
    <s v="Q2"/>
    <e v="#REF!"/>
    <e v="#REF!"/>
    <e v="#REF!"/>
  </r>
  <r>
    <s v="181000"/>
    <x v="6"/>
    <s v="COMPTE DE LIAISON DES ETABLISSEMENTS"/>
    <s v="OD"/>
    <n v="-211.73"/>
    <d v="2025-09-30T00:00:00"/>
    <s v="Liaison inter-établissement"/>
    <m/>
    <e v="#N/A"/>
    <e v="#N/A"/>
    <n v="87254"/>
    <m/>
    <m/>
    <s v="Q3"/>
    <e v="#REF!"/>
    <e v="#REF!"/>
    <e v="#REF!"/>
  </r>
  <r>
    <s v="181000"/>
    <x v="6"/>
    <s v="COMPTE DE LIAISON DES ETABLISSEMENTS"/>
    <s v="OD"/>
    <n v="-211.5"/>
    <d v="2025-04-10T00:00:00"/>
    <s v="Liaison inter-établissement vers TO "/>
    <m/>
    <e v="#N/A"/>
    <e v="#N/A"/>
    <n v="74988"/>
    <m/>
    <s v="SNCF"/>
    <s v="Q2"/>
    <e v="#REF!"/>
    <e v="#REF!"/>
    <e v="#REF!"/>
  </r>
  <r>
    <s v="181000"/>
    <x v="6"/>
    <s v="COMPTE DE LIAISON DES ETABLISSEMENTS"/>
    <s v="OD"/>
    <n v="-210.7"/>
    <d v="2025-01-31T00:00:00"/>
    <s v="Liaison inter-établissement vers TO "/>
    <m/>
    <e v="#N/A"/>
    <e v="#N/A"/>
    <n v="76214"/>
    <m/>
    <s v="AIR LIQUIDE"/>
    <s v="Q1"/>
    <e v="#REF!"/>
    <e v="#REF!"/>
    <e v="#REF!"/>
  </r>
  <r>
    <s v="181000"/>
    <x v="6"/>
    <s v="COMPTE DE LIAISON DES ETABLISSEMENTS"/>
    <s v="OD"/>
    <n v="-210"/>
    <d v="2025-01-30T00:00:00"/>
    <s v="Liaison inter-établissement vers TO "/>
    <m/>
    <e v="#N/A"/>
    <e v="#N/A"/>
    <n v="70115"/>
    <m/>
    <s v="GSF"/>
    <s v="Q1"/>
    <e v="#REF!"/>
    <e v="#REF!"/>
    <e v="#REF!"/>
  </r>
  <r>
    <s v="181000"/>
    <x v="6"/>
    <s v="COMPTE DE LIAISON DES ETABLISSEMENTS"/>
    <s v="OD"/>
    <n v="-210"/>
    <d v="2025-01-31T00:00:00"/>
    <s v="Liaison inter-établissement vers TO "/>
    <m/>
    <e v="#N/A"/>
    <e v="#N/A"/>
    <n v="63730"/>
    <m/>
    <s v="GSF"/>
    <s v="Q1"/>
    <e v="#REF!"/>
    <e v="#REF!"/>
    <e v="#REF!"/>
  </r>
  <r>
    <s v="181000"/>
    <x v="6"/>
    <s v="COMPTE DE LIAISON DES ETABLISSEMENTS"/>
    <s v="OD"/>
    <n v="-210"/>
    <d v="2025-03-07T00:00:00"/>
    <s v="Liaison inter-établissement vers TO "/>
    <m/>
    <e v="#N/A"/>
    <e v="#N/A"/>
    <n v="63802"/>
    <m/>
    <s v="PHENOMENEX"/>
    <s v="Q1"/>
    <e v="#REF!"/>
    <e v="#REF!"/>
    <e v="#REF!"/>
  </r>
  <r>
    <s v="181000"/>
    <x v="6"/>
    <s v="COMPTE DE LIAISON DES ETABLISSEMENTS"/>
    <s v="OD"/>
    <n v="-210"/>
    <d v="2025-03-28T00:00:00"/>
    <s v="Liaison établissement 401000 ROTH RO"/>
    <m/>
    <e v="#N/A"/>
    <e v="#N/A"/>
    <n v="64998"/>
    <s v="Invoice Payment by Pili"/>
    <s v="ROTH SOCHIEL"/>
    <s v="Q1"/>
    <e v="#REF!"/>
    <e v="#REF!"/>
    <e v="#REF!"/>
  </r>
  <r>
    <s v="181000"/>
    <x v="6"/>
    <s v="COMPTE DE LIAISON DES ETABLISSEMENTS"/>
    <s v="OD"/>
    <n v="-209.16"/>
    <d v="2025-08-01T00:00:00"/>
    <s v="Liaison inter-établissement vers TO "/>
    <m/>
    <e v="#N/A"/>
    <e v="#N/A"/>
    <n v="83257"/>
    <m/>
    <s v="BRUNEAU"/>
    <s v="Q3"/>
    <e v="#REF!"/>
    <e v="#REF!"/>
    <e v="#REF!"/>
  </r>
  <r>
    <s v="181000"/>
    <x v="6"/>
    <s v="COMPTE DE LIAISON DES ETABLISSEMENTS"/>
    <s v="OD"/>
    <n v="-204.67"/>
    <d v="2025-04-04T00:00:00"/>
    <s v="Liaison inter-établissement vers TO "/>
    <m/>
    <e v="#N/A"/>
    <e v="#N/A"/>
    <n v="74792"/>
    <m/>
    <s v="FISHER SCIENTIFIC"/>
    <s v="Q2"/>
    <e v="#REF!"/>
    <e v="#REF!"/>
    <e v="#REF!"/>
  </r>
  <r>
    <s v="181000"/>
    <x v="6"/>
    <s v="COMPTE DE LIAISON DES ETABLISSEMENTS"/>
    <s v="OD"/>
    <n v="-204"/>
    <d v="2025-02-18T00:00:00"/>
    <s v="Liaison inter-établissement vers TO "/>
    <m/>
    <e v="#N/A"/>
    <e v="#N/A"/>
    <n v="75891"/>
    <m/>
    <s v="Maud Sanchez"/>
    <s v="Q1"/>
    <e v="#REF!"/>
    <e v="#REF!"/>
    <e v="#REF!"/>
  </r>
  <r>
    <s v="181000"/>
    <x v="6"/>
    <s v="COMPTE DE LIAISON DES ETABLISSEMENTS"/>
    <s v="OD"/>
    <n v="-202.68"/>
    <d v="2025-03-06T00:00:00"/>
    <s v="Liaison inter-établissement vers TO "/>
    <m/>
    <e v="#N/A"/>
    <e v="#N/A"/>
    <n v="63490"/>
    <m/>
    <s v="ACRITEC"/>
    <s v="Q1"/>
    <e v="#REF!"/>
    <e v="#REF!"/>
    <e v="#REF!"/>
  </r>
  <r>
    <s v="181000"/>
    <x v="6"/>
    <s v="COMPTE DE LIAISON DES ETABLISSEMENTS"/>
    <s v="OD"/>
    <n v="-201.42"/>
    <d v="2025-02-01T00:00:00"/>
    <s v="Liaison inter-établissement vers TO "/>
    <m/>
    <e v="#N/A"/>
    <e v="#N/A"/>
    <n v="89485"/>
    <m/>
    <s v="ORANGE"/>
    <s v="Q1"/>
    <e v="#REF!"/>
    <e v="#REF!"/>
    <e v="#REF!"/>
  </r>
  <r>
    <s v="181000"/>
    <x v="6"/>
    <s v="COMPTE DE LIAISON DES ETABLISSEMENTS"/>
    <s v="OD"/>
    <n v="-201.24"/>
    <d v="2025-02-28T00:00:00"/>
    <s v="Liaison inter-établissement vers TO "/>
    <m/>
    <e v="#N/A"/>
    <e v="#N/A"/>
    <n v="63618"/>
    <m/>
    <s v="CAWATOES"/>
    <s v="Q1"/>
    <e v="#REF!"/>
    <e v="#REF!"/>
    <e v="#REF!"/>
  </r>
  <r>
    <s v="181000"/>
    <x v="6"/>
    <s v="COMPTE DE LIAISON DES ETABLISSEMENTS"/>
    <s v="OD"/>
    <n v="-201.24"/>
    <d v="2025-04-25T00:00:00"/>
    <s v="Liaison établissement 401000 CAWAT KB"/>
    <m/>
    <e v="#N/A"/>
    <e v="#N/A"/>
    <n v="70203"/>
    <s v="Invoice Payment by Pili"/>
    <s v="CAWATOES"/>
    <s v="Q2"/>
    <e v="#REF!"/>
    <e v="#REF!"/>
    <e v="#REF!"/>
  </r>
  <r>
    <s v="181000"/>
    <x v="6"/>
    <s v="COMPTE DE LIAISON DES ETABLISSEMENTS"/>
    <s v="OD"/>
    <n v="-200.94"/>
    <d v="2025-07-31T00:00:00"/>
    <s v="Liaison établissement 401000 FILHOL RO"/>
    <m/>
    <e v="#N/A"/>
    <e v="#N/A"/>
    <n v="79271"/>
    <s v="TRANSPORT PRODUITS POUR ESSAIS 2 CHEZ ROUSSELET"/>
    <s v="FILHOL"/>
    <s v="Q3"/>
    <e v="#REF!"/>
    <e v="#REF!"/>
    <e v="#REF!"/>
  </r>
  <r>
    <s v="181000"/>
    <x v="6"/>
    <s v="COMPTE DE LIAISON DES ETABLISSEMENTS"/>
    <s v="OD"/>
    <n v="-200"/>
    <d v="2025-01-13T00:00:00"/>
    <s v="Liaison inter-établissement vers TO "/>
    <m/>
    <e v="#N/A"/>
    <e v="#N/A"/>
    <n v="73882"/>
    <m/>
    <s v="Jérémie Blache"/>
    <s v="Q1"/>
    <e v="#REF!"/>
    <e v="#REF!"/>
    <e v="#REF!"/>
  </r>
  <r>
    <s v="181000"/>
    <x v="6"/>
    <s v="COMPTE DE LIAISON DES ETABLISSEMENTS"/>
    <s v="OD"/>
    <n v="-200"/>
    <d v="2025-02-17T00:00:00"/>
    <s v="Liaison inter-établissement vers TO "/>
    <m/>
    <e v="#N/A"/>
    <e v="#N/A"/>
    <n v="73858"/>
    <m/>
    <s v="Jérémie Blache"/>
    <s v="Q1"/>
    <e v="#REF!"/>
    <e v="#REF!"/>
    <e v="#REF!"/>
  </r>
  <r>
    <s v="181000"/>
    <x v="6"/>
    <s v="COMPTE DE LIAISON DES ETABLISSEMENTS"/>
    <s v="OD"/>
    <n v="-200"/>
    <d v="2025-04-29T00:00:00"/>
    <s v="Liaison inter-établissement vers TO "/>
    <m/>
    <e v="#N/A"/>
    <e v="#N/A"/>
    <n v="74514"/>
    <m/>
    <s v="Jérémie Blache"/>
    <s v="Q2"/>
    <e v="#REF!"/>
    <e v="#REF!"/>
    <e v="#REF!"/>
  </r>
  <r>
    <s v="181000"/>
    <x v="6"/>
    <s v="COMPTE DE LIAISON DES ETABLISSEMENTS"/>
    <s v="OD"/>
    <n v="-200"/>
    <d v="2025-05-13T00:00:00"/>
    <s v="Liaison inter-établissement vers TO "/>
    <m/>
    <e v="#N/A"/>
    <e v="#N/A"/>
    <n v="74510"/>
    <m/>
    <s v="Jérémie Blache"/>
    <s v="Q2"/>
    <e v="#REF!"/>
    <e v="#REF!"/>
    <e v="#REF!"/>
  </r>
  <r>
    <s v="181000"/>
    <x v="6"/>
    <s v="COMPTE DE LIAISON DES ETABLISSEMENTS"/>
    <s v="OD"/>
    <n v="-199.9"/>
    <d v="2025-09-27T00:00:00"/>
    <s v="Liaison inter-établissement vers TO "/>
    <m/>
    <e v="#N/A"/>
    <e v="#N/A"/>
    <n v="91686"/>
    <m/>
    <s v="SNCF"/>
    <s v="Q3"/>
    <e v="#REF!"/>
    <e v="#REF!"/>
    <e v="#REF!"/>
  </r>
  <r>
    <s v="181000"/>
    <x v="6"/>
    <s v="COMPTE DE LIAISON DES ETABLISSEMENTS"/>
    <s v="OD"/>
    <n v="-199.33"/>
    <d v="2025-02-14T00:00:00"/>
    <s v="Liaison inter-établissement vers TO "/>
    <m/>
    <e v="#N/A"/>
    <e v="#N/A"/>
    <n v="64264"/>
    <m/>
    <s v="BRUNEAU"/>
    <s v="Q1"/>
    <e v="#REF!"/>
    <e v="#REF!"/>
    <e v="#REF!"/>
  </r>
  <r>
    <s v="181000"/>
    <x v="6"/>
    <s v="COMPTE DE LIAISON DES ETABLISSEMENTS"/>
    <s v="OD"/>
    <n v="-198.28"/>
    <d v="2025-03-20T00:00:00"/>
    <s v="Liaison inter-établissement vers TO "/>
    <m/>
    <e v="#N/A"/>
    <e v="#N/A"/>
    <n v="64428"/>
    <m/>
    <s v="FISHER SCIENTIFIC"/>
    <s v="Q1"/>
    <e v="#REF!"/>
    <e v="#REF!"/>
    <e v="#REF!"/>
  </r>
  <r>
    <s v="181000"/>
    <x v="6"/>
    <s v="COMPTE DE LIAISON DES ETABLISSEMENTS"/>
    <s v="OD"/>
    <n v="-198"/>
    <d v="2025-02-21T00:00:00"/>
    <s v="Liaison inter-établissement vers TO "/>
    <m/>
    <s v="Non"/>
    <e v="#N/A"/>
    <n v="68099"/>
    <m/>
    <s v="DIVERS"/>
    <s v="Q1"/>
    <e v="#REF!"/>
    <e v="#REF!"/>
    <e v="#REF!"/>
  </r>
  <r>
    <s v="181000"/>
    <x v="6"/>
    <s v="COMPTE DE LIAISON DES ETABLISSEMENTS"/>
    <s v="OD"/>
    <n v="-198"/>
    <d v="2025-06-30T00:00:00"/>
    <s v="Liaison inter-établissement"/>
    <m/>
    <e v="#N/A"/>
    <e v="#N/A"/>
    <n v="78482"/>
    <m/>
    <m/>
    <s v="Q2"/>
    <e v="#REF!"/>
    <e v="#REF!"/>
    <e v="#REF!"/>
  </r>
  <r>
    <s v="181000"/>
    <x v="6"/>
    <s v="COMPTE DE LIAISON DES ETABLISSEMENTS"/>
    <s v="OD"/>
    <n v="-198"/>
    <d v="2025-07-30T00:00:00"/>
    <s v="Liaison inter-établissement vers TO "/>
    <m/>
    <e v="#N/A"/>
    <e v="#N/A"/>
    <n v="81058"/>
    <m/>
    <s v="CHIMIE PROMOTION"/>
    <s v="Q3"/>
    <e v="#REF!"/>
    <e v="#REF!"/>
    <e v="#REF!"/>
  </r>
  <r>
    <s v="181000"/>
    <x v="6"/>
    <s v="COMPTE DE LIAISON DES ETABLISSEMENTS"/>
    <s v="OD"/>
    <n v="-198"/>
    <d v="2025-10-06T00:00:00"/>
    <s v="Liaison établissement 401000 F2P KB"/>
    <s v="Non"/>
    <s v="Non"/>
    <e v="#N/A"/>
    <n v="82890"/>
    <s v="ATTESTATION BPI JUILLET 2025"/>
    <s v="F2P AUDIT &amp; CONSEIL"/>
    <s v="Q4"/>
    <e v="#REF!"/>
    <e v="#REF!"/>
    <e v="#REF!"/>
  </r>
  <r>
    <s v="181000"/>
    <x v="6"/>
    <s v="COMPTE DE LIAISON DES ETABLISSEMENTS"/>
    <s v="OD"/>
    <n v="-196"/>
    <d v="2025-04-25T00:00:00"/>
    <s v="Liaison inter-établissement vers TO "/>
    <m/>
    <e v="#N/A"/>
    <e v="#N/A"/>
    <n v="74474"/>
    <m/>
    <s v="Eugénie Terrangle"/>
    <s v="Q2"/>
    <e v="#REF!"/>
    <e v="#REF!"/>
    <e v="#REF!"/>
  </r>
  <r>
    <s v="181000"/>
    <x v="6"/>
    <s v="COMPTE DE LIAISON DES ETABLISSEMENTS"/>
    <s v="OD"/>
    <n v="-195.54"/>
    <d v="2025-10-24T00:00:00"/>
    <s v="Liaison inter-établissement vers TO "/>
    <m/>
    <e v="#N/A"/>
    <e v="#N/A"/>
    <n v="89720"/>
    <m/>
    <s v="BRUNEAU"/>
    <s v="Q4"/>
    <e v="#REF!"/>
    <e v="#REF!"/>
    <e v="#REF!"/>
  </r>
  <r>
    <s v="181000"/>
    <x v="6"/>
    <s v="COMPTE DE LIAISON DES ETABLISSEMENTS"/>
    <s v="OD"/>
    <n v="-195.36"/>
    <d v="2025-04-08T00:00:00"/>
    <s v="Liaison établissement 401000 SIGMA KB"/>
    <m/>
    <e v="#N/A"/>
    <e v="#N/A"/>
    <n v="66703"/>
    <s v="Invoice Payment By Pili"/>
    <s v="Sigma-Aldrich chimie"/>
    <s v="Q2"/>
    <e v="#REF!"/>
    <e v="#REF!"/>
    <e v="#REF!"/>
  </r>
  <r>
    <s v="181000"/>
    <x v="6"/>
    <s v="COMPTE DE LIAISON DES ETABLISSEMENTS"/>
    <s v="OD"/>
    <n v="-194.88"/>
    <d v="2025-12-10T00:00:00"/>
    <s v="Liaison établissement 401000 VWR KB"/>
    <m/>
    <e v="#N/A"/>
    <e v="#N/A"/>
    <n v="92059"/>
    <s v="4067855750"/>
    <s v="VWR AVANTOR"/>
    <s v="Q4"/>
    <e v="#REF!"/>
    <e v="#REF!"/>
    <e v="#REF!"/>
  </r>
  <r>
    <s v="181000"/>
    <x v="6"/>
    <s v="COMPTE DE LIAISON DES ETABLISSEMENTS"/>
    <s v="OD"/>
    <n v="-194.2"/>
    <d v="2025-06-17T00:00:00"/>
    <s v="Liaison inter-établissement vers TO "/>
    <m/>
    <e v="#N/A"/>
    <e v="#N/A"/>
    <n v="78145"/>
    <m/>
    <s v="SNCF"/>
    <s v="Q2"/>
    <e v="#REF!"/>
    <e v="#REF!"/>
    <e v="#REF!"/>
  </r>
  <r>
    <s v="181000"/>
    <x v="6"/>
    <s v="COMPTE DE LIAISON DES ETABLISSEMENTS"/>
    <s v="OD"/>
    <n v="-194.04"/>
    <d v="2025-07-31T00:00:00"/>
    <s v="Liaison établissement 401000 VWR KB"/>
    <m/>
    <e v="#N/A"/>
    <e v="#N/A"/>
    <n v="79366"/>
    <s v="COMMANDE CONSOMMABLE LABO"/>
    <s v="VWR AVANTOR"/>
    <s v="Q3"/>
    <e v="#REF!"/>
    <e v="#REF!"/>
    <e v="#REF!"/>
  </r>
  <r>
    <s v="181000"/>
    <x v="6"/>
    <s v="COMPTE DE LIAISON DES ETABLISSEMENTS"/>
    <s v="OD"/>
    <n v="-194"/>
    <d v="2025-10-22T00:00:00"/>
    <s v="Liaison inter-établissement vers TO "/>
    <m/>
    <e v="#N/A"/>
    <e v="#N/A"/>
    <n v="89814"/>
    <m/>
    <s v="SNCF"/>
    <s v="Q4"/>
    <e v="#REF!"/>
    <e v="#REF!"/>
    <e v="#REF!"/>
  </r>
  <r>
    <s v="181000"/>
    <x v="6"/>
    <s v="COMPTE DE LIAISON DES ETABLISSEMENTS"/>
    <s v="OD"/>
    <n v="-191.12"/>
    <d v="2025-06-30T00:00:00"/>
    <s v="Liaison inter-établissement"/>
    <m/>
    <e v="#N/A"/>
    <e v="#N/A"/>
    <n v="78475"/>
    <m/>
    <m/>
    <s v="Q2"/>
    <e v="#REF!"/>
    <e v="#REF!"/>
    <e v="#REF!"/>
  </r>
  <r>
    <s v="181000"/>
    <x v="6"/>
    <s v="COMPTE DE LIAISON DES ETABLISSEMENTS"/>
    <s v="OD"/>
    <n v="-191.12"/>
    <d v="2025-06-30T00:00:00"/>
    <s v="Liaison inter-établissement vers TO "/>
    <m/>
    <e v="#N/A"/>
    <e v="#N/A"/>
    <n v="78463"/>
    <m/>
    <m/>
    <s v="Q2"/>
    <e v="#REF!"/>
    <e v="#REF!"/>
    <e v="#REF!"/>
  </r>
  <r>
    <s v="181000"/>
    <x v="6"/>
    <s v="COMPTE DE LIAISON DES ETABLISSEMENTS"/>
    <s v="OD"/>
    <n v="-191"/>
    <d v="2025-12-03T00:00:00"/>
    <s v="Liaison inter-établissement vers TO "/>
    <m/>
    <e v="#N/A"/>
    <e v="#N/A"/>
    <n v="94113"/>
    <m/>
    <s v="SNCF"/>
    <s v="Q4"/>
    <e v="#REF!"/>
    <e v="#REF!"/>
    <e v="#REF!"/>
  </r>
  <r>
    <s v="181000"/>
    <x v="6"/>
    <s v="COMPTE DE LIAISON DES ETABLISSEMENTS"/>
    <s v="OD"/>
    <n v="-189.6"/>
    <d v="2025-12-30T00:00:00"/>
    <s v="Liaison établissement 401000 ROTH RO"/>
    <m/>
    <e v="#N/A"/>
    <e v="#N/A"/>
    <n v="93858"/>
    <s v="4185754"/>
    <s v="ROTH SOCHIEL"/>
    <s v="Q4"/>
    <e v="#REF!"/>
    <e v="#REF!"/>
    <e v="#REF!"/>
  </r>
  <r>
    <s v="181000"/>
    <x v="6"/>
    <s v="COMPTE DE LIAISON DES ETABLISSEMENTS"/>
    <s v="OD"/>
    <n v="-188.58"/>
    <d v="2025-02-28T00:00:00"/>
    <s v="Liaison inter-établissement vers TO "/>
    <m/>
    <e v="#N/A"/>
    <e v="#N/A"/>
    <n v="63622"/>
    <m/>
    <s v="CAWATOES"/>
    <s v="Q1"/>
    <e v="#REF!"/>
    <e v="#REF!"/>
    <e v="#REF!"/>
  </r>
  <r>
    <s v="181000"/>
    <x v="6"/>
    <s v="COMPTE DE LIAISON DES ETABLISSEMENTS"/>
    <s v="OD"/>
    <n v="-188.55"/>
    <d v="2025-05-14T00:00:00"/>
    <s v="Liaison établissement 401000 BIOTIKA RO"/>
    <s v="Non"/>
    <e v="#N/A"/>
    <e v="#N/A"/>
    <n v="72292"/>
    <m/>
    <s v="BIOTIKA"/>
    <s v="Q2"/>
    <e v="#REF!"/>
    <e v="#REF!"/>
    <e v="#REF!"/>
  </r>
  <r>
    <s v="181000"/>
    <x v="6"/>
    <s v="COMPTE DE LIAISON DES ETABLISSEMENTS"/>
    <s v="OD"/>
    <n v="-188.52"/>
    <d v="2025-03-18T00:00:00"/>
    <s v="Liaison inter-établissement vers TO "/>
    <m/>
    <e v="#N/A"/>
    <e v="#N/A"/>
    <n v="64476"/>
    <m/>
    <s v="VWR AVANTOR"/>
    <s v="Q1"/>
    <e v="#REF!"/>
    <e v="#REF!"/>
    <e v="#REF!"/>
  </r>
  <r>
    <s v="181000"/>
    <x v="6"/>
    <s v="COMPTE DE LIAISON DES ETABLISSEMENTS"/>
    <s v="OD"/>
    <n v="-188.4"/>
    <d v="2025-02-28T00:00:00"/>
    <s v="Liaison inter-établissement vers TO "/>
    <m/>
    <e v="#N/A"/>
    <e v="#N/A"/>
    <n v="63550"/>
    <m/>
    <s v="ARESCOM"/>
    <s v="Q1"/>
    <e v="#REF!"/>
    <e v="#REF!"/>
    <e v="#REF!"/>
  </r>
  <r>
    <s v="181000"/>
    <x v="6"/>
    <s v="COMPTE DE LIAISON DES ETABLISSEMENTS"/>
    <s v="OD"/>
    <n v="-188"/>
    <d v="2025-06-30T00:00:00"/>
    <s v="Liaison inter-établissement"/>
    <m/>
    <e v="#N/A"/>
    <e v="#N/A"/>
    <n v="78522"/>
    <m/>
    <m/>
    <s v="Q2"/>
    <e v="#REF!"/>
    <e v="#REF!"/>
    <e v="#REF!"/>
  </r>
  <r>
    <s v="181000"/>
    <x v="6"/>
    <s v="COMPTE DE LIAISON DES ETABLISSEMENTS"/>
    <s v="OD"/>
    <n v="-188"/>
    <d v="2025-11-15T00:00:00"/>
    <s v="Liaison inter-établissement vers TO "/>
    <m/>
    <e v="#N/A"/>
    <e v="#N/A"/>
    <n v="91698"/>
    <m/>
    <s v="SNCF"/>
    <s v="Q4"/>
    <e v="#REF!"/>
    <e v="#REF!"/>
    <e v="#REF!"/>
  </r>
  <r>
    <s v="181000"/>
    <x v="6"/>
    <s v="COMPTE DE LIAISON DES ETABLISSEMENTS"/>
    <s v="OD"/>
    <n v="-187.86"/>
    <d v="2025-11-24T00:00:00"/>
    <s v="Liaison inter-établissement vers TO "/>
    <m/>
    <e v="#N/A"/>
    <e v="#N/A"/>
    <n v="91040"/>
    <m/>
    <s v="Julie Lacondemine"/>
    <s v="Q4"/>
    <e v="#REF!"/>
    <e v="#REF!"/>
    <e v="#REF!"/>
  </r>
  <r>
    <s v="181000"/>
    <x v="6"/>
    <s v="COMPTE DE LIAISON DES ETABLISSEMENTS"/>
    <s v="OD"/>
    <n v="-187.65"/>
    <d v="2025-12-03T00:00:00"/>
    <s v="Liaison inter-établissement vers TO "/>
    <m/>
    <e v="#N/A"/>
    <e v="#N/A"/>
    <n v="96037"/>
    <m/>
    <s v="AIRBNB"/>
    <s v="Q4"/>
    <e v="#REF!"/>
    <e v="#REF!"/>
    <e v="#REF!"/>
  </r>
  <r>
    <s v="181000"/>
    <x v="6"/>
    <s v="COMPTE DE LIAISON DES ETABLISSEMENTS"/>
    <s v="OD"/>
    <n v="-187.26"/>
    <d v="2025-02-03T00:00:00"/>
    <s v="Liaison inter-établissement vers TO "/>
    <m/>
    <e v="#N/A"/>
    <e v="#N/A"/>
    <n v="73894"/>
    <m/>
    <s v="Loic masseboeuf"/>
    <s v="Q1"/>
    <e v="#REF!"/>
    <e v="#REF!"/>
    <e v="#REF!"/>
  </r>
  <r>
    <s v="181000"/>
    <x v="6"/>
    <s v="COMPTE DE LIAISON DES ETABLISSEMENTS"/>
    <s v="OD"/>
    <n v="-187.2"/>
    <d v="2025-03-31T00:00:00"/>
    <s v="Liaison inter-établissement vers TO "/>
    <m/>
    <e v="#N/A"/>
    <e v="#N/A"/>
    <n v="72732"/>
    <m/>
    <s v="Banque Populaire Rive de Paris"/>
    <s v="Q1"/>
    <e v="#REF!"/>
    <e v="#REF!"/>
    <e v="#REF!"/>
  </r>
  <r>
    <s v="181000"/>
    <x v="6"/>
    <s v="COMPTE DE LIAISON DES ETABLISSEMENTS"/>
    <s v="OD"/>
    <n v="-186.42"/>
    <d v="2025-07-09T00:00:00"/>
    <s v="Liaison établissement 401000 VWR KB"/>
    <m/>
    <e v="#N/A"/>
    <e v="#N/A"/>
    <n v="77246"/>
    <s v="DODÉCYLSULFATE SEL DE SODIUM LAB"/>
    <s v="VWR AVANTOR"/>
    <s v="Q3"/>
    <e v="#REF!"/>
    <e v="#REF!"/>
    <e v="#REF!"/>
  </r>
  <r>
    <s v="181000"/>
    <x v="6"/>
    <s v="COMPTE DE LIAISON DES ETABLISSEMENTS"/>
    <s v="OD"/>
    <n v="-186.02"/>
    <d v="2025-10-15T00:00:00"/>
    <s v="Liaison inter-établissement vers TO "/>
    <m/>
    <e v="#N/A"/>
    <e v="#N/A"/>
    <n v="89770"/>
    <m/>
    <s v="RS COMPONENT"/>
    <s v="Q4"/>
    <e v="#REF!"/>
    <e v="#REF!"/>
    <e v="#REF!"/>
  </r>
  <r>
    <s v="181000"/>
    <x v="6"/>
    <s v="COMPTE DE LIAISON DES ETABLISSEMENTS"/>
    <s v="OD"/>
    <n v="-186"/>
    <d v="2025-05-18T00:00:00"/>
    <s v="Liaison inter-établissement vers TO "/>
    <m/>
    <e v="#N/A"/>
    <e v="#N/A"/>
    <n v="78149"/>
    <m/>
    <s v="SNCF"/>
    <s v="Q2"/>
    <e v="#REF!"/>
    <e v="#REF!"/>
    <e v="#REF!"/>
  </r>
  <r>
    <s v="181000"/>
    <x v="6"/>
    <s v="COMPTE DE LIAISON DES ETABLISSEMENTS"/>
    <s v="OD"/>
    <n v="-184.75"/>
    <d v="2025-05-14T00:00:00"/>
    <s v="Liaison établissement 401000 ROTH RO"/>
    <m/>
    <e v="#N/A"/>
    <e v="#N/A"/>
    <n v="72342"/>
    <s v="Invoice Payment by Pili"/>
    <s v="ROTH SOCHIEL"/>
    <s v="Q2"/>
    <e v="#REF!"/>
    <e v="#REF!"/>
    <e v="#REF!"/>
  </r>
  <r>
    <s v="181000"/>
    <x v="6"/>
    <s v="COMPTE DE LIAISON DES ETABLISSEMENTS"/>
    <s v="OD"/>
    <n v="-184.32"/>
    <d v="2025-09-22T00:00:00"/>
    <s v="Liaison établissement 401000 OPTIMUS RO"/>
    <m/>
    <e v="#N/A"/>
    <e v="#N/A"/>
    <n v="82396"/>
    <s v="CLARINETTE POUR KL"/>
    <s v="OPTIMUS"/>
    <s v="Q3"/>
    <e v="#REF!"/>
    <e v="#REF!"/>
    <e v="#REF!"/>
  </r>
  <r>
    <s v="181000"/>
    <x v="6"/>
    <s v="COMPTE DE LIAISON DES ETABLISSEMENTS"/>
    <s v="OD"/>
    <n v="-183.02"/>
    <d v="2025-02-22T00:00:00"/>
    <s v="Liaison inter-établissement vers TO "/>
    <m/>
    <e v="#N/A"/>
    <e v="#N/A"/>
    <n v="74256"/>
    <m/>
    <s v="ORANGE"/>
    <s v="Q1"/>
    <e v="#REF!"/>
    <e v="#REF!"/>
    <e v="#REF!"/>
  </r>
  <r>
    <s v="181000"/>
    <x v="6"/>
    <s v="COMPTE DE LIAISON DES ETABLISSEMENTS"/>
    <s v="OD"/>
    <n v="-182.93"/>
    <d v="2025-02-14T00:00:00"/>
    <s v="Liaison inter-établissement vers TO "/>
    <m/>
    <e v="#N/A"/>
    <e v="#N/A"/>
    <n v="66772"/>
    <m/>
    <s v="AIRBNB"/>
    <s v="Q1"/>
    <e v="#REF!"/>
    <e v="#REF!"/>
    <e v="#REF!"/>
  </r>
  <r>
    <s v="181000"/>
    <x v="6"/>
    <s v="COMPTE DE LIAISON DES ETABLISSEMENTS"/>
    <s v="OD"/>
    <n v="-182.39"/>
    <d v="2025-10-16T00:00:00"/>
    <s v="Liaison inter-établissement vers TO "/>
    <s v="Non"/>
    <s v="Non"/>
    <e v="#N/A"/>
    <n v="89680"/>
    <m/>
    <s v="LINKEDIN"/>
    <s v="Q4"/>
    <e v="#REF!"/>
    <e v="#REF!"/>
    <e v="#REF!"/>
  </r>
  <r>
    <s v="181000"/>
    <x v="6"/>
    <s v="COMPTE DE LIAISON DES ETABLISSEMENTS"/>
    <s v="OD"/>
    <n v="-181.54"/>
    <d v="2025-09-19T00:00:00"/>
    <s v="Liaison inter-établissement vers TO "/>
    <m/>
    <s v="Non"/>
    <e v="#N/A"/>
    <n v="85061"/>
    <m/>
    <s v="DIVERS"/>
    <s v="Q3"/>
    <e v="#REF!"/>
    <e v="#REF!"/>
    <e v="#REF!"/>
  </r>
  <r>
    <s v="181000"/>
    <x v="6"/>
    <s v="COMPTE DE LIAISON DES ETABLISSEMENTS"/>
    <s v="OD"/>
    <n v="-181.2"/>
    <d v="2025-01-03T00:00:00"/>
    <s v="Liaison inter-établissement vers TO "/>
    <m/>
    <e v="#N/A"/>
    <e v="#N/A"/>
    <n v="63766"/>
    <m/>
    <s v="OPTIMUS"/>
    <s v="Q1"/>
    <e v="#REF!"/>
    <e v="#REF!"/>
    <e v="#REF!"/>
  </r>
  <r>
    <s v="181000"/>
    <x v="6"/>
    <s v="COMPTE DE LIAISON DES ETABLISSEMENTS"/>
    <s v="OD"/>
    <n v="-181.2"/>
    <d v="2025-04-15T00:00:00"/>
    <s v="Liaison inter-établissement vers TO "/>
    <m/>
    <e v="#N/A"/>
    <e v="#N/A"/>
    <n v="68091"/>
    <m/>
    <s v="CLOUP"/>
    <s v="Q2"/>
    <e v="#REF!"/>
    <e v="#REF!"/>
    <e v="#REF!"/>
  </r>
  <r>
    <s v="181000"/>
    <x v="6"/>
    <s v="COMPTE DE LIAISON DES ETABLISSEMENTS"/>
    <s v="OD"/>
    <n v="-180"/>
    <d v="2025-04-07T00:00:00"/>
    <s v="Liaison inter-établissement vers TO "/>
    <m/>
    <e v="#N/A"/>
    <e v="#N/A"/>
    <n v="76715"/>
    <m/>
    <s v="Julie Lacondemine"/>
    <s v="Q2"/>
    <e v="#REF!"/>
    <e v="#REF!"/>
    <e v="#REF!"/>
  </r>
  <r>
    <s v="181000"/>
    <x v="6"/>
    <s v="COMPTE DE LIAISON DES ETABLISSEMENTS"/>
    <s v="OD"/>
    <n v="-180"/>
    <d v="2025-07-31T00:00:00"/>
    <s v="Liaison établissement 401000 BECKER KB"/>
    <s v="Non"/>
    <s v="Oui"/>
    <e v="#N/A"/>
    <n v="79251"/>
    <s v="DEMANDE DE BREVET EN INDE (ÉTAT DE LA FAMILLE) - BREVET PHOENIX"/>
    <s v="BECKER"/>
    <s v="Q3"/>
    <e v="#REF!"/>
    <e v="#REF!"/>
    <e v="#REF!"/>
  </r>
  <r>
    <s v="181000"/>
    <x v="6"/>
    <s v="COMPTE DE LIAISON DES ETABLISSEMENTS"/>
    <s v="OD"/>
    <n v="-178.8"/>
    <d v="2025-07-29T00:00:00"/>
    <s v="Liaison établissement 401000 SIGMA RO"/>
    <m/>
    <e v="#N/A"/>
    <e v="#N/A"/>
    <n v="78731"/>
    <s v="PRODUITS POUR VBIO ET V2020 AMINOIMINOMETHANESULFINIC ACID IRON II SULFATE HEPTAHYDRATE"/>
    <s v="Sigma-Aldrich chimie"/>
    <s v="Q3"/>
    <e v="#REF!"/>
    <e v="#REF!"/>
    <e v="#REF!"/>
  </r>
  <r>
    <s v="181000"/>
    <x v="6"/>
    <s v="COMPTE DE LIAISON DES ETABLISSEMENTS"/>
    <s v="OD"/>
    <n v="-178.61"/>
    <d v="2025-02-28T00:00:00"/>
    <s v="Liaison inter-établissement vers TO "/>
    <m/>
    <e v="#N/A"/>
    <e v="#N/A"/>
    <n v="90106"/>
    <m/>
    <s v="AIR LIQUIDE"/>
    <s v="Q1"/>
    <e v="#REF!"/>
    <e v="#REF!"/>
    <e v="#REF!"/>
  </r>
  <r>
    <s v="181000"/>
    <x v="6"/>
    <s v="COMPTE DE LIAISON DES ETABLISSEMENTS"/>
    <s v="OD"/>
    <n v="-178.61"/>
    <d v="2025-05-30T00:00:00"/>
    <s v="Liaison inter-établissement vers TO "/>
    <m/>
    <e v="#N/A"/>
    <e v="#N/A"/>
    <n v="75017"/>
    <m/>
    <s v="AIR LIQUIDE"/>
    <s v="Q2"/>
    <e v="#REF!"/>
    <e v="#REF!"/>
    <e v="#REF!"/>
  </r>
  <r>
    <s v="181000"/>
    <x v="6"/>
    <s v="COMPTE DE LIAISON DES ETABLISSEMENTS"/>
    <s v="OD"/>
    <n v="-178.61"/>
    <d v="2025-07-31T00:00:00"/>
    <s v="Liaison inter-établissement vers TO "/>
    <m/>
    <e v="#N/A"/>
    <e v="#N/A"/>
    <n v="81916"/>
    <m/>
    <s v="AIR LIQUIDE"/>
    <s v="Q3"/>
    <e v="#REF!"/>
    <e v="#REF!"/>
    <e v="#REF!"/>
  </r>
  <r>
    <s v="181000"/>
    <x v="6"/>
    <s v="COMPTE DE LIAISON DES ETABLISSEMENTS"/>
    <s v="OD"/>
    <n v="-178.61"/>
    <d v="2025-09-30T00:00:00"/>
    <s v="Liaison inter-établissement vers TO "/>
    <m/>
    <e v="#N/A"/>
    <e v="#N/A"/>
    <n v="82663"/>
    <m/>
    <s v="AIR LIQUIDE"/>
    <s v="Q3"/>
    <e v="#REF!"/>
    <e v="#REF!"/>
    <e v="#REF!"/>
  </r>
  <r>
    <s v="181000"/>
    <x v="6"/>
    <s v="COMPTE DE LIAISON DES ETABLISSEMENTS"/>
    <s v="OD"/>
    <n v="-178.61"/>
    <d v="2025-12-31T00:00:00"/>
    <s v="Liaison inter-établissement vers TO "/>
    <m/>
    <e v="#N/A"/>
    <e v="#N/A"/>
    <n v="94998"/>
    <m/>
    <s v="AIR LIQUIDE"/>
    <s v="Q4"/>
    <e v="#REF!"/>
    <e v="#REF!"/>
    <e v="#REF!"/>
  </r>
  <r>
    <s v="181000"/>
    <x v="6"/>
    <s v="COMPTE DE LIAISON DES ETABLISSEMENTS"/>
    <s v="OD"/>
    <n v="-178.36"/>
    <d v="2025-07-12T00:00:00"/>
    <s v="Liaison inter-établissement vers TO "/>
    <m/>
    <e v="#N/A"/>
    <e v="#N/A"/>
    <n v="81026"/>
    <m/>
    <s v="RS COMPONENT"/>
    <s v="Q3"/>
    <e v="#REF!"/>
    <e v="#REF!"/>
    <e v="#REF!"/>
  </r>
  <r>
    <s v="181000"/>
    <x v="6"/>
    <s v="COMPTE DE LIAISON DES ETABLISSEMENTS"/>
    <s v="OD"/>
    <n v="-177"/>
    <d v="2025-11-17T00:00:00"/>
    <s v="Liaison établissement 401000 GINELOG RO"/>
    <m/>
    <e v="#N/A"/>
    <e v="#N/A"/>
    <n v="90133"/>
    <s v="LOCATION MINIBUS ÉQUIPE ROUSSILLON DÉPLACEMENT SÉMINAIRE PILI"/>
    <s v="GINE-LOG"/>
    <s v="Q4"/>
    <e v="#REF!"/>
    <e v="#REF!"/>
    <e v="#REF!"/>
  </r>
  <r>
    <s v="181000"/>
    <x v="6"/>
    <s v="COMPTE DE LIAISON DES ETABLISSEMENTS"/>
    <s v="OD"/>
    <n v="-176"/>
    <d v="2025-01-23T00:00:00"/>
    <s v="Liaison inter-établissement vers TO "/>
    <m/>
    <e v="#N/A"/>
    <e v="#N/A"/>
    <n v="63896"/>
    <m/>
    <s v="SNCF"/>
    <s v="Q1"/>
    <e v="#REF!"/>
    <e v="#REF!"/>
    <e v="#REF!"/>
  </r>
  <r>
    <s v="181000"/>
    <x v="6"/>
    <s v="COMPTE DE LIAISON DES ETABLISSEMENTS"/>
    <s v="OD"/>
    <n v="-176"/>
    <d v="2025-02-12T00:00:00"/>
    <s v="Liaison inter-établissement vers TO "/>
    <m/>
    <e v="#N/A"/>
    <e v="#N/A"/>
    <n v="64372"/>
    <m/>
    <s v="SNCF"/>
    <s v="Q1"/>
    <e v="#REF!"/>
    <e v="#REF!"/>
    <e v="#REF!"/>
  </r>
  <r>
    <s v="181000"/>
    <x v="6"/>
    <s v="COMPTE DE LIAISON DES ETABLISSEMENTS"/>
    <s v="OD"/>
    <n v="-176"/>
    <d v="2025-05-24T00:00:00"/>
    <s v="Liaison inter-établissement vers TO "/>
    <m/>
    <e v="#N/A"/>
    <e v="#N/A"/>
    <n v="78169"/>
    <m/>
    <s v="SNCF"/>
    <s v="Q2"/>
    <e v="#REF!"/>
    <e v="#REF!"/>
    <e v="#REF!"/>
  </r>
  <r>
    <s v="181000"/>
    <x v="6"/>
    <s v="COMPTE DE LIAISON DES ETABLISSEMENTS"/>
    <s v="OD"/>
    <n v="-176"/>
    <d v="2025-05-27T00:00:00"/>
    <s v="Liaison inter-établissement vers TO "/>
    <m/>
    <e v="#N/A"/>
    <e v="#N/A"/>
    <n v="78133"/>
    <m/>
    <s v="SNCF"/>
    <s v="Q2"/>
    <e v="#REF!"/>
    <e v="#REF!"/>
    <e v="#REF!"/>
  </r>
  <r>
    <s v="181000"/>
    <x v="6"/>
    <s v="COMPTE DE LIAISON DES ETABLISSEMENTS"/>
    <s v="OD"/>
    <n v="-176"/>
    <d v="2025-09-15T00:00:00"/>
    <s v="Liaison inter-établissement vers TO "/>
    <m/>
    <e v="#N/A"/>
    <e v="#N/A"/>
    <n v="83137"/>
    <m/>
    <s v="SNCF"/>
    <s v="Q3"/>
    <e v="#REF!"/>
    <e v="#REF!"/>
    <e v="#REF!"/>
  </r>
  <r>
    <s v="181000"/>
    <x v="6"/>
    <s v="COMPTE DE LIAISON DES ETABLISSEMENTS"/>
    <s v="OD"/>
    <n v="-176"/>
    <d v="2025-10-21T00:00:00"/>
    <s v="Liaison inter-établissement vers TO "/>
    <m/>
    <e v="#N/A"/>
    <e v="#N/A"/>
    <n v="89810"/>
    <m/>
    <s v="SNCF"/>
    <s v="Q4"/>
    <e v="#REF!"/>
    <e v="#REF!"/>
    <e v="#REF!"/>
  </r>
  <r>
    <s v="181000"/>
    <x v="6"/>
    <s v="COMPTE DE LIAISON DES ETABLISSEMENTS"/>
    <s v="OD"/>
    <n v="-174.99"/>
    <d v="2025-06-12T00:00:00"/>
    <s v="Liaison inter-établissement vers TO "/>
    <m/>
    <e v="#N/A"/>
    <e v="#N/A"/>
    <n v="78200"/>
    <m/>
    <s v="AIChE"/>
    <s v="Q2"/>
    <e v="#REF!"/>
    <e v="#REF!"/>
    <e v="#REF!"/>
  </r>
  <r>
    <s v="181000"/>
    <x v="6"/>
    <s v="COMPTE DE LIAISON DES ETABLISSEMENTS"/>
    <s v="OD"/>
    <n v="-174.96"/>
    <d v="2025-02-15T00:00:00"/>
    <s v="Liaison inter-établissement vers TO "/>
    <m/>
    <e v="#N/A"/>
    <e v="#N/A"/>
    <n v="64324"/>
    <m/>
    <s v="PROLIANS"/>
    <s v="Q1"/>
    <e v="#REF!"/>
    <e v="#REF!"/>
    <e v="#REF!"/>
  </r>
  <r>
    <s v="181000"/>
    <x v="6"/>
    <s v="COMPTE DE LIAISON DES ETABLISSEMENTS"/>
    <s v="OD"/>
    <n v="-174"/>
    <d v="2025-03-04T00:00:00"/>
    <s v="Liaison inter-établissement vers TO "/>
    <m/>
    <e v="#N/A"/>
    <e v="#N/A"/>
    <n v="73898"/>
    <m/>
    <s v="Thibault Dejardin"/>
    <s v="Q1"/>
    <e v="#REF!"/>
    <e v="#REF!"/>
    <e v="#REF!"/>
  </r>
  <r>
    <s v="181000"/>
    <x v="6"/>
    <s v="COMPTE DE LIAISON DES ETABLISSEMENTS"/>
    <s v="OD"/>
    <n v="-172.8"/>
    <d v="2025-07-16T00:00:00"/>
    <s v="Liaison inter-établissement vers TO "/>
    <m/>
    <e v="#N/A"/>
    <e v="#N/A"/>
    <n v="85057"/>
    <m/>
    <s v="MANUTAN"/>
    <s v="Q3"/>
    <e v="#REF!"/>
    <e v="#REF!"/>
    <e v="#REF!"/>
  </r>
  <r>
    <s v="181000"/>
    <x v="6"/>
    <s v="COMPTE DE LIAISON DES ETABLISSEMENTS"/>
    <s v="OD"/>
    <n v="-172.78"/>
    <d v="2025-12-04T00:00:00"/>
    <s v="Liaison inter-établissement vers TO "/>
    <m/>
    <e v="#N/A"/>
    <e v="#N/A"/>
    <n v="94077"/>
    <m/>
    <s v="GANDI"/>
    <s v="Q4"/>
    <e v="#REF!"/>
    <e v="#REF!"/>
    <e v="#REF!"/>
  </r>
  <r>
    <s v="181000"/>
    <x v="6"/>
    <s v="COMPTE DE LIAISON DES ETABLISSEMENTS"/>
    <s v="OD"/>
    <n v="-172"/>
    <d v="2025-10-29T00:00:00"/>
    <s v="Liaison inter-établissement vers TO "/>
    <m/>
    <e v="#N/A"/>
    <e v="#N/A"/>
    <n v="89822"/>
    <m/>
    <s v="SNCF"/>
    <s v="Q4"/>
    <e v="#REF!"/>
    <e v="#REF!"/>
    <e v="#REF!"/>
  </r>
  <r>
    <s v="181000"/>
    <x v="6"/>
    <s v="COMPTE DE LIAISON DES ETABLISSEMENTS"/>
    <s v="OD"/>
    <n v="-171.94"/>
    <d v="2025-04-25T00:00:00"/>
    <s v="Liaison établissement 401000 CLOUP KB"/>
    <m/>
    <e v="#N/A"/>
    <e v="#N/A"/>
    <n v="70147"/>
    <s v="Invoice Payment by Pili"/>
    <s v="CLOUP"/>
    <s v="Q2"/>
    <e v="#REF!"/>
    <e v="#REF!"/>
    <e v="#REF!"/>
  </r>
  <r>
    <s v="181000"/>
    <x v="6"/>
    <s v="COMPTE DE LIAISON DES ETABLISSEMENTS"/>
    <s v="OD"/>
    <n v="-171.22"/>
    <d v="2025-10-01T00:00:00"/>
    <s v="Liaison inter-établissement vers TO "/>
    <m/>
    <e v="#N/A"/>
    <e v="#N/A"/>
    <n v="89708"/>
    <m/>
    <s v="AIRLINES"/>
    <s v="Q4"/>
    <e v="#REF!"/>
    <e v="#REF!"/>
    <e v="#REF!"/>
  </r>
  <r>
    <s v="181000"/>
    <x v="6"/>
    <s v="COMPTE DE LIAISON DES ETABLISSEMENTS"/>
    <s v="OD"/>
    <n v="-170.04"/>
    <d v="2025-03-18T00:00:00"/>
    <s v="Liaison inter-établissement vers TO "/>
    <m/>
    <e v="#N/A"/>
    <e v="#N/A"/>
    <n v="64492"/>
    <m/>
    <s v="VWR AVANTOR"/>
    <s v="Q1"/>
    <e v="#REF!"/>
    <e v="#REF!"/>
    <e v="#REF!"/>
  </r>
  <r>
    <s v="181000"/>
    <x v="6"/>
    <s v="COMPTE DE LIAISON DES ETABLISSEMENTS"/>
    <s v="OD"/>
    <n v="-168.59"/>
    <d v="2025-02-26T00:00:00"/>
    <s v="Liaison inter-établissement vers TO "/>
    <s v="Non"/>
    <s v="Non"/>
    <e v="#N/A"/>
    <n v="72793"/>
    <m/>
    <s v="LINKEDIN"/>
    <s v="Q1"/>
    <e v="#REF!"/>
    <e v="#REF!"/>
    <e v="#REF!"/>
  </r>
  <r>
    <s v="181000"/>
    <x v="6"/>
    <s v="COMPTE DE LIAISON DES ETABLISSEMENTS"/>
    <s v="OD"/>
    <n v="-168.59"/>
    <d v="2025-02-28T00:00:00"/>
    <s v="Liaison inter-établissement vers TO "/>
    <s v="Non"/>
    <s v="Non"/>
    <e v="#N/A"/>
    <n v="72785"/>
    <m/>
    <s v="LINKEDIN"/>
    <s v="Q1"/>
    <e v="#REF!"/>
    <e v="#REF!"/>
    <e v="#REF!"/>
  </r>
  <r>
    <s v="181000"/>
    <x v="6"/>
    <s v="COMPTE DE LIAISON DES ETABLISSEMENTS"/>
    <s v="OD"/>
    <n v="-168.59"/>
    <d v="2025-03-27T00:00:00"/>
    <s v="Liaison inter-établissement vers TO "/>
    <s v="Non"/>
    <s v="Non"/>
    <e v="#N/A"/>
    <n v="72789"/>
    <m/>
    <s v="LINKEDIN"/>
    <s v="Q1"/>
    <e v="#REF!"/>
    <e v="#REF!"/>
    <e v="#REF!"/>
  </r>
  <r>
    <s v="181000"/>
    <x v="6"/>
    <s v="COMPTE DE LIAISON DES ETABLISSEMENTS"/>
    <s v="OD"/>
    <n v="-168.59"/>
    <d v="2025-10-30T00:00:00"/>
    <s v="Liaison inter-établissement vers TO "/>
    <s v="Non"/>
    <s v="Non"/>
    <e v="#N/A"/>
    <n v="91850"/>
    <m/>
    <s v="LINKEDIN"/>
    <s v="Q4"/>
    <e v="#REF!"/>
    <e v="#REF!"/>
    <e v="#REF!"/>
  </r>
  <r>
    <s v="181000"/>
    <x v="6"/>
    <s v="COMPTE DE LIAISON DES ETABLISSEMENTS"/>
    <s v="OD"/>
    <n v="-168.59"/>
    <d v="2025-11-27T00:00:00"/>
    <s v="Liaison inter-établissement vers TO "/>
    <s v="Non"/>
    <s v="Non"/>
    <e v="#N/A"/>
    <n v="91854"/>
    <m/>
    <s v="LINKEDIN"/>
    <s v="Q4"/>
    <e v="#REF!"/>
    <e v="#REF!"/>
    <e v="#REF!"/>
  </r>
  <r>
    <s v="181000"/>
    <x v="6"/>
    <s v="COMPTE DE LIAISON DES ETABLISSEMENTS"/>
    <s v="OD"/>
    <n v="-168.59"/>
    <d v="2025-12-27T00:00:00"/>
    <s v="Liaison inter-établissement vers TO "/>
    <s v="Non"/>
    <s v="Non"/>
    <e v="#N/A"/>
    <n v="96033"/>
    <m/>
    <s v="LINKEDIN"/>
    <s v="Q4"/>
    <e v="#REF!"/>
    <e v="#REF!"/>
    <e v="#REF!"/>
  </r>
  <r>
    <s v="181000"/>
    <x v="6"/>
    <s v="COMPTE DE LIAISON DES ETABLISSEMENTS"/>
    <s v="OD"/>
    <n v="-168"/>
    <d v="2025-07-31T00:00:00"/>
    <s v="Liaison établissement 401000 TRANSPERFECT LY"/>
    <m/>
    <e v="#N/A"/>
    <e v="#N/A"/>
    <n v="79211"/>
    <s v="RELECTURE TEXTE VOIX OFF ANGLAISE"/>
    <s v="TRANSPERFECT TRADUCTIONS"/>
    <s v="Q3"/>
    <e v="#REF!"/>
    <e v="#REF!"/>
    <e v="#REF!"/>
  </r>
  <r>
    <s v="181000"/>
    <x v="6"/>
    <s v="COMPTE DE LIAISON DES ETABLISSEMENTS"/>
    <s v="OD"/>
    <n v="-167.8"/>
    <d v="2025-06-20T00:00:00"/>
    <s v="Liaison inter-établissement vers TO "/>
    <m/>
    <e v="#N/A"/>
    <e v="#N/A"/>
    <n v="78260"/>
    <m/>
    <s v="NMMEDICAL"/>
    <s v="Q2"/>
    <e v="#REF!"/>
    <e v="#REF!"/>
    <e v="#REF!"/>
  </r>
  <r>
    <s v="181000"/>
    <x v="6"/>
    <s v="COMPTE DE LIAISON DES ETABLISSEMENTS"/>
    <s v="OD"/>
    <n v="-166.82"/>
    <d v="2025-02-03T00:00:00"/>
    <s v="Liaison inter-établissement vers TO "/>
    <m/>
    <e v="#N/A"/>
    <e v="#N/A"/>
    <n v="75871"/>
    <m/>
    <s v="Loic masseboeuf"/>
    <s v="Q1"/>
    <e v="#REF!"/>
    <e v="#REF!"/>
    <e v="#REF!"/>
  </r>
  <r>
    <s v="181000"/>
    <x v="6"/>
    <s v="COMPTE DE LIAISON DES ETABLISSEMENTS"/>
    <s v="OD"/>
    <n v="-166.13"/>
    <d v="2025-01-31T00:00:00"/>
    <s v="Liaison inter-établissement vers TO "/>
    <m/>
    <e v="#N/A"/>
    <e v="#N/A"/>
    <n v="87131"/>
    <m/>
    <s v="AIR LIQUIDE"/>
    <s v="Q1"/>
    <e v="#REF!"/>
    <e v="#REF!"/>
    <e v="#REF!"/>
  </r>
  <r>
    <s v="181000"/>
    <x v="6"/>
    <s v="COMPTE DE LIAISON DES ETABLISSEMENTS"/>
    <s v="OD"/>
    <n v="-165.13"/>
    <d v="2025-06-02T00:00:00"/>
    <s v="Liaison établissement 401000 FISHER RO"/>
    <m/>
    <e v="#N/A"/>
    <e v="#N/A"/>
    <n v="75299"/>
    <s v="Invoice Payment By Pili"/>
    <s v="FISHER SCIENTIFIC"/>
    <s v="Q2"/>
    <e v="#REF!"/>
    <e v="#REF!"/>
    <e v="#REF!"/>
  </r>
  <r>
    <s v="181000"/>
    <x v="6"/>
    <s v="COMPTE DE LIAISON DES ETABLISSEMENTS"/>
    <s v="OD"/>
    <n v="-162.19"/>
    <d v="2025-12-23T00:00:00"/>
    <s v="Liaison inter-établissement vers TO "/>
    <m/>
    <e v="#N/A"/>
    <e v="#N/A"/>
    <n v="93595"/>
    <m/>
    <s v="Julie Lacondemine"/>
    <s v="Q4"/>
    <e v="#REF!"/>
    <e v="#REF!"/>
    <e v="#REF!"/>
  </r>
  <r>
    <s v="181000"/>
    <x v="6"/>
    <s v="COMPTE DE LIAISON DES ETABLISSEMENTS"/>
    <s v="OD"/>
    <n v="-162.08000000000001"/>
    <d v="2025-02-28T00:00:00"/>
    <s v="Liaison inter-établissement vers TO "/>
    <m/>
    <e v="#N/A"/>
    <e v="#N/A"/>
    <n v="63722"/>
    <m/>
    <s v="FISHER SCIENTIFIC"/>
    <s v="Q1"/>
    <e v="#REF!"/>
    <e v="#REF!"/>
    <e v="#REF!"/>
  </r>
  <r>
    <s v="181000"/>
    <x v="6"/>
    <s v="COMPTE DE LIAISON DES ETABLISSEMENTS"/>
    <s v="OD"/>
    <n v="-160.80000000000001"/>
    <d v="2025-06-16T00:00:00"/>
    <s v="Liaison établissement 401000 SIGMA RO"/>
    <m/>
    <e v="#N/A"/>
    <e v="#N/A"/>
    <n v="76035"/>
    <s v="HYDROXYLAMINE SULFATE"/>
    <s v="Sigma-Aldrich chimie"/>
    <s v="Q2"/>
    <e v="#REF!"/>
    <e v="#REF!"/>
    <e v="#REF!"/>
  </r>
  <r>
    <s v="181000"/>
    <x v="6"/>
    <s v="COMPTE DE LIAISON DES ETABLISSEMENTS"/>
    <s v="OD"/>
    <n v="-160.80000000000001"/>
    <d v="2025-08-22T00:00:00"/>
    <s v="Liaison établissement 401000 SIGMA RO"/>
    <m/>
    <e v="#N/A"/>
    <e v="#N/A"/>
    <n v="81612"/>
    <s v="HYDROXYLAMINE SULFATE POUR KEENY STEP 2"/>
    <s v="Sigma-Aldrich chimie"/>
    <s v="Q3"/>
    <e v="#REF!"/>
    <e v="#REF!"/>
    <e v="#REF!"/>
  </r>
  <r>
    <s v="181000"/>
    <x v="6"/>
    <s v="COMPTE DE LIAISON DES ETABLISSEMENTS"/>
    <s v="OD"/>
    <n v="-160"/>
    <d v="2025-04-15T00:00:00"/>
    <s v="Liaison inter-établissement vers TO "/>
    <m/>
    <e v="#N/A"/>
    <e v="#N/A"/>
    <n v="74992"/>
    <m/>
    <s v="SNCF"/>
    <s v="Q2"/>
    <e v="#REF!"/>
    <e v="#REF!"/>
    <e v="#REF!"/>
  </r>
  <r>
    <s v="181000"/>
    <x v="6"/>
    <s v="COMPTE DE LIAISON DES ETABLISSEMENTS"/>
    <s v="OD"/>
    <n v="-159.5"/>
    <d v="2025-05-01T00:00:00"/>
    <s v="Liaison inter-établissement vers TO "/>
    <m/>
    <s v="Non"/>
    <e v="#N/A"/>
    <n v="74796"/>
    <m/>
    <s v="DIVERS"/>
    <s v="Q2"/>
    <e v="#REF!"/>
    <e v="#REF!"/>
    <e v="#REF!"/>
  </r>
  <r>
    <s v="181000"/>
    <x v="6"/>
    <s v="COMPTE DE LIAISON DES ETABLISSEMENTS"/>
    <s v="OD"/>
    <n v="-159"/>
    <d v="2025-02-14T00:00:00"/>
    <s v="Liaison inter-établissement vers TO "/>
    <m/>
    <e v="#N/A"/>
    <e v="#N/A"/>
    <n v="66748"/>
    <m/>
    <s v="SNCF"/>
    <s v="Q1"/>
    <e v="#REF!"/>
    <e v="#REF!"/>
    <e v="#REF!"/>
  </r>
  <r>
    <s v="181000"/>
    <x v="6"/>
    <s v="COMPTE DE LIAISON DES ETABLISSEMENTS"/>
    <s v="OD"/>
    <n v="-158.65"/>
    <d v="2025-01-31T00:00:00"/>
    <s v="Liaison inter-établissement vers TO "/>
    <m/>
    <e v="#N/A"/>
    <e v="#N/A"/>
    <n v="73103"/>
    <m/>
    <s v="FENWICK FINANCIAL SERVICES"/>
    <s v="Q1"/>
    <e v="#REF!"/>
    <e v="#REF!"/>
    <e v="#REF!"/>
  </r>
  <r>
    <s v="181000"/>
    <x v="6"/>
    <s v="COMPTE DE LIAISON DES ETABLISSEMENTS"/>
    <s v="OD"/>
    <n v="-158.65"/>
    <d v="2025-02-28T00:00:00"/>
    <s v="Liaison inter-établissement vers TO "/>
    <m/>
    <e v="#N/A"/>
    <e v="#N/A"/>
    <n v="73107"/>
    <m/>
    <s v="FENWICK FINANCIAL SERVICES"/>
    <s v="Q1"/>
    <e v="#REF!"/>
    <e v="#REF!"/>
    <e v="#REF!"/>
  </r>
  <r>
    <s v="181000"/>
    <x v="6"/>
    <s v="COMPTE DE LIAISON DES ETABLISSEMENTS"/>
    <s v="OD"/>
    <n v="-158.65"/>
    <d v="2025-03-31T00:00:00"/>
    <s v="Liaison inter-établissement vers TO "/>
    <m/>
    <e v="#N/A"/>
    <e v="#N/A"/>
    <n v="73111"/>
    <m/>
    <s v="FENWICK FINANCIAL SERVICES"/>
    <s v="Q1"/>
    <e v="#REF!"/>
    <e v="#REF!"/>
    <e v="#REF!"/>
  </r>
  <r>
    <s v="181000"/>
    <x v="6"/>
    <s v="COMPTE DE LIAISON DES ETABLISSEMENTS"/>
    <s v="OD"/>
    <n v="-158.65"/>
    <d v="2025-04-11T00:00:00"/>
    <s v="Liaison inter-établissement vers TO "/>
    <m/>
    <e v="#N/A"/>
    <e v="#N/A"/>
    <n v="70101"/>
    <m/>
    <s v="FENWICK FINANCIAL SERVICES"/>
    <s v="Q2"/>
    <e v="#REF!"/>
    <e v="#REF!"/>
    <e v="#REF!"/>
  </r>
  <r>
    <s v="181000"/>
    <x v="6"/>
    <s v="COMPTE DE LIAISON DES ETABLISSEMENTS"/>
    <s v="OD"/>
    <n v="-158.65"/>
    <d v="2025-05-13T00:00:00"/>
    <s v="Liaison inter-établissement vers TO "/>
    <m/>
    <e v="#N/A"/>
    <e v="#N/A"/>
    <n v="73115"/>
    <m/>
    <s v="FENWICK FINANCIAL SERVICES"/>
    <s v="Q2"/>
    <e v="#REF!"/>
    <e v="#REF!"/>
    <e v="#REF!"/>
  </r>
  <r>
    <s v="181000"/>
    <x v="6"/>
    <s v="COMPTE DE LIAISON DES ETABLISSEMENTS"/>
    <s v="OD"/>
    <n v="-158.65"/>
    <d v="2025-06-30T00:00:00"/>
    <s v="Liaison inter-établissement vers TO "/>
    <m/>
    <e v="#N/A"/>
    <e v="#N/A"/>
    <n v="76016"/>
    <m/>
    <s v="FENWICK FINANCIAL SERVICES"/>
    <s v="Q2"/>
    <e v="#REF!"/>
    <e v="#REF!"/>
    <e v="#REF!"/>
  </r>
  <r>
    <s v="181000"/>
    <x v="6"/>
    <s v="COMPTE DE LIAISON DES ETABLISSEMENTS"/>
    <s v="OD"/>
    <n v="-158.65"/>
    <d v="2025-07-11T00:00:00"/>
    <s v="Liaison inter-établissement vers TO "/>
    <m/>
    <e v="#N/A"/>
    <e v="#N/A"/>
    <n v="78877"/>
    <m/>
    <s v="FENWICK FINANCIAL SERVICES"/>
    <s v="Q3"/>
    <e v="#REF!"/>
    <e v="#REF!"/>
    <e v="#REF!"/>
  </r>
  <r>
    <s v="181000"/>
    <x v="6"/>
    <s v="COMPTE DE LIAISON DES ETABLISSEMENTS"/>
    <s v="OD"/>
    <n v="-158.65"/>
    <d v="2025-08-11T00:00:00"/>
    <s v="Liaison inter-établissement vers TO "/>
    <m/>
    <e v="#N/A"/>
    <e v="#N/A"/>
    <n v="81569"/>
    <m/>
    <s v="FENWICK FINANCIAL SERVICES"/>
    <s v="Q3"/>
    <e v="#REF!"/>
    <e v="#REF!"/>
    <e v="#REF!"/>
  </r>
  <r>
    <s v="181000"/>
    <x v="6"/>
    <s v="COMPTE DE LIAISON DES ETABLISSEMENTS"/>
    <s v="OD"/>
    <n v="-158.65"/>
    <d v="2025-09-11T00:00:00"/>
    <s v="Liaison inter-établissement vers TO "/>
    <m/>
    <e v="#N/A"/>
    <e v="#N/A"/>
    <n v="82101"/>
    <m/>
    <s v="FENWICK FINANCIAL SERVICES"/>
    <s v="Q3"/>
    <e v="#REF!"/>
    <e v="#REF!"/>
    <e v="#REF!"/>
  </r>
  <r>
    <s v="181000"/>
    <x v="6"/>
    <s v="COMPTE DE LIAISON DES ETABLISSEMENTS"/>
    <s v="OD"/>
    <n v="-158.65"/>
    <d v="2025-10-13T00:00:00"/>
    <s v="Liaison inter-établissement vers TO "/>
    <m/>
    <e v="#N/A"/>
    <e v="#N/A"/>
    <n v="86971"/>
    <m/>
    <s v="FENWICK FINANCIAL SERVICES"/>
    <s v="Q4"/>
    <e v="#REF!"/>
    <e v="#REF!"/>
    <e v="#REF!"/>
  </r>
  <r>
    <s v="181000"/>
    <x v="6"/>
    <s v="COMPTE DE LIAISON DES ETABLISSEMENTS"/>
    <s v="OD"/>
    <n v="-158.65"/>
    <d v="2025-11-13T00:00:00"/>
    <s v="Liaison inter-établissement vers TO "/>
    <m/>
    <e v="#N/A"/>
    <e v="#N/A"/>
    <n v="90023"/>
    <m/>
    <s v="FENWICK FINANCIAL SERVICES"/>
    <s v="Q4"/>
    <e v="#REF!"/>
    <e v="#REF!"/>
    <e v="#REF!"/>
  </r>
  <r>
    <s v="181000"/>
    <x v="6"/>
    <s v="COMPTE DE LIAISON DES ETABLISSEMENTS"/>
    <s v="OD"/>
    <n v="-158.65"/>
    <d v="2025-12-31T00:00:00"/>
    <s v="Liaison inter-établissement vers TO "/>
    <m/>
    <e v="#N/A"/>
    <e v="#N/A"/>
    <n v="92132"/>
    <m/>
    <s v="FENWICK FINANCIAL SERVICES"/>
    <s v="Q4"/>
    <e v="#REF!"/>
    <e v="#REF!"/>
    <e v="#REF!"/>
  </r>
  <r>
    <s v="181000"/>
    <x v="6"/>
    <s v="COMPTE DE LIAISON DES ETABLISSEMENTS"/>
    <s v="OD"/>
    <n v="-158.16999999999999"/>
    <d v="2025-12-30T00:00:00"/>
    <s v="Liaison établissement 401000 VWR KB"/>
    <m/>
    <e v="#N/A"/>
    <e v="#N/A"/>
    <n v="93838"/>
    <s v="4067869549"/>
    <s v="VWR AVANTOR"/>
    <s v="Q4"/>
    <e v="#REF!"/>
    <e v="#REF!"/>
    <e v="#REF!"/>
  </r>
  <r>
    <s v="181000"/>
    <x v="6"/>
    <s v="COMPTE DE LIAISON DES ETABLISSEMENTS"/>
    <s v="OD"/>
    <n v="-157.19999999999999"/>
    <d v="2025-02-20T00:00:00"/>
    <s v="Liaison inter-établissement vers TO "/>
    <m/>
    <e v="#N/A"/>
    <e v="#N/A"/>
    <n v="63848"/>
    <m/>
    <s v="Sigma-Aldrich chimie"/>
    <s v="Q1"/>
    <e v="#REF!"/>
    <e v="#REF!"/>
    <e v="#REF!"/>
  </r>
  <r>
    <s v="181000"/>
    <x v="6"/>
    <s v="COMPTE DE LIAISON DES ETABLISSEMENTS"/>
    <s v="OD"/>
    <n v="-157.19999999999999"/>
    <d v="2025-06-16T00:00:00"/>
    <s v="Liaison établissement 401000 SIGMA RO"/>
    <m/>
    <e v="#N/A"/>
    <e v="#N/A"/>
    <n v="76040"/>
    <s v="ACCESSOIRE LABO ANALYSES R."/>
    <s v="Sigma-Aldrich chimie"/>
    <s v="Q2"/>
    <e v="#REF!"/>
    <e v="#REF!"/>
    <e v="#REF!"/>
  </r>
  <r>
    <s v="181000"/>
    <x v="6"/>
    <s v="COMPTE DE LIAISON DES ETABLISSEMENTS"/>
    <s v="OD"/>
    <n v="-157.19999999999999"/>
    <d v="2025-07-11T00:00:00"/>
    <s v="Liaison inter-établissement vers TO "/>
    <m/>
    <e v="#N/A"/>
    <e v="#N/A"/>
    <n v="81255"/>
    <m/>
    <s v="ORANGE"/>
    <s v="Q3"/>
    <e v="#REF!"/>
    <e v="#REF!"/>
    <e v="#REF!"/>
  </r>
  <r>
    <s v="181000"/>
    <x v="6"/>
    <s v="COMPTE DE LIAISON DES ETABLISSEMENTS"/>
    <s v="OD"/>
    <n v="-157.19999999999999"/>
    <d v="2025-08-08T00:00:00"/>
    <s v="Liaison inter-établissement vers TO "/>
    <m/>
    <e v="#N/A"/>
    <e v="#N/A"/>
    <n v="87295"/>
    <m/>
    <s v="ORANGE"/>
    <s v="Q3"/>
    <e v="#REF!"/>
    <e v="#REF!"/>
    <e v="#REF!"/>
  </r>
  <r>
    <s v="181000"/>
    <x v="6"/>
    <s v="COMPTE DE LIAISON DES ETABLISSEMENTS"/>
    <s v="OD"/>
    <n v="-157.19999999999999"/>
    <d v="2025-09-08T00:00:00"/>
    <s v="Liaison inter-établissement vers TO "/>
    <m/>
    <e v="#N/A"/>
    <e v="#N/A"/>
    <n v="82257"/>
    <m/>
    <s v="ORANGE"/>
    <s v="Q3"/>
    <e v="#REF!"/>
    <e v="#REF!"/>
    <e v="#REF!"/>
  </r>
  <r>
    <s v="181000"/>
    <x v="6"/>
    <s v="COMPTE DE LIAISON DES ETABLISSEMENTS"/>
    <s v="OD"/>
    <n v="-157.19999999999999"/>
    <d v="2025-10-10T00:00:00"/>
    <s v="Liaison inter-établissement vers TO "/>
    <m/>
    <e v="#N/A"/>
    <e v="#N/A"/>
    <n v="90084"/>
    <m/>
    <s v="ORANGE"/>
    <s v="Q4"/>
    <e v="#REF!"/>
    <e v="#REF!"/>
    <e v="#REF!"/>
  </r>
  <r>
    <s v="181000"/>
    <x v="6"/>
    <s v="COMPTE DE LIAISON DES ETABLISSEMENTS"/>
    <s v="OD"/>
    <n v="-157.19999999999999"/>
    <d v="2025-11-07T00:00:00"/>
    <s v="Liaison inter-établissement vers TO "/>
    <m/>
    <e v="#N/A"/>
    <e v="#N/A"/>
    <n v="90088"/>
    <m/>
    <s v="ORANGE"/>
    <s v="Q4"/>
    <e v="#REF!"/>
    <e v="#REF!"/>
    <e v="#REF!"/>
  </r>
  <r>
    <s v="181000"/>
    <x v="6"/>
    <s v="COMPTE DE LIAISON DES ETABLISSEMENTS"/>
    <s v="OD"/>
    <n v="-157.19999999999999"/>
    <d v="2025-12-08T00:00:00"/>
    <s v="Liaison inter-établissement vers TO "/>
    <m/>
    <e v="#N/A"/>
    <e v="#N/A"/>
    <n v="92962"/>
    <m/>
    <s v="ORANGE"/>
    <s v="Q4"/>
    <e v="#REF!"/>
    <e v="#REF!"/>
    <e v="#REF!"/>
  </r>
  <r>
    <s v="181000"/>
    <x v="6"/>
    <s v="COMPTE DE LIAISON DES ETABLISSEMENTS"/>
    <s v="OD"/>
    <n v="-156.24"/>
    <d v="2025-02-04T00:00:00"/>
    <s v="Liaison inter-établissement vers TO "/>
    <m/>
    <e v="#N/A"/>
    <e v="#N/A"/>
    <n v="72757"/>
    <m/>
    <s v="ENGIE"/>
    <s v="Q1"/>
    <e v="#REF!"/>
    <e v="#REF!"/>
    <e v="#REF!"/>
  </r>
  <r>
    <s v="181000"/>
    <x v="6"/>
    <s v="COMPTE DE LIAISON DES ETABLISSEMENTS"/>
    <s v="OD"/>
    <n v="-156"/>
    <d v="2025-02-18T00:00:00"/>
    <s v="Liaison inter-établissement vers TO "/>
    <m/>
    <e v="#N/A"/>
    <e v="#N/A"/>
    <n v="70009"/>
    <m/>
    <s v="SNCF"/>
    <s v="Q1"/>
    <e v="#REF!"/>
    <e v="#REF!"/>
    <e v="#REF!"/>
  </r>
  <r>
    <s v="181000"/>
    <x v="6"/>
    <s v="COMPTE DE LIAISON DES ETABLISSEMENTS"/>
    <s v="OD"/>
    <n v="-156"/>
    <d v="2025-07-22T00:00:00"/>
    <s v="Liaison établissement 401000 BROSSIER RO"/>
    <m/>
    <e v="#N/A"/>
    <e v="#N/A"/>
    <n v="78311"/>
    <s v="TRANSPORT ESSAI 1 ROUSSELET ROBATEL"/>
    <s v="BROSSIER TRANSPORTS"/>
    <s v="Q3"/>
    <e v="#REF!"/>
    <e v="#REF!"/>
    <e v="#REF!"/>
  </r>
  <r>
    <s v="181000"/>
    <x v="6"/>
    <s v="COMPTE DE LIAISON DES ETABLISSEMENTS"/>
    <s v="OD"/>
    <n v="-154.97999999999999"/>
    <d v="2025-01-06T00:00:00"/>
    <s v="Liaison inter-établissement vers TO "/>
    <m/>
    <e v="#N/A"/>
    <e v="#N/A"/>
    <n v="63494"/>
    <m/>
    <s v="ADOBE"/>
    <s v="Q1"/>
    <e v="#REF!"/>
    <e v="#REF!"/>
    <e v="#REF!"/>
  </r>
  <r>
    <s v="181000"/>
    <x v="6"/>
    <s v="COMPTE DE LIAISON DES ETABLISSEMENTS"/>
    <s v="OD"/>
    <n v="-154.97999999999999"/>
    <d v="2025-02-06T00:00:00"/>
    <s v="Liaison inter-établissement vers TO "/>
    <m/>
    <e v="#N/A"/>
    <e v="#N/A"/>
    <n v="64248"/>
    <m/>
    <s v="ADOBE"/>
    <s v="Q1"/>
    <e v="#REF!"/>
    <e v="#REF!"/>
    <e v="#REF!"/>
  </r>
  <r>
    <s v="181000"/>
    <x v="6"/>
    <s v="COMPTE DE LIAISON DES ETABLISSEMENTS"/>
    <s v="OD"/>
    <n v="-154.97999999999999"/>
    <d v="2025-03-06T00:00:00"/>
    <s v="Liaison inter-établissement vers TO "/>
    <m/>
    <e v="#N/A"/>
    <e v="#N/A"/>
    <n v="67991"/>
    <m/>
    <s v="ADOBE"/>
    <s v="Q1"/>
    <e v="#REF!"/>
    <e v="#REF!"/>
    <e v="#REF!"/>
  </r>
  <r>
    <s v="181000"/>
    <x v="6"/>
    <s v="COMPTE DE LIAISON DES ETABLISSEMENTS"/>
    <s v="OD"/>
    <n v="-154.97999999999999"/>
    <d v="2025-04-06T00:00:00"/>
    <s v="Liaison inter-établissement vers TO "/>
    <m/>
    <e v="#N/A"/>
    <e v="#N/A"/>
    <n v="74816"/>
    <m/>
    <s v="ADOBE"/>
    <s v="Q2"/>
    <e v="#REF!"/>
    <e v="#REF!"/>
    <e v="#REF!"/>
  </r>
  <r>
    <s v="181000"/>
    <x v="6"/>
    <s v="COMPTE DE LIAISON DES ETABLISSEMENTS"/>
    <s v="OD"/>
    <n v="-154.97999999999999"/>
    <d v="2025-05-06T00:00:00"/>
    <s v="Liaison inter-établissement vers TO "/>
    <m/>
    <e v="#N/A"/>
    <e v="#N/A"/>
    <n v="75122"/>
    <m/>
    <s v="ADOBE"/>
    <s v="Q2"/>
    <e v="#REF!"/>
    <e v="#REF!"/>
    <e v="#REF!"/>
  </r>
  <r>
    <s v="181000"/>
    <x v="6"/>
    <s v="COMPTE DE LIAISON DES ETABLISSEMENTS"/>
    <s v="OD"/>
    <n v="-154.97999999999999"/>
    <d v="2025-06-06T00:00:00"/>
    <s v="Liaison inter-établissement vers TO "/>
    <m/>
    <e v="#N/A"/>
    <e v="#N/A"/>
    <n v="78228"/>
    <m/>
    <s v="ADOBE"/>
    <s v="Q2"/>
    <e v="#REF!"/>
    <e v="#REF!"/>
    <e v="#REF!"/>
  </r>
  <r>
    <s v="181000"/>
    <x v="6"/>
    <s v="COMPTE DE LIAISON DES ETABLISSEMENTS"/>
    <s v="OD"/>
    <n v="-154.97999999999999"/>
    <d v="2025-07-06T00:00:00"/>
    <s v="Liaison inter-établissement vers TO "/>
    <m/>
    <e v="#N/A"/>
    <e v="#N/A"/>
    <n v="81018"/>
    <m/>
    <s v="ADOBE"/>
    <s v="Q3"/>
    <e v="#REF!"/>
    <e v="#REF!"/>
    <e v="#REF!"/>
  </r>
  <r>
    <s v="181000"/>
    <x v="6"/>
    <s v="COMPTE DE LIAISON DES ETABLISSEMENTS"/>
    <s v="OD"/>
    <n v="-154.97999999999999"/>
    <d v="2025-08-06T00:00:00"/>
    <s v="Liaison inter-établissement vers TO "/>
    <m/>
    <e v="#N/A"/>
    <e v="#N/A"/>
    <n v="83317"/>
    <m/>
    <s v="ADOBE"/>
    <s v="Q3"/>
    <e v="#REF!"/>
    <e v="#REF!"/>
    <e v="#REF!"/>
  </r>
  <r>
    <s v="181000"/>
    <x v="6"/>
    <s v="COMPTE DE LIAISON DES ETABLISSEMENTS"/>
    <s v="OD"/>
    <n v="-154.97999999999999"/>
    <d v="2025-09-06T00:00:00"/>
    <s v="Liaison inter-établissement vers TO "/>
    <m/>
    <e v="#N/A"/>
    <e v="#N/A"/>
    <n v="83321"/>
    <m/>
    <s v="ADOBE"/>
    <s v="Q3"/>
    <e v="#REF!"/>
    <e v="#REF!"/>
    <e v="#REF!"/>
  </r>
  <r>
    <s v="181000"/>
    <x v="6"/>
    <s v="COMPTE DE LIAISON DES ETABLISSEMENTS"/>
    <s v="OD"/>
    <n v="-154.97999999999999"/>
    <d v="2025-10-06T00:00:00"/>
    <s v="Liaison inter-établissement vers TO "/>
    <m/>
    <e v="#N/A"/>
    <e v="#N/A"/>
    <n v="89696"/>
    <m/>
    <s v="ADOBE"/>
    <s v="Q4"/>
    <e v="#REF!"/>
    <e v="#REF!"/>
    <e v="#REF!"/>
  </r>
  <r>
    <s v="181000"/>
    <x v="6"/>
    <s v="COMPTE DE LIAISON DES ETABLISSEMENTS"/>
    <s v="OD"/>
    <n v="-154.97999999999999"/>
    <d v="2025-11-06T00:00:00"/>
    <s v="Liaison inter-établissement vers TO "/>
    <m/>
    <e v="#N/A"/>
    <e v="#N/A"/>
    <n v="91573"/>
    <m/>
    <s v="ADOBE"/>
    <s v="Q4"/>
    <e v="#REF!"/>
    <e v="#REF!"/>
    <e v="#REF!"/>
  </r>
  <r>
    <s v="181000"/>
    <x v="6"/>
    <s v="COMPTE DE LIAISON DES ETABLISSEMENTS"/>
    <s v="OD"/>
    <n v="-154.97999999999999"/>
    <d v="2025-12-06T00:00:00"/>
    <s v="Liaison inter-établissement vers TO "/>
    <m/>
    <e v="#N/A"/>
    <e v="#N/A"/>
    <n v="94061"/>
    <m/>
    <s v="ADOBE"/>
    <s v="Q4"/>
    <e v="#REF!"/>
    <e v="#REF!"/>
    <e v="#REF!"/>
  </r>
  <r>
    <s v="181000"/>
    <x v="6"/>
    <s v="COMPTE DE LIAISON DES ETABLISSEMENTS"/>
    <s v="OD"/>
    <n v="-154.72"/>
    <d v="2025-04-04T00:00:00"/>
    <s v="Liaison inter-établissement vers TO "/>
    <m/>
    <e v="#N/A"/>
    <e v="#N/A"/>
    <n v="74768"/>
    <m/>
    <s v="BOHLENDER"/>
    <s v="Q2"/>
    <e v="#REF!"/>
    <e v="#REF!"/>
    <e v="#REF!"/>
  </r>
  <r>
    <s v="181000"/>
    <x v="6"/>
    <s v="COMPTE DE LIAISON DES ETABLISSEMENTS"/>
    <s v="OD"/>
    <n v="-154.59"/>
    <d v="2025-05-31T00:00:00"/>
    <s v="Liaison inter-établissement vers TO "/>
    <m/>
    <e v="#N/A"/>
    <e v="#N/A"/>
    <n v="81070"/>
    <m/>
    <s v="ROUGIER ET PIE"/>
    <s v="Q2"/>
    <e v="#REF!"/>
    <e v="#REF!"/>
    <e v="#REF!"/>
  </r>
  <r>
    <s v="181000"/>
    <x v="6"/>
    <s v="COMPTE DE LIAISON DES ETABLISSEMENTS"/>
    <s v="OD"/>
    <n v="-152.41"/>
    <d v="2025-05-07T00:00:00"/>
    <s v="Liaison établissement 401000 VWR KB"/>
    <m/>
    <e v="#N/A"/>
    <e v="#N/A"/>
    <n v="71836"/>
    <s v="COMMANDE PRODUIT LABO"/>
    <s v="VWR AVANTOR"/>
    <s v="Q2"/>
    <e v="#REF!"/>
    <e v="#REF!"/>
    <e v="#REF!"/>
  </r>
  <r>
    <s v="181000"/>
    <x v="6"/>
    <s v="COMPTE DE LIAISON DES ETABLISSEMENTS"/>
    <s v="OD"/>
    <n v="-151.1"/>
    <d v="2025-02-24T00:00:00"/>
    <s v="Liaison inter-établissement vers TO "/>
    <m/>
    <s v="Non"/>
    <n v="0"/>
    <n v="71388"/>
    <m/>
    <s v="SERVICE ACTION SANTE"/>
    <s v="Q1"/>
    <e v="#REF!"/>
    <e v="#REF!"/>
    <e v="#REF!"/>
  </r>
  <r>
    <s v="181000"/>
    <x v="6"/>
    <s v="COMPTE DE LIAISON DES ETABLISSEMENTS"/>
    <s v="OD"/>
    <n v="-150"/>
    <d v="2025-02-24T00:00:00"/>
    <s v="Liaison inter-établissement vers TO "/>
    <m/>
    <s v="Non"/>
    <n v="0"/>
    <n v="69968"/>
    <m/>
    <s v="FORMATEC PRO SECURITE"/>
    <s v="Q1"/>
    <e v="#REF!"/>
    <e v="#REF!"/>
    <e v="#REF!"/>
  </r>
  <r>
    <s v="181000"/>
    <x v="6"/>
    <s v="COMPTE DE LIAISON DES ETABLISSEMENTS"/>
    <s v="OD"/>
    <n v="-149"/>
    <d v="2025-02-01T00:00:00"/>
    <s v="Liaison inter-établissement vers TO "/>
    <m/>
    <e v="#N/A"/>
    <e v="#N/A"/>
    <n v="64360"/>
    <m/>
    <s v="SNCF"/>
    <s v="Q1"/>
    <e v="#REF!"/>
    <e v="#REF!"/>
    <e v="#REF!"/>
  </r>
  <r>
    <s v="181000"/>
    <x v="6"/>
    <s v="COMPTE DE LIAISON DES ETABLISSEMENTS"/>
    <s v="OD"/>
    <n v="-147.69"/>
    <d v="2025-10-30T00:00:00"/>
    <s v="Liaison inter-établissement vers TO "/>
    <m/>
    <e v="#N/A"/>
    <e v="#N/A"/>
    <n v="89704"/>
    <m/>
    <s v="AIRBNB"/>
    <s v="Q4"/>
    <e v="#REF!"/>
    <e v="#REF!"/>
    <e v="#REF!"/>
  </r>
  <r>
    <s v="181000"/>
    <x v="6"/>
    <s v="COMPTE DE LIAISON DES ETABLISSEMENTS"/>
    <s v="OD"/>
    <n v="-147.12"/>
    <d v="2025-03-28T00:00:00"/>
    <s v="Liaison inter-établissement vers TO "/>
    <m/>
    <e v="#N/A"/>
    <e v="#N/A"/>
    <n v="68123"/>
    <m/>
    <s v="Sigma-Aldrich chimie"/>
    <s v="Q1"/>
    <e v="#REF!"/>
    <e v="#REF!"/>
    <e v="#REF!"/>
  </r>
  <r>
    <s v="181000"/>
    <x v="6"/>
    <s v="COMPTE DE LIAISON DES ETABLISSEMENTS"/>
    <s v="OD"/>
    <n v="-147"/>
    <d v="2025-02-18T00:00:00"/>
    <s v="Liaison inter-établissement vers TO "/>
    <m/>
    <e v="#N/A"/>
    <e v="#N/A"/>
    <n v="66744"/>
    <m/>
    <s v="SNCF"/>
    <s v="Q1"/>
    <e v="#REF!"/>
    <e v="#REF!"/>
    <e v="#REF!"/>
  </r>
  <r>
    <s v="181000"/>
    <x v="6"/>
    <s v="COMPTE DE LIAISON DES ETABLISSEMENTS"/>
    <s v="OD"/>
    <n v="-146.63"/>
    <d v="2025-07-31T00:00:00"/>
    <s v="Liaison établissement 401000 VWR KB"/>
    <m/>
    <e v="#N/A"/>
    <e v="#N/A"/>
    <n v="79351"/>
    <s v="COMMANDE PRODUIT LABO"/>
    <s v="VWR AVANTOR"/>
    <s v="Q3"/>
    <e v="#REF!"/>
    <e v="#REF!"/>
    <e v="#REF!"/>
  </r>
  <r>
    <s v="181000"/>
    <x v="6"/>
    <s v="COMPTE DE LIAISON DES ETABLISSEMENTS"/>
    <s v="OD"/>
    <n v="-146.1"/>
    <d v="2025-05-24T00:00:00"/>
    <s v="Liaison inter-établissement vers TO "/>
    <m/>
    <e v="#N/A"/>
    <e v="#N/A"/>
    <n v="81066"/>
    <m/>
    <s v="WURTH FRANCE"/>
    <s v="Q2"/>
    <e v="#REF!"/>
    <e v="#REF!"/>
    <e v="#REF!"/>
  </r>
  <r>
    <s v="181000"/>
    <x v="6"/>
    <s v="COMPTE DE LIAISON DES ETABLISSEMENTS"/>
    <s v="OD"/>
    <n v="-146.06"/>
    <d v="2025-07-31T00:00:00"/>
    <s v="Liaison établissement 401000 VWR KB"/>
    <m/>
    <e v="#N/A"/>
    <e v="#N/A"/>
    <n v="79341"/>
    <s v="COMMANDE PRODUIT LABO"/>
    <s v="VWR AVANTOR"/>
    <s v="Q3"/>
    <e v="#REF!"/>
    <e v="#REF!"/>
    <e v="#REF!"/>
  </r>
  <r>
    <s v="181000"/>
    <x v="6"/>
    <s v="COMPTE DE LIAISON DES ETABLISSEMENTS"/>
    <s v="OD"/>
    <n v="-145.03"/>
    <d v="2025-08-21T00:00:00"/>
    <s v="Liaison établissement 401000 VWR KB"/>
    <m/>
    <e v="#N/A"/>
    <e v="#N/A"/>
    <n v="81517"/>
    <s v="COMMANDE CONSOMMABLES LABO"/>
    <s v="VWR AVANTOR"/>
    <s v="Q3"/>
    <e v="#REF!"/>
    <e v="#REF!"/>
    <e v="#REF!"/>
  </r>
  <r>
    <s v="181000"/>
    <x v="6"/>
    <s v="COMPTE DE LIAISON DES ETABLISSEMENTS"/>
    <s v="OD"/>
    <n v="-145"/>
    <d v="2025-12-31T00:00:00"/>
    <s v="Liaison inter-établissement vers TO "/>
    <s v="Non"/>
    <s v="Non"/>
    <e v="#N/A"/>
    <n v="97671"/>
    <m/>
    <s v="Michel Manach"/>
    <s v="Q4"/>
    <e v="#REF!"/>
    <e v="#REF!"/>
    <e v="#REF!"/>
  </r>
  <r>
    <s v="181000"/>
    <x v="6"/>
    <s v="COMPTE DE LIAISON DES ETABLISSEMENTS"/>
    <s v="OD"/>
    <n v="-144.30000000000001"/>
    <d v="2025-09-11T00:00:00"/>
    <s v="Liaison inter-établissement vers TO "/>
    <m/>
    <e v="#N/A"/>
    <e v="#N/A"/>
    <n v="83381"/>
    <m/>
    <s v="AIRBNB"/>
    <s v="Q3"/>
    <e v="#REF!"/>
    <e v="#REF!"/>
    <e v="#REF!"/>
  </r>
  <r>
    <s v="181000"/>
    <x v="6"/>
    <s v="COMPTE DE LIAISON DES ETABLISSEMENTS"/>
    <s v="OD"/>
    <n v="-144"/>
    <d v="2025-03-18T00:00:00"/>
    <s v="Liaison inter-établissement vers TO "/>
    <m/>
    <e v="#N/A"/>
    <e v="#N/A"/>
    <n v="64408"/>
    <m/>
    <s v="CLOUP"/>
    <s v="Q1"/>
    <e v="#REF!"/>
    <e v="#REF!"/>
    <e v="#REF!"/>
  </r>
  <r>
    <s v="181000"/>
    <x v="6"/>
    <s v="COMPTE DE LIAISON DES ETABLISSEMENTS"/>
    <s v="OD"/>
    <n v="-144"/>
    <d v="2025-12-15T00:00:00"/>
    <s v="Liaison inter-établissement vers TO "/>
    <m/>
    <e v="#N/A"/>
    <e v="#N/A"/>
    <n v="94869"/>
    <m/>
    <s v="RICOH"/>
    <s v="Q4"/>
    <e v="#REF!"/>
    <e v="#REF!"/>
    <e v="#REF!"/>
  </r>
  <r>
    <s v="181000"/>
    <x v="6"/>
    <s v="COMPTE DE LIAISON DES ETABLISSEMENTS"/>
    <s v="OD"/>
    <n v="-143.47"/>
    <d v="2025-03-14T00:00:00"/>
    <s v="Liaison établissement 401000 ROTH RO"/>
    <m/>
    <e v="#N/A"/>
    <e v="#N/A"/>
    <n v="61671"/>
    <s v="Paiement Roth"/>
    <s v="ROTH SOCHIEL"/>
    <s v="Q1"/>
    <e v="#REF!"/>
    <e v="#REF!"/>
    <e v="#REF!"/>
  </r>
  <r>
    <s v="181000"/>
    <x v="6"/>
    <s v="COMPTE DE LIAISON DES ETABLISSEMENTS"/>
    <s v="OD"/>
    <n v="-143.28"/>
    <d v="2025-05-14T00:00:00"/>
    <s v="Liaison établissement 401000 SIGMA RO"/>
    <m/>
    <e v="#N/A"/>
    <e v="#N/A"/>
    <n v="72347"/>
    <s v="Invoice Payment by Pili"/>
    <s v="Sigma-Aldrich chimie"/>
    <s v="Q2"/>
    <e v="#REF!"/>
    <e v="#REF!"/>
    <e v="#REF!"/>
  </r>
  <r>
    <s v="181000"/>
    <x v="6"/>
    <s v="COMPTE DE LIAISON DES ETABLISSEMENTS"/>
    <s v="OD"/>
    <n v="-142.86000000000001"/>
    <d v="2025-11-14T00:00:00"/>
    <s v="Liaison inter-établissement vers TO "/>
    <m/>
    <e v="#N/A"/>
    <e v="#N/A"/>
    <n v="91622"/>
    <m/>
    <s v="BRUNEAU"/>
    <s v="Q4"/>
    <e v="#REF!"/>
    <e v="#REF!"/>
    <e v="#REF!"/>
  </r>
  <r>
    <s v="181000"/>
    <x v="6"/>
    <s v="COMPTE DE LIAISON DES ETABLISSEMENTS"/>
    <s v="OD"/>
    <n v="-142.27000000000001"/>
    <d v="2025-12-05T00:00:00"/>
    <s v="Liaison établissement 401000 VWR KB"/>
    <m/>
    <e v="#N/A"/>
    <e v="#N/A"/>
    <n v="91371"/>
    <s v="4067849964"/>
    <s v="VWR AVANTOR"/>
    <s v="Q4"/>
    <e v="#REF!"/>
    <e v="#REF!"/>
    <e v="#REF!"/>
  </r>
  <r>
    <s v="181000"/>
    <x v="6"/>
    <s v="COMPTE DE LIAISON DES ETABLISSEMENTS"/>
    <s v="OD"/>
    <n v="-141.66"/>
    <d v="2025-01-01T00:00:00"/>
    <s v="Liaison inter-établissement"/>
    <m/>
    <e v="#N/A"/>
    <e v="#N/A"/>
    <n v="64435"/>
    <m/>
    <s v="MANO MANO"/>
    <s v="Q1"/>
    <e v="#REF!"/>
    <e v="#REF!"/>
    <e v="#REF!"/>
  </r>
  <r>
    <s v="181000"/>
    <x v="6"/>
    <s v="COMPTE DE LIAISON DES ETABLISSEMENTS"/>
    <s v="OD"/>
    <n v="-141.6"/>
    <d v="2025-03-19T00:00:00"/>
    <s v="Liaison inter-établissement vers TO "/>
    <m/>
    <e v="#N/A"/>
    <e v="#N/A"/>
    <n v="63860"/>
    <m/>
    <s v="Sigma-Aldrich chimie"/>
    <s v="Q1"/>
    <e v="#REF!"/>
    <e v="#REF!"/>
    <e v="#REF!"/>
  </r>
  <r>
    <s v="181000"/>
    <x v="6"/>
    <s v="COMPTE DE LIAISON DES ETABLISSEMENTS"/>
    <s v="OD"/>
    <n v="-140.74"/>
    <d v="2025-03-27T00:00:00"/>
    <s v="Liaison inter-établissement vers TO "/>
    <m/>
    <e v="#N/A"/>
    <e v="#N/A"/>
    <n v="69976"/>
    <m/>
    <s v="FISHER SCIENTIFIC"/>
    <s v="Q1"/>
    <e v="#REF!"/>
    <e v="#REF!"/>
    <e v="#REF!"/>
  </r>
  <r>
    <s v="181000"/>
    <x v="6"/>
    <s v="COMPTE DE LIAISON DES ETABLISSEMENTS"/>
    <s v="OD"/>
    <n v="-140.74"/>
    <d v="2025-05-14T00:00:00"/>
    <s v="Liaison établissement 401000 FISHER RO"/>
    <m/>
    <e v="#N/A"/>
    <e v="#N/A"/>
    <n v="72332"/>
    <s v="Invoice Payment by Pili"/>
    <s v="FISHER SCIENTIFIC"/>
    <s v="Q2"/>
    <e v="#REF!"/>
    <e v="#REF!"/>
    <e v="#REF!"/>
  </r>
  <r>
    <s v="181000"/>
    <x v="6"/>
    <s v="COMPTE DE LIAISON DES ETABLISSEMENTS"/>
    <s v="OD"/>
    <n v="-140.02000000000001"/>
    <d v="2025-09-22T00:00:00"/>
    <s v="Liaison établissement 401000 BIOTIKA RO"/>
    <s v="Non"/>
    <e v="#N/A"/>
    <e v="#N/A"/>
    <n v="82371"/>
    <s v="TRANSPORT ECHANTILLON"/>
    <s v="BIOTIKA"/>
    <s v="Q3"/>
    <e v="#REF!"/>
    <e v="#REF!"/>
    <e v="#REF!"/>
  </r>
  <r>
    <s v="181000"/>
    <x v="6"/>
    <s v="COMPTE DE LIAISON DES ETABLISSEMENTS"/>
    <s v="OD"/>
    <n v="-139.56"/>
    <d v="2025-06-30T00:00:00"/>
    <s v="Liaison inter-établissement"/>
    <m/>
    <e v="#N/A"/>
    <e v="#N/A"/>
    <n v="78542"/>
    <m/>
    <m/>
    <s v="Q2"/>
    <e v="#REF!"/>
    <e v="#REF!"/>
    <e v="#REF!"/>
  </r>
  <r>
    <s v="181000"/>
    <x v="6"/>
    <s v="COMPTE DE LIAISON DES ETABLISSEMENTS"/>
    <s v="OD"/>
    <n v="-139.49"/>
    <d v="2025-08-29T00:00:00"/>
    <s v="Liaison inter-établissement vers TO "/>
    <m/>
    <e v="#N/A"/>
    <e v="#N/A"/>
    <n v="81666"/>
    <m/>
    <s v="AIR LIQUIDE"/>
    <s v="Q3"/>
    <e v="#REF!"/>
    <e v="#REF!"/>
    <e v="#REF!"/>
  </r>
  <r>
    <s v="181000"/>
    <x v="6"/>
    <s v="COMPTE DE LIAISON DES ETABLISSEMENTS"/>
    <s v="OD"/>
    <n v="-137.04"/>
    <d v="2025-06-04T00:00:00"/>
    <s v="Liaison établissement 401000 SIGMA RO"/>
    <m/>
    <e v="#N/A"/>
    <e v="#N/A"/>
    <n v="75537"/>
    <s v="Invoice payment by Pili"/>
    <s v="Sigma-Aldrich chimie"/>
    <s v="Q2"/>
    <e v="#REF!"/>
    <e v="#REF!"/>
    <e v="#REF!"/>
  </r>
  <r>
    <s v="181000"/>
    <x v="6"/>
    <s v="COMPTE DE LIAISON DES ETABLISSEMENTS"/>
    <s v="OD"/>
    <n v="-136.91999999999999"/>
    <d v="2025-02-18T00:00:00"/>
    <s v="Liaison inter-établissement vers TO "/>
    <m/>
    <e v="#N/A"/>
    <e v="#N/A"/>
    <n v="63852"/>
    <m/>
    <s v="Sigma-Aldrich chimie"/>
    <s v="Q1"/>
    <e v="#REF!"/>
    <e v="#REF!"/>
    <e v="#REF!"/>
  </r>
  <r>
    <s v="181000"/>
    <x v="6"/>
    <s v="COMPTE DE LIAISON DES ETABLISSEMENTS"/>
    <s v="OD"/>
    <n v="-136.80000000000001"/>
    <d v="2025-04-08T00:00:00"/>
    <s v="Liaison inter-établissement vers TO "/>
    <m/>
    <e v="#N/A"/>
    <e v="#N/A"/>
    <n v="70000"/>
    <m/>
    <s v="ROTH SOCHIEL"/>
    <s v="Q2"/>
    <e v="#REF!"/>
    <e v="#REF!"/>
    <e v="#REF!"/>
  </r>
  <r>
    <s v="181000"/>
    <x v="6"/>
    <s v="COMPTE DE LIAISON DES ETABLISSEMENTS"/>
    <s v="OD"/>
    <n v="-136.56"/>
    <d v="2025-12-03T00:00:00"/>
    <s v="Liaison inter-établissement vers TO "/>
    <m/>
    <s v="Non"/>
    <e v="#N/A"/>
    <n v="91846"/>
    <m/>
    <s v="HELLOCSE"/>
    <s v="Q4"/>
    <e v="#REF!"/>
    <e v="#REF!"/>
    <e v="#REF!"/>
  </r>
  <r>
    <s v="181000"/>
    <x v="6"/>
    <s v="COMPTE DE LIAISON DES ETABLISSEMENTS"/>
    <s v="OD"/>
    <n v="-135"/>
    <d v="2025-07-31T00:00:00"/>
    <s v="Liaison établissement 401000 FISHER KB"/>
    <m/>
    <e v="#N/A"/>
    <e v="#N/A"/>
    <n v="79276"/>
    <s v="ÉQUIPEMENT POUR LABO"/>
    <s v="FISHER SCIENTIFIC"/>
    <s v="Q3"/>
    <e v="#REF!"/>
    <e v="#REF!"/>
    <e v="#REF!"/>
  </r>
  <r>
    <s v="181000"/>
    <x v="6"/>
    <s v="COMPTE DE LIAISON DES ETABLISSEMENTS"/>
    <s v="OD"/>
    <n v="-134.80000000000001"/>
    <d v="2025-06-10T00:00:00"/>
    <s v="Liaison inter-établissement vers TO "/>
    <m/>
    <e v="#N/A"/>
    <e v="#N/A"/>
    <n v="81301"/>
    <m/>
    <s v="ORANGE"/>
    <s v="Q2"/>
    <e v="#REF!"/>
    <e v="#REF!"/>
    <e v="#REF!"/>
  </r>
  <r>
    <s v="181000"/>
    <x v="6"/>
    <s v="COMPTE DE LIAISON DES ETABLISSEMENTS"/>
    <s v="OD"/>
    <n v="-134.76"/>
    <d v="2025-03-06T00:00:00"/>
    <s v="Liaison inter-établissement vers TO "/>
    <m/>
    <e v="#N/A"/>
    <e v="#N/A"/>
    <n v="63868"/>
    <m/>
    <s v="Sigma-Aldrich chimie"/>
    <s v="Q1"/>
    <e v="#REF!"/>
    <e v="#REF!"/>
    <e v="#REF!"/>
  </r>
  <r>
    <s v="181000"/>
    <x v="6"/>
    <s v="COMPTE DE LIAISON DES ETABLISSEMENTS"/>
    <s v="OD"/>
    <n v="-134.30000000000001"/>
    <d v="2025-05-13T00:00:00"/>
    <s v="Liaison inter-établissement vers TO "/>
    <m/>
    <e v="#N/A"/>
    <e v="#N/A"/>
    <n v="75134"/>
    <m/>
    <s v="GANDI"/>
    <s v="Q2"/>
    <e v="#REF!"/>
    <e v="#REF!"/>
    <e v="#REF!"/>
  </r>
  <r>
    <s v="181000"/>
    <x v="6"/>
    <s v="COMPTE DE LIAISON DES ETABLISSEMENTS"/>
    <s v="OD"/>
    <n v="-134.05000000000001"/>
    <d v="2025-06-30T00:00:00"/>
    <s v="Liaison inter-établissement"/>
    <m/>
    <e v="#N/A"/>
    <e v="#N/A"/>
    <n v="78707"/>
    <m/>
    <m/>
    <s v="Q2"/>
    <e v="#REF!"/>
    <e v="#REF!"/>
    <e v="#REF!"/>
  </r>
  <r>
    <s v="181000"/>
    <x v="6"/>
    <s v="COMPTE DE LIAISON DES ETABLISSEMENTS"/>
    <s v="OD"/>
    <n v="-134"/>
    <d v="2025-04-10T00:00:00"/>
    <s v="Liaison inter-établissement vers TO "/>
    <m/>
    <e v="#N/A"/>
    <e v="#N/A"/>
    <n v="78183"/>
    <m/>
    <s v="SNCF"/>
    <s v="Q2"/>
    <e v="#REF!"/>
    <e v="#REF!"/>
    <e v="#REF!"/>
  </r>
  <r>
    <s v="181000"/>
    <x v="6"/>
    <s v="COMPTE DE LIAISON DES ETABLISSEMENTS"/>
    <s v="OD"/>
    <n v="-133.86000000000001"/>
    <d v="2025-12-30T00:00:00"/>
    <s v="Liaison établissement 401000 BIOTIKA RO"/>
    <s v="Non"/>
    <e v="#N/A"/>
    <e v="#N/A"/>
    <n v="93771"/>
    <s v="91250200"/>
    <s v="BIOTIKA"/>
    <s v="Q4"/>
    <e v="#REF!"/>
    <e v="#REF!"/>
    <e v="#REF!"/>
  </r>
  <r>
    <s v="181000"/>
    <x v="6"/>
    <s v="COMPTE DE LIAISON DES ETABLISSEMENTS"/>
    <s v="OD"/>
    <n v="-133.19999999999999"/>
    <d v="2025-02-10T00:00:00"/>
    <s v="Liaison inter-établissement vers TO "/>
    <m/>
    <e v="#N/A"/>
    <e v="#N/A"/>
    <n v="73128"/>
    <m/>
    <s v="ORANGE"/>
    <s v="Q1"/>
    <e v="#REF!"/>
    <e v="#REF!"/>
    <e v="#REF!"/>
  </r>
  <r>
    <s v="181000"/>
    <x v="6"/>
    <s v="COMPTE DE LIAISON DES ETABLISSEMENTS"/>
    <s v="OD"/>
    <n v="-133.19999999999999"/>
    <d v="2025-03-13T00:00:00"/>
    <s v="Liaison inter-établissement vers TO "/>
    <m/>
    <e v="#N/A"/>
    <e v="#N/A"/>
    <n v="81297"/>
    <m/>
    <s v="ORANGE"/>
    <s v="Q1"/>
    <e v="#REF!"/>
    <e v="#REF!"/>
    <e v="#REF!"/>
  </r>
  <r>
    <s v="181000"/>
    <x v="6"/>
    <s v="COMPTE DE LIAISON DES ETABLISSEMENTS"/>
    <s v="OD"/>
    <n v="-133.19999999999999"/>
    <d v="2025-04-10T00:00:00"/>
    <s v="Liaison inter-établissement vers TO "/>
    <m/>
    <e v="#N/A"/>
    <e v="#N/A"/>
    <n v="87396"/>
    <m/>
    <s v="ORANGE"/>
    <s v="Q2"/>
    <e v="#REF!"/>
    <e v="#REF!"/>
    <e v="#REF!"/>
  </r>
  <r>
    <s v="181000"/>
    <x v="6"/>
    <s v="COMPTE DE LIAISON DES ETABLISSEMENTS"/>
    <s v="OD"/>
    <n v="-133.19999999999999"/>
    <d v="2025-05-12T00:00:00"/>
    <s v="Liaison inter-établissement vers TO "/>
    <m/>
    <e v="#N/A"/>
    <e v="#N/A"/>
    <n v="81259"/>
    <m/>
    <s v="ORANGE"/>
    <s v="Q2"/>
    <e v="#REF!"/>
    <e v="#REF!"/>
    <e v="#REF!"/>
  </r>
  <r>
    <s v="181000"/>
    <x v="6"/>
    <s v="COMPTE DE LIAISON DES ETABLISSEMENTS"/>
    <s v="OD"/>
    <n v="-132.97999999999999"/>
    <d v="2025-12-08T00:00:00"/>
    <s v="Liaison établissement 401000 BIOTIKA RO"/>
    <s v="Non"/>
    <e v="#N/A"/>
    <e v="#N/A"/>
    <n v="91337"/>
    <s v="2025-Q100527"/>
    <s v="BIOTIKA"/>
    <s v="Q4"/>
    <e v="#REF!"/>
    <e v="#REF!"/>
    <e v="#REF!"/>
  </r>
  <r>
    <s v="181000"/>
    <x v="6"/>
    <s v="COMPTE DE LIAISON DES ETABLISSEMENTS"/>
    <s v="OD"/>
    <n v="-132.47999999999999"/>
    <d v="2025-07-31T00:00:00"/>
    <s v="Liaison établissement 401000 ROTH RO"/>
    <m/>
    <e v="#N/A"/>
    <e v="#N/A"/>
    <n v="79296"/>
    <s v="RÉACTIFS KL VBIO"/>
    <s v="ROTH SOCHIEL"/>
    <s v="Q3"/>
    <e v="#REF!"/>
    <e v="#REF!"/>
    <e v="#REF!"/>
  </r>
  <r>
    <s v="181000"/>
    <x v="6"/>
    <s v="COMPTE DE LIAISON DES ETABLISSEMENTS"/>
    <s v="OD"/>
    <n v="-132"/>
    <d v="2025-01-07T00:00:00"/>
    <s v="Liaison inter-établissement vers TO "/>
    <m/>
    <e v="#N/A"/>
    <e v="#N/A"/>
    <n v="74872"/>
    <m/>
    <s v="HOPER"/>
    <s v="Q1"/>
    <e v="#REF!"/>
    <e v="#REF!"/>
    <e v="#REF!"/>
  </r>
  <r>
    <s v="181000"/>
    <x v="6"/>
    <s v="COMPTE DE LIAISON DES ETABLISSEMENTS"/>
    <s v="OD"/>
    <n v="-132"/>
    <d v="2025-04-07T00:00:00"/>
    <s v="Liaison inter-établissement vers TO "/>
    <m/>
    <e v="#N/A"/>
    <e v="#N/A"/>
    <n v="71417"/>
    <m/>
    <s v="HOPER"/>
    <s v="Q2"/>
    <e v="#REF!"/>
    <e v="#REF!"/>
    <e v="#REF!"/>
  </r>
  <r>
    <s v="181000"/>
    <x v="6"/>
    <s v="COMPTE DE LIAISON DES ETABLISSEMENTS"/>
    <s v="OD"/>
    <n v="-130"/>
    <d v="2025-07-31T00:00:00"/>
    <s v="Liaison établissement 401000 ALTAIR KB"/>
    <s v="Non"/>
    <s v="Non"/>
    <e v="#N/A"/>
    <n v="79241"/>
    <s v="CONSEIL ET ASSISTANCE DANS LE CADRE DU SUIVI DES BSPCE"/>
    <s v="ALTAIR AVOCATS"/>
    <s v="Q3"/>
    <e v="#REF!"/>
    <e v="#REF!"/>
    <e v="#REF!"/>
  </r>
  <r>
    <s v="181000"/>
    <x v="6"/>
    <s v="COMPTE DE LIAISON DES ETABLISSEMENTS"/>
    <s v="OD"/>
    <n v="-129.41999999999999"/>
    <d v="2025-03-18T00:00:00"/>
    <s v="Liaison inter-établissement vers TO "/>
    <m/>
    <e v="#N/A"/>
    <e v="#N/A"/>
    <n v="64488"/>
    <m/>
    <s v="VWR AVANTOR"/>
    <s v="Q1"/>
    <e v="#REF!"/>
    <e v="#REF!"/>
    <e v="#REF!"/>
  </r>
  <r>
    <s v="181000"/>
    <x v="6"/>
    <s v="COMPTE DE LIAISON DES ETABLISSEMENTS"/>
    <s v="OD"/>
    <n v="-128.93"/>
    <d v="2025-10-25T00:00:00"/>
    <s v="Liaison inter-établissement vers TO "/>
    <m/>
    <e v="#N/A"/>
    <e v="#N/A"/>
    <n v="91589"/>
    <m/>
    <s v="AIRLINES"/>
    <s v="Q4"/>
    <e v="#REF!"/>
    <e v="#REF!"/>
    <e v="#REF!"/>
  </r>
  <r>
    <s v="181000"/>
    <x v="6"/>
    <s v="COMPTE DE LIAISON DES ETABLISSEMENTS"/>
    <s v="OD"/>
    <n v="-128"/>
    <d v="2025-03-18T00:00:00"/>
    <s v="Liaison inter-établissement vers TO "/>
    <m/>
    <e v="#N/A"/>
    <e v="#N/A"/>
    <n v="64456"/>
    <m/>
    <s v="TCI"/>
    <s v="Q1"/>
    <e v="#REF!"/>
    <e v="#REF!"/>
    <e v="#REF!"/>
  </r>
  <r>
    <s v="181000"/>
    <x v="6"/>
    <s v="COMPTE DE LIAISON DES ETABLISSEMENTS"/>
    <s v="OD"/>
    <n v="-128"/>
    <d v="2025-03-24T00:00:00"/>
    <s v="Liaison inter-établissement vers TO "/>
    <m/>
    <e v="#N/A"/>
    <e v="#N/A"/>
    <n v="73834"/>
    <m/>
    <s v="Jérémie Blache"/>
    <s v="Q1"/>
    <e v="#REF!"/>
    <e v="#REF!"/>
    <e v="#REF!"/>
  </r>
  <r>
    <s v="181000"/>
    <x v="6"/>
    <s v="COMPTE DE LIAISON DES ETABLISSEMENTS"/>
    <s v="OD"/>
    <n v="-128"/>
    <d v="2025-09-05T00:00:00"/>
    <s v="Liaison inter-établissement vers TO "/>
    <m/>
    <e v="#N/A"/>
    <e v="#N/A"/>
    <n v="83141"/>
    <m/>
    <s v="SNCF"/>
    <s v="Q3"/>
    <e v="#REF!"/>
    <e v="#REF!"/>
    <e v="#REF!"/>
  </r>
  <r>
    <s v="181000"/>
    <x v="6"/>
    <s v="COMPTE DE LIAISON DES ETABLISSEMENTS"/>
    <s v="OD"/>
    <n v="-128"/>
    <d v="2025-10-09T00:00:00"/>
    <s v="Liaison inter-établissement vers TO "/>
    <m/>
    <e v="#N/A"/>
    <e v="#N/A"/>
    <n v="89806"/>
    <m/>
    <s v="SNCF"/>
    <s v="Q4"/>
    <e v="#REF!"/>
    <e v="#REF!"/>
    <e v="#REF!"/>
  </r>
  <r>
    <s v="181000"/>
    <x v="6"/>
    <s v="COMPTE DE LIAISON DES ETABLISSEMENTS"/>
    <s v="OD"/>
    <n v="-128"/>
    <d v="2025-11-18T00:00:00"/>
    <s v="Liaison inter-établissement vers TO "/>
    <m/>
    <e v="#N/A"/>
    <e v="#N/A"/>
    <n v="91718"/>
    <m/>
    <s v="SNCF"/>
    <s v="Q4"/>
    <e v="#REF!"/>
    <e v="#REF!"/>
    <e v="#REF!"/>
  </r>
  <r>
    <s v="181000"/>
    <x v="6"/>
    <s v="COMPTE DE LIAISON DES ETABLISSEMENTS"/>
    <s v="OD"/>
    <n v="-128"/>
    <d v="2025-11-25T00:00:00"/>
    <s v="Liaison inter-établissement vers TO "/>
    <m/>
    <e v="#N/A"/>
    <e v="#N/A"/>
    <n v="91714"/>
    <m/>
    <s v="SNCF"/>
    <s v="Q4"/>
    <e v="#REF!"/>
    <e v="#REF!"/>
    <e v="#REF!"/>
  </r>
  <r>
    <s v="181000"/>
    <x v="6"/>
    <s v="COMPTE DE LIAISON DES ETABLISSEMENTS"/>
    <s v="OD"/>
    <n v="-127"/>
    <d v="2025-09-12T00:00:00"/>
    <s v="Liaison établissement 401000 TCI KB"/>
    <m/>
    <e v="#N/A"/>
    <e v="#N/A"/>
    <n v="82026"/>
    <s v="COMMANDE PRODUIT KEENB"/>
    <s v="TCI"/>
    <s v="Q3"/>
    <e v="#REF!"/>
    <e v="#REF!"/>
    <e v="#REF!"/>
  </r>
  <r>
    <s v="181000"/>
    <x v="6"/>
    <s v="COMPTE DE LIAISON DES ETABLISSEMENTS"/>
    <s v="OD"/>
    <n v="-126.59"/>
    <d v="2025-01-26T00:00:00"/>
    <s v="Liaison inter-établissement vers TO "/>
    <m/>
    <e v="#N/A"/>
    <e v="#N/A"/>
    <n v="63818"/>
    <m/>
    <s v="RS COMPONENT"/>
    <s v="Q1"/>
    <e v="#REF!"/>
    <e v="#REF!"/>
    <e v="#REF!"/>
  </r>
  <r>
    <s v="181000"/>
    <x v="6"/>
    <s v="COMPTE DE LIAISON DES ETABLISSEMENTS"/>
    <s v="OD"/>
    <n v="-125.83"/>
    <d v="2025-10-14T00:00:00"/>
    <s v="Liaison inter-établissement vers TO "/>
    <s v="Non"/>
    <s v="Non"/>
    <e v="#N/A"/>
    <n v="89688"/>
    <m/>
    <s v="LINKEDIN"/>
    <s v="Q4"/>
    <e v="#REF!"/>
    <e v="#REF!"/>
    <e v="#REF!"/>
  </r>
  <r>
    <s v="181000"/>
    <x v="6"/>
    <s v="COMPTE DE LIAISON DES ETABLISSEMENTS"/>
    <s v="OD"/>
    <n v="-124.92"/>
    <d v="2025-04-30T00:00:00"/>
    <s v="Liaison inter-établissement vers TO "/>
    <m/>
    <e v="#N/A"/>
    <e v="#N/A"/>
    <n v="74518"/>
    <m/>
    <s v="Jérémie Blache"/>
    <s v="Q2"/>
    <e v="#REF!"/>
    <e v="#REF!"/>
    <e v="#REF!"/>
  </r>
  <r>
    <s v="181000"/>
    <x v="6"/>
    <s v="COMPTE DE LIAISON DES ETABLISSEMENTS"/>
    <s v="OD"/>
    <n v="-124.06"/>
    <d v="2025-08-18T00:00:00"/>
    <s v="Liaison établissement 401000 VWR KB"/>
    <m/>
    <e v="#N/A"/>
    <e v="#N/A"/>
    <n v="81167"/>
    <s v="COMMANDE PRODUITS LABO"/>
    <s v="VWR AVANTOR"/>
    <s v="Q3"/>
    <e v="#REF!"/>
    <e v="#REF!"/>
    <e v="#REF!"/>
  </r>
  <r>
    <s v="181000"/>
    <x v="6"/>
    <s v="COMPTE DE LIAISON DES ETABLISSEMENTS"/>
    <s v="OD"/>
    <n v="-124"/>
    <d v="2025-01-29T00:00:00"/>
    <s v="Liaison inter-établissement vers TO "/>
    <m/>
    <e v="#N/A"/>
    <e v="#N/A"/>
    <n v="66740"/>
    <m/>
    <s v="SNCF"/>
    <s v="Q1"/>
    <e v="#REF!"/>
    <e v="#REF!"/>
    <e v="#REF!"/>
  </r>
  <r>
    <s v="181000"/>
    <x v="6"/>
    <s v="COMPTE DE LIAISON DES ETABLISSEMENTS"/>
    <s v="OD"/>
    <n v="-124"/>
    <d v="2025-12-09T00:00:00"/>
    <s v="Liaison inter-établissement vers TO "/>
    <m/>
    <e v="#N/A"/>
    <e v="#N/A"/>
    <n v="94137"/>
    <m/>
    <s v="SNCF"/>
    <s v="Q4"/>
    <e v="#REF!"/>
    <e v="#REF!"/>
    <e v="#REF!"/>
  </r>
  <r>
    <s v="181000"/>
    <x v="6"/>
    <s v="COMPTE DE LIAISON DES ETABLISSEMENTS"/>
    <s v="OD"/>
    <n v="-123.1"/>
    <d v="2025-10-01T00:00:00"/>
    <s v="Liaison inter-établissement"/>
    <m/>
    <e v="#N/A"/>
    <e v="#N/A"/>
    <n v="86321"/>
    <m/>
    <m/>
    <s v="Q4"/>
    <e v="#REF!"/>
    <e v="#REF!"/>
    <e v="#REF!"/>
  </r>
  <r>
    <s v="181000"/>
    <x v="6"/>
    <s v="COMPTE DE LIAISON DES ETABLISSEMENTS"/>
    <s v="OD"/>
    <n v="-123.1"/>
    <d v="2025-10-01T00:00:00"/>
    <s v="Liaison inter-établissement vers TO "/>
    <m/>
    <e v="#N/A"/>
    <e v="#N/A"/>
    <n v="86695"/>
    <m/>
    <m/>
    <s v="Q4"/>
    <e v="#REF!"/>
    <e v="#REF!"/>
    <e v="#REF!"/>
  </r>
  <r>
    <s v="181000"/>
    <x v="6"/>
    <s v="COMPTE DE LIAISON DES ETABLISSEMENTS"/>
    <s v="OD"/>
    <n v="-123"/>
    <d v="2025-05-13T00:00:00"/>
    <s v="Liaison inter-établissement vers TO "/>
    <m/>
    <e v="#N/A"/>
    <e v="#N/A"/>
    <n v="74578"/>
    <m/>
    <s v="Thibault Dejardin"/>
    <s v="Q2"/>
    <e v="#REF!"/>
    <e v="#REF!"/>
    <e v="#REF!"/>
  </r>
  <r>
    <s v="181000"/>
    <x v="6"/>
    <s v="COMPTE DE LIAISON DES ETABLISSEMENTS"/>
    <s v="OD"/>
    <n v="-122.65"/>
    <d v="2025-05-23T00:00:00"/>
    <s v="Liaison inter-établissement vers TO "/>
    <m/>
    <e v="#N/A"/>
    <e v="#N/A"/>
    <n v="74900"/>
    <m/>
    <s v="DHL"/>
    <s v="Q2"/>
    <e v="#REF!"/>
    <e v="#REF!"/>
    <e v="#REF!"/>
  </r>
  <r>
    <s v="181000"/>
    <x v="6"/>
    <s v="COMPTE DE LIAISON DES ETABLISSEMENTS"/>
    <s v="OD"/>
    <n v="-122.56"/>
    <d v="2025-02-06T00:00:00"/>
    <s v="Liaison inter-établissement vers TO "/>
    <m/>
    <e v="#N/A"/>
    <e v="#N/A"/>
    <n v="63814"/>
    <m/>
    <s v="ROTH SOCHIEL"/>
    <s v="Q1"/>
    <e v="#REF!"/>
    <e v="#REF!"/>
    <e v="#REF!"/>
  </r>
  <r>
    <s v="181000"/>
    <x v="6"/>
    <s v="COMPTE DE LIAISON DES ETABLISSEMENTS"/>
    <s v="OD"/>
    <n v="-122.54"/>
    <d v="2025-03-18T00:00:00"/>
    <s v="Liaison inter-établissement vers TO "/>
    <m/>
    <e v="#N/A"/>
    <e v="#N/A"/>
    <n v="64460"/>
    <m/>
    <s v="VWR AVANTOR"/>
    <s v="Q1"/>
    <e v="#REF!"/>
    <e v="#REF!"/>
    <e v="#REF!"/>
  </r>
  <r>
    <s v="181000"/>
    <x v="6"/>
    <s v="COMPTE DE LIAISON DES ETABLISSEMENTS"/>
    <s v="OD"/>
    <n v="-122"/>
    <d v="2025-04-04T00:00:00"/>
    <s v="Liaison inter-établissement vers TO "/>
    <m/>
    <e v="#N/A"/>
    <e v="#N/A"/>
    <n v="74776"/>
    <m/>
    <s v="SNCF"/>
    <s v="Q2"/>
    <e v="#REF!"/>
    <e v="#REF!"/>
    <e v="#REF!"/>
  </r>
  <r>
    <s v="181000"/>
    <x v="6"/>
    <s v="COMPTE DE LIAISON DES ETABLISSEMENTS"/>
    <s v="OD"/>
    <n v="-122"/>
    <d v="2025-09-03T00:00:00"/>
    <s v="Liaison inter-établissement vers TO "/>
    <m/>
    <e v="#N/A"/>
    <e v="#N/A"/>
    <n v="83145"/>
    <m/>
    <s v="SNCF"/>
    <s v="Q3"/>
    <e v="#REF!"/>
    <e v="#REF!"/>
    <e v="#REF!"/>
  </r>
  <r>
    <s v="181000"/>
    <x v="6"/>
    <s v="COMPTE DE LIAISON DES ETABLISSEMENTS"/>
    <s v="OD"/>
    <n v="-121.85"/>
    <d v="2025-07-31T00:00:00"/>
    <s v="Liaison établissement 401000 VWR KB"/>
    <m/>
    <e v="#N/A"/>
    <e v="#N/A"/>
    <n v="79361"/>
    <s v="COMMANDE CONSOMMABLE LABO"/>
    <s v="VWR AVANTOR"/>
    <s v="Q3"/>
    <e v="#REF!"/>
    <e v="#REF!"/>
    <e v="#REF!"/>
  </r>
  <r>
    <s v="181000"/>
    <x v="6"/>
    <s v="COMPTE DE LIAISON DES ETABLISSEMENTS"/>
    <s v="OD"/>
    <n v="-120.36"/>
    <d v="2025-04-02T00:00:00"/>
    <s v="Liaison établissement 401000 VWR KB"/>
    <m/>
    <e v="#N/A"/>
    <e v="#N/A"/>
    <n v="66497"/>
    <s v="Invoice Payment by Pili"/>
    <s v="VWR AVANTOR"/>
    <s v="Q2"/>
    <e v="#REF!"/>
    <e v="#REF!"/>
    <e v="#REF!"/>
  </r>
  <r>
    <s v="181000"/>
    <x v="6"/>
    <s v="COMPTE DE LIAISON DES ETABLISSEMENTS"/>
    <s v="OD"/>
    <n v="-120.05"/>
    <d v="2025-06-27T00:00:00"/>
    <s v="Liaison inter-établissement vers TO "/>
    <m/>
    <e v="#N/A"/>
    <e v="#N/A"/>
    <n v="76756"/>
    <m/>
    <s v="Marie-Sarah Adenis"/>
    <s v="Q2"/>
    <e v="#REF!"/>
    <e v="#REF!"/>
    <e v="#REF!"/>
  </r>
  <r>
    <s v="181000"/>
    <x v="6"/>
    <s v="COMPTE DE LIAISON DES ETABLISSEMENTS"/>
    <s v="OD"/>
    <n v="-120"/>
    <d v="2025-05-13T00:00:00"/>
    <s v="Liaison inter-établissement vers TO "/>
    <m/>
    <e v="#N/A"/>
    <e v="#N/A"/>
    <n v="74562"/>
    <m/>
    <s v="Marie-Sarah Adenis"/>
    <s v="Q2"/>
    <e v="#REF!"/>
    <e v="#REF!"/>
    <e v="#REF!"/>
  </r>
  <r>
    <s v="181000"/>
    <x v="6"/>
    <s v="COMPTE DE LIAISON DES ETABLISSEMENTS"/>
    <s v="OD"/>
    <n v="-120"/>
    <d v="2025-06-04T00:00:00"/>
    <s v="Liaison établissement 401000 SIGMA RO"/>
    <m/>
    <e v="#N/A"/>
    <e v="#N/A"/>
    <n v="75542"/>
    <s v="Invoice payment by Pili"/>
    <s v="Sigma-Aldrich chimie"/>
    <s v="Q2"/>
    <e v="#REF!"/>
    <e v="#REF!"/>
    <e v="#REF!"/>
  </r>
  <r>
    <s v="181000"/>
    <x v="6"/>
    <s v="COMPTE DE LIAISON DES ETABLISSEMENTS"/>
    <s v="OD"/>
    <n v="-119.99"/>
    <d v="2025-02-09T00:00:00"/>
    <s v="Liaison inter-établissement vers TO "/>
    <m/>
    <e v="#N/A"/>
    <e v="#N/A"/>
    <n v="64276"/>
    <m/>
    <s v="DARTY"/>
    <s v="Q1"/>
    <e v="#REF!"/>
    <e v="#REF!"/>
    <e v="#REF!"/>
  </r>
  <r>
    <s v="181000"/>
    <x v="6"/>
    <s v="COMPTE DE LIAISON DES ETABLISSEMENTS"/>
    <s v="OD"/>
    <n v="-119.41"/>
    <d v="2025-11-18T00:00:00"/>
    <s v="Liaison inter-établissement vers TO "/>
    <m/>
    <e v="#N/A"/>
    <e v="#N/A"/>
    <n v="91605"/>
    <m/>
    <s v="BOOKING"/>
    <s v="Q4"/>
    <e v="#REF!"/>
    <e v="#REF!"/>
    <e v="#REF!"/>
  </r>
  <r>
    <s v="181000"/>
    <x v="6"/>
    <s v="COMPTE DE LIAISON DES ETABLISSEMENTS"/>
    <s v="OD"/>
    <n v="-119.4"/>
    <d v="2025-11-19T00:00:00"/>
    <s v="Liaison inter-établissement vers TO "/>
    <m/>
    <e v="#N/A"/>
    <e v="#N/A"/>
    <n v="91674"/>
    <m/>
    <s v="MONDROGUISTE"/>
    <s v="Q4"/>
    <e v="#REF!"/>
    <e v="#REF!"/>
    <e v="#REF!"/>
  </r>
  <r>
    <s v="181000"/>
    <x v="6"/>
    <s v="COMPTE DE LIAISON DES ETABLISSEMENTS"/>
    <s v="OD"/>
    <n v="-118.96"/>
    <d v="2025-09-12T00:00:00"/>
    <s v="Liaison établissement 401000 BIOTIKA RO"/>
    <s v="Non"/>
    <e v="#N/A"/>
    <e v="#N/A"/>
    <n v="82066"/>
    <s v="COUTS DE TRANSPORT - ECHANTILLONS"/>
    <s v="BIOTIKA"/>
    <s v="Q3"/>
    <e v="#REF!"/>
    <e v="#REF!"/>
    <e v="#REF!"/>
  </r>
  <r>
    <s v="181000"/>
    <x v="6"/>
    <s v="COMPTE DE LIAISON DES ETABLISSEMENTS"/>
    <s v="OD"/>
    <n v="-118.5"/>
    <d v="2025-02-26T00:00:00"/>
    <s v="Liaison inter-établissement vers TO "/>
    <m/>
    <e v="#N/A"/>
    <e v="#N/A"/>
    <n v="73850"/>
    <m/>
    <s v="Jérémie Blache"/>
    <s v="Q1"/>
    <e v="#REF!"/>
    <e v="#REF!"/>
    <e v="#REF!"/>
  </r>
  <r>
    <s v="181000"/>
    <x v="6"/>
    <s v="COMPTE DE LIAISON DES ETABLISSEMENTS"/>
    <s v="OD"/>
    <n v="-118.04"/>
    <d v="2025-07-31T00:00:00"/>
    <s v="Liaison établissement 401000 VWR KB"/>
    <m/>
    <e v="#N/A"/>
    <e v="#N/A"/>
    <n v="79301"/>
    <s v="COMMANDE PRODUIT LABO"/>
    <s v="VWR AVANTOR"/>
    <s v="Q3"/>
    <e v="#REF!"/>
    <e v="#REF!"/>
    <e v="#REF!"/>
  </r>
  <r>
    <s v="181000"/>
    <x v="6"/>
    <s v="COMPTE DE LIAISON DES ETABLISSEMENTS"/>
    <s v="OD"/>
    <n v="-117.6"/>
    <d v="2025-04-25T00:00:00"/>
    <s v="Liaison établissement 401000 CHAUM LY"/>
    <m/>
    <e v="#N/A"/>
    <e v="#N/A"/>
    <n v="70142"/>
    <s v="Invoice Payment by Pili"/>
    <s v="GROUPE CHAUMEIL"/>
    <s v="Q2"/>
    <e v="#REF!"/>
    <e v="#REF!"/>
    <e v="#REF!"/>
  </r>
  <r>
    <s v="181000"/>
    <x v="6"/>
    <s v="COMPTE DE LIAISON DES ETABLISSEMENTS"/>
    <s v="OD"/>
    <n v="-117"/>
    <d v="2025-04-25T00:00:00"/>
    <s v="Liaison établissement 401000 RUF RO"/>
    <m/>
    <e v="#N/A"/>
    <e v="#N/A"/>
    <n v="70187"/>
    <s v="Invoice Payment by Pili"/>
    <s v="RUF POSEUR D'EMPREINTES"/>
    <s v="Q2"/>
    <e v="#REF!"/>
    <e v="#REF!"/>
    <e v="#REF!"/>
  </r>
  <r>
    <s v="181000"/>
    <x v="6"/>
    <s v="COMPTE DE LIAISON DES ETABLISSEMENTS"/>
    <s v="OD"/>
    <n v="-116.97"/>
    <d v="2025-04-15T00:00:00"/>
    <s v="Liaison inter-établissement vers TO "/>
    <m/>
    <e v="#N/A"/>
    <e v="#N/A"/>
    <n v="74856"/>
    <m/>
    <s v="American Airlines"/>
    <s v="Q2"/>
    <e v="#REF!"/>
    <e v="#REF!"/>
    <e v="#REF!"/>
  </r>
  <r>
    <s v="181000"/>
    <x v="6"/>
    <s v="COMPTE DE LIAISON DES ETABLISSEMENTS"/>
    <s v="OD"/>
    <n v="-116.97"/>
    <d v="2025-04-15T00:00:00"/>
    <s v="Liaison inter-établissement vers TO "/>
    <m/>
    <e v="#N/A"/>
    <e v="#N/A"/>
    <n v="74860"/>
    <m/>
    <s v="American Airlines"/>
    <s v="Q2"/>
    <e v="#REF!"/>
    <e v="#REF!"/>
    <e v="#REF!"/>
  </r>
  <r>
    <s v="181000"/>
    <x v="6"/>
    <s v="COMPTE DE LIAISON DES ETABLISSEMENTS"/>
    <s v="OD"/>
    <n v="-116.53"/>
    <d v="2025-09-19T00:00:00"/>
    <s v="Liaison inter-établissement vers TO "/>
    <m/>
    <e v="#N/A"/>
    <e v="#N/A"/>
    <n v="83265"/>
    <m/>
    <s v="BRUNEAU"/>
    <s v="Q3"/>
    <e v="#REF!"/>
    <e v="#REF!"/>
    <e v="#REF!"/>
  </r>
  <r>
    <s v="181000"/>
    <x v="6"/>
    <s v="COMPTE DE LIAISON DES ETABLISSEMENTS"/>
    <s v="OD"/>
    <n v="-116.5"/>
    <d v="2025-03-11T00:00:00"/>
    <s v="Liaison inter-établissement vers TO "/>
    <m/>
    <e v="#N/A"/>
    <e v="#N/A"/>
    <n v="70017"/>
    <m/>
    <s v="SNCF"/>
    <s v="Q1"/>
    <e v="#REF!"/>
    <e v="#REF!"/>
    <e v="#REF!"/>
  </r>
  <r>
    <s v="181000"/>
    <x v="6"/>
    <s v="COMPTE DE LIAISON DES ETABLISSEMENTS"/>
    <s v="OD"/>
    <n v="-116"/>
    <d v="2025-01-14T00:00:00"/>
    <s v="Liaison inter-établissement vers TO "/>
    <m/>
    <e v="#N/A"/>
    <e v="#N/A"/>
    <n v="63888"/>
    <m/>
    <s v="SNCF"/>
    <s v="Q1"/>
    <e v="#REF!"/>
    <e v="#REF!"/>
    <e v="#REF!"/>
  </r>
  <r>
    <s v="181000"/>
    <x v="6"/>
    <s v="COMPTE DE LIAISON DES ETABLISSEMENTS"/>
    <s v="OD"/>
    <n v="-116"/>
    <d v="2025-01-21T00:00:00"/>
    <s v="Liaison inter-établissement vers TO "/>
    <m/>
    <e v="#N/A"/>
    <e v="#N/A"/>
    <n v="63892"/>
    <m/>
    <s v="SNCF"/>
    <s v="Q1"/>
    <e v="#REF!"/>
    <e v="#REF!"/>
    <e v="#REF!"/>
  </r>
  <r>
    <s v="181000"/>
    <x v="6"/>
    <s v="COMPTE DE LIAISON DES ETABLISSEMENTS"/>
    <s v="OD"/>
    <n v="-116"/>
    <d v="2025-02-12T00:00:00"/>
    <s v="Liaison inter-établissement vers TO "/>
    <m/>
    <e v="#N/A"/>
    <e v="#N/A"/>
    <n v="64376"/>
    <m/>
    <s v="SNCF"/>
    <s v="Q1"/>
    <e v="#REF!"/>
    <e v="#REF!"/>
    <e v="#REF!"/>
  </r>
  <r>
    <s v="181000"/>
    <x v="6"/>
    <s v="COMPTE DE LIAISON DES ETABLISSEMENTS"/>
    <s v="OD"/>
    <n v="-116"/>
    <d v="2025-05-13T00:00:00"/>
    <s v="Liaison inter-établissement vers TO "/>
    <m/>
    <e v="#N/A"/>
    <e v="#N/A"/>
    <n v="78157"/>
    <m/>
    <s v="SNCF"/>
    <s v="Q2"/>
    <e v="#REF!"/>
    <e v="#REF!"/>
    <e v="#REF!"/>
  </r>
  <r>
    <s v="181000"/>
    <x v="6"/>
    <s v="COMPTE DE LIAISON DES ETABLISSEMENTS"/>
    <s v="OD"/>
    <n v="-116"/>
    <d v="2025-10-11T00:00:00"/>
    <s v="Liaison inter-établissement vers TO "/>
    <m/>
    <e v="#N/A"/>
    <e v="#N/A"/>
    <n v="89794"/>
    <m/>
    <s v="SNCF"/>
    <s v="Q4"/>
    <e v="#REF!"/>
    <e v="#REF!"/>
    <e v="#REF!"/>
  </r>
  <r>
    <s v="181000"/>
    <x v="6"/>
    <s v="COMPTE DE LIAISON DES ETABLISSEMENTS"/>
    <s v="OD"/>
    <n v="-116"/>
    <d v="2025-10-30T00:00:00"/>
    <s v="Liaison inter-établissement vers TO "/>
    <m/>
    <e v="#N/A"/>
    <e v="#N/A"/>
    <n v="91682"/>
    <m/>
    <s v="SNCF"/>
    <s v="Q4"/>
    <e v="#REF!"/>
    <e v="#REF!"/>
    <e v="#REF!"/>
  </r>
  <r>
    <s v="181000"/>
    <x v="6"/>
    <s v="COMPTE DE LIAISON DES ETABLISSEMENTS"/>
    <s v="OD"/>
    <n v="-116"/>
    <d v="2025-11-01T00:00:00"/>
    <s v="Liaison inter-établissement vers TO "/>
    <m/>
    <e v="#N/A"/>
    <e v="#N/A"/>
    <n v="91798"/>
    <m/>
    <s v="SNCF"/>
    <s v="Q4"/>
    <e v="#REF!"/>
    <e v="#REF!"/>
    <e v="#REF!"/>
  </r>
  <r>
    <s v="181000"/>
    <x v="6"/>
    <s v="COMPTE DE LIAISON DES ETABLISSEMENTS"/>
    <s v="OD"/>
    <n v="-116"/>
    <d v="2025-11-02T00:00:00"/>
    <s v="Liaison inter-établissement vers TO "/>
    <m/>
    <e v="#N/A"/>
    <e v="#N/A"/>
    <n v="91690"/>
    <m/>
    <s v="SNCF"/>
    <s v="Q4"/>
    <e v="#REF!"/>
    <e v="#REF!"/>
    <e v="#REF!"/>
  </r>
  <r>
    <s v="181000"/>
    <x v="6"/>
    <s v="COMPTE DE LIAISON DES ETABLISSEMENTS"/>
    <s v="OD"/>
    <n v="-116"/>
    <d v="2025-11-29T00:00:00"/>
    <s v="Liaison inter-établissement vers TO "/>
    <m/>
    <e v="#N/A"/>
    <e v="#N/A"/>
    <n v="91706"/>
    <m/>
    <s v="SNCF"/>
    <s v="Q4"/>
    <e v="#REF!"/>
    <e v="#REF!"/>
    <e v="#REF!"/>
  </r>
  <r>
    <s v="181000"/>
    <x v="6"/>
    <s v="COMPTE DE LIAISON DES ETABLISSEMENTS"/>
    <s v="OD"/>
    <n v="-116"/>
    <d v="2025-11-29T00:00:00"/>
    <s v="Liaison inter-établissement vers TO "/>
    <m/>
    <e v="#N/A"/>
    <e v="#N/A"/>
    <n v="91710"/>
    <m/>
    <s v="SNCF"/>
    <s v="Q4"/>
    <e v="#REF!"/>
    <e v="#REF!"/>
    <e v="#REF!"/>
  </r>
  <r>
    <s v="181000"/>
    <x v="6"/>
    <s v="COMPTE DE LIAISON DES ETABLISSEMENTS"/>
    <s v="OD"/>
    <n v="-115.61"/>
    <d v="2025-10-12T00:00:00"/>
    <s v="Liaison inter-établissement vers TO "/>
    <s v="Non"/>
    <s v="Non"/>
    <e v="#N/A"/>
    <n v="89684"/>
    <m/>
    <s v="LINKEDIN"/>
    <s v="Q4"/>
    <e v="#REF!"/>
    <e v="#REF!"/>
    <e v="#REF!"/>
  </r>
  <r>
    <s v="181000"/>
    <x v="6"/>
    <s v="COMPTE DE LIAISON DES ETABLISSEMENTS"/>
    <s v="OD"/>
    <n v="-115.56"/>
    <d v="2025-06-13T00:00:00"/>
    <s v="Liaison inter-établissement vers TO "/>
    <m/>
    <e v="#N/A"/>
    <e v="#N/A"/>
    <n v="76711"/>
    <m/>
    <s v="Julie Lacondemine"/>
    <s v="Q2"/>
    <e v="#REF!"/>
    <e v="#REF!"/>
    <e v="#REF!"/>
  </r>
  <r>
    <s v="181000"/>
    <x v="6"/>
    <s v="COMPTE DE LIAISON DES ETABLISSEMENTS"/>
    <s v="OD"/>
    <n v="-115.21"/>
    <d v="2025-07-05T00:00:00"/>
    <s v="Liaison inter-établissement vers TO "/>
    <m/>
    <e v="#N/A"/>
    <e v="#N/A"/>
    <n v="85065"/>
    <m/>
    <s v="CASTORAMA"/>
    <s v="Q3"/>
    <e v="#REF!"/>
    <e v="#REF!"/>
    <e v="#REF!"/>
  </r>
  <r>
    <s v="181000"/>
    <x v="6"/>
    <s v="COMPTE DE LIAISON DES ETABLISSEMENTS"/>
    <s v="OD"/>
    <n v="-114.38"/>
    <d v="2025-03-25T00:00:00"/>
    <s v="Liaison inter-établissement vers TO "/>
    <m/>
    <e v="#N/A"/>
    <e v="#N/A"/>
    <n v="70049"/>
    <m/>
    <s v="MANUTAN"/>
    <s v="Q1"/>
    <e v="#REF!"/>
    <e v="#REF!"/>
    <e v="#REF!"/>
  </r>
  <r>
    <s v="181000"/>
    <x v="6"/>
    <s v="COMPTE DE LIAISON DES ETABLISSEMENTS"/>
    <s v="OD"/>
    <n v="-114.21"/>
    <d v="2025-04-07T00:00:00"/>
    <s v="Liaison inter-établissement vers TO "/>
    <m/>
    <e v="#N/A"/>
    <e v="#N/A"/>
    <n v="72765"/>
    <m/>
    <s v="ENGIE"/>
    <s v="Q2"/>
    <e v="#REF!"/>
    <e v="#REF!"/>
    <e v="#REF!"/>
  </r>
  <r>
    <s v="181000"/>
    <x v="6"/>
    <s v="COMPTE DE LIAISON DES ETABLISSEMENTS"/>
    <s v="OD"/>
    <n v="-113.74"/>
    <d v="2025-12-19T00:00:00"/>
    <s v="Liaison inter-établissement vers TO "/>
    <m/>
    <e v="#N/A"/>
    <e v="#N/A"/>
    <n v="92923"/>
    <m/>
    <s v="DHL"/>
    <s v="Q4"/>
    <e v="#REF!"/>
    <e v="#REF!"/>
    <e v="#REF!"/>
  </r>
  <r>
    <s v="181000"/>
    <x v="6"/>
    <s v="COMPTE DE LIAISON DES ETABLISSEMENTS"/>
    <s v="OD"/>
    <n v="-113.26"/>
    <d v="2025-04-25T00:00:00"/>
    <s v="Liaison établissement 401000 AIRLIQUIDE RO"/>
    <m/>
    <e v="#N/A"/>
    <e v="#N/A"/>
    <n v="70127"/>
    <s v="Invoice Payment by Pili"/>
    <s v="AIR LIQUIDE"/>
    <s v="Q2"/>
    <e v="#REF!"/>
    <e v="#REF!"/>
    <e v="#REF!"/>
  </r>
  <r>
    <s v="181000"/>
    <x v="6"/>
    <s v="COMPTE DE LIAISON DES ETABLISSEMENTS"/>
    <s v="OD"/>
    <n v="-113"/>
    <d v="2025-04-28T00:00:00"/>
    <s v="Liaison inter-établissement vers TO "/>
    <m/>
    <e v="#N/A"/>
    <e v="#N/A"/>
    <n v="74788"/>
    <m/>
    <s v="SNCF"/>
    <s v="Q2"/>
    <e v="#REF!"/>
    <e v="#REF!"/>
    <e v="#REF!"/>
  </r>
  <r>
    <s v="181000"/>
    <x v="6"/>
    <s v="COMPTE DE LIAISON DES ETABLISSEMENTS"/>
    <s v="OD"/>
    <n v="-112.8"/>
    <d v="2025-04-25T00:00:00"/>
    <s v="Liaison établissement 401000 DENIOS RO"/>
    <m/>
    <e v="#N/A"/>
    <e v="#N/A"/>
    <n v="70167"/>
    <s v="Invoice Payment by Pili"/>
    <s v="DENIOS"/>
    <s v="Q2"/>
    <e v="#REF!"/>
    <e v="#REF!"/>
    <e v="#REF!"/>
  </r>
  <r>
    <s v="181000"/>
    <x v="6"/>
    <s v="COMPTE DE LIAISON DES ETABLISSEMENTS"/>
    <s v="OD"/>
    <n v="-111.83"/>
    <d v="2025-07-12T00:00:00"/>
    <s v="Liaison inter-établissement vers TO "/>
    <m/>
    <e v="#N/A"/>
    <e v="#N/A"/>
    <n v="81034"/>
    <m/>
    <s v="RS COMPONENT"/>
    <s v="Q3"/>
    <e v="#REF!"/>
    <e v="#REF!"/>
    <e v="#REF!"/>
  </r>
  <r>
    <s v="181000"/>
    <x v="6"/>
    <s v="COMPTE DE LIAISON DES ETABLISSEMENTS"/>
    <s v="OD"/>
    <n v="-111.45"/>
    <d v="2025-03-29T00:00:00"/>
    <s v="Liaison inter-établissement vers TO "/>
    <m/>
    <e v="#N/A"/>
    <e v="#N/A"/>
    <n v="71392"/>
    <m/>
    <s v="AIRBNB"/>
    <s v="Q1"/>
    <e v="#REF!"/>
    <e v="#REF!"/>
    <e v="#REF!"/>
  </r>
  <r>
    <s v="181000"/>
    <x v="6"/>
    <s v="COMPTE DE LIAISON DES ETABLISSEMENTS"/>
    <s v="OD"/>
    <n v="-111.05"/>
    <d v="2025-02-22T00:00:00"/>
    <s v="Liaison inter-établissement vers TO "/>
    <m/>
    <e v="#N/A"/>
    <e v="#N/A"/>
    <n v="64272"/>
    <m/>
    <s v="CHATEAUDEAU"/>
    <s v="Q1"/>
    <e v="#REF!"/>
    <e v="#REF!"/>
    <e v="#REF!"/>
  </r>
  <r>
    <s v="181000"/>
    <x v="6"/>
    <s v="COMPTE DE LIAISON DES ETABLISSEMENTS"/>
    <s v="OD"/>
    <n v="-111"/>
    <d v="2025-04-09T00:00:00"/>
    <s v="Liaison inter-établissement vers TO "/>
    <m/>
    <e v="#N/A"/>
    <e v="#N/A"/>
    <n v="78165"/>
    <m/>
    <s v="SNCF"/>
    <s v="Q2"/>
    <e v="#REF!"/>
    <e v="#REF!"/>
    <e v="#REF!"/>
  </r>
  <r>
    <s v="181000"/>
    <x v="6"/>
    <s v="COMPTE DE LIAISON DES ETABLISSEMENTS"/>
    <s v="OD"/>
    <n v="-110.59"/>
    <d v="2025-08-21T00:00:00"/>
    <s v="Liaison établissement 401000 VWR KB"/>
    <m/>
    <e v="#N/A"/>
    <e v="#N/A"/>
    <n v="81527"/>
    <s v="COMMANDE CONSOMMABLES LABO"/>
    <s v="VWR AVANTOR"/>
    <s v="Q3"/>
    <e v="#REF!"/>
    <e v="#REF!"/>
    <e v="#REF!"/>
  </r>
  <r>
    <s v="181000"/>
    <x v="6"/>
    <s v="COMPTE DE LIAISON DES ETABLISSEMENTS"/>
    <s v="OD"/>
    <n v="-110.52"/>
    <d v="2025-07-09T00:00:00"/>
    <s v="Liaison établissement 401000 SIGMA RO"/>
    <m/>
    <e v="#N/A"/>
    <e v="#N/A"/>
    <n v="77236"/>
    <s v="PRODUITS POUR VBIO ET V2020 AMINOIMINOMETHANESULFINIC ACID IRON II SULFATE HEPTAHYDRATE"/>
    <s v="Sigma-Aldrich chimie"/>
    <s v="Q3"/>
    <e v="#REF!"/>
    <e v="#REF!"/>
    <e v="#REF!"/>
  </r>
  <r>
    <s v="181000"/>
    <x v="6"/>
    <s v="COMPTE DE LIAISON DES ETABLISSEMENTS"/>
    <s v="OD"/>
    <n v="-110.17"/>
    <d v="2025-09-26T00:00:00"/>
    <s v="Liaison inter-établissement vers TO "/>
    <m/>
    <e v="#N/A"/>
    <e v="#N/A"/>
    <n v="89736"/>
    <m/>
    <s v="BOOKING"/>
    <s v="Q3"/>
    <e v="#REF!"/>
    <e v="#REF!"/>
    <e v="#REF!"/>
  </r>
  <r>
    <s v="181000"/>
    <x v="6"/>
    <s v="COMPTE DE LIAISON DES ETABLISSEMENTS"/>
    <s v="OD"/>
    <n v="-109"/>
    <d v="2025-03-19T00:00:00"/>
    <s v="Liaison inter-établissement vers TO "/>
    <m/>
    <e v="#N/A"/>
    <e v="#N/A"/>
    <n v="70025"/>
    <m/>
    <s v="SNCF"/>
    <s v="Q1"/>
    <e v="#REF!"/>
    <e v="#REF!"/>
    <e v="#REF!"/>
  </r>
  <r>
    <s v="181000"/>
    <x v="6"/>
    <s v="COMPTE DE LIAISON DES ETABLISSEMENTS"/>
    <s v="OD"/>
    <n v="-109"/>
    <d v="2025-05-07T00:00:00"/>
    <s v="Liaison inter-établissement vers TO "/>
    <m/>
    <e v="#N/A"/>
    <e v="#N/A"/>
    <n v="78153"/>
    <m/>
    <s v="SNCF"/>
    <s v="Q2"/>
    <e v="#REF!"/>
    <e v="#REF!"/>
    <e v="#REF!"/>
  </r>
  <r>
    <s v="181000"/>
    <x v="6"/>
    <s v="COMPTE DE LIAISON DES ETABLISSEMENTS"/>
    <s v="OD"/>
    <n v="-109"/>
    <d v="2025-05-13T00:00:00"/>
    <s v="Liaison inter-établissement vers TO "/>
    <m/>
    <e v="#N/A"/>
    <e v="#N/A"/>
    <n v="78161"/>
    <m/>
    <s v="SNCF"/>
    <s v="Q2"/>
    <e v="#REF!"/>
    <e v="#REF!"/>
    <e v="#REF!"/>
  </r>
  <r>
    <s v="181000"/>
    <x v="6"/>
    <s v="COMPTE DE LIAISON DES ETABLISSEMENTS"/>
    <s v="OD"/>
    <n v="-109"/>
    <d v="2025-12-09T00:00:00"/>
    <s v="Liaison inter-établissement vers TO "/>
    <m/>
    <e v="#N/A"/>
    <e v="#N/A"/>
    <n v="94129"/>
    <m/>
    <s v="SNCF"/>
    <s v="Q4"/>
    <e v="#REF!"/>
    <e v="#REF!"/>
    <e v="#REF!"/>
  </r>
  <r>
    <s v="181000"/>
    <x v="6"/>
    <s v="COMPTE DE LIAISON DES ETABLISSEMENTS"/>
    <s v="OD"/>
    <n v="-109"/>
    <d v="2025-12-11T00:00:00"/>
    <s v="Liaison inter-établissement vers TO "/>
    <m/>
    <e v="#N/A"/>
    <e v="#N/A"/>
    <n v="94141"/>
    <m/>
    <s v="SNCF"/>
    <s v="Q4"/>
    <e v="#REF!"/>
    <e v="#REF!"/>
    <e v="#REF!"/>
  </r>
  <r>
    <s v="181000"/>
    <x v="6"/>
    <s v="COMPTE DE LIAISON DES ETABLISSEMENTS"/>
    <s v="OD"/>
    <n v="-108.81"/>
    <d v="2025-08-22T00:00:00"/>
    <s v="Liaison inter-établissement vers TO "/>
    <m/>
    <e v="#N/A"/>
    <e v="#N/A"/>
    <n v="83253"/>
    <m/>
    <s v="BRUNEAU"/>
    <s v="Q3"/>
    <e v="#REF!"/>
    <e v="#REF!"/>
    <e v="#REF!"/>
  </r>
  <r>
    <s v="181000"/>
    <x v="6"/>
    <s v="COMPTE DE LIAISON DES ETABLISSEMENTS"/>
    <s v="OD"/>
    <n v="-108.45"/>
    <d v="2025-03-10T00:00:00"/>
    <s v="Liaison inter-établissement vers TO "/>
    <m/>
    <e v="#N/A"/>
    <e v="#N/A"/>
    <n v="74967"/>
    <m/>
    <s v="ENGIE"/>
    <s v="Q1"/>
    <e v="#REF!"/>
    <e v="#REF!"/>
    <e v="#REF!"/>
  </r>
  <r>
    <s v="181000"/>
    <x v="6"/>
    <s v="COMPTE DE LIAISON DES ETABLISSEMENTS"/>
    <s v="OD"/>
    <n v="-108"/>
    <d v="2025-03-28T00:00:00"/>
    <s v="Liaison inter-établissement vers TO "/>
    <m/>
    <e v="#N/A"/>
    <e v="#N/A"/>
    <n v="68019"/>
    <m/>
    <s v="BLD PHARMATECH"/>
    <s v="Q1"/>
    <e v="#REF!"/>
    <e v="#REF!"/>
    <e v="#REF!"/>
  </r>
  <r>
    <s v="181000"/>
    <x v="6"/>
    <s v="COMPTE DE LIAISON DES ETABLISSEMENTS"/>
    <s v="OD"/>
    <n v="-107.99"/>
    <d v="2025-02-04T00:00:00"/>
    <s v="Liaison inter-établissement vers TO "/>
    <m/>
    <e v="#N/A"/>
    <e v="#N/A"/>
    <n v="71396"/>
    <m/>
    <s v="DATACAMPUS"/>
    <s v="Q1"/>
    <e v="#REF!"/>
    <e v="#REF!"/>
    <e v="#REF!"/>
  </r>
  <r>
    <s v="181000"/>
    <x v="6"/>
    <s v="COMPTE DE LIAISON DES ETABLISSEMENTS"/>
    <s v="OD"/>
    <n v="-107.99"/>
    <d v="2025-02-19T00:00:00"/>
    <s v="Liaison inter-établissement vers TO "/>
    <m/>
    <e v="#N/A"/>
    <e v="#N/A"/>
    <n v="71400"/>
    <m/>
    <s v="DATACAMPUS"/>
    <s v="Q1"/>
    <e v="#REF!"/>
    <e v="#REF!"/>
    <e v="#REF!"/>
  </r>
  <r>
    <s v="181000"/>
    <x v="6"/>
    <s v="COMPTE DE LIAISON DES ETABLISSEMENTS"/>
    <s v="OD"/>
    <n v="-107.99"/>
    <d v="2025-03-21T00:00:00"/>
    <s v="Liaison inter-établissement vers TO "/>
    <m/>
    <e v="#N/A"/>
    <e v="#N/A"/>
    <n v="71404"/>
    <m/>
    <s v="DATACAMPUS"/>
    <s v="Q1"/>
    <e v="#REF!"/>
    <e v="#REF!"/>
    <e v="#REF!"/>
  </r>
  <r>
    <s v="181000"/>
    <x v="6"/>
    <s v="COMPTE DE LIAISON DES ETABLISSEMENTS"/>
    <s v="OD"/>
    <n v="-107.99"/>
    <d v="2025-04-24T00:00:00"/>
    <s v="Liaison inter-établissement vers TO "/>
    <m/>
    <e v="#N/A"/>
    <e v="#N/A"/>
    <n v="70097"/>
    <m/>
    <s v="DATACAMPUS"/>
    <s v="Q2"/>
    <e v="#REF!"/>
    <e v="#REF!"/>
    <e v="#REF!"/>
  </r>
  <r>
    <s v="181000"/>
    <x v="6"/>
    <s v="COMPTE DE LIAISON DES ETABLISSEMENTS"/>
    <s v="OD"/>
    <n v="-107.99"/>
    <d v="2025-05-21T00:00:00"/>
    <s v="Liaison inter-établissement vers TO "/>
    <m/>
    <e v="#N/A"/>
    <e v="#N/A"/>
    <n v="74075"/>
    <m/>
    <s v="DATACAMPUS"/>
    <s v="Q2"/>
    <e v="#REF!"/>
    <e v="#REF!"/>
    <e v="#REF!"/>
  </r>
  <r>
    <s v="181000"/>
    <x v="6"/>
    <s v="COMPTE DE LIAISON DES ETABLISSEMENTS"/>
    <s v="OD"/>
    <n v="-107.99"/>
    <d v="2025-06-19T00:00:00"/>
    <s v="Liaison inter-établissement vers TO "/>
    <m/>
    <e v="#N/A"/>
    <e v="#N/A"/>
    <n v="76222"/>
    <m/>
    <s v="DATACAMPUS"/>
    <s v="Q2"/>
    <e v="#REF!"/>
    <e v="#REF!"/>
    <e v="#REF!"/>
  </r>
  <r>
    <s v="181000"/>
    <x v="6"/>
    <s v="COMPTE DE LIAISON DES ETABLISSEMENTS"/>
    <s v="OD"/>
    <n v="-107.99"/>
    <d v="2025-07-09T00:00:00"/>
    <s v="Liaison inter-établissement vers TO "/>
    <m/>
    <e v="#N/A"/>
    <e v="#N/A"/>
    <n v="78873"/>
    <m/>
    <s v="DATACAMPUS"/>
    <s v="Q3"/>
    <e v="#REF!"/>
    <e v="#REF!"/>
    <e v="#REF!"/>
  </r>
  <r>
    <s v="181000"/>
    <x v="6"/>
    <s v="COMPTE DE LIAISON DES ETABLISSEMENTS"/>
    <s v="OD"/>
    <n v="-107.99"/>
    <d v="2025-08-25T00:00:00"/>
    <s v="Liaison inter-établissement vers TO "/>
    <m/>
    <e v="#N/A"/>
    <e v="#N/A"/>
    <n v="82819"/>
    <m/>
    <s v="DATACAMPUS"/>
    <s v="Q3"/>
    <e v="#REF!"/>
    <e v="#REF!"/>
    <e v="#REF!"/>
  </r>
  <r>
    <s v="181000"/>
    <x v="6"/>
    <s v="COMPTE DE LIAISON DES ETABLISSEMENTS"/>
    <s v="OD"/>
    <n v="-107.99"/>
    <d v="2025-09-25T00:00:00"/>
    <s v="Liaison inter-établissement vers TO "/>
    <m/>
    <e v="#N/A"/>
    <e v="#N/A"/>
    <n v="82823"/>
    <m/>
    <s v="DATACAMPUS"/>
    <s v="Q3"/>
    <e v="#REF!"/>
    <e v="#REF!"/>
    <e v="#REF!"/>
  </r>
  <r>
    <s v="181000"/>
    <x v="6"/>
    <s v="COMPTE DE LIAISON DES ETABLISSEMENTS"/>
    <s v="OD"/>
    <n v="-107.99"/>
    <d v="2025-10-17T00:00:00"/>
    <s v="Liaison inter-établissement vers TO "/>
    <m/>
    <e v="#N/A"/>
    <e v="#N/A"/>
    <n v="89335"/>
    <m/>
    <s v="DATACAMPUS"/>
    <s v="Q4"/>
    <e v="#REF!"/>
    <e v="#REF!"/>
    <e v="#REF!"/>
  </r>
  <r>
    <s v="181000"/>
    <x v="6"/>
    <s v="COMPTE DE LIAISON DES ETABLISSEMENTS"/>
    <s v="OD"/>
    <n v="-107.99"/>
    <d v="2025-11-19T00:00:00"/>
    <s v="Liaison inter-établissement vers TO "/>
    <m/>
    <e v="#N/A"/>
    <e v="#N/A"/>
    <n v="90564"/>
    <m/>
    <s v="DATACAMPUS"/>
    <s v="Q4"/>
    <e v="#REF!"/>
    <e v="#REF!"/>
    <e v="#REF!"/>
  </r>
  <r>
    <s v="181000"/>
    <x v="6"/>
    <s v="COMPTE DE LIAISON DES ETABLISSEMENTS"/>
    <s v="OD"/>
    <n v="-107.99"/>
    <d v="2025-12-18T00:00:00"/>
    <s v="Liaison inter-établissement vers TO "/>
    <m/>
    <e v="#N/A"/>
    <e v="#N/A"/>
    <n v="93715"/>
    <m/>
    <s v="DATACAMPUS"/>
    <s v="Q4"/>
    <e v="#REF!"/>
    <e v="#REF!"/>
    <e v="#REF!"/>
  </r>
  <r>
    <s v="181000"/>
    <x v="6"/>
    <s v="COMPTE DE LIAISON DES ETABLISSEMENTS"/>
    <s v="OD"/>
    <n v="-107.64"/>
    <d v="2025-04-28T00:00:00"/>
    <s v="Liaison inter-établissement vers TO "/>
    <m/>
    <e v="#N/A"/>
    <e v="#N/A"/>
    <n v="74864"/>
    <m/>
    <s v="ARCANE INDUSTRIE"/>
    <s v="Q2"/>
    <e v="#REF!"/>
    <e v="#REF!"/>
    <e v="#REF!"/>
  </r>
  <r>
    <s v="181000"/>
    <x v="6"/>
    <s v="COMPTE DE LIAISON DES ETABLISSEMENTS"/>
    <s v="OD"/>
    <n v="-107.4"/>
    <d v="2025-03-10T00:00:00"/>
    <s v="Liaison inter-établissement vers TO "/>
    <m/>
    <e v="#N/A"/>
    <e v="#N/A"/>
    <n v="76647"/>
    <m/>
    <s v="Jérémie Blache"/>
    <s v="Q1"/>
    <e v="#REF!"/>
    <e v="#REF!"/>
    <e v="#REF!"/>
  </r>
  <r>
    <s v="181000"/>
    <x v="6"/>
    <s v="COMPTE DE LIAISON DES ETABLISSEMENTS"/>
    <s v="OD"/>
    <n v="-107.39"/>
    <d v="2025-11-07T00:00:00"/>
    <s v="Liaison établissement 401000 VWR KB"/>
    <m/>
    <e v="#N/A"/>
    <e v="#N/A"/>
    <n v="89428"/>
    <s v="4067821368"/>
    <s v="VWR AVANTOR"/>
    <s v="Q4"/>
    <e v="#REF!"/>
    <e v="#REF!"/>
    <e v="#REF!"/>
  </r>
  <r>
    <s v="181000"/>
    <x v="6"/>
    <s v="COMPTE DE LIAISON DES ETABLISSEMENTS"/>
    <s v="OD"/>
    <n v="-107.17"/>
    <d v="2025-05-16T00:00:00"/>
    <s v="Liaison inter-établissement vers TO "/>
    <m/>
    <e v="#N/A"/>
    <e v="#N/A"/>
    <n v="74944"/>
    <m/>
    <s v="DHL"/>
    <s v="Q2"/>
    <e v="#REF!"/>
    <e v="#REF!"/>
    <e v="#REF!"/>
  </r>
  <r>
    <s v="181000"/>
    <x v="6"/>
    <s v="COMPTE DE LIAISON DES ETABLISSEMENTS"/>
    <s v="OD"/>
    <n v="-106.82"/>
    <d v="2025-12-12T00:00:00"/>
    <s v="Liaison inter-établissement vers TO "/>
    <m/>
    <e v="#N/A"/>
    <e v="#N/A"/>
    <n v="94065"/>
    <m/>
    <s v="BRUNEAU"/>
    <s v="Q4"/>
    <e v="#REF!"/>
    <e v="#REF!"/>
    <e v="#REF!"/>
  </r>
  <r>
    <s v="181000"/>
    <x v="6"/>
    <s v="COMPTE DE LIAISON DES ETABLISSEMENTS"/>
    <s v="OD"/>
    <n v="-106.5"/>
    <d v="2025-03-19T00:00:00"/>
    <s v="Liaison inter-établissement vers TO "/>
    <m/>
    <e v="#N/A"/>
    <e v="#N/A"/>
    <n v="70065"/>
    <m/>
    <s v="RS COMPONENT"/>
    <s v="Q1"/>
    <e v="#REF!"/>
    <e v="#REF!"/>
    <e v="#REF!"/>
  </r>
  <r>
    <s v="181000"/>
    <x v="6"/>
    <s v="COMPTE DE LIAISON DES ETABLISSEMENTS"/>
    <s v="OD"/>
    <n v="-106.39"/>
    <d v="2025-02-07T00:00:00"/>
    <s v="Liaison inter-établissement vers TO "/>
    <m/>
    <e v="#N/A"/>
    <e v="#N/A"/>
    <n v="64256"/>
    <m/>
    <s v="BOHLENDER"/>
    <s v="Q1"/>
    <e v="#REF!"/>
    <e v="#REF!"/>
    <e v="#REF!"/>
  </r>
  <r>
    <s v="181000"/>
    <x v="6"/>
    <s v="COMPTE DE LIAISON DES ETABLISSEMENTS"/>
    <s v="OD"/>
    <n v="-105.5"/>
    <d v="2025-07-31T00:00:00"/>
    <s v="Liaison établissement 401000 VWR KB"/>
    <m/>
    <e v="#N/A"/>
    <e v="#N/A"/>
    <n v="79326"/>
    <s v="COMMANDE SOLVANT LABO"/>
    <s v="VWR AVANTOR"/>
    <s v="Q3"/>
    <e v="#REF!"/>
    <e v="#REF!"/>
    <e v="#REF!"/>
  </r>
  <r>
    <s v="181000"/>
    <x v="6"/>
    <s v="COMPTE DE LIAISON DES ETABLISSEMENTS"/>
    <s v="OD"/>
    <n v="-104.72"/>
    <d v="2025-10-31T00:00:00"/>
    <s v="Liaison établissement 401000 VWR KB"/>
    <m/>
    <e v="#N/A"/>
    <e v="#N/A"/>
    <n v="87570"/>
    <s v="SOLVANT LABO"/>
    <s v="VWR AVANTOR"/>
    <s v="Q4"/>
    <e v="#REF!"/>
    <e v="#REF!"/>
    <e v="#REF!"/>
  </r>
  <r>
    <s v="181000"/>
    <x v="6"/>
    <s v="COMPTE DE LIAISON DES ETABLISSEMENTS"/>
    <s v="OD"/>
    <n v="-104"/>
    <d v="2025-10-31T00:00:00"/>
    <s v="Liaison établissement 401000 BLD PHARMATECH KB"/>
    <m/>
    <e v="#N/A"/>
    <e v="#N/A"/>
    <n v="87529"/>
    <s v="INGM232808"/>
    <s v="BLD PHARMATECH"/>
    <s v="Q4"/>
    <e v="#REF!"/>
    <e v="#REF!"/>
    <e v="#REF!"/>
  </r>
  <r>
    <s v="181000"/>
    <x v="6"/>
    <s v="COMPTE DE LIAISON DES ETABLISSEMENTS"/>
    <s v="OD"/>
    <n v="-102.98"/>
    <d v="2025-06-25T00:00:00"/>
    <s v="Liaison inter-établissement vers TO "/>
    <m/>
    <e v="#N/A"/>
    <e v="#N/A"/>
    <n v="82221"/>
    <m/>
    <s v="BRUNEAU"/>
    <s v="Q2"/>
    <e v="#REF!"/>
    <e v="#REF!"/>
    <e v="#REF!"/>
  </r>
  <r>
    <s v="181000"/>
    <x v="6"/>
    <s v="COMPTE DE LIAISON DES ETABLISSEMENTS"/>
    <s v="OD"/>
    <n v="-102"/>
    <d v="2025-06-26T00:00:00"/>
    <s v="Liaison inter-établissement vers TO "/>
    <m/>
    <e v="#N/A"/>
    <e v="#N/A"/>
    <n v="78125"/>
    <m/>
    <s v="SNCF"/>
    <s v="Q2"/>
    <e v="#REF!"/>
    <e v="#REF!"/>
    <e v="#REF!"/>
  </r>
  <r>
    <s v="181000"/>
    <x v="6"/>
    <s v="COMPTE DE LIAISON DES ETABLISSEMENTS"/>
    <s v="OD"/>
    <n v="-102"/>
    <d v="2025-07-31T00:00:00"/>
    <s v="Liaison établissement 401000 VWR KB"/>
    <m/>
    <e v="#N/A"/>
    <e v="#N/A"/>
    <n v="79331"/>
    <s v="COMMANDE PRODUIT POUR LABO"/>
    <s v="VWR AVANTOR"/>
    <s v="Q3"/>
    <e v="#REF!"/>
    <e v="#REF!"/>
    <e v="#REF!"/>
  </r>
  <r>
    <s v="181000"/>
    <x v="6"/>
    <s v="COMPTE DE LIAISON DES ETABLISSEMENTS"/>
    <s v="OD"/>
    <n v="-101.8"/>
    <d v="2025-12-02T00:00:00"/>
    <s v="Liaison inter-établissement vers TO "/>
    <m/>
    <e v="#N/A"/>
    <e v="#N/A"/>
    <n v="94117"/>
    <m/>
    <s v="SNCF"/>
    <s v="Q4"/>
    <e v="#REF!"/>
    <e v="#REF!"/>
    <e v="#REF!"/>
  </r>
  <r>
    <s v="181000"/>
    <x v="6"/>
    <s v="COMPTE DE LIAISON DES ETABLISSEMENTS"/>
    <s v="OD"/>
    <n v="-101.76"/>
    <d v="2025-05-07T00:00:00"/>
    <s v="Liaison établissement 401000 VWR KB"/>
    <m/>
    <e v="#N/A"/>
    <e v="#N/A"/>
    <n v="71841"/>
    <s v="COMMANDE PRODUIT LABO"/>
    <s v="VWR AVANTOR"/>
    <s v="Q2"/>
    <e v="#REF!"/>
    <e v="#REF!"/>
    <e v="#REF!"/>
  </r>
  <r>
    <s v="181000"/>
    <x v="6"/>
    <s v="COMPTE DE LIAISON DES ETABLISSEMENTS"/>
    <s v="OD"/>
    <n v="-101.16"/>
    <d v="2025-01-30T00:00:00"/>
    <s v="Liaison inter-établissement vers TO "/>
    <m/>
    <e v="#N/A"/>
    <e v="#N/A"/>
    <n v="63586"/>
    <m/>
    <s v="BOHLENDER"/>
    <s v="Q1"/>
    <e v="#REF!"/>
    <e v="#REF!"/>
    <e v="#REF!"/>
  </r>
  <r>
    <s v="181000"/>
    <x v="6"/>
    <s v="COMPTE DE LIAISON DES ETABLISSEMENTS"/>
    <s v="OD"/>
    <n v="-100.16"/>
    <d v="2025-01-07T00:00:00"/>
    <s v="Liaison inter-établissement vers TO "/>
    <m/>
    <e v="#N/A"/>
    <e v="#N/A"/>
    <n v="63502"/>
    <m/>
    <s v="AIRBNB"/>
    <s v="Q1"/>
    <e v="#REF!"/>
    <e v="#REF!"/>
    <e v="#REF!"/>
  </r>
  <r>
    <s v="181000"/>
    <x v="6"/>
    <s v="COMPTE DE LIAISON DES ETABLISSEMENTS"/>
    <s v="OD"/>
    <n v="-99.72"/>
    <d v="2025-09-11T00:00:00"/>
    <s v="Liaison inter-établissement vers TO "/>
    <m/>
    <e v="#N/A"/>
    <e v="#N/A"/>
    <n v="83389"/>
    <m/>
    <s v="RAPTOR FRANCE"/>
    <s v="Q3"/>
    <e v="#REF!"/>
    <e v="#REF!"/>
    <e v="#REF!"/>
  </r>
  <r>
    <s v="181000"/>
    <x v="6"/>
    <s v="COMPTE DE LIAISON DES ETABLISSEMENTS"/>
    <s v="OD"/>
    <n v="-97.98"/>
    <d v="2025-04-08T00:00:00"/>
    <s v="Liaison inter-établissement vers TO "/>
    <m/>
    <e v="#N/A"/>
    <e v="#N/A"/>
    <n v="68083"/>
    <m/>
    <s v="CHATEAUDEAU"/>
    <s v="Q2"/>
    <e v="#REF!"/>
    <e v="#REF!"/>
    <e v="#REF!"/>
  </r>
  <r>
    <s v="181000"/>
    <x v="6"/>
    <s v="COMPTE DE LIAISON DES ETABLISSEMENTS"/>
    <s v="OD"/>
    <n v="-96.89"/>
    <d v="2025-03-18T00:00:00"/>
    <s v="Liaison inter-établissement vers TO "/>
    <m/>
    <e v="#N/A"/>
    <e v="#N/A"/>
    <n v="64484"/>
    <m/>
    <s v="VWR AVANTOR"/>
    <s v="Q1"/>
    <e v="#REF!"/>
    <e v="#REF!"/>
    <e v="#REF!"/>
  </r>
  <r>
    <s v="181000"/>
    <x v="6"/>
    <s v="COMPTE DE LIAISON DES ETABLISSEMENTS"/>
    <s v="OD"/>
    <n v="-96.58"/>
    <d v="2025-04-25T00:00:00"/>
    <s v="Liaison inter-établissement vers TO "/>
    <m/>
    <e v="#N/A"/>
    <e v="#N/A"/>
    <n v="74558"/>
    <m/>
    <s v="Loic masseboeuf"/>
    <s v="Q2"/>
    <e v="#REF!"/>
    <e v="#REF!"/>
    <e v="#REF!"/>
  </r>
  <r>
    <s v="181000"/>
    <x v="6"/>
    <s v="COMPTE DE LIAISON DES ETABLISSEMENTS"/>
    <s v="OD"/>
    <n v="-96.42"/>
    <d v="2025-01-20T00:00:00"/>
    <s v="Liaison inter-établissement vers TO "/>
    <m/>
    <e v="#N/A"/>
    <e v="#N/A"/>
    <n v="73826"/>
    <m/>
    <s v="Clément Perrocheau"/>
    <s v="Q1"/>
    <e v="#REF!"/>
    <e v="#REF!"/>
    <e v="#REF!"/>
  </r>
  <r>
    <s v="181000"/>
    <x v="6"/>
    <s v="COMPTE DE LIAISON DES ETABLISSEMENTS"/>
    <s v="OD"/>
    <n v="-96"/>
    <d v="2025-11-01T00:00:00"/>
    <s v="Liaison inter-établissement vers TO "/>
    <m/>
    <s v="Non"/>
    <s v="Oui"/>
    <n v="91601"/>
    <m/>
    <s v="AXELERA"/>
    <s v="Q4"/>
    <e v="#REF!"/>
    <e v="#REF!"/>
    <e v="#REF!"/>
  </r>
  <r>
    <s v="181000"/>
    <x v="6"/>
    <s v="COMPTE DE LIAISON DES ETABLISSEMENTS"/>
    <s v="OD"/>
    <n v="-95.14"/>
    <d v="2025-02-28T00:00:00"/>
    <s v="Liaison inter-établissement vers TO "/>
    <m/>
    <e v="#N/A"/>
    <e v="#N/A"/>
    <n v="72724"/>
    <m/>
    <s v="Banque Populaire Rive de Paris"/>
    <s v="Q1"/>
    <e v="#REF!"/>
    <e v="#REF!"/>
    <e v="#REF!"/>
  </r>
  <r>
    <s v="181000"/>
    <x v="6"/>
    <s v="COMPTE DE LIAISON DES ETABLISSEMENTS"/>
    <s v="OD"/>
    <n v="-95.14"/>
    <d v="2025-03-31T00:00:00"/>
    <s v="Liaison inter-établissement vers TO "/>
    <m/>
    <e v="#N/A"/>
    <e v="#N/A"/>
    <n v="72744"/>
    <m/>
    <s v="Banque Populaire Rive de Paris"/>
    <s v="Q1"/>
    <e v="#REF!"/>
    <e v="#REF!"/>
    <e v="#REF!"/>
  </r>
  <r>
    <s v="181000"/>
    <x v="6"/>
    <s v="COMPTE DE LIAISON DES ETABLISSEMENTS"/>
    <s v="OD"/>
    <n v="-95.05"/>
    <d v="2025-06-30T00:00:00"/>
    <s v="Liaison inter-établissement"/>
    <m/>
    <e v="#N/A"/>
    <e v="#N/A"/>
    <n v="78677"/>
    <m/>
    <m/>
    <s v="Q2"/>
    <e v="#REF!"/>
    <e v="#REF!"/>
    <e v="#REF!"/>
  </r>
  <r>
    <s v="181000"/>
    <x v="6"/>
    <s v="COMPTE DE LIAISON DES ETABLISSEMENTS"/>
    <s v="OD"/>
    <n v="-95"/>
    <d v="2025-08-27T00:00:00"/>
    <s v="Liaison inter-établissement vers TO "/>
    <m/>
    <e v="#N/A"/>
    <e v="#N/A"/>
    <n v="83285"/>
    <m/>
    <s v="SNCF"/>
    <s v="Q3"/>
    <e v="#REF!"/>
    <e v="#REF!"/>
    <e v="#REF!"/>
  </r>
  <r>
    <s v="181000"/>
    <x v="6"/>
    <s v="COMPTE DE LIAISON DES ETABLISSEMENTS"/>
    <s v="OD"/>
    <n v="-95"/>
    <d v="2025-09-27T00:00:00"/>
    <s v="Liaison inter-établissement vers TO "/>
    <m/>
    <e v="#N/A"/>
    <e v="#N/A"/>
    <n v="83169"/>
    <m/>
    <s v="SNCF"/>
    <s v="Q3"/>
    <e v="#REF!"/>
    <e v="#REF!"/>
    <e v="#REF!"/>
  </r>
  <r>
    <s v="181000"/>
    <x v="6"/>
    <s v="COMPTE DE LIAISON DES ETABLISSEMENTS"/>
    <s v="OD"/>
    <n v="-95"/>
    <d v="2025-10-31T00:00:00"/>
    <s v="Liaison inter-établissement vers TO "/>
    <m/>
    <e v="#N/A"/>
    <e v="#N/A"/>
    <n v="89786"/>
    <m/>
    <s v="SNCF"/>
    <s v="Q4"/>
    <e v="#REF!"/>
    <e v="#REF!"/>
    <e v="#REF!"/>
  </r>
  <r>
    <s v="181000"/>
    <x v="6"/>
    <s v="COMPTE DE LIAISON DES ETABLISSEMENTS"/>
    <s v="OD"/>
    <n v="-95"/>
    <d v="2025-11-18T00:00:00"/>
    <s v="Liaison inter-établissement vers TO "/>
    <m/>
    <e v="#N/A"/>
    <e v="#N/A"/>
    <n v="91702"/>
    <m/>
    <s v="SNCF"/>
    <s v="Q4"/>
    <e v="#REF!"/>
    <e v="#REF!"/>
    <e v="#REF!"/>
  </r>
  <r>
    <s v="181000"/>
    <x v="6"/>
    <s v="COMPTE DE LIAISON DES ETABLISSEMENTS"/>
    <s v="OD"/>
    <n v="-94.95"/>
    <d v="2025-05-22T00:00:00"/>
    <s v="Liaison inter-établissement vers TO "/>
    <m/>
    <e v="#N/A"/>
    <e v="#N/A"/>
    <n v="76735"/>
    <m/>
    <s v="Thibault Dejardin"/>
    <s v="Q2"/>
    <e v="#REF!"/>
    <e v="#REF!"/>
    <e v="#REF!"/>
  </r>
  <r>
    <s v="181000"/>
    <x v="6"/>
    <s v="COMPTE DE LIAISON DES ETABLISSEMENTS"/>
    <s v="OD"/>
    <n v="-94.78"/>
    <d v="2025-10-28T00:00:00"/>
    <s v="Liaison inter-établissement vers TO "/>
    <m/>
    <e v="#N/A"/>
    <e v="#N/A"/>
    <n v="91626"/>
    <m/>
    <s v="CHATEAUDEAU"/>
    <s v="Q4"/>
    <e v="#REF!"/>
    <e v="#REF!"/>
    <e v="#REF!"/>
  </r>
  <r>
    <s v="181000"/>
    <x v="6"/>
    <s v="COMPTE DE LIAISON DES ETABLISSEMENTS"/>
    <s v="OD"/>
    <n v="-94.45"/>
    <d v="2025-04-04T00:00:00"/>
    <s v="Liaison inter-établissement vers TO "/>
    <m/>
    <e v="#N/A"/>
    <e v="#N/A"/>
    <n v="76268"/>
    <m/>
    <s v="Yves Combret"/>
    <s v="Q2"/>
    <e v="#REF!"/>
    <e v="#REF!"/>
    <e v="#REF!"/>
  </r>
  <r>
    <s v="181000"/>
    <x v="6"/>
    <s v="COMPTE DE LIAISON DES ETABLISSEMENTS"/>
    <s v="OD"/>
    <n v="-94.17"/>
    <d v="2025-01-14T00:00:00"/>
    <s v="Liaison inter-établissement vers TO "/>
    <m/>
    <e v="#N/A"/>
    <e v="#N/A"/>
    <n v="66768"/>
    <m/>
    <s v="AIRBNB"/>
    <s v="Q1"/>
    <e v="#REF!"/>
    <e v="#REF!"/>
    <e v="#REF!"/>
  </r>
  <r>
    <s v="181000"/>
    <x v="6"/>
    <s v="COMPTE DE LIAISON DES ETABLISSEMENTS"/>
    <s v="OD"/>
    <n v="-94.12"/>
    <d v="2025-04-15T00:00:00"/>
    <s v="Liaison inter-établissement vers TO "/>
    <m/>
    <e v="#N/A"/>
    <e v="#N/A"/>
    <n v="74852"/>
    <m/>
    <s v="AIRBNB"/>
    <s v="Q2"/>
    <e v="#REF!"/>
    <e v="#REF!"/>
    <e v="#REF!"/>
  </r>
  <r>
    <s v="181000"/>
    <x v="6"/>
    <s v="COMPTE DE LIAISON DES ETABLISSEMENTS"/>
    <s v="OD"/>
    <n v="-93.9"/>
    <d v="2025-05-07T00:00:00"/>
    <s v="Liaison établissement 401000 VWR KB"/>
    <m/>
    <e v="#N/A"/>
    <e v="#N/A"/>
    <n v="71866"/>
    <s v="COMMANDE PRODUIT LABO"/>
    <s v="VWR AVANTOR"/>
    <s v="Q2"/>
    <e v="#REF!"/>
    <e v="#REF!"/>
    <e v="#REF!"/>
  </r>
  <r>
    <s v="181000"/>
    <x v="6"/>
    <s v="COMPTE DE LIAISON DES ETABLISSEMENTS"/>
    <s v="OD"/>
    <n v="-93.84"/>
    <d v="2025-08-08T00:00:00"/>
    <s v="Liaison établissement 401000 ROTH RO"/>
    <m/>
    <e v="#N/A"/>
    <e v="#N/A"/>
    <n v="80786"/>
    <s v="GLYCEROL _x0009_ ETHYLENE GLYCOL_x0009_ 1 3-PROPANEDIOL_x0009_ CALCIUM CHLORIDE ANHYDROUS_x0009_ SODIUM SULFITE"/>
    <s v="ROTH SOCHIEL"/>
    <s v="Q3"/>
    <e v="#REF!"/>
    <e v="#REF!"/>
    <e v="#REF!"/>
  </r>
  <r>
    <s v="181000"/>
    <x v="6"/>
    <s v="COMPTE DE LIAISON DES ETABLISSEMENTS"/>
    <s v="OD"/>
    <n v="-93.81"/>
    <d v="2025-07-01T00:00:00"/>
    <s v="Liaison inter-établissement vers TO "/>
    <m/>
    <e v="#N/A"/>
    <e v="#N/A"/>
    <n v="76782"/>
    <m/>
    <s v="Yves Combret"/>
    <s v="Q3"/>
    <e v="#REF!"/>
    <e v="#REF!"/>
    <e v="#REF!"/>
  </r>
  <r>
    <s v="181000"/>
    <x v="6"/>
    <s v="COMPTE DE LIAISON DES ETABLISSEMENTS"/>
    <s v="OD"/>
    <n v="-93.78"/>
    <d v="2025-05-13T00:00:00"/>
    <s v="Liaison inter-établissement vers TO "/>
    <m/>
    <e v="#N/A"/>
    <e v="#N/A"/>
    <n v="74506"/>
    <m/>
    <s v="Jérémie Blache"/>
    <s v="Q2"/>
    <e v="#REF!"/>
    <e v="#REF!"/>
    <e v="#REF!"/>
  </r>
  <r>
    <s v="181000"/>
    <x v="6"/>
    <s v="COMPTE DE LIAISON DES ETABLISSEMENTS"/>
    <s v="OD"/>
    <n v="-93.23"/>
    <d v="2025-12-31T00:00:00"/>
    <s v="Liaison inter-établissement vers TO "/>
    <m/>
    <e v="#N/A"/>
    <e v="#N/A"/>
    <n v="93898"/>
    <m/>
    <s v="DHL"/>
    <s v="Q4"/>
    <e v="#REF!"/>
    <e v="#REF!"/>
    <e v="#REF!"/>
  </r>
  <r>
    <s v="181000"/>
    <x v="6"/>
    <s v="COMPTE DE LIAISON DES ETABLISSEMENTS"/>
    <s v="OD"/>
    <n v="-92.67"/>
    <d v="2025-10-22T00:00:00"/>
    <s v="Liaison inter-établissement vers TO "/>
    <m/>
    <e v="#N/A"/>
    <e v="#N/A"/>
    <n v="89700"/>
    <m/>
    <s v="AIRBNB"/>
    <s v="Q4"/>
    <e v="#REF!"/>
    <e v="#REF!"/>
    <e v="#REF!"/>
  </r>
  <r>
    <s v="181000"/>
    <x v="6"/>
    <s v="COMPTE DE LIAISON DES ETABLISSEMENTS"/>
    <s v="OD"/>
    <n v="-92.67"/>
    <d v="2025-11-15T00:00:00"/>
    <s v="Liaison inter-établissement vers TO "/>
    <m/>
    <e v="#N/A"/>
    <e v="#N/A"/>
    <n v="97417"/>
    <m/>
    <s v="AIRBNB"/>
    <s v="Q4"/>
    <e v="#REF!"/>
    <e v="#REF!"/>
    <e v="#REF!"/>
  </r>
  <r>
    <s v="181000"/>
    <x v="6"/>
    <s v="COMPTE DE LIAISON DES ETABLISSEMENTS"/>
    <s v="OD"/>
    <n v="-92.16"/>
    <d v="2025-08-21T00:00:00"/>
    <s v="Liaison établissement 401000 VWR KB"/>
    <m/>
    <e v="#N/A"/>
    <e v="#N/A"/>
    <n v="81532"/>
    <s v="COMMANDE CONSOMMABLES LABO"/>
    <s v="VWR AVANTOR"/>
    <s v="Q3"/>
    <e v="#REF!"/>
    <e v="#REF!"/>
    <e v="#REF!"/>
  </r>
  <r>
    <s v="181000"/>
    <x v="6"/>
    <s v="COMPTE DE LIAISON DES ETABLISSEMENTS"/>
    <s v="OD"/>
    <n v="-92"/>
    <d v="2025-01-01T00:00:00"/>
    <s v="Liaison inter-établissement"/>
    <m/>
    <e v="#N/A"/>
    <e v="#N/A"/>
    <n v="86635"/>
    <m/>
    <m/>
    <s v="Q1"/>
    <e v="#REF!"/>
    <e v="#REF!"/>
    <e v="#REF!"/>
  </r>
  <r>
    <s v="181000"/>
    <x v="6"/>
    <s v="COMPTE DE LIAISON DES ETABLISSEMENTS"/>
    <s v="OD"/>
    <n v="-91.5"/>
    <d v="2025-07-25T00:00:00"/>
    <s v="Liaison inter-établissement vers TO "/>
    <m/>
    <e v="#N/A"/>
    <e v="#N/A"/>
    <n v="81285"/>
    <m/>
    <s v="DHL"/>
    <s v="Q3"/>
    <e v="#REF!"/>
    <e v="#REF!"/>
    <e v="#REF!"/>
  </r>
  <r>
    <s v="181000"/>
    <x v="6"/>
    <s v="COMPTE DE LIAISON DES ETABLISSEMENTS"/>
    <s v="OD"/>
    <n v="-91.08"/>
    <d v="2025-05-31T00:00:00"/>
    <s v="Liaison inter-établissement vers TO "/>
    <m/>
    <e v="#N/A"/>
    <e v="#N/A"/>
    <n v="78236"/>
    <m/>
    <s v="LA FOURCHE"/>
    <s v="Q2"/>
    <e v="#REF!"/>
    <e v="#REF!"/>
    <e v="#REF!"/>
  </r>
  <r>
    <s v="181000"/>
    <x v="6"/>
    <s v="COMPTE DE LIAISON DES ETABLISSEMENTS"/>
    <s v="OD"/>
    <n v="-91"/>
    <d v="2025-03-24T00:00:00"/>
    <s v="Liaison inter-établissement vers TO "/>
    <m/>
    <e v="#N/A"/>
    <e v="#N/A"/>
    <n v="73886"/>
    <m/>
    <s v="Julie Lacondemine"/>
    <s v="Q1"/>
    <e v="#REF!"/>
    <e v="#REF!"/>
    <e v="#REF!"/>
  </r>
  <r>
    <s v="181000"/>
    <x v="6"/>
    <s v="COMPTE DE LIAISON DES ETABLISSEMENTS"/>
    <s v="OD"/>
    <n v="-90.42"/>
    <d v="2025-03-20T00:00:00"/>
    <s v="Liaison inter-établissement vers TO "/>
    <m/>
    <e v="#N/A"/>
    <e v="#N/A"/>
    <n v="70069"/>
    <m/>
    <s v="RS COMPONENT"/>
    <s v="Q1"/>
    <e v="#REF!"/>
    <e v="#REF!"/>
    <e v="#REF!"/>
  </r>
  <r>
    <s v="181000"/>
    <x v="6"/>
    <s v="COMPTE DE LIAISON DES ETABLISSEMENTS"/>
    <s v="OD"/>
    <n v="-90.2"/>
    <d v="2025-04-12T00:00:00"/>
    <s v="Liaison inter-établissement vers TO "/>
    <m/>
    <e v="#N/A"/>
    <e v="#N/A"/>
    <n v="74844"/>
    <m/>
    <s v="LEROY MERLIN"/>
    <s v="Q2"/>
    <e v="#REF!"/>
    <e v="#REF!"/>
    <e v="#REF!"/>
  </r>
  <r>
    <s v="181000"/>
    <x v="6"/>
    <s v="COMPTE DE LIAISON DES ETABLISSEMENTS"/>
    <s v="OD"/>
    <n v="-90"/>
    <d v="2025-03-14T00:00:00"/>
    <s v="Liaison inter-établissement vers TO "/>
    <m/>
    <e v="#N/A"/>
    <e v="#N/A"/>
    <n v="63908"/>
    <m/>
    <s v="TCI"/>
    <s v="Q1"/>
    <e v="#REF!"/>
    <e v="#REF!"/>
    <e v="#REF!"/>
  </r>
  <r>
    <s v="181000"/>
    <x v="6"/>
    <s v="COMPTE DE LIAISON DES ETABLISSEMENTS"/>
    <s v="OD"/>
    <n v="-90"/>
    <d v="2025-08-22T00:00:00"/>
    <s v="Liaison établissement 401000 DENIOS KB"/>
    <m/>
    <e v="#N/A"/>
    <e v="#N/A"/>
    <n v="81586"/>
    <s v="COMMANDE ABSORBANT POUR LABO"/>
    <s v="DENIOS"/>
    <s v="Q3"/>
    <e v="#REF!"/>
    <e v="#REF!"/>
    <e v="#REF!"/>
  </r>
  <r>
    <s v="181000"/>
    <x v="6"/>
    <s v="COMPTE DE LIAISON DES ETABLISSEMENTS"/>
    <s v="OD"/>
    <n v="-89.99"/>
    <d v="2025-03-11T00:00:00"/>
    <s v="Liaison inter-établissement vers TO "/>
    <m/>
    <e v="#N/A"/>
    <e v="#N/A"/>
    <n v="68035"/>
    <m/>
    <s v="DB"/>
    <s v="Q1"/>
    <e v="#REF!"/>
    <e v="#REF!"/>
    <e v="#REF!"/>
  </r>
  <r>
    <s v="181000"/>
    <x v="6"/>
    <s v="COMPTE DE LIAISON DES ETABLISSEMENTS"/>
    <s v="OD"/>
    <n v="-89.65"/>
    <d v="2025-02-21T00:00:00"/>
    <s v="Liaison inter-établissement vers TO "/>
    <m/>
    <e v="#N/A"/>
    <e v="#N/A"/>
    <n v="74916"/>
    <m/>
    <s v="DHL"/>
    <s v="Q1"/>
    <e v="#REF!"/>
    <e v="#REF!"/>
    <e v="#REF!"/>
  </r>
  <r>
    <s v="181000"/>
    <x v="6"/>
    <s v="COMPTE DE LIAISON DES ETABLISSEMENTS"/>
    <s v="OD"/>
    <n v="-89.17"/>
    <d v="2025-05-07T00:00:00"/>
    <s v="Liaison inter-établissement vers TO "/>
    <m/>
    <e v="#N/A"/>
    <e v="#N/A"/>
    <n v="75130"/>
    <m/>
    <s v="AIRBNB"/>
    <s v="Q2"/>
    <e v="#REF!"/>
    <e v="#REF!"/>
    <e v="#REF!"/>
  </r>
  <r>
    <s v="181000"/>
    <x v="6"/>
    <s v="COMPTE DE LIAISON DES ETABLISSEMENTS"/>
    <s v="OD"/>
    <n v="-88.8"/>
    <d v="2025-03-18T00:00:00"/>
    <s v="Liaison inter-établissement vers TO "/>
    <m/>
    <e v="#N/A"/>
    <e v="#N/A"/>
    <n v="64412"/>
    <m/>
    <s v="CLOUP"/>
    <s v="Q1"/>
    <e v="#REF!"/>
    <e v="#REF!"/>
    <e v="#REF!"/>
  </r>
  <r>
    <s v="181000"/>
    <x v="6"/>
    <s v="COMPTE DE LIAISON DES ETABLISSEMENTS"/>
    <s v="OD"/>
    <n v="-88.61"/>
    <d v="2025-02-28T00:00:00"/>
    <s v="Liaison inter-établissement vers TO "/>
    <m/>
    <e v="#N/A"/>
    <e v="#N/A"/>
    <n v="90110"/>
    <m/>
    <s v="AIR LIQUIDE"/>
    <s v="Q1"/>
    <e v="#REF!"/>
    <e v="#REF!"/>
    <e v="#REF!"/>
  </r>
  <r>
    <s v="181000"/>
    <x v="6"/>
    <s v="COMPTE DE LIAISON DES ETABLISSEMENTS"/>
    <s v="OD"/>
    <n v="-88.53"/>
    <d v="2025-05-13T00:00:00"/>
    <s v="Liaison inter-établissement vers TO "/>
    <m/>
    <e v="#N/A"/>
    <e v="#N/A"/>
    <n v="74486"/>
    <m/>
    <s v="Jérémie Blache"/>
    <s v="Q2"/>
    <e v="#REF!"/>
    <e v="#REF!"/>
    <e v="#REF!"/>
  </r>
  <r>
    <s v="181000"/>
    <x v="6"/>
    <s v="COMPTE DE LIAISON DES ETABLISSEMENTS"/>
    <s v="OD"/>
    <n v="-88.12"/>
    <d v="2025-08-23T00:00:00"/>
    <s v="Liaison inter-établissement vers TO "/>
    <m/>
    <e v="#N/A"/>
    <e v="#N/A"/>
    <n v="83341"/>
    <m/>
    <s v="CHATEAUDEAU"/>
    <s v="Q3"/>
    <e v="#REF!"/>
    <e v="#REF!"/>
    <e v="#REF!"/>
  </r>
  <r>
    <s v="181000"/>
    <x v="6"/>
    <s v="COMPTE DE LIAISON DES ETABLISSEMENTS"/>
    <s v="OD"/>
    <n v="-88.12"/>
    <d v="2025-10-31T00:00:00"/>
    <s v="Liaison établissement 401000 CHATEAU RO"/>
    <m/>
    <e v="#N/A"/>
    <e v="#N/A"/>
    <n v="87535"/>
    <s v="LIVRAISON EAU SUR SITE ROUSSILLON"/>
    <s v="CHATEAUDEAU"/>
    <s v="Q4"/>
    <e v="#REF!"/>
    <e v="#REF!"/>
    <e v="#REF!"/>
  </r>
  <r>
    <s v="181000"/>
    <x v="6"/>
    <s v="COMPTE DE LIAISON DES ETABLISSEMENTS"/>
    <s v="OD"/>
    <n v="-88"/>
    <d v="2025-01-24T00:00:00"/>
    <s v="Liaison inter-établissement vers TO "/>
    <m/>
    <e v="#N/A"/>
    <e v="#N/A"/>
    <n v="63900"/>
    <m/>
    <s v="SNCF"/>
    <s v="Q1"/>
    <e v="#REF!"/>
    <e v="#REF!"/>
    <e v="#REF!"/>
  </r>
  <r>
    <s v="181000"/>
    <x v="6"/>
    <s v="COMPTE DE LIAISON DES ETABLISSEMENTS"/>
    <s v="OD"/>
    <n v="-88"/>
    <d v="2025-02-06T00:00:00"/>
    <s v="Liaison inter-établissement vers TO "/>
    <m/>
    <e v="#N/A"/>
    <e v="#N/A"/>
    <n v="74876"/>
    <m/>
    <s v="HOPER"/>
    <s v="Q1"/>
    <e v="#REF!"/>
    <e v="#REF!"/>
    <e v="#REF!"/>
  </r>
  <r>
    <s v="181000"/>
    <x v="6"/>
    <s v="COMPTE DE LIAISON DES ETABLISSEMENTS"/>
    <s v="OD"/>
    <n v="-88"/>
    <d v="2025-02-14T00:00:00"/>
    <s v="Liaison inter-établissement vers TO "/>
    <m/>
    <e v="#N/A"/>
    <e v="#N/A"/>
    <n v="64364"/>
    <m/>
    <s v="SNCF"/>
    <s v="Q1"/>
    <e v="#REF!"/>
    <e v="#REF!"/>
    <e v="#REF!"/>
  </r>
  <r>
    <s v="181000"/>
    <x v="6"/>
    <s v="COMPTE DE LIAISON DES ETABLISSEMENTS"/>
    <s v="OD"/>
    <n v="-88"/>
    <d v="2025-02-14T00:00:00"/>
    <s v="Liaison inter-établissement vers TO "/>
    <m/>
    <e v="#N/A"/>
    <e v="#N/A"/>
    <n v="64368"/>
    <m/>
    <s v="SNCF"/>
    <s v="Q1"/>
    <e v="#REF!"/>
    <e v="#REF!"/>
    <e v="#REF!"/>
  </r>
  <r>
    <s v="181000"/>
    <x v="6"/>
    <s v="COMPTE DE LIAISON DES ETABLISSEMENTS"/>
    <s v="OD"/>
    <n v="-88"/>
    <d v="2025-03-06T00:00:00"/>
    <s v="Liaison inter-établissement vers TO "/>
    <m/>
    <e v="#N/A"/>
    <e v="#N/A"/>
    <n v="71413"/>
    <m/>
    <s v="HOPER"/>
    <s v="Q1"/>
    <e v="#REF!"/>
    <e v="#REF!"/>
    <e v="#REF!"/>
  </r>
  <r>
    <s v="181000"/>
    <x v="6"/>
    <s v="COMPTE DE LIAISON DES ETABLISSEMENTS"/>
    <s v="OD"/>
    <n v="-88"/>
    <d v="2025-04-04T00:00:00"/>
    <s v="Liaison inter-établissement vers TO "/>
    <m/>
    <e v="#N/A"/>
    <e v="#N/A"/>
    <n v="74772"/>
    <m/>
    <s v="SNCF"/>
    <s v="Q2"/>
    <e v="#REF!"/>
    <e v="#REF!"/>
    <e v="#REF!"/>
  </r>
  <r>
    <s v="181000"/>
    <x v="6"/>
    <s v="COMPTE DE LIAISON DES ETABLISSEMENTS"/>
    <s v="OD"/>
    <n v="-88"/>
    <d v="2025-04-09T00:00:00"/>
    <s v="Liaison inter-établissement vers TO "/>
    <m/>
    <e v="#N/A"/>
    <e v="#N/A"/>
    <n v="74780"/>
    <m/>
    <s v="SNCF"/>
    <s v="Q2"/>
    <e v="#REF!"/>
    <e v="#REF!"/>
    <e v="#REF!"/>
  </r>
  <r>
    <s v="181000"/>
    <x v="6"/>
    <s v="COMPTE DE LIAISON DES ETABLISSEMENTS"/>
    <s v="OD"/>
    <n v="-88"/>
    <d v="2025-06-13T00:00:00"/>
    <s v="Liaison inter-établissement vers TO "/>
    <m/>
    <e v="#N/A"/>
    <e v="#N/A"/>
    <n v="78129"/>
    <m/>
    <s v="SNCF"/>
    <s v="Q2"/>
    <e v="#REF!"/>
    <e v="#REF!"/>
    <e v="#REF!"/>
  </r>
  <r>
    <s v="181000"/>
    <x v="6"/>
    <s v="COMPTE DE LIAISON DES ETABLISSEMENTS"/>
    <s v="OD"/>
    <n v="-88"/>
    <d v="2025-09-10T00:00:00"/>
    <s v="Liaison inter-établissement vers TO "/>
    <m/>
    <e v="#N/A"/>
    <e v="#N/A"/>
    <n v="83153"/>
    <m/>
    <s v="SNCF"/>
    <s v="Q3"/>
    <e v="#REF!"/>
    <e v="#REF!"/>
    <e v="#REF!"/>
  </r>
  <r>
    <s v="181000"/>
    <x v="6"/>
    <s v="COMPTE DE LIAISON DES ETABLISSEMENTS"/>
    <s v="OD"/>
    <n v="-88"/>
    <d v="2025-09-10T00:00:00"/>
    <s v="Liaison inter-établissement vers TO "/>
    <m/>
    <e v="#N/A"/>
    <e v="#N/A"/>
    <n v="83161"/>
    <m/>
    <s v="SNCF"/>
    <s v="Q3"/>
    <e v="#REF!"/>
    <e v="#REF!"/>
    <e v="#REF!"/>
  </r>
  <r>
    <s v="181000"/>
    <x v="6"/>
    <s v="COMPTE DE LIAISON DES ETABLISSEMENTS"/>
    <s v="OD"/>
    <n v="-88"/>
    <d v="2025-10-09T00:00:00"/>
    <s v="Liaison inter-établissement vers TO "/>
    <m/>
    <e v="#N/A"/>
    <e v="#N/A"/>
    <n v="89798"/>
    <m/>
    <s v="SNCF"/>
    <s v="Q4"/>
    <e v="#REF!"/>
    <e v="#REF!"/>
    <e v="#REF!"/>
  </r>
  <r>
    <s v="181000"/>
    <x v="6"/>
    <s v="COMPTE DE LIAISON DES ETABLISSEMENTS"/>
    <s v="OD"/>
    <n v="-88"/>
    <d v="2025-10-09T00:00:00"/>
    <s v="Liaison inter-établissement vers TO "/>
    <m/>
    <e v="#N/A"/>
    <e v="#N/A"/>
    <n v="89802"/>
    <m/>
    <s v="SNCF"/>
    <s v="Q4"/>
    <e v="#REF!"/>
    <e v="#REF!"/>
    <e v="#REF!"/>
  </r>
  <r>
    <s v="181000"/>
    <x v="6"/>
    <s v="COMPTE DE LIAISON DES ETABLISSEMENTS"/>
    <s v="OD"/>
    <n v="-88"/>
    <d v="2025-11-17T00:00:00"/>
    <s v="Liaison inter-établissement"/>
    <m/>
    <e v="#N/A"/>
    <e v="#N/A"/>
    <n v="91797"/>
    <m/>
    <s v="SNCF"/>
    <s v="Q4"/>
    <e v="#REF!"/>
    <e v="#REF!"/>
    <e v="#REF!"/>
  </r>
  <r>
    <s v="181000"/>
    <x v="6"/>
    <s v="COMPTE DE LIAISON DES ETABLISSEMENTS"/>
    <s v="OD"/>
    <n v="-86.4"/>
    <d v="2025-03-28T00:00:00"/>
    <s v="Liaison établissement 401000 ROTH RO"/>
    <m/>
    <e v="#N/A"/>
    <e v="#N/A"/>
    <n v="64988"/>
    <s v="Invoice Payment by Pili"/>
    <s v="ROTH SOCHIEL"/>
    <s v="Q1"/>
    <e v="#REF!"/>
    <e v="#REF!"/>
    <e v="#REF!"/>
  </r>
  <r>
    <s v="181000"/>
    <x v="6"/>
    <s v="COMPTE DE LIAISON DES ETABLISSEMENTS"/>
    <s v="OD"/>
    <n v="-86.4"/>
    <d v="2025-12-23T00:00:00"/>
    <s v="Liaison établissement 401000 KYMONO LY"/>
    <m/>
    <e v="#N/A"/>
    <e v="#N/A"/>
    <n v="93622"/>
    <s v="FACT-20251208-23397"/>
    <s v="Kymono"/>
    <s v="Q4"/>
    <e v="#REF!"/>
    <e v="#REF!"/>
    <e v="#REF!"/>
  </r>
  <r>
    <s v="181000"/>
    <x v="6"/>
    <s v="COMPTE DE LIAISON DES ETABLISSEMENTS"/>
    <s v="OD"/>
    <n v="-86.28"/>
    <d v="2025-07-18T00:00:00"/>
    <s v="Liaison établissement 401000 SIGMA RO"/>
    <m/>
    <e v="#N/A"/>
    <e v="#N/A"/>
    <n v="78275"/>
    <s v="CELITE S POUR VBIO KL"/>
    <s v="Sigma-Aldrich chimie"/>
    <s v="Q3"/>
    <e v="#REF!"/>
    <e v="#REF!"/>
    <e v="#REF!"/>
  </r>
  <r>
    <s v="181000"/>
    <x v="6"/>
    <s v="COMPTE DE LIAISON DES ETABLISSEMENTS"/>
    <s v="OD"/>
    <n v="-86"/>
    <d v="2025-02-19T00:00:00"/>
    <s v="Liaison inter-établissement vers TO "/>
    <m/>
    <e v="#N/A"/>
    <e v="#N/A"/>
    <n v="63582"/>
    <m/>
    <s v="BLD PHARMATECH"/>
    <s v="Q1"/>
    <e v="#REF!"/>
    <e v="#REF!"/>
    <e v="#REF!"/>
  </r>
  <r>
    <s v="181000"/>
    <x v="6"/>
    <s v="COMPTE DE LIAISON DES ETABLISSEMENTS"/>
    <s v="OD"/>
    <n v="-85.58"/>
    <d v="2025-06-27T00:00:00"/>
    <s v="Liaison inter-établissement vers TO "/>
    <m/>
    <e v="#N/A"/>
    <e v="#N/A"/>
    <n v="76731"/>
    <m/>
    <s v="Marine Bonnaud"/>
    <s v="Q2"/>
    <e v="#REF!"/>
    <e v="#REF!"/>
    <e v="#REF!"/>
  </r>
  <r>
    <s v="181000"/>
    <x v="6"/>
    <s v="COMPTE DE LIAISON DES ETABLISSEMENTS"/>
    <s v="OD"/>
    <n v="-85.38"/>
    <d v="2025-10-06T00:00:00"/>
    <s v="Liaison établissement 401000 FISHER KB"/>
    <m/>
    <e v="#N/A"/>
    <e v="#N/A"/>
    <n v="82925"/>
    <s v="PRODUIT LISA"/>
    <s v="FISHER SCIENTIFIC"/>
    <s v="Q4"/>
    <e v="#REF!"/>
    <e v="#REF!"/>
    <e v="#REF!"/>
  </r>
  <r>
    <s v="181000"/>
    <x v="6"/>
    <s v="COMPTE DE LIAISON DES ETABLISSEMENTS"/>
    <s v="OD"/>
    <n v="-84.62"/>
    <d v="2025-06-17T00:00:00"/>
    <s v="Liaison inter-établissement vers TO "/>
    <m/>
    <e v="#N/A"/>
    <e v="#N/A"/>
    <n v="78252"/>
    <m/>
    <s v="BOOKING"/>
    <s v="Q2"/>
    <e v="#REF!"/>
    <e v="#REF!"/>
    <e v="#REF!"/>
  </r>
  <r>
    <s v="181000"/>
    <x v="6"/>
    <s v="COMPTE DE LIAISON DES ETABLISSEMENTS"/>
    <s v="OD"/>
    <n v="-84.5"/>
    <d v="2025-04-04T00:00:00"/>
    <s v="Liaison inter-établissement vers TO "/>
    <m/>
    <e v="#N/A"/>
    <e v="#N/A"/>
    <n v="75875"/>
    <m/>
    <s v="Marie-Sarah Adenis"/>
    <s v="Q2"/>
    <e v="#REF!"/>
    <e v="#REF!"/>
    <e v="#REF!"/>
  </r>
  <r>
    <s v="181000"/>
    <x v="6"/>
    <s v="COMPTE DE LIAISON DES ETABLISSEMENTS"/>
    <s v="OD"/>
    <n v="-83.7"/>
    <d v="2025-05-22T00:00:00"/>
    <s v="Liaison inter-établissement vers TO "/>
    <m/>
    <e v="#N/A"/>
    <e v="#N/A"/>
    <n v="76671"/>
    <m/>
    <s v="Jérémie Blache"/>
    <s v="Q2"/>
    <e v="#REF!"/>
    <e v="#REF!"/>
    <e v="#REF!"/>
  </r>
  <r>
    <s v="181000"/>
    <x v="6"/>
    <s v="COMPTE DE LIAISON DES ETABLISSEMENTS"/>
    <s v="OD"/>
    <n v="-83.49"/>
    <d v="2025-11-29T00:00:00"/>
    <s v="Liaison inter-établissement vers TO "/>
    <m/>
    <e v="#N/A"/>
    <e v="#N/A"/>
    <n v="91646"/>
    <m/>
    <s v="LA FOURCHE"/>
    <s v="Q4"/>
    <e v="#REF!"/>
    <e v="#REF!"/>
    <e v="#REF!"/>
  </r>
  <r>
    <s v="181000"/>
    <x v="6"/>
    <s v="COMPTE DE LIAISON DES ETABLISSEMENTS"/>
    <s v="OD"/>
    <n v="-83.34"/>
    <d v="2025-09-22T00:00:00"/>
    <s v="Liaison établissement 401000 FISHER KB"/>
    <m/>
    <e v="#N/A"/>
    <e v="#N/A"/>
    <n v="82386"/>
    <s v="BILLES POUR LE BROYEUR"/>
    <s v="FISHER SCIENTIFIC"/>
    <s v="Q3"/>
    <e v="#REF!"/>
    <e v="#REF!"/>
    <e v="#REF!"/>
  </r>
  <r>
    <s v="181000"/>
    <x v="6"/>
    <s v="COMPTE DE LIAISON DES ETABLISSEMENTS"/>
    <s v="OD"/>
    <n v="-82.78"/>
    <d v="2025-04-22T00:00:00"/>
    <s v="Liaison inter-établissement vers TO "/>
    <m/>
    <e v="#N/A"/>
    <e v="#N/A"/>
    <n v="74936"/>
    <m/>
    <s v="DHL"/>
    <s v="Q2"/>
    <e v="#REF!"/>
    <e v="#REF!"/>
    <e v="#REF!"/>
  </r>
  <r>
    <s v="181000"/>
    <x v="6"/>
    <s v="COMPTE DE LIAISON DES ETABLISSEMENTS"/>
    <s v="OD"/>
    <n v="-82.32"/>
    <d v="2025-12-19T00:00:00"/>
    <s v="Liaison établissement 401000 ROTH KB"/>
    <m/>
    <e v="#N/A"/>
    <e v="#N/A"/>
    <n v="92690"/>
    <s v="4184627"/>
    <s v="ROTH SOCHIEL"/>
    <s v="Q4"/>
    <e v="#REF!"/>
    <e v="#REF!"/>
    <e v="#REF!"/>
  </r>
  <r>
    <s v="181000"/>
    <x v="6"/>
    <s v="COMPTE DE LIAISON DES ETABLISSEMENTS"/>
    <s v="OD"/>
    <n v="-82.17"/>
    <d v="2025-12-23T00:00:00"/>
    <s v="Liaison inter-établissement vers TO "/>
    <m/>
    <e v="#N/A"/>
    <e v="#N/A"/>
    <n v="93583"/>
    <m/>
    <s v="Anthony Martinez"/>
    <s v="Q4"/>
    <e v="#REF!"/>
    <e v="#REF!"/>
    <e v="#REF!"/>
  </r>
  <r>
    <s v="181000"/>
    <x v="6"/>
    <s v="COMPTE DE LIAISON DES ETABLISSEMENTS"/>
    <s v="OD"/>
    <n v="-81.900000000000006"/>
    <d v="2025-11-04T00:00:00"/>
    <s v="Liaison inter-établissement vers TO "/>
    <m/>
    <e v="#N/A"/>
    <e v="#N/A"/>
    <n v="91678"/>
    <m/>
    <s v="MONDROGUISTE"/>
    <s v="Q4"/>
    <e v="#REF!"/>
    <e v="#REF!"/>
    <e v="#REF!"/>
  </r>
  <r>
    <s v="181000"/>
    <x v="6"/>
    <s v="COMPTE DE LIAISON DES ETABLISSEMENTS"/>
    <s v="OD"/>
    <n v="-81.7"/>
    <d v="2025-04-01T00:00:00"/>
    <s v="Liaison inter-établissement vers TO "/>
    <m/>
    <e v="#N/A"/>
    <e v="#N/A"/>
    <n v="74924"/>
    <m/>
    <s v="DHL"/>
    <s v="Q2"/>
    <e v="#REF!"/>
    <e v="#REF!"/>
    <e v="#REF!"/>
  </r>
  <r>
    <s v="181000"/>
    <x v="6"/>
    <s v="COMPTE DE LIAISON DES ETABLISSEMENTS"/>
    <s v="OD"/>
    <n v="-81.23"/>
    <d v="2025-03-06T00:00:00"/>
    <s v="Liaison inter-établissement vers TO "/>
    <m/>
    <s v="Non"/>
    <e v="#N/A"/>
    <n v="71912"/>
    <m/>
    <s v="DIVERS"/>
    <s v="Q1"/>
    <e v="#REF!"/>
    <e v="#REF!"/>
    <e v="#REF!"/>
  </r>
  <r>
    <s v="181000"/>
    <x v="6"/>
    <s v="COMPTE DE LIAISON DES ETABLISSEMENTS"/>
    <s v="OD"/>
    <n v="-81.180000000000007"/>
    <d v="2025-07-31T00:00:00"/>
    <s v="Liaison établissement 401000 VWR KB"/>
    <m/>
    <e v="#N/A"/>
    <e v="#N/A"/>
    <n v="79336"/>
    <s v="COMMANDE PRODUIT KEENY"/>
    <s v="VWR AVANTOR"/>
    <s v="Q3"/>
    <e v="#REF!"/>
    <e v="#REF!"/>
    <e v="#REF!"/>
  </r>
  <r>
    <s v="181000"/>
    <x v="6"/>
    <s v="COMPTE DE LIAISON DES ETABLISSEMENTS"/>
    <s v="OD"/>
    <n v="-80.84"/>
    <d v="2025-08-11T00:00:00"/>
    <s v="Liaison inter-établissement vers TO "/>
    <m/>
    <e v="#N/A"/>
    <e v="#N/A"/>
    <n v="83325"/>
    <m/>
    <s v="ORANGE"/>
    <s v="Q3"/>
    <e v="#REF!"/>
    <e v="#REF!"/>
    <e v="#REF!"/>
  </r>
  <r>
    <s v="181000"/>
    <x v="6"/>
    <s v="COMPTE DE LIAISON DES ETABLISSEMENTS"/>
    <s v="OD"/>
    <n v="-80.5"/>
    <d v="2025-05-07T00:00:00"/>
    <s v="Liaison établissement 401000 VWR KB"/>
    <m/>
    <e v="#N/A"/>
    <e v="#N/A"/>
    <n v="71816"/>
    <s v="COMMANDE PRODUIT KEENB"/>
    <s v="VWR AVANTOR"/>
    <s v="Q2"/>
    <e v="#REF!"/>
    <e v="#REF!"/>
    <e v="#REF!"/>
  </r>
  <r>
    <s v="181000"/>
    <x v="6"/>
    <s v="COMPTE DE LIAISON DES ETABLISSEMENTS"/>
    <s v="OD"/>
    <n v="-80.2"/>
    <d v="2025-04-24T00:00:00"/>
    <s v="Liaison inter-établissement vers TO "/>
    <m/>
    <e v="#N/A"/>
    <e v="#N/A"/>
    <n v="74828"/>
    <m/>
    <s v="MANUTAN"/>
    <s v="Q2"/>
    <e v="#REF!"/>
    <e v="#REF!"/>
    <e v="#REF!"/>
  </r>
  <r>
    <s v="181000"/>
    <x v="6"/>
    <s v="COMPTE DE LIAISON DES ETABLISSEMENTS"/>
    <s v="OD"/>
    <n v="-80"/>
    <d v="2025-11-18T00:00:00"/>
    <s v="Liaison inter-établissement vers TO "/>
    <m/>
    <e v="#N/A"/>
    <e v="#N/A"/>
    <n v="91734"/>
    <m/>
    <s v="SNCF"/>
    <s v="Q4"/>
    <e v="#REF!"/>
    <e v="#REF!"/>
    <e v="#REF!"/>
  </r>
  <r>
    <s v="181000"/>
    <x v="6"/>
    <s v="COMPTE DE LIAISON DES ETABLISSEMENTS"/>
    <s v="OD"/>
    <n v="-79.989999999999995"/>
    <d v="2025-05-13T00:00:00"/>
    <s v="Liaison inter-établissement vers TO "/>
    <m/>
    <e v="#N/A"/>
    <e v="#N/A"/>
    <n v="75126"/>
    <m/>
    <s v="AIRBNB"/>
    <s v="Q2"/>
    <e v="#REF!"/>
    <e v="#REF!"/>
    <e v="#REF!"/>
  </r>
  <r>
    <s v="181000"/>
    <x v="6"/>
    <s v="COMPTE DE LIAISON DES ETABLISSEMENTS"/>
    <s v="OD"/>
    <n v="-79.2"/>
    <d v="2025-04-11T00:00:00"/>
    <s v="Liaison inter-établissement vers TO "/>
    <m/>
    <s v="Non"/>
    <e v="#N/A"/>
    <n v="72797"/>
    <m/>
    <s v="DIVERS"/>
    <s v="Q2"/>
    <e v="#REF!"/>
    <e v="#REF!"/>
    <e v="#REF!"/>
  </r>
  <r>
    <s v="181000"/>
    <x v="6"/>
    <s v="COMPTE DE LIAISON DES ETABLISSEMENTS"/>
    <s v="OD"/>
    <n v="-79"/>
    <d v="2025-03-17T00:00:00"/>
    <s v="Liaison inter-établissement vers TO "/>
    <m/>
    <e v="#N/A"/>
    <e v="#N/A"/>
    <n v="70021"/>
    <m/>
    <s v="SNCF"/>
    <s v="Q1"/>
    <e v="#REF!"/>
    <e v="#REF!"/>
    <e v="#REF!"/>
  </r>
  <r>
    <s v="181000"/>
    <x v="6"/>
    <s v="COMPTE DE LIAISON DES ETABLISSEMENTS"/>
    <s v="OD"/>
    <n v="-78.260000000000005"/>
    <d v="2025-10-06T00:00:00"/>
    <s v="Liaison établissement 401000 CHATEAU RO"/>
    <m/>
    <e v="#N/A"/>
    <e v="#N/A"/>
    <n v="82900"/>
    <s v="LIVRAISON EAU ROUSSILLON"/>
    <s v="CHATEAUDEAU"/>
    <s v="Q4"/>
    <e v="#REF!"/>
    <e v="#REF!"/>
    <e v="#REF!"/>
  </r>
  <r>
    <s v="181000"/>
    <x v="6"/>
    <s v="COMPTE DE LIAISON DES ETABLISSEMENTS"/>
    <s v="OD"/>
    <n v="-78"/>
    <d v="2025-01-14T00:00:00"/>
    <s v="Liaison inter-établissement vers TO "/>
    <m/>
    <e v="#N/A"/>
    <e v="#N/A"/>
    <n v="66764"/>
    <m/>
    <s v="SNCF"/>
    <s v="Q1"/>
    <e v="#REF!"/>
    <e v="#REF!"/>
    <e v="#REF!"/>
  </r>
  <r>
    <s v="181000"/>
    <x v="6"/>
    <s v="COMPTE DE LIAISON DES ETABLISSEMENTS"/>
    <s v="OD"/>
    <n v="-76.98"/>
    <d v="2025-04-02T00:00:00"/>
    <s v="Liaison établissement 401000 VWR KB"/>
    <m/>
    <e v="#N/A"/>
    <e v="#N/A"/>
    <n v="66487"/>
    <s v="Invoice Payment by Pili"/>
    <s v="VWR AVANTOR"/>
    <s v="Q2"/>
    <e v="#REF!"/>
    <e v="#REF!"/>
    <e v="#REF!"/>
  </r>
  <r>
    <s v="181000"/>
    <x v="6"/>
    <s v="COMPTE DE LIAISON DES ETABLISSEMENTS"/>
    <s v="OD"/>
    <n v="-76.63"/>
    <d v="2025-11-28T00:00:00"/>
    <s v="Liaison inter-établissement vers TO "/>
    <m/>
    <e v="#N/A"/>
    <e v="#N/A"/>
    <n v="91291"/>
    <m/>
    <s v="DHL"/>
    <s v="Q4"/>
    <e v="#REF!"/>
    <e v="#REF!"/>
    <e v="#REF!"/>
  </r>
  <r>
    <s v="181000"/>
    <x v="6"/>
    <s v="COMPTE DE LIAISON DES ETABLISSEMENTS"/>
    <s v="OD"/>
    <n v="-75.849999999999994"/>
    <d v="2025-04-25T00:00:00"/>
    <s v="Liaison établissement 401000 VWR KB"/>
    <m/>
    <e v="#N/A"/>
    <e v="#N/A"/>
    <n v="70209"/>
    <s v="Invoice Payment by Pili"/>
    <s v="VWR AVANTOR"/>
    <s v="Q2"/>
    <e v="#REF!"/>
    <e v="#REF!"/>
    <e v="#REF!"/>
  </r>
  <r>
    <s v="181000"/>
    <x v="6"/>
    <s v="COMPTE DE LIAISON DES ETABLISSEMENTS"/>
    <s v="OD"/>
    <n v="-75.599999999999994"/>
    <d v="2025-11-28T00:00:00"/>
    <s v="Liaison établissement 401000 CHAUM LY"/>
    <m/>
    <e v="#N/A"/>
    <e v="#N/A"/>
    <n v="91257"/>
    <s v="FL260494"/>
    <s v="GROUPE CHAUMEIL"/>
    <s v="Q4"/>
    <e v="#REF!"/>
    <e v="#REF!"/>
    <e v="#REF!"/>
  </r>
  <r>
    <s v="181000"/>
    <x v="6"/>
    <s v="COMPTE DE LIAISON DES ETABLISSEMENTS"/>
    <s v="OD"/>
    <n v="-75.239999999999995"/>
    <d v="2025-03-20T00:00:00"/>
    <s v="Liaison inter-établissement vers TO "/>
    <m/>
    <e v="#N/A"/>
    <e v="#N/A"/>
    <n v="63856"/>
    <m/>
    <s v="Sigma-Aldrich chimie"/>
    <s v="Q1"/>
    <e v="#REF!"/>
    <e v="#REF!"/>
    <e v="#REF!"/>
  </r>
  <r>
    <s v="181000"/>
    <x v="6"/>
    <s v="COMPTE DE LIAISON DES ETABLISSEMENTS"/>
    <s v="OD"/>
    <n v="-74.78"/>
    <d v="2025-07-22T00:00:00"/>
    <s v="Liaison établissement 401000 ROTH RO"/>
    <m/>
    <e v="#N/A"/>
    <e v="#N/A"/>
    <n v="78301"/>
    <s v="PRODUITS CHIMIQUES KL"/>
    <s v="ROTH SOCHIEL"/>
    <s v="Q3"/>
    <e v="#REF!"/>
    <e v="#REF!"/>
    <e v="#REF!"/>
  </r>
  <r>
    <s v="181000"/>
    <x v="6"/>
    <s v="COMPTE DE LIAISON DES ETABLISSEMENTS"/>
    <s v="OD"/>
    <n v="-73.69"/>
    <d v="2025-11-13T00:00:00"/>
    <s v="Liaison établissement 401000 VWR KB"/>
    <m/>
    <e v="#N/A"/>
    <e v="#N/A"/>
    <n v="89938"/>
    <s v="CONSOMMABLE LABO"/>
    <s v="VWR AVANTOR"/>
    <s v="Q4"/>
    <e v="#REF!"/>
    <e v="#REF!"/>
    <e v="#REF!"/>
  </r>
  <r>
    <s v="181000"/>
    <x v="6"/>
    <s v="COMPTE DE LIAISON DES ETABLISSEMENTS"/>
    <s v="OD"/>
    <n v="-73.05"/>
    <d v="2025-05-14T00:00:00"/>
    <s v="Liaison établissement 401000 BIOTIKA RO"/>
    <s v="Non"/>
    <e v="#N/A"/>
    <e v="#N/A"/>
    <n v="72308"/>
    <m/>
    <s v="BIOTIKA"/>
    <s v="Q2"/>
    <e v="#REF!"/>
    <e v="#REF!"/>
    <e v="#REF!"/>
  </r>
  <r>
    <s v="181000"/>
    <x v="6"/>
    <s v="COMPTE DE LIAISON DES ETABLISSEMENTS"/>
    <s v="OD"/>
    <n v="-73"/>
    <d v="2025-01-10T00:00:00"/>
    <s v="Liaison inter-établissement vers TO "/>
    <m/>
    <e v="#N/A"/>
    <e v="#N/A"/>
    <n v="71438"/>
    <m/>
    <s v="SNCF"/>
    <s v="Q1"/>
    <e v="#REF!"/>
    <e v="#REF!"/>
    <e v="#REF!"/>
  </r>
  <r>
    <s v="181000"/>
    <x v="6"/>
    <s v="COMPTE DE LIAISON DES ETABLISSEMENTS"/>
    <s v="OD"/>
    <n v="-73"/>
    <d v="2025-01-10T00:00:00"/>
    <s v="Liaison inter-établissement vers TO "/>
    <m/>
    <e v="#N/A"/>
    <e v="#N/A"/>
    <n v="71442"/>
    <m/>
    <s v="SNCF"/>
    <s v="Q1"/>
    <e v="#REF!"/>
    <e v="#REF!"/>
    <e v="#REF!"/>
  </r>
  <r>
    <s v="181000"/>
    <x v="6"/>
    <s v="COMPTE DE LIAISON DES ETABLISSEMENTS"/>
    <s v="OD"/>
    <n v="-72.67"/>
    <d v="2025-07-22T00:00:00"/>
    <s v="Liaison établissement 401000 ROTH RO"/>
    <m/>
    <e v="#N/A"/>
    <e v="#N/A"/>
    <n v="78296"/>
    <s v="MATIÈRES PREMIÈRES KEENY ROUSSILLON"/>
    <s v="ROTH SOCHIEL"/>
    <s v="Q3"/>
    <e v="#REF!"/>
    <e v="#REF!"/>
    <e v="#REF!"/>
  </r>
  <r>
    <s v="181000"/>
    <x v="6"/>
    <s v="COMPTE DE LIAISON DES ETABLISSEMENTS"/>
    <s v="OD"/>
    <n v="-72"/>
    <d v="2025-05-14T00:00:00"/>
    <s v="Liaison établissement 401000 ECHAFAUDAGE RO"/>
    <m/>
    <e v="#N/A"/>
    <e v="#N/A"/>
    <n v="72322"/>
    <s v="Invoice Payment by Pili"/>
    <s v="ECHAFAUDAGE"/>
    <s v="Q2"/>
    <e v="#REF!"/>
    <e v="#REF!"/>
    <e v="#REF!"/>
  </r>
  <r>
    <s v="181000"/>
    <x v="6"/>
    <s v="COMPTE DE LIAISON DES ETABLISSEMENTS"/>
    <s v="OD"/>
    <n v="-71.900000000000006"/>
    <d v="2025-09-12T00:00:00"/>
    <s v="Liaison établissement 401000 VWR KB"/>
    <m/>
    <e v="#N/A"/>
    <e v="#N/A"/>
    <n v="82046"/>
    <s v="PRODUIT KEENB"/>
    <s v="VWR AVANTOR"/>
    <s v="Q3"/>
    <e v="#REF!"/>
    <e v="#REF!"/>
    <e v="#REF!"/>
  </r>
  <r>
    <s v="181000"/>
    <x v="6"/>
    <s v="COMPTE DE LIAISON DES ETABLISSEMENTS"/>
    <s v="OD"/>
    <n v="-71.88"/>
    <d v="2025-09-12T00:00:00"/>
    <s v="Liaison établissement 401000 BRUNEAU RO"/>
    <m/>
    <e v="#N/A"/>
    <e v="#N/A"/>
    <n v="82077"/>
    <s v="AFFICHE"/>
    <s v="BRUNEAU"/>
    <s v="Q3"/>
    <e v="#REF!"/>
    <e v="#REF!"/>
    <e v="#REF!"/>
  </r>
  <r>
    <s v="181000"/>
    <x v="6"/>
    <s v="COMPTE DE LIAISON DES ETABLISSEMENTS"/>
    <s v="OD"/>
    <n v="-71.86"/>
    <d v="2025-06-11T00:00:00"/>
    <s v="Liaison inter-établissement vers TO "/>
    <m/>
    <e v="#N/A"/>
    <e v="#N/A"/>
    <n v="78240"/>
    <m/>
    <s v="GANDI"/>
    <s v="Q2"/>
    <e v="#REF!"/>
    <e v="#REF!"/>
    <e v="#REF!"/>
  </r>
  <r>
    <s v="181000"/>
    <x v="6"/>
    <s v="COMPTE DE LIAISON DES ETABLISSEMENTS"/>
    <s v="OD"/>
    <n v="-71.36"/>
    <d v="2025-07-31T00:00:00"/>
    <s v="Liaison établissement 401000 VWR KB"/>
    <m/>
    <e v="#N/A"/>
    <e v="#N/A"/>
    <n v="79306"/>
    <s v="COMMANDE PRODUIT KEENY"/>
    <s v="VWR AVANTOR"/>
    <s v="Q3"/>
    <e v="#REF!"/>
    <e v="#REF!"/>
    <e v="#REF!"/>
  </r>
  <r>
    <s v="181000"/>
    <x v="6"/>
    <s v="COMPTE DE LIAISON DES ETABLISSEMENTS"/>
    <s v="OD"/>
    <n v="-71"/>
    <d v="2025-01-02T00:00:00"/>
    <s v="Liaison inter-établissement vers TO "/>
    <m/>
    <e v="#N/A"/>
    <e v="#N/A"/>
    <n v="71430"/>
    <m/>
    <s v="SNCF"/>
    <s v="Q1"/>
    <e v="#REF!"/>
    <e v="#REF!"/>
    <e v="#REF!"/>
  </r>
  <r>
    <s v="181000"/>
    <x v="6"/>
    <s v="COMPTE DE LIAISON DES ETABLISSEMENTS"/>
    <s v="OD"/>
    <n v="-71"/>
    <d v="2025-01-02T00:00:00"/>
    <s v="Liaison inter-établissement vers TO "/>
    <m/>
    <e v="#N/A"/>
    <e v="#N/A"/>
    <n v="71434"/>
    <m/>
    <s v="SNCF"/>
    <s v="Q1"/>
    <e v="#REF!"/>
    <e v="#REF!"/>
    <e v="#REF!"/>
  </r>
  <r>
    <s v="181000"/>
    <x v="6"/>
    <s v="COMPTE DE LIAISON DES ETABLISSEMENTS"/>
    <s v="OD"/>
    <n v="-70"/>
    <d v="2025-10-01T00:00:00"/>
    <s v="Liaison inter-établissement vers TO "/>
    <m/>
    <e v="#N/A"/>
    <e v="#N/A"/>
    <n v="89712"/>
    <m/>
    <s v="AIRLINES"/>
    <s v="Q4"/>
    <e v="#REF!"/>
    <e v="#REF!"/>
    <e v="#REF!"/>
  </r>
  <r>
    <s v="181000"/>
    <x v="6"/>
    <s v="COMPTE DE LIAISON DES ETABLISSEMENTS"/>
    <s v="OD"/>
    <n v="-69.900000000000006"/>
    <d v="2025-05-15T00:00:00"/>
    <s v="Liaison inter-établissement vers TO "/>
    <m/>
    <e v="#N/A"/>
    <e v="#N/A"/>
    <n v="81004"/>
    <m/>
    <s v="LEROY MERLIN"/>
    <s v="Q2"/>
    <e v="#REF!"/>
    <e v="#REF!"/>
    <e v="#REF!"/>
  </r>
  <r>
    <s v="181000"/>
    <x v="6"/>
    <s v="COMPTE DE LIAISON DES ETABLISSEMENTS"/>
    <s v="OD"/>
    <n v="-69.16"/>
    <d v="2025-05-08T00:00:00"/>
    <s v="Liaison inter-établissement vers TO "/>
    <m/>
    <e v="#N/A"/>
    <e v="#N/A"/>
    <n v="78821"/>
    <m/>
    <s v="ENGIE"/>
    <s v="Q2"/>
    <e v="#REF!"/>
    <e v="#REF!"/>
    <e v="#REF!"/>
  </r>
  <r>
    <s v="181000"/>
    <x v="6"/>
    <s v="COMPTE DE LIAISON DES ETABLISSEMENTS"/>
    <s v="OD"/>
    <n v="-68.7"/>
    <d v="2025-04-02T00:00:00"/>
    <s v="Liaison inter-établissement vers TO "/>
    <m/>
    <e v="#N/A"/>
    <e v="#N/A"/>
    <n v="76723"/>
    <m/>
    <s v="Loic masseboeuf"/>
    <s v="Q2"/>
    <e v="#REF!"/>
    <e v="#REF!"/>
    <e v="#REF!"/>
  </r>
  <r>
    <s v="181000"/>
    <x v="6"/>
    <s v="COMPTE DE LIAISON DES ETABLISSEMENTS"/>
    <s v="OD"/>
    <n v="-68.39"/>
    <d v="2025-04-18T00:00:00"/>
    <s v="Liaison établissement 401000 CHATEAU RO"/>
    <m/>
    <e v="#N/A"/>
    <e v="#N/A"/>
    <n v="68153"/>
    <s v="Invoice Payment by Pili"/>
    <s v="CHATEAUDEAU"/>
    <s v="Q2"/>
    <e v="#REF!"/>
    <e v="#REF!"/>
    <e v="#REF!"/>
  </r>
  <r>
    <s v="181000"/>
    <x v="6"/>
    <s v="COMPTE DE LIAISON DES ETABLISSEMENTS"/>
    <s v="OD"/>
    <n v="-68.39"/>
    <d v="2025-06-02T00:00:00"/>
    <s v="Liaison établissement 401000 CHATEAU RO"/>
    <m/>
    <e v="#N/A"/>
    <e v="#N/A"/>
    <n v="75243"/>
    <s v="Invoice Payment By Pili"/>
    <s v="CHATEAUDEAU"/>
    <s v="Q2"/>
    <e v="#REF!"/>
    <e v="#REF!"/>
    <e v="#REF!"/>
  </r>
  <r>
    <s v="181000"/>
    <x v="6"/>
    <s v="COMPTE DE LIAISON DES ETABLISSEMENTS"/>
    <s v="OD"/>
    <n v="-68.39"/>
    <d v="2025-07-22T00:00:00"/>
    <s v="Liaison établissement 401000 CHATEAU RO"/>
    <m/>
    <e v="#N/A"/>
    <e v="#N/A"/>
    <n v="78306"/>
    <s v="LIVRAISON EAU ROUSSILLON"/>
    <s v="CHATEAUDEAU"/>
    <s v="Q3"/>
    <e v="#REF!"/>
    <e v="#REF!"/>
    <e v="#REF!"/>
  </r>
  <r>
    <s v="181000"/>
    <x v="6"/>
    <s v="COMPTE DE LIAISON DES ETABLISSEMENTS"/>
    <s v="OD"/>
    <n v="-68.23"/>
    <d v="2025-06-14T00:00:00"/>
    <s v="Liaison inter-établissement vers TO "/>
    <m/>
    <e v="#N/A"/>
    <e v="#N/A"/>
    <n v="78232"/>
    <m/>
    <s v="LA FOURCHE"/>
    <s v="Q2"/>
    <e v="#REF!"/>
    <e v="#REF!"/>
    <e v="#REF!"/>
  </r>
  <r>
    <s v="181000"/>
    <x v="6"/>
    <s v="COMPTE DE LIAISON DES ETABLISSEMENTS"/>
    <s v="OD"/>
    <n v="-67.08"/>
    <d v="2025-05-07T00:00:00"/>
    <s v="Liaison établissement 401000 VWR KB"/>
    <m/>
    <e v="#N/A"/>
    <e v="#N/A"/>
    <n v="71831"/>
    <s v="COMMANDE PRODUIT KEENB"/>
    <s v="VWR AVANTOR"/>
    <s v="Q2"/>
    <e v="#REF!"/>
    <e v="#REF!"/>
    <e v="#REF!"/>
  </r>
  <r>
    <s v="181000"/>
    <x v="6"/>
    <s v="COMPTE DE LIAISON DES ETABLISSEMENTS"/>
    <s v="OD"/>
    <n v="-67"/>
    <d v="2025-11-28T00:00:00"/>
    <s v="Liaison inter-établissement vers TO "/>
    <m/>
    <e v="#N/A"/>
    <e v="#N/A"/>
    <n v="91295"/>
    <m/>
    <s v="AIR LIQUIDE"/>
    <s v="Q4"/>
    <e v="#REF!"/>
    <e v="#REF!"/>
    <e v="#REF!"/>
  </r>
  <r>
    <s v="181000"/>
    <x v="6"/>
    <s v="COMPTE DE LIAISON DES ETABLISSEMENTS"/>
    <s v="OD"/>
    <n v="-66.959999999999994"/>
    <d v="2025-03-28T00:00:00"/>
    <s v="Liaison inter-établissement vers TO "/>
    <m/>
    <e v="#N/A"/>
    <e v="#N/A"/>
    <n v="69956"/>
    <m/>
    <s v="BRUNEAU"/>
    <s v="Q1"/>
    <e v="#REF!"/>
    <e v="#REF!"/>
    <e v="#REF!"/>
  </r>
  <r>
    <s v="181000"/>
    <x v="6"/>
    <s v="COMPTE DE LIAISON DES ETABLISSEMENTS"/>
    <s v="OD"/>
    <n v="-66.959999999999994"/>
    <d v="2025-04-08T00:00:00"/>
    <s v="Liaison inter-établissement vers TO "/>
    <m/>
    <e v="#N/A"/>
    <e v="#N/A"/>
    <n v="69960"/>
    <m/>
    <s v="BRUNEAU"/>
    <s v="Q2"/>
    <e v="#REF!"/>
    <e v="#REF!"/>
    <e v="#REF!"/>
  </r>
  <r>
    <s v="181000"/>
    <x v="6"/>
    <s v="COMPTE DE LIAISON DES ETABLISSEMENTS"/>
    <s v="OD"/>
    <n v="-66.38"/>
    <d v="2025-01-24T00:00:00"/>
    <s v="Liaison inter-établissement vers TO "/>
    <m/>
    <e v="#N/A"/>
    <e v="#N/A"/>
    <n v="74912"/>
    <m/>
    <s v="DHL"/>
    <s v="Q1"/>
    <e v="#REF!"/>
    <e v="#REF!"/>
    <e v="#REF!"/>
  </r>
  <r>
    <s v="181000"/>
    <x v="6"/>
    <s v="COMPTE DE LIAISON DES ETABLISSEMENTS"/>
    <s v="OD"/>
    <n v="-66.38"/>
    <d v="2025-12-08T00:00:00"/>
    <s v="Liaison inter-établissement vers TO "/>
    <m/>
    <e v="#N/A"/>
    <e v="#N/A"/>
    <n v="91915"/>
    <m/>
    <s v="ENGIE"/>
    <s v="Q4"/>
    <e v="#REF!"/>
    <e v="#REF!"/>
    <e v="#REF!"/>
  </r>
  <r>
    <s v="181000"/>
    <x v="6"/>
    <s v="COMPTE DE LIAISON DES ETABLISSEMENTS"/>
    <s v="OD"/>
    <n v="-65.88"/>
    <d v="2025-01-27T00:00:00"/>
    <s v="Liaison inter-établissement vers TO "/>
    <m/>
    <e v="#N/A"/>
    <e v="#N/A"/>
    <n v="73890"/>
    <m/>
    <s v="Julie Lacondemine"/>
    <s v="Q1"/>
    <e v="#REF!"/>
    <e v="#REF!"/>
    <e v="#REF!"/>
  </r>
  <r>
    <s v="181000"/>
    <x v="6"/>
    <s v="COMPTE DE LIAISON DES ETABLISSEMENTS"/>
    <s v="OD"/>
    <n v="-65.2"/>
    <d v="2025-10-31T00:00:00"/>
    <s v="Liaison établissement 401000 VWR KB"/>
    <m/>
    <e v="#N/A"/>
    <e v="#N/A"/>
    <n v="87580"/>
    <s v="CONSOMMABLE LABO"/>
    <s v="VWR AVANTOR"/>
    <s v="Q4"/>
    <e v="#REF!"/>
    <e v="#REF!"/>
    <e v="#REF!"/>
  </r>
  <r>
    <s v="181000"/>
    <x v="6"/>
    <s v="COMPTE DE LIAISON DES ETABLISSEMENTS"/>
    <s v="OD"/>
    <n v="-65.2"/>
    <d v="2025-10-31T00:00:00"/>
    <s v="Liaison établissement 401000 VWR KB"/>
    <m/>
    <e v="#N/A"/>
    <e v="#N/A"/>
    <n v="87585"/>
    <s v="CONSOMMABLE LABO"/>
    <s v="VWR AVANTOR"/>
    <s v="Q4"/>
    <e v="#REF!"/>
    <e v="#REF!"/>
    <e v="#REF!"/>
  </r>
  <r>
    <s v="181000"/>
    <x v="6"/>
    <s v="COMPTE DE LIAISON DES ETABLISSEMENTS"/>
    <s v="OD"/>
    <n v="-64.09"/>
    <d v="2025-04-02T00:00:00"/>
    <s v="Liaison établissement 401000 VWR KB"/>
    <m/>
    <e v="#N/A"/>
    <e v="#N/A"/>
    <n v="66502"/>
    <s v="Invoice Payment by Pili"/>
    <s v="VWR AVANTOR"/>
    <s v="Q2"/>
    <e v="#REF!"/>
    <e v="#REF!"/>
    <e v="#REF!"/>
  </r>
  <r>
    <s v="181000"/>
    <x v="6"/>
    <s v="COMPTE DE LIAISON DES ETABLISSEMENTS"/>
    <s v="OD"/>
    <n v="-63.64"/>
    <d v="2025-04-05T00:00:00"/>
    <s v="Liaison inter-établissement vers TO "/>
    <m/>
    <e v="#N/A"/>
    <e v="#N/A"/>
    <n v="74804"/>
    <m/>
    <s v="GROUPE LDLC"/>
    <s v="Q2"/>
    <e v="#REF!"/>
    <e v="#REF!"/>
    <e v="#REF!"/>
  </r>
  <r>
    <s v="181000"/>
    <x v="6"/>
    <s v="COMPTE DE LIAISON DES ETABLISSEMENTS"/>
    <s v="OD"/>
    <n v="-63.34"/>
    <d v="2025-04-11T00:00:00"/>
    <s v="Liaison inter-établissement vers TO "/>
    <m/>
    <e v="#N/A"/>
    <e v="#N/A"/>
    <n v="74928"/>
    <m/>
    <s v="DHL"/>
    <s v="Q2"/>
    <e v="#REF!"/>
    <e v="#REF!"/>
    <e v="#REF!"/>
  </r>
  <r>
    <s v="181000"/>
    <x v="6"/>
    <s v="COMPTE DE LIAISON DES ETABLISSEMENTS"/>
    <s v="OD"/>
    <n v="-63"/>
    <d v="2025-12-09T00:00:00"/>
    <s v="Liaison inter-établissement vers TO "/>
    <m/>
    <e v="#N/A"/>
    <e v="#N/A"/>
    <n v="94109"/>
    <m/>
    <s v="SNCF"/>
    <s v="Q4"/>
    <e v="#REF!"/>
    <e v="#REF!"/>
    <e v="#REF!"/>
  </r>
  <r>
    <s v="181000"/>
    <x v="6"/>
    <s v="COMPTE DE LIAISON DES ETABLISSEMENTS"/>
    <s v="OD"/>
    <n v="-62.5"/>
    <d v="2025-01-03T00:00:00"/>
    <s v="Liaison inter-établissement vers TO "/>
    <m/>
    <e v="#N/A"/>
    <e v="#N/A"/>
    <n v="63880"/>
    <m/>
    <s v="SNCF"/>
    <s v="Q1"/>
    <e v="#REF!"/>
    <e v="#REF!"/>
    <e v="#REF!"/>
  </r>
  <r>
    <s v="181000"/>
    <x v="6"/>
    <s v="COMPTE DE LIAISON DES ETABLISSEMENTS"/>
    <s v="OD"/>
    <n v="-62.32"/>
    <d v="2025-06-30T00:00:00"/>
    <s v="Liaison inter-établissement"/>
    <m/>
    <e v="#N/A"/>
    <e v="#N/A"/>
    <n v="78526"/>
    <m/>
    <m/>
    <s v="Q2"/>
    <e v="#REF!"/>
    <e v="#REF!"/>
    <e v="#REF!"/>
  </r>
  <r>
    <s v="181000"/>
    <x v="6"/>
    <s v="COMPTE DE LIAISON DES ETABLISSEMENTS"/>
    <s v="OD"/>
    <n v="-62.22"/>
    <d v="2025-03-14T00:00:00"/>
    <s v="Liaison inter-établissement vers TO "/>
    <m/>
    <e v="#N/A"/>
    <e v="#N/A"/>
    <n v="74920"/>
    <m/>
    <s v="DHL"/>
    <s v="Q1"/>
    <e v="#REF!"/>
    <e v="#REF!"/>
    <e v="#REF!"/>
  </r>
  <r>
    <s v="181000"/>
    <x v="6"/>
    <s v="COMPTE DE LIAISON DES ETABLISSEMENTS"/>
    <s v="OD"/>
    <n v="-62.17"/>
    <d v="2025-03-19T00:00:00"/>
    <s v="Liaison inter-établissement vers TO "/>
    <m/>
    <e v="#N/A"/>
    <e v="#N/A"/>
    <n v="63864"/>
    <m/>
    <s v="Sigma-Aldrich chimie"/>
    <s v="Q1"/>
    <e v="#REF!"/>
    <e v="#REF!"/>
    <e v="#REF!"/>
  </r>
  <r>
    <s v="181000"/>
    <x v="6"/>
    <s v="COMPTE DE LIAISON DES ETABLISSEMENTS"/>
    <s v="OD"/>
    <n v="-61.12"/>
    <d v="2025-02-22T00:00:00"/>
    <s v="Liaison inter-établissement vers TO "/>
    <m/>
    <e v="#N/A"/>
    <e v="#N/A"/>
    <n v="71665"/>
    <m/>
    <s v="ORANGE"/>
    <s v="Q1"/>
    <e v="#REF!"/>
    <e v="#REF!"/>
    <e v="#REF!"/>
  </r>
  <r>
    <s v="181000"/>
    <x v="6"/>
    <s v="COMPTE DE LIAISON DES ETABLISSEMENTS"/>
    <s v="OD"/>
    <n v="-60.18"/>
    <d v="2025-01-27T00:00:00"/>
    <s v="Liaison inter-établissement vers TO "/>
    <m/>
    <e v="#N/A"/>
    <e v="#N/A"/>
    <n v="74240"/>
    <m/>
    <s v="Anne-Sophie Goutierre"/>
    <s v="Q1"/>
    <e v="#REF!"/>
    <e v="#REF!"/>
    <e v="#REF!"/>
  </r>
  <r>
    <s v="181000"/>
    <x v="6"/>
    <s v="COMPTE DE LIAISON DES ETABLISSEMENTS"/>
    <s v="OD"/>
    <n v="-60"/>
    <d v="2025-10-06T00:00:00"/>
    <s v="Liaison établissement 401000 TCI KB"/>
    <m/>
    <e v="#N/A"/>
    <e v="#N/A"/>
    <n v="82905"/>
    <s v="PRODUIT KEENB"/>
    <s v="TCI"/>
    <s v="Q4"/>
    <e v="#REF!"/>
    <e v="#REF!"/>
    <e v="#REF!"/>
  </r>
  <r>
    <s v="181000"/>
    <x v="6"/>
    <s v="COMPTE DE LIAISON DES ETABLISSEMENTS"/>
    <s v="OD"/>
    <n v="-60"/>
    <d v="2025-10-19T00:00:00"/>
    <s v="Liaison inter-établissement vers TO "/>
    <m/>
    <e v="#N/A"/>
    <e v="#N/A"/>
    <n v="89728"/>
    <m/>
    <s v="COOKIEBOT"/>
    <s v="Q4"/>
    <e v="#REF!"/>
    <e v="#REF!"/>
    <e v="#REF!"/>
  </r>
  <r>
    <s v="181000"/>
    <x v="6"/>
    <s v="COMPTE DE LIAISON DES ETABLISSEMENTS"/>
    <s v="OD"/>
    <n v="-59.73"/>
    <d v="2025-05-16T00:00:00"/>
    <s v="Liaison inter-établissement vers TO "/>
    <m/>
    <e v="#N/A"/>
    <e v="#N/A"/>
    <n v="74498"/>
    <m/>
    <s v="Jérémie Blache"/>
    <s v="Q2"/>
    <e v="#REF!"/>
    <e v="#REF!"/>
    <e v="#REF!"/>
  </r>
  <r>
    <s v="181000"/>
    <x v="6"/>
    <s v="COMPTE DE LIAISON DES ETABLISSEMENTS"/>
    <s v="OD"/>
    <n v="-59.54"/>
    <d v="2025-08-28T00:00:00"/>
    <s v="Liaison inter-établissement vers TO "/>
    <m/>
    <e v="#N/A"/>
    <e v="#N/A"/>
    <n v="83353"/>
    <m/>
    <s v="RS COMPONENT"/>
    <s v="Q3"/>
    <e v="#REF!"/>
    <e v="#REF!"/>
    <e v="#REF!"/>
  </r>
  <r>
    <s v="181000"/>
    <x v="6"/>
    <s v="COMPTE DE LIAISON DES ETABLISSEMENTS"/>
    <s v="OD"/>
    <n v="-59.38"/>
    <d v="2025-05-13T00:00:00"/>
    <s v="Liaison inter-établissement vers TO "/>
    <m/>
    <e v="#N/A"/>
    <e v="#N/A"/>
    <n v="74494"/>
    <m/>
    <s v="Jérémie Blache"/>
    <s v="Q2"/>
    <e v="#REF!"/>
    <e v="#REF!"/>
    <e v="#REF!"/>
  </r>
  <r>
    <s v="181000"/>
    <x v="6"/>
    <s v="COMPTE DE LIAISON DES ETABLISSEMENTS"/>
    <s v="OD"/>
    <n v="-58.72"/>
    <d v="2025-07-31T00:00:00"/>
    <s v="Liaison inter-établissement vers TO "/>
    <m/>
    <e v="#N/A"/>
    <e v="#N/A"/>
    <n v="81289"/>
    <m/>
    <s v="DHL"/>
    <s v="Q3"/>
    <e v="#REF!"/>
    <e v="#REF!"/>
    <e v="#REF!"/>
  </r>
  <r>
    <s v="181000"/>
    <x v="6"/>
    <s v="COMPTE DE LIAISON DES ETABLISSEMENTS"/>
    <s v="OD"/>
    <n v="-58.04"/>
    <d v="2025-06-12T00:00:00"/>
    <s v="Liaison inter-établissement vers TO "/>
    <m/>
    <e v="#N/A"/>
    <e v="#N/A"/>
    <n v="78244"/>
    <m/>
    <s v="COURSIER"/>
    <s v="Q2"/>
    <e v="#REF!"/>
    <e v="#REF!"/>
    <e v="#REF!"/>
  </r>
  <r>
    <s v="181000"/>
    <x v="6"/>
    <s v="COMPTE DE LIAISON DES ETABLISSEMENTS"/>
    <s v="OD"/>
    <n v="-58"/>
    <d v="2025-02-04T00:00:00"/>
    <s v="Liaison inter-établissement vers TO "/>
    <m/>
    <e v="#N/A"/>
    <e v="#N/A"/>
    <n v="64352"/>
    <m/>
    <s v="SNCF"/>
    <s v="Q1"/>
    <e v="#REF!"/>
    <e v="#REF!"/>
    <e v="#REF!"/>
  </r>
  <r>
    <s v="181000"/>
    <x v="6"/>
    <s v="COMPTE DE LIAISON DES ETABLISSEMENTS"/>
    <s v="OD"/>
    <n v="-58"/>
    <d v="2025-02-04T00:00:00"/>
    <s v="Liaison inter-établissement vers TO "/>
    <m/>
    <e v="#N/A"/>
    <e v="#N/A"/>
    <n v="64356"/>
    <m/>
    <s v="SNCF"/>
    <s v="Q1"/>
    <e v="#REF!"/>
    <e v="#REF!"/>
    <e v="#REF!"/>
  </r>
  <r>
    <s v="181000"/>
    <x v="6"/>
    <s v="COMPTE DE LIAISON DES ETABLISSEMENTS"/>
    <s v="OD"/>
    <n v="-58"/>
    <d v="2025-06-04T00:00:00"/>
    <s v="Liaison inter-établissement vers TO "/>
    <m/>
    <e v="#N/A"/>
    <e v="#N/A"/>
    <n v="78141"/>
    <m/>
    <s v="SNCF"/>
    <s v="Q2"/>
    <e v="#REF!"/>
    <e v="#REF!"/>
    <e v="#REF!"/>
  </r>
  <r>
    <s v="181000"/>
    <x v="6"/>
    <s v="COMPTE DE LIAISON DES ETABLISSEMENTS"/>
    <s v="OD"/>
    <n v="-58"/>
    <d v="2025-09-10T00:00:00"/>
    <s v="Liaison inter-établissement vers TO "/>
    <m/>
    <e v="#N/A"/>
    <e v="#N/A"/>
    <n v="83157"/>
    <m/>
    <s v="SNCF"/>
    <s v="Q3"/>
    <e v="#REF!"/>
    <e v="#REF!"/>
    <e v="#REF!"/>
  </r>
  <r>
    <s v="181000"/>
    <x v="6"/>
    <s v="COMPTE DE LIAISON DES ETABLISSEMENTS"/>
    <s v="OD"/>
    <n v="-58"/>
    <d v="2025-11-18T00:00:00"/>
    <s v="Liaison inter-établissement vers TO "/>
    <m/>
    <e v="#N/A"/>
    <e v="#N/A"/>
    <n v="91722"/>
    <m/>
    <s v="SNCF"/>
    <s v="Q4"/>
    <e v="#REF!"/>
    <e v="#REF!"/>
    <e v="#REF!"/>
  </r>
  <r>
    <s v="181000"/>
    <x v="6"/>
    <s v="COMPTE DE LIAISON DES ETABLISSEMENTS"/>
    <s v="OD"/>
    <n v="-58"/>
    <d v="2025-11-18T00:00:00"/>
    <s v="Liaison inter-établissement vers TO "/>
    <m/>
    <e v="#N/A"/>
    <e v="#N/A"/>
    <n v="91726"/>
    <m/>
    <s v="SNCF"/>
    <s v="Q4"/>
    <e v="#REF!"/>
    <e v="#REF!"/>
    <e v="#REF!"/>
  </r>
  <r>
    <s v="181000"/>
    <x v="6"/>
    <s v="COMPTE DE LIAISON DES ETABLISSEMENTS"/>
    <s v="OD"/>
    <n v="-58"/>
    <d v="2025-12-04T00:00:00"/>
    <s v="Liaison inter-établissement vers TO "/>
    <m/>
    <e v="#N/A"/>
    <e v="#N/A"/>
    <n v="94121"/>
    <m/>
    <s v="SNCF"/>
    <s v="Q4"/>
    <e v="#REF!"/>
    <e v="#REF!"/>
    <e v="#REF!"/>
  </r>
  <r>
    <s v="181000"/>
    <x v="6"/>
    <s v="COMPTE DE LIAISON DES ETABLISSEMENTS"/>
    <s v="OD"/>
    <n v="-57.55"/>
    <d v="2025-05-07T00:00:00"/>
    <s v="Liaison établissement 401000 VWR KB"/>
    <m/>
    <e v="#N/A"/>
    <e v="#N/A"/>
    <n v="71851"/>
    <s v="ACIDE SULFURIQUE 95 % TECHNICAL FLACON VERRE 1L"/>
    <s v="VWR AVANTOR"/>
    <s v="Q2"/>
    <e v="#REF!"/>
    <e v="#REF!"/>
    <e v="#REF!"/>
  </r>
  <r>
    <s v="181000"/>
    <x v="6"/>
    <s v="COMPTE DE LIAISON DES ETABLISSEMENTS"/>
    <s v="OD"/>
    <n v="-57.1"/>
    <d v="2025-12-23T00:00:00"/>
    <s v="Liaison inter-établissement vers TO "/>
    <m/>
    <e v="#N/A"/>
    <e v="#N/A"/>
    <n v="93575"/>
    <m/>
    <s v="Pierre Thomas"/>
    <s v="Q4"/>
    <e v="#REF!"/>
    <e v="#REF!"/>
    <e v="#REF!"/>
  </r>
  <r>
    <s v="181000"/>
    <x v="6"/>
    <s v="COMPTE DE LIAISON DES ETABLISSEMENTS"/>
    <s v="OD"/>
    <n v="-57"/>
    <d v="2025-02-11T00:00:00"/>
    <s v="Liaison inter-établissement vers TO "/>
    <m/>
    <e v="#N/A"/>
    <e v="#N/A"/>
    <n v="73862"/>
    <m/>
    <s v="Jérémie Blache"/>
    <s v="Q1"/>
    <e v="#REF!"/>
    <e v="#REF!"/>
    <e v="#REF!"/>
  </r>
  <r>
    <s v="181000"/>
    <x v="6"/>
    <s v="COMPTE DE LIAISON DES ETABLISSEMENTS"/>
    <s v="OD"/>
    <n v="-57"/>
    <d v="2025-08-27T00:00:00"/>
    <s v="Liaison inter-établissement vers TO "/>
    <m/>
    <e v="#N/A"/>
    <e v="#N/A"/>
    <n v="83281"/>
    <m/>
    <s v="SNCF"/>
    <s v="Q3"/>
    <e v="#REF!"/>
    <e v="#REF!"/>
    <e v="#REF!"/>
  </r>
  <r>
    <s v="181000"/>
    <x v="6"/>
    <s v="COMPTE DE LIAISON DES ETABLISSEMENTS"/>
    <s v="OD"/>
    <n v="-56.99"/>
    <d v="2025-03-11T00:00:00"/>
    <s v="Liaison inter-établissement vers TO "/>
    <m/>
    <e v="#N/A"/>
    <e v="#N/A"/>
    <n v="66756"/>
    <m/>
    <s v="SNCF"/>
    <s v="Q1"/>
    <e v="#REF!"/>
    <e v="#REF!"/>
    <e v="#REF!"/>
  </r>
  <r>
    <s v="181000"/>
    <x v="6"/>
    <s v="COMPTE DE LIAISON DES ETABLISSEMENTS"/>
    <s v="OD"/>
    <n v="-56.14"/>
    <d v="2025-03-18T00:00:00"/>
    <s v="Liaison inter-établissement vers TO "/>
    <m/>
    <e v="#N/A"/>
    <e v="#N/A"/>
    <n v="64468"/>
    <m/>
    <s v="VWR AVANTOR"/>
    <s v="Q1"/>
    <e v="#REF!"/>
    <e v="#REF!"/>
    <e v="#REF!"/>
  </r>
  <r>
    <s v="181000"/>
    <x v="6"/>
    <s v="COMPTE DE LIAISON DES ETABLISSEMENTS"/>
    <s v="OD"/>
    <n v="-55.87"/>
    <d v="2025-05-30T00:00:00"/>
    <s v="Liaison inter-établissement vers TO "/>
    <m/>
    <e v="#N/A"/>
    <e v="#N/A"/>
    <n v="81030"/>
    <m/>
    <s v="RS COMPONENT"/>
    <s v="Q2"/>
    <e v="#REF!"/>
    <e v="#REF!"/>
    <e v="#REF!"/>
  </r>
  <r>
    <s v="181000"/>
    <x v="6"/>
    <s v="COMPTE DE LIAISON DES ETABLISSEMENTS"/>
    <s v="OD"/>
    <n v="-55.78"/>
    <d v="2025-10-31T00:00:00"/>
    <s v="Liaison établissement 401000 VWR KB"/>
    <m/>
    <e v="#N/A"/>
    <e v="#N/A"/>
    <n v="87575"/>
    <s v="COMMANDE PRODUIT LISA"/>
    <s v="VWR AVANTOR"/>
    <s v="Q4"/>
    <e v="#REF!"/>
    <e v="#REF!"/>
    <e v="#REF!"/>
  </r>
  <r>
    <s v="181000"/>
    <x v="6"/>
    <s v="COMPTE DE LIAISON DES ETABLISSEMENTS"/>
    <s v="OD"/>
    <n v="-55.55"/>
    <d v="2025-06-05T00:00:00"/>
    <s v="Liaison inter-établissement vers TO "/>
    <m/>
    <e v="#N/A"/>
    <e v="#N/A"/>
    <n v="78833"/>
    <m/>
    <s v="ENGIE"/>
    <s v="Q2"/>
    <e v="#REF!"/>
    <e v="#REF!"/>
    <e v="#REF!"/>
  </r>
  <r>
    <s v="181000"/>
    <x v="6"/>
    <s v="COMPTE DE LIAISON DES ETABLISSEMENTS"/>
    <s v="OD"/>
    <n v="-55.28"/>
    <d v="2025-06-05T00:00:00"/>
    <s v="Liaison inter-établissement vers TO "/>
    <m/>
    <e v="#N/A"/>
    <e v="#N/A"/>
    <n v="82811"/>
    <m/>
    <s v="BOUYGUES TELECOM"/>
    <s v="Q2"/>
    <e v="#REF!"/>
    <e v="#REF!"/>
    <e v="#REF!"/>
  </r>
  <r>
    <s v="181000"/>
    <x v="6"/>
    <s v="COMPTE DE LIAISON DES ETABLISSEMENTS"/>
    <s v="OD"/>
    <n v="-54.88"/>
    <d v="2025-04-29T00:00:00"/>
    <s v="Liaison inter-établissement vers TO "/>
    <m/>
    <e v="#N/A"/>
    <e v="#N/A"/>
    <n v="74530"/>
    <m/>
    <s v="Jérémie Blache"/>
    <s v="Q2"/>
    <e v="#REF!"/>
    <e v="#REF!"/>
    <e v="#REF!"/>
  </r>
  <r>
    <s v="181000"/>
    <x v="6"/>
    <s v="COMPTE DE LIAISON DES ETABLISSEMENTS"/>
    <s v="OD"/>
    <n v="-54.87"/>
    <d v="2025-03-04T00:00:00"/>
    <s v="Liaison inter-établissement vers TO "/>
    <m/>
    <e v="#N/A"/>
    <e v="#N/A"/>
    <n v="76667"/>
    <m/>
    <s v="Jérémie Blache"/>
    <s v="Q1"/>
    <e v="#REF!"/>
    <e v="#REF!"/>
    <e v="#REF!"/>
  </r>
  <r>
    <s v="181000"/>
    <x v="6"/>
    <s v="COMPTE DE LIAISON DES ETABLISSEMENTS"/>
    <s v="OD"/>
    <n v="-54.85"/>
    <d v="2025-05-08T00:00:00"/>
    <s v="Liaison inter-établissement vers TO "/>
    <m/>
    <e v="#N/A"/>
    <e v="#N/A"/>
    <n v="74940"/>
    <m/>
    <s v="DHL"/>
    <s v="Q2"/>
    <e v="#REF!"/>
    <e v="#REF!"/>
    <e v="#REF!"/>
  </r>
  <r>
    <s v="181000"/>
    <x v="6"/>
    <s v="COMPTE DE LIAISON DES ETABLISSEMENTS"/>
    <s v="OD"/>
    <n v="-54"/>
    <d v="2025-06-27T00:00:00"/>
    <s v="Liaison inter-établissement vers TO "/>
    <m/>
    <e v="#N/A"/>
    <e v="#N/A"/>
    <n v="76635"/>
    <m/>
    <s v="Jérémie Blache"/>
    <s v="Q2"/>
    <e v="#REF!"/>
    <e v="#REF!"/>
    <e v="#REF!"/>
  </r>
  <r>
    <s v="181000"/>
    <x v="6"/>
    <s v="COMPTE DE LIAISON DES ETABLISSEMENTS"/>
    <s v="OD"/>
    <n v="-53.77"/>
    <d v="2025-09-30T00:00:00"/>
    <s v="Liaison inter-établissement vers TO "/>
    <m/>
    <e v="#N/A"/>
    <e v="#N/A"/>
    <n v="91062"/>
    <m/>
    <s v="DHL"/>
    <s v="Q3"/>
    <e v="#REF!"/>
    <e v="#REF!"/>
    <e v="#REF!"/>
  </r>
  <r>
    <s v="181000"/>
    <x v="6"/>
    <s v="COMPTE DE LIAISON DES ETABLISSEMENTS"/>
    <s v="OD"/>
    <n v="-53.17"/>
    <d v="2025-02-11T00:00:00"/>
    <s v="Liaison inter-établissement vers TO "/>
    <m/>
    <e v="#N/A"/>
    <e v="#N/A"/>
    <n v="73866"/>
    <m/>
    <s v="Jérémie Blache"/>
    <s v="Q1"/>
    <e v="#REF!"/>
    <e v="#REF!"/>
    <e v="#REF!"/>
  </r>
  <r>
    <s v="181000"/>
    <x v="6"/>
    <s v="COMPTE DE LIAISON DES ETABLISSEMENTS"/>
    <s v="OD"/>
    <n v="-52.5"/>
    <d v="2025-08-27T00:00:00"/>
    <s v="Liaison inter-établissement vers TO "/>
    <m/>
    <e v="#N/A"/>
    <e v="#N/A"/>
    <n v="83289"/>
    <m/>
    <s v="SNCF"/>
    <s v="Q3"/>
    <e v="#REF!"/>
    <e v="#REF!"/>
    <e v="#REF!"/>
  </r>
  <r>
    <s v="181000"/>
    <x v="6"/>
    <s v="COMPTE DE LIAISON DES ETABLISSEMENTS"/>
    <s v="OD"/>
    <n v="-52.34"/>
    <d v="2025-06-30T00:00:00"/>
    <s v="Liaison inter-établissement"/>
    <m/>
    <e v="#N/A"/>
    <e v="#N/A"/>
    <n v="78697"/>
    <m/>
    <m/>
    <s v="Q2"/>
    <e v="#REF!"/>
    <e v="#REF!"/>
    <e v="#REF!"/>
  </r>
  <r>
    <s v="181000"/>
    <x v="6"/>
    <s v="COMPTE DE LIAISON DES ETABLISSEMENTS"/>
    <s v="OD"/>
    <n v="-52.26"/>
    <d v="2025-08-18T00:00:00"/>
    <s v="Liaison établissement 401000 VWR KB"/>
    <m/>
    <e v="#N/A"/>
    <e v="#N/A"/>
    <n v="81172"/>
    <s v="COMMANDE PRODUIT KEENB"/>
    <s v="VWR AVANTOR"/>
    <s v="Q3"/>
    <e v="#REF!"/>
    <e v="#REF!"/>
    <e v="#REF!"/>
  </r>
  <r>
    <s v="181000"/>
    <x v="6"/>
    <s v="COMPTE DE LIAISON DES ETABLISSEMENTS"/>
    <s v="OD"/>
    <n v="-52.2"/>
    <d v="2025-02-24T00:00:00"/>
    <s v="Liaison inter-établissement vers TO "/>
    <m/>
    <e v="#N/A"/>
    <e v="#N/A"/>
    <n v="71376"/>
    <m/>
    <s v="ORANGE"/>
    <s v="Q1"/>
    <e v="#REF!"/>
    <e v="#REF!"/>
    <e v="#REF!"/>
  </r>
  <r>
    <s v="181000"/>
    <x v="6"/>
    <s v="COMPTE DE LIAISON DES ETABLISSEMENTS"/>
    <s v="OD"/>
    <n v="-52.2"/>
    <d v="2025-03-24T00:00:00"/>
    <s v="Liaison inter-établissement vers TO "/>
    <m/>
    <e v="#N/A"/>
    <e v="#N/A"/>
    <n v="76230"/>
    <m/>
    <s v="ORANGE"/>
    <s v="Q1"/>
    <e v="#REF!"/>
    <e v="#REF!"/>
    <e v="#REF!"/>
  </r>
  <r>
    <s v="181000"/>
    <x v="6"/>
    <s v="COMPTE DE LIAISON DES ETABLISSEMENTS"/>
    <s v="OD"/>
    <n v="-52.2"/>
    <d v="2025-04-28T00:00:00"/>
    <s v="Liaison inter-établissement vers TO "/>
    <m/>
    <e v="#N/A"/>
    <e v="#N/A"/>
    <n v="71380"/>
    <m/>
    <s v="ORANGE"/>
    <s v="Q2"/>
    <e v="#REF!"/>
    <e v="#REF!"/>
    <e v="#REF!"/>
  </r>
  <r>
    <s v="181000"/>
    <x v="6"/>
    <s v="COMPTE DE LIAISON DES ETABLISSEMENTS"/>
    <s v="OD"/>
    <n v="-51.36"/>
    <d v="2025-04-08T00:00:00"/>
    <s v="Liaison inter-établissement vers TO "/>
    <m/>
    <e v="#N/A"/>
    <e v="#N/A"/>
    <n v="69996"/>
    <m/>
    <s v="ROTH SOCHIEL"/>
    <s v="Q2"/>
    <e v="#REF!"/>
    <e v="#REF!"/>
    <e v="#REF!"/>
  </r>
  <r>
    <s v="181000"/>
    <x v="6"/>
    <s v="COMPTE DE LIAISON DES ETABLISSEMENTS"/>
    <s v="OD"/>
    <n v="-51"/>
    <d v="2025-03-31T00:00:00"/>
    <s v="Liaison inter-établissement vers TO "/>
    <m/>
    <e v="#N/A"/>
    <e v="#N/A"/>
    <n v="69952"/>
    <m/>
    <s v="BONJOUR DRINK"/>
    <s v="Q1"/>
    <e v="#REF!"/>
    <e v="#REF!"/>
    <e v="#REF!"/>
  </r>
  <r>
    <s v="181000"/>
    <x v="6"/>
    <s v="COMPTE DE LIAISON DES ETABLISSEMENTS"/>
    <s v="OD"/>
    <n v="-50.98"/>
    <d v="2025-08-18T00:00:00"/>
    <s v="Liaison établissement 401000 VWR KB"/>
    <m/>
    <e v="#N/A"/>
    <e v="#N/A"/>
    <n v="81162"/>
    <s v="COMMANDE PRODUIT KEENB"/>
    <s v="VWR AVANTOR"/>
    <s v="Q3"/>
    <e v="#REF!"/>
    <e v="#REF!"/>
    <e v="#REF!"/>
  </r>
  <r>
    <s v="181000"/>
    <x v="6"/>
    <s v="COMPTE DE LIAISON DES ETABLISSEMENTS"/>
    <s v="OD"/>
    <n v="-50.4"/>
    <d v="2025-04-04T00:00:00"/>
    <s v="Liaison inter-établissement vers TO "/>
    <m/>
    <e v="#N/A"/>
    <e v="#N/A"/>
    <n v="74244"/>
    <m/>
    <s v="Clément Perrocheau"/>
    <s v="Q2"/>
    <e v="#REF!"/>
    <e v="#REF!"/>
    <e v="#REF!"/>
  </r>
  <r>
    <s v="181000"/>
    <x v="6"/>
    <s v="COMPTE DE LIAISON DES ETABLISSEMENTS"/>
    <s v="OD"/>
    <n v="-50"/>
    <d v="2025-02-05T00:00:00"/>
    <s v="Liaison inter-établissement vers TO "/>
    <m/>
    <e v="#N/A"/>
    <e v="#N/A"/>
    <n v="73870"/>
    <m/>
    <s v="Jérémie Blache"/>
    <s v="Q1"/>
    <e v="#REF!"/>
    <e v="#REF!"/>
    <e v="#REF!"/>
  </r>
  <r>
    <s v="181000"/>
    <x v="6"/>
    <s v="COMPTE DE LIAISON DES ETABLISSEMENTS"/>
    <s v="OD"/>
    <n v="-50"/>
    <d v="2025-03-04T00:00:00"/>
    <s v="Liaison inter-établissement vers TO "/>
    <m/>
    <e v="#N/A"/>
    <e v="#N/A"/>
    <n v="73842"/>
    <m/>
    <s v="Jérémie Blache"/>
    <s v="Q1"/>
    <e v="#REF!"/>
    <e v="#REF!"/>
    <e v="#REF!"/>
  </r>
  <r>
    <s v="181000"/>
    <x v="6"/>
    <s v="COMPTE DE LIAISON DES ETABLISSEMENTS"/>
    <s v="OD"/>
    <n v="-50"/>
    <d v="2025-04-04T00:00:00"/>
    <s v="Liaison inter-établissement vers TO "/>
    <m/>
    <e v="#N/A"/>
    <e v="#N/A"/>
    <n v="73830"/>
    <m/>
    <s v="Jérémie Blache"/>
    <s v="Q2"/>
    <e v="#REF!"/>
    <e v="#REF!"/>
    <e v="#REF!"/>
  </r>
  <r>
    <s v="181000"/>
    <x v="6"/>
    <s v="COMPTE DE LIAISON DES ETABLISSEMENTS"/>
    <s v="OD"/>
    <n v="-49.99"/>
    <d v="2025-02-26T00:00:00"/>
    <s v="Liaison inter-établissement vers TO "/>
    <m/>
    <e v="#N/A"/>
    <e v="#N/A"/>
    <n v="73814"/>
    <m/>
    <s v="Anne-Sophie Goutierre"/>
    <s v="Q1"/>
    <e v="#REF!"/>
    <e v="#REF!"/>
    <e v="#REF!"/>
  </r>
  <r>
    <s v="181000"/>
    <x v="6"/>
    <s v="COMPTE DE LIAISON DES ETABLISSEMENTS"/>
    <s v="OD"/>
    <n v="-49.98"/>
    <d v="2025-01-20T00:00:00"/>
    <s v="Liaison inter-établissement vers TO "/>
    <m/>
    <e v="#N/A"/>
    <e v="#N/A"/>
    <n v="73878"/>
    <m/>
    <s v="Jérémie Blache"/>
    <s v="Q1"/>
    <e v="#REF!"/>
    <e v="#REF!"/>
    <e v="#REF!"/>
  </r>
  <r>
    <s v="181000"/>
    <x v="6"/>
    <s v="COMPTE DE LIAISON DES ETABLISSEMENTS"/>
    <s v="OD"/>
    <n v="-49.94"/>
    <d v="2025-01-10T00:00:00"/>
    <s v="Liaison inter-établissement vers TO "/>
    <m/>
    <e v="#N/A"/>
    <e v="#N/A"/>
    <n v="74904"/>
    <m/>
    <s v="DHL"/>
    <s v="Q1"/>
    <e v="#REF!"/>
    <e v="#REF!"/>
    <e v="#REF!"/>
  </r>
  <r>
    <s v="181000"/>
    <x v="6"/>
    <s v="COMPTE DE LIAISON DES ETABLISSEMENTS"/>
    <s v="OD"/>
    <n v="-49.81"/>
    <d v="2025-11-07T00:00:00"/>
    <s v="Liaison établissement 401000 VWR KB"/>
    <m/>
    <e v="#N/A"/>
    <e v="#N/A"/>
    <n v="89433"/>
    <s v="4067825047"/>
    <s v="VWR AVANTOR"/>
    <s v="Q4"/>
    <e v="#REF!"/>
    <e v="#REF!"/>
    <e v="#REF!"/>
  </r>
  <r>
    <s v="181000"/>
    <x v="6"/>
    <s v="COMPTE DE LIAISON DES ETABLISSEMENTS"/>
    <s v="OD"/>
    <n v="-49"/>
    <d v="2025-04-08T00:00:00"/>
    <s v="Liaison établissement 401000 TCI KB"/>
    <m/>
    <e v="#N/A"/>
    <e v="#N/A"/>
    <n v="66686"/>
    <s v="Invoice Payment by Pili"/>
    <s v="TCI"/>
    <s v="Q2"/>
    <e v="#REF!"/>
    <e v="#REF!"/>
    <e v="#REF!"/>
  </r>
  <r>
    <s v="181000"/>
    <x v="6"/>
    <s v="COMPTE DE LIAISON DES ETABLISSEMENTS"/>
    <s v="OD"/>
    <n v="-48.72"/>
    <d v="2025-07-31T00:00:00"/>
    <s v="Liaison établissement 401000 VWR KB"/>
    <m/>
    <e v="#N/A"/>
    <e v="#N/A"/>
    <n v="79311"/>
    <s v="COMMANDE PRODUIT KEENB"/>
    <s v="VWR AVANTOR"/>
    <s v="Q3"/>
    <e v="#REF!"/>
    <e v="#REF!"/>
    <e v="#REF!"/>
  </r>
  <r>
    <s v="181000"/>
    <x v="6"/>
    <s v="COMPTE DE LIAISON DES ETABLISSEMENTS"/>
    <s v="OD"/>
    <n v="-48.07"/>
    <d v="2025-03-28T00:00:00"/>
    <s v="Liaison établissement 401000 VWR KB"/>
    <m/>
    <e v="#N/A"/>
    <e v="#N/A"/>
    <n v="64973"/>
    <s v="Invoice Payment by Pili"/>
    <s v="VWR AVANTOR"/>
    <s v="Q1"/>
    <e v="#REF!"/>
    <e v="#REF!"/>
    <e v="#REF!"/>
  </r>
  <r>
    <s v="181000"/>
    <x v="6"/>
    <s v="COMPTE DE LIAISON DES ETABLISSEMENTS"/>
    <s v="OD"/>
    <n v="-47.86"/>
    <d v="2025-01-25T00:00:00"/>
    <s v="Liaison inter-établissement vers TO "/>
    <m/>
    <e v="#N/A"/>
    <e v="#N/A"/>
    <n v="63554"/>
    <m/>
    <s v="AUCHAN"/>
    <s v="Q1"/>
    <e v="#REF!"/>
    <e v="#REF!"/>
    <e v="#REF!"/>
  </r>
  <r>
    <s v="181000"/>
    <x v="6"/>
    <s v="COMPTE DE LIAISON DES ETABLISSEMENTS"/>
    <s v="OD"/>
    <n v="-47.7"/>
    <d v="2025-09-26T00:00:00"/>
    <s v="Liaison établissement 401000 VWR KB"/>
    <m/>
    <e v="#N/A"/>
    <e v="#N/A"/>
    <n v="82530"/>
    <s v="INVOICE PAYMENT BY PILI"/>
    <s v="VWR AVANTOR"/>
    <s v="Q3"/>
    <e v="#REF!"/>
    <e v="#REF!"/>
    <e v="#REF!"/>
  </r>
  <r>
    <s v="181000"/>
    <x v="6"/>
    <s v="COMPTE DE LIAISON DES ETABLISSEMENTS"/>
    <s v="OD"/>
    <n v="-47.54"/>
    <d v="2025-03-21T00:00:00"/>
    <s v="Liaison inter-établissement vers TO "/>
    <m/>
    <e v="#N/A"/>
    <e v="#N/A"/>
    <n v="68075"/>
    <m/>
    <s v="BRUNEAU"/>
    <s v="Q1"/>
    <e v="#REF!"/>
    <e v="#REF!"/>
    <e v="#REF!"/>
  </r>
  <r>
    <s v="181000"/>
    <x v="6"/>
    <s v="COMPTE DE LIAISON DES ETABLISSEMENTS"/>
    <s v="OD"/>
    <n v="-47.28"/>
    <d v="2025-07-09T00:00:00"/>
    <s v="Liaison établissement 401000 VWR RO"/>
    <m/>
    <e v="#N/A"/>
    <e v="#N/A"/>
    <n v="77241"/>
    <s v="PAPIER FILTRE PAILLASSE"/>
    <s v="VWR AVANTOR"/>
    <s v="Q3"/>
    <e v="#REF!"/>
    <e v="#REF!"/>
    <e v="#REF!"/>
  </r>
  <r>
    <s v="181000"/>
    <x v="6"/>
    <s v="COMPTE DE LIAISON DES ETABLISSEMENTS"/>
    <s v="OD"/>
    <n v="-47.18"/>
    <d v="2025-03-28T00:00:00"/>
    <s v="Liaison établissement 401000 VWR KB"/>
    <m/>
    <e v="#N/A"/>
    <e v="#N/A"/>
    <n v="64978"/>
    <s v="Invoice Payment by Pili"/>
    <s v="VWR AVANTOR"/>
    <s v="Q1"/>
    <e v="#REF!"/>
    <e v="#REF!"/>
    <e v="#REF!"/>
  </r>
  <r>
    <s v="181000"/>
    <x v="6"/>
    <s v="COMPTE DE LIAISON DES ETABLISSEMENTS"/>
    <s v="OD"/>
    <n v="-46.96"/>
    <d v="2025-12-09T00:00:00"/>
    <s v="Liaison inter-établissement vers TO "/>
    <m/>
    <e v="#N/A"/>
    <e v="#N/A"/>
    <n v="91911"/>
    <m/>
    <s v="ENGIE"/>
    <s v="Q4"/>
    <e v="#REF!"/>
    <e v="#REF!"/>
    <e v="#REF!"/>
  </r>
  <r>
    <s v="181000"/>
    <x v="6"/>
    <s v="COMPTE DE LIAISON DES ETABLISSEMENTS"/>
    <s v="OD"/>
    <n v="-45.99"/>
    <d v="2025-08-22T00:00:00"/>
    <s v="Liaison inter-établissement vers TO "/>
    <m/>
    <e v="#N/A"/>
    <e v="#N/A"/>
    <n v="83293"/>
    <m/>
    <s v="AUER"/>
    <s v="Q3"/>
    <e v="#REF!"/>
    <e v="#REF!"/>
    <e v="#REF!"/>
  </r>
  <r>
    <s v="181000"/>
    <x v="6"/>
    <s v="COMPTE DE LIAISON DES ETABLISSEMENTS"/>
    <s v="OD"/>
    <n v="-45.98"/>
    <d v="2025-07-18T00:00:00"/>
    <s v="Liaison inter-établissement vers TO "/>
    <m/>
    <e v="#N/A"/>
    <e v="#N/A"/>
    <n v="78869"/>
    <m/>
    <s v="DHL"/>
    <s v="Q3"/>
    <e v="#REF!"/>
    <e v="#REF!"/>
    <e v="#REF!"/>
  </r>
  <r>
    <s v="181000"/>
    <x v="6"/>
    <s v="COMPTE DE LIAISON DES ETABLISSEMENTS"/>
    <s v="OD"/>
    <n v="-45.9"/>
    <d v="2025-05-22T00:00:00"/>
    <s v="Liaison inter-établissement vers TO "/>
    <m/>
    <e v="#N/A"/>
    <e v="#N/A"/>
    <n v="76707"/>
    <m/>
    <s v="Guillaume Boissonnat-Wu"/>
    <s v="Q2"/>
    <e v="#REF!"/>
    <e v="#REF!"/>
    <e v="#REF!"/>
  </r>
  <r>
    <s v="181000"/>
    <x v="6"/>
    <s v="COMPTE DE LIAISON DES ETABLISSEMENTS"/>
    <s v="OD"/>
    <n v="-45.89"/>
    <d v="2025-12-10T00:00:00"/>
    <s v="Liaison établissement 401000 VWR KB"/>
    <m/>
    <e v="#N/A"/>
    <e v="#N/A"/>
    <n v="92054"/>
    <s v="4067855749"/>
    <s v="VWR AVANTOR"/>
    <s v="Q4"/>
    <e v="#REF!"/>
    <e v="#REF!"/>
    <e v="#REF!"/>
  </r>
  <r>
    <s v="181000"/>
    <x v="6"/>
    <s v="COMPTE DE LIAISON DES ETABLISSEMENTS"/>
    <s v="OD"/>
    <n v="-45.48"/>
    <d v="2025-09-30T00:00:00"/>
    <s v="Liaison inter-établissement vers TO "/>
    <m/>
    <e v="#N/A"/>
    <e v="#N/A"/>
    <n v="83177"/>
    <m/>
    <s v="SENDCLOUD"/>
    <s v="Q3"/>
    <e v="#REF!"/>
    <e v="#REF!"/>
    <e v="#REF!"/>
  </r>
  <r>
    <s v="181000"/>
    <x v="6"/>
    <s v="COMPTE DE LIAISON DES ETABLISSEMENTS"/>
    <s v="OD"/>
    <n v="-45"/>
    <d v="2025-01-19T00:00:00"/>
    <s v="Liaison inter-établissement vers TO "/>
    <m/>
    <e v="#N/A"/>
    <e v="#N/A"/>
    <n v="64396"/>
    <m/>
    <s v="BOULANGER"/>
    <s v="Q1"/>
    <e v="#REF!"/>
    <e v="#REF!"/>
    <e v="#REF!"/>
  </r>
  <r>
    <s v="181000"/>
    <x v="6"/>
    <s v="COMPTE DE LIAISON DES ETABLISSEMENTS"/>
    <s v="OD"/>
    <n v="-45"/>
    <d v="2025-08-02T00:00:00"/>
    <s v="Liaison inter-établissement vers TO "/>
    <m/>
    <e v="#N/A"/>
    <e v="#N/A"/>
    <n v="83269"/>
    <m/>
    <s v="ANTAI.GOUV.FR"/>
    <s v="Q3"/>
    <e v="#REF!"/>
    <e v="#REF!"/>
    <e v="#REF!"/>
  </r>
  <r>
    <s v="181000"/>
    <x v="6"/>
    <s v="COMPTE DE LIAISON DES ETABLISSEMENTS"/>
    <s v="OD"/>
    <n v="-44.86"/>
    <d v="2025-02-17T00:00:00"/>
    <s v="Liaison inter-établissement vers TO "/>
    <m/>
    <e v="#N/A"/>
    <e v="#N/A"/>
    <n v="64340"/>
    <m/>
    <s v="SHOPIFY"/>
    <s v="Q1"/>
    <e v="#REF!"/>
    <e v="#REF!"/>
    <e v="#REF!"/>
  </r>
  <r>
    <s v="181000"/>
    <x v="6"/>
    <s v="COMPTE DE LIAISON DES ETABLISSEMENTS"/>
    <s v="OD"/>
    <n v="-44.69"/>
    <d v="2025-03-19T00:00:00"/>
    <s v="Liaison inter-établissement vers TO "/>
    <m/>
    <e v="#N/A"/>
    <e v="#N/A"/>
    <n v="70093"/>
    <m/>
    <s v="SHOPIFY"/>
    <s v="Q1"/>
    <e v="#REF!"/>
    <e v="#REF!"/>
    <e v="#REF!"/>
  </r>
  <r>
    <s v="181000"/>
    <x v="6"/>
    <s v="COMPTE DE LIAISON DES ETABLISSEMENTS"/>
    <s v="OD"/>
    <n v="-44.66"/>
    <d v="2025-09-26T00:00:00"/>
    <s v="Liaison établissement 401000 VWR KB"/>
    <m/>
    <e v="#N/A"/>
    <e v="#N/A"/>
    <n v="82535"/>
    <s v="INVOICE PAYMENT BY PILI"/>
    <s v="VWR AVANTOR"/>
    <s v="Q3"/>
    <e v="#REF!"/>
    <e v="#REF!"/>
    <e v="#REF!"/>
  </r>
  <r>
    <s v="181000"/>
    <x v="6"/>
    <s v="COMPTE DE LIAISON DES ETABLISSEMENTS"/>
    <s v="OD"/>
    <n v="-44.65"/>
    <d v="2025-03-03T00:00:00"/>
    <s v="Liaison inter-établissement vers TO "/>
    <m/>
    <e v="#N/A"/>
    <e v="#N/A"/>
    <n v="63840"/>
    <m/>
    <s v="SANITY"/>
    <s v="Q1"/>
    <e v="#REF!"/>
    <e v="#REF!"/>
    <e v="#REF!"/>
  </r>
  <r>
    <s v="181000"/>
    <x v="6"/>
    <s v="COMPTE DE LIAISON DES ETABLISSEMENTS"/>
    <s v="OD"/>
    <n v="-44.46"/>
    <d v="2025-05-07T00:00:00"/>
    <s v="Liaison établissement 401000 VWR KB"/>
    <m/>
    <e v="#N/A"/>
    <e v="#N/A"/>
    <n v="71871"/>
    <s v="COMMANDE PRODUIT KEENABIS"/>
    <s v="VWR AVANTOR"/>
    <s v="Q2"/>
    <e v="#REF!"/>
    <e v="#REF!"/>
    <e v="#REF!"/>
  </r>
  <r>
    <s v="181000"/>
    <x v="6"/>
    <s v="COMPTE DE LIAISON DES ETABLISSEMENTS"/>
    <s v="OD"/>
    <n v="-44.39"/>
    <d v="2025-04-18T00:00:00"/>
    <s v="Liaison inter-établissement vers TO "/>
    <m/>
    <e v="#N/A"/>
    <e v="#N/A"/>
    <n v="74754"/>
    <m/>
    <s v="SHOPIFY"/>
    <s v="Q2"/>
    <e v="#REF!"/>
    <e v="#REF!"/>
    <e v="#REF!"/>
  </r>
  <r>
    <s v="181000"/>
    <x v="6"/>
    <s v="COMPTE DE LIAISON DES ETABLISSEMENTS"/>
    <s v="OD"/>
    <n v="-44.34"/>
    <d v="2025-04-30T00:00:00"/>
    <s v="Liaison inter-établissement vers TO "/>
    <m/>
    <e v="#N/A"/>
    <e v="#N/A"/>
    <n v="74538"/>
    <m/>
    <s v="Jérémie Blache"/>
    <s v="Q2"/>
    <e v="#REF!"/>
    <e v="#REF!"/>
    <e v="#REF!"/>
  </r>
  <r>
    <s v="181000"/>
    <x v="6"/>
    <s v="COMPTE DE LIAISON DES ETABLISSEMENTS"/>
    <s v="OD"/>
    <n v="-44.27"/>
    <d v="2025-04-08T00:00:00"/>
    <s v="Liaison inter-établissement vers TO "/>
    <m/>
    <e v="#N/A"/>
    <e v="#N/A"/>
    <n v="72769"/>
    <m/>
    <s v="ENGIE"/>
    <s v="Q2"/>
    <e v="#REF!"/>
    <e v="#REF!"/>
    <e v="#REF!"/>
  </r>
  <r>
    <s v="181000"/>
    <x v="6"/>
    <s v="COMPTE DE LIAISON DES ETABLISSEMENTS"/>
    <s v="OD"/>
    <n v="-44.15"/>
    <d v="2025-06-17T00:00:00"/>
    <s v="Liaison inter-établissement vers TO "/>
    <m/>
    <e v="#N/A"/>
    <e v="#N/A"/>
    <n v="78220"/>
    <m/>
    <s v="SHOPIFY"/>
    <s v="Q2"/>
    <e v="#REF!"/>
    <e v="#REF!"/>
    <e v="#REF!"/>
  </r>
  <r>
    <s v="181000"/>
    <x v="6"/>
    <s v="COMPTE DE LIAISON DES ETABLISSEMENTS"/>
    <s v="OD"/>
    <n v="-44.13"/>
    <d v="2025-02-07T00:00:00"/>
    <s v="Liaison inter-établissement vers TO "/>
    <m/>
    <e v="#N/A"/>
    <e v="#N/A"/>
    <n v="74963"/>
    <m/>
    <s v="ENGIE"/>
    <s v="Q1"/>
    <e v="#REF!"/>
    <e v="#REF!"/>
    <e v="#REF!"/>
  </r>
  <r>
    <s v="181000"/>
    <x v="6"/>
    <s v="COMPTE DE LIAISON DES ETABLISSEMENTS"/>
    <s v="OD"/>
    <n v="-44.1"/>
    <d v="2025-06-13T00:00:00"/>
    <s v="Liaison inter-établissement vers TO "/>
    <m/>
    <e v="#N/A"/>
    <e v="#N/A"/>
    <n v="76631"/>
    <m/>
    <s v="Jérémie Blache"/>
    <s v="Q2"/>
    <e v="#REF!"/>
    <e v="#REF!"/>
    <e v="#REF!"/>
  </r>
  <r>
    <s v="181000"/>
    <x v="6"/>
    <s v="COMPTE DE LIAISON DES ETABLISSEMENTS"/>
    <s v="OD"/>
    <n v="-44.08"/>
    <d v="2025-05-18T00:00:00"/>
    <s v="Liaison inter-établissement vers TO "/>
    <m/>
    <e v="#N/A"/>
    <e v="#N/A"/>
    <n v="75138"/>
    <m/>
    <s v="SHOPIFY"/>
    <s v="Q2"/>
    <e v="#REF!"/>
    <e v="#REF!"/>
    <e v="#REF!"/>
  </r>
  <r>
    <s v="181000"/>
    <x v="6"/>
    <s v="COMPTE DE LIAISON DES ETABLISSEMENTS"/>
    <s v="OD"/>
    <n v="-44"/>
    <d v="2025-05-03T00:00:00"/>
    <s v="Liaison inter-établissement vers TO "/>
    <m/>
    <e v="#N/A"/>
    <e v="#N/A"/>
    <n v="75114"/>
    <m/>
    <s v="LA FOURCHE"/>
    <s v="Q2"/>
    <e v="#REF!"/>
    <e v="#REF!"/>
    <e v="#REF!"/>
  </r>
  <r>
    <s v="181000"/>
    <x v="6"/>
    <s v="COMPTE DE LIAISON DES ETABLISSEMENTS"/>
    <s v="OD"/>
    <n v="-43.9"/>
    <d v="2025-07-17T00:00:00"/>
    <s v="Liaison inter-établissement vers TO "/>
    <m/>
    <e v="#N/A"/>
    <e v="#N/A"/>
    <n v="81042"/>
    <m/>
    <s v="SHOPIFY"/>
    <s v="Q3"/>
    <e v="#REF!"/>
    <e v="#REF!"/>
    <e v="#REF!"/>
  </r>
  <r>
    <s v="181000"/>
    <x v="6"/>
    <s v="COMPTE DE LIAISON DES ETABLISSEMENTS"/>
    <s v="OD"/>
    <n v="-43.88"/>
    <d v="2025-12-14T00:00:00"/>
    <s v="Liaison inter-établissement vers TO "/>
    <m/>
    <e v="#N/A"/>
    <e v="#N/A"/>
    <n v="94105"/>
    <m/>
    <s v="SHOPIFY"/>
    <s v="Q4"/>
    <e v="#REF!"/>
    <e v="#REF!"/>
    <e v="#REF!"/>
  </r>
  <r>
    <s v="181000"/>
    <x v="6"/>
    <s v="COMPTE DE LIAISON DES ETABLISSEMENTS"/>
    <s v="OD"/>
    <n v="-43.86"/>
    <d v="2025-11-14T00:00:00"/>
    <s v="Liaison inter-établissement vers TO "/>
    <m/>
    <e v="#N/A"/>
    <e v="#N/A"/>
    <n v="91746"/>
    <m/>
    <s v="SHOPIFY"/>
    <s v="Q4"/>
    <e v="#REF!"/>
    <e v="#REF!"/>
    <e v="#REF!"/>
  </r>
  <r>
    <s v="181000"/>
    <x v="6"/>
    <s v="COMPTE DE LIAISON DES ETABLISSEMENTS"/>
    <s v="OD"/>
    <n v="-43.82"/>
    <d v="2025-08-16T00:00:00"/>
    <s v="Liaison inter-établissement vers TO "/>
    <m/>
    <e v="#N/A"/>
    <e v="#N/A"/>
    <n v="83333"/>
    <m/>
    <s v="SHOPIFY"/>
    <s v="Q3"/>
    <e v="#REF!"/>
    <e v="#REF!"/>
    <e v="#REF!"/>
  </r>
  <r>
    <s v="181000"/>
    <x v="6"/>
    <s v="COMPTE DE LIAISON DES ETABLISSEMENTS"/>
    <s v="OD"/>
    <n v="-43.79"/>
    <d v="2025-09-15T00:00:00"/>
    <s v="Liaison inter-établissement vers TO "/>
    <m/>
    <e v="#N/A"/>
    <e v="#N/A"/>
    <n v="83337"/>
    <m/>
    <s v="SHOPIFY"/>
    <s v="Q3"/>
    <e v="#REF!"/>
    <e v="#REF!"/>
    <e v="#REF!"/>
  </r>
  <r>
    <s v="181000"/>
    <x v="6"/>
    <s v="COMPTE DE LIAISON DES ETABLISSEMENTS"/>
    <s v="OD"/>
    <n v="-43.78"/>
    <d v="2025-10-15T00:00:00"/>
    <s v="Liaison inter-établissement vers KB "/>
    <m/>
    <e v="#N/A"/>
    <e v="#N/A"/>
    <n v="89957"/>
    <m/>
    <s v="SHOPIFY"/>
    <s v="Q4"/>
    <e v="#REF!"/>
    <e v="#REF!"/>
    <e v="#REF!"/>
  </r>
  <r>
    <s v="181000"/>
    <x v="6"/>
    <s v="COMPTE DE LIAISON DES ETABLISSEMENTS"/>
    <s v="OD"/>
    <n v="-43.78"/>
    <d v="2025-10-15T00:00:00"/>
    <s v="Liaison inter-établissement vers TO "/>
    <m/>
    <e v="#N/A"/>
    <e v="#N/A"/>
    <n v="89782"/>
    <m/>
    <s v="SHOPIFY"/>
    <s v="Q4"/>
    <e v="#REF!"/>
    <e v="#REF!"/>
    <e v="#REF!"/>
  </r>
  <r>
    <s v="181000"/>
    <x v="6"/>
    <s v="COMPTE DE LIAISON DES ETABLISSEMENTS"/>
    <s v="OD"/>
    <n v="-43.78"/>
    <d v="2025-11-28T00:00:00"/>
    <s v="Liaison établissement 401000 VWR KB"/>
    <m/>
    <e v="#N/A"/>
    <e v="#N/A"/>
    <n v="91252"/>
    <s v="4067843913"/>
    <s v="VWR AVANTOR"/>
    <s v="Q4"/>
    <e v="#REF!"/>
    <e v="#REF!"/>
    <e v="#REF!"/>
  </r>
  <r>
    <s v="181000"/>
    <x v="6"/>
    <s v="COMPTE DE LIAISON DES ETABLISSEMENTS"/>
    <s v="OD"/>
    <n v="-43.56"/>
    <d v="2025-03-22T00:00:00"/>
    <s v="Liaison inter-établissement vers TO "/>
    <m/>
    <s v="Non"/>
    <e v="#N/A"/>
    <n v="68115"/>
    <m/>
    <s v="DIVERS"/>
    <s v="Q1"/>
    <e v="#REF!"/>
    <e v="#REF!"/>
    <e v="#REF!"/>
  </r>
  <r>
    <s v="181000"/>
    <x v="6"/>
    <s v="COMPTE DE LIAISON DES ETABLISSEMENTS"/>
    <s v="OD"/>
    <n v="-43.5"/>
    <d v="2025-02-01T00:00:00"/>
    <s v="Liaison inter-établissement vers KB "/>
    <m/>
    <e v="#N/A"/>
    <e v="#N/A"/>
    <n v="89489"/>
    <m/>
    <s v="ORANGE"/>
    <s v="Q1"/>
    <e v="#REF!"/>
    <e v="#REF!"/>
    <e v="#REF!"/>
  </r>
  <r>
    <s v="181000"/>
    <x v="6"/>
    <s v="COMPTE DE LIAISON DES ETABLISSEMENTS"/>
    <s v="OD"/>
    <n v="-43.02"/>
    <d v="2025-05-08T00:00:00"/>
    <s v="Liaison inter-établissement vers TO "/>
    <m/>
    <e v="#N/A"/>
    <e v="#N/A"/>
    <n v="78817"/>
    <m/>
    <s v="ENGIE"/>
    <s v="Q2"/>
    <e v="#REF!"/>
    <e v="#REF!"/>
    <e v="#REF!"/>
  </r>
  <r>
    <s v="181000"/>
    <x v="6"/>
    <s v="COMPTE DE LIAISON DES ETABLISSEMENTS"/>
    <s v="OD"/>
    <n v="-42.95"/>
    <d v="2025-10-08T00:00:00"/>
    <s v="Liaison inter-établissement vers TO "/>
    <m/>
    <e v="#N/A"/>
    <e v="#N/A"/>
    <n v="86947"/>
    <m/>
    <s v="ENGIE"/>
    <s v="Q4"/>
    <e v="#REF!"/>
    <e v="#REF!"/>
    <e v="#REF!"/>
  </r>
  <r>
    <s v="181000"/>
    <x v="6"/>
    <s v="COMPTE DE LIAISON DES ETABLISSEMENTS"/>
    <s v="OD"/>
    <n v="-42.78"/>
    <d v="2025-11-07T00:00:00"/>
    <s v="Liaison inter-établissement vers TO "/>
    <m/>
    <e v="#N/A"/>
    <e v="#N/A"/>
    <n v="90098"/>
    <m/>
    <s v="ENGIE"/>
    <s v="Q4"/>
    <e v="#REF!"/>
    <e v="#REF!"/>
    <e v="#REF!"/>
  </r>
  <r>
    <s v="181000"/>
    <x v="6"/>
    <s v="COMPTE DE LIAISON DES ETABLISSEMENTS"/>
    <s v="OD"/>
    <n v="-42.62"/>
    <d v="2025-07-31T00:00:00"/>
    <s v="Liaison établissement 401000 VWR KB"/>
    <m/>
    <e v="#N/A"/>
    <e v="#N/A"/>
    <n v="79346"/>
    <s v="COMMANDE PRODUIT LABO"/>
    <s v="VWR AVANTOR"/>
    <s v="Q3"/>
    <e v="#REF!"/>
    <e v="#REF!"/>
    <e v="#REF!"/>
  </r>
  <r>
    <s v="181000"/>
    <x v="6"/>
    <s v="COMPTE DE LIAISON DES ETABLISSEMENTS"/>
    <s v="OD"/>
    <n v="-42"/>
    <d v="2025-11-13T00:00:00"/>
    <s v="Liaison établissement 401000 VWR KB"/>
    <m/>
    <e v="#N/A"/>
    <e v="#N/A"/>
    <n v="89943"/>
    <s v="PRODUIT CONSOMMABLE LABO"/>
    <s v="VWR AVANTOR"/>
    <s v="Q4"/>
    <e v="#REF!"/>
    <e v="#REF!"/>
    <e v="#REF!"/>
  </r>
  <r>
    <s v="181000"/>
    <x v="6"/>
    <s v="COMPTE DE LIAISON DES ETABLISSEMENTS"/>
    <s v="OD"/>
    <n v="-41.96"/>
    <d v="2025-03-11T00:00:00"/>
    <s v="Liaison inter-établissement vers TO "/>
    <m/>
    <e v="#N/A"/>
    <e v="#N/A"/>
    <n v="74951"/>
    <m/>
    <s v="ENGIE"/>
    <s v="Q1"/>
    <e v="#REF!"/>
    <e v="#REF!"/>
    <e v="#REF!"/>
  </r>
  <r>
    <s v="181000"/>
    <x v="6"/>
    <s v="COMPTE DE LIAISON DES ETABLISSEMENTS"/>
    <s v="OD"/>
    <n v="-41.91"/>
    <d v="2025-02-05T00:00:00"/>
    <s v="Liaison inter-établissement vers TO "/>
    <m/>
    <e v="#N/A"/>
    <e v="#N/A"/>
    <n v="74570"/>
    <m/>
    <s v="Tatiana Ghanem"/>
    <s v="Q1"/>
    <e v="#REF!"/>
    <e v="#REF!"/>
    <e v="#REF!"/>
  </r>
  <r>
    <s v="181000"/>
    <x v="6"/>
    <s v="COMPTE DE LIAISON DES ETABLISSEMENTS"/>
    <s v="OD"/>
    <n v="-41.15"/>
    <d v="2025-09-08T00:00:00"/>
    <s v="Liaison inter-établissement vers TO "/>
    <m/>
    <e v="#N/A"/>
    <e v="#N/A"/>
    <n v="82148"/>
    <m/>
    <s v="ENGIE"/>
    <s v="Q3"/>
    <e v="#REF!"/>
    <e v="#REF!"/>
    <e v="#REF!"/>
  </r>
  <r>
    <s v="181000"/>
    <x v="6"/>
    <s v="COMPTE DE LIAISON DES ETABLISSEMENTS"/>
    <s v="OD"/>
    <n v="-40.99"/>
    <d v="2025-04-30T00:00:00"/>
    <s v="Liaison inter-établissement vers TO "/>
    <m/>
    <e v="#N/A"/>
    <e v="#N/A"/>
    <n v="74522"/>
    <m/>
    <s v="Jérémie Blache"/>
    <s v="Q2"/>
    <e v="#REF!"/>
    <e v="#REF!"/>
    <e v="#REF!"/>
  </r>
  <r>
    <s v="181000"/>
    <x v="6"/>
    <s v="COMPTE DE LIAISON DES ETABLISSEMENTS"/>
    <s v="OD"/>
    <n v="-40.96"/>
    <d v="2025-02-11T00:00:00"/>
    <s v="Liaison inter-établissement vers TO "/>
    <m/>
    <e v="#N/A"/>
    <e v="#N/A"/>
    <n v="75630"/>
    <m/>
    <s v="Tatiana Ghanem"/>
    <s v="Q1"/>
    <e v="#REF!"/>
    <e v="#REF!"/>
    <e v="#REF!"/>
  </r>
  <r>
    <s v="181000"/>
    <x v="6"/>
    <s v="COMPTE DE LIAISON DES ETABLISSEMENTS"/>
    <s v="OD"/>
    <n v="-40.26"/>
    <d v="2025-10-02T00:00:00"/>
    <s v="Liaison inter-établissement vers TO "/>
    <m/>
    <e v="#N/A"/>
    <e v="#N/A"/>
    <n v="89778"/>
    <m/>
    <s v="SENDCLOUD"/>
    <s v="Q4"/>
    <e v="#REF!"/>
    <e v="#REF!"/>
    <e v="#REF!"/>
  </r>
  <r>
    <s v="181000"/>
    <x v="6"/>
    <s v="COMPTE DE LIAISON DES ETABLISSEMENTS"/>
    <s v="OD"/>
    <n v="-40.18"/>
    <d v="2025-04-02T00:00:00"/>
    <s v="Liaison établissement 401000 ROTH RO"/>
    <m/>
    <e v="#N/A"/>
    <e v="#N/A"/>
    <n v="66512"/>
    <s v="SODIUM LIGNINE SULFONATE"/>
    <s v="ROTH SOCHIEL"/>
    <s v="Q2"/>
    <e v="#REF!"/>
    <e v="#REF!"/>
    <e v="#REF!"/>
  </r>
  <r>
    <s v="181000"/>
    <x v="6"/>
    <s v="COMPTE DE LIAISON DES ETABLISSEMENTS"/>
    <s v="OD"/>
    <n v="-40.04"/>
    <d v="2025-06-30T00:00:00"/>
    <s v="Liaison inter-établissement"/>
    <m/>
    <e v="#N/A"/>
    <e v="#N/A"/>
    <n v="78539"/>
    <m/>
    <m/>
    <s v="Q2"/>
    <e v="#REF!"/>
    <e v="#REF!"/>
    <e v="#REF!"/>
  </r>
  <r>
    <s v="181000"/>
    <x v="6"/>
    <s v="COMPTE DE LIAISON DES ETABLISSEMENTS"/>
    <s v="OD"/>
    <n v="-39.96"/>
    <d v="2025-09-12T00:00:00"/>
    <s v="Liaison établissement 401000 VWR KB"/>
    <m/>
    <e v="#N/A"/>
    <e v="#N/A"/>
    <n v="82036"/>
    <s v="PRODUIT MUSTANG"/>
    <s v="VWR AVANTOR"/>
    <s v="Q3"/>
    <e v="#REF!"/>
    <e v="#REF!"/>
    <e v="#REF!"/>
  </r>
  <r>
    <s v="181000"/>
    <x v="6"/>
    <s v="COMPTE DE LIAISON DES ETABLISSEMENTS"/>
    <s v="OD"/>
    <n v="-39.9"/>
    <d v="2025-05-12T00:00:00"/>
    <s v="Liaison inter-établissement vers TO "/>
    <m/>
    <e v="#N/A"/>
    <e v="#N/A"/>
    <n v="75118"/>
    <m/>
    <s v="LA FOURCHE"/>
    <s v="Q2"/>
    <e v="#REF!"/>
    <e v="#REF!"/>
    <e v="#REF!"/>
  </r>
  <r>
    <s v="181000"/>
    <x v="6"/>
    <s v="COMPTE DE LIAISON DES ETABLISSEMENTS"/>
    <s v="OD"/>
    <n v="-39.89"/>
    <d v="2025-07-08T00:00:00"/>
    <s v="Liaison inter-établissement vers TO "/>
    <m/>
    <e v="#N/A"/>
    <e v="#N/A"/>
    <n v="78853"/>
    <m/>
    <s v="ENGIE"/>
    <s v="Q3"/>
    <e v="#REF!"/>
    <e v="#REF!"/>
    <e v="#REF!"/>
  </r>
  <r>
    <s v="181000"/>
    <x v="6"/>
    <s v="COMPTE DE LIAISON DES ETABLISSEMENTS"/>
    <s v="OD"/>
    <n v="-39.75"/>
    <d v="2025-01-18T00:00:00"/>
    <s v="Liaison inter-établissement vers TO "/>
    <m/>
    <e v="#N/A"/>
    <e v="#N/A"/>
    <n v="63920"/>
    <m/>
    <s v="TRUFFAUT"/>
    <s v="Q1"/>
    <e v="#REF!"/>
    <e v="#REF!"/>
    <e v="#REF!"/>
  </r>
  <r>
    <s v="181000"/>
    <x v="6"/>
    <s v="COMPTE DE LIAISON DES ETABLISSEMENTS"/>
    <s v="OD"/>
    <n v="-39.619999999999997"/>
    <d v="2025-08-21T00:00:00"/>
    <s v="Liaison établissement 401000 VWR KB"/>
    <m/>
    <e v="#N/A"/>
    <e v="#N/A"/>
    <n v="81497"/>
    <s v="COMMANDE PRODUIT KEENB"/>
    <s v="VWR AVANTOR"/>
    <s v="Q3"/>
    <e v="#REF!"/>
    <e v="#REF!"/>
    <e v="#REF!"/>
  </r>
  <r>
    <s v="181000"/>
    <x v="6"/>
    <s v="COMPTE DE LIAISON DES ETABLISSEMENTS"/>
    <s v="OD"/>
    <n v="-39.6"/>
    <d v="2025-09-02T00:00:00"/>
    <s v="Liaison inter-établissement vers TO "/>
    <m/>
    <e v="#N/A"/>
    <e v="#N/A"/>
    <n v="83185"/>
    <m/>
    <s v="SENDCLOUD"/>
    <s v="Q3"/>
    <e v="#REF!"/>
    <e v="#REF!"/>
    <e v="#REF!"/>
  </r>
  <r>
    <s v="181000"/>
    <x v="6"/>
    <s v="COMPTE DE LIAISON DES ETABLISSEMENTS"/>
    <s v="OD"/>
    <n v="-39.6"/>
    <d v="2025-12-02T00:00:00"/>
    <s v="Liaison inter-établissement vers TO "/>
    <m/>
    <e v="#N/A"/>
    <e v="#N/A"/>
    <n v="94097"/>
    <m/>
    <s v="SENDCLOUD"/>
    <s v="Q4"/>
    <e v="#REF!"/>
    <e v="#REF!"/>
    <e v="#REF!"/>
  </r>
  <r>
    <s v="181000"/>
    <x v="6"/>
    <s v="COMPTE DE LIAISON DES ETABLISSEMENTS"/>
    <s v="OD"/>
    <n v="-39.6"/>
    <d v="2025-12-30T00:00:00"/>
    <s v="Liaison établissement 401000 GUILLARD PREVISA KB"/>
    <m/>
    <e v="#N/A"/>
    <e v="#N/A"/>
    <n v="93738"/>
    <s v="E 25 28105"/>
    <s v="GUILLARD PREVISA"/>
    <s v="Q4"/>
    <e v="#REF!"/>
    <e v="#REF!"/>
    <e v="#REF!"/>
  </r>
  <r>
    <s v="181000"/>
    <x v="6"/>
    <s v="COMPTE DE LIAISON DES ETABLISSEMENTS"/>
    <s v="OD"/>
    <n v="-39"/>
    <d v="2025-01-07T00:00:00"/>
    <s v="Liaison inter-établissement vers TO "/>
    <m/>
    <e v="#N/A"/>
    <e v="#N/A"/>
    <n v="63884"/>
    <m/>
    <s v="SNCF"/>
    <s v="Q1"/>
    <e v="#REF!"/>
    <e v="#REF!"/>
    <e v="#REF!"/>
  </r>
  <r>
    <s v="181000"/>
    <x v="6"/>
    <s v="COMPTE DE LIAISON DES ETABLISSEMENTS"/>
    <s v="OD"/>
    <n v="-39"/>
    <d v="2025-02-06T00:00:00"/>
    <s v="Liaison inter-établissement vers TO "/>
    <m/>
    <s v="Non"/>
    <e v="#N/A"/>
    <n v="64280"/>
    <m/>
    <s v="DIVERS"/>
    <s v="Q1"/>
    <e v="#REF!"/>
    <e v="#REF!"/>
    <e v="#REF!"/>
  </r>
  <r>
    <s v="181000"/>
    <x v="6"/>
    <s v="COMPTE DE LIAISON DES ETABLISSEMENTS"/>
    <s v="OD"/>
    <n v="-39"/>
    <d v="2025-03-04T00:00:00"/>
    <s v="Liaison inter-établissement vers TO "/>
    <m/>
    <e v="#N/A"/>
    <e v="#N/A"/>
    <n v="66752"/>
    <m/>
    <s v="SNCF"/>
    <s v="Q1"/>
    <e v="#REF!"/>
    <e v="#REF!"/>
    <e v="#REF!"/>
  </r>
  <r>
    <s v="181000"/>
    <x v="6"/>
    <s v="COMPTE DE LIAISON DES ETABLISSEMENTS"/>
    <s v="OD"/>
    <n v="-39"/>
    <d v="2025-03-11T00:00:00"/>
    <s v="Liaison inter-établissement vers TO "/>
    <m/>
    <e v="#N/A"/>
    <e v="#N/A"/>
    <n v="70013"/>
    <m/>
    <s v="SNCF"/>
    <s v="Q1"/>
    <e v="#REF!"/>
    <e v="#REF!"/>
    <e v="#REF!"/>
  </r>
  <r>
    <s v="181000"/>
    <x v="6"/>
    <s v="COMPTE DE LIAISON DES ETABLISSEMENTS"/>
    <s v="OD"/>
    <n v="-38.799999999999997"/>
    <d v="2025-12-19T00:00:00"/>
    <s v="Liaison établissement 401000 CHATEAU RO"/>
    <m/>
    <e v="#N/A"/>
    <e v="#N/A"/>
    <n v="92685"/>
    <s v="31/05713557"/>
    <s v="CHATEAUDEAU"/>
    <s v="Q4"/>
    <e v="#REF!"/>
    <e v="#REF!"/>
    <e v="#REF!"/>
  </r>
  <r>
    <s v="181000"/>
    <x v="6"/>
    <s v="COMPTE DE LIAISON DES ETABLISSEMENTS"/>
    <s v="OD"/>
    <n v="-38.590000000000003"/>
    <d v="2025-08-21T00:00:00"/>
    <s v="Liaison établissement 401000 VWR KB"/>
    <m/>
    <e v="#N/A"/>
    <e v="#N/A"/>
    <n v="81507"/>
    <s v="COMMANDE PRODUIT MUSTANG"/>
    <s v="VWR AVANTOR"/>
    <s v="Q3"/>
    <e v="#REF!"/>
    <e v="#REF!"/>
    <e v="#REF!"/>
  </r>
  <r>
    <s v="181000"/>
    <x v="6"/>
    <s v="COMPTE DE LIAISON DES ETABLISSEMENTS"/>
    <s v="OD"/>
    <n v="-38.28"/>
    <d v="2025-01-01T00:00:00"/>
    <s v="Liaison inter-établissement vers TO "/>
    <m/>
    <e v="#N/A"/>
    <e v="#N/A"/>
    <n v="63614"/>
    <m/>
    <s v="BRUNEAU"/>
    <s v="Q1"/>
    <e v="#REF!"/>
    <e v="#REF!"/>
    <e v="#REF!"/>
  </r>
  <r>
    <s v="181000"/>
    <x v="6"/>
    <s v="COMPTE DE LIAISON DES ETABLISSEMENTS"/>
    <s v="OD"/>
    <n v="-38.21"/>
    <d v="2025-04-02T00:00:00"/>
    <s v="Liaison établissement 401000 VWR KB"/>
    <m/>
    <e v="#N/A"/>
    <e v="#N/A"/>
    <n v="66507"/>
    <s v="Invoice Payment by Pili"/>
    <s v="VWR AVANTOR"/>
    <s v="Q2"/>
    <e v="#REF!"/>
    <e v="#REF!"/>
    <e v="#REF!"/>
  </r>
  <r>
    <s v="181000"/>
    <x v="6"/>
    <s v="COMPTE DE LIAISON DES ETABLISSEMENTS"/>
    <s v="OD"/>
    <n v="-38.020000000000003"/>
    <d v="2025-07-31T00:00:00"/>
    <s v="Liaison établissement 401000 VWR KB"/>
    <m/>
    <e v="#N/A"/>
    <e v="#N/A"/>
    <n v="79321"/>
    <s v="COMMANDE CONSOMMABLE LABO"/>
    <s v="VWR AVANTOR"/>
    <s v="Q3"/>
    <e v="#REF!"/>
    <e v="#REF!"/>
    <e v="#REF!"/>
  </r>
  <r>
    <s v="181000"/>
    <x v="6"/>
    <s v="COMPTE DE LIAISON DES ETABLISSEMENTS"/>
    <s v="OD"/>
    <n v="-38"/>
    <d v="2025-06-10T00:00:00"/>
    <s v="Liaison inter-établissement vers TO "/>
    <m/>
    <e v="#N/A"/>
    <e v="#N/A"/>
    <n v="78837"/>
    <m/>
    <s v="ENGIE"/>
    <s v="Q2"/>
    <e v="#REF!"/>
    <e v="#REF!"/>
    <e v="#REF!"/>
  </r>
  <r>
    <s v="181000"/>
    <x v="6"/>
    <s v="COMPTE DE LIAISON DES ETABLISSEMENTS"/>
    <s v="OD"/>
    <n v="-37.94"/>
    <d v="2025-08-07T00:00:00"/>
    <s v="Liaison inter-établissement vers TO "/>
    <m/>
    <e v="#N/A"/>
    <e v="#N/A"/>
    <n v="87113"/>
    <m/>
    <s v="ENGIE"/>
    <s v="Q3"/>
    <e v="#REF!"/>
    <e v="#REF!"/>
    <e v="#REF!"/>
  </r>
  <r>
    <s v="181000"/>
    <x v="6"/>
    <s v="COMPTE DE LIAISON DES ETABLISSEMENTS"/>
    <s v="OD"/>
    <n v="-36.86"/>
    <d v="2025-05-07T00:00:00"/>
    <s v="Liaison établissement 401000 VWR KB"/>
    <m/>
    <e v="#N/A"/>
    <e v="#N/A"/>
    <n v="71856"/>
    <s v="AIGUILLES 10ML (12ML) 3-PIÈCES"/>
    <s v="VWR AVANTOR"/>
    <s v="Q2"/>
    <e v="#REF!"/>
    <e v="#REF!"/>
    <e v="#REF!"/>
  </r>
  <r>
    <s v="181000"/>
    <x v="6"/>
    <s v="COMPTE DE LIAISON DES ETABLISSEMENTS"/>
    <s v="OD"/>
    <n v="-36.86"/>
    <d v="2025-08-21T00:00:00"/>
    <s v="Liaison établissement 401000 VWR KB"/>
    <m/>
    <e v="#N/A"/>
    <e v="#N/A"/>
    <n v="81522"/>
    <s v="COMMANDE CONSOMMABLES LABO"/>
    <s v="VWR AVANTOR"/>
    <s v="Q3"/>
    <e v="#REF!"/>
    <e v="#REF!"/>
    <e v="#REF!"/>
  </r>
  <r>
    <s v="181000"/>
    <x v="6"/>
    <s v="COMPTE DE LIAISON DES ETABLISSEMENTS"/>
    <s v="OD"/>
    <n v="-36.200000000000003"/>
    <d v="2025-01-16T00:00:00"/>
    <s v="Liaison inter-établissement vers TO "/>
    <m/>
    <s v="Non"/>
    <e v="#N/A"/>
    <n v="60043"/>
    <m/>
    <s v="DIVERS"/>
    <s v="Q1"/>
    <e v="#REF!"/>
    <e v="#REF!"/>
    <e v="#REF!"/>
  </r>
  <r>
    <s v="181000"/>
    <x v="6"/>
    <s v="COMPTE DE LIAISON DES ETABLISSEMENTS"/>
    <s v="OD"/>
    <n v="-36.06"/>
    <d v="2025-01-18T00:00:00"/>
    <s v="Liaison inter-établissement vers TO "/>
    <m/>
    <s v="Non"/>
    <e v="#N/A"/>
    <n v="60039"/>
    <m/>
    <s v="DIVERS"/>
    <s v="Q1"/>
    <e v="#REF!"/>
    <e v="#REF!"/>
    <e v="#REF!"/>
  </r>
  <r>
    <s v="181000"/>
    <x v="6"/>
    <s v="COMPTE DE LIAISON DES ETABLISSEMENTS"/>
    <s v="OD"/>
    <n v="-36.020000000000003"/>
    <d v="2025-05-07T00:00:00"/>
    <s v="Liaison établissement 401000 VWR KB"/>
    <m/>
    <e v="#N/A"/>
    <e v="#N/A"/>
    <n v="71876"/>
    <s v="HYDROGENE PEROXYDE 30% PH"/>
    <s v="VWR AVANTOR"/>
    <s v="Q2"/>
    <e v="#REF!"/>
    <e v="#REF!"/>
    <e v="#REF!"/>
  </r>
  <r>
    <s v="181000"/>
    <x v="6"/>
    <s v="COMPTE DE LIAISON DES ETABLISSEMENTS"/>
    <s v="OD"/>
    <n v="-36.020000000000003"/>
    <d v="2025-08-18T00:00:00"/>
    <s v="Liaison établissement 401000 VWR KB"/>
    <m/>
    <e v="#N/A"/>
    <e v="#N/A"/>
    <n v="81157"/>
    <s v="COMMANDE PRODUIT KEENB"/>
    <s v="VWR AVANTOR"/>
    <s v="Q3"/>
    <e v="#REF!"/>
    <e v="#REF!"/>
    <e v="#REF!"/>
  </r>
  <r>
    <s v="181000"/>
    <x v="6"/>
    <s v="COMPTE DE LIAISON DES ETABLISSEMENTS"/>
    <s v="OD"/>
    <n v="-36"/>
    <d v="2025-04-04T00:00:00"/>
    <s v="Liaison inter-établissement vers TO "/>
    <m/>
    <s v="Non"/>
    <s v="Oui"/>
    <n v="74800"/>
    <m/>
    <s v="AXELERA"/>
    <s v="Q2"/>
    <e v="#REF!"/>
    <e v="#REF!"/>
    <e v="#REF!"/>
  </r>
  <r>
    <s v="181000"/>
    <x v="6"/>
    <s v="COMPTE DE LIAISON DES ETABLISSEMENTS"/>
    <s v="OD"/>
    <n v="-35.99"/>
    <d v="2025-08-29T00:00:00"/>
    <s v="Liaison inter-établissement vers TO "/>
    <m/>
    <e v="#N/A"/>
    <e v="#N/A"/>
    <n v="82152"/>
    <m/>
    <s v="RICOH"/>
    <s v="Q3"/>
    <e v="#REF!"/>
    <e v="#REF!"/>
    <e v="#REF!"/>
  </r>
  <r>
    <s v="181000"/>
    <x v="6"/>
    <s v="COMPTE DE LIAISON DES ETABLISSEMENTS"/>
    <s v="OD"/>
    <n v="-35.79"/>
    <d v="2025-09-30T00:00:00"/>
    <s v="Liaison inter-établissement"/>
    <m/>
    <e v="#N/A"/>
    <e v="#N/A"/>
    <n v="89540"/>
    <m/>
    <s v="ENGIE"/>
    <s v="Q3"/>
    <e v="#REF!"/>
    <e v="#REF!"/>
    <e v="#REF!"/>
  </r>
  <r>
    <s v="181000"/>
    <x v="6"/>
    <s v="COMPTE DE LIAISON DES ETABLISSEMENTS"/>
    <s v="OD"/>
    <n v="-35.71"/>
    <d v="2025-05-07T00:00:00"/>
    <s v="Liaison établissement 401000 VWR KB"/>
    <m/>
    <e v="#N/A"/>
    <e v="#N/A"/>
    <n v="71821"/>
    <s v="MÉTHYLAMINE (SOLUTION AQUEUSE À 40%)"/>
    <s v="VWR AVANTOR"/>
    <s v="Q2"/>
    <e v="#REF!"/>
    <e v="#REF!"/>
    <e v="#REF!"/>
  </r>
  <r>
    <s v="181000"/>
    <x v="6"/>
    <s v="COMPTE DE LIAISON DES ETABLISSEMENTS"/>
    <s v="OD"/>
    <n v="-35.700000000000003"/>
    <d v="2025-08-31T00:00:00"/>
    <s v="Liaison inter-établissement vers TO "/>
    <m/>
    <e v="#N/A"/>
    <e v="#N/A"/>
    <n v="90154"/>
    <m/>
    <s v="LA POSTE"/>
    <s v="Q3"/>
    <e v="#REF!"/>
    <e v="#REF!"/>
    <e v="#REF!"/>
  </r>
  <r>
    <s v="181000"/>
    <x v="6"/>
    <s v="COMPTE DE LIAISON DES ETABLISSEMENTS"/>
    <s v="OD"/>
    <n v="-35.11"/>
    <d v="2025-06-30T00:00:00"/>
    <s v="Liaison inter-établissement"/>
    <m/>
    <e v="#N/A"/>
    <e v="#N/A"/>
    <n v="78687"/>
    <m/>
    <m/>
    <s v="Q2"/>
    <e v="#REF!"/>
    <e v="#REF!"/>
    <e v="#REF!"/>
  </r>
  <r>
    <s v="181000"/>
    <x v="6"/>
    <s v="COMPTE DE LIAISON DES ETABLISSEMENTS"/>
    <s v="OD"/>
    <n v="-35.04"/>
    <d v="2025-04-02T00:00:00"/>
    <s v="Liaison inter-établissement vers TO "/>
    <m/>
    <e v="#N/A"/>
    <e v="#N/A"/>
    <n v="74746"/>
    <m/>
    <s v="SENDCLOUD"/>
    <s v="Q2"/>
    <e v="#REF!"/>
    <e v="#REF!"/>
    <e v="#REF!"/>
  </r>
  <r>
    <s v="181000"/>
    <x v="6"/>
    <s v="COMPTE DE LIAISON DES ETABLISSEMENTS"/>
    <s v="OD"/>
    <n v="-35.04"/>
    <d v="2025-07-02T00:00:00"/>
    <s v="Liaison inter-établissement vers TO "/>
    <m/>
    <e v="#N/A"/>
    <e v="#N/A"/>
    <n v="80968"/>
    <m/>
    <s v="SENDCLOUD"/>
    <s v="Q3"/>
    <e v="#REF!"/>
    <e v="#REF!"/>
    <e v="#REF!"/>
  </r>
  <r>
    <s v="181000"/>
    <x v="6"/>
    <s v="COMPTE DE LIAISON DES ETABLISSEMENTS"/>
    <s v="OD"/>
    <n v="-34.799999999999997"/>
    <d v="2025-01-02T00:00:00"/>
    <s v="Liaison inter-établissement vers TO "/>
    <m/>
    <e v="#N/A"/>
    <e v="#N/A"/>
    <n v="63844"/>
    <m/>
    <s v="SENDCLOUD"/>
    <s v="Q1"/>
    <e v="#REF!"/>
    <e v="#REF!"/>
    <e v="#REF!"/>
  </r>
  <r>
    <s v="181000"/>
    <x v="6"/>
    <s v="COMPTE DE LIAISON DES ETABLISSEMENTS"/>
    <s v="OD"/>
    <n v="-34.799999999999997"/>
    <d v="2025-02-02T00:00:00"/>
    <s v="Liaison inter-établissement vers TO "/>
    <m/>
    <e v="#N/A"/>
    <e v="#N/A"/>
    <n v="64336"/>
    <m/>
    <s v="SENDCLOUD"/>
    <s v="Q1"/>
    <e v="#REF!"/>
    <e v="#REF!"/>
    <e v="#REF!"/>
  </r>
  <r>
    <s v="181000"/>
    <x v="6"/>
    <s v="COMPTE DE LIAISON DES ETABLISSEMENTS"/>
    <s v="OD"/>
    <n v="-34.799999999999997"/>
    <d v="2025-03-02T00:00:00"/>
    <s v="Liaison inter-établissement vers TO "/>
    <m/>
    <e v="#N/A"/>
    <e v="#N/A"/>
    <n v="70085"/>
    <m/>
    <s v="SENDCLOUD"/>
    <s v="Q1"/>
    <e v="#REF!"/>
    <e v="#REF!"/>
    <e v="#REF!"/>
  </r>
  <r>
    <s v="181000"/>
    <x v="6"/>
    <s v="COMPTE DE LIAISON DES ETABLISSEMENTS"/>
    <s v="OD"/>
    <n v="-34.799999999999997"/>
    <d v="2025-05-02T00:00:00"/>
    <s v="Liaison inter-établissement vers TO "/>
    <m/>
    <e v="#N/A"/>
    <e v="#N/A"/>
    <n v="75106"/>
    <m/>
    <s v="SENDCLOUD"/>
    <s v="Q2"/>
    <e v="#REF!"/>
    <e v="#REF!"/>
    <e v="#REF!"/>
  </r>
  <r>
    <s v="181000"/>
    <x v="6"/>
    <s v="COMPTE DE LIAISON DES ETABLISSEMENTS"/>
    <s v="OD"/>
    <n v="-34.799999999999997"/>
    <d v="2025-06-02T00:00:00"/>
    <s v="Liaison inter-établissement vers TO "/>
    <m/>
    <e v="#N/A"/>
    <e v="#N/A"/>
    <n v="78204"/>
    <m/>
    <s v="SENDCLOUD"/>
    <s v="Q2"/>
    <e v="#REF!"/>
    <e v="#REF!"/>
    <e v="#REF!"/>
  </r>
  <r>
    <s v="181000"/>
    <x v="6"/>
    <s v="COMPTE DE LIAISON DES ETABLISSEMENTS"/>
    <s v="OD"/>
    <n v="-34.799999999999997"/>
    <d v="2025-08-02T00:00:00"/>
    <s v="Liaison inter-établissement vers TO "/>
    <m/>
    <e v="#N/A"/>
    <e v="#N/A"/>
    <n v="83313"/>
    <m/>
    <s v="SENDCLOUD"/>
    <s v="Q3"/>
    <e v="#REF!"/>
    <e v="#REF!"/>
    <e v="#REF!"/>
  </r>
  <r>
    <s v="181000"/>
    <x v="6"/>
    <s v="COMPTE DE LIAISON DES ETABLISSEMENTS"/>
    <s v="OD"/>
    <n v="-34.799999999999997"/>
    <d v="2025-12-24T00:00:00"/>
    <s v="Liaison inter-établissement vers TO "/>
    <m/>
    <e v="#N/A"/>
    <e v="#N/A"/>
    <n v="94149"/>
    <m/>
    <s v="LPI CONSEIL"/>
    <s v="Q4"/>
    <e v="#REF!"/>
    <e v="#REF!"/>
    <e v="#REF!"/>
  </r>
  <r>
    <s v="181000"/>
    <x v="6"/>
    <s v="COMPTE DE LIAISON DES ETABLISSEMENTS"/>
    <s v="OD"/>
    <n v="-33.590000000000003"/>
    <d v="2025-10-22T00:00:00"/>
    <s v="Liaison inter-établissement vers TO "/>
    <m/>
    <e v="#N/A"/>
    <e v="#N/A"/>
    <n v="89724"/>
    <m/>
    <s v="BRUNEAU"/>
    <s v="Q4"/>
    <e v="#REF!"/>
    <e v="#REF!"/>
    <e v="#REF!"/>
  </r>
  <r>
    <s v="181000"/>
    <x v="6"/>
    <s v="COMPTE DE LIAISON DES ETABLISSEMENTS"/>
    <s v="OD"/>
    <n v="-33.42"/>
    <d v="2025-03-01T00:00:00"/>
    <s v="Liaison inter-établissement vers TO "/>
    <m/>
    <e v="#N/A"/>
    <e v="#N/A"/>
    <n v="70041"/>
    <m/>
    <s v="MANUTAN"/>
    <s v="Q1"/>
    <e v="#REF!"/>
    <e v="#REF!"/>
    <e v="#REF!"/>
  </r>
  <r>
    <s v="181000"/>
    <x v="6"/>
    <s v="COMPTE DE LIAISON DES ETABLISSEMENTS"/>
    <s v="OD"/>
    <n v="-33"/>
    <d v="2025-03-28T00:00:00"/>
    <s v="Liaison inter-établissement vers TO "/>
    <m/>
    <e v="#N/A"/>
    <e v="#N/A"/>
    <n v="68015"/>
    <m/>
    <s v="BLD PHARMATECH"/>
    <s v="Q1"/>
    <e v="#REF!"/>
    <e v="#REF!"/>
    <e v="#REF!"/>
  </r>
  <r>
    <s v="181000"/>
    <x v="6"/>
    <s v="COMPTE DE LIAISON DES ETABLISSEMENTS"/>
    <s v="OD"/>
    <n v="-32.99"/>
    <d v="2025-07-04T00:00:00"/>
    <s v="Liaison inter-établissement vers TO "/>
    <m/>
    <e v="#N/A"/>
    <e v="#N/A"/>
    <n v="89676"/>
    <m/>
    <s v="BOUYGUES TELECOM"/>
    <s v="Q3"/>
    <e v="#REF!"/>
    <e v="#REF!"/>
    <e v="#REF!"/>
  </r>
  <r>
    <s v="181000"/>
    <x v="6"/>
    <s v="COMPTE DE LIAISON DES ETABLISSEMENTS"/>
    <s v="OD"/>
    <n v="-32.99"/>
    <d v="2025-08-05T00:00:00"/>
    <s v="Liaison inter-établissement vers TO "/>
    <m/>
    <e v="#N/A"/>
    <e v="#N/A"/>
    <n v="87105"/>
    <m/>
    <s v="BOUYGUES TELECOM"/>
    <s v="Q3"/>
    <e v="#REF!"/>
    <e v="#REF!"/>
    <e v="#REF!"/>
  </r>
  <r>
    <s v="181000"/>
    <x v="6"/>
    <s v="COMPTE DE LIAISON DES ETABLISSEMENTS"/>
    <s v="OD"/>
    <n v="-32.99"/>
    <d v="2025-09-20T00:00:00"/>
    <s v="Liaison inter-établissement vers TO "/>
    <m/>
    <e v="#N/A"/>
    <e v="#N/A"/>
    <n v="82807"/>
    <m/>
    <s v="BOUYGUES TELECOM"/>
    <s v="Q3"/>
    <e v="#REF!"/>
    <e v="#REF!"/>
    <e v="#REF!"/>
  </r>
  <r>
    <s v="181000"/>
    <x v="6"/>
    <s v="COMPTE DE LIAISON DES ETABLISSEMENTS"/>
    <s v="OD"/>
    <n v="-32.99"/>
    <d v="2025-10-06T00:00:00"/>
    <s v="Liaison inter-établissement vers TO "/>
    <m/>
    <e v="#N/A"/>
    <e v="#N/A"/>
    <n v="87109"/>
    <m/>
    <s v="BOUYGUES TELECOM"/>
    <s v="Q4"/>
    <e v="#REF!"/>
    <e v="#REF!"/>
    <e v="#REF!"/>
  </r>
  <r>
    <s v="181000"/>
    <x v="6"/>
    <s v="COMPTE DE LIAISON DES ETABLISSEMENTS"/>
    <s v="OD"/>
    <n v="-32.99"/>
    <d v="2025-11-05T00:00:00"/>
    <s v="Liaison inter-établissement vers TO "/>
    <m/>
    <e v="#N/A"/>
    <e v="#N/A"/>
    <n v="90113"/>
    <m/>
    <s v="BOUYGUES TELECOM"/>
    <s v="Q4"/>
    <e v="#REF!"/>
    <e v="#REF!"/>
    <e v="#REF!"/>
  </r>
  <r>
    <s v="181000"/>
    <x v="6"/>
    <s v="COMPTE DE LIAISON DES ETABLISSEMENTS"/>
    <s v="OD"/>
    <n v="-32.99"/>
    <d v="2025-12-05T00:00:00"/>
    <s v="Liaison inter-établissement vers TO "/>
    <m/>
    <e v="#N/A"/>
    <e v="#N/A"/>
    <n v="91923"/>
    <m/>
    <s v="BOUYGUES TELECOM"/>
    <s v="Q4"/>
    <e v="#REF!"/>
    <e v="#REF!"/>
    <e v="#REF!"/>
  </r>
  <r>
    <s v="181000"/>
    <x v="6"/>
    <s v="COMPTE DE LIAISON DES ETABLISSEMENTS"/>
    <s v="OD"/>
    <n v="-32.93"/>
    <d v="2025-04-02T00:00:00"/>
    <s v="Liaison établissement 401000 ROTH RO"/>
    <m/>
    <e v="#N/A"/>
    <e v="#N/A"/>
    <n v="66517"/>
    <s v="TRIÉTHYLÈNEGLYCOL"/>
    <s v="ROTH SOCHIEL"/>
    <s v="Q2"/>
    <e v="#REF!"/>
    <e v="#REF!"/>
    <e v="#REF!"/>
  </r>
  <r>
    <s v="181000"/>
    <x v="6"/>
    <s v="COMPTE DE LIAISON DES ETABLISSEMENTS"/>
    <s v="OD"/>
    <n v="-32.92"/>
    <d v="2025-03-18T00:00:00"/>
    <s v="Liaison inter-établissement vers TO "/>
    <m/>
    <e v="#N/A"/>
    <e v="#N/A"/>
    <n v="63936"/>
    <m/>
    <s v="VWR AVANTOR"/>
    <s v="Q1"/>
    <e v="#REF!"/>
    <e v="#REF!"/>
    <e v="#REF!"/>
  </r>
  <r>
    <s v="181000"/>
    <x v="6"/>
    <s v="COMPTE DE LIAISON DES ETABLISSEMENTS"/>
    <s v="OD"/>
    <n v="-32.85"/>
    <d v="2025-06-18T00:00:00"/>
    <s v="Liaison inter-établissement vers TO "/>
    <m/>
    <e v="#N/A"/>
    <e v="#N/A"/>
    <n v="78256"/>
    <m/>
    <s v="MONDROGUISTE"/>
    <s v="Q2"/>
    <e v="#REF!"/>
    <e v="#REF!"/>
    <e v="#REF!"/>
  </r>
  <r>
    <s v="181000"/>
    <x v="6"/>
    <s v="COMPTE DE LIAISON DES ETABLISSEMENTS"/>
    <s v="OD"/>
    <n v="-32.83"/>
    <d v="2025-10-06T00:00:00"/>
    <s v="Liaison établissement 401000 VWR KB"/>
    <m/>
    <e v="#N/A"/>
    <e v="#N/A"/>
    <n v="82920"/>
    <s v="CONSOMMABLE LABO"/>
    <s v="VWR AVANTOR"/>
    <s v="Q4"/>
    <e v="#REF!"/>
    <e v="#REF!"/>
    <e v="#REF!"/>
  </r>
  <r>
    <s v="181000"/>
    <x v="6"/>
    <s v="COMPTE DE LIAISON DES ETABLISSEMENTS"/>
    <s v="OD"/>
    <n v="-32.020000000000003"/>
    <d v="2025-12-04T00:00:00"/>
    <s v="Liaison inter-établissement vers TO "/>
    <m/>
    <e v="#N/A"/>
    <e v="#N/A"/>
    <n v="92966"/>
    <m/>
    <s v="EAU DU GRAND LYON"/>
    <s v="Q4"/>
    <e v="#REF!"/>
    <e v="#REF!"/>
    <e v="#REF!"/>
  </r>
  <r>
    <s v="181000"/>
    <x v="6"/>
    <s v="COMPTE DE LIAISON DES ETABLISSEMENTS"/>
    <s v="OD"/>
    <n v="-31.79"/>
    <d v="2025-01-18T00:00:00"/>
    <s v="Liaison inter-établissement vers TO "/>
    <m/>
    <s v="Non"/>
    <e v="#N/A"/>
    <n v="60047"/>
    <m/>
    <s v="DIVERS"/>
    <s v="Q1"/>
    <e v="#REF!"/>
    <e v="#REF!"/>
    <e v="#REF!"/>
  </r>
  <r>
    <s v="181000"/>
    <x v="6"/>
    <s v="COMPTE DE LIAISON DES ETABLISSEMENTS"/>
    <s v="OD"/>
    <n v="-31.58"/>
    <d v="2025-06-03T00:00:00"/>
    <s v="Liaison inter-établissement vers TO "/>
    <m/>
    <e v="#N/A"/>
    <e v="#N/A"/>
    <n v="82827"/>
    <m/>
    <s v="EAU DU GRAND LYON"/>
    <s v="Q2"/>
    <e v="#REF!"/>
    <e v="#REF!"/>
    <e v="#REF!"/>
  </r>
  <r>
    <s v="181000"/>
    <x v="6"/>
    <s v="COMPTE DE LIAISON DES ETABLISSEMENTS"/>
    <s v="OD"/>
    <n v="-31.32"/>
    <d v="2025-03-14T00:00:00"/>
    <s v="Liaison établissement 401000 ROTH RO"/>
    <m/>
    <e v="#N/A"/>
    <e v="#N/A"/>
    <n v="61666"/>
    <s v="Paiement Roth"/>
    <s v="ROTH SOCHIEL"/>
    <s v="Q1"/>
    <e v="#REF!"/>
    <e v="#REF!"/>
    <e v="#REF!"/>
  </r>
  <r>
    <s v="181000"/>
    <x v="6"/>
    <s v="COMPTE DE LIAISON DES ETABLISSEMENTS"/>
    <s v="OD"/>
    <n v="-31"/>
    <d v="2025-09-30T00:00:00"/>
    <s v="Liaison inter-établissement"/>
    <m/>
    <e v="#N/A"/>
    <e v="#N/A"/>
    <n v="87247"/>
    <m/>
    <m/>
    <s v="Q3"/>
    <e v="#REF!"/>
    <e v="#REF!"/>
    <e v="#REF!"/>
  </r>
  <r>
    <s v="181000"/>
    <x v="6"/>
    <s v="COMPTE DE LIAISON DES ETABLISSEMENTS"/>
    <s v="OD"/>
    <n v="-31"/>
    <d v="2025-09-30T00:00:00"/>
    <s v="Liaison inter-établissement vers TO "/>
    <m/>
    <e v="#N/A"/>
    <e v="#N/A"/>
    <n v="87235"/>
    <m/>
    <m/>
    <s v="Q3"/>
    <e v="#REF!"/>
    <e v="#REF!"/>
    <e v="#REF!"/>
  </r>
  <r>
    <s v="181000"/>
    <x v="6"/>
    <s v="COMPTE DE LIAISON DES ETABLISSEMENTS"/>
    <s v="OD"/>
    <n v="-30.66"/>
    <d v="2025-04-30T00:00:00"/>
    <s v="Liaison inter-établissement vers TO "/>
    <m/>
    <e v="#N/A"/>
    <e v="#N/A"/>
    <n v="74542"/>
    <m/>
    <s v="Jérémie Blache"/>
    <s v="Q2"/>
    <e v="#REF!"/>
    <e v="#REF!"/>
    <e v="#REF!"/>
  </r>
  <r>
    <s v="181000"/>
    <x v="6"/>
    <s v="COMPTE DE LIAISON DES ETABLISSEMENTS"/>
    <s v="OD"/>
    <n v="-30.23"/>
    <d v="2025-10-07T00:00:00"/>
    <s v="Liaison inter-établissement vers TO "/>
    <m/>
    <e v="#N/A"/>
    <e v="#N/A"/>
    <n v="86951"/>
    <m/>
    <s v="ENGIE"/>
    <s v="Q4"/>
    <e v="#REF!"/>
    <e v="#REF!"/>
    <e v="#REF!"/>
  </r>
  <r>
    <s v="181000"/>
    <x v="6"/>
    <s v="COMPTE DE LIAISON DES ETABLISSEMENTS"/>
    <s v="OD"/>
    <n v="-30"/>
    <d v="2025-01-13T00:00:00"/>
    <s v="Liaison inter-établissement vers TO "/>
    <m/>
    <e v="#N/A"/>
    <e v="#N/A"/>
    <n v="75614"/>
    <m/>
    <s v="Marie-Sarah Adenis"/>
    <s v="Q1"/>
    <e v="#REF!"/>
    <e v="#REF!"/>
    <e v="#REF!"/>
  </r>
  <r>
    <s v="181000"/>
    <x v="6"/>
    <s v="COMPTE DE LIAISON DES ETABLISSEMENTS"/>
    <s v="OD"/>
    <n v="-30"/>
    <d v="2025-06-16T00:00:00"/>
    <s v="Liaison établissement 401000 BIOTIKA RO"/>
    <s v="Non"/>
    <e v="#N/A"/>
    <e v="#N/A"/>
    <n v="76050"/>
    <s v="TRANSPORT COSTS"/>
    <s v="BIOTIKA"/>
    <s v="Q2"/>
    <e v="#REF!"/>
    <e v="#REF!"/>
    <e v="#REF!"/>
  </r>
  <r>
    <s v="181000"/>
    <x v="6"/>
    <s v="COMPTE DE LIAISON DES ETABLISSEMENTS"/>
    <s v="OD"/>
    <n v="-30"/>
    <d v="2025-08-25T00:00:00"/>
    <s v="Liaison inter-établissement vers TO "/>
    <m/>
    <e v="#N/A"/>
    <e v="#N/A"/>
    <n v="83345"/>
    <m/>
    <s v="MAILJET"/>
    <s v="Q3"/>
    <e v="#REF!"/>
    <e v="#REF!"/>
    <e v="#REF!"/>
  </r>
  <r>
    <s v="181000"/>
    <x v="6"/>
    <s v="COMPTE DE LIAISON DES ETABLISSEMENTS"/>
    <s v="OD"/>
    <n v="-30"/>
    <d v="2025-09-25T00:00:00"/>
    <s v="Liaison inter-établissement vers TO "/>
    <m/>
    <e v="#N/A"/>
    <e v="#N/A"/>
    <n v="83349"/>
    <m/>
    <s v="MAILJET"/>
    <s v="Q3"/>
    <e v="#REF!"/>
    <e v="#REF!"/>
    <e v="#REF!"/>
  </r>
  <r>
    <s v="181000"/>
    <x v="6"/>
    <s v="COMPTE DE LIAISON DES ETABLISSEMENTS"/>
    <s v="OD"/>
    <n v="-30"/>
    <d v="2025-10-25T00:00:00"/>
    <s v="Liaison inter-établissement vers TO "/>
    <m/>
    <e v="#N/A"/>
    <e v="#N/A"/>
    <n v="89762"/>
    <m/>
    <s v="MAILJET"/>
    <s v="Q4"/>
    <e v="#REF!"/>
    <e v="#REF!"/>
    <e v="#REF!"/>
  </r>
  <r>
    <s v="181000"/>
    <x v="6"/>
    <s v="COMPTE DE LIAISON DES ETABLISSEMENTS"/>
    <s v="OD"/>
    <n v="-30"/>
    <d v="2025-11-03T00:00:00"/>
    <s v="Liaison inter-établissement vers TO "/>
    <m/>
    <e v="#N/A"/>
    <e v="#N/A"/>
    <n v="91630"/>
    <m/>
    <s v="COOKIEBOT"/>
    <s v="Q4"/>
    <e v="#REF!"/>
    <e v="#REF!"/>
    <e v="#REF!"/>
  </r>
  <r>
    <s v="181000"/>
    <x v="6"/>
    <s v="COMPTE DE LIAISON DES ETABLISSEMENTS"/>
    <s v="OD"/>
    <n v="-30"/>
    <d v="2025-11-25T00:00:00"/>
    <s v="Liaison inter-établissement vers TO "/>
    <m/>
    <e v="#N/A"/>
    <e v="#N/A"/>
    <n v="91670"/>
    <m/>
    <s v="MAILJET"/>
    <s v="Q4"/>
    <e v="#REF!"/>
    <e v="#REF!"/>
    <e v="#REF!"/>
  </r>
  <r>
    <s v="181000"/>
    <x v="6"/>
    <s v="COMPTE DE LIAISON DES ETABLISSEMENTS"/>
    <s v="OD"/>
    <n v="-30"/>
    <d v="2025-12-03T00:00:00"/>
    <s v="Liaison inter-établissement vers TO "/>
    <m/>
    <e v="#N/A"/>
    <e v="#N/A"/>
    <n v="94073"/>
    <m/>
    <s v="COOKIEBOT"/>
    <s v="Q4"/>
    <e v="#REF!"/>
    <e v="#REF!"/>
    <e v="#REF!"/>
  </r>
  <r>
    <s v="181000"/>
    <x v="6"/>
    <s v="COMPTE DE LIAISON DES ETABLISSEMENTS"/>
    <s v="OD"/>
    <n v="-30"/>
    <d v="2025-12-25T00:00:00"/>
    <s v="Liaison inter-établissement vers TO "/>
    <m/>
    <e v="#N/A"/>
    <e v="#N/A"/>
    <n v="94089"/>
    <m/>
    <s v="MAILJET"/>
    <s v="Q4"/>
    <e v="#REF!"/>
    <e v="#REF!"/>
    <e v="#REF!"/>
  </r>
  <r>
    <s v="181000"/>
    <x v="6"/>
    <s v="COMPTE DE LIAISON DES ETABLISSEMENTS"/>
    <s v="OD"/>
    <n v="-29.95"/>
    <d v="2025-07-25T00:00:00"/>
    <s v="Liaison inter-établissement vers TO "/>
    <m/>
    <e v="#N/A"/>
    <e v="#N/A"/>
    <n v="81046"/>
    <m/>
    <s v="MAILJET"/>
    <s v="Q3"/>
    <e v="#REF!"/>
    <e v="#REF!"/>
    <e v="#REF!"/>
  </r>
  <r>
    <s v="181000"/>
    <x v="6"/>
    <s v="COMPTE DE LIAISON DES ETABLISSEMENTS"/>
    <s v="OD"/>
    <n v="-29.9"/>
    <d v="2025-04-30T00:00:00"/>
    <s v="Liaison inter-établissement vers TO "/>
    <m/>
    <e v="#N/A"/>
    <e v="#N/A"/>
    <n v="74582"/>
    <m/>
    <s v="Thibault Dejardin"/>
    <s v="Q2"/>
    <e v="#REF!"/>
    <e v="#REF!"/>
    <e v="#REF!"/>
  </r>
  <r>
    <s v="181000"/>
    <x v="6"/>
    <s v="COMPTE DE LIAISON DES ETABLISSEMENTS"/>
    <s v="OD"/>
    <n v="-29.89"/>
    <d v="2025-05-16T00:00:00"/>
    <s v="Liaison inter-établissement vers TO "/>
    <m/>
    <e v="#N/A"/>
    <e v="#N/A"/>
    <n v="74490"/>
    <m/>
    <s v="Jérémie Blache"/>
    <s v="Q2"/>
    <e v="#REF!"/>
    <e v="#REF!"/>
    <e v="#REF!"/>
  </r>
  <r>
    <s v="181000"/>
    <x v="6"/>
    <s v="COMPTE DE LIAISON DES ETABLISSEMENTS"/>
    <s v="OD"/>
    <n v="-29.86"/>
    <d v="2025-03-18T00:00:00"/>
    <s v="Liaison inter-établissement vers TO "/>
    <m/>
    <e v="#N/A"/>
    <e v="#N/A"/>
    <n v="64464"/>
    <m/>
    <s v="VWR AVANTOR"/>
    <s v="Q1"/>
    <e v="#REF!"/>
    <e v="#REF!"/>
    <e v="#REF!"/>
  </r>
  <r>
    <s v="181000"/>
    <x v="6"/>
    <s v="COMPTE DE LIAISON DES ETABLISSEMENTS"/>
    <s v="OD"/>
    <n v="-29.27"/>
    <d v="2025-07-07T00:00:00"/>
    <s v="Liaison inter-établissement vers TO "/>
    <m/>
    <e v="#N/A"/>
    <e v="#N/A"/>
    <n v="78849"/>
    <m/>
    <s v="ENGIE"/>
    <s v="Q3"/>
    <e v="#REF!"/>
    <e v="#REF!"/>
    <e v="#REF!"/>
  </r>
  <r>
    <s v="181000"/>
    <x v="6"/>
    <s v="COMPTE DE LIAISON DES ETABLISSEMENTS"/>
    <s v="OD"/>
    <n v="-28.6"/>
    <d v="2025-11-19T00:00:00"/>
    <s v="Liaison établissement 401000 BIOTIKA RO"/>
    <s v="Non"/>
    <e v="#N/A"/>
    <e v="#N/A"/>
    <n v="90486"/>
    <s v="91250169"/>
    <s v="BIOTIKA"/>
    <s v="Q4"/>
    <e v="#REF!"/>
    <e v="#REF!"/>
    <e v="#REF!"/>
  </r>
  <r>
    <s v="181000"/>
    <x v="6"/>
    <s v="COMPTE DE LIAISON DES ETABLISSEMENTS"/>
    <s v="OD"/>
    <n v="-28.22"/>
    <d v="2025-05-30T00:00:00"/>
    <s v="Liaison inter-établissement vers TO "/>
    <m/>
    <e v="#N/A"/>
    <e v="#N/A"/>
    <n v="75025"/>
    <m/>
    <s v="DHL"/>
    <s v="Q2"/>
    <e v="#REF!"/>
    <e v="#REF!"/>
    <e v="#REF!"/>
  </r>
  <r>
    <s v="181000"/>
    <x v="6"/>
    <s v="COMPTE DE LIAISON DES ETABLISSEMENTS"/>
    <s v="OD"/>
    <n v="-28"/>
    <d v="2025-11-13T00:00:00"/>
    <s v="Liaison inter-établissement vers TO "/>
    <m/>
    <s v="Non"/>
    <e v="#N/A"/>
    <n v="91634"/>
    <m/>
    <s v="DIVERS"/>
    <s v="Q4"/>
    <e v="#REF!"/>
    <e v="#REF!"/>
    <e v="#REF!"/>
  </r>
  <r>
    <s v="181000"/>
    <x v="6"/>
    <s v="COMPTE DE LIAISON DES ETABLISSEMENTS"/>
    <s v="OD"/>
    <n v="-27.96"/>
    <d v="2025-11-04T00:00:00"/>
    <s v="Liaison inter-établissement vers TO "/>
    <m/>
    <e v="#N/A"/>
    <e v="#N/A"/>
    <n v="90094"/>
    <m/>
    <s v="ENGIE"/>
    <s v="Q4"/>
    <e v="#REF!"/>
    <e v="#REF!"/>
    <e v="#REF!"/>
  </r>
  <r>
    <s v="181000"/>
    <x v="6"/>
    <s v="COMPTE DE LIAISON DES ETABLISSEMENTS"/>
    <s v="OD"/>
    <n v="-27.75"/>
    <d v="2025-09-05T00:00:00"/>
    <s v="Liaison inter-établissement vers TO "/>
    <m/>
    <e v="#N/A"/>
    <e v="#N/A"/>
    <n v="87121"/>
    <m/>
    <s v="ENGIE"/>
    <s v="Q3"/>
    <e v="#REF!"/>
    <e v="#REF!"/>
    <e v="#REF!"/>
  </r>
  <r>
    <s v="181000"/>
    <x v="6"/>
    <s v="COMPTE DE LIAISON DES ETABLISSEMENTS"/>
    <s v="OD"/>
    <n v="-27.68"/>
    <d v="2025-07-12T00:00:00"/>
    <s v="Liaison inter-établissement vers TO "/>
    <m/>
    <e v="#N/A"/>
    <e v="#N/A"/>
    <n v="81038"/>
    <m/>
    <s v="RS COMPONENT"/>
    <s v="Q3"/>
    <e v="#REF!"/>
    <e v="#REF!"/>
    <e v="#REF!"/>
  </r>
  <r>
    <s v="181000"/>
    <x v="6"/>
    <s v="COMPTE DE LIAISON DES ETABLISSEMENTS"/>
    <s v="OD"/>
    <n v="-27.61"/>
    <d v="2025-06-27T00:00:00"/>
    <s v="Liaison inter-établissement vers TO "/>
    <m/>
    <e v="#N/A"/>
    <e v="#N/A"/>
    <n v="76695"/>
    <m/>
    <s v="Anthony Martinez"/>
    <s v="Q2"/>
    <e v="#REF!"/>
    <e v="#REF!"/>
    <e v="#REF!"/>
  </r>
  <r>
    <s v="181000"/>
    <x v="6"/>
    <s v="COMPTE DE LIAISON DES ETABLISSEMENTS"/>
    <s v="OD"/>
    <n v="-27.6"/>
    <d v="2025-02-23T00:00:00"/>
    <s v="Liaison inter-établissement vers TO "/>
    <m/>
    <s v="Non"/>
    <e v="#N/A"/>
    <n v="64304"/>
    <m/>
    <s v="DIVERS"/>
    <s v="Q1"/>
    <e v="#REF!"/>
    <e v="#REF!"/>
    <e v="#REF!"/>
  </r>
  <r>
    <s v="181000"/>
    <x v="6"/>
    <s v="COMPTE DE LIAISON DES ETABLISSEMENTS"/>
    <s v="OD"/>
    <n v="-27.46"/>
    <d v="2025-07-31T00:00:00"/>
    <s v="Liaison établissement 401000 VWR KB"/>
    <m/>
    <e v="#N/A"/>
    <e v="#N/A"/>
    <n v="79356"/>
    <s v="COMMANDE PRODUIT KEENY POUR ÉTUDE RC1"/>
    <s v="VWR AVANTOR"/>
    <s v="Q3"/>
    <e v="#REF!"/>
    <e v="#REF!"/>
    <e v="#REF!"/>
  </r>
  <r>
    <s v="181000"/>
    <x v="6"/>
    <s v="COMPTE DE LIAISON DES ETABLISSEMENTS"/>
    <s v="OD"/>
    <n v="-26.59"/>
    <d v="2025-03-28T00:00:00"/>
    <s v="Liaison établissement 401000 VWR KB"/>
    <m/>
    <e v="#N/A"/>
    <e v="#N/A"/>
    <n v="64983"/>
    <s v="Invoice Payment by Pili"/>
    <s v="VWR AVANTOR"/>
    <s v="Q1"/>
    <e v="#REF!"/>
    <e v="#REF!"/>
    <e v="#REF!"/>
  </r>
  <r>
    <s v="181000"/>
    <x v="6"/>
    <s v="COMPTE DE LIAISON DES ETABLISSEMENTS"/>
    <s v="OD"/>
    <n v="-26.4"/>
    <d v="2025-07-31T00:00:00"/>
    <s v="Liaison établissement 401000 VWR KB"/>
    <m/>
    <e v="#N/A"/>
    <e v="#N/A"/>
    <n v="79371"/>
    <s v="COMMANDE CONSOMMABLE LABO"/>
    <s v="VWR AVANTOR"/>
    <s v="Q3"/>
    <e v="#REF!"/>
    <e v="#REF!"/>
    <e v="#REF!"/>
  </r>
  <r>
    <s v="181000"/>
    <x v="6"/>
    <s v="COMPTE DE LIAISON DES ETABLISSEMENTS"/>
    <s v="OD"/>
    <n v="-26.02"/>
    <d v="2025-04-04T00:00:00"/>
    <s v="Liaison inter-établissement vers TO "/>
    <m/>
    <e v="#N/A"/>
    <e v="#N/A"/>
    <n v="75606"/>
    <m/>
    <s v="Anthony Martinez"/>
    <s v="Q2"/>
    <e v="#REF!"/>
    <e v="#REF!"/>
    <e v="#REF!"/>
  </r>
  <r>
    <s v="181000"/>
    <x v="6"/>
    <s v="COMPTE DE LIAISON DES ETABLISSEMENTS"/>
    <s v="OD"/>
    <n v="-25.9"/>
    <d v="2025-03-31T00:00:00"/>
    <s v="Liaison inter-établissement"/>
    <m/>
    <e v="#N/A"/>
    <e v="#N/A"/>
    <n v="68530"/>
    <m/>
    <m/>
    <s v="Q1"/>
    <e v="#REF!"/>
    <e v="#REF!"/>
    <e v="#REF!"/>
  </r>
  <r>
    <s v="181000"/>
    <x v="6"/>
    <s v="COMPTE DE LIAISON DES ETABLISSEMENTS"/>
    <s v="OD"/>
    <n v="-25.84"/>
    <d v="2025-06-20T00:00:00"/>
    <s v="Liaison inter-établissement vers TO "/>
    <m/>
    <e v="#N/A"/>
    <e v="#N/A"/>
    <n v="76226"/>
    <m/>
    <s v="DHL"/>
    <s v="Q2"/>
    <e v="#REF!"/>
    <e v="#REF!"/>
    <e v="#REF!"/>
  </r>
  <r>
    <s v="181000"/>
    <x v="6"/>
    <s v="COMPTE DE LIAISON DES ETABLISSEMENTS"/>
    <s v="OD"/>
    <n v="-25.8"/>
    <d v="2025-04-04T00:00:00"/>
    <s v="Liaison inter-établissement vers TO "/>
    <m/>
    <e v="#N/A"/>
    <e v="#N/A"/>
    <n v="75626"/>
    <m/>
    <s v="Marie-Sarah Adenis"/>
    <s v="Q2"/>
    <e v="#REF!"/>
    <e v="#REF!"/>
    <e v="#REF!"/>
  </r>
  <r>
    <s v="181000"/>
    <x v="6"/>
    <s v="COMPTE DE LIAISON DES ETABLISSEMENTS"/>
    <s v="OD"/>
    <n v="-25.78"/>
    <d v="2025-05-22T00:00:00"/>
    <s v="Liaison inter-établissement vers TO "/>
    <m/>
    <e v="#N/A"/>
    <e v="#N/A"/>
    <n v="76703"/>
    <m/>
    <s v="Guillaume Boissonnat-Wu"/>
    <s v="Q2"/>
    <e v="#REF!"/>
    <e v="#REF!"/>
    <e v="#REF!"/>
  </r>
  <r>
    <s v="181000"/>
    <x v="6"/>
    <s v="COMPTE DE LIAISON DES ETABLISSEMENTS"/>
    <s v="OD"/>
    <n v="-25.73"/>
    <d v="2025-07-22T00:00:00"/>
    <s v="Liaison établissement 401000 ROTH RO"/>
    <m/>
    <e v="#N/A"/>
    <e v="#N/A"/>
    <n v="78291"/>
    <s v="ÉTHYLHEXANOL  MIN. 99,5 %, POUR LA SYNTHÈSE"/>
    <s v="ROTH SOCHIEL"/>
    <s v="Q3"/>
    <e v="#REF!"/>
    <e v="#REF!"/>
    <e v="#REF!"/>
  </r>
  <r>
    <s v="181000"/>
    <x v="6"/>
    <s v="COMPTE DE LIAISON DES ETABLISSEMENTS"/>
    <s v="OD"/>
    <n v="-25.61"/>
    <d v="2025-04-02T00:00:00"/>
    <s v="Liaison établissement 401000 VWR KB"/>
    <m/>
    <e v="#N/A"/>
    <e v="#N/A"/>
    <n v="66492"/>
    <s v="Invoice Payment by Pili"/>
    <s v="VWR AVANTOR"/>
    <s v="Q2"/>
    <e v="#REF!"/>
    <e v="#REF!"/>
    <e v="#REF!"/>
  </r>
  <r>
    <s v="181000"/>
    <x v="6"/>
    <s v="COMPTE DE LIAISON DES ETABLISSEMENTS"/>
    <s v="OD"/>
    <n v="-25.61"/>
    <d v="2025-12-30T00:00:00"/>
    <s v="Liaison établissement 401000 VWR KB"/>
    <m/>
    <e v="#N/A"/>
    <e v="#N/A"/>
    <n v="93853"/>
    <s v="4067875494"/>
    <s v="VWR AVANTOR"/>
    <s v="Q4"/>
    <e v="#REF!"/>
    <e v="#REF!"/>
    <e v="#REF!"/>
  </r>
  <r>
    <s v="181000"/>
    <x v="6"/>
    <s v="COMPTE DE LIAISON DES ETABLISSEMENTS"/>
    <s v="OD"/>
    <n v="-24.99"/>
    <d v="2025-08-14T00:00:00"/>
    <s v="Liaison inter-établissement vers TO "/>
    <m/>
    <e v="#N/A"/>
    <e v="#N/A"/>
    <n v="83309"/>
    <m/>
    <s v="FNAC"/>
    <s v="Q3"/>
    <e v="#REF!"/>
    <e v="#REF!"/>
    <e v="#REF!"/>
  </r>
  <r>
    <s v="181000"/>
    <x v="6"/>
    <s v="COMPTE DE LIAISON DES ETABLISSEMENTS"/>
    <s v="OD"/>
    <n v="-24.78"/>
    <d v="2025-05-07T00:00:00"/>
    <s v="Liaison établissement 401000 SIGMA KB"/>
    <m/>
    <e v="#N/A"/>
    <e v="#N/A"/>
    <n v="71811"/>
    <s v="COMMANDE PRODUIT KEENB"/>
    <s v="Sigma-Aldrich chimie"/>
    <s v="Q2"/>
    <e v="#REF!"/>
    <e v="#REF!"/>
    <e v="#REF!"/>
  </r>
  <r>
    <s v="181000"/>
    <x v="6"/>
    <s v="COMPTE DE LIAISON DES ETABLISSEMENTS"/>
    <s v="OD"/>
    <n v="-24.74"/>
    <d v="2025-11-30T00:00:00"/>
    <s v="Liaison inter-établissement vers TO "/>
    <m/>
    <e v="#N/A"/>
    <e v="#N/A"/>
    <n v="91764"/>
    <m/>
    <s v="LA POSTE"/>
    <s v="Q4"/>
    <e v="#REF!"/>
    <e v="#REF!"/>
    <e v="#REF!"/>
  </r>
  <r>
    <s v="181000"/>
    <x v="6"/>
    <s v="COMPTE DE LIAISON DES ETABLISSEMENTS"/>
    <s v="OD"/>
    <n v="-24.5"/>
    <d v="2025-02-11T00:00:00"/>
    <s v="Liaison inter-établissement vers TO "/>
    <m/>
    <e v="#N/A"/>
    <e v="#N/A"/>
    <n v="73906"/>
    <m/>
    <s v="Vincent Blanchard"/>
    <s v="Q1"/>
    <e v="#REF!"/>
    <e v="#REF!"/>
    <e v="#REF!"/>
  </r>
  <r>
    <s v="181000"/>
    <x v="6"/>
    <s v="COMPTE DE LIAISON DES ETABLISSEMENTS"/>
    <s v="OD"/>
    <n v="-24.5"/>
    <d v="2025-02-11T00:00:00"/>
    <s v="Liaison inter-établissement vers TO "/>
    <m/>
    <e v="#N/A"/>
    <e v="#N/A"/>
    <n v="75610"/>
    <m/>
    <s v="Filipe Gomes"/>
    <s v="Q1"/>
    <e v="#REF!"/>
    <e v="#REF!"/>
    <e v="#REF!"/>
  </r>
  <r>
    <s v="181000"/>
    <x v="6"/>
    <s v="COMPTE DE LIAISON DES ETABLISSEMENTS"/>
    <s v="OD"/>
    <n v="-24.4"/>
    <d v="2025-03-10T00:00:00"/>
    <s v="Liaison inter-établissement vers TO "/>
    <m/>
    <e v="#N/A"/>
    <e v="#N/A"/>
    <n v="76627"/>
    <m/>
    <s v="Jérémie Blache"/>
    <s v="Q1"/>
    <e v="#REF!"/>
    <e v="#REF!"/>
    <e v="#REF!"/>
  </r>
  <r>
    <s v="181000"/>
    <x v="6"/>
    <s v="COMPTE DE LIAISON DES ETABLISSEMENTS"/>
    <s v="OD"/>
    <n v="-24.3"/>
    <d v="2025-09-26T00:00:00"/>
    <s v="Liaison établissement 401000 FISHER KB"/>
    <m/>
    <e v="#N/A"/>
    <e v="#N/A"/>
    <n v="82510"/>
    <s v="INVOICE PAYMENT BY PILI"/>
    <s v="FISHER SCIENTIFIC"/>
    <s v="Q3"/>
    <e v="#REF!"/>
    <e v="#REF!"/>
    <e v="#REF!"/>
  </r>
  <r>
    <s v="181000"/>
    <x v="6"/>
    <s v="COMPTE DE LIAISON DES ETABLISSEMENTS"/>
    <s v="OD"/>
    <n v="-23.72"/>
    <d v="2025-01-30T00:00:00"/>
    <s v="Liaison inter-établissement vers TO "/>
    <m/>
    <e v="#N/A"/>
    <e v="#N/A"/>
    <n v="63610"/>
    <m/>
    <s v="BRUNEAU"/>
    <s v="Q1"/>
    <e v="#REF!"/>
    <e v="#REF!"/>
    <e v="#REF!"/>
  </r>
  <r>
    <s v="181000"/>
    <x v="6"/>
    <s v="COMPTE DE LIAISON DES ETABLISSEMENTS"/>
    <s v="OD"/>
    <n v="-23.62"/>
    <d v="2025-08-05T00:00:00"/>
    <s v="Liaison inter-établissement vers TO "/>
    <m/>
    <e v="#N/A"/>
    <e v="#N/A"/>
    <n v="87117"/>
    <m/>
    <s v="ENGIE"/>
    <s v="Q3"/>
    <e v="#REF!"/>
    <e v="#REF!"/>
    <e v="#REF!"/>
  </r>
  <r>
    <s v="181000"/>
    <x v="6"/>
    <s v="COMPTE DE LIAISON DES ETABLISSEMENTS"/>
    <s v="OD"/>
    <n v="-22.96"/>
    <d v="2025-10-02T00:00:00"/>
    <s v="Liaison inter-établissement vers TO "/>
    <m/>
    <e v="#N/A"/>
    <e v="#N/A"/>
    <n v="91654"/>
    <m/>
    <s v="LA POSTE"/>
    <s v="Q4"/>
    <e v="#REF!"/>
    <e v="#REF!"/>
    <e v="#REF!"/>
  </r>
  <r>
    <s v="181000"/>
    <x v="6"/>
    <s v="COMPTE DE LIAISON DES ETABLISSEMENTS"/>
    <s v="OD"/>
    <n v="-22.8"/>
    <d v="2025-05-22T00:00:00"/>
    <s v="Liaison inter-établissement vers TO "/>
    <m/>
    <e v="#N/A"/>
    <e v="#N/A"/>
    <n v="76663"/>
    <m/>
    <s v="Jérémie Blache"/>
    <s v="Q2"/>
    <e v="#REF!"/>
    <e v="#REF!"/>
    <e v="#REF!"/>
  </r>
  <r>
    <s v="181000"/>
    <x v="6"/>
    <s v="COMPTE DE LIAISON DES ETABLISSEMENTS"/>
    <s v="OD"/>
    <n v="-22.49"/>
    <d v="2025-04-04T00:00:00"/>
    <s v="Liaison inter-établissement vers TO "/>
    <m/>
    <e v="#N/A"/>
    <e v="#N/A"/>
    <n v="75618"/>
    <m/>
    <s v="Marie-Sarah Adenis"/>
    <s v="Q2"/>
    <e v="#REF!"/>
    <e v="#REF!"/>
    <e v="#REF!"/>
  </r>
  <r>
    <s v="181000"/>
    <x v="6"/>
    <s v="COMPTE DE LIAISON DES ETABLISSEMENTS"/>
    <s v="OD"/>
    <n v="-22.45"/>
    <d v="2025-02-12T00:00:00"/>
    <s v="Liaison inter-établissement vers TO "/>
    <m/>
    <e v="#N/A"/>
    <e v="#N/A"/>
    <n v="64260"/>
    <m/>
    <s v="BRUNEAU"/>
    <s v="Q1"/>
    <e v="#REF!"/>
    <e v="#REF!"/>
    <e v="#REF!"/>
  </r>
  <r>
    <s v="181000"/>
    <x v="6"/>
    <s v="COMPTE DE LIAISON DES ETABLISSEMENTS"/>
    <s v="OD"/>
    <n v="-22.15"/>
    <d v="2025-12-30T00:00:00"/>
    <s v="Liaison établissement 401000 VWR KB"/>
    <m/>
    <e v="#N/A"/>
    <e v="#N/A"/>
    <n v="93848"/>
    <s v="4067874264"/>
    <s v="VWR AVANTOR"/>
    <s v="Q4"/>
    <e v="#REF!"/>
    <e v="#REF!"/>
    <e v="#REF!"/>
  </r>
  <r>
    <s v="181000"/>
    <x v="6"/>
    <s v="COMPTE DE LIAISON DES ETABLISSEMENTS"/>
    <s v="OD"/>
    <n v="-21.99"/>
    <d v="2025-08-14T00:00:00"/>
    <s v="Liaison inter-établissement vers TO "/>
    <m/>
    <e v="#N/A"/>
    <e v="#N/A"/>
    <n v="83301"/>
    <m/>
    <s v="FNAC"/>
    <s v="Q3"/>
    <e v="#REF!"/>
    <e v="#REF!"/>
    <e v="#REF!"/>
  </r>
  <r>
    <s v="181000"/>
    <x v="6"/>
    <s v="COMPTE DE LIAISON DES ETABLISSEMENTS"/>
    <s v="OD"/>
    <n v="-21.35"/>
    <d v="2025-07-04T00:00:00"/>
    <s v="Liaison inter-établissement vers TO "/>
    <m/>
    <e v="#N/A"/>
    <e v="#N/A"/>
    <n v="80988"/>
    <m/>
    <s v="LA POSTE"/>
    <s v="Q3"/>
    <e v="#REF!"/>
    <e v="#REF!"/>
    <e v="#REF!"/>
  </r>
  <r>
    <s v="181000"/>
    <x v="6"/>
    <s v="COMPTE DE LIAISON DES ETABLISSEMENTS"/>
    <s v="OD"/>
    <n v="-20.97"/>
    <d v="2025-09-30T00:00:00"/>
    <s v="Liaison inter-établissement"/>
    <m/>
    <e v="#N/A"/>
    <e v="#N/A"/>
    <n v="87220"/>
    <m/>
    <m/>
    <s v="Q3"/>
    <e v="#REF!"/>
    <e v="#REF!"/>
    <e v="#REF!"/>
  </r>
  <r>
    <s v="181000"/>
    <x v="6"/>
    <s v="COMPTE DE LIAISON DES ETABLISSEMENTS"/>
    <s v="OD"/>
    <n v="-20.89"/>
    <d v="2025-04-25T00:00:00"/>
    <s v="Liaison inter-établissement vers TO "/>
    <m/>
    <e v="#N/A"/>
    <e v="#N/A"/>
    <n v="74848"/>
    <m/>
    <s v="LEROY MERLIN"/>
    <s v="Q2"/>
    <e v="#REF!"/>
    <e v="#REF!"/>
    <e v="#REF!"/>
  </r>
  <r>
    <s v="181000"/>
    <x v="6"/>
    <s v="COMPTE DE LIAISON DES ETABLISSEMENTS"/>
    <s v="OD"/>
    <n v="-20.81"/>
    <d v="2025-10-24T00:00:00"/>
    <s v="Liaison inter-établissement vers TO "/>
    <m/>
    <e v="#N/A"/>
    <e v="#N/A"/>
    <n v="87484"/>
    <m/>
    <s v="DHL"/>
    <s v="Q4"/>
    <e v="#REF!"/>
    <e v="#REF!"/>
    <e v="#REF!"/>
  </r>
  <r>
    <s v="181000"/>
    <x v="6"/>
    <s v="COMPTE DE LIAISON DES ETABLISSEMENTS"/>
    <s v="OD"/>
    <n v="-20.77"/>
    <d v="2025-04-24T00:00:00"/>
    <s v="Liaison inter-établissement vers TO "/>
    <m/>
    <e v="#N/A"/>
    <e v="#N/A"/>
    <n v="70546"/>
    <m/>
    <s v="DHL"/>
    <s v="Q2"/>
    <e v="#REF!"/>
    <e v="#REF!"/>
    <e v="#REF!"/>
  </r>
  <r>
    <s v="181000"/>
    <x v="6"/>
    <s v="COMPTE DE LIAISON DES ETABLISSEMENTS"/>
    <s v="OD"/>
    <n v="-20.54"/>
    <d v="2025-03-20T00:00:00"/>
    <s v="Liaison inter-établissement vers TO "/>
    <m/>
    <e v="#N/A"/>
    <e v="#N/A"/>
    <n v="64444"/>
    <m/>
    <s v="ROTH SOCHIEL"/>
    <s v="Q1"/>
    <e v="#REF!"/>
    <e v="#REF!"/>
    <e v="#REF!"/>
  </r>
  <r>
    <s v="181000"/>
    <x v="6"/>
    <s v="COMPTE DE LIAISON DES ETABLISSEMENTS"/>
    <s v="OD"/>
    <n v="-20.25"/>
    <d v="2025-02-26T00:00:00"/>
    <s v="Liaison inter-établissement vers TO "/>
    <m/>
    <e v="#N/A"/>
    <e v="#N/A"/>
    <n v="73818"/>
    <m/>
    <s v="Anthony Martinez"/>
    <s v="Q1"/>
    <e v="#REF!"/>
    <e v="#REF!"/>
    <e v="#REF!"/>
  </r>
  <r>
    <s v="181000"/>
    <x v="6"/>
    <s v="COMPTE DE LIAISON DES ETABLISSEMENTS"/>
    <s v="OD"/>
    <n v="-20"/>
    <d v="2025-01-10T00:00:00"/>
    <s v="Liaison inter-établissement vers TO "/>
    <m/>
    <e v="#N/A"/>
    <e v="#N/A"/>
    <n v="69988"/>
    <m/>
    <s v="ORSON.IO"/>
    <s v="Q1"/>
    <e v="#REF!"/>
    <e v="#REF!"/>
    <e v="#REF!"/>
  </r>
  <r>
    <s v="181000"/>
    <x v="6"/>
    <s v="COMPTE DE LIAISON DES ETABLISSEMENTS"/>
    <s v="OD"/>
    <n v="-19.989999999999998"/>
    <d v="2025-02-18T00:00:00"/>
    <s v="Liaison inter-établissement vers TO "/>
    <m/>
    <e v="#N/A"/>
    <e v="#N/A"/>
    <n v="73902"/>
    <m/>
    <s v="Vincent Blanchard"/>
    <s v="Q1"/>
    <e v="#REF!"/>
    <e v="#REF!"/>
    <e v="#REF!"/>
  </r>
  <r>
    <s v="181000"/>
    <x v="6"/>
    <s v="COMPTE DE LIAISON DES ETABLISSEMENTS"/>
    <s v="OD"/>
    <n v="-19.989999999999998"/>
    <d v="2025-08-14T00:00:00"/>
    <s v="Liaison inter-établissement vers TO "/>
    <m/>
    <e v="#N/A"/>
    <e v="#N/A"/>
    <n v="83297"/>
    <m/>
    <s v="FNAC"/>
    <s v="Q3"/>
    <e v="#REF!"/>
    <e v="#REF!"/>
    <e v="#REF!"/>
  </r>
  <r>
    <s v="181000"/>
    <x v="6"/>
    <s v="COMPTE DE LIAISON DES ETABLISSEMENTS"/>
    <s v="OD"/>
    <n v="-19.899999999999999"/>
    <d v="2025-01-17T00:00:00"/>
    <s v="Liaison inter-établissement vers TO "/>
    <m/>
    <e v="#N/A"/>
    <e v="#N/A"/>
    <n v="74908"/>
    <m/>
    <s v="DHL"/>
    <s v="Q1"/>
    <e v="#REF!"/>
    <e v="#REF!"/>
    <e v="#REF!"/>
  </r>
  <r>
    <s v="181000"/>
    <x v="6"/>
    <s v="COMPTE DE LIAISON DES ETABLISSEMENTS"/>
    <s v="OD"/>
    <n v="-19.86"/>
    <d v="2025-12-12T00:00:00"/>
    <s v="Liaison inter-établissement vers TO "/>
    <m/>
    <e v="#N/A"/>
    <e v="#N/A"/>
    <n v="92121"/>
    <m/>
    <s v="DHL"/>
    <s v="Q4"/>
    <e v="#REF!"/>
    <e v="#REF!"/>
    <e v="#REF!"/>
  </r>
  <r>
    <s v="181000"/>
    <x v="6"/>
    <s v="COMPTE DE LIAISON DES ETABLISSEMENTS"/>
    <s v="OD"/>
    <n v="-19.78"/>
    <d v="2025-10-06T00:00:00"/>
    <s v="Liaison établissement 401000 VWR KB"/>
    <m/>
    <e v="#N/A"/>
    <e v="#N/A"/>
    <n v="82915"/>
    <s v="CONSOMMABLES POUR LABO"/>
    <s v="VWR AVANTOR"/>
    <s v="Q4"/>
    <e v="#REF!"/>
    <e v="#REF!"/>
    <e v="#REF!"/>
  </r>
  <r>
    <s v="181000"/>
    <x v="6"/>
    <s v="COMPTE DE LIAISON DES ETABLISSEMENTS"/>
    <s v="OD"/>
    <n v="-19.100000000000001"/>
    <d v="2025-03-20T00:00:00"/>
    <s v="Liaison inter-établissement vers TO "/>
    <m/>
    <e v="#N/A"/>
    <e v="#N/A"/>
    <n v="64436"/>
    <m/>
    <s v="ROTH SOCHIEL"/>
    <s v="Q1"/>
    <e v="#REF!"/>
    <e v="#REF!"/>
    <e v="#REF!"/>
  </r>
  <r>
    <s v="181000"/>
    <x v="6"/>
    <s v="COMPTE DE LIAISON DES ETABLISSEMENTS"/>
    <s v="OD"/>
    <n v="-19"/>
    <d v="2025-07-29T00:00:00"/>
    <s v="Liaison inter-établissement vers TO "/>
    <m/>
    <e v="#N/A"/>
    <e v="#N/A"/>
    <n v="83165"/>
    <m/>
    <s v="SNCF"/>
    <s v="Q3"/>
    <e v="#REF!"/>
    <e v="#REF!"/>
    <e v="#REF!"/>
  </r>
  <r>
    <s v="181000"/>
    <x v="6"/>
    <s v="COMPTE DE LIAISON DES ETABLISSEMENTS"/>
    <s v="OD"/>
    <n v="-18.84"/>
    <d v="2025-04-12T00:00:00"/>
    <s v="Liaison inter-établissement vers TO "/>
    <m/>
    <e v="#N/A"/>
    <e v="#N/A"/>
    <n v="69984"/>
    <m/>
    <s v="LEROY MERLIN"/>
    <s v="Q2"/>
    <e v="#REF!"/>
    <e v="#REF!"/>
    <e v="#REF!"/>
  </r>
  <r>
    <s v="181000"/>
    <x v="6"/>
    <s v="COMPTE DE LIAISON DES ETABLISSEMENTS"/>
    <s v="OD"/>
    <n v="-18.84"/>
    <d v="2025-04-12T00:00:00"/>
    <s v="Liaison inter-établissement vers TO "/>
    <m/>
    <e v="#N/A"/>
    <e v="#N/A"/>
    <n v="81008"/>
    <m/>
    <s v="MANUTAN"/>
    <s v="Q2"/>
    <e v="#REF!"/>
    <e v="#REF!"/>
    <e v="#REF!"/>
  </r>
  <r>
    <s v="181000"/>
    <x v="6"/>
    <s v="COMPTE DE LIAISON DES ETABLISSEMENTS"/>
    <s v="OD"/>
    <n v="-18.8"/>
    <d v="2025-02-28T00:00:00"/>
    <s v="Liaison inter-établissement vers TO "/>
    <m/>
    <e v="#N/A"/>
    <e v="#N/A"/>
    <n v="72728"/>
    <m/>
    <s v="Banque Populaire Rive de Paris"/>
    <s v="Q1"/>
    <e v="#REF!"/>
    <e v="#REF!"/>
    <e v="#REF!"/>
  </r>
  <r>
    <s v="181000"/>
    <x v="6"/>
    <s v="COMPTE DE LIAISON DES ETABLISSEMENTS"/>
    <s v="OD"/>
    <n v="-18.55"/>
    <d v="2025-12-10T00:00:00"/>
    <s v="Liaison inter-établissement vers TO "/>
    <m/>
    <e v="#N/A"/>
    <e v="#N/A"/>
    <n v="94069"/>
    <m/>
    <s v="BRUNEAU"/>
    <s v="Q4"/>
    <e v="#REF!"/>
    <e v="#REF!"/>
    <e v="#REF!"/>
  </r>
  <r>
    <s v="181000"/>
    <x v="6"/>
    <s v="COMPTE DE LIAISON DES ETABLISSEMENTS"/>
    <s v="OD"/>
    <n v="-18.5"/>
    <d v="2025-04-07T00:00:00"/>
    <s v="Liaison inter-établissement vers TO "/>
    <m/>
    <e v="#N/A"/>
    <e v="#N/A"/>
    <n v="75622"/>
    <m/>
    <s v="Marie-Sarah Adenis"/>
    <s v="Q2"/>
    <e v="#REF!"/>
    <e v="#REF!"/>
    <e v="#REF!"/>
  </r>
  <r>
    <s v="181000"/>
    <x v="6"/>
    <s v="COMPTE DE LIAISON DES ETABLISSEMENTS"/>
    <s v="OD"/>
    <n v="-18.3"/>
    <d v="2025-02-18T00:00:00"/>
    <s v="Liaison inter-établissement vers TO "/>
    <m/>
    <e v="#N/A"/>
    <e v="#N/A"/>
    <n v="76659"/>
    <m/>
    <s v="Jérémie Blache"/>
    <s v="Q1"/>
    <e v="#REF!"/>
    <e v="#REF!"/>
    <e v="#REF!"/>
  </r>
  <r>
    <s v="181000"/>
    <x v="6"/>
    <s v="COMPTE DE LIAISON DES ETABLISSEMENTS"/>
    <s v="OD"/>
    <n v="-18.100000000000001"/>
    <d v="2025-04-30T00:00:00"/>
    <s v="Liaison inter-établissement vers TO "/>
    <m/>
    <e v="#N/A"/>
    <e v="#N/A"/>
    <n v="74586"/>
    <m/>
    <s v="Vincent Blanchard"/>
    <s v="Q2"/>
    <e v="#REF!"/>
    <e v="#REF!"/>
    <e v="#REF!"/>
  </r>
  <r>
    <s v="181000"/>
    <x v="6"/>
    <s v="COMPTE DE LIAISON DES ETABLISSEMENTS"/>
    <s v="OD"/>
    <n v="-17.52"/>
    <d v="2025-03-19T00:00:00"/>
    <s v="Liaison inter-établissement vers TO "/>
    <m/>
    <e v="#N/A"/>
    <e v="#N/A"/>
    <n v="70061"/>
    <m/>
    <s v="RS COMPONENT"/>
    <s v="Q1"/>
    <e v="#REF!"/>
    <e v="#REF!"/>
    <e v="#REF!"/>
  </r>
  <r>
    <s v="181000"/>
    <x v="6"/>
    <s v="COMPTE DE LIAISON DES ETABLISSEMENTS"/>
    <s v="OD"/>
    <n v="-16.850000000000001"/>
    <d v="2025-02-05T00:00:00"/>
    <s v="Liaison inter-établissement vers TO "/>
    <m/>
    <e v="#N/A"/>
    <e v="#N/A"/>
    <n v="64308"/>
    <m/>
    <s v="LA POSTE"/>
    <s v="Q1"/>
    <e v="#REF!"/>
    <e v="#REF!"/>
    <e v="#REF!"/>
  </r>
  <r>
    <s v="181000"/>
    <x v="6"/>
    <s v="COMPTE DE LIAISON DES ETABLISSEMENTS"/>
    <s v="OD"/>
    <n v="-16.72"/>
    <d v="2025-06-30T00:00:00"/>
    <s v="Liaison inter-établissement"/>
    <m/>
    <e v="#N/A"/>
    <e v="#N/A"/>
    <n v="78529"/>
    <m/>
    <m/>
    <s v="Q2"/>
    <e v="#REF!"/>
    <e v="#REF!"/>
    <e v="#REF!"/>
  </r>
  <r>
    <s v="181000"/>
    <x v="6"/>
    <s v="COMPTE DE LIAISON DES ETABLISSEMENTS"/>
    <s v="OD"/>
    <n v="-16.61"/>
    <d v="2025-12-31T00:00:00"/>
    <s v="Liaison inter-établissement vers TO "/>
    <m/>
    <e v="#N/A"/>
    <e v="#N/A"/>
    <n v="94168"/>
    <m/>
    <s v="LA POSTE"/>
    <s v="Q4"/>
    <e v="#REF!"/>
    <e v="#REF!"/>
    <e v="#REF!"/>
  </r>
  <r>
    <s v="181000"/>
    <x v="6"/>
    <s v="COMPTE DE LIAISON DES ETABLISSEMENTS"/>
    <s v="OD"/>
    <n v="-16.079999999999998"/>
    <d v="2025-03-20T00:00:00"/>
    <s v="Liaison inter-établissement vers TO "/>
    <m/>
    <e v="#N/A"/>
    <e v="#N/A"/>
    <n v="70073"/>
    <m/>
    <s v="RS COMPONENT"/>
    <s v="Q1"/>
    <e v="#REF!"/>
    <e v="#REF!"/>
    <e v="#REF!"/>
  </r>
  <r>
    <s v="181000"/>
    <x v="6"/>
    <s v="COMPTE DE LIAISON DES ETABLISSEMENTS"/>
    <s v="OD"/>
    <n v="-16"/>
    <d v="2025-05-16T00:00:00"/>
    <s v="Liaison inter-établissement vers TO "/>
    <m/>
    <e v="#N/A"/>
    <e v="#N/A"/>
    <n v="74482"/>
    <m/>
    <s v="Jérémie Blache"/>
    <s v="Q2"/>
    <e v="#REF!"/>
    <e v="#REF!"/>
    <e v="#REF!"/>
  </r>
  <r>
    <s v="181000"/>
    <x v="6"/>
    <s v="COMPTE DE LIAISON DES ETABLISSEMENTS"/>
    <s v="OD"/>
    <n v="-15.86"/>
    <d v="2025-05-07T00:00:00"/>
    <s v="Liaison établissement 401000 VWR KB"/>
    <m/>
    <e v="#N/A"/>
    <e v="#N/A"/>
    <n v="71846"/>
    <s v="COMMANDE CONSOMMABLE LABO"/>
    <s v="VWR AVANTOR"/>
    <s v="Q2"/>
    <e v="#REF!"/>
    <e v="#REF!"/>
    <e v="#REF!"/>
  </r>
  <r>
    <s v="181000"/>
    <x v="6"/>
    <s v="COMPTE DE LIAISON DES ETABLISSEMENTS"/>
    <s v="OD"/>
    <n v="-15.85"/>
    <d v="2025-11-08T00:00:00"/>
    <s v="Liaison inter-établissement vers TO "/>
    <m/>
    <e v="#N/A"/>
    <e v="#N/A"/>
    <n v="91650"/>
    <m/>
    <s v="LA POSTE"/>
    <s v="Q4"/>
    <e v="#REF!"/>
    <e v="#REF!"/>
    <e v="#REF!"/>
  </r>
  <r>
    <s v="181000"/>
    <x v="6"/>
    <s v="COMPTE DE LIAISON DES ETABLISSEMENTS"/>
    <s v="OD"/>
    <n v="-15.7"/>
    <d v="2025-02-18T00:00:00"/>
    <s v="Liaison inter-établissement vers TO "/>
    <m/>
    <e v="#N/A"/>
    <e v="#N/A"/>
    <n v="76643"/>
    <m/>
    <s v="Jérémie Blache"/>
    <s v="Q1"/>
    <e v="#REF!"/>
    <e v="#REF!"/>
    <e v="#REF!"/>
  </r>
  <r>
    <s v="181000"/>
    <x v="6"/>
    <s v="COMPTE DE LIAISON DES ETABLISSEMENTS"/>
    <s v="OD"/>
    <n v="-15.4"/>
    <d v="2025-03-31T00:00:00"/>
    <s v="Liaison inter-établissement vers TO "/>
    <m/>
    <e v="#N/A"/>
    <e v="#N/A"/>
    <n v="72740"/>
    <m/>
    <s v="Banque Populaire Rive de Paris"/>
    <s v="Q1"/>
    <e v="#REF!"/>
    <e v="#REF!"/>
    <e v="#REF!"/>
  </r>
  <r>
    <s v="181000"/>
    <x v="6"/>
    <s v="COMPTE DE LIAISON DES ETABLISSEMENTS"/>
    <s v="OD"/>
    <n v="-15.4"/>
    <d v="2025-03-31T00:00:00"/>
    <s v="Liaison inter-établissement vers TO "/>
    <m/>
    <e v="#N/A"/>
    <e v="#N/A"/>
    <n v="72752"/>
    <m/>
    <s v="Banque Populaire Rive de Paris"/>
    <s v="Q1"/>
    <e v="#REF!"/>
    <e v="#REF!"/>
    <e v="#REF!"/>
  </r>
  <r>
    <s v="181000"/>
    <x v="6"/>
    <s v="COMPTE DE LIAISON DES ETABLISSEMENTS"/>
    <s v="OD"/>
    <n v="-15"/>
    <d v="2025-01-13T00:00:00"/>
    <s v="Liaison inter-établissement vers TO "/>
    <m/>
    <e v="#N/A"/>
    <e v="#N/A"/>
    <n v="63678"/>
    <m/>
    <s v="COOKIEBOT"/>
    <s v="Q1"/>
    <e v="#REF!"/>
    <e v="#REF!"/>
    <e v="#REF!"/>
  </r>
  <r>
    <s v="181000"/>
    <x v="6"/>
    <s v="COMPTE DE LIAISON DES ETABLISSEMENTS"/>
    <s v="OD"/>
    <n v="-15"/>
    <d v="2025-02-03T00:00:00"/>
    <s v="Liaison inter-établissement vers TO "/>
    <m/>
    <e v="#N/A"/>
    <e v="#N/A"/>
    <n v="64416"/>
    <m/>
    <s v="COOKIEBOT"/>
    <s v="Q1"/>
    <e v="#REF!"/>
    <e v="#REF!"/>
    <e v="#REF!"/>
  </r>
  <r>
    <s v="181000"/>
    <x v="6"/>
    <s v="COMPTE DE LIAISON DES ETABLISSEMENTS"/>
    <s v="OD"/>
    <n v="-15"/>
    <d v="2025-03-03T00:00:00"/>
    <s v="Liaison inter-établissement vers TO "/>
    <m/>
    <e v="#N/A"/>
    <e v="#N/A"/>
    <n v="68043"/>
    <m/>
    <s v="COOKIEBOT"/>
    <s v="Q1"/>
    <e v="#REF!"/>
    <e v="#REF!"/>
    <e v="#REF!"/>
  </r>
  <r>
    <s v="181000"/>
    <x v="6"/>
    <s v="COMPTE DE LIAISON DES ETABLISSEMENTS"/>
    <s v="OD"/>
    <n v="-15"/>
    <d v="2025-04-03T00:00:00"/>
    <s v="Liaison inter-établissement vers TO "/>
    <m/>
    <e v="#N/A"/>
    <e v="#N/A"/>
    <n v="74764"/>
    <m/>
    <s v="COOKIEBOT"/>
    <s v="Q2"/>
    <e v="#REF!"/>
    <e v="#REF!"/>
    <e v="#REF!"/>
  </r>
  <r>
    <s v="181000"/>
    <x v="6"/>
    <s v="COMPTE DE LIAISON DES ETABLISSEMENTS"/>
    <s v="OD"/>
    <n v="-15"/>
    <d v="2025-05-03T00:00:00"/>
    <s v="Liaison inter-établissement vers TO "/>
    <m/>
    <e v="#N/A"/>
    <e v="#N/A"/>
    <n v="75110"/>
    <m/>
    <s v="COOKIEBOT"/>
    <s v="Q2"/>
    <e v="#REF!"/>
    <e v="#REF!"/>
    <e v="#REF!"/>
  </r>
  <r>
    <s v="181000"/>
    <x v="6"/>
    <s v="COMPTE DE LIAISON DES ETABLISSEMENTS"/>
    <s v="OD"/>
    <n v="-15"/>
    <d v="2025-06-04T00:00:00"/>
    <s v="Liaison inter-établissement vers TO "/>
    <m/>
    <e v="#N/A"/>
    <e v="#N/A"/>
    <n v="78224"/>
    <m/>
    <s v="COOKIEBOT"/>
    <s v="Q2"/>
    <e v="#REF!"/>
    <e v="#REF!"/>
    <e v="#REF!"/>
  </r>
  <r>
    <s v="181000"/>
    <x v="6"/>
    <s v="COMPTE DE LIAISON DES ETABLISSEMENTS"/>
    <s v="OD"/>
    <n v="-15"/>
    <d v="2025-07-04T00:00:00"/>
    <s v="Liaison inter-établissement vers TO "/>
    <m/>
    <e v="#N/A"/>
    <e v="#N/A"/>
    <n v="80996"/>
    <m/>
    <s v="COOKIEBOT"/>
    <s v="Q3"/>
    <e v="#REF!"/>
    <e v="#REF!"/>
    <e v="#REF!"/>
  </r>
  <r>
    <s v="181000"/>
    <x v="6"/>
    <s v="COMPTE DE LIAISON DES ETABLISSEMENTS"/>
    <s v="OD"/>
    <n v="-15"/>
    <d v="2025-08-03T00:00:00"/>
    <s v="Liaison inter-établissement vers TO "/>
    <m/>
    <e v="#N/A"/>
    <e v="#N/A"/>
    <n v="83277"/>
    <m/>
    <s v="COOKIEBOT"/>
    <s v="Q3"/>
    <e v="#REF!"/>
    <e v="#REF!"/>
    <e v="#REF!"/>
  </r>
  <r>
    <s v="181000"/>
    <x v="6"/>
    <s v="COMPTE DE LIAISON DES ETABLISSEMENTS"/>
    <s v="OD"/>
    <n v="-14.95"/>
    <d v="2025-01-07T00:00:00"/>
    <s v="Liaison inter-établissement vers TO "/>
    <m/>
    <e v="#N/A"/>
    <e v="#N/A"/>
    <n v="74248"/>
    <m/>
    <s v="Vincent Blanchard"/>
    <s v="Q1"/>
    <e v="#REF!"/>
    <e v="#REF!"/>
    <e v="#REF!"/>
  </r>
  <r>
    <s v="181000"/>
    <x v="6"/>
    <s v="COMPTE DE LIAISON DES ETABLISSEMENTS"/>
    <s v="OD"/>
    <n v="-14.9"/>
    <d v="2025-03-04T00:00:00"/>
    <s v="Liaison inter-établissement vers TO "/>
    <m/>
    <e v="#N/A"/>
    <e v="#N/A"/>
    <n v="73846"/>
    <m/>
    <s v="Jérémie Blache"/>
    <s v="Q1"/>
    <e v="#REF!"/>
    <e v="#REF!"/>
    <e v="#REF!"/>
  </r>
  <r>
    <s v="181000"/>
    <x v="6"/>
    <s v="COMPTE DE LIAISON DES ETABLISSEMENTS"/>
    <s v="OD"/>
    <n v="-14.89"/>
    <d v="2025-11-18T00:00:00"/>
    <s v="Liaison inter-établissement vers TO "/>
    <m/>
    <e v="#N/A"/>
    <e v="#N/A"/>
    <n v="91666"/>
    <m/>
    <s v="LEROY MERLIN"/>
    <s v="Q4"/>
    <e v="#REF!"/>
    <e v="#REF!"/>
    <e v="#REF!"/>
  </r>
  <r>
    <s v="181000"/>
    <x v="6"/>
    <s v="COMPTE DE LIAISON DES ETABLISSEMENTS"/>
    <s v="OD"/>
    <n v="-14.65"/>
    <d v="2025-01-27T00:00:00"/>
    <s v="Liaison inter-établissement vers TO "/>
    <m/>
    <e v="#N/A"/>
    <e v="#N/A"/>
    <n v="76655"/>
    <m/>
    <s v="Jérémie Blache"/>
    <s v="Q1"/>
    <e v="#REF!"/>
    <e v="#REF!"/>
    <e v="#REF!"/>
  </r>
  <r>
    <s v="181000"/>
    <x v="6"/>
    <s v="COMPTE DE LIAISON DES ETABLISSEMENTS"/>
    <s v="OD"/>
    <n v="-14.62"/>
    <d v="2025-02-06T00:00:00"/>
    <s v="Liaison inter-établissement vers TO "/>
    <m/>
    <e v="#N/A"/>
    <e v="#N/A"/>
    <n v="64312"/>
    <m/>
    <s v="LA POSTE"/>
    <s v="Q1"/>
    <e v="#REF!"/>
    <e v="#REF!"/>
    <e v="#REF!"/>
  </r>
  <r>
    <s v="181000"/>
    <x v="6"/>
    <s v="COMPTE DE LIAISON DES ETABLISSEMENTS"/>
    <s v="OD"/>
    <n v="-14.2"/>
    <d v="2025-08-21T00:00:00"/>
    <s v="Liaison inter-établissement vers TO "/>
    <m/>
    <e v="#N/A"/>
    <e v="#N/A"/>
    <n v="83261"/>
    <m/>
    <s v="BRUNEAU"/>
    <s v="Q3"/>
    <e v="#REF!"/>
    <e v="#REF!"/>
    <e v="#REF!"/>
  </r>
  <r>
    <s v="181000"/>
    <x v="6"/>
    <s v="COMPTE DE LIAISON DES ETABLISSEMENTS"/>
    <s v="OD"/>
    <n v="-14.08"/>
    <d v="2025-02-05T00:00:00"/>
    <s v="Liaison inter-établissement vers TO "/>
    <m/>
    <e v="#N/A"/>
    <e v="#N/A"/>
    <n v="73822"/>
    <m/>
    <s v="Anthony Martinez"/>
    <s v="Q1"/>
    <e v="#REF!"/>
    <e v="#REF!"/>
    <e v="#REF!"/>
  </r>
  <r>
    <s v="181000"/>
    <x v="6"/>
    <s v="COMPTE DE LIAISON DES ETABLISSEMENTS"/>
    <s v="OD"/>
    <n v="-13.94"/>
    <d v="2025-04-25T00:00:00"/>
    <s v="Liaison inter-établissement vers TO "/>
    <m/>
    <e v="#N/A"/>
    <e v="#N/A"/>
    <n v="74840"/>
    <m/>
    <s v="LEROY MERLIN"/>
    <s v="Q2"/>
    <e v="#REF!"/>
    <e v="#REF!"/>
    <e v="#REF!"/>
  </r>
  <r>
    <s v="181000"/>
    <x v="6"/>
    <s v="COMPTE DE LIAISON DES ETABLISSEMENTS"/>
    <s v="OD"/>
    <n v="-13.35"/>
    <d v="2025-06-30T00:00:00"/>
    <s v="Liaison inter-établissement"/>
    <m/>
    <e v="#N/A"/>
    <e v="#N/A"/>
    <n v="78546"/>
    <m/>
    <m/>
    <s v="Q2"/>
    <e v="#REF!"/>
    <e v="#REF!"/>
    <e v="#REF!"/>
  </r>
  <r>
    <s v="181000"/>
    <x v="6"/>
    <s v="COMPTE DE LIAISON DES ETABLISSEMENTS"/>
    <s v="OD"/>
    <n v="-13.15"/>
    <d v="2025-03-31T00:00:00"/>
    <s v="Liaison inter-établissement vers TO "/>
    <m/>
    <e v="#N/A"/>
    <e v="#N/A"/>
    <n v="72736"/>
    <m/>
    <s v="Banque Populaire Rive de Paris"/>
    <s v="Q1"/>
    <e v="#REF!"/>
    <e v="#REF!"/>
    <e v="#REF!"/>
  </r>
  <r>
    <s v="181000"/>
    <x v="6"/>
    <s v="COMPTE DE LIAISON DES ETABLISSEMENTS"/>
    <s v="OD"/>
    <n v="-13.15"/>
    <d v="2025-03-31T00:00:00"/>
    <s v="Liaison inter-établissement vers TO "/>
    <m/>
    <e v="#N/A"/>
    <e v="#N/A"/>
    <n v="72748"/>
    <m/>
    <s v="Banque Populaire Rive de Paris"/>
    <s v="Q1"/>
    <e v="#REF!"/>
    <e v="#REF!"/>
    <e v="#REF!"/>
  </r>
  <r>
    <s v="181000"/>
    <x v="6"/>
    <s v="COMPTE DE LIAISON DES ETABLISSEMENTS"/>
    <s v="OD"/>
    <n v="-13.07"/>
    <d v="2025-02-22T00:00:00"/>
    <s v="Liaison inter-établissement vers TO "/>
    <m/>
    <e v="#N/A"/>
    <e v="#N/A"/>
    <n v="64268"/>
    <m/>
    <s v="CHATEAUDEAU"/>
    <s v="Q1"/>
    <e v="#REF!"/>
    <e v="#REF!"/>
    <e v="#REF!"/>
  </r>
  <r>
    <s v="181000"/>
    <x v="6"/>
    <s v="COMPTE DE LIAISON DES ETABLISSEMENTS"/>
    <s v="OD"/>
    <n v="-12.85"/>
    <d v="2025-04-30T00:00:00"/>
    <s v="Liaison inter-établissement vers TO "/>
    <m/>
    <e v="#N/A"/>
    <e v="#N/A"/>
    <n v="74526"/>
    <m/>
    <s v="Jérémie Blache"/>
    <s v="Q2"/>
    <e v="#REF!"/>
    <e v="#REF!"/>
    <e v="#REF!"/>
  </r>
  <r>
    <s v="181000"/>
    <x v="6"/>
    <s v="COMPTE DE LIAISON DES ETABLISSEMENTS"/>
    <s v="OD"/>
    <n v="-12.8"/>
    <d v="2025-04-30T00:00:00"/>
    <s v="Liaison inter-établissement vers TO "/>
    <m/>
    <e v="#N/A"/>
    <e v="#N/A"/>
    <n v="74534"/>
    <m/>
    <s v="Jérémie Blache"/>
    <s v="Q2"/>
    <e v="#REF!"/>
    <e v="#REF!"/>
    <e v="#REF!"/>
  </r>
  <r>
    <s v="181000"/>
    <x v="6"/>
    <s v="COMPTE DE LIAISON DES ETABLISSEMENTS"/>
    <s v="OD"/>
    <n v="-12.62"/>
    <d v="2025-04-30T00:00:00"/>
    <s v="Liaison inter-établissement vers TO "/>
    <m/>
    <e v="#N/A"/>
    <e v="#N/A"/>
    <n v="74478"/>
    <m/>
    <s v="Filipe Gomes"/>
    <s v="Q2"/>
    <e v="#REF!"/>
    <e v="#REF!"/>
    <e v="#REF!"/>
  </r>
  <r>
    <s v="181000"/>
    <x v="6"/>
    <s v="COMPTE DE LIAISON DES ETABLISSEMENTS"/>
    <s v="OD"/>
    <n v="-12.6"/>
    <d v="2025-12-06T00:00:00"/>
    <s v="Liaison inter-établissement vers TO "/>
    <m/>
    <e v="#N/A"/>
    <e v="#N/A"/>
    <n v="94125"/>
    <m/>
    <s v="SNCF"/>
    <s v="Q4"/>
    <e v="#REF!"/>
    <e v="#REF!"/>
    <e v="#REF!"/>
  </r>
  <r>
    <s v="181000"/>
    <x v="6"/>
    <s v="COMPTE DE LIAISON DES ETABLISSEMENTS"/>
    <s v="OD"/>
    <n v="-12.58"/>
    <d v="2025-03-18T00:00:00"/>
    <s v="Liaison inter-établissement vers TO "/>
    <m/>
    <e v="#N/A"/>
    <e v="#N/A"/>
    <n v="70089"/>
    <m/>
    <s v="SENDCLOUD"/>
    <s v="Q1"/>
    <e v="#REF!"/>
    <e v="#REF!"/>
    <e v="#REF!"/>
  </r>
  <r>
    <s v="181000"/>
    <x v="6"/>
    <s v="COMPTE DE LIAISON DES ETABLISSEMENTS"/>
    <s v="OD"/>
    <n v="-12.15"/>
    <d v="2025-03-10T00:00:00"/>
    <s v="Liaison inter-établissement vers TO "/>
    <m/>
    <e v="#N/A"/>
    <e v="#N/A"/>
    <n v="73838"/>
    <m/>
    <s v="Jérémie Blache"/>
    <s v="Q1"/>
    <e v="#REF!"/>
    <e v="#REF!"/>
    <e v="#REF!"/>
  </r>
  <r>
    <s v="181000"/>
    <x v="6"/>
    <s v="COMPTE DE LIAISON DES ETABLISSEMENTS"/>
    <s v="OD"/>
    <n v="-10.9"/>
    <d v="2025-03-14T00:00:00"/>
    <s v="Liaison inter-établissement vers TO "/>
    <m/>
    <e v="#N/A"/>
    <e v="#N/A"/>
    <n v="76651"/>
    <m/>
    <s v="Jérémie Blache"/>
    <s v="Q1"/>
    <e v="#REF!"/>
    <e v="#REF!"/>
    <e v="#REF!"/>
  </r>
  <r>
    <s v="181000"/>
    <x v="6"/>
    <s v="COMPTE DE LIAISON DES ETABLISSEMENTS"/>
    <s v="OD"/>
    <n v="-10.8"/>
    <d v="2025-11-24T00:00:00"/>
    <s v="Liaison inter-établissement vers TO "/>
    <m/>
    <e v="#N/A"/>
    <e v="#N/A"/>
    <n v="91016"/>
    <m/>
    <s v="Clément Perrocheau"/>
    <s v="Q4"/>
    <e v="#REF!"/>
    <e v="#REF!"/>
    <e v="#REF!"/>
  </r>
  <r>
    <s v="181000"/>
    <x v="6"/>
    <s v="COMPTE DE LIAISON DES ETABLISSEMENTS"/>
    <s v="OD"/>
    <n v="-10.49"/>
    <d v="2025-12-12T00:00:00"/>
    <s v="Liaison inter-établissement vers TO "/>
    <m/>
    <e v="#N/A"/>
    <e v="#N/A"/>
    <n v="94081"/>
    <m/>
    <s v="LA POSTE"/>
    <s v="Q4"/>
    <e v="#REF!"/>
    <e v="#REF!"/>
    <e v="#REF!"/>
  </r>
  <r>
    <s v="181000"/>
    <x v="6"/>
    <s v="COMPTE DE LIAISON DES ETABLISSEMENTS"/>
    <s v="OD"/>
    <n v="-10.29"/>
    <d v="2025-09-30T00:00:00"/>
    <s v="Liaison inter-établissement"/>
    <m/>
    <e v="#N/A"/>
    <e v="#N/A"/>
    <n v="87226"/>
    <m/>
    <m/>
    <s v="Q3"/>
    <e v="#REF!"/>
    <e v="#REF!"/>
    <e v="#REF!"/>
  </r>
  <r>
    <s v="181000"/>
    <x v="6"/>
    <s v="COMPTE DE LIAISON DES ETABLISSEMENTS"/>
    <s v="OD"/>
    <n v="-10.1"/>
    <d v="2025-02-18T00:00:00"/>
    <s v="Liaison inter-établissement vers TO "/>
    <m/>
    <e v="#N/A"/>
    <e v="#N/A"/>
    <n v="73854"/>
    <m/>
    <s v="Jérémie Blache"/>
    <s v="Q1"/>
    <e v="#REF!"/>
    <e v="#REF!"/>
    <e v="#REF!"/>
  </r>
  <r>
    <s v="181000"/>
    <x v="6"/>
    <s v="COMPTE DE LIAISON DES ETABLISSEMENTS"/>
    <s v="OD"/>
    <n v="-10"/>
    <d v="2025-01-28T00:00:00"/>
    <s v="Liaison inter-établissement vers TO "/>
    <m/>
    <e v="#N/A"/>
    <e v="#N/A"/>
    <n v="63770"/>
    <m/>
    <s v="ORSON.IO"/>
    <s v="Q1"/>
    <e v="#REF!"/>
    <e v="#REF!"/>
    <e v="#REF!"/>
  </r>
  <r>
    <s v="181000"/>
    <x v="6"/>
    <s v="COMPTE DE LIAISON DES ETABLISSEMENTS"/>
    <s v="OD"/>
    <n v="-9.9499999999999993"/>
    <d v="2025-05-23T00:00:00"/>
    <s v="Liaison inter-établissement vers TO "/>
    <m/>
    <e v="#N/A"/>
    <e v="#N/A"/>
    <n v="75142"/>
    <m/>
    <s v="LA POSTE"/>
    <s v="Q2"/>
    <e v="#REF!"/>
    <e v="#REF!"/>
    <e v="#REF!"/>
  </r>
  <r>
    <s v="181000"/>
    <x v="6"/>
    <s v="COMPTE DE LIAISON DES ETABLISSEMENTS"/>
    <s v="OD"/>
    <n v="-9.23"/>
    <d v="2025-04-25T00:00:00"/>
    <s v="Liaison établissement 401000 SEDIST LY"/>
    <m/>
    <e v="#N/A"/>
    <e v="#N/A"/>
    <n v="70192"/>
    <s v="Invoice Payment by Pili"/>
    <s v="SEDIST"/>
    <s v="Q2"/>
    <e v="#REF!"/>
    <e v="#REF!"/>
    <e v="#REF!"/>
  </r>
  <r>
    <s v="181000"/>
    <x v="6"/>
    <s v="COMPTE DE LIAISON DES ETABLISSEMENTS"/>
    <s v="OD"/>
    <n v="-9.18"/>
    <d v="2025-04-15T00:00:00"/>
    <s v="Liaison inter-établissement vers TO "/>
    <m/>
    <e v="#N/A"/>
    <e v="#N/A"/>
    <n v="74750"/>
    <m/>
    <s v="SENDCLOUD"/>
    <s v="Q2"/>
    <e v="#REF!"/>
    <e v="#REF!"/>
    <e v="#REF!"/>
  </r>
  <r>
    <s v="181000"/>
    <x v="6"/>
    <s v="COMPTE DE LIAISON DES ETABLISSEMENTS"/>
    <s v="OD"/>
    <n v="-9.18"/>
    <d v="2025-10-14T00:00:00"/>
    <s v="Liaison inter-établissement vers TO "/>
    <m/>
    <e v="#N/A"/>
    <e v="#N/A"/>
    <n v="89774"/>
    <m/>
    <s v="SENDCLOUD"/>
    <s v="Q4"/>
    <e v="#REF!"/>
    <e v="#REF!"/>
    <e v="#REF!"/>
  </r>
  <r>
    <s v="181000"/>
    <x v="6"/>
    <s v="COMPTE DE LIAISON DES ETABLISSEMENTS"/>
    <s v="OD"/>
    <n v="-8.9"/>
    <d v="2025-04-30T00:00:00"/>
    <s v="Liaison inter-établissement vers TO "/>
    <m/>
    <e v="#N/A"/>
    <e v="#N/A"/>
    <n v="74546"/>
    <m/>
    <s v="Jérémie Blache"/>
    <s v="Q2"/>
    <e v="#REF!"/>
    <e v="#REF!"/>
    <e v="#REF!"/>
  </r>
  <r>
    <s v="181000"/>
    <x v="6"/>
    <s v="COMPTE DE LIAISON DES ETABLISSEMENTS"/>
    <s v="OD"/>
    <n v="-8.59"/>
    <d v="2025-04-01T00:00:00"/>
    <s v="Liaison inter-établissement vers TO "/>
    <m/>
    <e v="#N/A"/>
    <e v="#N/A"/>
    <n v="74742"/>
    <m/>
    <s v="SENDCLOUD"/>
    <s v="Q2"/>
    <e v="#REF!"/>
    <e v="#REF!"/>
    <e v="#REF!"/>
  </r>
  <r>
    <s v="181000"/>
    <x v="6"/>
    <s v="COMPTE DE LIAISON DES ETABLISSEMENTS"/>
    <s v="OD"/>
    <n v="-8.59"/>
    <d v="2025-07-08T00:00:00"/>
    <s v="Liaison inter-établissement vers TO "/>
    <m/>
    <e v="#N/A"/>
    <e v="#N/A"/>
    <n v="80964"/>
    <m/>
    <s v="SENDCLOUD"/>
    <s v="Q3"/>
    <e v="#REF!"/>
    <e v="#REF!"/>
    <e v="#REF!"/>
  </r>
  <r>
    <s v="181000"/>
    <x v="6"/>
    <s v="COMPTE DE LIAISON DES ETABLISSEMENTS"/>
    <s v="OD"/>
    <n v="-8.49"/>
    <d v="2025-04-25T00:00:00"/>
    <s v="Liaison inter-établissement vers TO "/>
    <m/>
    <e v="#N/A"/>
    <e v="#N/A"/>
    <n v="74836"/>
    <m/>
    <s v="LEROY MERLIN"/>
    <s v="Q2"/>
    <e v="#REF!"/>
    <e v="#REF!"/>
    <e v="#REF!"/>
  </r>
  <r>
    <s v="181000"/>
    <x v="6"/>
    <s v="COMPTE DE LIAISON DES ETABLISSEMENTS"/>
    <s v="OD"/>
    <n v="-8.35"/>
    <d v="2025-04-25T00:00:00"/>
    <s v="Liaison inter-établissement vers TO "/>
    <m/>
    <e v="#N/A"/>
    <e v="#N/A"/>
    <n v="74812"/>
    <m/>
    <s v="LA POSTE"/>
    <s v="Q2"/>
    <e v="#REF!"/>
    <e v="#REF!"/>
    <e v="#REF!"/>
  </r>
  <r>
    <s v="181000"/>
    <x v="6"/>
    <s v="COMPTE DE LIAISON DES ETABLISSEMENTS"/>
    <s v="OD"/>
    <n v="-8.3000000000000007"/>
    <d v="2025-06-13T00:00:00"/>
    <s v="Liaison inter-établissement vers TO "/>
    <m/>
    <e v="#N/A"/>
    <e v="#N/A"/>
    <n v="76639"/>
    <m/>
    <s v="Jérémie Blache"/>
    <s v="Q2"/>
    <e v="#REF!"/>
    <e v="#REF!"/>
    <e v="#REF!"/>
  </r>
  <r>
    <s v="181000"/>
    <x v="6"/>
    <s v="COMPTE DE LIAISON DES ETABLISSEMENTS"/>
    <s v="OD"/>
    <n v="-8.26"/>
    <d v="2025-11-02T00:00:00"/>
    <s v="Liaison inter-établissement vers TO "/>
    <m/>
    <e v="#N/A"/>
    <e v="#N/A"/>
    <n v="91742"/>
    <m/>
    <s v="SENDCLOUD"/>
    <s v="Q4"/>
    <e v="#REF!"/>
    <e v="#REF!"/>
    <e v="#REF!"/>
  </r>
  <r>
    <s v="181000"/>
    <x v="6"/>
    <s v="COMPTE DE LIAISON DES ETABLISSEMENTS"/>
    <s v="OD"/>
    <n v="-8.23"/>
    <d v="2025-07-03T00:00:00"/>
    <s v="Liaison inter-établissement vers TO "/>
    <m/>
    <e v="#N/A"/>
    <e v="#N/A"/>
    <n v="80984"/>
    <m/>
    <s v="LA POSTE"/>
    <s v="Q3"/>
    <e v="#REF!"/>
    <e v="#REF!"/>
    <e v="#REF!"/>
  </r>
  <r>
    <s v="181000"/>
    <x v="6"/>
    <s v="COMPTE DE LIAISON DES ETABLISSEMENTS"/>
    <s v="OD"/>
    <n v="-8.23"/>
    <d v="2025-12-19T00:00:00"/>
    <s v="Liaison inter-établissement vers TO "/>
    <m/>
    <e v="#N/A"/>
    <e v="#N/A"/>
    <n v="94085"/>
    <m/>
    <s v="LA POSTE"/>
    <s v="Q4"/>
    <e v="#REF!"/>
    <e v="#REF!"/>
    <e v="#REF!"/>
  </r>
  <r>
    <s v="181000"/>
    <x v="6"/>
    <s v="COMPTE DE LIAISON DES ETABLISSEMENTS"/>
    <s v="OD"/>
    <n v="-8.0399999999999991"/>
    <d v="2025-07-22T00:00:00"/>
    <s v="Liaison inter-établissement vers TO "/>
    <m/>
    <e v="#N/A"/>
    <e v="#N/A"/>
    <n v="80960"/>
    <m/>
    <s v="SENDCLOUD"/>
    <s v="Q3"/>
    <e v="#REF!"/>
    <e v="#REF!"/>
    <e v="#REF!"/>
  </r>
  <r>
    <s v="181000"/>
    <x v="6"/>
    <s v="COMPTE DE LIAISON DES ETABLISSEMENTS"/>
    <s v="OD"/>
    <n v="-8.0399999999999991"/>
    <d v="2025-09-02T00:00:00"/>
    <s v="Liaison inter-établissement vers TO "/>
    <m/>
    <e v="#N/A"/>
    <e v="#N/A"/>
    <n v="83181"/>
    <m/>
    <s v="SENDCLOUD"/>
    <s v="Q3"/>
    <e v="#REF!"/>
    <e v="#REF!"/>
    <e v="#REF!"/>
  </r>
  <r>
    <s v="181000"/>
    <x v="6"/>
    <s v="COMPTE DE LIAISON DES ETABLISSEMENTS"/>
    <s v="OD"/>
    <n v="-7.96"/>
    <d v="2025-04-09T00:00:00"/>
    <s v="Liaison inter-établissement vers TO "/>
    <m/>
    <e v="#N/A"/>
    <e v="#N/A"/>
    <n v="71425"/>
    <m/>
    <s v="LA POSTE"/>
    <s v="Q2"/>
    <e v="#REF!"/>
    <e v="#REF!"/>
    <e v="#REF!"/>
  </r>
  <r>
    <s v="181000"/>
    <x v="6"/>
    <s v="COMPTE DE LIAISON DES ETABLISSEMENTS"/>
    <s v="OD"/>
    <n v="-7.96"/>
    <d v="2025-10-31T00:00:00"/>
    <s v="Liaison inter-établissement vers TO "/>
    <m/>
    <e v="#N/A"/>
    <e v="#N/A"/>
    <n v="89754"/>
    <m/>
    <s v="LA POSTE"/>
    <s v="Q4"/>
    <e v="#REF!"/>
    <e v="#REF!"/>
    <e v="#REF!"/>
  </r>
  <r>
    <s v="181000"/>
    <x v="6"/>
    <s v="COMPTE DE LIAISON DES ETABLISSEMENTS"/>
    <s v="OD"/>
    <n v="-7.75"/>
    <d v="2025-04-08T00:00:00"/>
    <s v="Liaison inter-établissement vers TO "/>
    <m/>
    <e v="#N/A"/>
    <e v="#N/A"/>
    <n v="69908"/>
    <m/>
    <s v="ARESCOM"/>
    <s v="Q2"/>
    <e v="#REF!"/>
    <e v="#REF!"/>
    <e v="#REF!"/>
  </r>
  <r>
    <s v="181000"/>
    <x v="6"/>
    <s v="COMPTE DE LIAISON DES ETABLISSEMENTS"/>
    <s v="OD"/>
    <n v="-7.49"/>
    <d v="2025-04-15T00:00:00"/>
    <s v="Liaison inter-établissement vers TO "/>
    <m/>
    <e v="#N/A"/>
    <e v="#N/A"/>
    <n v="74868"/>
    <m/>
    <s v="LEROY MERLIN"/>
    <s v="Q2"/>
    <e v="#REF!"/>
    <e v="#REF!"/>
    <e v="#REF!"/>
  </r>
  <r>
    <s v="181000"/>
    <x v="6"/>
    <s v="COMPTE DE LIAISON DES ETABLISSEMENTS"/>
    <s v="OD"/>
    <n v="-7.35"/>
    <d v="2025-11-28T00:00:00"/>
    <s v="Liaison inter-établissement vers TO "/>
    <m/>
    <e v="#N/A"/>
    <e v="#N/A"/>
    <n v="91662"/>
    <m/>
    <s v="LA POSTE"/>
    <s v="Q4"/>
    <e v="#REF!"/>
    <e v="#REF!"/>
    <e v="#REF!"/>
  </r>
  <r>
    <s v="181000"/>
    <x v="6"/>
    <s v="COMPTE DE LIAISON DES ETABLISSEMENTS"/>
    <s v="OD"/>
    <n v="-7.14"/>
    <d v="2025-03-18T00:00:00"/>
    <s v="Liaison inter-établissement vers TO "/>
    <m/>
    <e v="#N/A"/>
    <e v="#N/A"/>
    <n v="68039"/>
    <m/>
    <s v="LA POSTE"/>
    <s v="Q1"/>
    <e v="#REF!"/>
    <e v="#REF!"/>
    <e v="#REF!"/>
  </r>
  <r>
    <s v="181000"/>
    <x v="6"/>
    <s v="COMPTE DE LIAISON DES ETABLISSEMENTS"/>
    <s v="OD"/>
    <n v="-7.14"/>
    <d v="2025-09-30T00:00:00"/>
    <s v="Liaison inter-établissement vers TO "/>
    <m/>
    <e v="#N/A"/>
    <e v="#N/A"/>
    <n v="89758"/>
    <m/>
    <s v="LA POSTE"/>
    <s v="Q3"/>
    <e v="#REF!"/>
    <e v="#REF!"/>
    <e v="#REF!"/>
  </r>
  <r>
    <s v="181000"/>
    <x v="6"/>
    <s v="COMPTE DE LIAISON DES ETABLISSEMENTS"/>
    <s v="OD"/>
    <n v="-6.68"/>
    <d v="2025-03-31T00:00:00"/>
    <s v="Liaison inter-établissement"/>
    <m/>
    <e v="#N/A"/>
    <e v="#N/A"/>
    <n v="68533"/>
    <m/>
    <m/>
    <s v="Q1"/>
    <e v="#REF!"/>
    <e v="#REF!"/>
    <e v="#REF!"/>
  </r>
  <r>
    <s v="181000"/>
    <x v="6"/>
    <s v="COMPTE DE LIAISON DES ETABLISSEMENTS"/>
    <s v="OD"/>
    <n v="-6.54"/>
    <d v="2025-06-24T00:00:00"/>
    <s v="Liaison inter-établissement vers TO "/>
    <m/>
    <e v="#N/A"/>
    <e v="#N/A"/>
    <n v="78208"/>
    <m/>
    <s v="SENDCLOUD"/>
    <s v="Q2"/>
    <e v="#REF!"/>
    <e v="#REF!"/>
    <e v="#REF!"/>
  </r>
  <r>
    <s v="181000"/>
    <x v="6"/>
    <s v="COMPTE DE LIAISON DES ETABLISSEMENTS"/>
    <s v="OD"/>
    <n v="-5.84"/>
    <d v="2025-06-30T00:00:00"/>
    <s v="Liaison inter-établissement"/>
    <m/>
    <e v="#N/A"/>
    <e v="#N/A"/>
    <n v="78532"/>
    <m/>
    <m/>
    <s v="Q2"/>
    <e v="#REF!"/>
    <e v="#REF!"/>
    <e v="#REF!"/>
  </r>
  <r>
    <s v="181000"/>
    <x v="6"/>
    <s v="COMPTE DE LIAISON DES ETABLISSEMENTS"/>
    <s v="OD"/>
    <n v="-5.25"/>
    <d v="2025-04-05T00:00:00"/>
    <s v="Liaison inter-établissement vers TO "/>
    <m/>
    <e v="#N/A"/>
    <e v="#N/A"/>
    <n v="74808"/>
    <m/>
    <s v="LA POSTE"/>
    <s v="Q2"/>
    <e v="#REF!"/>
    <e v="#REF!"/>
    <e v="#REF!"/>
  </r>
  <r>
    <s v="181000"/>
    <x v="6"/>
    <s v="COMPTE DE LIAISON DES ETABLISSEMENTS"/>
    <s v="OD"/>
    <n v="-5.25"/>
    <d v="2025-07-11T00:00:00"/>
    <s v="Liaison inter-établissement vers TO "/>
    <m/>
    <e v="#N/A"/>
    <e v="#N/A"/>
    <n v="80992"/>
    <m/>
    <s v="LA POSTE"/>
    <s v="Q3"/>
    <e v="#REF!"/>
    <e v="#REF!"/>
    <e v="#REF!"/>
  </r>
  <r>
    <s v="181000"/>
    <x v="6"/>
    <s v="COMPTE DE LIAISON DES ETABLISSEMENTS"/>
    <s v="OD"/>
    <n v="-5.25"/>
    <d v="2025-09-04T00:00:00"/>
    <s v="Liaison inter-établissement vers TO "/>
    <m/>
    <e v="#N/A"/>
    <e v="#N/A"/>
    <n v="85073"/>
    <m/>
    <s v="LA POSTE"/>
    <s v="Q3"/>
    <e v="#REF!"/>
    <e v="#REF!"/>
    <e v="#REF!"/>
  </r>
  <r>
    <s v="181000"/>
    <x v="6"/>
    <s v="COMPTE DE LIAISON DES ETABLISSEMENTS"/>
    <s v="OD"/>
    <n v="-5.25"/>
    <d v="2025-10-04T00:00:00"/>
    <s v="Liaison inter-établissement vers TO "/>
    <m/>
    <e v="#N/A"/>
    <e v="#N/A"/>
    <n v="89744"/>
    <m/>
    <s v="LA POSTE"/>
    <s v="Q4"/>
    <e v="#REF!"/>
    <e v="#REF!"/>
    <e v="#REF!"/>
  </r>
  <r>
    <s v="181000"/>
    <x v="6"/>
    <s v="COMPTE DE LIAISON DES ETABLISSEMENTS"/>
    <s v="OD"/>
    <n v="-5.23"/>
    <d v="2025-11-28T00:00:00"/>
    <s v="Liaison inter-établissement vers TO "/>
    <m/>
    <e v="#N/A"/>
    <e v="#N/A"/>
    <n v="91658"/>
    <m/>
    <s v="LA POSTE"/>
    <s v="Q4"/>
    <e v="#REF!"/>
    <e v="#REF!"/>
    <e v="#REF!"/>
  </r>
  <r>
    <s v="181000"/>
    <x v="6"/>
    <s v="COMPTE DE LIAISON DES ETABLISSEMENTS"/>
    <s v="OD"/>
    <n v="-3.48"/>
    <d v="2025-04-01T00:00:00"/>
    <s v="Liaison inter-établissement vers TO "/>
    <m/>
    <e v="#N/A"/>
    <e v="#N/A"/>
    <n v="89451"/>
    <m/>
    <s v="ENGIE"/>
    <s v="Q2"/>
    <e v="#REF!"/>
    <e v="#REF!"/>
    <e v="#REF!"/>
  </r>
  <r>
    <s v="181000"/>
    <x v="6"/>
    <s v="COMPTE DE LIAISON DES ETABLISSEMENTS"/>
    <s v="OD"/>
    <n v="-2.8"/>
    <d v="2025-04-01T00:00:00"/>
    <s v="Liaison inter-établissement vers TO "/>
    <m/>
    <e v="#N/A"/>
    <e v="#N/A"/>
    <n v="74980"/>
    <m/>
    <s v="SHOPIFY"/>
    <s v="Q2"/>
    <e v="#REF!"/>
    <e v="#REF!"/>
    <e v="#REF!"/>
  </r>
  <r>
    <s v="181000"/>
    <x v="6"/>
    <s v="COMPTE DE LIAISON DES ETABLISSEMENTS"/>
    <s v="OD"/>
    <n v="-2.5499999999999998"/>
    <d v="2025-07-02T00:00:00"/>
    <s v="Liaison inter-établissement vers TO "/>
    <m/>
    <e v="#N/A"/>
    <e v="#N/A"/>
    <n v="80972"/>
    <m/>
    <s v="SANITY"/>
    <s v="Q3"/>
    <e v="#REF!"/>
    <e v="#REF!"/>
    <e v="#REF!"/>
  </r>
  <r>
    <s v="181000"/>
    <x v="6"/>
    <s v="COMPTE DE LIAISON DES ETABLISSEMENTS"/>
    <s v="OD"/>
    <n v="-1.88"/>
    <d v="2025-08-04T00:00:00"/>
    <s v="Liaison inter-établissement vers TO "/>
    <m/>
    <e v="#N/A"/>
    <e v="#N/A"/>
    <n v="83329"/>
    <m/>
    <s v="ORANGE"/>
    <s v="Q3"/>
    <e v="#REF!"/>
    <e v="#REF!"/>
    <e v="#REF!"/>
  </r>
  <r>
    <s v="181000"/>
    <x v="6"/>
    <s v="COMPTE DE LIAISON DES ETABLISSEMENTS"/>
    <s v="OD"/>
    <n v="-1.74"/>
    <d v="2025-11-03T00:00:00"/>
    <s v="Liaison inter-établissement vers TO "/>
    <m/>
    <e v="#N/A"/>
    <e v="#N/A"/>
    <n v="91738"/>
    <m/>
    <s v="SANITY"/>
    <s v="Q4"/>
    <e v="#REF!"/>
    <e v="#REF!"/>
    <e v="#REF!"/>
  </r>
  <r>
    <s v="181000"/>
    <x v="6"/>
    <s v="COMPTE DE LIAISON DES ETABLISSEMENTS"/>
    <s v="OD"/>
    <n v="-1.71"/>
    <d v="2025-10-02T00:00:00"/>
    <s v="Liaison inter-établissement vers TO "/>
    <m/>
    <e v="#N/A"/>
    <e v="#N/A"/>
    <n v="89509"/>
    <m/>
    <s v="SANITY"/>
    <s v="Q4"/>
    <e v="#REF!"/>
    <e v="#REF!"/>
    <e v="#REF!"/>
  </r>
  <r>
    <s v="181000"/>
    <x v="6"/>
    <s v="COMPTE DE LIAISON DES ETABLISSEMENTS"/>
    <s v="OD"/>
    <n v="-1.2"/>
    <d v="2025-12-29T00:00:00"/>
    <s v="Liaison inter-établissement vers TO "/>
    <m/>
    <e v="#N/A"/>
    <e v="#N/A"/>
    <n v="93701"/>
    <m/>
    <s v="ORANGE"/>
    <s v="Q4"/>
    <e v="#REF!"/>
    <e v="#REF!"/>
    <e v="#REF!"/>
  </r>
  <r>
    <s v="181000"/>
    <x v="6"/>
    <s v="COMPTE DE LIAISON DES ETABLISSEMENTS"/>
    <s v="OD"/>
    <n v="-1.18"/>
    <d v="2025-12-12T00:00:00"/>
    <s v="Liaison inter-établissement vers TO "/>
    <m/>
    <e v="#N/A"/>
    <e v="#N/A"/>
    <n v="94053"/>
    <m/>
    <s v="AIRBNB"/>
    <s v="Q4"/>
    <e v="#REF!"/>
    <e v="#REF!"/>
    <e v="#REF!"/>
  </r>
  <r>
    <s v="181000"/>
    <x v="6"/>
    <s v="COMPTE DE LIAISON DES ETABLISSEMENTS"/>
    <s v="OD"/>
    <n v="-1"/>
    <d v="2025-03-02T00:00:00"/>
    <s v="Liaison inter-établissement vers TO "/>
    <m/>
    <e v="#N/A"/>
    <e v="#N/A"/>
    <n v="71920"/>
    <m/>
    <s v="SANITY"/>
    <s v="Q1"/>
    <e v="#REF!"/>
    <e v="#REF!"/>
    <e v="#REF!"/>
  </r>
  <r>
    <s v="181000"/>
    <x v="6"/>
    <s v="COMPTE DE LIAISON DES ETABLISSEMENTS"/>
    <s v="OD"/>
    <n v="-0.97"/>
    <d v="2025-01-18T00:00:00"/>
    <s v="Liaison inter-établissement vers TO "/>
    <m/>
    <e v="#N/A"/>
    <e v="#N/A"/>
    <n v="63834"/>
    <m/>
    <s v="SANITY"/>
    <s v="Q1"/>
    <e v="#REF!"/>
    <e v="#REF!"/>
    <e v="#REF!"/>
  </r>
  <r>
    <s v="181000"/>
    <x v="6"/>
    <s v="COMPTE DE LIAISON DES ETABLISSEMENTS"/>
    <s v="OD"/>
    <n v="-0.97"/>
    <d v="2025-02-02T00:00:00"/>
    <s v="Liaison inter-établissement vers TO "/>
    <m/>
    <e v="#N/A"/>
    <e v="#N/A"/>
    <n v="64332"/>
    <m/>
    <s v="SANITY"/>
    <s v="Q1"/>
    <e v="#REF!"/>
    <e v="#REF!"/>
    <e v="#REF!"/>
  </r>
  <r>
    <s v="181000"/>
    <x v="6"/>
    <s v="COMPTE DE LIAISON DES ETABLISSEMENTS"/>
    <s v="OD"/>
    <n v="-0.93"/>
    <d v="2025-04-02T00:00:00"/>
    <s v="Liaison inter-établissement vers TO "/>
    <m/>
    <e v="#N/A"/>
    <e v="#N/A"/>
    <n v="74760"/>
    <m/>
    <s v="SHOPIFY"/>
    <s v="Q2"/>
    <e v="#REF!"/>
    <e v="#REF!"/>
    <e v="#REF!"/>
  </r>
  <r>
    <s v="181000"/>
    <x v="6"/>
    <s v="COMPTE DE LIAISON DES ETABLISSEMENTS"/>
    <s v="OD"/>
    <n v="-0.89"/>
    <d v="2025-05-02T00:00:00"/>
    <s v="Liaison inter-établissement vers TO "/>
    <m/>
    <e v="#N/A"/>
    <e v="#N/A"/>
    <n v="75102"/>
    <m/>
    <s v="SANITY"/>
    <s v="Q2"/>
    <e v="#REF!"/>
    <e v="#REF!"/>
    <e v="#REF!"/>
  </r>
  <r>
    <s v="181000"/>
    <x v="6"/>
    <s v="COMPTE DE LIAISON DES ETABLISSEMENTS"/>
    <s v="OD"/>
    <n v="-0.88"/>
    <d v="2025-06-02T00:00:00"/>
    <s v="Liaison inter-établissement vers TO "/>
    <m/>
    <e v="#N/A"/>
    <e v="#N/A"/>
    <n v="78216"/>
    <m/>
    <s v="SHOPIFY"/>
    <s v="Q2"/>
    <e v="#REF!"/>
    <e v="#REF!"/>
    <e v="#REF!"/>
  </r>
  <r>
    <s v="181000"/>
    <x v="6"/>
    <s v="COMPTE DE LIAISON DES ETABLISSEMENTS"/>
    <s v="OD"/>
    <n v="-0.88"/>
    <d v="2025-08-03T00:00:00"/>
    <s v="Liaison inter-établissement vers TO "/>
    <m/>
    <e v="#N/A"/>
    <e v="#N/A"/>
    <n v="83273"/>
    <m/>
    <s v="SANITY"/>
    <s v="Q3"/>
    <e v="#REF!"/>
    <e v="#REF!"/>
    <e v="#REF!"/>
  </r>
  <r>
    <s v="181000"/>
    <x v="6"/>
    <s v="COMPTE DE LIAISON DES ETABLISSEMENTS"/>
    <s v="OD"/>
    <n v="-0.86"/>
    <d v="2025-12-02T00:00:00"/>
    <s v="Liaison inter-établissement vers TO "/>
    <m/>
    <e v="#N/A"/>
    <e v="#N/A"/>
    <n v="94093"/>
    <m/>
    <s v="SANITY"/>
    <s v="Q4"/>
    <e v="#REF!"/>
    <e v="#REF!"/>
    <e v="#REF!"/>
  </r>
  <r>
    <s v="181000"/>
    <x v="6"/>
    <s v="COMPTE DE LIAISON DES ETABLISSEMENTS"/>
    <s v="OD"/>
    <n v="-0.03"/>
    <d v="2025-01-18T00:00:00"/>
    <s v="Liaison inter-établissement vers TO "/>
    <m/>
    <e v="#N/A"/>
    <e v="#N/A"/>
    <n v="63830"/>
    <m/>
    <s v="SANITY"/>
    <s v="Q1"/>
    <e v="#REF!"/>
    <e v="#REF!"/>
    <e v="#REF!"/>
  </r>
  <r>
    <s v="181000"/>
    <x v="6"/>
    <s v="COMPTE DE LIAISON DES ETABLISSEMENTS"/>
    <s v="OD"/>
    <n v="0.03"/>
    <d v="2025-01-18T00:00:00"/>
    <s v="Liaison inter-établissement"/>
    <m/>
    <e v="#N/A"/>
    <e v="#N/A"/>
    <n v="63833"/>
    <m/>
    <s v="SANITY"/>
    <s v="Q1"/>
    <e v="#REF!"/>
    <e v="#REF!"/>
    <e v="#REF!"/>
  </r>
  <r>
    <s v="181000"/>
    <x v="6"/>
    <s v="COMPTE DE LIAISON DES ETABLISSEMENTS"/>
    <s v="OD"/>
    <n v="0.86"/>
    <d v="2025-12-02T00:00:00"/>
    <s v="Liaison inter-établissement"/>
    <m/>
    <e v="#N/A"/>
    <e v="#N/A"/>
    <n v="94096"/>
    <m/>
    <s v="SANITY"/>
    <s v="Q4"/>
    <e v="#REF!"/>
    <e v="#REF!"/>
    <e v="#REF!"/>
  </r>
  <r>
    <s v="181000"/>
    <x v="6"/>
    <s v="COMPTE DE LIAISON DES ETABLISSEMENTS"/>
    <s v="OD"/>
    <n v="0.88"/>
    <d v="2025-06-02T00:00:00"/>
    <s v="Liaison inter-établissement"/>
    <m/>
    <e v="#N/A"/>
    <e v="#N/A"/>
    <n v="78219"/>
    <m/>
    <s v="SHOPIFY"/>
    <s v="Q2"/>
    <e v="#REF!"/>
    <e v="#REF!"/>
    <e v="#REF!"/>
  </r>
  <r>
    <s v="181000"/>
    <x v="6"/>
    <s v="COMPTE DE LIAISON DES ETABLISSEMENTS"/>
    <s v="OD"/>
    <n v="0.88"/>
    <d v="2025-08-03T00:00:00"/>
    <s v="Liaison inter-établissement"/>
    <m/>
    <e v="#N/A"/>
    <e v="#N/A"/>
    <n v="83276"/>
    <m/>
    <s v="SANITY"/>
    <s v="Q3"/>
    <e v="#REF!"/>
    <e v="#REF!"/>
    <e v="#REF!"/>
  </r>
  <r>
    <s v="181000"/>
    <x v="6"/>
    <s v="COMPTE DE LIAISON DES ETABLISSEMENTS"/>
    <s v="OD"/>
    <n v="0.89"/>
    <d v="2025-05-02T00:00:00"/>
    <s v="Liaison inter-établissement"/>
    <m/>
    <e v="#N/A"/>
    <e v="#N/A"/>
    <n v="75105"/>
    <m/>
    <s v="SANITY"/>
    <s v="Q2"/>
    <e v="#REF!"/>
    <e v="#REF!"/>
    <e v="#REF!"/>
  </r>
  <r>
    <s v="181000"/>
    <x v="6"/>
    <s v="COMPTE DE LIAISON DES ETABLISSEMENTS"/>
    <s v="OD"/>
    <n v="0.93"/>
    <d v="2025-04-02T00:00:00"/>
    <s v="Liaison inter-établissement"/>
    <m/>
    <e v="#N/A"/>
    <e v="#N/A"/>
    <n v="74763"/>
    <m/>
    <s v="SHOPIFY"/>
    <s v="Q2"/>
    <e v="#REF!"/>
    <e v="#REF!"/>
    <e v="#REF!"/>
  </r>
  <r>
    <s v="181000"/>
    <x v="6"/>
    <s v="COMPTE DE LIAISON DES ETABLISSEMENTS"/>
    <s v="OD"/>
    <n v="0.97"/>
    <d v="2025-01-18T00:00:00"/>
    <s v="Liaison inter-établissement"/>
    <m/>
    <e v="#N/A"/>
    <e v="#N/A"/>
    <n v="63837"/>
    <m/>
    <s v="SANITY"/>
    <s v="Q1"/>
    <e v="#REF!"/>
    <e v="#REF!"/>
    <e v="#REF!"/>
  </r>
  <r>
    <s v="181000"/>
    <x v="6"/>
    <s v="COMPTE DE LIAISON DES ETABLISSEMENTS"/>
    <s v="OD"/>
    <n v="0.97"/>
    <d v="2025-02-02T00:00:00"/>
    <s v="Liaison inter-établissement"/>
    <m/>
    <e v="#N/A"/>
    <e v="#N/A"/>
    <n v="64335"/>
    <m/>
    <s v="SANITY"/>
    <s v="Q1"/>
    <e v="#REF!"/>
    <e v="#REF!"/>
    <e v="#REF!"/>
  </r>
  <r>
    <s v="181000"/>
    <x v="6"/>
    <s v="COMPTE DE LIAISON DES ETABLISSEMENTS"/>
    <s v="OD"/>
    <n v="1"/>
    <d v="2025-03-02T00:00:00"/>
    <s v="Liaison inter-établissement"/>
    <m/>
    <e v="#N/A"/>
    <e v="#N/A"/>
    <n v="71923"/>
    <m/>
    <s v="SANITY"/>
    <s v="Q1"/>
    <e v="#REF!"/>
    <e v="#REF!"/>
    <e v="#REF!"/>
  </r>
  <r>
    <s v="181000"/>
    <x v="6"/>
    <s v="COMPTE DE LIAISON DES ETABLISSEMENTS"/>
    <s v="OD"/>
    <n v="1.18"/>
    <d v="2025-12-12T00:00:00"/>
    <s v="Liaison inter-établissement"/>
    <m/>
    <e v="#N/A"/>
    <e v="#N/A"/>
    <n v="94056"/>
    <m/>
    <s v="AIRBNB"/>
    <s v="Q4"/>
    <e v="#REF!"/>
    <e v="#REF!"/>
    <e v="#REF!"/>
  </r>
  <r>
    <s v="181000"/>
    <x v="6"/>
    <s v="COMPTE DE LIAISON DES ETABLISSEMENTS"/>
    <s v="OD"/>
    <n v="1.2"/>
    <d v="2025-12-29T00:00:00"/>
    <s v="Liaison inter-établissement"/>
    <m/>
    <e v="#N/A"/>
    <e v="#N/A"/>
    <n v="93704"/>
    <m/>
    <s v="ORANGE"/>
    <s v="Q4"/>
    <e v="#REF!"/>
    <e v="#REF!"/>
    <e v="#REF!"/>
  </r>
  <r>
    <s v="181000"/>
    <x v="6"/>
    <s v="COMPTE DE LIAISON DES ETABLISSEMENTS"/>
    <s v="OD"/>
    <n v="1.71"/>
    <d v="2025-10-02T00:00:00"/>
    <s v="Liaison inter-établissement"/>
    <m/>
    <e v="#N/A"/>
    <e v="#N/A"/>
    <n v="89512"/>
    <m/>
    <s v="SANITY"/>
    <s v="Q4"/>
    <e v="#REF!"/>
    <e v="#REF!"/>
    <e v="#REF!"/>
  </r>
  <r>
    <s v="181000"/>
    <x v="6"/>
    <s v="COMPTE DE LIAISON DES ETABLISSEMENTS"/>
    <s v="OD"/>
    <n v="1.74"/>
    <d v="2025-11-03T00:00:00"/>
    <s v="Liaison inter-établissement"/>
    <m/>
    <e v="#N/A"/>
    <e v="#N/A"/>
    <n v="91741"/>
    <m/>
    <s v="SANITY"/>
    <s v="Q4"/>
    <e v="#REF!"/>
    <e v="#REF!"/>
    <e v="#REF!"/>
  </r>
  <r>
    <s v="181000"/>
    <x v="6"/>
    <s v="COMPTE DE LIAISON DES ETABLISSEMENTS"/>
    <s v="OD"/>
    <n v="1.88"/>
    <d v="2025-08-04T00:00:00"/>
    <s v="Liaison inter-établissement"/>
    <m/>
    <e v="#N/A"/>
    <e v="#N/A"/>
    <n v="83332"/>
    <m/>
    <s v="ORANGE"/>
    <s v="Q3"/>
    <e v="#REF!"/>
    <e v="#REF!"/>
    <e v="#REF!"/>
  </r>
  <r>
    <s v="181000"/>
    <x v="6"/>
    <s v="COMPTE DE LIAISON DES ETABLISSEMENTS"/>
    <s v="OD"/>
    <n v="2.5499999999999998"/>
    <d v="2025-07-02T00:00:00"/>
    <s v="Liaison inter-établissement"/>
    <m/>
    <e v="#N/A"/>
    <e v="#N/A"/>
    <n v="80975"/>
    <m/>
    <s v="SANITY"/>
    <s v="Q3"/>
    <e v="#REF!"/>
    <e v="#REF!"/>
    <e v="#REF!"/>
  </r>
  <r>
    <s v="181000"/>
    <x v="6"/>
    <s v="COMPTE DE LIAISON DES ETABLISSEMENTS"/>
    <s v="OD"/>
    <n v="2.8"/>
    <d v="2025-04-01T00:00:00"/>
    <s v="Liaison inter-établissement"/>
    <m/>
    <e v="#N/A"/>
    <e v="#N/A"/>
    <n v="74983"/>
    <m/>
    <s v="SHOPIFY"/>
    <s v="Q2"/>
    <e v="#REF!"/>
    <e v="#REF!"/>
    <e v="#REF!"/>
  </r>
  <r>
    <s v="181000"/>
    <x v="6"/>
    <s v="COMPTE DE LIAISON DES ETABLISSEMENTS"/>
    <s v="OD"/>
    <n v="3.48"/>
    <d v="2025-04-01T00:00:00"/>
    <s v="Liaison inter-établissement"/>
    <m/>
    <e v="#N/A"/>
    <e v="#N/A"/>
    <n v="89454"/>
    <m/>
    <s v="ENGIE"/>
    <s v="Q2"/>
    <e v="#REF!"/>
    <e v="#REF!"/>
    <e v="#REF!"/>
  </r>
  <r>
    <s v="181000"/>
    <x v="6"/>
    <s v="COMPTE DE LIAISON DES ETABLISSEMENTS"/>
    <s v="OD"/>
    <n v="5.23"/>
    <d v="2025-11-28T00:00:00"/>
    <s v="Liaison inter-établissement"/>
    <m/>
    <e v="#N/A"/>
    <e v="#N/A"/>
    <n v="91661"/>
    <m/>
    <s v="LA POSTE"/>
    <s v="Q4"/>
    <e v="#REF!"/>
    <e v="#REF!"/>
    <e v="#REF!"/>
  </r>
  <r>
    <s v="181000"/>
    <x v="6"/>
    <s v="COMPTE DE LIAISON DES ETABLISSEMENTS"/>
    <s v="OD"/>
    <n v="5.25"/>
    <d v="2025-04-05T00:00:00"/>
    <s v="Liaison inter-établissement"/>
    <m/>
    <e v="#N/A"/>
    <e v="#N/A"/>
    <n v="74811"/>
    <m/>
    <s v="LA POSTE"/>
    <s v="Q2"/>
    <e v="#REF!"/>
    <e v="#REF!"/>
    <e v="#REF!"/>
  </r>
  <r>
    <s v="181000"/>
    <x v="6"/>
    <s v="COMPTE DE LIAISON DES ETABLISSEMENTS"/>
    <s v="OD"/>
    <n v="5.25"/>
    <d v="2025-07-11T00:00:00"/>
    <s v="Liaison inter-établissement"/>
    <m/>
    <e v="#N/A"/>
    <e v="#N/A"/>
    <n v="80995"/>
    <m/>
    <s v="LA POSTE"/>
    <s v="Q3"/>
    <e v="#REF!"/>
    <e v="#REF!"/>
    <e v="#REF!"/>
  </r>
  <r>
    <s v="181000"/>
    <x v="6"/>
    <s v="COMPTE DE LIAISON DES ETABLISSEMENTS"/>
    <s v="OD"/>
    <n v="5.25"/>
    <d v="2025-09-04T00:00:00"/>
    <s v="Liaison inter-établissement"/>
    <m/>
    <e v="#N/A"/>
    <e v="#N/A"/>
    <n v="85076"/>
    <m/>
    <s v="LA POSTE"/>
    <s v="Q3"/>
    <e v="#REF!"/>
    <e v="#REF!"/>
    <e v="#REF!"/>
  </r>
  <r>
    <s v="181000"/>
    <x v="6"/>
    <s v="COMPTE DE LIAISON DES ETABLISSEMENTS"/>
    <s v="OD"/>
    <n v="5.25"/>
    <d v="2025-10-04T00:00:00"/>
    <s v="Liaison inter-établissement"/>
    <m/>
    <e v="#N/A"/>
    <e v="#N/A"/>
    <n v="89747"/>
    <m/>
    <s v="LA POSTE"/>
    <s v="Q4"/>
    <e v="#REF!"/>
    <e v="#REF!"/>
    <e v="#REF!"/>
  </r>
  <r>
    <s v="181000"/>
    <x v="6"/>
    <s v="COMPTE DE LIAISON DES ETABLISSEMENTS"/>
    <s v="OD"/>
    <n v="5.84"/>
    <d v="2025-06-30T00:00:00"/>
    <s v="Liaison inter-établissement vers TO "/>
    <m/>
    <e v="#N/A"/>
    <e v="#N/A"/>
    <n v="78530"/>
    <m/>
    <m/>
    <s v="Q2"/>
    <e v="#REF!"/>
    <e v="#REF!"/>
    <e v="#REF!"/>
  </r>
  <r>
    <s v="181000"/>
    <x v="6"/>
    <s v="COMPTE DE LIAISON DES ETABLISSEMENTS"/>
    <s v="OD"/>
    <n v="6.54"/>
    <d v="2025-06-24T00:00:00"/>
    <s v="Liaison inter-établissement"/>
    <m/>
    <e v="#N/A"/>
    <e v="#N/A"/>
    <n v="78211"/>
    <m/>
    <s v="SENDCLOUD"/>
    <s v="Q2"/>
    <e v="#REF!"/>
    <e v="#REF!"/>
    <e v="#REF!"/>
  </r>
  <r>
    <s v="181000"/>
    <x v="6"/>
    <s v="COMPTE DE LIAISON DES ETABLISSEMENTS"/>
    <s v="OD"/>
    <n v="6.68"/>
    <d v="2025-03-31T00:00:00"/>
    <s v="Liaison inter-établissement vers TO "/>
    <m/>
    <e v="#N/A"/>
    <e v="#N/A"/>
    <n v="68531"/>
    <m/>
    <m/>
    <s v="Q1"/>
    <e v="#REF!"/>
    <e v="#REF!"/>
    <e v="#REF!"/>
  </r>
  <r>
    <s v="181000"/>
    <x v="6"/>
    <s v="COMPTE DE LIAISON DES ETABLISSEMENTS"/>
    <s v="OD"/>
    <n v="7.14"/>
    <d v="2025-03-18T00:00:00"/>
    <s v="Liaison inter-établissement"/>
    <m/>
    <e v="#N/A"/>
    <e v="#N/A"/>
    <n v="68042"/>
    <m/>
    <s v="LA POSTE"/>
    <s v="Q1"/>
    <e v="#REF!"/>
    <e v="#REF!"/>
    <e v="#REF!"/>
  </r>
  <r>
    <s v="181000"/>
    <x v="6"/>
    <s v="COMPTE DE LIAISON DES ETABLISSEMENTS"/>
    <s v="OD"/>
    <n v="7.14"/>
    <d v="2025-09-30T00:00:00"/>
    <s v="Liaison inter-établissement"/>
    <m/>
    <e v="#N/A"/>
    <e v="#N/A"/>
    <n v="89761"/>
    <m/>
    <s v="LA POSTE"/>
    <s v="Q3"/>
    <e v="#REF!"/>
    <e v="#REF!"/>
    <e v="#REF!"/>
  </r>
  <r>
    <s v="181000"/>
    <x v="6"/>
    <s v="COMPTE DE LIAISON DES ETABLISSEMENTS"/>
    <s v="OD"/>
    <n v="7.35"/>
    <d v="2025-11-28T00:00:00"/>
    <s v="Liaison inter-établissement"/>
    <m/>
    <e v="#N/A"/>
    <e v="#N/A"/>
    <n v="91665"/>
    <m/>
    <s v="LA POSTE"/>
    <s v="Q4"/>
    <e v="#REF!"/>
    <e v="#REF!"/>
    <e v="#REF!"/>
  </r>
  <r>
    <s v="181000"/>
    <x v="6"/>
    <s v="COMPTE DE LIAISON DES ETABLISSEMENTS"/>
    <s v="OD"/>
    <n v="7.49"/>
    <d v="2025-04-15T00:00:00"/>
    <s v="Liaison inter-établissement"/>
    <m/>
    <e v="#N/A"/>
    <e v="#N/A"/>
    <n v="74871"/>
    <m/>
    <s v="LEROY MERLIN"/>
    <s v="Q2"/>
    <e v="#REF!"/>
    <e v="#REF!"/>
    <e v="#REF!"/>
  </r>
  <r>
    <s v="181000"/>
    <x v="6"/>
    <s v="COMPTE DE LIAISON DES ETABLISSEMENTS"/>
    <s v="OD"/>
    <n v="7.75"/>
    <d v="2025-04-08T00:00:00"/>
    <s v="Liaison inter-établissement"/>
    <m/>
    <e v="#N/A"/>
    <e v="#N/A"/>
    <n v="69911"/>
    <m/>
    <s v="ARESCOM"/>
    <s v="Q2"/>
    <e v="#REF!"/>
    <e v="#REF!"/>
    <e v="#REF!"/>
  </r>
  <r>
    <s v="181000"/>
    <x v="6"/>
    <s v="COMPTE DE LIAISON DES ETABLISSEMENTS"/>
    <s v="OD"/>
    <n v="7.96"/>
    <d v="2025-04-09T00:00:00"/>
    <s v="Liaison inter-établissement"/>
    <m/>
    <e v="#N/A"/>
    <e v="#N/A"/>
    <n v="71428"/>
    <m/>
    <s v="LA POSTE"/>
    <s v="Q2"/>
    <e v="#REF!"/>
    <e v="#REF!"/>
    <e v="#REF!"/>
  </r>
  <r>
    <s v="181000"/>
    <x v="6"/>
    <s v="COMPTE DE LIAISON DES ETABLISSEMENTS"/>
    <s v="OD"/>
    <n v="7.96"/>
    <d v="2025-10-31T00:00:00"/>
    <s v="Liaison inter-établissement"/>
    <m/>
    <e v="#N/A"/>
    <e v="#N/A"/>
    <n v="89757"/>
    <m/>
    <s v="LA POSTE"/>
    <s v="Q4"/>
    <e v="#REF!"/>
    <e v="#REF!"/>
    <e v="#REF!"/>
  </r>
  <r>
    <s v="181000"/>
    <x v="6"/>
    <s v="COMPTE DE LIAISON DES ETABLISSEMENTS"/>
    <s v="OD"/>
    <n v="8.0399999999999991"/>
    <d v="2025-07-22T00:00:00"/>
    <s v="Liaison inter-établissement"/>
    <m/>
    <e v="#N/A"/>
    <e v="#N/A"/>
    <n v="80963"/>
    <m/>
    <s v="SENDCLOUD"/>
    <s v="Q3"/>
    <e v="#REF!"/>
    <e v="#REF!"/>
    <e v="#REF!"/>
  </r>
  <r>
    <s v="181000"/>
    <x v="6"/>
    <s v="COMPTE DE LIAISON DES ETABLISSEMENTS"/>
    <s v="OD"/>
    <n v="8.0399999999999991"/>
    <d v="2025-09-02T00:00:00"/>
    <s v="Liaison inter-établissement"/>
    <m/>
    <e v="#N/A"/>
    <e v="#N/A"/>
    <n v="83184"/>
    <m/>
    <s v="SENDCLOUD"/>
    <s v="Q3"/>
    <e v="#REF!"/>
    <e v="#REF!"/>
    <e v="#REF!"/>
  </r>
  <r>
    <s v="181000"/>
    <x v="6"/>
    <s v="COMPTE DE LIAISON DES ETABLISSEMENTS"/>
    <s v="OD"/>
    <n v="8.23"/>
    <d v="2025-07-03T00:00:00"/>
    <s v="Liaison inter-établissement"/>
    <m/>
    <e v="#N/A"/>
    <e v="#N/A"/>
    <n v="80987"/>
    <m/>
    <s v="LA POSTE"/>
    <s v="Q3"/>
    <e v="#REF!"/>
    <e v="#REF!"/>
    <e v="#REF!"/>
  </r>
  <r>
    <s v="181000"/>
    <x v="6"/>
    <s v="COMPTE DE LIAISON DES ETABLISSEMENTS"/>
    <s v="OD"/>
    <n v="8.23"/>
    <d v="2025-12-19T00:00:00"/>
    <s v="Liaison inter-établissement"/>
    <m/>
    <e v="#N/A"/>
    <e v="#N/A"/>
    <n v="94088"/>
    <m/>
    <s v="LA POSTE"/>
    <s v="Q4"/>
    <e v="#REF!"/>
    <e v="#REF!"/>
    <e v="#REF!"/>
  </r>
  <r>
    <s v="181000"/>
    <x v="6"/>
    <s v="COMPTE DE LIAISON DES ETABLISSEMENTS"/>
    <s v="OD"/>
    <n v="8.26"/>
    <d v="2025-11-02T00:00:00"/>
    <s v="Liaison inter-établissement"/>
    <m/>
    <e v="#N/A"/>
    <e v="#N/A"/>
    <n v="91745"/>
    <m/>
    <s v="SENDCLOUD"/>
    <s v="Q4"/>
    <e v="#REF!"/>
    <e v="#REF!"/>
    <e v="#REF!"/>
  </r>
  <r>
    <s v="181000"/>
    <x v="6"/>
    <s v="COMPTE DE LIAISON DES ETABLISSEMENTS"/>
    <s v="OD"/>
    <n v="8.3000000000000007"/>
    <d v="2025-06-13T00:00:00"/>
    <s v="Liaison inter-établissement"/>
    <m/>
    <e v="#N/A"/>
    <e v="#N/A"/>
    <n v="76642"/>
    <m/>
    <s v="Jérémie Blache"/>
    <s v="Q2"/>
    <e v="#REF!"/>
    <e v="#REF!"/>
    <e v="#REF!"/>
  </r>
  <r>
    <s v="181000"/>
    <x v="6"/>
    <s v="COMPTE DE LIAISON DES ETABLISSEMENTS"/>
    <s v="OD"/>
    <n v="8.35"/>
    <d v="2025-04-25T00:00:00"/>
    <s v="Liaison inter-établissement"/>
    <m/>
    <e v="#N/A"/>
    <e v="#N/A"/>
    <n v="74815"/>
    <m/>
    <s v="LA POSTE"/>
    <s v="Q2"/>
    <e v="#REF!"/>
    <e v="#REF!"/>
    <e v="#REF!"/>
  </r>
  <r>
    <s v="181000"/>
    <x v="6"/>
    <s v="COMPTE DE LIAISON DES ETABLISSEMENTS"/>
    <s v="OD"/>
    <n v="8.49"/>
    <d v="2025-04-25T00:00:00"/>
    <s v="Liaison inter-établissement"/>
    <m/>
    <e v="#N/A"/>
    <e v="#N/A"/>
    <n v="74839"/>
    <m/>
    <s v="LEROY MERLIN"/>
    <s v="Q2"/>
    <e v="#REF!"/>
    <e v="#REF!"/>
    <e v="#REF!"/>
  </r>
  <r>
    <s v="181000"/>
    <x v="6"/>
    <s v="COMPTE DE LIAISON DES ETABLISSEMENTS"/>
    <s v="OD"/>
    <n v="8.59"/>
    <d v="2025-04-01T00:00:00"/>
    <s v="Liaison inter-établissement"/>
    <m/>
    <e v="#N/A"/>
    <e v="#N/A"/>
    <n v="74745"/>
    <m/>
    <s v="SENDCLOUD"/>
    <s v="Q2"/>
    <e v="#REF!"/>
    <e v="#REF!"/>
    <e v="#REF!"/>
  </r>
  <r>
    <s v="181000"/>
    <x v="6"/>
    <s v="COMPTE DE LIAISON DES ETABLISSEMENTS"/>
    <s v="OD"/>
    <n v="8.59"/>
    <d v="2025-07-08T00:00:00"/>
    <s v="Liaison inter-établissement"/>
    <m/>
    <e v="#N/A"/>
    <e v="#N/A"/>
    <n v="80967"/>
    <m/>
    <s v="SENDCLOUD"/>
    <s v="Q3"/>
    <e v="#REF!"/>
    <e v="#REF!"/>
    <e v="#REF!"/>
  </r>
  <r>
    <s v="181000"/>
    <x v="6"/>
    <s v="COMPTE DE LIAISON DES ETABLISSEMENTS"/>
    <s v="OD"/>
    <n v="8.9"/>
    <d v="2025-04-30T00:00:00"/>
    <s v="Liaison inter-établissement"/>
    <m/>
    <e v="#N/A"/>
    <e v="#N/A"/>
    <n v="74549"/>
    <m/>
    <s v="Jérémie Blache"/>
    <s v="Q2"/>
    <e v="#REF!"/>
    <e v="#REF!"/>
    <e v="#REF!"/>
  </r>
  <r>
    <s v="181000"/>
    <x v="6"/>
    <s v="COMPTE DE LIAISON DES ETABLISSEMENTS"/>
    <s v="OD"/>
    <n v="9.18"/>
    <d v="2025-04-15T00:00:00"/>
    <s v="Liaison inter-établissement"/>
    <m/>
    <e v="#N/A"/>
    <e v="#N/A"/>
    <n v="74753"/>
    <m/>
    <s v="SENDCLOUD"/>
    <s v="Q2"/>
    <e v="#REF!"/>
    <e v="#REF!"/>
    <e v="#REF!"/>
  </r>
  <r>
    <s v="181000"/>
    <x v="6"/>
    <s v="COMPTE DE LIAISON DES ETABLISSEMENTS"/>
    <s v="OD"/>
    <n v="9.18"/>
    <d v="2025-10-14T00:00:00"/>
    <s v="Liaison inter-établissement"/>
    <m/>
    <e v="#N/A"/>
    <e v="#N/A"/>
    <n v="89777"/>
    <m/>
    <s v="SENDCLOUD"/>
    <s v="Q4"/>
    <e v="#REF!"/>
    <e v="#REF!"/>
    <e v="#REF!"/>
  </r>
  <r>
    <s v="181000"/>
    <x v="6"/>
    <s v="COMPTE DE LIAISON DES ETABLISSEMENTS"/>
    <s v="OD"/>
    <n v="9.23"/>
    <d v="2025-04-25T00:00:00"/>
    <s v="Liaison établissement 401000 SEDIST TO"/>
    <m/>
    <e v="#N/A"/>
    <e v="#N/A"/>
    <n v="70193"/>
    <s v="Invoice Payment by Pili"/>
    <s v="SEDIST"/>
    <s v="Q2"/>
    <e v="#REF!"/>
    <e v="#REF!"/>
    <e v="#REF!"/>
  </r>
  <r>
    <s v="181000"/>
    <x v="6"/>
    <s v="COMPTE DE LIAISON DES ETABLISSEMENTS"/>
    <s v="OD"/>
    <n v="9.9499999999999993"/>
    <d v="2025-05-23T00:00:00"/>
    <s v="Liaison inter-établissement"/>
    <m/>
    <e v="#N/A"/>
    <e v="#N/A"/>
    <n v="75145"/>
    <m/>
    <s v="LA POSTE"/>
    <s v="Q2"/>
    <e v="#REF!"/>
    <e v="#REF!"/>
    <e v="#REF!"/>
  </r>
  <r>
    <s v="181000"/>
    <x v="6"/>
    <s v="COMPTE DE LIAISON DES ETABLISSEMENTS"/>
    <s v="OD"/>
    <n v="10"/>
    <d v="2025-01-28T00:00:00"/>
    <s v="Liaison inter-établissement"/>
    <m/>
    <e v="#N/A"/>
    <e v="#N/A"/>
    <n v="63773"/>
    <m/>
    <s v="ORSON.IO"/>
    <s v="Q1"/>
    <e v="#REF!"/>
    <e v="#REF!"/>
    <e v="#REF!"/>
  </r>
  <r>
    <s v="181000"/>
    <x v="6"/>
    <s v="COMPTE DE LIAISON DES ETABLISSEMENTS"/>
    <s v="OD"/>
    <n v="10.1"/>
    <d v="2025-02-18T00:00:00"/>
    <s v="Liaison inter-établissement"/>
    <m/>
    <e v="#N/A"/>
    <e v="#N/A"/>
    <n v="73857"/>
    <m/>
    <s v="Jérémie Blache"/>
    <s v="Q1"/>
    <e v="#REF!"/>
    <e v="#REF!"/>
    <e v="#REF!"/>
  </r>
  <r>
    <s v="181000"/>
    <x v="6"/>
    <s v="COMPTE DE LIAISON DES ETABLISSEMENTS"/>
    <s v="OD"/>
    <n v="10.29"/>
    <d v="2025-09-30T00:00:00"/>
    <s v="Liaison inter-établissement vers TO "/>
    <m/>
    <e v="#N/A"/>
    <e v="#N/A"/>
    <n v="87224"/>
    <m/>
    <m/>
    <s v="Q3"/>
    <e v="#REF!"/>
    <e v="#REF!"/>
    <e v="#REF!"/>
  </r>
  <r>
    <s v="181000"/>
    <x v="6"/>
    <s v="COMPTE DE LIAISON DES ETABLISSEMENTS"/>
    <s v="OD"/>
    <n v="10.49"/>
    <d v="2025-12-12T00:00:00"/>
    <s v="Liaison inter-établissement"/>
    <m/>
    <e v="#N/A"/>
    <e v="#N/A"/>
    <n v="94084"/>
    <m/>
    <s v="LA POSTE"/>
    <s v="Q4"/>
    <e v="#REF!"/>
    <e v="#REF!"/>
    <e v="#REF!"/>
  </r>
  <r>
    <s v="181000"/>
    <x v="6"/>
    <s v="COMPTE DE LIAISON DES ETABLISSEMENTS"/>
    <s v="OD"/>
    <n v="10.8"/>
    <d v="2025-11-24T00:00:00"/>
    <s v="Liaison inter-établissement"/>
    <m/>
    <e v="#N/A"/>
    <e v="#N/A"/>
    <n v="91019"/>
    <m/>
    <s v="Clément Perrocheau"/>
    <s v="Q4"/>
    <e v="#REF!"/>
    <e v="#REF!"/>
    <e v="#REF!"/>
  </r>
  <r>
    <s v="181000"/>
    <x v="6"/>
    <s v="COMPTE DE LIAISON DES ETABLISSEMENTS"/>
    <s v="OD"/>
    <n v="10.9"/>
    <d v="2025-03-14T00:00:00"/>
    <s v="Liaison inter-établissement"/>
    <m/>
    <e v="#N/A"/>
    <e v="#N/A"/>
    <n v="76654"/>
    <m/>
    <s v="Jérémie Blache"/>
    <s v="Q1"/>
    <e v="#REF!"/>
    <e v="#REF!"/>
    <e v="#REF!"/>
  </r>
  <r>
    <s v="181000"/>
    <x v="6"/>
    <s v="COMPTE DE LIAISON DES ETABLISSEMENTS"/>
    <s v="OD"/>
    <n v="12.15"/>
    <d v="2025-03-10T00:00:00"/>
    <s v="Liaison inter-établissement"/>
    <m/>
    <e v="#N/A"/>
    <e v="#N/A"/>
    <n v="73841"/>
    <m/>
    <s v="Jérémie Blache"/>
    <s v="Q1"/>
    <e v="#REF!"/>
    <e v="#REF!"/>
    <e v="#REF!"/>
  </r>
  <r>
    <s v="181000"/>
    <x v="6"/>
    <s v="COMPTE DE LIAISON DES ETABLISSEMENTS"/>
    <s v="OD"/>
    <n v="12.58"/>
    <d v="2025-03-18T00:00:00"/>
    <s v="Liaison inter-établissement"/>
    <m/>
    <e v="#N/A"/>
    <e v="#N/A"/>
    <n v="70092"/>
    <m/>
    <s v="SENDCLOUD"/>
    <s v="Q1"/>
    <e v="#REF!"/>
    <e v="#REF!"/>
    <e v="#REF!"/>
  </r>
  <r>
    <s v="181000"/>
    <x v="6"/>
    <s v="COMPTE DE LIAISON DES ETABLISSEMENTS"/>
    <s v="OD"/>
    <n v="12.6"/>
    <d v="2025-12-06T00:00:00"/>
    <s v="Liaison inter-établissement"/>
    <m/>
    <e v="#N/A"/>
    <e v="#N/A"/>
    <n v="94128"/>
    <m/>
    <s v="SNCF"/>
    <s v="Q4"/>
    <e v="#REF!"/>
    <e v="#REF!"/>
    <e v="#REF!"/>
  </r>
  <r>
    <s v="181000"/>
    <x v="6"/>
    <s v="COMPTE DE LIAISON DES ETABLISSEMENTS"/>
    <s v="OD"/>
    <n v="12.62"/>
    <d v="2025-04-30T00:00:00"/>
    <s v="Liaison inter-établissement"/>
    <m/>
    <e v="#N/A"/>
    <e v="#N/A"/>
    <n v="74481"/>
    <m/>
    <s v="Filipe Gomes"/>
    <s v="Q2"/>
    <e v="#REF!"/>
    <e v="#REF!"/>
    <e v="#REF!"/>
  </r>
  <r>
    <s v="181000"/>
    <x v="6"/>
    <s v="COMPTE DE LIAISON DES ETABLISSEMENTS"/>
    <s v="OD"/>
    <n v="12.8"/>
    <d v="2025-04-30T00:00:00"/>
    <s v="Liaison inter-établissement"/>
    <m/>
    <e v="#N/A"/>
    <e v="#N/A"/>
    <n v="74537"/>
    <m/>
    <s v="Jérémie Blache"/>
    <s v="Q2"/>
    <e v="#REF!"/>
    <e v="#REF!"/>
    <e v="#REF!"/>
  </r>
  <r>
    <s v="181000"/>
    <x v="6"/>
    <s v="COMPTE DE LIAISON DES ETABLISSEMENTS"/>
    <s v="OD"/>
    <n v="12.85"/>
    <d v="2025-04-30T00:00:00"/>
    <s v="Liaison inter-établissement"/>
    <m/>
    <e v="#N/A"/>
    <e v="#N/A"/>
    <n v="74529"/>
    <m/>
    <s v="Jérémie Blache"/>
    <s v="Q2"/>
    <e v="#REF!"/>
    <e v="#REF!"/>
    <e v="#REF!"/>
  </r>
  <r>
    <s v="181000"/>
    <x v="6"/>
    <s v="COMPTE DE LIAISON DES ETABLISSEMENTS"/>
    <s v="OD"/>
    <n v="13.07"/>
    <d v="2025-02-22T00:00:00"/>
    <s v="Liaison inter-établissement"/>
    <m/>
    <e v="#N/A"/>
    <e v="#N/A"/>
    <n v="64271"/>
    <m/>
    <s v="CHATEAUDEAU"/>
    <s v="Q1"/>
    <e v="#REF!"/>
    <e v="#REF!"/>
    <e v="#REF!"/>
  </r>
  <r>
    <s v="181000"/>
    <x v="6"/>
    <s v="COMPTE DE LIAISON DES ETABLISSEMENTS"/>
    <s v="OD"/>
    <n v="13.15"/>
    <d v="2025-03-31T00:00:00"/>
    <s v="Liaison inter-établissement"/>
    <m/>
    <e v="#N/A"/>
    <e v="#N/A"/>
    <n v="72739"/>
    <m/>
    <s v="Banque Populaire Rive de Paris"/>
    <s v="Q1"/>
    <e v="#REF!"/>
    <e v="#REF!"/>
    <e v="#REF!"/>
  </r>
  <r>
    <s v="181000"/>
    <x v="6"/>
    <s v="COMPTE DE LIAISON DES ETABLISSEMENTS"/>
    <s v="OD"/>
    <n v="13.15"/>
    <d v="2025-03-31T00:00:00"/>
    <s v="Liaison inter-établissement"/>
    <m/>
    <e v="#N/A"/>
    <e v="#N/A"/>
    <n v="72751"/>
    <m/>
    <s v="Banque Populaire Rive de Paris"/>
    <s v="Q1"/>
    <e v="#REF!"/>
    <e v="#REF!"/>
    <e v="#REF!"/>
  </r>
  <r>
    <s v="181000"/>
    <x v="6"/>
    <s v="COMPTE DE LIAISON DES ETABLISSEMENTS"/>
    <s v="OD"/>
    <n v="13.35"/>
    <d v="2025-06-30T00:00:00"/>
    <s v="Liaison inter-établissement vers TO "/>
    <m/>
    <e v="#N/A"/>
    <e v="#N/A"/>
    <n v="78543"/>
    <m/>
    <m/>
    <s v="Q2"/>
    <e v="#REF!"/>
    <e v="#REF!"/>
    <e v="#REF!"/>
  </r>
  <r>
    <s v="181000"/>
    <x v="6"/>
    <s v="COMPTE DE LIAISON DES ETABLISSEMENTS"/>
    <s v="OD"/>
    <n v="13.94"/>
    <d v="2025-04-25T00:00:00"/>
    <s v="Liaison inter-établissement"/>
    <m/>
    <e v="#N/A"/>
    <e v="#N/A"/>
    <n v="74843"/>
    <m/>
    <s v="LEROY MERLIN"/>
    <s v="Q2"/>
    <e v="#REF!"/>
    <e v="#REF!"/>
    <e v="#REF!"/>
  </r>
  <r>
    <s v="181000"/>
    <x v="6"/>
    <s v="COMPTE DE LIAISON DES ETABLISSEMENTS"/>
    <s v="OD"/>
    <n v="14.08"/>
    <d v="2025-02-05T00:00:00"/>
    <s v="Liaison inter-établissement"/>
    <m/>
    <e v="#N/A"/>
    <e v="#N/A"/>
    <n v="73825"/>
    <m/>
    <s v="Anthony Martinez"/>
    <s v="Q1"/>
    <e v="#REF!"/>
    <e v="#REF!"/>
    <e v="#REF!"/>
  </r>
  <r>
    <s v="181000"/>
    <x v="6"/>
    <s v="COMPTE DE LIAISON DES ETABLISSEMENTS"/>
    <s v="OD"/>
    <n v="14.2"/>
    <d v="2025-08-21T00:00:00"/>
    <s v="Liaison inter-établissement"/>
    <m/>
    <e v="#N/A"/>
    <e v="#N/A"/>
    <n v="83264"/>
    <m/>
    <s v="BRUNEAU"/>
    <s v="Q3"/>
    <e v="#REF!"/>
    <e v="#REF!"/>
    <e v="#REF!"/>
  </r>
  <r>
    <s v="181000"/>
    <x v="6"/>
    <s v="COMPTE DE LIAISON DES ETABLISSEMENTS"/>
    <s v="OD"/>
    <n v="14.62"/>
    <d v="2025-02-06T00:00:00"/>
    <s v="Liaison inter-établissement"/>
    <m/>
    <e v="#N/A"/>
    <e v="#N/A"/>
    <n v="64315"/>
    <m/>
    <s v="LA POSTE"/>
    <s v="Q1"/>
    <e v="#REF!"/>
    <e v="#REF!"/>
    <e v="#REF!"/>
  </r>
  <r>
    <s v="181000"/>
    <x v="6"/>
    <s v="COMPTE DE LIAISON DES ETABLISSEMENTS"/>
    <s v="OD"/>
    <n v="14.65"/>
    <d v="2025-01-27T00:00:00"/>
    <s v="Liaison inter-établissement"/>
    <m/>
    <e v="#N/A"/>
    <e v="#N/A"/>
    <n v="76658"/>
    <m/>
    <s v="Jérémie Blache"/>
    <s v="Q1"/>
    <e v="#REF!"/>
    <e v="#REF!"/>
    <e v="#REF!"/>
  </r>
  <r>
    <s v="181000"/>
    <x v="6"/>
    <s v="COMPTE DE LIAISON DES ETABLISSEMENTS"/>
    <s v="OD"/>
    <n v="14.89"/>
    <d v="2025-11-18T00:00:00"/>
    <s v="Liaison inter-établissement"/>
    <m/>
    <e v="#N/A"/>
    <e v="#N/A"/>
    <n v="91669"/>
    <m/>
    <s v="LEROY MERLIN"/>
    <s v="Q4"/>
    <e v="#REF!"/>
    <e v="#REF!"/>
    <e v="#REF!"/>
  </r>
  <r>
    <s v="181000"/>
    <x v="6"/>
    <s v="COMPTE DE LIAISON DES ETABLISSEMENTS"/>
    <s v="OD"/>
    <n v="14.9"/>
    <d v="2025-03-04T00:00:00"/>
    <s v="Liaison inter-établissement"/>
    <m/>
    <e v="#N/A"/>
    <e v="#N/A"/>
    <n v="73849"/>
    <m/>
    <s v="Jérémie Blache"/>
    <s v="Q1"/>
    <e v="#REF!"/>
    <e v="#REF!"/>
    <e v="#REF!"/>
  </r>
  <r>
    <s v="181000"/>
    <x v="6"/>
    <s v="COMPTE DE LIAISON DES ETABLISSEMENTS"/>
    <s v="OD"/>
    <n v="14.95"/>
    <d v="2025-01-07T00:00:00"/>
    <s v="Liaison inter-établissement"/>
    <m/>
    <e v="#N/A"/>
    <e v="#N/A"/>
    <n v="74251"/>
    <m/>
    <s v="Vincent Blanchard"/>
    <s v="Q1"/>
    <e v="#REF!"/>
    <e v="#REF!"/>
    <e v="#REF!"/>
  </r>
  <r>
    <s v="181000"/>
    <x v="6"/>
    <s v="COMPTE DE LIAISON DES ETABLISSEMENTS"/>
    <s v="OD"/>
    <n v="15"/>
    <d v="2025-01-13T00:00:00"/>
    <s v="Liaison inter-établissement"/>
    <m/>
    <e v="#N/A"/>
    <e v="#N/A"/>
    <n v="63681"/>
    <m/>
    <s v="COOKIEBOT"/>
    <s v="Q1"/>
    <e v="#REF!"/>
    <e v="#REF!"/>
    <e v="#REF!"/>
  </r>
  <r>
    <s v="181000"/>
    <x v="6"/>
    <s v="COMPTE DE LIAISON DES ETABLISSEMENTS"/>
    <s v="OD"/>
    <n v="15"/>
    <d v="2025-02-03T00:00:00"/>
    <s v="Liaison inter-établissement"/>
    <m/>
    <e v="#N/A"/>
    <e v="#N/A"/>
    <n v="64419"/>
    <m/>
    <s v="COOKIEBOT"/>
    <s v="Q1"/>
    <e v="#REF!"/>
    <e v="#REF!"/>
    <e v="#REF!"/>
  </r>
  <r>
    <s v="181000"/>
    <x v="6"/>
    <s v="COMPTE DE LIAISON DES ETABLISSEMENTS"/>
    <s v="OD"/>
    <n v="15"/>
    <d v="2025-03-03T00:00:00"/>
    <s v="Liaison inter-établissement"/>
    <m/>
    <e v="#N/A"/>
    <e v="#N/A"/>
    <n v="68046"/>
    <m/>
    <s v="COOKIEBOT"/>
    <s v="Q1"/>
    <e v="#REF!"/>
    <e v="#REF!"/>
    <e v="#REF!"/>
  </r>
  <r>
    <s v="181000"/>
    <x v="6"/>
    <s v="COMPTE DE LIAISON DES ETABLISSEMENTS"/>
    <s v="OD"/>
    <n v="15"/>
    <d v="2025-04-03T00:00:00"/>
    <s v="Liaison inter-établissement"/>
    <m/>
    <e v="#N/A"/>
    <e v="#N/A"/>
    <n v="74767"/>
    <m/>
    <s v="COOKIEBOT"/>
    <s v="Q2"/>
    <e v="#REF!"/>
    <e v="#REF!"/>
    <e v="#REF!"/>
  </r>
  <r>
    <s v="181000"/>
    <x v="6"/>
    <s v="COMPTE DE LIAISON DES ETABLISSEMENTS"/>
    <s v="OD"/>
    <n v="15"/>
    <d v="2025-05-03T00:00:00"/>
    <s v="Liaison inter-établissement"/>
    <m/>
    <e v="#N/A"/>
    <e v="#N/A"/>
    <n v="75113"/>
    <m/>
    <s v="COOKIEBOT"/>
    <s v="Q2"/>
    <e v="#REF!"/>
    <e v="#REF!"/>
    <e v="#REF!"/>
  </r>
  <r>
    <s v="181000"/>
    <x v="6"/>
    <s v="COMPTE DE LIAISON DES ETABLISSEMENTS"/>
    <s v="OD"/>
    <n v="15"/>
    <d v="2025-06-04T00:00:00"/>
    <s v="Liaison inter-établissement"/>
    <m/>
    <e v="#N/A"/>
    <e v="#N/A"/>
    <n v="78227"/>
    <m/>
    <s v="COOKIEBOT"/>
    <s v="Q2"/>
    <e v="#REF!"/>
    <e v="#REF!"/>
    <e v="#REF!"/>
  </r>
  <r>
    <s v="181000"/>
    <x v="6"/>
    <s v="COMPTE DE LIAISON DES ETABLISSEMENTS"/>
    <s v="OD"/>
    <n v="15"/>
    <d v="2025-07-04T00:00:00"/>
    <s v="Liaison inter-établissement"/>
    <m/>
    <e v="#N/A"/>
    <e v="#N/A"/>
    <n v="80999"/>
    <m/>
    <s v="COOKIEBOT"/>
    <s v="Q3"/>
    <e v="#REF!"/>
    <e v="#REF!"/>
    <e v="#REF!"/>
  </r>
  <r>
    <s v="181000"/>
    <x v="6"/>
    <s v="COMPTE DE LIAISON DES ETABLISSEMENTS"/>
    <s v="OD"/>
    <n v="15"/>
    <d v="2025-08-03T00:00:00"/>
    <s v="Liaison inter-établissement"/>
    <m/>
    <e v="#N/A"/>
    <e v="#N/A"/>
    <n v="83280"/>
    <m/>
    <s v="COOKIEBOT"/>
    <s v="Q3"/>
    <e v="#REF!"/>
    <e v="#REF!"/>
    <e v="#REF!"/>
  </r>
  <r>
    <s v="181000"/>
    <x v="6"/>
    <s v="COMPTE DE LIAISON DES ETABLISSEMENTS"/>
    <s v="OD"/>
    <n v="15.4"/>
    <d v="2025-03-31T00:00:00"/>
    <s v="Liaison inter-établissement"/>
    <m/>
    <e v="#N/A"/>
    <e v="#N/A"/>
    <n v="72743"/>
    <m/>
    <s v="Banque Populaire Rive de Paris"/>
    <s v="Q1"/>
    <e v="#REF!"/>
    <e v="#REF!"/>
    <e v="#REF!"/>
  </r>
  <r>
    <s v="181000"/>
    <x v="6"/>
    <s v="COMPTE DE LIAISON DES ETABLISSEMENTS"/>
    <s v="OD"/>
    <n v="15.4"/>
    <d v="2025-03-31T00:00:00"/>
    <s v="Liaison inter-établissement"/>
    <m/>
    <e v="#N/A"/>
    <e v="#N/A"/>
    <n v="72755"/>
    <m/>
    <s v="Banque Populaire Rive de Paris"/>
    <s v="Q1"/>
    <e v="#REF!"/>
    <e v="#REF!"/>
    <e v="#REF!"/>
  </r>
  <r>
    <s v="181000"/>
    <x v="6"/>
    <s v="COMPTE DE LIAISON DES ETABLISSEMENTS"/>
    <s v="OD"/>
    <n v="15.7"/>
    <d v="2025-02-18T00:00:00"/>
    <s v="Liaison inter-établissement"/>
    <m/>
    <e v="#N/A"/>
    <e v="#N/A"/>
    <n v="76646"/>
    <m/>
    <s v="Jérémie Blache"/>
    <s v="Q1"/>
    <e v="#REF!"/>
    <e v="#REF!"/>
    <e v="#REF!"/>
  </r>
  <r>
    <s v="181000"/>
    <x v="6"/>
    <s v="COMPTE DE LIAISON DES ETABLISSEMENTS"/>
    <s v="OD"/>
    <n v="15.85"/>
    <d v="2025-11-08T00:00:00"/>
    <s v="Liaison inter-établissement"/>
    <m/>
    <e v="#N/A"/>
    <e v="#N/A"/>
    <n v="91653"/>
    <m/>
    <s v="LA POSTE"/>
    <s v="Q4"/>
    <e v="#REF!"/>
    <e v="#REF!"/>
    <e v="#REF!"/>
  </r>
  <r>
    <s v="181000"/>
    <x v="6"/>
    <s v="COMPTE DE LIAISON DES ETABLISSEMENTS"/>
    <s v="OD"/>
    <n v="15.86"/>
    <d v="2025-05-07T00:00:00"/>
    <s v="Liaison établissement 401000 VWR TO"/>
    <m/>
    <e v="#N/A"/>
    <e v="#N/A"/>
    <n v="71847"/>
    <s v="COMMANDE CONSOMMABLE LABO"/>
    <s v="VWR AVANTOR"/>
    <s v="Q2"/>
    <e v="#REF!"/>
    <e v="#REF!"/>
    <e v="#REF!"/>
  </r>
  <r>
    <s v="181000"/>
    <x v="6"/>
    <s v="COMPTE DE LIAISON DES ETABLISSEMENTS"/>
    <s v="OD"/>
    <n v="16"/>
    <d v="2025-05-16T00:00:00"/>
    <s v="Liaison inter-établissement"/>
    <m/>
    <e v="#N/A"/>
    <e v="#N/A"/>
    <n v="74485"/>
    <m/>
    <s v="Jérémie Blache"/>
    <s v="Q2"/>
    <e v="#REF!"/>
    <e v="#REF!"/>
    <e v="#REF!"/>
  </r>
  <r>
    <s v="181000"/>
    <x v="6"/>
    <s v="COMPTE DE LIAISON DES ETABLISSEMENTS"/>
    <s v="OD"/>
    <n v="16.079999999999998"/>
    <d v="2025-03-20T00:00:00"/>
    <s v="Liaison inter-établissement"/>
    <m/>
    <e v="#N/A"/>
    <e v="#N/A"/>
    <n v="70076"/>
    <m/>
    <s v="RS COMPONENT"/>
    <s v="Q1"/>
    <e v="#REF!"/>
    <e v="#REF!"/>
    <e v="#REF!"/>
  </r>
  <r>
    <s v="181000"/>
    <x v="6"/>
    <s v="COMPTE DE LIAISON DES ETABLISSEMENTS"/>
    <s v="OD"/>
    <n v="16.61"/>
    <d v="2025-12-31T00:00:00"/>
    <s v="Liaison inter-établissement"/>
    <m/>
    <e v="#N/A"/>
    <e v="#N/A"/>
    <n v="94171"/>
    <m/>
    <s v="LA POSTE"/>
    <s v="Q4"/>
    <e v="#REF!"/>
    <e v="#REF!"/>
    <e v="#REF!"/>
  </r>
  <r>
    <s v="181000"/>
    <x v="6"/>
    <s v="COMPTE DE LIAISON DES ETABLISSEMENTS"/>
    <s v="OD"/>
    <n v="16.72"/>
    <d v="2025-06-30T00:00:00"/>
    <s v="Liaison inter-établissement vers TO "/>
    <m/>
    <e v="#N/A"/>
    <e v="#N/A"/>
    <n v="78527"/>
    <m/>
    <m/>
    <s v="Q2"/>
    <e v="#REF!"/>
    <e v="#REF!"/>
    <e v="#REF!"/>
  </r>
  <r>
    <s v="181000"/>
    <x v="6"/>
    <s v="COMPTE DE LIAISON DES ETABLISSEMENTS"/>
    <s v="OD"/>
    <n v="16.850000000000001"/>
    <d v="2025-02-05T00:00:00"/>
    <s v="Liaison inter-établissement"/>
    <m/>
    <e v="#N/A"/>
    <e v="#N/A"/>
    <n v="64311"/>
    <m/>
    <s v="LA POSTE"/>
    <s v="Q1"/>
    <e v="#REF!"/>
    <e v="#REF!"/>
    <e v="#REF!"/>
  </r>
  <r>
    <s v="181000"/>
    <x v="6"/>
    <s v="COMPTE DE LIAISON DES ETABLISSEMENTS"/>
    <s v="OD"/>
    <n v="17.52"/>
    <d v="2025-03-19T00:00:00"/>
    <s v="Liaison inter-établissement"/>
    <m/>
    <e v="#N/A"/>
    <e v="#N/A"/>
    <n v="70064"/>
    <m/>
    <s v="RS COMPONENT"/>
    <s v="Q1"/>
    <e v="#REF!"/>
    <e v="#REF!"/>
    <e v="#REF!"/>
  </r>
  <r>
    <s v="181000"/>
    <x v="6"/>
    <s v="COMPTE DE LIAISON DES ETABLISSEMENTS"/>
    <s v="OD"/>
    <n v="18.100000000000001"/>
    <d v="2025-04-30T00:00:00"/>
    <s v="Liaison inter-établissement"/>
    <m/>
    <e v="#N/A"/>
    <e v="#N/A"/>
    <n v="74589"/>
    <m/>
    <s v="Vincent Blanchard"/>
    <s v="Q2"/>
    <e v="#REF!"/>
    <e v="#REF!"/>
    <e v="#REF!"/>
  </r>
  <r>
    <s v="181000"/>
    <x v="6"/>
    <s v="COMPTE DE LIAISON DES ETABLISSEMENTS"/>
    <s v="OD"/>
    <n v="18.3"/>
    <d v="2025-02-18T00:00:00"/>
    <s v="Liaison inter-établissement"/>
    <m/>
    <e v="#N/A"/>
    <e v="#N/A"/>
    <n v="76662"/>
    <m/>
    <s v="Jérémie Blache"/>
    <s v="Q1"/>
    <e v="#REF!"/>
    <e v="#REF!"/>
    <e v="#REF!"/>
  </r>
  <r>
    <s v="181000"/>
    <x v="6"/>
    <s v="COMPTE DE LIAISON DES ETABLISSEMENTS"/>
    <s v="OD"/>
    <n v="18.5"/>
    <d v="2025-04-07T00:00:00"/>
    <s v="Liaison inter-établissement"/>
    <m/>
    <e v="#N/A"/>
    <e v="#N/A"/>
    <n v="75625"/>
    <m/>
    <s v="Marie-Sarah Adenis"/>
    <s v="Q2"/>
    <e v="#REF!"/>
    <e v="#REF!"/>
    <e v="#REF!"/>
  </r>
  <r>
    <s v="181000"/>
    <x v="6"/>
    <s v="COMPTE DE LIAISON DES ETABLISSEMENTS"/>
    <s v="OD"/>
    <n v="18.55"/>
    <d v="2025-12-10T00:00:00"/>
    <s v="Liaison inter-établissement"/>
    <m/>
    <e v="#N/A"/>
    <e v="#N/A"/>
    <n v="94072"/>
    <m/>
    <s v="BRUNEAU"/>
    <s v="Q4"/>
    <e v="#REF!"/>
    <e v="#REF!"/>
    <e v="#REF!"/>
  </r>
  <r>
    <s v="181000"/>
    <x v="6"/>
    <s v="COMPTE DE LIAISON DES ETABLISSEMENTS"/>
    <s v="OD"/>
    <n v="18.8"/>
    <d v="2025-02-28T00:00:00"/>
    <s v="Liaison inter-établissement"/>
    <m/>
    <e v="#N/A"/>
    <e v="#N/A"/>
    <n v="72731"/>
    <m/>
    <s v="Banque Populaire Rive de Paris"/>
    <s v="Q1"/>
    <e v="#REF!"/>
    <e v="#REF!"/>
    <e v="#REF!"/>
  </r>
  <r>
    <s v="181000"/>
    <x v="6"/>
    <s v="COMPTE DE LIAISON DES ETABLISSEMENTS"/>
    <s v="OD"/>
    <n v="18.84"/>
    <d v="2025-04-12T00:00:00"/>
    <s v="Liaison inter-établissement"/>
    <m/>
    <e v="#N/A"/>
    <e v="#N/A"/>
    <n v="69987"/>
    <m/>
    <s v="LEROY MERLIN"/>
    <s v="Q2"/>
    <e v="#REF!"/>
    <e v="#REF!"/>
    <e v="#REF!"/>
  </r>
  <r>
    <s v="181000"/>
    <x v="6"/>
    <s v="COMPTE DE LIAISON DES ETABLISSEMENTS"/>
    <s v="OD"/>
    <n v="18.84"/>
    <d v="2025-04-12T00:00:00"/>
    <s v="Liaison inter-établissement"/>
    <m/>
    <e v="#N/A"/>
    <e v="#N/A"/>
    <n v="81011"/>
    <m/>
    <s v="MANUTAN"/>
    <s v="Q2"/>
    <e v="#REF!"/>
    <e v="#REF!"/>
    <e v="#REF!"/>
  </r>
  <r>
    <s v="181000"/>
    <x v="6"/>
    <s v="COMPTE DE LIAISON DES ETABLISSEMENTS"/>
    <s v="OD"/>
    <n v="19"/>
    <d v="2025-07-29T00:00:00"/>
    <s v="Liaison inter-établissement"/>
    <m/>
    <e v="#N/A"/>
    <e v="#N/A"/>
    <n v="83168"/>
    <m/>
    <s v="SNCF"/>
    <s v="Q3"/>
    <e v="#REF!"/>
    <e v="#REF!"/>
    <e v="#REF!"/>
  </r>
  <r>
    <s v="181000"/>
    <x v="6"/>
    <s v="COMPTE DE LIAISON DES ETABLISSEMENTS"/>
    <s v="OD"/>
    <n v="19.100000000000001"/>
    <d v="2025-03-20T00:00:00"/>
    <s v="Liaison inter-établissement"/>
    <m/>
    <e v="#N/A"/>
    <e v="#N/A"/>
    <n v="64439"/>
    <m/>
    <s v="ROTH SOCHIEL"/>
    <s v="Q1"/>
    <e v="#REF!"/>
    <e v="#REF!"/>
    <e v="#REF!"/>
  </r>
  <r>
    <s v="181000"/>
    <x v="6"/>
    <s v="COMPTE DE LIAISON DES ETABLISSEMENTS"/>
    <s v="OD"/>
    <n v="19.78"/>
    <d v="2025-10-06T00:00:00"/>
    <s v="Liaison établissement 401000 VWR TO"/>
    <m/>
    <e v="#N/A"/>
    <e v="#N/A"/>
    <n v="82916"/>
    <s v="CONSOMMABLES POUR LABO"/>
    <s v="VWR AVANTOR"/>
    <s v="Q4"/>
    <e v="#REF!"/>
    <e v="#REF!"/>
    <e v="#REF!"/>
  </r>
  <r>
    <s v="181000"/>
    <x v="6"/>
    <s v="COMPTE DE LIAISON DES ETABLISSEMENTS"/>
    <s v="OD"/>
    <n v="19.86"/>
    <d v="2025-12-12T00:00:00"/>
    <s v="Liaison inter-établissement"/>
    <m/>
    <e v="#N/A"/>
    <e v="#N/A"/>
    <n v="92124"/>
    <m/>
    <s v="DHL"/>
    <s v="Q4"/>
    <e v="#REF!"/>
    <e v="#REF!"/>
    <e v="#REF!"/>
  </r>
  <r>
    <s v="181000"/>
    <x v="6"/>
    <s v="COMPTE DE LIAISON DES ETABLISSEMENTS"/>
    <s v="OD"/>
    <n v="19.899999999999999"/>
    <d v="2025-01-17T00:00:00"/>
    <s v="Liaison inter-établissement"/>
    <m/>
    <e v="#N/A"/>
    <e v="#N/A"/>
    <n v="74911"/>
    <m/>
    <s v="DHL"/>
    <s v="Q1"/>
    <e v="#REF!"/>
    <e v="#REF!"/>
    <e v="#REF!"/>
  </r>
  <r>
    <s v="181000"/>
    <x v="6"/>
    <s v="COMPTE DE LIAISON DES ETABLISSEMENTS"/>
    <s v="OD"/>
    <n v="19.989999999999998"/>
    <d v="2025-02-18T00:00:00"/>
    <s v="Liaison inter-établissement"/>
    <m/>
    <e v="#N/A"/>
    <e v="#N/A"/>
    <n v="73905"/>
    <m/>
    <s v="Vincent Blanchard"/>
    <s v="Q1"/>
    <e v="#REF!"/>
    <e v="#REF!"/>
    <e v="#REF!"/>
  </r>
  <r>
    <s v="181000"/>
    <x v="6"/>
    <s v="COMPTE DE LIAISON DES ETABLISSEMENTS"/>
    <s v="OD"/>
    <n v="19.989999999999998"/>
    <d v="2025-08-14T00:00:00"/>
    <s v="Liaison inter-établissement"/>
    <m/>
    <e v="#N/A"/>
    <e v="#N/A"/>
    <n v="83300"/>
    <m/>
    <s v="FNAC"/>
    <s v="Q3"/>
    <e v="#REF!"/>
    <e v="#REF!"/>
    <e v="#REF!"/>
  </r>
  <r>
    <s v="181000"/>
    <x v="6"/>
    <s v="COMPTE DE LIAISON DES ETABLISSEMENTS"/>
    <s v="OD"/>
    <n v="20"/>
    <d v="2025-01-10T00:00:00"/>
    <s v="Liaison inter-établissement"/>
    <m/>
    <e v="#N/A"/>
    <e v="#N/A"/>
    <n v="69991"/>
    <m/>
    <s v="ORSON.IO"/>
    <s v="Q1"/>
    <e v="#REF!"/>
    <e v="#REF!"/>
    <e v="#REF!"/>
  </r>
  <r>
    <s v="181000"/>
    <x v="6"/>
    <s v="COMPTE DE LIAISON DES ETABLISSEMENTS"/>
    <s v="OD"/>
    <n v="20.25"/>
    <d v="2025-02-26T00:00:00"/>
    <s v="Liaison inter-établissement"/>
    <m/>
    <e v="#N/A"/>
    <e v="#N/A"/>
    <n v="73821"/>
    <m/>
    <s v="Anthony Martinez"/>
    <s v="Q1"/>
    <e v="#REF!"/>
    <e v="#REF!"/>
    <e v="#REF!"/>
  </r>
  <r>
    <s v="181000"/>
    <x v="6"/>
    <s v="COMPTE DE LIAISON DES ETABLISSEMENTS"/>
    <s v="OD"/>
    <n v="20.54"/>
    <d v="2025-03-20T00:00:00"/>
    <s v="Liaison inter-établissement"/>
    <m/>
    <e v="#N/A"/>
    <e v="#N/A"/>
    <n v="64447"/>
    <m/>
    <s v="ROTH SOCHIEL"/>
    <s v="Q1"/>
    <e v="#REF!"/>
    <e v="#REF!"/>
    <e v="#REF!"/>
  </r>
  <r>
    <s v="181000"/>
    <x v="6"/>
    <s v="COMPTE DE LIAISON DES ETABLISSEMENTS"/>
    <s v="OD"/>
    <n v="20.77"/>
    <d v="2025-04-24T00:00:00"/>
    <s v="Liaison inter-établissement"/>
    <m/>
    <e v="#N/A"/>
    <e v="#N/A"/>
    <n v="70549"/>
    <m/>
    <s v="DHL"/>
    <s v="Q2"/>
    <e v="#REF!"/>
    <e v="#REF!"/>
    <e v="#REF!"/>
  </r>
  <r>
    <s v="181000"/>
    <x v="6"/>
    <s v="COMPTE DE LIAISON DES ETABLISSEMENTS"/>
    <s v="OD"/>
    <n v="20.81"/>
    <d v="2025-10-24T00:00:00"/>
    <s v="Liaison inter-établissement"/>
    <m/>
    <e v="#N/A"/>
    <e v="#N/A"/>
    <n v="87487"/>
    <m/>
    <s v="DHL"/>
    <s v="Q4"/>
    <e v="#REF!"/>
    <e v="#REF!"/>
    <e v="#REF!"/>
  </r>
  <r>
    <s v="181000"/>
    <x v="6"/>
    <s v="COMPTE DE LIAISON DES ETABLISSEMENTS"/>
    <s v="OD"/>
    <n v="20.89"/>
    <d v="2025-04-25T00:00:00"/>
    <s v="Liaison inter-établissement"/>
    <m/>
    <e v="#N/A"/>
    <e v="#N/A"/>
    <n v="74851"/>
    <m/>
    <s v="LEROY MERLIN"/>
    <s v="Q2"/>
    <e v="#REF!"/>
    <e v="#REF!"/>
    <e v="#REF!"/>
  </r>
  <r>
    <s v="181000"/>
    <x v="6"/>
    <s v="COMPTE DE LIAISON DES ETABLISSEMENTS"/>
    <s v="OD"/>
    <n v="20.97"/>
    <d v="2025-09-30T00:00:00"/>
    <s v="Liaison inter-établissement vers TO "/>
    <m/>
    <e v="#N/A"/>
    <e v="#N/A"/>
    <n v="87217"/>
    <m/>
    <m/>
    <s v="Q3"/>
    <e v="#REF!"/>
    <e v="#REF!"/>
    <e v="#REF!"/>
  </r>
  <r>
    <s v="181000"/>
    <x v="6"/>
    <s v="COMPTE DE LIAISON DES ETABLISSEMENTS"/>
    <s v="OD"/>
    <n v="21.35"/>
    <d v="2025-07-04T00:00:00"/>
    <s v="Liaison inter-établissement"/>
    <m/>
    <e v="#N/A"/>
    <e v="#N/A"/>
    <n v="80991"/>
    <m/>
    <s v="LA POSTE"/>
    <s v="Q3"/>
    <e v="#REF!"/>
    <e v="#REF!"/>
    <e v="#REF!"/>
  </r>
  <r>
    <s v="181000"/>
    <x v="6"/>
    <s v="COMPTE DE LIAISON DES ETABLISSEMENTS"/>
    <s v="OD"/>
    <n v="21.99"/>
    <d v="2025-08-14T00:00:00"/>
    <s v="Liaison inter-établissement"/>
    <m/>
    <e v="#N/A"/>
    <e v="#N/A"/>
    <n v="83304"/>
    <m/>
    <s v="FNAC"/>
    <s v="Q3"/>
    <e v="#REF!"/>
    <e v="#REF!"/>
    <e v="#REF!"/>
  </r>
  <r>
    <s v="181000"/>
    <x v="6"/>
    <s v="COMPTE DE LIAISON DES ETABLISSEMENTS"/>
    <s v="OD"/>
    <n v="22.15"/>
    <d v="2025-12-30T00:00:00"/>
    <s v="Liaison établissement 401000 VWR TO"/>
    <m/>
    <e v="#N/A"/>
    <e v="#N/A"/>
    <n v="93849"/>
    <s v="4067874264"/>
    <s v="VWR AVANTOR"/>
    <s v="Q4"/>
    <e v="#REF!"/>
    <e v="#REF!"/>
    <e v="#REF!"/>
  </r>
  <r>
    <s v="181000"/>
    <x v="6"/>
    <s v="COMPTE DE LIAISON DES ETABLISSEMENTS"/>
    <s v="OD"/>
    <n v="22.45"/>
    <d v="2025-02-12T00:00:00"/>
    <s v="Liaison inter-établissement"/>
    <m/>
    <e v="#N/A"/>
    <e v="#N/A"/>
    <n v="64263"/>
    <m/>
    <s v="BRUNEAU"/>
    <s v="Q1"/>
    <e v="#REF!"/>
    <e v="#REF!"/>
    <e v="#REF!"/>
  </r>
  <r>
    <s v="181000"/>
    <x v="6"/>
    <s v="COMPTE DE LIAISON DES ETABLISSEMENTS"/>
    <s v="OD"/>
    <n v="22.49"/>
    <d v="2025-04-04T00:00:00"/>
    <s v="Liaison inter-établissement"/>
    <m/>
    <e v="#N/A"/>
    <e v="#N/A"/>
    <n v="75621"/>
    <m/>
    <s v="Marie-Sarah Adenis"/>
    <s v="Q2"/>
    <e v="#REF!"/>
    <e v="#REF!"/>
    <e v="#REF!"/>
  </r>
  <r>
    <s v="181000"/>
    <x v="6"/>
    <s v="COMPTE DE LIAISON DES ETABLISSEMENTS"/>
    <s v="OD"/>
    <n v="22.8"/>
    <d v="2025-05-22T00:00:00"/>
    <s v="Liaison inter-établissement"/>
    <m/>
    <e v="#N/A"/>
    <e v="#N/A"/>
    <n v="76666"/>
    <m/>
    <s v="Jérémie Blache"/>
    <s v="Q2"/>
    <e v="#REF!"/>
    <e v="#REF!"/>
    <e v="#REF!"/>
  </r>
  <r>
    <s v="181000"/>
    <x v="6"/>
    <s v="COMPTE DE LIAISON DES ETABLISSEMENTS"/>
    <s v="OD"/>
    <n v="22.96"/>
    <d v="2025-10-02T00:00:00"/>
    <s v="Liaison inter-établissement"/>
    <m/>
    <e v="#N/A"/>
    <e v="#N/A"/>
    <n v="91657"/>
    <m/>
    <s v="LA POSTE"/>
    <s v="Q4"/>
    <e v="#REF!"/>
    <e v="#REF!"/>
    <e v="#REF!"/>
  </r>
  <r>
    <s v="181000"/>
    <x v="6"/>
    <s v="COMPTE DE LIAISON DES ETABLISSEMENTS"/>
    <s v="OD"/>
    <n v="23.62"/>
    <d v="2025-08-05T00:00:00"/>
    <s v="Liaison inter-établissement"/>
    <m/>
    <e v="#N/A"/>
    <e v="#N/A"/>
    <n v="87120"/>
    <m/>
    <s v="ENGIE"/>
    <s v="Q3"/>
    <e v="#REF!"/>
    <e v="#REF!"/>
    <e v="#REF!"/>
  </r>
  <r>
    <s v="181000"/>
    <x v="6"/>
    <s v="COMPTE DE LIAISON DES ETABLISSEMENTS"/>
    <s v="OD"/>
    <n v="23.72"/>
    <d v="2025-01-30T00:00:00"/>
    <s v="Liaison inter-établissement"/>
    <m/>
    <e v="#N/A"/>
    <e v="#N/A"/>
    <n v="63613"/>
    <m/>
    <s v="BRUNEAU"/>
    <s v="Q1"/>
    <e v="#REF!"/>
    <e v="#REF!"/>
    <e v="#REF!"/>
  </r>
  <r>
    <s v="181000"/>
    <x v="6"/>
    <s v="COMPTE DE LIAISON DES ETABLISSEMENTS"/>
    <s v="OD"/>
    <n v="24.3"/>
    <d v="2025-09-26T00:00:00"/>
    <s v="Liaison établissement 401000 FISHER TO"/>
    <m/>
    <e v="#N/A"/>
    <e v="#N/A"/>
    <n v="82511"/>
    <s v="INVOICE PAYMENT BY PILI"/>
    <s v="FISHER SCIENTIFIC"/>
    <s v="Q3"/>
    <e v="#REF!"/>
    <e v="#REF!"/>
    <e v="#REF!"/>
  </r>
  <r>
    <s v="181000"/>
    <x v="6"/>
    <s v="COMPTE DE LIAISON DES ETABLISSEMENTS"/>
    <s v="OD"/>
    <n v="24.4"/>
    <d v="2025-03-10T00:00:00"/>
    <s v="Liaison inter-établissement"/>
    <m/>
    <e v="#N/A"/>
    <e v="#N/A"/>
    <n v="76630"/>
    <m/>
    <s v="Jérémie Blache"/>
    <s v="Q1"/>
    <e v="#REF!"/>
    <e v="#REF!"/>
    <e v="#REF!"/>
  </r>
  <r>
    <s v="181000"/>
    <x v="6"/>
    <s v="COMPTE DE LIAISON DES ETABLISSEMENTS"/>
    <s v="OD"/>
    <n v="24.5"/>
    <d v="2025-02-11T00:00:00"/>
    <s v="Liaison inter-établissement"/>
    <m/>
    <e v="#N/A"/>
    <e v="#N/A"/>
    <n v="73909"/>
    <m/>
    <s v="Vincent Blanchard"/>
    <s v="Q1"/>
    <e v="#REF!"/>
    <e v="#REF!"/>
    <e v="#REF!"/>
  </r>
  <r>
    <s v="181000"/>
    <x v="6"/>
    <s v="COMPTE DE LIAISON DES ETABLISSEMENTS"/>
    <s v="OD"/>
    <n v="24.5"/>
    <d v="2025-02-11T00:00:00"/>
    <s v="Liaison inter-établissement"/>
    <m/>
    <e v="#N/A"/>
    <e v="#N/A"/>
    <n v="75613"/>
    <m/>
    <s v="Filipe Gomes"/>
    <s v="Q1"/>
    <e v="#REF!"/>
    <e v="#REF!"/>
    <e v="#REF!"/>
  </r>
  <r>
    <s v="181000"/>
    <x v="6"/>
    <s v="COMPTE DE LIAISON DES ETABLISSEMENTS"/>
    <s v="OD"/>
    <n v="24.74"/>
    <d v="2025-11-30T00:00:00"/>
    <s v="Liaison inter-établissement"/>
    <m/>
    <e v="#N/A"/>
    <e v="#N/A"/>
    <n v="91767"/>
    <m/>
    <s v="LA POSTE"/>
    <s v="Q4"/>
    <e v="#REF!"/>
    <e v="#REF!"/>
    <e v="#REF!"/>
  </r>
  <r>
    <s v="181000"/>
    <x v="6"/>
    <s v="COMPTE DE LIAISON DES ETABLISSEMENTS"/>
    <s v="OD"/>
    <n v="24.78"/>
    <d v="2025-05-07T00:00:00"/>
    <s v="Liaison établissement 401000 SIGMA TO"/>
    <m/>
    <e v="#N/A"/>
    <e v="#N/A"/>
    <n v="71812"/>
    <s v="COMMANDE PRODUIT KEENB"/>
    <s v="Sigma-Aldrich chimie"/>
    <s v="Q2"/>
    <e v="#REF!"/>
    <e v="#REF!"/>
    <e v="#REF!"/>
  </r>
  <r>
    <s v="181000"/>
    <x v="6"/>
    <s v="COMPTE DE LIAISON DES ETABLISSEMENTS"/>
    <s v="OD"/>
    <n v="24.99"/>
    <d v="2025-08-14T00:00:00"/>
    <s v="Liaison inter-établissement"/>
    <m/>
    <e v="#N/A"/>
    <e v="#N/A"/>
    <n v="83312"/>
    <m/>
    <s v="FNAC"/>
    <s v="Q3"/>
    <e v="#REF!"/>
    <e v="#REF!"/>
    <e v="#REF!"/>
  </r>
  <r>
    <s v="181000"/>
    <x v="6"/>
    <s v="COMPTE DE LIAISON DES ETABLISSEMENTS"/>
    <s v="OD"/>
    <n v="25.61"/>
    <d v="2025-04-02T00:00:00"/>
    <s v="Liaison établissement 401000 VWR TO"/>
    <m/>
    <e v="#N/A"/>
    <e v="#N/A"/>
    <n v="66493"/>
    <s v="Invoice Payment by Pili"/>
    <s v="VWR AVANTOR"/>
    <s v="Q2"/>
    <e v="#REF!"/>
    <e v="#REF!"/>
    <e v="#REF!"/>
  </r>
  <r>
    <s v="181000"/>
    <x v="6"/>
    <s v="COMPTE DE LIAISON DES ETABLISSEMENTS"/>
    <s v="OD"/>
    <n v="25.61"/>
    <d v="2025-12-30T00:00:00"/>
    <s v="Liaison établissement 401000 VWR TO"/>
    <m/>
    <e v="#N/A"/>
    <e v="#N/A"/>
    <n v="93854"/>
    <s v="4067875494"/>
    <s v="VWR AVANTOR"/>
    <s v="Q4"/>
    <e v="#REF!"/>
    <e v="#REF!"/>
    <e v="#REF!"/>
  </r>
  <r>
    <s v="181000"/>
    <x v="6"/>
    <s v="COMPTE DE LIAISON DES ETABLISSEMENTS"/>
    <s v="OD"/>
    <n v="25.73"/>
    <d v="2025-07-22T00:00:00"/>
    <s v="Liaison établissement 401000 ROTH TO"/>
    <m/>
    <e v="#N/A"/>
    <e v="#N/A"/>
    <n v="78292"/>
    <s v="ÉTHYLHEXANOL  MIN. 99,5 %, POUR LA SYNTHÈSE"/>
    <s v="ROTH SOCHIEL"/>
    <s v="Q3"/>
    <e v="#REF!"/>
    <e v="#REF!"/>
    <e v="#REF!"/>
  </r>
  <r>
    <s v="181000"/>
    <x v="6"/>
    <s v="COMPTE DE LIAISON DES ETABLISSEMENTS"/>
    <s v="OD"/>
    <n v="25.78"/>
    <d v="2025-05-22T00:00:00"/>
    <s v="Liaison inter-établissement"/>
    <m/>
    <e v="#N/A"/>
    <e v="#N/A"/>
    <n v="76706"/>
    <m/>
    <s v="Guillaume Boissonnat-Wu"/>
    <s v="Q2"/>
    <e v="#REF!"/>
    <e v="#REF!"/>
    <e v="#REF!"/>
  </r>
  <r>
    <s v="181000"/>
    <x v="6"/>
    <s v="COMPTE DE LIAISON DES ETABLISSEMENTS"/>
    <s v="OD"/>
    <n v="25.8"/>
    <d v="2025-04-04T00:00:00"/>
    <s v="Liaison inter-établissement"/>
    <m/>
    <e v="#N/A"/>
    <e v="#N/A"/>
    <n v="75629"/>
    <m/>
    <s v="Marie-Sarah Adenis"/>
    <s v="Q2"/>
    <e v="#REF!"/>
    <e v="#REF!"/>
    <e v="#REF!"/>
  </r>
  <r>
    <s v="181000"/>
    <x v="6"/>
    <s v="COMPTE DE LIAISON DES ETABLISSEMENTS"/>
    <s v="OD"/>
    <n v="25.84"/>
    <d v="2025-06-20T00:00:00"/>
    <s v="Liaison inter-établissement"/>
    <m/>
    <e v="#N/A"/>
    <e v="#N/A"/>
    <n v="76229"/>
    <m/>
    <s v="DHL"/>
    <s v="Q2"/>
    <e v="#REF!"/>
    <e v="#REF!"/>
    <e v="#REF!"/>
  </r>
  <r>
    <s v="181000"/>
    <x v="6"/>
    <s v="COMPTE DE LIAISON DES ETABLISSEMENTS"/>
    <s v="OD"/>
    <n v="25.9"/>
    <d v="2025-03-31T00:00:00"/>
    <s v="Liaison inter-établissement vers TO "/>
    <m/>
    <e v="#N/A"/>
    <e v="#N/A"/>
    <n v="68527"/>
    <m/>
    <m/>
    <s v="Q1"/>
    <e v="#REF!"/>
    <e v="#REF!"/>
    <e v="#REF!"/>
  </r>
  <r>
    <s v="181000"/>
    <x v="6"/>
    <s v="COMPTE DE LIAISON DES ETABLISSEMENTS"/>
    <s v="OD"/>
    <n v="26.02"/>
    <d v="2025-04-04T00:00:00"/>
    <s v="Liaison inter-établissement"/>
    <m/>
    <e v="#N/A"/>
    <e v="#N/A"/>
    <n v="75609"/>
    <m/>
    <s v="Anthony Martinez"/>
    <s v="Q2"/>
    <e v="#REF!"/>
    <e v="#REF!"/>
    <e v="#REF!"/>
  </r>
  <r>
    <s v="181000"/>
    <x v="6"/>
    <s v="COMPTE DE LIAISON DES ETABLISSEMENTS"/>
    <s v="OD"/>
    <n v="26.4"/>
    <d v="2025-07-31T00:00:00"/>
    <s v="Liaison établissement 401000 VWR TO"/>
    <m/>
    <e v="#N/A"/>
    <e v="#N/A"/>
    <n v="79372"/>
    <s v="COMMANDE CONSOMMABLE LABO"/>
    <s v="VWR AVANTOR"/>
    <s v="Q3"/>
    <e v="#REF!"/>
    <e v="#REF!"/>
    <e v="#REF!"/>
  </r>
  <r>
    <s v="181000"/>
    <x v="6"/>
    <s v="COMPTE DE LIAISON DES ETABLISSEMENTS"/>
    <s v="OD"/>
    <n v="26.59"/>
    <d v="2025-03-28T00:00:00"/>
    <s v="Liaison établissement 401000 VWR TO"/>
    <m/>
    <e v="#N/A"/>
    <e v="#N/A"/>
    <n v="64984"/>
    <s v="Invoice Payment by Pili"/>
    <s v="VWR AVANTOR"/>
    <s v="Q1"/>
    <e v="#REF!"/>
    <e v="#REF!"/>
    <e v="#REF!"/>
  </r>
  <r>
    <s v="181000"/>
    <x v="6"/>
    <s v="COMPTE DE LIAISON DES ETABLISSEMENTS"/>
    <s v="OD"/>
    <n v="27.46"/>
    <d v="2025-07-31T00:00:00"/>
    <s v="Liaison établissement 401000 VWR TO"/>
    <m/>
    <e v="#N/A"/>
    <e v="#N/A"/>
    <n v="79357"/>
    <s v="COMMANDE PRODUIT KEENY POUR ÉTUDE RC1"/>
    <s v="VWR AVANTOR"/>
    <s v="Q3"/>
    <e v="#REF!"/>
    <e v="#REF!"/>
    <e v="#REF!"/>
  </r>
  <r>
    <s v="181000"/>
    <x v="6"/>
    <s v="COMPTE DE LIAISON DES ETABLISSEMENTS"/>
    <s v="OD"/>
    <n v="27.6"/>
    <d v="2025-02-23T00:00:00"/>
    <s v="Liaison inter-établissement"/>
    <m/>
    <s v="Non"/>
    <e v="#N/A"/>
    <n v="64307"/>
    <m/>
    <s v="DIVERS"/>
    <s v="Q1"/>
    <e v="#REF!"/>
    <e v="#REF!"/>
    <e v="#REF!"/>
  </r>
  <r>
    <s v="181000"/>
    <x v="6"/>
    <s v="COMPTE DE LIAISON DES ETABLISSEMENTS"/>
    <s v="OD"/>
    <n v="27.61"/>
    <d v="2025-06-27T00:00:00"/>
    <s v="Liaison inter-établissement"/>
    <m/>
    <e v="#N/A"/>
    <e v="#N/A"/>
    <n v="76698"/>
    <m/>
    <s v="Anthony Martinez"/>
    <s v="Q2"/>
    <e v="#REF!"/>
    <e v="#REF!"/>
    <e v="#REF!"/>
  </r>
  <r>
    <s v="181000"/>
    <x v="6"/>
    <s v="COMPTE DE LIAISON DES ETABLISSEMENTS"/>
    <s v="OD"/>
    <n v="27.68"/>
    <d v="2025-07-12T00:00:00"/>
    <s v="Liaison inter-établissement"/>
    <m/>
    <e v="#N/A"/>
    <e v="#N/A"/>
    <n v="81041"/>
    <m/>
    <s v="RS COMPONENT"/>
    <s v="Q3"/>
    <e v="#REF!"/>
    <e v="#REF!"/>
    <e v="#REF!"/>
  </r>
  <r>
    <s v="181000"/>
    <x v="6"/>
    <s v="COMPTE DE LIAISON DES ETABLISSEMENTS"/>
    <s v="OD"/>
    <n v="27.75"/>
    <d v="2025-09-05T00:00:00"/>
    <s v="Liaison inter-établissement"/>
    <m/>
    <e v="#N/A"/>
    <e v="#N/A"/>
    <n v="87124"/>
    <m/>
    <s v="ENGIE"/>
    <s v="Q3"/>
    <e v="#REF!"/>
    <e v="#REF!"/>
    <e v="#REF!"/>
  </r>
  <r>
    <s v="181000"/>
    <x v="6"/>
    <s v="COMPTE DE LIAISON DES ETABLISSEMENTS"/>
    <s v="OD"/>
    <n v="27.96"/>
    <d v="2025-11-04T00:00:00"/>
    <s v="Liaison inter-établissement"/>
    <m/>
    <e v="#N/A"/>
    <e v="#N/A"/>
    <n v="90097"/>
    <m/>
    <s v="ENGIE"/>
    <s v="Q4"/>
    <e v="#REF!"/>
    <e v="#REF!"/>
    <e v="#REF!"/>
  </r>
  <r>
    <s v="181000"/>
    <x v="6"/>
    <s v="COMPTE DE LIAISON DES ETABLISSEMENTS"/>
    <s v="OD"/>
    <n v="28"/>
    <d v="2025-11-13T00:00:00"/>
    <s v="Liaison inter-établissement"/>
    <m/>
    <s v="Non"/>
    <e v="#N/A"/>
    <n v="91637"/>
    <m/>
    <s v="DIVERS"/>
    <s v="Q4"/>
    <e v="#REF!"/>
    <e v="#REF!"/>
    <e v="#REF!"/>
  </r>
  <r>
    <s v="181000"/>
    <x v="6"/>
    <s v="COMPTE DE LIAISON DES ETABLISSEMENTS"/>
    <s v="OD"/>
    <n v="28.22"/>
    <d v="2025-05-30T00:00:00"/>
    <s v="Liaison inter-établissement"/>
    <m/>
    <e v="#N/A"/>
    <e v="#N/A"/>
    <n v="75028"/>
    <m/>
    <s v="DHL"/>
    <s v="Q2"/>
    <e v="#REF!"/>
    <e v="#REF!"/>
    <e v="#REF!"/>
  </r>
  <r>
    <s v="181000"/>
    <x v="6"/>
    <s v="COMPTE DE LIAISON DES ETABLISSEMENTS"/>
    <s v="OD"/>
    <n v="28.6"/>
    <d v="2025-11-19T00:00:00"/>
    <s v="Liaison établissement 401000 BIOTIKA TO"/>
    <s v="Non"/>
    <e v="#N/A"/>
    <e v="#N/A"/>
    <n v="90487"/>
    <s v="91250169"/>
    <s v="BIOTIKA"/>
    <s v="Q4"/>
    <e v="#REF!"/>
    <e v="#REF!"/>
    <e v="#REF!"/>
  </r>
  <r>
    <s v="181000"/>
    <x v="6"/>
    <s v="COMPTE DE LIAISON DES ETABLISSEMENTS"/>
    <s v="OD"/>
    <n v="29.27"/>
    <d v="2025-07-07T00:00:00"/>
    <s v="Liaison inter-établissement"/>
    <m/>
    <e v="#N/A"/>
    <e v="#N/A"/>
    <n v="78852"/>
    <m/>
    <s v="ENGIE"/>
    <s v="Q3"/>
    <e v="#REF!"/>
    <e v="#REF!"/>
    <e v="#REF!"/>
  </r>
  <r>
    <s v="181000"/>
    <x v="6"/>
    <s v="COMPTE DE LIAISON DES ETABLISSEMENTS"/>
    <s v="OD"/>
    <n v="29.86"/>
    <d v="2025-03-18T00:00:00"/>
    <s v="Liaison inter-établissement"/>
    <m/>
    <e v="#N/A"/>
    <e v="#N/A"/>
    <n v="64467"/>
    <m/>
    <s v="VWR AVANTOR"/>
    <s v="Q1"/>
    <e v="#REF!"/>
    <e v="#REF!"/>
    <e v="#REF!"/>
  </r>
  <r>
    <s v="181000"/>
    <x v="6"/>
    <s v="COMPTE DE LIAISON DES ETABLISSEMENTS"/>
    <s v="OD"/>
    <n v="29.89"/>
    <d v="2025-05-16T00:00:00"/>
    <s v="Liaison inter-établissement"/>
    <m/>
    <e v="#N/A"/>
    <e v="#N/A"/>
    <n v="74493"/>
    <m/>
    <s v="Jérémie Blache"/>
    <s v="Q2"/>
    <e v="#REF!"/>
    <e v="#REF!"/>
    <e v="#REF!"/>
  </r>
  <r>
    <s v="181000"/>
    <x v="6"/>
    <s v="COMPTE DE LIAISON DES ETABLISSEMENTS"/>
    <s v="OD"/>
    <n v="29.9"/>
    <d v="2025-04-30T00:00:00"/>
    <s v="Liaison inter-établissement"/>
    <m/>
    <e v="#N/A"/>
    <e v="#N/A"/>
    <n v="74585"/>
    <m/>
    <s v="Thibault Dejardin"/>
    <s v="Q2"/>
    <e v="#REF!"/>
    <e v="#REF!"/>
    <e v="#REF!"/>
  </r>
  <r>
    <s v="181000"/>
    <x v="6"/>
    <s v="COMPTE DE LIAISON DES ETABLISSEMENTS"/>
    <s v="OD"/>
    <n v="29.95"/>
    <d v="2025-07-25T00:00:00"/>
    <s v="Liaison inter-établissement"/>
    <m/>
    <e v="#N/A"/>
    <e v="#N/A"/>
    <n v="81049"/>
    <m/>
    <s v="MAILJET"/>
    <s v="Q3"/>
    <e v="#REF!"/>
    <e v="#REF!"/>
    <e v="#REF!"/>
  </r>
  <r>
    <s v="181000"/>
    <x v="6"/>
    <s v="COMPTE DE LIAISON DES ETABLISSEMENTS"/>
    <s v="OD"/>
    <n v="30"/>
    <d v="2025-01-13T00:00:00"/>
    <s v="Liaison inter-établissement"/>
    <m/>
    <e v="#N/A"/>
    <e v="#N/A"/>
    <n v="75617"/>
    <m/>
    <s v="Marie-Sarah Adenis"/>
    <s v="Q1"/>
    <e v="#REF!"/>
    <e v="#REF!"/>
    <e v="#REF!"/>
  </r>
  <r>
    <s v="181000"/>
    <x v="6"/>
    <s v="COMPTE DE LIAISON DES ETABLISSEMENTS"/>
    <s v="OD"/>
    <n v="30"/>
    <d v="2025-06-16T00:00:00"/>
    <s v="Liaison établissement 401000 BIOTIKA TO"/>
    <s v="Non"/>
    <e v="#N/A"/>
    <e v="#N/A"/>
    <n v="76051"/>
    <s v="TRANSPORT COSTS"/>
    <s v="BIOTIKA"/>
    <s v="Q2"/>
    <e v="#REF!"/>
    <e v="#REF!"/>
    <e v="#REF!"/>
  </r>
  <r>
    <s v="181000"/>
    <x v="6"/>
    <s v="COMPTE DE LIAISON DES ETABLISSEMENTS"/>
    <s v="OD"/>
    <n v="30"/>
    <d v="2025-08-25T00:00:00"/>
    <s v="Liaison inter-établissement"/>
    <m/>
    <e v="#N/A"/>
    <e v="#N/A"/>
    <n v="83348"/>
    <m/>
    <s v="MAILJET"/>
    <s v="Q3"/>
    <e v="#REF!"/>
    <e v="#REF!"/>
    <e v="#REF!"/>
  </r>
  <r>
    <s v="181000"/>
    <x v="6"/>
    <s v="COMPTE DE LIAISON DES ETABLISSEMENTS"/>
    <s v="OD"/>
    <n v="30"/>
    <d v="2025-09-25T00:00:00"/>
    <s v="Liaison inter-établissement"/>
    <m/>
    <e v="#N/A"/>
    <e v="#N/A"/>
    <n v="83352"/>
    <m/>
    <s v="MAILJET"/>
    <s v="Q3"/>
    <e v="#REF!"/>
    <e v="#REF!"/>
    <e v="#REF!"/>
  </r>
  <r>
    <s v="181000"/>
    <x v="6"/>
    <s v="COMPTE DE LIAISON DES ETABLISSEMENTS"/>
    <s v="OD"/>
    <n v="30"/>
    <d v="2025-10-25T00:00:00"/>
    <s v="Liaison inter-établissement"/>
    <m/>
    <e v="#N/A"/>
    <e v="#N/A"/>
    <n v="89765"/>
    <m/>
    <s v="MAILJET"/>
    <s v="Q4"/>
    <e v="#REF!"/>
    <e v="#REF!"/>
    <e v="#REF!"/>
  </r>
  <r>
    <s v="181000"/>
    <x v="6"/>
    <s v="COMPTE DE LIAISON DES ETABLISSEMENTS"/>
    <s v="OD"/>
    <n v="30"/>
    <d v="2025-11-03T00:00:00"/>
    <s v="Liaison inter-établissement"/>
    <m/>
    <e v="#N/A"/>
    <e v="#N/A"/>
    <n v="91633"/>
    <m/>
    <s v="COOKIEBOT"/>
    <s v="Q4"/>
    <e v="#REF!"/>
    <e v="#REF!"/>
    <e v="#REF!"/>
  </r>
  <r>
    <s v="181000"/>
    <x v="6"/>
    <s v="COMPTE DE LIAISON DES ETABLISSEMENTS"/>
    <s v="OD"/>
    <n v="30"/>
    <d v="2025-11-25T00:00:00"/>
    <s v="Liaison inter-établissement"/>
    <m/>
    <e v="#N/A"/>
    <e v="#N/A"/>
    <n v="91673"/>
    <m/>
    <s v="MAILJET"/>
    <s v="Q4"/>
    <e v="#REF!"/>
    <e v="#REF!"/>
    <e v="#REF!"/>
  </r>
  <r>
    <s v="181000"/>
    <x v="6"/>
    <s v="COMPTE DE LIAISON DES ETABLISSEMENTS"/>
    <s v="OD"/>
    <n v="30"/>
    <d v="2025-12-03T00:00:00"/>
    <s v="Liaison inter-établissement"/>
    <m/>
    <e v="#N/A"/>
    <e v="#N/A"/>
    <n v="94076"/>
    <m/>
    <s v="COOKIEBOT"/>
    <s v="Q4"/>
    <e v="#REF!"/>
    <e v="#REF!"/>
    <e v="#REF!"/>
  </r>
  <r>
    <s v="181000"/>
    <x v="6"/>
    <s v="COMPTE DE LIAISON DES ETABLISSEMENTS"/>
    <s v="OD"/>
    <n v="30"/>
    <d v="2025-12-25T00:00:00"/>
    <s v="Liaison inter-établissement"/>
    <m/>
    <e v="#N/A"/>
    <e v="#N/A"/>
    <n v="94092"/>
    <m/>
    <s v="MAILJET"/>
    <s v="Q4"/>
    <e v="#REF!"/>
    <e v="#REF!"/>
    <e v="#REF!"/>
  </r>
  <r>
    <s v="181000"/>
    <x v="6"/>
    <s v="COMPTE DE LIAISON DES ETABLISSEMENTS"/>
    <s v="OD"/>
    <n v="30.23"/>
    <d v="2025-10-07T00:00:00"/>
    <s v="Liaison inter-établissement"/>
    <m/>
    <e v="#N/A"/>
    <e v="#N/A"/>
    <n v="86954"/>
    <m/>
    <s v="ENGIE"/>
    <s v="Q4"/>
    <e v="#REF!"/>
    <e v="#REF!"/>
    <e v="#REF!"/>
  </r>
  <r>
    <s v="181000"/>
    <x v="6"/>
    <s v="COMPTE DE LIAISON DES ETABLISSEMENTS"/>
    <s v="OD"/>
    <n v="30.66"/>
    <d v="2025-04-30T00:00:00"/>
    <s v="Liaison inter-établissement"/>
    <m/>
    <e v="#N/A"/>
    <e v="#N/A"/>
    <n v="74545"/>
    <m/>
    <s v="Jérémie Blache"/>
    <s v="Q2"/>
    <e v="#REF!"/>
    <e v="#REF!"/>
    <e v="#REF!"/>
  </r>
  <r>
    <s v="181000"/>
    <x v="6"/>
    <s v="COMPTE DE LIAISON DES ETABLISSEMENTS"/>
    <s v="OD"/>
    <n v="31"/>
    <d v="2025-09-30T00:00:00"/>
    <s v="Liaison inter-établissement"/>
    <m/>
    <e v="#N/A"/>
    <e v="#N/A"/>
    <n v="87237"/>
    <m/>
    <m/>
    <s v="Q3"/>
    <e v="#REF!"/>
    <e v="#REF!"/>
    <e v="#REF!"/>
  </r>
  <r>
    <s v="181000"/>
    <x v="6"/>
    <s v="COMPTE DE LIAISON DES ETABLISSEMENTS"/>
    <s v="OD"/>
    <n v="31"/>
    <d v="2025-09-30T00:00:00"/>
    <s v="Liaison inter-établissement vers TO "/>
    <m/>
    <e v="#N/A"/>
    <e v="#N/A"/>
    <n v="87245"/>
    <m/>
    <m/>
    <s v="Q3"/>
    <e v="#REF!"/>
    <e v="#REF!"/>
    <e v="#REF!"/>
  </r>
  <r>
    <s v="181000"/>
    <x v="6"/>
    <s v="COMPTE DE LIAISON DES ETABLISSEMENTS"/>
    <s v="OD"/>
    <n v="31.32"/>
    <d v="2025-03-14T00:00:00"/>
    <s v="Liaison établissement 401000 ROTH TO"/>
    <m/>
    <e v="#N/A"/>
    <e v="#N/A"/>
    <n v="61667"/>
    <s v="Paiement Roth"/>
    <s v="ROTH SOCHIEL"/>
    <s v="Q1"/>
    <e v="#REF!"/>
    <e v="#REF!"/>
    <e v="#REF!"/>
  </r>
  <r>
    <s v="181000"/>
    <x v="6"/>
    <s v="COMPTE DE LIAISON DES ETABLISSEMENTS"/>
    <s v="OD"/>
    <n v="31.58"/>
    <d v="2025-06-03T00:00:00"/>
    <s v="Liaison inter-établissement"/>
    <m/>
    <e v="#N/A"/>
    <e v="#N/A"/>
    <n v="82830"/>
    <m/>
    <s v="EAU DU GRAND LYON"/>
    <s v="Q2"/>
    <e v="#REF!"/>
    <e v="#REF!"/>
    <e v="#REF!"/>
  </r>
  <r>
    <s v="181000"/>
    <x v="6"/>
    <s v="COMPTE DE LIAISON DES ETABLISSEMENTS"/>
    <s v="OD"/>
    <n v="31.79"/>
    <d v="2025-01-18T00:00:00"/>
    <s v="Liaison inter-établissement"/>
    <m/>
    <s v="Non"/>
    <e v="#N/A"/>
    <n v="60050"/>
    <m/>
    <s v="DIVERS"/>
    <s v="Q1"/>
    <e v="#REF!"/>
    <e v="#REF!"/>
    <e v="#REF!"/>
  </r>
  <r>
    <s v="181000"/>
    <x v="6"/>
    <s v="COMPTE DE LIAISON DES ETABLISSEMENTS"/>
    <s v="OD"/>
    <n v="32.020000000000003"/>
    <d v="2025-12-04T00:00:00"/>
    <s v="Liaison inter-établissement"/>
    <m/>
    <e v="#N/A"/>
    <e v="#N/A"/>
    <n v="92969"/>
    <m/>
    <s v="EAU DU GRAND LYON"/>
    <s v="Q4"/>
    <e v="#REF!"/>
    <e v="#REF!"/>
    <e v="#REF!"/>
  </r>
  <r>
    <s v="181000"/>
    <x v="6"/>
    <s v="COMPTE DE LIAISON DES ETABLISSEMENTS"/>
    <s v="OD"/>
    <n v="32.83"/>
    <d v="2025-10-06T00:00:00"/>
    <s v="Liaison établissement 401000 VWR TO"/>
    <m/>
    <e v="#N/A"/>
    <e v="#N/A"/>
    <n v="82921"/>
    <s v="CONSOMMABLE LABO"/>
    <s v="VWR AVANTOR"/>
    <s v="Q4"/>
    <e v="#REF!"/>
    <e v="#REF!"/>
    <e v="#REF!"/>
  </r>
  <r>
    <s v="181000"/>
    <x v="6"/>
    <s v="COMPTE DE LIAISON DES ETABLISSEMENTS"/>
    <s v="OD"/>
    <n v="32.85"/>
    <d v="2025-06-18T00:00:00"/>
    <s v="Liaison inter-établissement"/>
    <m/>
    <e v="#N/A"/>
    <e v="#N/A"/>
    <n v="78259"/>
    <m/>
    <s v="MONDROGUISTE"/>
    <s v="Q2"/>
    <e v="#REF!"/>
    <e v="#REF!"/>
    <e v="#REF!"/>
  </r>
  <r>
    <s v="181000"/>
    <x v="6"/>
    <s v="COMPTE DE LIAISON DES ETABLISSEMENTS"/>
    <s v="OD"/>
    <n v="32.92"/>
    <d v="2025-03-18T00:00:00"/>
    <s v="Liaison inter-établissement"/>
    <m/>
    <e v="#N/A"/>
    <e v="#N/A"/>
    <n v="63939"/>
    <m/>
    <s v="VWR AVANTOR"/>
    <s v="Q1"/>
    <e v="#REF!"/>
    <e v="#REF!"/>
    <e v="#REF!"/>
  </r>
  <r>
    <s v="181000"/>
    <x v="6"/>
    <s v="COMPTE DE LIAISON DES ETABLISSEMENTS"/>
    <s v="OD"/>
    <n v="32.93"/>
    <d v="2025-04-02T00:00:00"/>
    <s v="Liaison établissement 401000 ROTH TO"/>
    <m/>
    <e v="#N/A"/>
    <e v="#N/A"/>
    <n v="66518"/>
    <s v="TRIÉTHYLÈNEGLYCOL"/>
    <s v="ROTH SOCHIEL"/>
    <s v="Q2"/>
    <e v="#REF!"/>
    <e v="#REF!"/>
    <e v="#REF!"/>
  </r>
  <r>
    <s v="181000"/>
    <x v="6"/>
    <s v="COMPTE DE LIAISON DES ETABLISSEMENTS"/>
    <s v="OD"/>
    <n v="32.99"/>
    <d v="2025-07-04T00:00:00"/>
    <s v="Liaison inter-établissement"/>
    <m/>
    <e v="#N/A"/>
    <e v="#N/A"/>
    <n v="89679"/>
    <m/>
    <s v="BOUYGUES TELECOM"/>
    <s v="Q3"/>
    <e v="#REF!"/>
    <e v="#REF!"/>
    <e v="#REF!"/>
  </r>
  <r>
    <s v="181000"/>
    <x v="6"/>
    <s v="COMPTE DE LIAISON DES ETABLISSEMENTS"/>
    <s v="OD"/>
    <n v="32.99"/>
    <d v="2025-08-05T00:00:00"/>
    <s v="Liaison inter-établissement"/>
    <m/>
    <e v="#N/A"/>
    <e v="#N/A"/>
    <n v="87108"/>
    <m/>
    <s v="BOUYGUES TELECOM"/>
    <s v="Q3"/>
    <e v="#REF!"/>
    <e v="#REF!"/>
    <e v="#REF!"/>
  </r>
  <r>
    <s v="181000"/>
    <x v="6"/>
    <s v="COMPTE DE LIAISON DES ETABLISSEMENTS"/>
    <s v="OD"/>
    <n v="32.99"/>
    <d v="2025-09-20T00:00:00"/>
    <s v="Liaison inter-établissement"/>
    <m/>
    <e v="#N/A"/>
    <e v="#N/A"/>
    <n v="82810"/>
    <m/>
    <s v="BOUYGUES TELECOM"/>
    <s v="Q3"/>
    <e v="#REF!"/>
    <e v="#REF!"/>
    <e v="#REF!"/>
  </r>
  <r>
    <s v="181000"/>
    <x v="6"/>
    <s v="COMPTE DE LIAISON DES ETABLISSEMENTS"/>
    <s v="OD"/>
    <n v="32.99"/>
    <d v="2025-10-06T00:00:00"/>
    <s v="Liaison inter-établissement"/>
    <m/>
    <e v="#N/A"/>
    <e v="#N/A"/>
    <n v="87112"/>
    <m/>
    <s v="BOUYGUES TELECOM"/>
    <s v="Q4"/>
    <e v="#REF!"/>
    <e v="#REF!"/>
    <e v="#REF!"/>
  </r>
  <r>
    <s v="181000"/>
    <x v="6"/>
    <s v="COMPTE DE LIAISON DES ETABLISSEMENTS"/>
    <s v="OD"/>
    <n v="32.99"/>
    <d v="2025-11-05T00:00:00"/>
    <s v="Liaison inter-établissement"/>
    <m/>
    <e v="#N/A"/>
    <e v="#N/A"/>
    <n v="90116"/>
    <m/>
    <s v="BOUYGUES TELECOM"/>
    <s v="Q4"/>
    <e v="#REF!"/>
    <e v="#REF!"/>
    <e v="#REF!"/>
  </r>
  <r>
    <s v="181000"/>
    <x v="6"/>
    <s v="COMPTE DE LIAISON DES ETABLISSEMENTS"/>
    <s v="OD"/>
    <n v="32.99"/>
    <d v="2025-12-05T00:00:00"/>
    <s v="Liaison inter-établissement"/>
    <m/>
    <e v="#N/A"/>
    <e v="#N/A"/>
    <n v="91926"/>
    <m/>
    <s v="BOUYGUES TELECOM"/>
    <s v="Q4"/>
    <e v="#REF!"/>
    <e v="#REF!"/>
    <e v="#REF!"/>
  </r>
  <r>
    <s v="181000"/>
    <x v="6"/>
    <s v="COMPTE DE LIAISON DES ETABLISSEMENTS"/>
    <s v="OD"/>
    <n v="33"/>
    <d v="2025-03-28T00:00:00"/>
    <s v="Liaison inter-établissement"/>
    <m/>
    <e v="#N/A"/>
    <e v="#N/A"/>
    <n v="68018"/>
    <m/>
    <s v="BLD PHARMATECH"/>
    <s v="Q1"/>
    <e v="#REF!"/>
    <e v="#REF!"/>
    <e v="#REF!"/>
  </r>
  <r>
    <s v="181000"/>
    <x v="6"/>
    <s v="COMPTE DE LIAISON DES ETABLISSEMENTS"/>
    <s v="OD"/>
    <n v="33.42"/>
    <d v="2025-03-01T00:00:00"/>
    <s v="Liaison inter-établissement"/>
    <m/>
    <e v="#N/A"/>
    <e v="#N/A"/>
    <n v="70044"/>
    <m/>
    <s v="MANUTAN"/>
    <s v="Q1"/>
    <e v="#REF!"/>
    <e v="#REF!"/>
    <e v="#REF!"/>
  </r>
  <r>
    <s v="181000"/>
    <x v="6"/>
    <s v="COMPTE DE LIAISON DES ETABLISSEMENTS"/>
    <s v="OD"/>
    <n v="33.590000000000003"/>
    <d v="2025-10-22T00:00:00"/>
    <s v="Liaison inter-établissement"/>
    <m/>
    <e v="#N/A"/>
    <e v="#N/A"/>
    <n v="89727"/>
    <m/>
    <s v="BRUNEAU"/>
    <s v="Q4"/>
    <e v="#REF!"/>
    <e v="#REF!"/>
    <e v="#REF!"/>
  </r>
  <r>
    <s v="181000"/>
    <x v="6"/>
    <s v="COMPTE DE LIAISON DES ETABLISSEMENTS"/>
    <s v="OD"/>
    <n v="34.799999999999997"/>
    <d v="2025-01-02T00:00:00"/>
    <s v="Liaison inter-établissement"/>
    <m/>
    <e v="#N/A"/>
    <e v="#N/A"/>
    <n v="63847"/>
    <m/>
    <s v="SENDCLOUD"/>
    <s v="Q1"/>
    <e v="#REF!"/>
    <e v="#REF!"/>
    <e v="#REF!"/>
  </r>
  <r>
    <s v="181000"/>
    <x v="6"/>
    <s v="COMPTE DE LIAISON DES ETABLISSEMENTS"/>
    <s v="OD"/>
    <n v="34.799999999999997"/>
    <d v="2025-02-02T00:00:00"/>
    <s v="Liaison inter-établissement"/>
    <m/>
    <e v="#N/A"/>
    <e v="#N/A"/>
    <n v="64339"/>
    <m/>
    <s v="SENDCLOUD"/>
    <s v="Q1"/>
    <e v="#REF!"/>
    <e v="#REF!"/>
    <e v="#REF!"/>
  </r>
  <r>
    <s v="181000"/>
    <x v="6"/>
    <s v="COMPTE DE LIAISON DES ETABLISSEMENTS"/>
    <s v="OD"/>
    <n v="34.799999999999997"/>
    <d v="2025-03-02T00:00:00"/>
    <s v="Liaison inter-établissement"/>
    <m/>
    <e v="#N/A"/>
    <e v="#N/A"/>
    <n v="70088"/>
    <m/>
    <s v="SENDCLOUD"/>
    <s v="Q1"/>
    <e v="#REF!"/>
    <e v="#REF!"/>
    <e v="#REF!"/>
  </r>
  <r>
    <s v="181000"/>
    <x v="6"/>
    <s v="COMPTE DE LIAISON DES ETABLISSEMENTS"/>
    <s v="OD"/>
    <n v="34.799999999999997"/>
    <d v="2025-05-02T00:00:00"/>
    <s v="Liaison inter-établissement"/>
    <m/>
    <e v="#N/A"/>
    <e v="#N/A"/>
    <n v="75109"/>
    <m/>
    <s v="SENDCLOUD"/>
    <s v="Q2"/>
    <e v="#REF!"/>
    <e v="#REF!"/>
    <e v="#REF!"/>
  </r>
  <r>
    <s v="181000"/>
    <x v="6"/>
    <s v="COMPTE DE LIAISON DES ETABLISSEMENTS"/>
    <s v="OD"/>
    <n v="34.799999999999997"/>
    <d v="2025-06-02T00:00:00"/>
    <s v="Liaison inter-établissement"/>
    <m/>
    <e v="#N/A"/>
    <e v="#N/A"/>
    <n v="78207"/>
    <m/>
    <s v="SENDCLOUD"/>
    <s v="Q2"/>
    <e v="#REF!"/>
    <e v="#REF!"/>
    <e v="#REF!"/>
  </r>
  <r>
    <s v="181000"/>
    <x v="6"/>
    <s v="COMPTE DE LIAISON DES ETABLISSEMENTS"/>
    <s v="OD"/>
    <n v="34.799999999999997"/>
    <d v="2025-08-02T00:00:00"/>
    <s v="Liaison inter-établissement"/>
    <m/>
    <e v="#N/A"/>
    <e v="#N/A"/>
    <n v="83316"/>
    <m/>
    <s v="SENDCLOUD"/>
    <s v="Q3"/>
    <e v="#REF!"/>
    <e v="#REF!"/>
    <e v="#REF!"/>
  </r>
  <r>
    <s v="181000"/>
    <x v="6"/>
    <s v="COMPTE DE LIAISON DES ETABLISSEMENTS"/>
    <s v="OD"/>
    <n v="34.799999999999997"/>
    <d v="2025-12-24T00:00:00"/>
    <s v="Liaison inter-établissement"/>
    <m/>
    <e v="#N/A"/>
    <e v="#N/A"/>
    <n v="94152"/>
    <m/>
    <s v="LPI CONSEIL"/>
    <s v="Q4"/>
    <e v="#REF!"/>
    <e v="#REF!"/>
    <e v="#REF!"/>
  </r>
  <r>
    <s v="181000"/>
    <x v="6"/>
    <s v="COMPTE DE LIAISON DES ETABLISSEMENTS"/>
    <s v="OD"/>
    <n v="35.04"/>
    <d v="2025-04-02T00:00:00"/>
    <s v="Liaison inter-établissement"/>
    <m/>
    <e v="#N/A"/>
    <e v="#N/A"/>
    <n v="74749"/>
    <m/>
    <s v="SENDCLOUD"/>
    <s v="Q2"/>
    <e v="#REF!"/>
    <e v="#REF!"/>
    <e v="#REF!"/>
  </r>
  <r>
    <s v="181000"/>
    <x v="6"/>
    <s v="COMPTE DE LIAISON DES ETABLISSEMENTS"/>
    <s v="OD"/>
    <n v="35.04"/>
    <d v="2025-07-02T00:00:00"/>
    <s v="Liaison inter-établissement"/>
    <m/>
    <e v="#N/A"/>
    <e v="#N/A"/>
    <n v="80971"/>
    <m/>
    <s v="SENDCLOUD"/>
    <s v="Q3"/>
    <e v="#REF!"/>
    <e v="#REF!"/>
    <e v="#REF!"/>
  </r>
  <r>
    <s v="181000"/>
    <x v="6"/>
    <s v="COMPTE DE LIAISON DES ETABLISSEMENTS"/>
    <s v="OD"/>
    <n v="35.11"/>
    <d v="2025-06-30T00:00:00"/>
    <s v="Liaison inter-établissement vers TO "/>
    <m/>
    <e v="#N/A"/>
    <e v="#N/A"/>
    <n v="78685"/>
    <m/>
    <m/>
    <s v="Q2"/>
    <e v="#REF!"/>
    <e v="#REF!"/>
    <e v="#REF!"/>
  </r>
  <r>
    <s v="181000"/>
    <x v="6"/>
    <s v="COMPTE DE LIAISON DES ETABLISSEMENTS"/>
    <s v="OD"/>
    <n v="35.700000000000003"/>
    <d v="2025-08-31T00:00:00"/>
    <s v="Liaison inter-établissement"/>
    <m/>
    <e v="#N/A"/>
    <e v="#N/A"/>
    <n v="90157"/>
    <m/>
    <s v="LA POSTE"/>
    <s v="Q3"/>
    <e v="#REF!"/>
    <e v="#REF!"/>
    <e v="#REF!"/>
  </r>
  <r>
    <s v="181000"/>
    <x v="6"/>
    <s v="COMPTE DE LIAISON DES ETABLISSEMENTS"/>
    <s v="OD"/>
    <n v="35.71"/>
    <d v="2025-05-07T00:00:00"/>
    <s v="Liaison établissement 401000 VWR TO"/>
    <m/>
    <e v="#N/A"/>
    <e v="#N/A"/>
    <n v="71822"/>
    <s v="MÉTHYLAMINE (SOLUTION AQUEUSE À 40%)"/>
    <s v="VWR AVANTOR"/>
    <s v="Q2"/>
    <e v="#REF!"/>
    <e v="#REF!"/>
    <e v="#REF!"/>
  </r>
  <r>
    <s v="181000"/>
    <x v="6"/>
    <s v="COMPTE DE LIAISON DES ETABLISSEMENTS"/>
    <s v="OD"/>
    <n v="35.79"/>
    <d v="2025-09-30T00:00:00"/>
    <s v="Liaison inter-établissement vers LY "/>
    <m/>
    <e v="#N/A"/>
    <e v="#N/A"/>
    <n v="89537"/>
    <m/>
    <s v="ENGIE"/>
    <s v="Q3"/>
    <e v="#REF!"/>
    <e v="#REF!"/>
    <e v="#REF!"/>
  </r>
  <r>
    <s v="181000"/>
    <x v="6"/>
    <s v="COMPTE DE LIAISON DES ETABLISSEMENTS"/>
    <s v="OD"/>
    <n v="35.99"/>
    <d v="2025-08-29T00:00:00"/>
    <s v="Liaison inter-établissement"/>
    <m/>
    <e v="#N/A"/>
    <e v="#N/A"/>
    <n v="82155"/>
    <m/>
    <s v="RICOH"/>
    <s v="Q3"/>
    <e v="#REF!"/>
    <e v="#REF!"/>
    <e v="#REF!"/>
  </r>
  <r>
    <s v="181000"/>
    <x v="6"/>
    <s v="COMPTE DE LIAISON DES ETABLISSEMENTS"/>
    <s v="OD"/>
    <n v="36"/>
    <d v="2025-04-04T00:00:00"/>
    <s v="Liaison inter-établissement"/>
    <m/>
    <s v="Non"/>
    <s v="Oui"/>
    <n v="74803"/>
    <m/>
    <s v="AXELERA"/>
    <s v="Q2"/>
    <e v="#REF!"/>
    <e v="#REF!"/>
    <e v="#REF!"/>
  </r>
  <r>
    <s v="181000"/>
    <x v="6"/>
    <s v="COMPTE DE LIAISON DES ETABLISSEMENTS"/>
    <s v="OD"/>
    <n v="36.020000000000003"/>
    <d v="2025-05-07T00:00:00"/>
    <s v="Liaison établissement 401000 VWR TO"/>
    <m/>
    <e v="#N/A"/>
    <e v="#N/A"/>
    <n v="71877"/>
    <s v="HYDROGENE PEROXYDE 30% PH"/>
    <s v="VWR AVANTOR"/>
    <s v="Q2"/>
    <e v="#REF!"/>
    <e v="#REF!"/>
    <e v="#REF!"/>
  </r>
  <r>
    <s v="181000"/>
    <x v="6"/>
    <s v="COMPTE DE LIAISON DES ETABLISSEMENTS"/>
    <s v="OD"/>
    <n v="36.020000000000003"/>
    <d v="2025-08-18T00:00:00"/>
    <s v="Liaison établissement 401000 VWR TO"/>
    <m/>
    <e v="#N/A"/>
    <e v="#N/A"/>
    <n v="81158"/>
    <s v="COMMANDE PRODUIT KEENB"/>
    <s v="VWR AVANTOR"/>
    <s v="Q3"/>
    <e v="#REF!"/>
    <e v="#REF!"/>
    <e v="#REF!"/>
  </r>
  <r>
    <s v="181000"/>
    <x v="6"/>
    <s v="COMPTE DE LIAISON DES ETABLISSEMENTS"/>
    <s v="OD"/>
    <n v="36.06"/>
    <d v="2025-01-18T00:00:00"/>
    <s v="Liaison inter-établissement"/>
    <m/>
    <s v="Non"/>
    <e v="#N/A"/>
    <n v="60042"/>
    <m/>
    <s v="DIVERS"/>
    <s v="Q1"/>
    <e v="#REF!"/>
    <e v="#REF!"/>
    <e v="#REF!"/>
  </r>
  <r>
    <s v="181000"/>
    <x v="6"/>
    <s v="COMPTE DE LIAISON DES ETABLISSEMENTS"/>
    <s v="OD"/>
    <n v="36.200000000000003"/>
    <d v="2025-01-16T00:00:00"/>
    <s v="Liaison inter-établissement"/>
    <m/>
    <s v="Non"/>
    <e v="#N/A"/>
    <n v="60046"/>
    <m/>
    <s v="DIVERS"/>
    <s v="Q1"/>
    <e v="#REF!"/>
    <e v="#REF!"/>
    <e v="#REF!"/>
  </r>
  <r>
    <s v="181000"/>
    <x v="6"/>
    <s v="COMPTE DE LIAISON DES ETABLISSEMENTS"/>
    <s v="OD"/>
    <n v="36.86"/>
    <d v="2025-05-07T00:00:00"/>
    <s v="Liaison établissement 401000 VWR TO"/>
    <m/>
    <e v="#N/A"/>
    <e v="#N/A"/>
    <n v="71857"/>
    <s v="AIGUILLES 10ML (12ML) 3-PIÈCES"/>
    <s v="VWR AVANTOR"/>
    <s v="Q2"/>
    <e v="#REF!"/>
    <e v="#REF!"/>
    <e v="#REF!"/>
  </r>
  <r>
    <s v="181000"/>
    <x v="6"/>
    <s v="COMPTE DE LIAISON DES ETABLISSEMENTS"/>
    <s v="OD"/>
    <n v="36.86"/>
    <d v="2025-08-21T00:00:00"/>
    <s v="Liaison établissement 401000 VWR TO"/>
    <m/>
    <e v="#N/A"/>
    <e v="#N/A"/>
    <n v="81523"/>
    <s v="COMMANDE CONSOMMABLES LABO"/>
    <s v="VWR AVANTOR"/>
    <s v="Q3"/>
    <e v="#REF!"/>
    <e v="#REF!"/>
    <e v="#REF!"/>
  </r>
  <r>
    <s v="181000"/>
    <x v="6"/>
    <s v="COMPTE DE LIAISON DES ETABLISSEMENTS"/>
    <s v="OD"/>
    <n v="37.94"/>
    <d v="2025-08-07T00:00:00"/>
    <s v="Liaison inter-établissement"/>
    <m/>
    <e v="#N/A"/>
    <e v="#N/A"/>
    <n v="87116"/>
    <m/>
    <s v="ENGIE"/>
    <s v="Q3"/>
    <e v="#REF!"/>
    <e v="#REF!"/>
    <e v="#REF!"/>
  </r>
  <r>
    <s v="181000"/>
    <x v="6"/>
    <s v="COMPTE DE LIAISON DES ETABLISSEMENTS"/>
    <s v="OD"/>
    <n v="38"/>
    <d v="2025-06-10T00:00:00"/>
    <s v="Liaison inter-établissement"/>
    <m/>
    <e v="#N/A"/>
    <e v="#N/A"/>
    <n v="78840"/>
    <m/>
    <s v="ENGIE"/>
    <s v="Q2"/>
    <e v="#REF!"/>
    <e v="#REF!"/>
    <e v="#REF!"/>
  </r>
  <r>
    <s v="181000"/>
    <x v="6"/>
    <s v="COMPTE DE LIAISON DES ETABLISSEMENTS"/>
    <s v="OD"/>
    <n v="38.020000000000003"/>
    <d v="2025-07-31T00:00:00"/>
    <s v="Liaison établissement 401000 VWR TO"/>
    <m/>
    <e v="#N/A"/>
    <e v="#N/A"/>
    <n v="79322"/>
    <s v="COMMANDE CONSOMMABLE LABO"/>
    <s v="VWR AVANTOR"/>
    <s v="Q3"/>
    <e v="#REF!"/>
    <e v="#REF!"/>
    <e v="#REF!"/>
  </r>
  <r>
    <s v="181000"/>
    <x v="6"/>
    <s v="COMPTE DE LIAISON DES ETABLISSEMENTS"/>
    <s v="OD"/>
    <n v="38.21"/>
    <d v="2025-04-02T00:00:00"/>
    <s v="Liaison établissement 401000 VWR TO"/>
    <m/>
    <e v="#N/A"/>
    <e v="#N/A"/>
    <n v="66508"/>
    <s v="Invoice Payment by Pili"/>
    <s v="VWR AVANTOR"/>
    <s v="Q2"/>
    <e v="#REF!"/>
    <e v="#REF!"/>
    <e v="#REF!"/>
  </r>
  <r>
    <s v="181000"/>
    <x v="6"/>
    <s v="COMPTE DE LIAISON DES ETABLISSEMENTS"/>
    <s v="OD"/>
    <n v="38.28"/>
    <d v="2025-01-01T00:00:00"/>
    <s v="Liaison inter-établissement"/>
    <m/>
    <e v="#N/A"/>
    <e v="#N/A"/>
    <n v="63617"/>
    <m/>
    <s v="BRUNEAU"/>
    <s v="Q1"/>
    <e v="#REF!"/>
    <e v="#REF!"/>
    <e v="#REF!"/>
  </r>
  <r>
    <s v="181000"/>
    <x v="6"/>
    <s v="COMPTE DE LIAISON DES ETABLISSEMENTS"/>
    <s v="OD"/>
    <n v="38.590000000000003"/>
    <d v="2025-08-21T00:00:00"/>
    <s v="Liaison établissement 401000 VWR TO"/>
    <m/>
    <e v="#N/A"/>
    <e v="#N/A"/>
    <n v="81508"/>
    <s v="COMMANDE PRODUIT MUSTANG"/>
    <s v="VWR AVANTOR"/>
    <s v="Q3"/>
    <e v="#REF!"/>
    <e v="#REF!"/>
    <e v="#REF!"/>
  </r>
  <r>
    <s v="181000"/>
    <x v="6"/>
    <s v="COMPTE DE LIAISON DES ETABLISSEMENTS"/>
    <s v="OD"/>
    <n v="38.799999999999997"/>
    <d v="2025-12-19T00:00:00"/>
    <s v="Liaison établissement 401000 CHATEAU TO"/>
    <m/>
    <e v="#N/A"/>
    <e v="#N/A"/>
    <n v="92686"/>
    <s v="31/05713557"/>
    <s v="CHATEAUDEAU"/>
    <s v="Q4"/>
    <e v="#REF!"/>
    <e v="#REF!"/>
    <e v="#REF!"/>
  </r>
  <r>
    <s v="181000"/>
    <x v="6"/>
    <s v="COMPTE DE LIAISON DES ETABLISSEMENTS"/>
    <s v="OD"/>
    <n v="39"/>
    <d v="2025-01-07T00:00:00"/>
    <s v="Liaison inter-établissement"/>
    <m/>
    <e v="#N/A"/>
    <e v="#N/A"/>
    <n v="63887"/>
    <m/>
    <s v="SNCF"/>
    <s v="Q1"/>
    <e v="#REF!"/>
    <e v="#REF!"/>
    <e v="#REF!"/>
  </r>
  <r>
    <s v="181000"/>
    <x v="6"/>
    <s v="COMPTE DE LIAISON DES ETABLISSEMENTS"/>
    <s v="OD"/>
    <n v="39"/>
    <d v="2025-02-06T00:00:00"/>
    <s v="Liaison inter-établissement"/>
    <m/>
    <s v="Non"/>
    <e v="#N/A"/>
    <n v="64283"/>
    <m/>
    <s v="DIVERS"/>
    <s v="Q1"/>
    <e v="#REF!"/>
    <e v="#REF!"/>
    <e v="#REF!"/>
  </r>
  <r>
    <s v="181000"/>
    <x v="6"/>
    <s v="COMPTE DE LIAISON DES ETABLISSEMENTS"/>
    <s v="OD"/>
    <n v="39"/>
    <d v="2025-03-04T00:00:00"/>
    <s v="Liaison inter-établissement"/>
    <m/>
    <e v="#N/A"/>
    <e v="#N/A"/>
    <n v="66755"/>
    <m/>
    <s v="SNCF"/>
    <s v="Q1"/>
    <e v="#REF!"/>
    <e v="#REF!"/>
    <e v="#REF!"/>
  </r>
  <r>
    <s v="181000"/>
    <x v="6"/>
    <s v="COMPTE DE LIAISON DES ETABLISSEMENTS"/>
    <s v="OD"/>
    <n v="39"/>
    <d v="2025-03-11T00:00:00"/>
    <s v="Liaison inter-établissement"/>
    <m/>
    <e v="#N/A"/>
    <e v="#N/A"/>
    <n v="70016"/>
    <m/>
    <s v="SNCF"/>
    <s v="Q1"/>
    <e v="#REF!"/>
    <e v="#REF!"/>
    <e v="#REF!"/>
  </r>
  <r>
    <s v="181000"/>
    <x v="6"/>
    <s v="COMPTE DE LIAISON DES ETABLISSEMENTS"/>
    <s v="OD"/>
    <n v="39.6"/>
    <d v="2025-09-02T00:00:00"/>
    <s v="Liaison inter-établissement"/>
    <m/>
    <e v="#N/A"/>
    <e v="#N/A"/>
    <n v="83188"/>
    <m/>
    <s v="SENDCLOUD"/>
    <s v="Q3"/>
    <e v="#REF!"/>
    <e v="#REF!"/>
    <e v="#REF!"/>
  </r>
  <r>
    <s v="181000"/>
    <x v="6"/>
    <s v="COMPTE DE LIAISON DES ETABLISSEMENTS"/>
    <s v="OD"/>
    <n v="39.6"/>
    <d v="2025-12-02T00:00:00"/>
    <s v="Liaison inter-établissement"/>
    <m/>
    <e v="#N/A"/>
    <e v="#N/A"/>
    <n v="94100"/>
    <m/>
    <s v="SENDCLOUD"/>
    <s v="Q4"/>
    <e v="#REF!"/>
    <e v="#REF!"/>
    <e v="#REF!"/>
  </r>
  <r>
    <s v="181000"/>
    <x v="6"/>
    <s v="COMPTE DE LIAISON DES ETABLISSEMENTS"/>
    <s v="OD"/>
    <n v="39.6"/>
    <d v="2025-12-30T00:00:00"/>
    <s v="Liaison établissement 401000 GUILLARD PREVISA TO"/>
    <m/>
    <e v="#N/A"/>
    <e v="#N/A"/>
    <n v="93739"/>
    <s v="E 25 28105"/>
    <s v="GUILLARD PREVISA"/>
    <s v="Q4"/>
    <e v="#REF!"/>
    <e v="#REF!"/>
    <e v="#REF!"/>
  </r>
  <r>
    <s v="181000"/>
    <x v="6"/>
    <s v="COMPTE DE LIAISON DES ETABLISSEMENTS"/>
    <s v="OD"/>
    <n v="39.619999999999997"/>
    <d v="2025-08-21T00:00:00"/>
    <s v="Liaison établissement 401000 VWR TO"/>
    <m/>
    <e v="#N/A"/>
    <e v="#N/A"/>
    <n v="81498"/>
    <s v="COMMANDE PRODUIT KEENB"/>
    <s v="VWR AVANTOR"/>
    <s v="Q3"/>
    <e v="#REF!"/>
    <e v="#REF!"/>
    <e v="#REF!"/>
  </r>
  <r>
    <s v="181000"/>
    <x v="6"/>
    <s v="COMPTE DE LIAISON DES ETABLISSEMENTS"/>
    <s v="OD"/>
    <n v="39.75"/>
    <d v="2025-01-18T00:00:00"/>
    <s v="Liaison inter-établissement"/>
    <m/>
    <e v="#N/A"/>
    <e v="#N/A"/>
    <n v="63923"/>
    <m/>
    <s v="TRUFFAUT"/>
    <s v="Q1"/>
    <e v="#REF!"/>
    <e v="#REF!"/>
    <e v="#REF!"/>
  </r>
  <r>
    <s v="181000"/>
    <x v="6"/>
    <s v="COMPTE DE LIAISON DES ETABLISSEMENTS"/>
    <s v="OD"/>
    <n v="39.89"/>
    <d v="2025-07-08T00:00:00"/>
    <s v="Liaison inter-établissement"/>
    <m/>
    <e v="#N/A"/>
    <e v="#N/A"/>
    <n v="78856"/>
    <m/>
    <s v="ENGIE"/>
    <s v="Q3"/>
    <e v="#REF!"/>
    <e v="#REF!"/>
    <e v="#REF!"/>
  </r>
  <r>
    <s v="181000"/>
    <x v="6"/>
    <s v="COMPTE DE LIAISON DES ETABLISSEMENTS"/>
    <s v="OD"/>
    <n v="39.9"/>
    <d v="2025-05-12T00:00:00"/>
    <s v="Liaison inter-établissement"/>
    <m/>
    <e v="#N/A"/>
    <e v="#N/A"/>
    <n v="75121"/>
    <m/>
    <s v="LA FOURCHE"/>
    <s v="Q2"/>
    <e v="#REF!"/>
    <e v="#REF!"/>
    <e v="#REF!"/>
  </r>
  <r>
    <s v="181000"/>
    <x v="6"/>
    <s v="COMPTE DE LIAISON DES ETABLISSEMENTS"/>
    <s v="OD"/>
    <n v="39.96"/>
    <d v="2025-09-12T00:00:00"/>
    <s v="Liaison établissement 401000 VWR TO"/>
    <m/>
    <e v="#N/A"/>
    <e v="#N/A"/>
    <n v="82037"/>
    <s v="PRODUIT MUSTANG"/>
    <s v="VWR AVANTOR"/>
    <s v="Q3"/>
    <e v="#REF!"/>
    <e v="#REF!"/>
    <e v="#REF!"/>
  </r>
  <r>
    <s v="181000"/>
    <x v="6"/>
    <s v="COMPTE DE LIAISON DES ETABLISSEMENTS"/>
    <s v="OD"/>
    <n v="40.04"/>
    <d v="2025-06-30T00:00:00"/>
    <s v="Liaison inter-établissement vers TO "/>
    <m/>
    <e v="#N/A"/>
    <e v="#N/A"/>
    <n v="78537"/>
    <m/>
    <m/>
    <s v="Q2"/>
    <e v="#REF!"/>
    <e v="#REF!"/>
    <e v="#REF!"/>
  </r>
  <r>
    <s v="181000"/>
    <x v="6"/>
    <s v="COMPTE DE LIAISON DES ETABLISSEMENTS"/>
    <s v="OD"/>
    <n v="40.18"/>
    <d v="2025-04-02T00:00:00"/>
    <s v="Liaison établissement 401000 ROTH TO"/>
    <m/>
    <e v="#N/A"/>
    <e v="#N/A"/>
    <n v="66513"/>
    <s v="SODIUM LIGNINE SULFONATE"/>
    <s v="ROTH SOCHIEL"/>
    <s v="Q2"/>
    <e v="#REF!"/>
    <e v="#REF!"/>
    <e v="#REF!"/>
  </r>
  <r>
    <s v="181000"/>
    <x v="6"/>
    <s v="COMPTE DE LIAISON DES ETABLISSEMENTS"/>
    <s v="OD"/>
    <n v="40.26"/>
    <d v="2025-10-02T00:00:00"/>
    <s v="Liaison inter-établissement"/>
    <m/>
    <e v="#N/A"/>
    <e v="#N/A"/>
    <n v="89781"/>
    <m/>
    <s v="SENDCLOUD"/>
    <s v="Q4"/>
    <e v="#REF!"/>
    <e v="#REF!"/>
    <e v="#REF!"/>
  </r>
  <r>
    <s v="181000"/>
    <x v="6"/>
    <s v="COMPTE DE LIAISON DES ETABLISSEMENTS"/>
    <s v="OD"/>
    <n v="40.96"/>
    <d v="2025-02-11T00:00:00"/>
    <s v="Liaison inter-établissement"/>
    <m/>
    <e v="#N/A"/>
    <e v="#N/A"/>
    <n v="75633"/>
    <m/>
    <s v="Tatiana Ghanem"/>
    <s v="Q1"/>
    <e v="#REF!"/>
    <e v="#REF!"/>
    <e v="#REF!"/>
  </r>
  <r>
    <s v="181000"/>
    <x v="6"/>
    <s v="COMPTE DE LIAISON DES ETABLISSEMENTS"/>
    <s v="OD"/>
    <n v="40.99"/>
    <d v="2025-04-30T00:00:00"/>
    <s v="Liaison inter-établissement"/>
    <m/>
    <e v="#N/A"/>
    <e v="#N/A"/>
    <n v="74525"/>
    <m/>
    <s v="Jérémie Blache"/>
    <s v="Q2"/>
    <e v="#REF!"/>
    <e v="#REF!"/>
    <e v="#REF!"/>
  </r>
  <r>
    <s v="181000"/>
    <x v="6"/>
    <s v="COMPTE DE LIAISON DES ETABLISSEMENTS"/>
    <s v="OD"/>
    <n v="41.15"/>
    <d v="2025-09-08T00:00:00"/>
    <s v="Liaison inter-établissement"/>
    <m/>
    <e v="#N/A"/>
    <e v="#N/A"/>
    <n v="82151"/>
    <m/>
    <s v="ENGIE"/>
    <s v="Q3"/>
    <e v="#REF!"/>
    <e v="#REF!"/>
    <e v="#REF!"/>
  </r>
  <r>
    <s v="181000"/>
    <x v="6"/>
    <s v="COMPTE DE LIAISON DES ETABLISSEMENTS"/>
    <s v="OD"/>
    <n v="41.91"/>
    <d v="2025-02-05T00:00:00"/>
    <s v="Liaison inter-établissement"/>
    <m/>
    <e v="#N/A"/>
    <e v="#N/A"/>
    <n v="74573"/>
    <m/>
    <s v="Tatiana Ghanem"/>
    <s v="Q1"/>
    <e v="#REF!"/>
    <e v="#REF!"/>
    <e v="#REF!"/>
  </r>
  <r>
    <s v="181000"/>
    <x v="6"/>
    <s v="COMPTE DE LIAISON DES ETABLISSEMENTS"/>
    <s v="OD"/>
    <n v="41.96"/>
    <d v="2025-03-11T00:00:00"/>
    <s v="Liaison inter-établissement"/>
    <m/>
    <e v="#N/A"/>
    <e v="#N/A"/>
    <n v="74954"/>
    <m/>
    <s v="ENGIE"/>
    <s v="Q1"/>
    <e v="#REF!"/>
    <e v="#REF!"/>
    <e v="#REF!"/>
  </r>
  <r>
    <s v="181000"/>
    <x v="6"/>
    <s v="COMPTE DE LIAISON DES ETABLISSEMENTS"/>
    <s v="OD"/>
    <n v="42"/>
    <d v="2025-11-13T00:00:00"/>
    <s v="Liaison établissement 401000 VWR TO"/>
    <m/>
    <e v="#N/A"/>
    <e v="#N/A"/>
    <n v="89944"/>
    <s v="PRODUIT CONSOMMABLE LABO"/>
    <s v="VWR AVANTOR"/>
    <s v="Q4"/>
    <e v="#REF!"/>
    <e v="#REF!"/>
    <e v="#REF!"/>
  </r>
  <r>
    <s v="181000"/>
    <x v="6"/>
    <s v="COMPTE DE LIAISON DES ETABLISSEMENTS"/>
    <s v="OD"/>
    <n v="42.62"/>
    <d v="2025-07-31T00:00:00"/>
    <s v="Liaison établissement 401000 VWR TO"/>
    <m/>
    <e v="#N/A"/>
    <e v="#N/A"/>
    <n v="79347"/>
    <s v="COMMANDE PRODUIT LABO"/>
    <s v="VWR AVANTOR"/>
    <s v="Q3"/>
    <e v="#REF!"/>
    <e v="#REF!"/>
    <e v="#REF!"/>
  </r>
  <r>
    <s v="181000"/>
    <x v="6"/>
    <s v="COMPTE DE LIAISON DES ETABLISSEMENTS"/>
    <s v="OD"/>
    <n v="42.78"/>
    <d v="2025-11-07T00:00:00"/>
    <s v="Liaison inter-établissement"/>
    <m/>
    <e v="#N/A"/>
    <e v="#N/A"/>
    <n v="90101"/>
    <m/>
    <s v="ENGIE"/>
    <s v="Q4"/>
    <e v="#REF!"/>
    <e v="#REF!"/>
    <e v="#REF!"/>
  </r>
  <r>
    <s v="181000"/>
    <x v="6"/>
    <s v="COMPTE DE LIAISON DES ETABLISSEMENTS"/>
    <s v="OD"/>
    <n v="42.95"/>
    <d v="2025-10-08T00:00:00"/>
    <s v="Liaison inter-établissement"/>
    <m/>
    <e v="#N/A"/>
    <e v="#N/A"/>
    <n v="86950"/>
    <m/>
    <s v="ENGIE"/>
    <s v="Q4"/>
    <e v="#REF!"/>
    <e v="#REF!"/>
    <e v="#REF!"/>
  </r>
  <r>
    <s v="181000"/>
    <x v="6"/>
    <s v="COMPTE DE LIAISON DES ETABLISSEMENTS"/>
    <s v="OD"/>
    <n v="43.02"/>
    <d v="2025-05-08T00:00:00"/>
    <s v="Liaison inter-établissement"/>
    <m/>
    <e v="#N/A"/>
    <e v="#N/A"/>
    <n v="78820"/>
    <m/>
    <s v="ENGIE"/>
    <s v="Q2"/>
    <e v="#REF!"/>
    <e v="#REF!"/>
    <e v="#REF!"/>
  </r>
  <r>
    <s v="181000"/>
    <x v="6"/>
    <s v="COMPTE DE LIAISON DES ETABLISSEMENTS"/>
    <s v="OD"/>
    <n v="43.5"/>
    <d v="2025-02-01T00:00:00"/>
    <s v="Liaison inter-établissement"/>
    <m/>
    <e v="#N/A"/>
    <e v="#N/A"/>
    <n v="89492"/>
    <m/>
    <s v="ORANGE"/>
    <s v="Q1"/>
    <e v="#REF!"/>
    <e v="#REF!"/>
    <e v="#REF!"/>
  </r>
  <r>
    <s v="181000"/>
    <x v="6"/>
    <s v="COMPTE DE LIAISON DES ETABLISSEMENTS"/>
    <s v="OD"/>
    <n v="43.56"/>
    <d v="2025-03-22T00:00:00"/>
    <s v="Liaison inter-établissement"/>
    <m/>
    <s v="Non"/>
    <e v="#N/A"/>
    <n v="68118"/>
    <m/>
    <s v="DIVERS"/>
    <s v="Q1"/>
    <e v="#REF!"/>
    <e v="#REF!"/>
    <e v="#REF!"/>
  </r>
  <r>
    <s v="181000"/>
    <x v="6"/>
    <s v="COMPTE DE LIAISON DES ETABLISSEMENTS"/>
    <s v="OD"/>
    <n v="43.78"/>
    <d v="2025-10-15T00:00:00"/>
    <s v="Liaison inter-établissement"/>
    <m/>
    <e v="#N/A"/>
    <e v="#N/A"/>
    <n v="89785"/>
    <m/>
    <s v="SHOPIFY"/>
    <s v="Q4"/>
    <e v="#REF!"/>
    <e v="#REF!"/>
    <e v="#REF!"/>
  </r>
  <r>
    <s v="181000"/>
    <x v="6"/>
    <s v="COMPTE DE LIAISON DES ETABLISSEMENTS"/>
    <s v="OD"/>
    <n v="43.78"/>
    <d v="2025-10-15T00:00:00"/>
    <s v="Liaison inter-établissement"/>
    <m/>
    <e v="#N/A"/>
    <e v="#N/A"/>
    <n v="89960"/>
    <m/>
    <s v="SHOPIFY"/>
    <s v="Q4"/>
    <e v="#REF!"/>
    <e v="#REF!"/>
    <e v="#REF!"/>
  </r>
  <r>
    <s v="181000"/>
    <x v="6"/>
    <s v="COMPTE DE LIAISON DES ETABLISSEMENTS"/>
    <s v="OD"/>
    <n v="43.78"/>
    <d v="2025-11-28T00:00:00"/>
    <s v="Liaison établissement 401000 VWR TO"/>
    <m/>
    <e v="#N/A"/>
    <e v="#N/A"/>
    <n v="91253"/>
    <s v="4067843913"/>
    <s v="VWR AVANTOR"/>
    <s v="Q4"/>
    <e v="#REF!"/>
    <e v="#REF!"/>
    <e v="#REF!"/>
  </r>
  <r>
    <s v="181000"/>
    <x v="6"/>
    <s v="COMPTE DE LIAISON DES ETABLISSEMENTS"/>
    <s v="OD"/>
    <n v="43.79"/>
    <d v="2025-09-15T00:00:00"/>
    <s v="Liaison inter-établissement"/>
    <m/>
    <e v="#N/A"/>
    <e v="#N/A"/>
    <n v="83340"/>
    <m/>
    <s v="SHOPIFY"/>
    <s v="Q3"/>
    <e v="#REF!"/>
    <e v="#REF!"/>
    <e v="#REF!"/>
  </r>
  <r>
    <s v="181000"/>
    <x v="6"/>
    <s v="COMPTE DE LIAISON DES ETABLISSEMENTS"/>
    <s v="OD"/>
    <n v="43.82"/>
    <d v="2025-08-16T00:00:00"/>
    <s v="Liaison inter-établissement"/>
    <m/>
    <e v="#N/A"/>
    <e v="#N/A"/>
    <n v="83336"/>
    <m/>
    <s v="SHOPIFY"/>
    <s v="Q3"/>
    <e v="#REF!"/>
    <e v="#REF!"/>
    <e v="#REF!"/>
  </r>
  <r>
    <s v="181000"/>
    <x v="6"/>
    <s v="COMPTE DE LIAISON DES ETABLISSEMENTS"/>
    <s v="OD"/>
    <n v="43.86"/>
    <d v="2025-11-14T00:00:00"/>
    <s v="Liaison inter-établissement"/>
    <m/>
    <e v="#N/A"/>
    <e v="#N/A"/>
    <n v="91749"/>
    <m/>
    <s v="SHOPIFY"/>
    <s v="Q4"/>
    <e v="#REF!"/>
    <e v="#REF!"/>
    <e v="#REF!"/>
  </r>
  <r>
    <s v="181000"/>
    <x v="6"/>
    <s v="COMPTE DE LIAISON DES ETABLISSEMENTS"/>
    <s v="OD"/>
    <n v="43.88"/>
    <d v="2025-12-14T00:00:00"/>
    <s v="Liaison inter-établissement"/>
    <m/>
    <e v="#N/A"/>
    <e v="#N/A"/>
    <n v="94108"/>
    <m/>
    <s v="SHOPIFY"/>
    <s v="Q4"/>
    <e v="#REF!"/>
    <e v="#REF!"/>
    <e v="#REF!"/>
  </r>
  <r>
    <s v="181000"/>
    <x v="6"/>
    <s v="COMPTE DE LIAISON DES ETABLISSEMENTS"/>
    <s v="OD"/>
    <n v="43.9"/>
    <d v="2025-07-17T00:00:00"/>
    <s v="Liaison inter-établissement"/>
    <m/>
    <e v="#N/A"/>
    <e v="#N/A"/>
    <n v="81045"/>
    <m/>
    <s v="SHOPIFY"/>
    <s v="Q3"/>
    <e v="#REF!"/>
    <e v="#REF!"/>
    <e v="#REF!"/>
  </r>
  <r>
    <s v="181000"/>
    <x v="6"/>
    <s v="COMPTE DE LIAISON DES ETABLISSEMENTS"/>
    <s v="OD"/>
    <n v="44"/>
    <d v="2025-05-03T00:00:00"/>
    <s v="Liaison inter-établissement"/>
    <m/>
    <e v="#N/A"/>
    <e v="#N/A"/>
    <n v="75117"/>
    <m/>
    <s v="LA FOURCHE"/>
    <s v="Q2"/>
    <e v="#REF!"/>
    <e v="#REF!"/>
    <e v="#REF!"/>
  </r>
  <r>
    <s v="181000"/>
    <x v="6"/>
    <s v="COMPTE DE LIAISON DES ETABLISSEMENTS"/>
    <s v="OD"/>
    <n v="44.08"/>
    <d v="2025-05-18T00:00:00"/>
    <s v="Liaison inter-établissement"/>
    <m/>
    <e v="#N/A"/>
    <e v="#N/A"/>
    <n v="75141"/>
    <m/>
    <s v="SHOPIFY"/>
    <s v="Q2"/>
    <e v="#REF!"/>
    <e v="#REF!"/>
    <e v="#REF!"/>
  </r>
  <r>
    <s v="181000"/>
    <x v="6"/>
    <s v="COMPTE DE LIAISON DES ETABLISSEMENTS"/>
    <s v="OD"/>
    <n v="44.1"/>
    <d v="2025-06-13T00:00:00"/>
    <s v="Liaison inter-établissement"/>
    <m/>
    <e v="#N/A"/>
    <e v="#N/A"/>
    <n v="76634"/>
    <m/>
    <s v="Jérémie Blache"/>
    <s v="Q2"/>
    <e v="#REF!"/>
    <e v="#REF!"/>
    <e v="#REF!"/>
  </r>
  <r>
    <s v="181000"/>
    <x v="6"/>
    <s v="COMPTE DE LIAISON DES ETABLISSEMENTS"/>
    <s v="OD"/>
    <n v="44.13"/>
    <d v="2025-02-07T00:00:00"/>
    <s v="Liaison inter-établissement"/>
    <m/>
    <e v="#N/A"/>
    <e v="#N/A"/>
    <n v="74966"/>
    <m/>
    <s v="ENGIE"/>
    <s v="Q1"/>
    <e v="#REF!"/>
    <e v="#REF!"/>
    <e v="#REF!"/>
  </r>
  <r>
    <s v="181000"/>
    <x v="6"/>
    <s v="COMPTE DE LIAISON DES ETABLISSEMENTS"/>
    <s v="OD"/>
    <n v="44.15"/>
    <d v="2025-06-17T00:00:00"/>
    <s v="Liaison inter-établissement"/>
    <m/>
    <e v="#N/A"/>
    <e v="#N/A"/>
    <n v="78223"/>
    <m/>
    <s v="SHOPIFY"/>
    <s v="Q2"/>
    <e v="#REF!"/>
    <e v="#REF!"/>
    <e v="#REF!"/>
  </r>
  <r>
    <s v="181000"/>
    <x v="6"/>
    <s v="COMPTE DE LIAISON DES ETABLISSEMENTS"/>
    <s v="OD"/>
    <n v="44.27"/>
    <d v="2025-04-08T00:00:00"/>
    <s v="Liaison inter-établissement"/>
    <m/>
    <e v="#N/A"/>
    <e v="#N/A"/>
    <n v="72772"/>
    <m/>
    <s v="ENGIE"/>
    <s v="Q2"/>
    <e v="#REF!"/>
    <e v="#REF!"/>
    <e v="#REF!"/>
  </r>
  <r>
    <s v="181000"/>
    <x v="6"/>
    <s v="COMPTE DE LIAISON DES ETABLISSEMENTS"/>
    <s v="OD"/>
    <n v="44.34"/>
    <d v="2025-04-30T00:00:00"/>
    <s v="Liaison inter-établissement"/>
    <m/>
    <e v="#N/A"/>
    <e v="#N/A"/>
    <n v="74541"/>
    <m/>
    <s v="Jérémie Blache"/>
    <s v="Q2"/>
    <e v="#REF!"/>
    <e v="#REF!"/>
    <e v="#REF!"/>
  </r>
  <r>
    <s v="181000"/>
    <x v="6"/>
    <s v="COMPTE DE LIAISON DES ETABLISSEMENTS"/>
    <s v="OD"/>
    <n v="44.39"/>
    <d v="2025-04-18T00:00:00"/>
    <s v="Liaison inter-établissement"/>
    <m/>
    <e v="#N/A"/>
    <e v="#N/A"/>
    <n v="74757"/>
    <m/>
    <s v="SHOPIFY"/>
    <s v="Q2"/>
    <e v="#REF!"/>
    <e v="#REF!"/>
    <e v="#REF!"/>
  </r>
  <r>
    <s v="181000"/>
    <x v="6"/>
    <s v="COMPTE DE LIAISON DES ETABLISSEMENTS"/>
    <s v="OD"/>
    <n v="44.46"/>
    <d v="2025-05-07T00:00:00"/>
    <s v="Liaison établissement 401000 VWR TO"/>
    <m/>
    <e v="#N/A"/>
    <e v="#N/A"/>
    <n v="71872"/>
    <s v="COMMANDE PRODUIT KEENABIS"/>
    <s v="VWR AVANTOR"/>
    <s v="Q2"/>
    <e v="#REF!"/>
    <e v="#REF!"/>
    <e v="#REF!"/>
  </r>
  <r>
    <s v="181000"/>
    <x v="6"/>
    <s v="COMPTE DE LIAISON DES ETABLISSEMENTS"/>
    <s v="OD"/>
    <n v="44.65"/>
    <d v="2025-03-03T00:00:00"/>
    <s v="Liaison inter-établissement"/>
    <m/>
    <e v="#N/A"/>
    <e v="#N/A"/>
    <n v="63843"/>
    <m/>
    <s v="SANITY"/>
    <s v="Q1"/>
    <e v="#REF!"/>
    <e v="#REF!"/>
    <e v="#REF!"/>
  </r>
  <r>
    <s v="181000"/>
    <x v="6"/>
    <s v="COMPTE DE LIAISON DES ETABLISSEMENTS"/>
    <s v="OD"/>
    <n v="44.66"/>
    <d v="2025-09-26T00:00:00"/>
    <s v="Liaison établissement 401000 VWR TO"/>
    <m/>
    <e v="#N/A"/>
    <e v="#N/A"/>
    <n v="82536"/>
    <s v="INVOICE PAYMENT BY PILI"/>
    <s v="VWR AVANTOR"/>
    <s v="Q3"/>
    <e v="#REF!"/>
    <e v="#REF!"/>
    <e v="#REF!"/>
  </r>
  <r>
    <s v="181000"/>
    <x v="6"/>
    <s v="COMPTE DE LIAISON DES ETABLISSEMENTS"/>
    <s v="OD"/>
    <n v="44.69"/>
    <d v="2025-03-19T00:00:00"/>
    <s v="Liaison inter-établissement"/>
    <m/>
    <e v="#N/A"/>
    <e v="#N/A"/>
    <n v="70096"/>
    <m/>
    <s v="SHOPIFY"/>
    <s v="Q1"/>
    <e v="#REF!"/>
    <e v="#REF!"/>
    <e v="#REF!"/>
  </r>
  <r>
    <s v="181000"/>
    <x v="6"/>
    <s v="COMPTE DE LIAISON DES ETABLISSEMENTS"/>
    <s v="OD"/>
    <n v="44.86"/>
    <d v="2025-02-17T00:00:00"/>
    <s v="Liaison inter-établissement"/>
    <m/>
    <e v="#N/A"/>
    <e v="#N/A"/>
    <n v="64343"/>
    <m/>
    <s v="SHOPIFY"/>
    <s v="Q1"/>
    <e v="#REF!"/>
    <e v="#REF!"/>
    <e v="#REF!"/>
  </r>
  <r>
    <s v="181000"/>
    <x v="6"/>
    <s v="COMPTE DE LIAISON DES ETABLISSEMENTS"/>
    <s v="OD"/>
    <n v="45"/>
    <d v="2025-01-19T00:00:00"/>
    <s v="Liaison inter-établissement"/>
    <m/>
    <e v="#N/A"/>
    <e v="#N/A"/>
    <n v="64399"/>
    <m/>
    <s v="BOULANGER"/>
    <s v="Q1"/>
    <e v="#REF!"/>
    <e v="#REF!"/>
    <e v="#REF!"/>
  </r>
  <r>
    <s v="181000"/>
    <x v="6"/>
    <s v="COMPTE DE LIAISON DES ETABLISSEMENTS"/>
    <s v="OD"/>
    <n v="45"/>
    <d v="2025-08-02T00:00:00"/>
    <s v="Liaison inter-établissement"/>
    <m/>
    <e v="#N/A"/>
    <e v="#N/A"/>
    <n v="83272"/>
    <m/>
    <s v="ANTAI.GOUV.FR"/>
    <s v="Q3"/>
    <e v="#REF!"/>
    <e v="#REF!"/>
    <e v="#REF!"/>
  </r>
  <r>
    <s v="181000"/>
    <x v="6"/>
    <s v="COMPTE DE LIAISON DES ETABLISSEMENTS"/>
    <s v="OD"/>
    <n v="45.48"/>
    <d v="2025-09-30T00:00:00"/>
    <s v="Liaison inter-établissement"/>
    <m/>
    <e v="#N/A"/>
    <e v="#N/A"/>
    <n v="83180"/>
    <m/>
    <s v="SENDCLOUD"/>
    <s v="Q3"/>
    <e v="#REF!"/>
    <e v="#REF!"/>
    <e v="#REF!"/>
  </r>
  <r>
    <s v="181000"/>
    <x v="6"/>
    <s v="COMPTE DE LIAISON DES ETABLISSEMENTS"/>
    <s v="OD"/>
    <n v="45.89"/>
    <d v="2025-12-10T00:00:00"/>
    <s v="Liaison établissement 401000 VWR TO"/>
    <m/>
    <e v="#N/A"/>
    <e v="#N/A"/>
    <n v="92055"/>
    <s v="4067855749"/>
    <s v="VWR AVANTOR"/>
    <s v="Q4"/>
    <e v="#REF!"/>
    <e v="#REF!"/>
    <e v="#REF!"/>
  </r>
  <r>
    <s v="181000"/>
    <x v="6"/>
    <s v="COMPTE DE LIAISON DES ETABLISSEMENTS"/>
    <s v="OD"/>
    <n v="45.9"/>
    <d v="2025-05-22T00:00:00"/>
    <s v="Liaison inter-établissement"/>
    <m/>
    <e v="#N/A"/>
    <e v="#N/A"/>
    <n v="76710"/>
    <m/>
    <s v="Guillaume Boissonnat-Wu"/>
    <s v="Q2"/>
    <e v="#REF!"/>
    <e v="#REF!"/>
    <e v="#REF!"/>
  </r>
  <r>
    <s v="181000"/>
    <x v="6"/>
    <s v="COMPTE DE LIAISON DES ETABLISSEMENTS"/>
    <s v="OD"/>
    <n v="45.98"/>
    <d v="2025-07-18T00:00:00"/>
    <s v="Liaison inter-établissement"/>
    <m/>
    <e v="#N/A"/>
    <e v="#N/A"/>
    <n v="78872"/>
    <m/>
    <s v="DHL"/>
    <s v="Q3"/>
    <e v="#REF!"/>
    <e v="#REF!"/>
    <e v="#REF!"/>
  </r>
  <r>
    <s v="181000"/>
    <x v="6"/>
    <s v="COMPTE DE LIAISON DES ETABLISSEMENTS"/>
    <s v="OD"/>
    <n v="45.99"/>
    <d v="2025-08-22T00:00:00"/>
    <s v="Liaison inter-établissement"/>
    <m/>
    <e v="#N/A"/>
    <e v="#N/A"/>
    <n v="83296"/>
    <m/>
    <s v="AUER"/>
    <s v="Q3"/>
    <e v="#REF!"/>
    <e v="#REF!"/>
    <e v="#REF!"/>
  </r>
  <r>
    <s v="181000"/>
    <x v="6"/>
    <s v="COMPTE DE LIAISON DES ETABLISSEMENTS"/>
    <s v="OD"/>
    <n v="46.96"/>
    <d v="2025-12-09T00:00:00"/>
    <s v="Liaison inter-établissement"/>
    <m/>
    <e v="#N/A"/>
    <e v="#N/A"/>
    <n v="91914"/>
    <m/>
    <s v="ENGIE"/>
    <s v="Q4"/>
    <e v="#REF!"/>
    <e v="#REF!"/>
    <e v="#REF!"/>
  </r>
  <r>
    <s v="181000"/>
    <x v="6"/>
    <s v="COMPTE DE LIAISON DES ETABLISSEMENTS"/>
    <s v="OD"/>
    <n v="47.18"/>
    <d v="2025-03-28T00:00:00"/>
    <s v="Liaison établissement 401000 VWR TO"/>
    <m/>
    <e v="#N/A"/>
    <e v="#N/A"/>
    <n v="64979"/>
    <s v="Invoice Payment by Pili"/>
    <s v="VWR AVANTOR"/>
    <s v="Q1"/>
    <e v="#REF!"/>
    <e v="#REF!"/>
    <e v="#REF!"/>
  </r>
  <r>
    <s v="181000"/>
    <x v="6"/>
    <s v="COMPTE DE LIAISON DES ETABLISSEMENTS"/>
    <s v="OD"/>
    <n v="47.28"/>
    <d v="2025-07-09T00:00:00"/>
    <s v="Liaison établissement 401000 VWR TO"/>
    <m/>
    <e v="#N/A"/>
    <e v="#N/A"/>
    <n v="77242"/>
    <s v="PAPIER FILTRE PAILLASSE"/>
    <s v="VWR AVANTOR"/>
    <s v="Q3"/>
    <e v="#REF!"/>
    <e v="#REF!"/>
    <e v="#REF!"/>
  </r>
  <r>
    <s v="181000"/>
    <x v="6"/>
    <s v="COMPTE DE LIAISON DES ETABLISSEMENTS"/>
    <s v="OD"/>
    <n v="47.54"/>
    <d v="2025-03-21T00:00:00"/>
    <s v="Liaison inter-établissement"/>
    <m/>
    <e v="#N/A"/>
    <e v="#N/A"/>
    <n v="68078"/>
    <m/>
    <s v="BRUNEAU"/>
    <s v="Q1"/>
    <e v="#REF!"/>
    <e v="#REF!"/>
    <e v="#REF!"/>
  </r>
  <r>
    <s v="181000"/>
    <x v="6"/>
    <s v="COMPTE DE LIAISON DES ETABLISSEMENTS"/>
    <s v="OD"/>
    <n v="47.7"/>
    <d v="2025-09-26T00:00:00"/>
    <s v="Liaison établissement 401000 VWR TO"/>
    <m/>
    <e v="#N/A"/>
    <e v="#N/A"/>
    <n v="82531"/>
    <s v="INVOICE PAYMENT BY PILI"/>
    <s v="VWR AVANTOR"/>
    <s v="Q3"/>
    <e v="#REF!"/>
    <e v="#REF!"/>
    <e v="#REF!"/>
  </r>
  <r>
    <s v="181000"/>
    <x v="6"/>
    <s v="COMPTE DE LIAISON DES ETABLISSEMENTS"/>
    <s v="OD"/>
    <n v="47.86"/>
    <d v="2025-01-25T00:00:00"/>
    <s v="Liaison inter-établissement"/>
    <m/>
    <e v="#N/A"/>
    <e v="#N/A"/>
    <n v="63557"/>
    <m/>
    <s v="AUCHAN"/>
    <s v="Q1"/>
    <e v="#REF!"/>
    <e v="#REF!"/>
    <e v="#REF!"/>
  </r>
  <r>
    <s v="181000"/>
    <x v="6"/>
    <s v="COMPTE DE LIAISON DES ETABLISSEMENTS"/>
    <s v="OD"/>
    <n v="48.07"/>
    <d v="2025-03-28T00:00:00"/>
    <s v="Liaison établissement 401000 VWR TO"/>
    <m/>
    <e v="#N/A"/>
    <e v="#N/A"/>
    <n v="64974"/>
    <s v="Invoice Payment by Pili"/>
    <s v="VWR AVANTOR"/>
    <s v="Q1"/>
    <e v="#REF!"/>
    <e v="#REF!"/>
    <e v="#REF!"/>
  </r>
  <r>
    <s v="181000"/>
    <x v="6"/>
    <s v="COMPTE DE LIAISON DES ETABLISSEMENTS"/>
    <s v="OD"/>
    <n v="48.72"/>
    <d v="2025-07-31T00:00:00"/>
    <s v="Liaison établissement 401000 VWR TO"/>
    <m/>
    <e v="#N/A"/>
    <e v="#N/A"/>
    <n v="79312"/>
    <s v="COMMANDE PRODUIT KEENB"/>
    <s v="VWR AVANTOR"/>
    <s v="Q3"/>
    <e v="#REF!"/>
    <e v="#REF!"/>
    <e v="#REF!"/>
  </r>
  <r>
    <s v="181000"/>
    <x v="6"/>
    <s v="COMPTE DE LIAISON DES ETABLISSEMENTS"/>
    <s v="OD"/>
    <n v="49"/>
    <d v="2025-04-08T00:00:00"/>
    <s v="Liaison établissement 401000 TCI TO"/>
    <m/>
    <e v="#N/A"/>
    <e v="#N/A"/>
    <n v="66687"/>
    <s v="Invoice Payment by Pili"/>
    <s v="TCI"/>
    <s v="Q2"/>
    <e v="#REF!"/>
    <e v="#REF!"/>
    <e v="#REF!"/>
  </r>
  <r>
    <s v="181000"/>
    <x v="6"/>
    <s v="COMPTE DE LIAISON DES ETABLISSEMENTS"/>
    <s v="OD"/>
    <n v="49.81"/>
    <d v="2025-11-07T00:00:00"/>
    <s v="Liaison établissement 401000 VWR TO"/>
    <m/>
    <e v="#N/A"/>
    <e v="#N/A"/>
    <n v="89434"/>
    <s v="4067825047"/>
    <s v="VWR AVANTOR"/>
    <s v="Q4"/>
    <e v="#REF!"/>
    <e v="#REF!"/>
    <e v="#REF!"/>
  </r>
  <r>
    <s v="181000"/>
    <x v="6"/>
    <s v="COMPTE DE LIAISON DES ETABLISSEMENTS"/>
    <s v="OD"/>
    <n v="49.94"/>
    <d v="2025-01-10T00:00:00"/>
    <s v="Liaison inter-établissement"/>
    <m/>
    <e v="#N/A"/>
    <e v="#N/A"/>
    <n v="74907"/>
    <m/>
    <s v="DHL"/>
    <s v="Q1"/>
    <e v="#REF!"/>
    <e v="#REF!"/>
    <e v="#REF!"/>
  </r>
  <r>
    <s v="181000"/>
    <x v="6"/>
    <s v="COMPTE DE LIAISON DES ETABLISSEMENTS"/>
    <s v="OD"/>
    <n v="49.98"/>
    <d v="2025-01-20T00:00:00"/>
    <s v="Liaison inter-établissement"/>
    <m/>
    <e v="#N/A"/>
    <e v="#N/A"/>
    <n v="73881"/>
    <m/>
    <s v="Jérémie Blache"/>
    <s v="Q1"/>
    <e v="#REF!"/>
    <e v="#REF!"/>
    <e v="#REF!"/>
  </r>
  <r>
    <s v="181000"/>
    <x v="6"/>
    <s v="COMPTE DE LIAISON DES ETABLISSEMENTS"/>
    <s v="OD"/>
    <n v="49.99"/>
    <d v="2025-02-26T00:00:00"/>
    <s v="Liaison inter-établissement"/>
    <m/>
    <e v="#N/A"/>
    <e v="#N/A"/>
    <n v="73817"/>
    <m/>
    <s v="Anne-Sophie Goutierre"/>
    <s v="Q1"/>
    <e v="#REF!"/>
    <e v="#REF!"/>
    <e v="#REF!"/>
  </r>
  <r>
    <s v="181000"/>
    <x v="6"/>
    <s v="COMPTE DE LIAISON DES ETABLISSEMENTS"/>
    <s v="OD"/>
    <n v="50"/>
    <d v="2025-02-05T00:00:00"/>
    <s v="Liaison inter-établissement"/>
    <m/>
    <e v="#N/A"/>
    <e v="#N/A"/>
    <n v="73873"/>
    <m/>
    <s v="Jérémie Blache"/>
    <s v="Q1"/>
    <e v="#REF!"/>
    <e v="#REF!"/>
    <e v="#REF!"/>
  </r>
  <r>
    <s v="181000"/>
    <x v="6"/>
    <s v="COMPTE DE LIAISON DES ETABLISSEMENTS"/>
    <s v="OD"/>
    <n v="50"/>
    <d v="2025-03-04T00:00:00"/>
    <s v="Liaison inter-établissement"/>
    <m/>
    <e v="#N/A"/>
    <e v="#N/A"/>
    <n v="73845"/>
    <m/>
    <s v="Jérémie Blache"/>
    <s v="Q1"/>
    <e v="#REF!"/>
    <e v="#REF!"/>
    <e v="#REF!"/>
  </r>
  <r>
    <s v="181000"/>
    <x v="6"/>
    <s v="COMPTE DE LIAISON DES ETABLISSEMENTS"/>
    <s v="OD"/>
    <n v="50"/>
    <d v="2025-04-04T00:00:00"/>
    <s v="Liaison inter-établissement"/>
    <m/>
    <e v="#N/A"/>
    <e v="#N/A"/>
    <n v="73833"/>
    <m/>
    <s v="Jérémie Blache"/>
    <s v="Q2"/>
    <e v="#REF!"/>
    <e v="#REF!"/>
    <e v="#REF!"/>
  </r>
  <r>
    <s v="181000"/>
    <x v="6"/>
    <s v="COMPTE DE LIAISON DES ETABLISSEMENTS"/>
    <s v="OD"/>
    <n v="50.4"/>
    <d v="2025-04-04T00:00:00"/>
    <s v="Liaison inter-établissement"/>
    <m/>
    <e v="#N/A"/>
    <e v="#N/A"/>
    <n v="74247"/>
    <m/>
    <s v="Clément Perrocheau"/>
    <s v="Q2"/>
    <e v="#REF!"/>
    <e v="#REF!"/>
    <e v="#REF!"/>
  </r>
  <r>
    <s v="181000"/>
    <x v="6"/>
    <s v="COMPTE DE LIAISON DES ETABLISSEMENTS"/>
    <s v="OD"/>
    <n v="50.98"/>
    <d v="2025-08-18T00:00:00"/>
    <s v="Liaison établissement 401000 VWR TO"/>
    <m/>
    <e v="#N/A"/>
    <e v="#N/A"/>
    <n v="81163"/>
    <s v="COMMANDE PRODUIT KEENB"/>
    <s v="VWR AVANTOR"/>
    <s v="Q3"/>
    <e v="#REF!"/>
    <e v="#REF!"/>
    <e v="#REF!"/>
  </r>
  <r>
    <s v="181000"/>
    <x v="6"/>
    <s v="COMPTE DE LIAISON DES ETABLISSEMENTS"/>
    <s v="OD"/>
    <n v="51"/>
    <d v="2025-03-31T00:00:00"/>
    <s v="Liaison inter-établissement"/>
    <m/>
    <e v="#N/A"/>
    <e v="#N/A"/>
    <n v="69955"/>
    <m/>
    <s v="BONJOUR DRINK"/>
    <s v="Q1"/>
    <e v="#REF!"/>
    <e v="#REF!"/>
    <e v="#REF!"/>
  </r>
  <r>
    <s v="181000"/>
    <x v="6"/>
    <s v="COMPTE DE LIAISON DES ETABLISSEMENTS"/>
    <s v="OD"/>
    <n v="51.36"/>
    <d v="2025-04-08T00:00:00"/>
    <s v="Liaison inter-établissement"/>
    <m/>
    <e v="#N/A"/>
    <e v="#N/A"/>
    <n v="69999"/>
    <m/>
    <s v="ROTH SOCHIEL"/>
    <s v="Q2"/>
    <e v="#REF!"/>
    <e v="#REF!"/>
    <e v="#REF!"/>
  </r>
  <r>
    <s v="181000"/>
    <x v="6"/>
    <s v="COMPTE DE LIAISON DES ETABLISSEMENTS"/>
    <s v="OD"/>
    <n v="52.2"/>
    <d v="2025-02-24T00:00:00"/>
    <s v="Liaison inter-établissement"/>
    <m/>
    <e v="#N/A"/>
    <e v="#N/A"/>
    <n v="71379"/>
    <m/>
    <s v="ORANGE"/>
    <s v="Q1"/>
    <e v="#REF!"/>
    <e v="#REF!"/>
    <e v="#REF!"/>
  </r>
  <r>
    <s v="181000"/>
    <x v="6"/>
    <s v="COMPTE DE LIAISON DES ETABLISSEMENTS"/>
    <s v="OD"/>
    <n v="52.2"/>
    <d v="2025-03-24T00:00:00"/>
    <s v="Liaison inter-établissement"/>
    <m/>
    <e v="#N/A"/>
    <e v="#N/A"/>
    <n v="76233"/>
    <m/>
    <s v="ORANGE"/>
    <s v="Q1"/>
    <e v="#REF!"/>
    <e v="#REF!"/>
    <e v="#REF!"/>
  </r>
  <r>
    <s v="181000"/>
    <x v="6"/>
    <s v="COMPTE DE LIAISON DES ETABLISSEMENTS"/>
    <s v="OD"/>
    <n v="52.2"/>
    <d v="2025-04-28T00:00:00"/>
    <s v="Liaison inter-établissement"/>
    <m/>
    <e v="#N/A"/>
    <e v="#N/A"/>
    <n v="71383"/>
    <m/>
    <s v="ORANGE"/>
    <s v="Q2"/>
    <e v="#REF!"/>
    <e v="#REF!"/>
    <e v="#REF!"/>
  </r>
  <r>
    <s v="181000"/>
    <x v="6"/>
    <s v="COMPTE DE LIAISON DES ETABLISSEMENTS"/>
    <s v="OD"/>
    <n v="52.26"/>
    <d v="2025-08-18T00:00:00"/>
    <s v="Liaison établissement 401000 VWR TO"/>
    <m/>
    <e v="#N/A"/>
    <e v="#N/A"/>
    <n v="81173"/>
    <s v="COMMANDE PRODUIT KEENB"/>
    <s v="VWR AVANTOR"/>
    <s v="Q3"/>
    <e v="#REF!"/>
    <e v="#REF!"/>
    <e v="#REF!"/>
  </r>
  <r>
    <s v="181000"/>
    <x v="6"/>
    <s v="COMPTE DE LIAISON DES ETABLISSEMENTS"/>
    <s v="OD"/>
    <n v="52.34"/>
    <d v="2025-06-30T00:00:00"/>
    <s v="Liaison inter-établissement vers TO "/>
    <m/>
    <e v="#N/A"/>
    <e v="#N/A"/>
    <n v="78695"/>
    <m/>
    <m/>
    <s v="Q2"/>
    <e v="#REF!"/>
    <e v="#REF!"/>
    <e v="#REF!"/>
  </r>
  <r>
    <s v="181000"/>
    <x v="6"/>
    <s v="COMPTE DE LIAISON DES ETABLISSEMENTS"/>
    <s v="OD"/>
    <n v="52.5"/>
    <d v="2025-08-27T00:00:00"/>
    <s v="Liaison inter-établissement"/>
    <m/>
    <e v="#N/A"/>
    <e v="#N/A"/>
    <n v="83292"/>
    <m/>
    <s v="SNCF"/>
    <s v="Q3"/>
    <e v="#REF!"/>
    <e v="#REF!"/>
    <e v="#REF!"/>
  </r>
  <r>
    <s v="181000"/>
    <x v="6"/>
    <s v="COMPTE DE LIAISON DES ETABLISSEMENTS"/>
    <s v="OD"/>
    <n v="53.17"/>
    <d v="2025-02-11T00:00:00"/>
    <s v="Liaison inter-établissement"/>
    <m/>
    <e v="#N/A"/>
    <e v="#N/A"/>
    <n v="73869"/>
    <m/>
    <s v="Jérémie Blache"/>
    <s v="Q1"/>
    <e v="#REF!"/>
    <e v="#REF!"/>
    <e v="#REF!"/>
  </r>
  <r>
    <s v="181000"/>
    <x v="6"/>
    <s v="COMPTE DE LIAISON DES ETABLISSEMENTS"/>
    <s v="OD"/>
    <n v="53.77"/>
    <d v="2025-09-30T00:00:00"/>
    <s v="Liaison inter-établissement"/>
    <m/>
    <e v="#N/A"/>
    <e v="#N/A"/>
    <n v="91065"/>
    <m/>
    <s v="DHL"/>
    <s v="Q3"/>
    <e v="#REF!"/>
    <e v="#REF!"/>
    <e v="#REF!"/>
  </r>
  <r>
    <s v="181000"/>
    <x v="6"/>
    <s v="COMPTE DE LIAISON DES ETABLISSEMENTS"/>
    <s v="OD"/>
    <n v="54"/>
    <d v="2025-06-27T00:00:00"/>
    <s v="Liaison inter-établissement"/>
    <m/>
    <e v="#N/A"/>
    <e v="#N/A"/>
    <n v="76638"/>
    <m/>
    <s v="Jérémie Blache"/>
    <s v="Q2"/>
    <e v="#REF!"/>
    <e v="#REF!"/>
    <e v="#REF!"/>
  </r>
  <r>
    <s v="181000"/>
    <x v="6"/>
    <s v="COMPTE DE LIAISON DES ETABLISSEMENTS"/>
    <s v="OD"/>
    <n v="54.85"/>
    <d v="2025-05-08T00:00:00"/>
    <s v="Liaison inter-établissement"/>
    <m/>
    <e v="#N/A"/>
    <e v="#N/A"/>
    <n v="74943"/>
    <m/>
    <s v="DHL"/>
    <s v="Q2"/>
    <e v="#REF!"/>
    <e v="#REF!"/>
    <e v="#REF!"/>
  </r>
  <r>
    <s v="181000"/>
    <x v="6"/>
    <s v="COMPTE DE LIAISON DES ETABLISSEMENTS"/>
    <s v="OD"/>
    <n v="54.87"/>
    <d v="2025-03-04T00:00:00"/>
    <s v="Liaison inter-établissement"/>
    <m/>
    <e v="#N/A"/>
    <e v="#N/A"/>
    <n v="76670"/>
    <m/>
    <s v="Jérémie Blache"/>
    <s v="Q1"/>
    <e v="#REF!"/>
    <e v="#REF!"/>
    <e v="#REF!"/>
  </r>
  <r>
    <s v="181000"/>
    <x v="6"/>
    <s v="COMPTE DE LIAISON DES ETABLISSEMENTS"/>
    <s v="OD"/>
    <n v="54.88"/>
    <d v="2025-04-29T00:00:00"/>
    <s v="Liaison inter-établissement"/>
    <m/>
    <e v="#N/A"/>
    <e v="#N/A"/>
    <n v="74533"/>
    <m/>
    <s v="Jérémie Blache"/>
    <s v="Q2"/>
    <e v="#REF!"/>
    <e v="#REF!"/>
    <e v="#REF!"/>
  </r>
  <r>
    <s v="181000"/>
    <x v="6"/>
    <s v="COMPTE DE LIAISON DES ETABLISSEMENTS"/>
    <s v="OD"/>
    <n v="55.28"/>
    <d v="2025-06-05T00:00:00"/>
    <s v="Liaison inter-établissement"/>
    <m/>
    <e v="#N/A"/>
    <e v="#N/A"/>
    <n v="82814"/>
    <m/>
    <s v="BOUYGUES TELECOM"/>
    <s v="Q2"/>
    <e v="#REF!"/>
    <e v="#REF!"/>
    <e v="#REF!"/>
  </r>
  <r>
    <s v="181000"/>
    <x v="6"/>
    <s v="COMPTE DE LIAISON DES ETABLISSEMENTS"/>
    <s v="OD"/>
    <n v="55.55"/>
    <d v="2025-06-05T00:00:00"/>
    <s v="Liaison inter-établissement"/>
    <m/>
    <e v="#N/A"/>
    <e v="#N/A"/>
    <n v="78836"/>
    <m/>
    <s v="ENGIE"/>
    <s v="Q2"/>
    <e v="#REF!"/>
    <e v="#REF!"/>
    <e v="#REF!"/>
  </r>
  <r>
    <s v="181000"/>
    <x v="6"/>
    <s v="COMPTE DE LIAISON DES ETABLISSEMENTS"/>
    <s v="OD"/>
    <n v="55.78"/>
    <d v="2025-10-31T00:00:00"/>
    <s v="Liaison établissement 401000 VWR TO"/>
    <m/>
    <e v="#N/A"/>
    <e v="#N/A"/>
    <n v="87576"/>
    <s v="COMMANDE PRODUIT LISA"/>
    <s v="VWR AVANTOR"/>
    <s v="Q4"/>
    <e v="#REF!"/>
    <e v="#REF!"/>
    <e v="#REF!"/>
  </r>
  <r>
    <s v="181000"/>
    <x v="6"/>
    <s v="COMPTE DE LIAISON DES ETABLISSEMENTS"/>
    <s v="OD"/>
    <n v="55.87"/>
    <d v="2025-05-30T00:00:00"/>
    <s v="Liaison inter-établissement"/>
    <m/>
    <e v="#N/A"/>
    <e v="#N/A"/>
    <n v="81033"/>
    <m/>
    <s v="RS COMPONENT"/>
    <s v="Q2"/>
    <e v="#REF!"/>
    <e v="#REF!"/>
    <e v="#REF!"/>
  </r>
  <r>
    <s v="181000"/>
    <x v="6"/>
    <s v="COMPTE DE LIAISON DES ETABLISSEMENTS"/>
    <s v="OD"/>
    <n v="56.14"/>
    <d v="2025-03-18T00:00:00"/>
    <s v="Liaison inter-établissement"/>
    <m/>
    <e v="#N/A"/>
    <e v="#N/A"/>
    <n v="64471"/>
    <m/>
    <s v="VWR AVANTOR"/>
    <s v="Q1"/>
    <e v="#REF!"/>
    <e v="#REF!"/>
    <e v="#REF!"/>
  </r>
  <r>
    <s v="181000"/>
    <x v="6"/>
    <s v="COMPTE DE LIAISON DES ETABLISSEMENTS"/>
    <s v="OD"/>
    <n v="56.99"/>
    <d v="2025-03-11T00:00:00"/>
    <s v="Liaison inter-établissement"/>
    <m/>
    <e v="#N/A"/>
    <e v="#N/A"/>
    <n v="66759"/>
    <m/>
    <s v="SNCF"/>
    <s v="Q1"/>
    <e v="#REF!"/>
    <e v="#REF!"/>
    <e v="#REF!"/>
  </r>
  <r>
    <s v="181000"/>
    <x v="6"/>
    <s v="COMPTE DE LIAISON DES ETABLISSEMENTS"/>
    <s v="OD"/>
    <n v="57"/>
    <d v="2025-02-11T00:00:00"/>
    <s v="Liaison inter-établissement"/>
    <m/>
    <e v="#N/A"/>
    <e v="#N/A"/>
    <n v="73865"/>
    <m/>
    <s v="Jérémie Blache"/>
    <s v="Q1"/>
    <e v="#REF!"/>
    <e v="#REF!"/>
    <e v="#REF!"/>
  </r>
  <r>
    <s v="181000"/>
    <x v="6"/>
    <s v="COMPTE DE LIAISON DES ETABLISSEMENTS"/>
    <s v="OD"/>
    <n v="57"/>
    <d v="2025-08-27T00:00:00"/>
    <s v="Liaison inter-établissement"/>
    <m/>
    <e v="#N/A"/>
    <e v="#N/A"/>
    <n v="83284"/>
    <m/>
    <s v="SNCF"/>
    <s v="Q3"/>
    <e v="#REF!"/>
    <e v="#REF!"/>
    <e v="#REF!"/>
  </r>
  <r>
    <s v="181000"/>
    <x v="6"/>
    <s v="COMPTE DE LIAISON DES ETABLISSEMENTS"/>
    <s v="OD"/>
    <n v="57.1"/>
    <d v="2025-12-23T00:00:00"/>
    <s v="Liaison inter-établissement"/>
    <m/>
    <e v="#N/A"/>
    <e v="#N/A"/>
    <n v="93578"/>
    <m/>
    <s v="Pierre Thomas"/>
    <s v="Q4"/>
    <e v="#REF!"/>
    <e v="#REF!"/>
    <e v="#REF!"/>
  </r>
  <r>
    <s v="181000"/>
    <x v="6"/>
    <s v="COMPTE DE LIAISON DES ETABLISSEMENTS"/>
    <s v="OD"/>
    <n v="57.55"/>
    <d v="2025-05-07T00:00:00"/>
    <s v="Liaison établissement 401000 VWR TO"/>
    <m/>
    <e v="#N/A"/>
    <e v="#N/A"/>
    <n v="71852"/>
    <s v="ACIDE SULFURIQUE 95 % TECHNICAL FLACON VERRE 1L"/>
    <s v="VWR AVANTOR"/>
    <s v="Q2"/>
    <e v="#REF!"/>
    <e v="#REF!"/>
    <e v="#REF!"/>
  </r>
  <r>
    <s v="181000"/>
    <x v="6"/>
    <s v="COMPTE DE LIAISON DES ETABLISSEMENTS"/>
    <s v="OD"/>
    <n v="58"/>
    <d v="2025-02-04T00:00:00"/>
    <s v="Liaison inter-établissement"/>
    <m/>
    <e v="#N/A"/>
    <e v="#N/A"/>
    <n v="64355"/>
    <m/>
    <s v="SNCF"/>
    <s v="Q1"/>
    <e v="#REF!"/>
    <e v="#REF!"/>
    <e v="#REF!"/>
  </r>
  <r>
    <s v="181000"/>
    <x v="6"/>
    <s v="COMPTE DE LIAISON DES ETABLISSEMENTS"/>
    <s v="OD"/>
    <n v="58"/>
    <d v="2025-02-04T00:00:00"/>
    <s v="Liaison inter-établissement"/>
    <m/>
    <e v="#N/A"/>
    <e v="#N/A"/>
    <n v="64359"/>
    <m/>
    <s v="SNCF"/>
    <s v="Q1"/>
    <e v="#REF!"/>
    <e v="#REF!"/>
    <e v="#REF!"/>
  </r>
  <r>
    <s v="181000"/>
    <x v="6"/>
    <s v="COMPTE DE LIAISON DES ETABLISSEMENTS"/>
    <s v="OD"/>
    <n v="58"/>
    <d v="2025-06-04T00:00:00"/>
    <s v="Liaison inter-établissement"/>
    <m/>
    <e v="#N/A"/>
    <e v="#N/A"/>
    <n v="78144"/>
    <m/>
    <s v="SNCF"/>
    <s v="Q2"/>
    <e v="#REF!"/>
    <e v="#REF!"/>
    <e v="#REF!"/>
  </r>
  <r>
    <s v="181000"/>
    <x v="6"/>
    <s v="COMPTE DE LIAISON DES ETABLISSEMENTS"/>
    <s v="OD"/>
    <n v="58"/>
    <d v="2025-09-10T00:00:00"/>
    <s v="Liaison inter-établissement"/>
    <m/>
    <e v="#N/A"/>
    <e v="#N/A"/>
    <n v="83160"/>
    <m/>
    <s v="SNCF"/>
    <s v="Q3"/>
    <e v="#REF!"/>
    <e v="#REF!"/>
    <e v="#REF!"/>
  </r>
  <r>
    <s v="181000"/>
    <x v="6"/>
    <s v="COMPTE DE LIAISON DES ETABLISSEMENTS"/>
    <s v="OD"/>
    <n v="58"/>
    <d v="2025-11-18T00:00:00"/>
    <s v="Liaison inter-établissement"/>
    <m/>
    <e v="#N/A"/>
    <e v="#N/A"/>
    <n v="91725"/>
    <m/>
    <s v="SNCF"/>
    <s v="Q4"/>
    <e v="#REF!"/>
    <e v="#REF!"/>
    <e v="#REF!"/>
  </r>
  <r>
    <s v="181000"/>
    <x v="6"/>
    <s v="COMPTE DE LIAISON DES ETABLISSEMENTS"/>
    <s v="OD"/>
    <n v="58"/>
    <d v="2025-11-18T00:00:00"/>
    <s v="Liaison inter-établissement"/>
    <m/>
    <e v="#N/A"/>
    <e v="#N/A"/>
    <n v="91729"/>
    <m/>
    <s v="SNCF"/>
    <s v="Q4"/>
    <e v="#REF!"/>
    <e v="#REF!"/>
    <e v="#REF!"/>
  </r>
  <r>
    <s v="181000"/>
    <x v="6"/>
    <s v="COMPTE DE LIAISON DES ETABLISSEMENTS"/>
    <s v="OD"/>
    <n v="58"/>
    <d v="2025-12-04T00:00:00"/>
    <s v="Liaison inter-établissement"/>
    <m/>
    <e v="#N/A"/>
    <e v="#N/A"/>
    <n v="94124"/>
    <m/>
    <s v="SNCF"/>
    <s v="Q4"/>
    <e v="#REF!"/>
    <e v="#REF!"/>
    <e v="#REF!"/>
  </r>
  <r>
    <s v="181000"/>
    <x v="6"/>
    <s v="COMPTE DE LIAISON DES ETABLISSEMENTS"/>
    <s v="OD"/>
    <n v="58.04"/>
    <d v="2025-06-12T00:00:00"/>
    <s v="Liaison inter-établissement"/>
    <m/>
    <e v="#N/A"/>
    <e v="#N/A"/>
    <n v="78247"/>
    <m/>
    <s v="COURSIER"/>
    <s v="Q2"/>
    <e v="#REF!"/>
    <e v="#REF!"/>
    <e v="#REF!"/>
  </r>
  <r>
    <s v="181000"/>
    <x v="6"/>
    <s v="COMPTE DE LIAISON DES ETABLISSEMENTS"/>
    <s v="OD"/>
    <n v="58.72"/>
    <d v="2025-07-31T00:00:00"/>
    <s v="Liaison inter-établissement"/>
    <m/>
    <e v="#N/A"/>
    <e v="#N/A"/>
    <n v="81292"/>
    <m/>
    <s v="DHL"/>
    <s v="Q3"/>
    <e v="#REF!"/>
    <e v="#REF!"/>
    <e v="#REF!"/>
  </r>
  <r>
    <s v="181000"/>
    <x v="6"/>
    <s v="COMPTE DE LIAISON DES ETABLISSEMENTS"/>
    <s v="OD"/>
    <n v="59.38"/>
    <d v="2025-05-13T00:00:00"/>
    <s v="Liaison inter-établissement"/>
    <m/>
    <e v="#N/A"/>
    <e v="#N/A"/>
    <n v="74497"/>
    <m/>
    <s v="Jérémie Blache"/>
    <s v="Q2"/>
    <e v="#REF!"/>
    <e v="#REF!"/>
    <e v="#REF!"/>
  </r>
  <r>
    <s v="181000"/>
    <x v="6"/>
    <s v="COMPTE DE LIAISON DES ETABLISSEMENTS"/>
    <s v="OD"/>
    <n v="59.54"/>
    <d v="2025-08-28T00:00:00"/>
    <s v="Liaison inter-établissement"/>
    <m/>
    <e v="#N/A"/>
    <e v="#N/A"/>
    <n v="83356"/>
    <m/>
    <s v="RS COMPONENT"/>
    <s v="Q3"/>
    <e v="#REF!"/>
    <e v="#REF!"/>
    <e v="#REF!"/>
  </r>
  <r>
    <s v="181000"/>
    <x v="6"/>
    <s v="COMPTE DE LIAISON DES ETABLISSEMENTS"/>
    <s v="OD"/>
    <n v="59.73"/>
    <d v="2025-05-16T00:00:00"/>
    <s v="Liaison inter-établissement"/>
    <m/>
    <e v="#N/A"/>
    <e v="#N/A"/>
    <n v="74501"/>
    <m/>
    <s v="Jérémie Blache"/>
    <s v="Q2"/>
    <e v="#REF!"/>
    <e v="#REF!"/>
    <e v="#REF!"/>
  </r>
  <r>
    <s v="181000"/>
    <x v="6"/>
    <s v="COMPTE DE LIAISON DES ETABLISSEMENTS"/>
    <s v="OD"/>
    <n v="60"/>
    <d v="2025-10-06T00:00:00"/>
    <s v="Liaison établissement 401000 TCI TO"/>
    <m/>
    <e v="#N/A"/>
    <e v="#N/A"/>
    <n v="82906"/>
    <s v="PRODUIT KEENB"/>
    <s v="TCI"/>
    <s v="Q4"/>
    <e v="#REF!"/>
    <e v="#REF!"/>
    <e v="#REF!"/>
  </r>
  <r>
    <s v="181000"/>
    <x v="6"/>
    <s v="COMPTE DE LIAISON DES ETABLISSEMENTS"/>
    <s v="OD"/>
    <n v="60"/>
    <d v="2025-10-19T00:00:00"/>
    <s v="Liaison inter-établissement"/>
    <m/>
    <e v="#N/A"/>
    <e v="#N/A"/>
    <n v="89731"/>
    <m/>
    <s v="COOKIEBOT"/>
    <s v="Q4"/>
    <e v="#REF!"/>
    <e v="#REF!"/>
    <e v="#REF!"/>
  </r>
  <r>
    <s v="181000"/>
    <x v="6"/>
    <s v="COMPTE DE LIAISON DES ETABLISSEMENTS"/>
    <s v="OD"/>
    <n v="60.18"/>
    <d v="2025-01-27T00:00:00"/>
    <s v="Liaison inter-établissement"/>
    <m/>
    <e v="#N/A"/>
    <e v="#N/A"/>
    <n v="74243"/>
    <m/>
    <s v="Anne-Sophie Goutierre"/>
    <s v="Q1"/>
    <e v="#REF!"/>
    <e v="#REF!"/>
    <e v="#REF!"/>
  </r>
  <r>
    <s v="181000"/>
    <x v="6"/>
    <s v="COMPTE DE LIAISON DES ETABLISSEMENTS"/>
    <s v="OD"/>
    <n v="61.12"/>
    <d v="2025-02-22T00:00:00"/>
    <s v="Liaison inter-établissement"/>
    <m/>
    <e v="#N/A"/>
    <e v="#N/A"/>
    <n v="71668"/>
    <m/>
    <s v="ORANGE"/>
    <s v="Q1"/>
    <e v="#REF!"/>
    <e v="#REF!"/>
    <e v="#REF!"/>
  </r>
  <r>
    <s v="181000"/>
    <x v="6"/>
    <s v="COMPTE DE LIAISON DES ETABLISSEMENTS"/>
    <s v="OD"/>
    <n v="62.17"/>
    <d v="2025-03-19T00:00:00"/>
    <s v="Liaison inter-établissement"/>
    <m/>
    <e v="#N/A"/>
    <e v="#N/A"/>
    <n v="63867"/>
    <m/>
    <s v="Sigma-Aldrich chimie"/>
    <s v="Q1"/>
    <e v="#REF!"/>
    <e v="#REF!"/>
    <e v="#REF!"/>
  </r>
  <r>
    <s v="181000"/>
    <x v="6"/>
    <s v="COMPTE DE LIAISON DES ETABLISSEMENTS"/>
    <s v="OD"/>
    <n v="62.22"/>
    <d v="2025-03-14T00:00:00"/>
    <s v="Liaison inter-établissement"/>
    <m/>
    <e v="#N/A"/>
    <e v="#N/A"/>
    <n v="74923"/>
    <m/>
    <s v="DHL"/>
    <s v="Q1"/>
    <e v="#REF!"/>
    <e v="#REF!"/>
    <e v="#REF!"/>
  </r>
  <r>
    <s v="181000"/>
    <x v="6"/>
    <s v="COMPTE DE LIAISON DES ETABLISSEMENTS"/>
    <s v="OD"/>
    <n v="62.32"/>
    <d v="2025-06-30T00:00:00"/>
    <s v="Liaison inter-établissement vers TO "/>
    <m/>
    <e v="#N/A"/>
    <e v="#N/A"/>
    <n v="78523"/>
    <m/>
    <m/>
    <s v="Q2"/>
    <e v="#REF!"/>
    <e v="#REF!"/>
    <e v="#REF!"/>
  </r>
  <r>
    <s v="181000"/>
    <x v="6"/>
    <s v="COMPTE DE LIAISON DES ETABLISSEMENTS"/>
    <s v="OD"/>
    <n v="62.5"/>
    <d v="2025-01-03T00:00:00"/>
    <s v="Liaison inter-établissement"/>
    <m/>
    <e v="#N/A"/>
    <e v="#N/A"/>
    <n v="63883"/>
    <m/>
    <s v="SNCF"/>
    <s v="Q1"/>
    <e v="#REF!"/>
    <e v="#REF!"/>
    <e v="#REF!"/>
  </r>
  <r>
    <s v="181000"/>
    <x v="6"/>
    <s v="COMPTE DE LIAISON DES ETABLISSEMENTS"/>
    <s v="OD"/>
    <n v="63"/>
    <d v="2025-12-09T00:00:00"/>
    <s v="Liaison inter-établissement"/>
    <m/>
    <e v="#N/A"/>
    <e v="#N/A"/>
    <n v="94112"/>
    <m/>
    <s v="SNCF"/>
    <s v="Q4"/>
    <e v="#REF!"/>
    <e v="#REF!"/>
    <e v="#REF!"/>
  </r>
  <r>
    <s v="181000"/>
    <x v="6"/>
    <s v="COMPTE DE LIAISON DES ETABLISSEMENTS"/>
    <s v="OD"/>
    <n v="63.34"/>
    <d v="2025-04-11T00:00:00"/>
    <s v="Liaison inter-établissement"/>
    <m/>
    <e v="#N/A"/>
    <e v="#N/A"/>
    <n v="74931"/>
    <m/>
    <s v="DHL"/>
    <s v="Q2"/>
    <e v="#REF!"/>
    <e v="#REF!"/>
    <e v="#REF!"/>
  </r>
  <r>
    <s v="181000"/>
    <x v="6"/>
    <s v="COMPTE DE LIAISON DES ETABLISSEMENTS"/>
    <s v="OD"/>
    <n v="63.64"/>
    <d v="2025-04-05T00:00:00"/>
    <s v="Liaison inter-établissement"/>
    <m/>
    <e v="#N/A"/>
    <e v="#N/A"/>
    <n v="74807"/>
    <m/>
    <s v="GROUPE LDLC"/>
    <s v="Q2"/>
    <e v="#REF!"/>
    <e v="#REF!"/>
    <e v="#REF!"/>
  </r>
  <r>
    <s v="181000"/>
    <x v="6"/>
    <s v="COMPTE DE LIAISON DES ETABLISSEMENTS"/>
    <s v="OD"/>
    <n v="64.09"/>
    <d v="2025-04-02T00:00:00"/>
    <s v="Liaison établissement 401000 VWR TO"/>
    <m/>
    <e v="#N/A"/>
    <e v="#N/A"/>
    <n v="66503"/>
    <s v="Invoice Payment by Pili"/>
    <s v="VWR AVANTOR"/>
    <s v="Q2"/>
    <e v="#REF!"/>
    <e v="#REF!"/>
    <e v="#REF!"/>
  </r>
  <r>
    <s v="181000"/>
    <x v="6"/>
    <s v="COMPTE DE LIAISON DES ETABLISSEMENTS"/>
    <s v="OD"/>
    <n v="65.2"/>
    <d v="2025-10-31T00:00:00"/>
    <s v="Liaison établissement 401000 VWR TO"/>
    <m/>
    <e v="#N/A"/>
    <e v="#N/A"/>
    <n v="87581"/>
    <s v="CONSOMMABLE LABO"/>
    <s v="VWR AVANTOR"/>
    <s v="Q4"/>
    <e v="#REF!"/>
    <e v="#REF!"/>
    <e v="#REF!"/>
  </r>
  <r>
    <s v="181000"/>
    <x v="6"/>
    <s v="COMPTE DE LIAISON DES ETABLISSEMENTS"/>
    <s v="OD"/>
    <n v="65.2"/>
    <d v="2025-10-31T00:00:00"/>
    <s v="Liaison établissement 401000 VWR TO"/>
    <m/>
    <e v="#N/A"/>
    <e v="#N/A"/>
    <n v="87586"/>
    <s v="CONSOMMABLE LABO"/>
    <s v="VWR AVANTOR"/>
    <s v="Q4"/>
    <e v="#REF!"/>
    <e v="#REF!"/>
    <e v="#REF!"/>
  </r>
  <r>
    <s v="181000"/>
    <x v="6"/>
    <s v="COMPTE DE LIAISON DES ETABLISSEMENTS"/>
    <s v="OD"/>
    <n v="65.88"/>
    <d v="2025-01-27T00:00:00"/>
    <s v="Liaison inter-établissement"/>
    <m/>
    <e v="#N/A"/>
    <e v="#N/A"/>
    <n v="73893"/>
    <m/>
    <s v="Julie Lacondemine"/>
    <s v="Q1"/>
    <e v="#REF!"/>
    <e v="#REF!"/>
    <e v="#REF!"/>
  </r>
  <r>
    <s v="181000"/>
    <x v="6"/>
    <s v="COMPTE DE LIAISON DES ETABLISSEMENTS"/>
    <s v="OD"/>
    <n v="66.38"/>
    <d v="2025-01-24T00:00:00"/>
    <s v="Liaison inter-établissement"/>
    <m/>
    <e v="#N/A"/>
    <e v="#N/A"/>
    <n v="74915"/>
    <m/>
    <s v="DHL"/>
    <s v="Q1"/>
    <e v="#REF!"/>
    <e v="#REF!"/>
    <e v="#REF!"/>
  </r>
  <r>
    <s v="181000"/>
    <x v="6"/>
    <s v="COMPTE DE LIAISON DES ETABLISSEMENTS"/>
    <s v="OD"/>
    <n v="66.38"/>
    <d v="2025-12-08T00:00:00"/>
    <s v="Liaison inter-établissement"/>
    <m/>
    <e v="#N/A"/>
    <e v="#N/A"/>
    <n v="91918"/>
    <m/>
    <s v="ENGIE"/>
    <s v="Q4"/>
    <e v="#REF!"/>
    <e v="#REF!"/>
    <e v="#REF!"/>
  </r>
  <r>
    <s v="181000"/>
    <x v="6"/>
    <s v="COMPTE DE LIAISON DES ETABLISSEMENTS"/>
    <s v="OD"/>
    <n v="66.959999999999994"/>
    <d v="2025-03-28T00:00:00"/>
    <s v="Liaison inter-établissement"/>
    <m/>
    <e v="#N/A"/>
    <e v="#N/A"/>
    <n v="69959"/>
    <m/>
    <s v="BRUNEAU"/>
    <s v="Q1"/>
    <e v="#REF!"/>
    <e v="#REF!"/>
    <e v="#REF!"/>
  </r>
  <r>
    <s v="181000"/>
    <x v="6"/>
    <s v="COMPTE DE LIAISON DES ETABLISSEMENTS"/>
    <s v="OD"/>
    <n v="66.959999999999994"/>
    <d v="2025-04-08T00:00:00"/>
    <s v="Liaison inter-établissement"/>
    <m/>
    <e v="#N/A"/>
    <e v="#N/A"/>
    <n v="69963"/>
    <m/>
    <s v="BRUNEAU"/>
    <s v="Q2"/>
    <e v="#REF!"/>
    <e v="#REF!"/>
    <e v="#REF!"/>
  </r>
  <r>
    <s v="181000"/>
    <x v="6"/>
    <s v="COMPTE DE LIAISON DES ETABLISSEMENTS"/>
    <s v="OD"/>
    <n v="67"/>
    <d v="2025-11-28T00:00:00"/>
    <s v="Liaison inter-établissement"/>
    <m/>
    <e v="#N/A"/>
    <e v="#N/A"/>
    <n v="91298"/>
    <m/>
    <s v="AIR LIQUIDE"/>
    <s v="Q4"/>
    <e v="#REF!"/>
    <e v="#REF!"/>
    <e v="#REF!"/>
  </r>
  <r>
    <s v="181000"/>
    <x v="6"/>
    <s v="COMPTE DE LIAISON DES ETABLISSEMENTS"/>
    <s v="OD"/>
    <n v="67.08"/>
    <d v="2025-05-07T00:00:00"/>
    <s v="Liaison établissement 401000 VWR TO"/>
    <m/>
    <e v="#N/A"/>
    <e v="#N/A"/>
    <n v="71832"/>
    <s v="COMMANDE PRODUIT KEENB"/>
    <s v="VWR AVANTOR"/>
    <s v="Q2"/>
    <e v="#REF!"/>
    <e v="#REF!"/>
    <e v="#REF!"/>
  </r>
  <r>
    <s v="181000"/>
    <x v="6"/>
    <s v="COMPTE DE LIAISON DES ETABLISSEMENTS"/>
    <s v="OD"/>
    <n v="68.23"/>
    <d v="2025-06-14T00:00:00"/>
    <s v="Liaison inter-établissement"/>
    <m/>
    <e v="#N/A"/>
    <e v="#N/A"/>
    <n v="78235"/>
    <m/>
    <s v="LA FOURCHE"/>
    <s v="Q2"/>
    <e v="#REF!"/>
    <e v="#REF!"/>
    <e v="#REF!"/>
  </r>
  <r>
    <s v="181000"/>
    <x v="6"/>
    <s v="COMPTE DE LIAISON DES ETABLISSEMENTS"/>
    <s v="OD"/>
    <n v="68.39"/>
    <d v="2025-04-18T00:00:00"/>
    <s v="Liaison établissement 401000 CHATEAU TO"/>
    <m/>
    <e v="#N/A"/>
    <e v="#N/A"/>
    <n v="68154"/>
    <s v="Invoice Payment by Pili"/>
    <s v="CHATEAUDEAU"/>
    <s v="Q2"/>
    <e v="#REF!"/>
    <e v="#REF!"/>
    <e v="#REF!"/>
  </r>
  <r>
    <s v="181000"/>
    <x v="6"/>
    <s v="COMPTE DE LIAISON DES ETABLISSEMENTS"/>
    <s v="OD"/>
    <n v="68.39"/>
    <d v="2025-06-02T00:00:00"/>
    <s v="Liaison établissement 401000 CHATEAU TO"/>
    <m/>
    <e v="#N/A"/>
    <e v="#N/A"/>
    <n v="75244"/>
    <s v="Invoice Payment By Pili"/>
    <s v="CHATEAUDEAU"/>
    <s v="Q2"/>
    <e v="#REF!"/>
    <e v="#REF!"/>
    <e v="#REF!"/>
  </r>
  <r>
    <s v="181000"/>
    <x v="6"/>
    <s v="COMPTE DE LIAISON DES ETABLISSEMENTS"/>
    <s v="OD"/>
    <n v="68.39"/>
    <d v="2025-07-22T00:00:00"/>
    <s v="Liaison établissement 401000 CHATEAU TO"/>
    <m/>
    <e v="#N/A"/>
    <e v="#N/A"/>
    <n v="78307"/>
    <s v="LIVRAISON EAU ROUSSILLON"/>
    <s v="CHATEAUDEAU"/>
    <s v="Q3"/>
    <e v="#REF!"/>
    <e v="#REF!"/>
    <e v="#REF!"/>
  </r>
  <r>
    <s v="181000"/>
    <x v="6"/>
    <s v="COMPTE DE LIAISON DES ETABLISSEMENTS"/>
    <s v="OD"/>
    <n v="68.7"/>
    <d v="2025-04-02T00:00:00"/>
    <s v="Liaison inter-établissement"/>
    <m/>
    <e v="#N/A"/>
    <e v="#N/A"/>
    <n v="76726"/>
    <m/>
    <s v="Loic masseboeuf"/>
    <s v="Q2"/>
    <e v="#REF!"/>
    <e v="#REF!"/>
    <e v="#REF!"/>
  </r>
  <r>
    <s v="181000"/>
    <x v="6"/>
    <s v="COMPTE DE LIAISON DES ETABLISSEMENTS"/>
    <s v="OD"/>
    <n v="69.16"/>
    <d v="2025-05-08T00:00:00"/>
    <s v="Liaison inter-établissement"/>
    <m/>
    <e v="#N/A"/>
    <e v="#N/A"/>
    <n v="78824"/>
    <m/>
    <s v="ENGIE"/>
    <s v="Q2"/>
    <e v="#REF!"/>
    <e v="#REF!"/>
    <e v="#REF!"/>
  </r>
  <r>
    <s v="181000"/>
    <x v="6"/>
    <s v="COMPTE DE LIAISON DES ETABLISSEMENTS"/>
    <s v="OD"/>
    <n v="69.900000000000006"/>
    <d v="2025-05-15T00:00:00"/>
    <s v="Liaison inter-établissement"/>
    <m/>
    <e v="#N/A"/>
    <e v="#N/A"/>
    <n v="81007"/>
    <m/>
    <s v="LEROY MERLIN"/>
    <s v="Q2"/>
    <e v="#REF!"/>
    <e v="#REF!"/>
    <e v="#REF!"/>
  </r>
  <r>
    <s v="181000"/>
    <x v="6"/>
    <s v="COMPTE DE LIAISON DES ETABLISSEMENTS"/>
    <s v="OD"/>
    <n v="70"/>
    <d v="2025-10-01T00:00:00"/>
    <s v="Liaison inter-établissement"/>
    <m/>
    <e v="#N/A"/>
    <e v="#N/A"/>
    <n v="89715"/>
    <m/>
    <s v="AIRLINES"/>
    <s v="Q4"/>
    <e v="#REF!"/>
    <e v="#REF!"/>
    <e v="#REF!"/>
  </r>
  <r>
    <s v="181000"/>
    <x v="6"/>
    <s v="COMPTE DE LIAISON DES ETABLISSEMENTS"/>
    <s v="OD"/>
    <n v="71"/>
    <d v="2025-01-02T00:00:00"/>
    <s v="Liaison inter-établissement"/>
    <m/>
    <e v="#N/A"/>
    <e v="#N/A"/>
    <n v="71433"/>
    <m/>
    <s v="SNCF"/>
    <s v="Q1"/>
    <e v="#REF!"/>
    <e v="#REF!"/>
    <e v="#REF!"/>
  </r>
  <r>
    <s v="181000"/>
    <x v="6"/>
    <s v="COMPTE DE LIAISON DES ETABLISSEMENTS"/>
    <s v="OD"/>
    <n v="71"/>
    <d v="2025-01-02T00:00:00"/>
    <s v="Liaison inter-établissement"/>
    <m/>
    <e v="#N/A"/>
    <e v="#N/A"/>
    <n v="71437"/>
    <m/>
    <s v="SNCF"/>
    <s v="Q1"/>
    <e v="#REF!"/>
    <e v="#REF!"/>
    <e v="#REF!"/>
  </r>
  <r>
    <s v="181000"/>
    <x v="6"/>
    <s v="COMPTE DE LIAISON DES ETABLISSEMENTS"/>
    <s v="OD"/>
    <n v="71.36"/>
    <d v="2025-07-31T00:00:00"/>
    <s v="Liaison établissement 401000 VWR TO"/>
    <m/>
    <e v="#N/A"/>
    <e v="#N/A"/>
    <n v="79307"/>
    <s v="COMMANDE PRODUIT KEENY"/>
    <s v="VWR AVANTOR"/>
    <s v="Q3"/>
    <e v="#REF!"/>
    <e v="#REF!"/>
    <e v="#REF!"/>
  </r>
  <r>
    <s v="181000"/>
    <x v="6"/>
    <s v="COMPTE DE LIAISON DES ETABLISSEMENTS"/>
    <s v="OD"/>
    <n v="71.86"/>
    <d v="2025-06-11T00:00:00"/>
    <s v="Liaison inter-établissement"/>
    <m/>
    <e v="#N/A"/>
    <e v="#N/A"/>
    <n v="78243"/>
    <m/>
    <s v="GANDI"/>
    <s v="Q2"/>
    <e v="#REF!"/>
    <e v="#REF!"/>
    <e v="#REF!"/>
  </r>
  <r>
    <s v="181000"/>
    <x v="6"/>
    <s v="COMPTE DE LIAISON DES ETABLISSEMENTS"/>
    <s v="OD"/>
    <n v="71.88"/>
    <d v="2025-09-12T00:00:00"/>
    <s v="Liaison établissement 401000 BRUNEAU TO"/>
    <m/>
    <e v="#N/A"/>
    <e v="#N/A"/>
    <n v="82078"/>
    <s v="AFFICHE"/>
    <s v="BRUNEAU"/>
    <s v="Q3"/>
    <e v="#REF!"/>
    <e v="#REF!"/>
    <e v="#REF!"/>
  </r>
  <r>
    <s v="181000"/>
    <x v="6"/>
    <s v="COMPTE DE LIAISON DES ETABLISSEMENTS"/>
    <s v="OD"/>
    <n v="71.900000000000006"/>
    <d v="2025-09-12T00:00:00"/>
    <s v="Liaison établissement 401000 VWR TO"/>
    <m/>
    <e v="#N/A"/>
    <e v="#N/A"/>
    <n v="82047"/>
    <s v="PRODUIT KEENB"/>
    <s v="VWR AVANTOR"/>
    <s v="Q3"/>
    <e v="#REF!"/>
    <e v="#REF!"/>
    <e v="#REF!"/>
  </r>
  <r>
    <s v="181000"/>
    <x v="6"/>
    <s v="COMPTE DE LIAISON DES ETABLISSEMENTS"/>
    <s v="OD"/>
    <n v="72"/>
    <d v="2025-05-14T00:00:00"/>
    <s v="Liaison établissement 401000 ECHAFAUDAGE TO"/>
    <m/>
    <e v="#N/A"/>
    <e v="#N/A"/>
    <n v="72323"/>
    <s v="Invoice Payment by Pili"/>
    <s v="ECHAFAUDAGE"/>
    <s v="Q2"/>
    <e v="#REF!"/>
    <e v="#REF!"/>
    <e v="#REF!"/>
  </r>
  <r>
    <s v="181000"/>
    <x v="6"/>
    <s v="COMPTE DE LIAISON DES ETABLISSEMENTS"/>
    <s v="OD"/>
    <n v="72.67"/>
    <d v="2025-07-22T00:00:00"/>
    <s v="Liaison établissement 401000 ROTH TO"/>
    <m/>
    <e v="#N/A"/>
    <e v="#N/A"/>
    <n v="78297"/>
    <s v="MATIÈRES PREMIÈRES KEENY ROUSSILLON"/>
    <s v="ROTH SOCHIEL"/>
    <s v="Q3"/>
    <e v="#REF!"/>
    <e v="#REF!"/>
    <e v="#REF!"/>
  </r>
  <r>
    <s v="181000"/>
    <x v="6"/>
    <s v="COMPTE DE LIAISON DES ETABLISSEMENTS"/>
    <s v="OD"/>
    <n v="73"/>
    <d v="2025-01-10T00:00:00"/>
    <s v="Liaison inter-établissement"/>
    <m/>
    <e v="#N/A"/>
    <e v="#N/A"/>
    <n v="71441"/>
    <m/>
    <s v="SNCF"/>
    <s v="Q1"/>
    <e v="#REF!"/>
    <e v="#REF!"/>
    <e v="#REF!"/>
  </r>
  <r>
    <s v="181000"/>
    <x v="6"/>
    <s v="COMPTE DE LIAISON DES ETABLISSEMENTS"/>
    <s v="OD"/>
    <n v="73"/>
    <d v="2025-01-10T00:00:00"/>
    <s v="Liaison inter-établissement"/>
    <m/>
    <e v="#N/A"/>
    <e v="#N/A"/>
    <n v="71445"/>
    <m/>
    <s v="SNCF"/>
    <s v="Q1"/>
    <e v="#REF!"/>
    <e v="#REF!"/>
    <e v="#REF!"/>
  </r>
  <r>
    <s v="181000"/>
    <x v="6"/>
    <s v="COMPTE DE LIAISON DES ETABLISSEMENTS"/>
    <s v="OD"/>
    <n v="73.05"/>
    <d v="2025-05-14T00:00:00"/>
    <s v="Liaison établissement 401000 BIOTIKA TO"/>
    <s v="Non"/>
    <e v="#N/A"/>
    <e v="#N/A"/>
    <n v="72309"/>
    <m/>
    <s v="BIOTIKA"/>
    <s v="Q2"/>
    <e v="#REF!"/>
    <e v="#REF!"/>
    <e v="#REF!"/>
  </r>
  <r>
    <s v="181000"/>
    <x v="6"/>
    <s v="COMPTE DE LIAISON DES ETABLISSEMENTS"/>
    <s v="OD"/>
    <n v="73.69"/>
    <d v="2025-11-13T00:00:00"/>
    <s v="Liaison établissement 401000 VWR TO"/>
    <m/>
    <e v="#N/A"/>
    <e v="#N/A"/>
    <n v="89939"/>
    <s v="CONSOMMABLE LABO"/>
    <s v="VWR AVANTOR"/>
    <s v="Q4"/>
    <e v="#REF!"/>
    <e v="#REF!"/>
    <e v="#REF!"/>
  </r>
  <r>
    <s v="181000"/>
    <x v="6"/>
    <s v="COMPTE DE LIAISON DES ETABLISSEMENTS"/>
    <s v="OD"/>
    <n v="74.78"/>
    <d v="2025-07-22T00:00:00"/>
    <s v="Liaison établissement 401000 ROTH TO"/>
    <m/>
    <e v="#N/A"/>
    <e v="#N/A"/>
    <n v="78302"/>
    <s v="PRODUITS CHIMIQUES KL"/>
    <s v="ROTH SOCHIEL"/>
    <s v="Q3"/>
    <e v="#REF!"/>
    <e v="#REF!"/>
    <e v="#REF!"/>
  </r>
  <r>
    <s v="181000"/>
    <x v="6"/>
    <s v="COMPTE DE LIAISON DES ETABLISSEMENTS"/>
    <s v="OD"/>
    <n v="75.239999999999995"/>
    <d v="2025-03-20T00:00:00"/>
    <s v="Liaison inter-établissement"/>
    <m/>
    <e v="#N/A"/>
    <e v="#N/A"/>
    <n v="63859"/>
    <m/>
    <s v="Sigma-Aldrich chimie"/>
    <s v="Q1"/>
    <e v="#REF!"/>
    <e v="#REF!"/>
    <e v="#REF!"/>
  </r>
  <r>
    <s v="181000"/>
    <x v="6"/>
    <s v="COMPTE DE LIAISON DES ETABLISSEMENTS"/>
    <s v="OD"/>
    <n v="75.599999999999994"/>
    <d v="2025-11-28T00:00:00"/>
    <s v="Liaison établissement 401000 CHAUM TO"/>
    <m/>
    <e v="#N/A"/>
    <e v="#N/A"/>
    <n v="91258"/>
    <s v="FL260494"/>
    <s v="GROUPE CHAUMEIL"/>
    <s v="Q4"/>
    <e v="#REF!"/>
    <e v="#REF!"/>
    <e v="#REF!"/>
  </r>
  <r>
    <s v="181000"/>
    <x v="6"/>
    <s v="COMPTE DE LIAISON DES ETABLISSEMENTS"/>
    <s v="OD"/>
    <n v="75.849999999999994"/>
    <d v="2025-04-25T00:00:00"/>
    <s v="Liaison établissement 401000 VWR TO"/>
    <m/>
    <e v="#N/A"/>
    <e v="#N/A"/>
    <n v="70210"/>
    <s v="Invoice Payment by Pili"/>
    <s v="VWR AVANTOR"/>
    <s v="Q2"/>
    <e v="#REF!"/>
    <e v="#REF!"/>
    <e v="#REF!"/>
  </r>
  <r>
    <s v="181000"/>
    <x v="6"/>
    <s v="COMPTE DE LIAISON DES ETABLISSEMENTS"/>
    <s v="OD"/>
    <n v="76.63"/>
    <d v="2025-11-28T00:00:00"/>
    <s v="Liaison inter-établissement"/>
    <m/>
    <e v="#N/A"/>
    <e v="#N/A"/>
    <n v="91294"/>
    <m/>
    <s v="DHL"/>
    <s v="Q4"/>
    <e v="#REF!"/>
    <e v="#REF!"/>
    <e v="#REF!"/>
  </r>
  <r>
    <s v="181000"/>
    <x v="6"/>
    <s v="COMPTE DE LIAISON DES ETABLISSEMENTS"/>
    <s v="OD"/>
    <n v="76.98"/>
    <d v="2025-04-02T00:00:00"/>
    <s v="Liaison établissement 401000 VWR TO"/>
    <m/>
    <e v="#N/A"/>
    <e v="#N/A"/>
    <n v="66488"/>
    <s v="Invoice Payment by Pili"/>
    <s v="VWR AVANTOR"/>
    <s v="Q2"/>
    <e v="#REF!"/>
    <e v="#REF!"/>
    <e v="#REF!"/>
  </r>
  <r>
    <s v="181000"/>
    <x v="6"/>
    <s v="COMPTE DE LIAISON DES ETABLISSEMENTS"/>
    <s v="OD"/>
    <n v="78"/>
    <d v="2025-01-14T00:00:00"/>
    <s v="Liaison inter-établissement"/>
    <m/>
    <e v="#N/A"/>
    <e v="#N/A"/>
    <n v="66767"/>
    <m/>
    <s v="SNCF"/>
    <s v="Q1"/>
    <e v="#REF!"/>
    <e v="#REF!"/>
    <e v="#REF!"/>
  </r>
  <r>
    <s v="181000"/>
    <x v="6"/>
    <s v="COMPTE DE LIAISON DES ETABLISSEMENTS"/>
    <s v="OD"/>
    <n v="78.260000000000005"/>
    <d v="2025-10-06T00:00:00"/>
    <s v="Liaison établissement 401000 CHATEAU TO"/>
    <m/>
    <e v="#N/A"/>
    <e v="#N/A"/>
    <n v="82901"/>
    <s v="LIVRAISON EAU ROUSSILLON"/>
    <s v="CHATEAUDEAU"/>
    <s v="Q4"/>
    <e v="#REF!"/>
    <e v="#REF!"/>
    <e v="#REF!"/>
  </r>
  <r>
    <s v="181000"/>
    <x v="6"/>
    <s v="COMPTE DE LIAISON DES ETABLISSEMENTS"/>
    <s v="OD"/>
    <n v="79"/>
    <d v="2025-03-17T00:00:00"/>
    <s v="Liaison inter-établissement"/>
    <m/>
    <e v="#N/A"/>
    <e v="#N/A"/>
    <n v="70024"/>
    <m/>
    <s v="SNCF"/>
    <s v="Q1"/>
    <e v="#REF!"/>
    <e v="#REF!"/>
    <e v="#REF!"/>
  </r>
  <r>
    <s v="181000"/>
    <x v="6"/>
    <s v="COMPTE DE LIAISON DES ETABLISSEMENTS"/>
    <s v="OD"/>
    <n v="79.2"/>
    <d v="2025-04-11T00:00:00"/>
    <s v="Liaison inter-établissement"/>
    <m/>
    <s v="Non"/>
    <e v="#N/A"/>
    <n v="72800"/>
    <m/>
    <s v="DIVERS"/>
    <s v="Q2"/>
    <e v="#REF!"/>
    <e v="#REF!"/>
    <e v="#REF!"/>
  </r>
  <r>
    <s v="181000"/>
    <x v="6"/>
    <s v="COMPTE DE LIAISON DES ETABLISSEMENTS"/>
    <s v="OD"/>
    <n v="79.989999999999995"/>
    <d v="2025-05-13T00:00:00"/>
    <s v="Liaison inter-établissement"/>
    <m/>
    <e v="#N/A"/>
    <e v="#N/A"/>
    <n v="75129"/>
    <m/>
    <s v="AIRBNB"/>
    <s v="Q2"/>
    <e v="#REF!"/>
    <e v="#REF!"/>
    <e v="#REF!"/>
  </r>
  <r>
    <s v="181000"/>
    <x v="6"/>
    <s v="COMPTE DE LIAISON DES ETABLISSEMENTS"/>
    <s v="OD"/>
    <n v="80"/>
    <d v="2025-11-18T00:00:00"/>
    <s v="Liaison inter-établissement"/>
    <m/>
    <e v="#N/A"/>
    <e v="#N/A"/>
    <n v="91737"/>
    <m/>
    <s v="SNCF"/>
    <s v="Q4"/>
    <e v="#REF!"/>
    <e v="#REF!"/>
    <e v="#REF!"/>
  </r>
  <r>
    <s v="181000"/>
    <x v="6"/>
    <s v="COMPTE DE LIAISON DES ETABLISSEMENTS"/>
    <s v="OD"/>
    <n v="80.2"/>
    <d v="2025-04-24T00:00:00"/>
    <s v="Liaison inter-établissement"/>
    <m/>
    <e v="#N/A"/>
    <e v="#N/A"/>
    <n v="74831"/>
    <m/>
    <s v="MANUTAN"/>
    <s v="Q2"/>
    <e v="#REF!"/>
    <e v="#REF!"/>
    <e v="#REF!"/>
  </r>
  <r>
    <s v="181000"/>
    <x v="6"/>
    <s v="COMPTE DE LIAISON DES ETABLISSEMENTS"/>
    <s v="OD"/>
    <n v="80.5"/>
    <d v="2025-05-07T00:00:00"/>
    <s v="Liaison établissement 401000 VWR TO"/>
    <m/>
    <e v="#N/A"/>
    <e v="#N/A"/>
    <n v="71817"/>
    <s v="COMMANDE PRODUIT KEENB"/>
    <s v="VWR AVANTOR"/>
    <s v="Q2"/>
    <e v="#REF!"/>
    <e v="#REF!"/>
    <e v="#REF!"/>
  </r>
  <r>
    <s v="181000"/>
    <x v="6"/>
    <s v="COMPTE DE LIAISON DES ETABLISSEMENTS"/>
    <s v="OD"/>
    <n v="80.84"/>
    <d v="2025-08-11T00:00:00"/>
    <s v="Liaison inter-établissement"/>
    <m/>
    <e v="#N/A"/>
    <e v="#N/A"/>
    <n v="83328"/>
    <m/>
    <s v="ORANGE"/>
    <s v="Q3"/>
    <e v="#REF!"/>
    <e v="#REF!"/>
    <e v="#REF!"/>
  </r>
  <r>
    <s v="181000"/>
    <x v="6"/>
    <s v="COMPTE DE LIAISON DES ETABLISSEMENTS"/>
    <s v="OD"/>
    <n v="81.180000000000007"/>
    <d v="2025-07-31T00:00:00"/>
    <s v="Liaison établissement 401000 VWR TO"/>
    <m/>
    <e v="#N/A"/>
    <e v="#N/A"/>
    <n v="79337"/>
    <s v="COMMANDE PRODUIT KEENY"/>
    <s v="VWR AVANTOR"/>
    <s v="Q3"/>
    <e v="#REF!"/>
    <e v="#REF!"/>
    <e v="#REF!"/>
  </r>
  <r>
    <s v="181000"/>
    <x v="6"/>
    <s v="COMPTE DE LIAISON DES ETABLISSEMENTS"/>
    <s v="OD"/>
    <n v="81.23"/>
    <d v="2025-03-06T00:00:00"/>
    <s v="Liaison inter-établissement"/>
    <m/>
    <s v="Non"/>
    <e v="#N/A"/>
    <n v="71915"/>
    <m/>
    <s v="DIVERS"/>
    <s v="Q1"/>
    <e v="#REF!"/>
    <e v="#REF!"/>
    <e v="#REF!"/>
  </r>
  <r>
    <s v="181000"/>
    <x v="6"/>
    <s v="COMPTE DE LIAISON DES ETABLISSEMENTS"/>
    <s v="OD"/>
    <n v="81.7"/>
    <d v="2025-04-01T00:00:00"/>
    <s v="Liaison inter-établissement"/>
    <m/>
    <e v="#N/A"/>
    <e v="#N/A"/>
    <n v="74927"/>
    <m/>
    <s v="DHL"/>
    <s v="Q2"/>
    <e v="#REF!"/>
    <e v="#REF!"/>
    <e v="#REF!"/>
  </r>
  <r>
    <s v="181000"/>
    <x v="6"/>
    <s v="COMPTE DE LIAISON DES ETABLISSEMENTS"/>
    <s v="OD"/>
    <n v="81.900000000000006"/>
    <d v="2025-11-04T00:00:00"/>
    <s v="Liaison inter-établissement"/>
    <m/>
    <e v="#N/A"/>
    <e v="#N/A"/>
    <n v="91681"/>
    <m/>
    <s v="MONDROGUISTE"/>
    <s v="Q4"/>
    <e v="#REF!"/>
    <e v="#REF!"/>
    <e v="#REF!"/>
  </r>
  <r>
    <s v="181000"/>
    <x v="6"/>
    <s v="COMPTE DE LIAISON DES ETABLISSEMENTS"/>
    <s v="OD"/>
    <n v="82.17"/>
    <d v="2025-12-23T00:00:00"/>
    <s v="Liaison inter-établissement"/>
    <m/>
    <e v="#N/A"/>
    <e v="#N/A"/>
    <n v="93586"/>
    <m/>
    <s v="Anthony Martinez"/>
    <s v="Q4"/>
    <e v="#REF!"/>
    <e v="#REF!"/>
    <e v="#REF!"/>
  </r>
  <r>
    <s v="181000"/>
    <x v="6"/>
    <s v="COMPTE DE LIAISON DES ETABLISSEMENTS"/>
    <s v="OD"/>
    <n v="82.32"/>
    <d v="2025-12-19T00:00:00"/>
    <s v="Liaison établissement 401000 ROTH TO"/>
    <m/>
    <e v="#N/A"/>
    <e v="#N/A"/>
    <n v="92691"/>
    <s v="4184627"/>
    <s v="ROTH SOCHIEL"/>
    <s v="Q4"/>
    <e v="#REF!"/>
    <e v="#REF!"/>
    <e v="#REF!"/>
  </r>
  <r>
    <s v="181000"/>
    <x v="6"/>
    <s v="COMPTE DE LIAISON DES ETABLISSEMENTS"/>
    <s v="OD"/>
    <n v="82.78"/>
    <d v="2025-04-22T00:00:00"/>
    <s v="Liaison inter-établissement"/>
    <m/>
    <e v="#N/A"/>
    <e v="#N/A"/>
    <n v="74939"/>
    <m/>
    <s v="DHL"/>
    <s v="Q2"/>
    <e v="#REF!"/>
    <e v="#REF!"/>
    <e v="#REF!"/>
  </r>
  <r>
    <s v="181000"/>
    <x v="6"/>
    <s v="COMPTE DE LIAISON DES ETABLISSEMENTS"/>
    <s v="OD"/>
    <n v="83.34"/>
    <d v="2025-09-22T00:00:00"/>
    <s v="Liaison établissement 401000 FISHER TO"/>
    <m/>
    <e v="#N/A"/>
    <e v="#N/A"/>
    <n v="82387"/>
    <s v="BILLES POUR LE BROYEUR"/>
    <s v="FISHER SCIENTIFIC"/>
    <s v="Q3"/>
    <e v="#REF!"/>
    <e v="#REF!"/>
    <e v="#REF!"/>
  </r>
  <r>
    <s v="181000"/>
    <x v="6"/>
    <s v="COMPTE DE LIAISON DES ETABLISSEMENTS"/>
    <s v="OD"/>
    <n v="83.49"/>
    <d v="2025-11-29T00:00:00"/>
    <s v="Liaison inter-établissement"/>
    <m/>
    <e v="#N/A"/>
    <e v="#N/A"/>
    <n v="91649"/>
    <m/>
    <s v="LA FOURCHE"/>
    <s v="Q4"/>
    <e v="#REF!"/>
    <e v="#REF!"/>
    <e v="#REF!"/>
  </r>
  <r>
    <s v="181000"/>
    <x v="6"/>
    <s v="COMPTE DE LIAISON DES ETABLISSEMENTS"/>
    <s v="OD"/>
    <n v="83.7"/>
    <d v="2025-05-22T00:00:00"/>
    <s v="Liaison inter-établissement"/>
    <m/>
    <e v="#N/A"/>
    <e v="#N/A"/>
    <n v="76674"/>
    <m/>
    <s v="Jérémie Blache"/>
    <s v="Q2"/>
    <e v="#REF!"/>
    <e v="#REF!"/>
    <e v="#REF!"/>
  </r>
  <r>
    <s v="181000"/>
    <x v="6"/>
    <s v="COMPTE DE LIAISON DES ETABLISSEMENTS"/>
    <s v="OD"/>
    <n v="84.5"/>
    <d v="2025-04-04T00:00:00"/>
    <s v="Liaison inter-établissement"/>
    <m/>
    <e v="#N/A"/>
    <e v="#N/A"/>
    <n v="75878"/>
    <m/>
    <s v="Marie-Sarah Adenis"/>
    <s v="Q2"/>
    <e v="#REF!"/>
    <e v="#REF!"/>
    <e v="#REF!"/>
  </r>
  <r>
    <s v="181000"/>
    <x v="6"/>
    <s v="COMPTE DE LIAISON DES ETABLISSEMENTS"/>
    <s v="OD"/>
    <n v="84.62"/>
    <d v="2025-06-17T00:00:00"/>
    <s v="Liaison inter-établissement"/>
    <m/>
    <e v="#N/A"/>
    <e v="#N/A"/>
    <n v="78255"/>
    <m/>
    <s v="BOOKING"/>
    <s v="Q2"/>
    <e v="#REF!"/>
    <e v="#REF!"/>
    <e v="#REF!"/>
  </r>
  <r>
    <s v="181000"/>
    <x v="6"/>
    <s v="COMPTE DE LIAISON DES ETABLISSEMENTS"/>
    <s v="OD"/>
    <n v="85.38"/>
    <d v="2025-10-06T00:00:00"/>
    <s v="Liaison établissement 401000 FISHER TO"/>
    <m/>
    <e v="#N/A"/>
    <e v="#N/A"/>
    <n v="82926"/>
    <s v="PRODUIT LISA"/>
    <s v="FISHER SCIENTIFIC"/>
    <s v="Q4"/>
    <e v="#REF!"/>
    <e v="#REF!"/>
    <e v="#REF!"/>
  </r>
  <r>
    <s v="181000"/>
    <x v="6"/>
    <s v="COMPTE DE LIAISON DES ETABLISSEMENTS"/>
    <s v="OD"/>
    <n v="85.58"/>
    <d v="2025-06-27T00:00:00"/>
    <s v="Liaison inter-établissement"/>
    <m/>
    <e v="#N/A"/>
    <e v="#N/A"/>
    <n v="76734"/>
    <m/>
    <s v="Marine Bonnaud"/>
    <s v="Q2"/>
    <e v="#REF!"/>
    <e v="#REF!"/>
    <e v="#REF!"/>
  </r>
  <r>
    <s v="181000"/>
    <x v="6"/>
    <s v="COMPTE DE LIAISON DES ETABLISSEMENTS"/>
    <s v="OD"/>
    <n v="86"/>
    <d v="2025-02-19T00:00:00"/>
    <s v="Liaison inter-établissement"/>
    <m/>
    <e v="#N/A"/>
    <e v="#N/A"/>
    <n v="63585"/>
    <m/>
    <s v="BLD PHARMATECH"/>
    <s v="Q1"/>
    <e v="#REF!"/>
    <e v="#REF!"/>
    <e v="#REF!"/>
  </r>
  <r>
    <s v="181000"/>
    <x v="6"/>
    <s v="COMPTE DE LIAISON DES ETABLISSEMENTS"/>
    <s v="OD"/>
    <n v="86.28"/>
    <d v="2025-07-18T00:00:00"/>
    <s v="Liaison établissement 401000 SIGMA TO"/>
    <m/>
    <e v="#N/A"/>
    <e v="#N/A"/>
    <n v="78276"/>
    <s v="CELITE S POUR VBIO KL"/>
    <s v="Sigma-Aldrich chimie"/>
    <s v="Q3"/>
    <e v="#REF!"/>
    <e v="#REF!"/>
    <e v="#REF!"/>
  </r>
  <r>
    <s v="181000"/>
    <x v="6"/>
    <s v="COMPTE DE LIAISON DES ETABLISSEMENTS"/>
    <s v="OD"/>
    <n v="86.4"/>
    <d v="2025-03-28T00:00:00"/>
    <s v="Liaison établissement 401000 ROTH TO"/>
    <m/>
    <e v="#N/A"/>
    <e v="#N/A"/>
    <n v="64989"/>
    <s v="Invoice Payment by Pili"/>
    <s v="ROTH SOCHIEL"/>
    <s v="Q1"/>
    <e v="#REF!"/>
    <e v="#REF!"/>
    <e v="#REF!"/>
  </r>
  <r>
    <s v="181000"/>
    <x v="6"/>
    <s v="COMPTE DE LIAISON DES ETABLISSEMENTS"/>
    <s v="OD"/>
    <n v="86.4"/>
    <d v="2025-12-23T00:00:00"/>
    <s v="Liaison établissement 401000 KYMONO TO"/>
    <m/>
    <e v="#N/A"/>
    <e v="#N/A"/>
    <n v="93623"/>
    <s v="FACT-20251208-23397"/>
    <s v="Kymono"/>
    <s v="Q4"/>
    <e v="#REF!"/>
    <e v="#REF!"/>
    <e v="#REF!"/>
  </r>
  <r>
    <s v="181000"/>
    <x v="6"/>
    <s v="COMPTE DE LIAISON DES ETABLISSEMENTS"/>
    <s v="OD"/>
    <n v="88"/>
    <d v="2025-01-24T00:00:00"/>
    <s v="Liaison inter-établissement"/>
    <m/>
    <e v="#N/A"/>
    <e v="#N/A"/>
    <n v="63903"/>
    <m/>
    <s v="SNCF"/>
    <s v="Q1"/>
    <e v="#REF!"/>
    <e v="#REF!"/>
    <e v="#REF!"/>
  </r>
  <r>
    <s v="181000"/>
    <x v="6"/>
    <s v="COMPTE DE LIAISON DES ETABLISSEMENTS"/>
    <s v="OD"/>
    <n v="88"/>
    <d v="2025-02-06T00:00:00"/>
    <s v="Liaison inter-établissement"/>
    <m/>
    <e v="#N/A"/>
    <e v="#N/A"/>
    <n v="74879"/>
    <m/>
    <s v="HOPER"/>
    <s v="Q1"/>
    <e v="#REF!"/>
    <e v="#REF!"/>
    <e v="#REF!"/>
  </r>
  <r>
    <s v="181000"/>
    <x v="6"/>
    <s v="COMPTE DE LIAISON DES ETABLISSEMENTS"/>
    <s v="OD"/>
    <n v="88"/>
    <d v="2025-02-14T00:00:00"/>
    <s v="Liaison inter-établissement"/>
    <m/>
    <e v="#N/A"/>
    <e v="#N/A"/>
    <n v="64367"/>
    <m/>
    <s v="SNCF"/>
    <s v="Q1"/>
    <e v="#REF!"/>
    <e v="#REF!"/>
    <e v="#REF!"/>
  </r>
  <r>
    <s v="181000"/>
    <x v="6"/>
    <s v="COMPTE DE LIAISON DES ETABLISSEMENTS"/>
    <s v="OD"/>
    <n v="88"/>
    <d v="2025-02-14T00:00:00"/>
    <s v="Liaison inter-établissement"/>
    <m/>
    <e v="#N/A"/>
    <e v="#N/A"/>
    <n v="64371"/>
    <m/>
    <s v="SNCF"/>
    <s v="Q1"/>
    <e v="#REF!"/>
    <e v="#REF!"/>
    <e v="#REF!"/>
  </r>
  <r>
    <s v="181000"/>
    <x v="6"/>
    <s v="COMPTE DE LIAISON DES ETABLISSEMENTS"/>
    <s v="OD"/>
    <n v="88"/>
    <d v="2025-03-06T00:00:00"/>
    <s v="Liaison inter-établissement"/>
    <m/>
    <e v="#N/A"/>
    <e v="#N/A"/>
    <n v="71416"/>
    <m/>
    <s v="HOPER"/>
    <s v="Q1"/>
    <e v="#REF!"/>
    <e v="#REF!"/>
    <e v="#REF!"/>
  </r>
  <r>
    <s v="181000"/>
    <x v="6"/>
    <s v="COMPTE DE LIAISON DES ETABLISSEMENTS"/>
    <s v="OD"/>
    <n v="88"/>
    <d v="2025-04-04T00:00:00"/>
    <s v="Liaison inter-établissement"/>
    <m/>
    <e v="#N/A"/>
    <e v="#N/A"/>
    <n v="74775"/>
    <m/>
    <s v="SNCF"/>
    <s v="Q2"/>
    <e v="#REF!"/>
    <e v="#REF!"/>
    <e v="#REF!"/>
  </r>
  <r>
    <s v="181000"/>
    <x v="6"/>
    <s v="COMPTE DE LIAISON DES ETABLISSEMENTS"/>
    <s v="OD"/>
    <n v="88"/>
    <d v="2025-04-09T00:00:00"/>
    <s v="Liaison inter-établissement"/>
    <m/>
    <e v="#N/A"/>
    <e v="#N/A"/>
    <n v="74783"/>
    <m/>
    <s v="SNCF"/>
    <s v="Q2"/>
    <e v="#REF!"/>
    <e v="#REF!"/>
    <e v="#REF!"/>
  </r>
  <r>
    <s v="181000"/>
    <x v="6"/>
    <s v="COMPTE DE LIAISON DES ETABLISSEMENTS"/>
    <s v="OD"/>
    <n v="88"/>
    <d v="2025-06-13T00:00:00"/>
    <s v="Liaison inter-établissement"/>
    <m/>
    <e v="#N/A"/>
    <e v="#N/A"/>
    <n v="78132"/>
    <m/>
    <s v="SNCF"/>
    <s v="Q2"/>
    <e v="#REF!"/>
    <e v="#REF!"/>
    <e v="#REF!"/>
  </r>
  <r>
    <s v="181000"/>
    <x v="6"/>
    <s v="COMPTE DE LIAISON DES ETABLISSEMENTS"/>
    <s v="OD"/>
    <n v="88"/>
    <d v="2025-09-10T00:00:00"/>
    <s v="Liaison inter-établissement"/>
    <m/>
    <e v="#N/A"/>
    <e v="#N/A"/>
    <n v="83156"/>
    <m/>
    <s v="SNCF"/>
    <s v="Q3"/>
    <e v="#REF!"/>
    <e v="#REF!"/>
    <e v="#REF!"/>
  </r>
  <r>
    <s v="181000"/>
    <x v="6"/>
    <s v="COMPTE DE LIAISON DES ETABLISSEMENTS"/>
    <s v="OD"/>
    <n v="88"/>
    <d v="2025-09-10T00:00:00"/>
    <s v="Liaison inter-établissement"/>
    <m/>
    <e v="#N/A"/>
    <e v="#N/A"/>
    <n v="83164"/>
    <m/>
    <s v="SNCF"/>
    <s v="Q3"/>
    <e v="#REF!"/>
    <e v="#REF!"/>
    <e v="#REF!"/>
  </r>
  <r>
    <s v="181000"/>
    <x v="6"/>
    <s v="COMPTE DE LIAISON DES ETABLISSEMENTS"/>
    <s v="OD"/>
    <n v="88"/>
    <d v="2025-10-09T00:00:00"/>
    <s v="Liaison inter-établissement"/>
    <m/>
    <e v="#N/A"/>
    <e v="#N/A"/>
    <n v="89801"/>
    <m/>
    <s v="SNCF"/>
    <s v="Q4"/>
    <e v="#REF!"/>
    <e v="#REF!"/>
    <e v="#REF!"/>
  </r>
  <r>
    <s v="181000"/>
    <x v="6"/>
    <s v="COMPTE DE LIAISON DES ETABLISSEMENTS"/>
    <s v="OD"/>
    <n v="88"/>
    <d v="2025-10-09T00:00:00"/>
    <s v="Liaison inter-établissement"/>
    <m/>
    <e v="#N/A"/>
    <e v="#N/A"/>
    <n v="89805"/>
    <m/>
    <s v="SNCF"/>
    <s v="Q4"/>
    <e v="#REF!"/>
    <e v="#REF!"/>
    <e v="#REF!"/>
  </r>
  <r>
    <s v="181000"/>
    <x v="6"/>
    <s v="COMPTE DE LIAISON DES ETABLISSEMENTS"/>
    <s v="OD"/>
    <n v="88"/>
    <d v="2025-11-17T00:00:00"/>
    <s v="Liaison inter-établissement vers LY "/>
    <m/>
    <e v="#N/A"/>
    <e v="#N/A"/>
    <n v="91794"/>
    <m/>
    <s v="SNCF"/>
    <s v="Q4"/>
    <e v="#REF!"/>
    <e v="#REF!"/>
    <e v="#REF!"/>
  </r>
  <r>
    <s v="181000"/>
    <x v="6"/>
    <s v="COMPTE DE LIAISON DES ETABLISSEMENTS"/>
    <s v="OD"/>
    <n v="88.12"/>
    <d v="2025-08-23T00:00:00"/>
    <s v="Liaison inter-établissement"/>
    <m/>
    <e v="#N/A"/>
    <e v="#N/A"/>
    <n v="83344"/>
    <m/>
    <s v="CHATEAUDEAU"/>
    <s v="Q3"/>
    <e v="#REF!"/>
    <e v="#REF!"/>
    <e v="#REF!"/>
  </r>
  <r>
    <s v="181000"/>
    <x v="6"/>
    <s v="COMPTE DE LIAISON DES ETABLISSEMENTS"/>
    <s v="OD"/>
    <n v="88.12"/>
    <d v="2025-10-31T00:00:00"/>
    <s v="Liaison établissement 401000 CHATEAU TO"/>
    <m/>
    <e v="#N/A"/>
    <e v="#N/A"/>
    <n v="87536"/>
    <s v="LIVRAISON EAU SUR SITE ROUSSILLON"/>
    <s v="CHATEAUDEAU"/>
    <s v="Q4"/>
    <e v="#REF!"/>
    <e v="#REF!"/>
    <e v="#REF!"/>
  </r>
  <r>
    <s v="181000"/>
    <x v="6"/>
    <s v="COMPTE DE LIAISON DES ETABLISSEMENTS"/>
    <s v="OD"/>
    <n v="88.53"/>
    <d v="2025-05-13T00:00:00"/>
    <s v="Liaison inter-établissement"/>
    <m/>
    <e v="#N/A"/>
    <e v="#N/A"/>
    <n v="74489"/>
    <m/>
    <s v="Jérémie Blache"/>
    <s v="Q2"/>
    <e v="#REF!"/>
    <e v="#REF!"/>
    <e v="#REF!"/>
  </r>
  <r>
    <s v="181000"/>
    <x v="6"/>
    <s v="COMPTE DE LIAISON DES ETABLISSEMENTS"/>
    <s v="OD"/>
    <n v="88.61"/>
    <d v="2025-02-28T00:00:00"/>
    <s v="Liaison inter-établissement"/>
    <m/>
    <e v="#N/A"/>
    <e v="#N/A"/>
    <n v="90112"/>
    <m/>
    <s v="AIR LIQUIDE"/>
    <s v="Q1"/>
    <e v="#REF!"/>
    <e v="#REF!"/>
    <e v="#REF!"/>
  </r>
  <r>
    <s v="181000"/>
    <x v="6"/>
    <s v="COMPTE DE LIAISON DES ETABLISSEMENTS"/>
    <s v="OD"/>
    <n v="88.8"/>
    <d v="2025-03-18T00:00:00"/>
    <s v="Liaison inter-établissement"/>
    <m/>
    <e v="#N/A"/>
    <e v="#N/A"/>
    <n v="64415"/>
    <m/>
    <s v="CLOUP"/>
    <s v="Q1"/>
    <e v="#REF!"/>
    <e v="#REF!"/>
    <e v="#REF!"/>
  </r>
  <r>
    <s v="181000"/>
    <x v="6"/>
    <s v="COMPTE DE LIAISON DES ETABLISSEMENTS"/>
    <s v="OD"/>
    <n v="89.17"/>
    <d v="2025-05-07T00:00:00"/>
    <s v="Liaison inter-établissement"/>
    <m/>
    <e v="#N/A"/>
    <e v="#N/A"/>
    <n v="75133"/>
    <m/>
    <s v="AIRBNB"/>
    <s v="Q2"/>
    <e v="#REF!"/>
    <e v="#REF!"/>
    <e v="#REF!"/>
  </r>
  <r>
    <s v="181000"/>
    <x v="6"/>
    <s v="COMPTE DE LIAISON DES ETABLISSEMENTS"/>
    <s v="OD"/>
    <n v="89.65"/>
    <d v="2025-02-21T00:00:00"/>
    <s v="Liaison inter-établissement"/>
    <m/>
    <e v="#N/A"/>
    <e v="#N/A"/>
    <n v="74919"/>
    <m/>
    <s v="DHL"/>
    <s v="Q1"/>
    <e v="#REF!"/>
    <e v="#REF!"/>
    <e v="#REF!"/>
  </r>
  <r>
    <s v="181000"/>
    <x v="6"/>
    <s v="COMPTE DE LIAISON DES ETABLISSEMENTS"/>
    <s v="OD"/>
    <n v="89.99"/>
    <d v="2025-03-11T00:00:00"/>
    <s v="Liaison inter-établissement"/>
    <m/>
    <e v="#N/A"/>
    <e v="#N/A"/>
    <n v="68038"/>
    <m/>
    <s v="DB"/>
    <s v="Q1"/>
    <e v="#REF!"/>
    <e v="#REF!"/>
    <e v="#REF!"/>
  </r>
  <r>
    <s v="181000"/>
    <x v="6"/>
    <s v="COMPTE DE LIAISON DES ETABLISSEMENTS"/>
    <s v="OD"/>
    <n v="90"/>
    <d v="2025-03-14T00:00:00"/>
    <s v="Liaison inter-établissement"/>
    <m/>
    <e v="#N/A"/>
    <e v="#N/A"/>
    <n v="63911"/>
    <m/>
    <s v="TCI"/>
    <s v="Q1"/>
    <e v="#REF!"/>
    <e v="#REF!"/>
    <e v="#REF!"/>
  </r>
  <r>
    <s v="181000"/>
    <x v="6"/>
    <s v="COMPTE DE LIAISON DES ETABLISSEMENTS"/>
    <s v="OD"/>
    <n v="90"/>
    <d v="2025-08-22T00:00:00"/>
    <s v="Liaison établissement 401000 DENIOS TO"/>
    <m/>
    <e v="#N/A"/>
    <e v="#N/A"/>
    <n v="81587"/>
    <s v="COMMANDE ABSORBANT POUR LABO"/>
    <s v="DENIOS"/>
    <s v="Q3"/>
    <e v="#REF!"/>
    <e v="#REF!"/>
    <e v="#REF!"/>
  </r>
  <r>
    <s v="181000"/>
    <x v="6"/>
    <s v="COMPTE DE LIAISON DES ETABLISSEMENTS"/>
    <s v="OD"/>
    <n v="90.2"/>
    <d v="2025-04-12T00:00:00"/>
    <s v="Liaison inter-établissement"/>
    <m/>
    <e v="#N/A"/>
    <e v="#N/A"/>
    <n v="74847"/>
    <m/>
    <s v="LEROY MERLIN"/>
    <s v="Q2"/>
    <e v="#REF!"/>
    <e v="#REF!"/>
    <e v="#REF!"/>
  </r>
  <r>
    <s v="181000"/>
    <x v="6"/>
    <s v="COMPTE DE LIAISON DES ETABLISSEMENTS"/>
    <s v="OD"/>
    <n v="90.42"/>
    <d v="2025-03-20T00:00:00"/>
    <s v="Liaison inter-établissement"/>
    <m/>
    <e v="#N/A"/>
    <e v="#N/A"/>
    <n v="70072"/>
    <m/>
    <s v="RS COMPONENT"/>
    <s v="Q1"/>
    <e v="#REF!"/>
    <e v="#REF!"/>
    <e v="#REF!"/>
  </r>
  <r>
    <s v="181000"/>
    <x v="6"/>
    <s v="COMPTE DE LIAISON DES ETABLISSEMENTS"/>
    <s v="OD"/>
    <n v="91"/>
    <d v="2025-03-24T00:00:00"/>
    <s v="Liaison inter-établissement"/>
    <m/>
    <e v="#N/A"/>
    <e v="#N/A"/>
    <n v="73889"/>
    <m/>
    <s v="Julie Lacondemine"/>
    <s v="Q1"/>
    <e v="#REF!"/>
    <e v="#REF!"/>
    <e v="#REF!"/>
  </r>
  <r>
    <s v="181000"/>
    <x v="6"/>
    <s v="COMPTE DE LIAISON DES ETABLISSEMENTS"/>
    <s v="OD"/>
    <n v="91.08"/>
    <d v="2025-05-31T00:00:00"/>
    <s v="Liaison inter-établissement"/>
    <m/>
    <e v="#N/A"/>
    <e v="#N/A"/>
    <n v="78239"/>
    <m/>
    <s v="LA FOURCHE"/>
    <s v="Q2"/>
    <e v="#REF!"/>
    <e v="#REF!"/>
    <e v="#REF!"/>
  </r>
  <r>
    <s v="181000"/>
    <x v="6"/>
    <s v="COMPTE DE LIAISON DES ETABLISSEMENTS"/>
    <s v="OD"/>
    <n v="91.5"/>
    <d v="2025-07-25T00:00:00"/>
    <s v="Liaison inter-établissement"/>
    <m/>
    <e v="#N/A"/>
    <e v="#N/A"/>
    <n v="81288"/>
    <m/>
    <s v="DHL"/>
    <s v="Q3"/>
    <e v="#REF!"/>
    <e v="#REF!"/>
    <e v="#REF!"/>
  </r>
  <r>
    <s v="181000"/>
    <x v="6"/>
    <s v="COMPTE DE LIAISON DES ETABLISSEMENTS"/>
    <s v="OD"/>
    <n v="92"/>
    <d v="2025-01-01T00:00:00"/>
    <s v="Liaison inter-établissement vers TO "/>
    <m/>
    <e v="#N/A"/>
    <e v="#N/A"/>
    <n v="86632"/>
    <m/>
    <m/>
    <s v="Q1"/>
    <e v="#REF!"/>
    <e v="#REF!"/>
    <e v="#REF!"/>
  </r>
  <r>
    <s v="181000"/>
    <x v="6"/>
    <s v="COMPTE DE LIAISON DES ETABLISSEMENTS"/>
    <s v="OD"/>
    <n v="92.16"/>
    <d v="2025-08-21T00:00:00"/>
    <s v="Liaison établissement 401000 VWR TO"/>
    <m/>
    <e v="#N/A"/>
    <e v="#N/A"/>
    <n v="81533"/>
    <s v="COMMANDE CONSOMMABLES LABO"/>
    <s v="VWR AVANTOR"/>
    <s v="Q3"/>
    <e v="#REF!"/>
    <e v="#REF!"/>
    <e v="#REF!"/>
  </r>
  <r>
    <s v="181000"/>
    <x v="6"/>
    <s v="COMPTE DE LIAISON DES ETABLISSEMENTS"/>
    <s v="OD"/>
    <n v="92.67"/>
    <d v="2025-10-22T00:00:00"/>
    <s v="Liaison inter-établissement"/>
    <m/>
    <e v="#N/A"/>
    <e v="#N/A"/>
    <n v="89703"/>
    <m/>
    <s v="AIRBNB"/>
    <s v="Q4"/>
    <e v="#REF!"/>
    <e v="#REF!"/>
    <e v="#REF!"/>
  </r>
  <r>
    <s v="181000"/>
    <x v="6"/>
    <s v="COMPTE DE LIAISON DES ETABLISSEMENTS"/>
    <s v="OD"/>
    <n v="92.67"/>
    <d v="2025-11-15T00:00:00"/>
    <s v="Liaison inter-établissement"/>
    <m/>
    <e v="#N/A"/>
    <e v="#N/A"/>
    <n v="97420"/>
    <m/>
    <s v="AIRBNB"/>
    <s v="Q4"/>
    <e v="#REF!"/>
    <e v="#REF!"/>
    <e v="#REF!"/>
  </r>
  <r>
    <s v="181000"/>
    <x v="6"/>
    <s v="COMPTE DE LIAISON DES ETABLISSEMENTS"/>
    <s v="OD"/>
    <n v="93.23"/>
    <d v="2025-12-31T00:00:00"/>
    <s v="Liaison inter-établissement"/>
    <m/>
    <e v="#N/A"/>
    <e v="#N/A"/>
    <n v="93901"/>
    <m/>
    <s v="DHL"/>
    <s v="Q4"/>
    <e v="#REF!"/>
    <e v="#REF!"/>
    <e v="#REF!"/>
  </r>
  <r>
    <s v="181000"/>
    <x v="6"/>
    <s v="COMPTE DE LIAISON DES ETABLISSEMENTS"/>
    <s v="OD"/>
    <n v="93.78"/>
    <d v="2025-05-13T00:00:00"/>
    <s v="Liaison inter-établissement"/>
    <m/>
    <e v="#N/A"/>
    <e v="#N/A"/>
    <n v="74509"/>
    <m/>
    <s v="Jérémie Blache"/>
    <s v="Q2"/>
    <e v="#REF!"/>
    <e v="#REF!"/>
    <e v="#REF!"/>
  </r>
  <r>
    <s v="181000"/>
    <x v="6"/>
    <s v="COMPTE DE LIAISON DES ETABLISSEMENTS"/>
    <s v="OD"/>
    <n v="93.81"/>
    <d v="2025-07-01T00:00:00"/>
    <s v="Liaison inter-établissement"/>
    <m/>
    <e v="#N/A"/>
    <e v="#N/A"/>
    <n v="76785"/>
    <m/>
    <s v="Yves Combret"/>
    <s v="Q3"/>
    <e v="#REF!"/>
    <e v="#REF!"/>
    <e v="#REF!"/>
  </r>
  <r>
    <s v="181000"/>
    <x v="6"/>
    <s v="COMPTE DE LIAISON DES ETABLISSEMENTS"/>
    <s v="OD"/>
    <n v="93.84"/>
    <d v="2025-08-08T00:00:00"/>
    <s v="Liaison établissement 401000 ROTH TO"/>
    <m/>
    <e v="#N/A"/>
    <e v="#N/A"/>
    <n v="80787"/>
    <s v="GLYCEROL _x0009_ ETHYLENE GLYCOL_x0009_ 1 3-PROPANEDIOL_x0009_ CALCIUM CHLORIDE ANHYDROUS_x0009_ SODIUM SULFITE"/>
    <s v="ROTH SOCHIEL"/>
    <s v="Q3"/>
    <e v="#REF!"/>
    <e v="#REF!"/>
    <e v="#REF!"/>
  </r>
  <r>
    <s v="181000"/>
    <x v="6"/>
    <s v="COMPTE DE LIAISON DES ETABLISSEMENTS"/>
    <s v="OD"/>
    <n v="93.9"/>
    <d v="2025-05-07T00:00:00"/>
    <s v="Liaison établissement 401000 VWR TO"/>
    <m/>
    <e v="#N/A"/>
    <e v="#N/A"/>
    <n v="71867"/>
    <s v="COMMANDE PRODUIT LABO"/>
    <s v="VWR AVANTOR"/>
    <s v="Q2"/>
    <e v="#REF!"/>
    <e v="#REF!"/>
    <e v="#REF!"/>
  </r>
  <r>
    <s v="181000"/>
    <x v="6"/>
    <s v="COMPTE DE LIAISON DES ETABLISSEMENTS"/>
    <s v="OD"/>
    <n v="94.12"/>
    <d v="2025-04-15T00:00:00"/>
    <s v="Liaison inter-établissement"/>
    <m/>
    <e v="#N/A"/>
    <e v="#N/A"/>
    <n v="74855"/>
    <m/>
    <s v="AIRBNB"/>
    <s v="Q2"/>
    <e v="#REF!"/>
    <e v="#REF!"/>
    <e v="#REF!"/>
  </r>
  <r>
    <s v="181000"/>
    <x v="6"/>
    <s v="COMPTE DE LIAISON DES ETABLISSEMENTS"/>
    <s v="OD"/>
    <n v="94.17"/>
    <d v="2025-01-14T00:00:00"/>
    <s v="Liaison inter-établissement"/>
    <m/>
    <e v="#N/A"/>
    <e v="#N/A"/>
    <n v="66771"/>
    <m/>
    <s v="AIRBNB"/>
    <s v="Q1"/>
    <e v="#REF!"/>
    <e v="#REF!"/>
    <e v="#REF!"/>
  </r>
  <r>
    <s v="181000"/>
    <x v="6"/>
    <s v="COMPTE DE LIAISON DES ETABLISSEMENTS"/>
    <s v="OD"/>
    <n v="94.45"/>
    <d v="2025-04-04T00:00:00"/>
    <s v="Liaison inter-établissement"/>
    <m/>
    <e v="#N/A"/>
    <e v="#N/A"/>
    <n v="76271"/>
    <m/>
    <s v="Yves Combret"/>
    <s v="Q2"/>
    <e v="#REF!"/>
    <e v="#REF!"/>
    <e v="#REF!"/>
  </r>
  <r>
    <s v="181000"/>
    <x v="6"/>
    <s v="COMPTE DE LIAISON DES ETABLISSEMENTS"/>
    <s v="OD"/>
    <n v="94.78"/>
    <d v="2025-10-28T00:00:00"/>
    <s v="Liaison inter-établissement"/>
    <m/>
    <e v="#N/A"/>
    <e v="#N/A"/>
    <n v="91629"/>
    <m/>
    <s v="CHATEAUDEAU"/>
    <s v="Q4"/>
    <e v="#REF!"/>
    <e v="#REF!"/>
    <e v="#REF!"/>
  </r>
  <r>
    <s v="181000"/>
    <x v="6"/>
    <s v="COMPTE DE LIAISON DES ETABLISSEMENTS"/>
    <s v="OD"/>
    <n v="94.95"/>
    <d v="2025-05-22T00:00:00"/>
    <s v="Liaison inter-établissement"/>
    <m/>
    <e v="#N/A"/>
    <e v="#N/A"/>
    <n v="76738"/>
    <m/>
    <s v="Thibault Dejardin"/>
    <s v="Q2"/>
    <e v="#REF!"/>
    <e v="#REF!"/>
    <e v="#REF!"/>
  </r>
  <r>
    <s v="181000"/>
    <x v="6"/>
    <s v="COMPTE DE LIAISON DES ETABLISSEMENTS"/>
    <s v="OD"/>
    <n v="95"/>
    <d v="2025-08-27T00:00:00"/>
    <s v="Liaison inter-établissement"/>
    <m/>
    <e v="#N/A"/>
    <e v="#N/A"/>
    <n v="83288"/>
    <m/>
    <s v="SNCF"/>
    <s v="Q3"/>
    <e v="#REF!"/>
    <e v="#REF!"/>
    <e v="#REF!"/>
  </r>
  <r>
    <s v="181000"/>
    <x v="6"/>
    <s v="COMPTE DE LIAISON DES ETABLISSEMENTS"/>
    <s v="OD"/>
    <n v="95"/>
    <d v="2025-09-27T00:00:00"/>
    <s v="Liaison inter-établissement"/>
    <m/>
    <e v="#N/A"/>
    <e v="#N/A"/>
    <n v="83172"/>
    <m/>
    <s v="SNCF"/>
    <s v="Q3"/>
    <e v="#REF!"/>
    <e v="#REF!"/>
    <e v="#REF!"/>
  </r>
  <r>
    <s v="181000"/>
    <x v="6"/>
    <s v="COMPTE DE LIAISON DES ETABLISSEMENTS"/>
    <s v="OD"/>
    <n v="95"/>
    <d v="2025-10-31T00:00:00"/>
    <s v="Liaison inter-établissement"/>
    <m/>
    <e v="#N/A"/>
    <e v="#N/A"/>
    <n v="89789"/>
    <m/>
    <s v="SNCF"/>
    <s v="Q4"/>
    <e v="#REF!"/>
    <e v="#REF!"/>
    <e v="#REF!"/>
  </r>
  <r>
    <s v="181000"/>
    <x v="6"/>
    <s v="COMPTE DE LIAISON DES ETABLISSEMENTS"/>
    <s v="OD"/>
    <n v="95"/>
    <d v="2025-11-18T00:00:00"/>
    <s v="Liaison inter-établissement"/>
    <m/>
    <e v="#N/A"/>
    <e v="#N/A"/>
    <n v="91705"/>
    <m/>
    <s v="SNCF"/>
    <s v="Q4"/>
    <e v="#REF!"/>
    <e v="#REF!"/>
    <e v="#REF!"/>
  </r>
  <r>
    <s v="181000"/>
    <x v="6"/>
    <s v="COMPTE DE LIAISON DES ETABLISSEMENTS"/>
    <s v="OD"/>
    <n v="95.05"/>
    <d v="2025-06-30T00:00:00"/>
    <s v="Liaison inter-établissement vers TO "/>
    <m/>
    <e v="#N/A"/>
    <e v="#N/A"/>
    <n v="78675"/>
    <m/>
    <m/>
    <s v="Q2"/>
    <e v="#REF!"/>
    <e v="#REF!"/>
    <e v="#REF!"/>
  </r>
  <r>
    <s v="181000"/>
    <x v="6"/>
    <s v="COMPTE DE LIAISON DES ETABLISSEMENTS"/>
    <s v="OD"/>
    <n v="95.14"/>
    <d v="2025-02-28T00:00:00"/>
    <s v="Liaison inter-établissement"/>
    <m/>
    <e v="#N/A"/>
    <e v="#N/A"/>
    <n v="72727"/>
    <m/>
    <s v="Banque Populaire Rive de Paris"/>
    <s v="Q1"/>
    <e v="#REF!"/>
    <e v="#REF!"/>
    <e v="#REF!"/>
  </r>
  <r>
    <s v="181000"/>
    <x v="6"/>
    <s v="COMPTE DE LIAISON DES ETABLISSEMENTS"/>
    <s v="OD"/>
    <n v="95.14"/>
    <d v="2025-03-31T00:00:00"/>
    <s v="Liaison inter-établissement"/>
    <m/>
    <e v="#N/A"/>
    <e v="#N/A"/>
    <n v="72747"/>
    <m/>
    <s v="Banque Populaire Rive de Paris"/>
    <s v="Q1"/>
    <e v="#REF!"/>
    <e v="#REF!"/>
    <e v="#REF!"/>
  </r>
  <r>
    <s v="181000"/>
    <x v="6"/>
    <s v="COMPTE DE LIAISON DES ETABLISSEMENTS"/>
    <s v="OD"/>
    <n v="96"/>
    <d v="2025-11-01T00:00:00"/>
    <s v="Liaison inter-établissement"/>
    <m/>
    <s v="Non"/>
    <s v="Oui"/>
    <n v="91604"/>
    <m/>
    <s v="AXELERA"/>
    <s v="Q4"/>
    <e v="#REF!"/>
    <e v="#REF!"/>
    <e v="#REF!"/>
  </r>
  <r>
    <s v="181000"/>
    <x v="6"/>
    <s v="COMPTE DE LIAISON DES ETABLISSEMENTS"/>
    <s v="OD"/>
    <n v="96.42"/>
    <d v="2025-01-20T00:00:00"/>
    <s v="Liaison inter-établissement"/>
    <m/>
    <e v="#N/A"/>
    <e v="#N/A"/>
    <n v="73829"/>
    <m/>
    <s v="Clément Perrocheau"/>
    <s v="Q1"/>
    <e v="#REF!"/>
    <e v="#REF!"/>
    <e v="#REF!"/>
  </r>
  <r>
    <s v="181000"/>
    <x v="6"/>
    <s v="COMPTE DE LIAISON DES ETABLISSEMENTS"/>
    <s v="OD"/>
    <n v="96.58"/>
    <d v="2025-04-25T00:00:00"/>
    <s v="Liaison inter-établissement"/>
    <m/>
    <e v="#N/A"/>
    <e v="#N/A"/>
    <n v="74561"/>
    <m/>
    <s v="Loic masseboeuf"/>
    <s v="Q2"/>
    <e v="#REF!"/>
    <e v="#REF!"/>
    <e v="#REF!"/>
  </r>
  <r>
    <s v="181000"/>
    <x v="6"/>
    <s v="COMPTE DE LIAISON DES ETABLISSEMENTS"/>
    <s v="OD"/>
    <n v="96.89"/>
    <d v="2025-03-18T00:00:00"/>
    <s v="Liaison inter-établissement"/>
    <m/>
    <e v="#N/A"/>
    <e v="#N/A"/>
    <n v="64487"/>
    <m/>
    <s v="VWR AVANTOR"/>
    <s v="Q1"/>
    <e v="#REF!"/>
    <e v="#REF!"/>
    <e v="#REF!"/>
  </r>
  <r>
    <s v="181000"/>
    <x v="6"/>
    <s v="COMPTE DE LIAISON DES ETABLISSEMENTS"/>
    <s v="OD"/>
    <n v="97.98"/>
    <d v="2025-04-08T00:00:00"/>
    <s v="Liaison inter-établissement"/>
    <m/>
    <e v="#N/A"/>
    <e v="#N/A"/>
    <n v="68086"/>
    <m/>
    <s v="CHATEAUDEAU"/>
    <s v="Q2"/>
    <e v="#REF!"/>
    <e v="#REF!"/>
    <e v="#REF!"/>
  </r>
  <r>
    <s v="181000"/>
    <x v="6"/>
    <s v="COMPTE DE LIAISON DES ETABLISSEMENTS"/>
    <s v="OD"/>
    <n v="99.72"/>
    <d v="2025-09-11T00:00:00"/>
    <s v="Liaison inter-établissement"/>
    <m/>
    <e v="#N/A"/>
    <e v="#N/A"/>
    <n v="83392"/>
    <m/>
    <s v="RAPTOR FRANCE"/>
    <s v="Q3"/>
    <e v="#REF!"/>
    <e v="#REF!"/>
    <e v="#REF!"/>
  </r>
  <r>
    <s v="181000"/>
    <x v="6"/>
    <s v="COMPTE DE LIAISON DES ETABLISSEMENTS"/>
    <s v="OD"/>
    <n v="100.16"/>
    <d v="2025-01-07T00:00:00"/>
    <s v="Liaison inter-établissement"/>
    <m/>
    <e v="#N/A"/>
    <e v="#N/A"/>
    <n v="63505"/>
    <m/>
    <s v="AIRBNB"/>
    <s v="Q1"/>
    <e v="#REF!"/>
    <e v="#REF!"/>
    <e v="#REF!"/>
  </r>
  <r>
    <s v="181000"/>
    <x v="6"/>
    <s v="COMPTE DE LIAISON DES ETABLISSEMENTS"/>
    <s v="OD"/>
    <n v="101.16"/>
    <d v="2025-01-30T00:00:00"/>
    <s v="Liaison inter-établissement"/>
    <m/>
    <e v="#N/A"/>
    <e v="#N/A"/>
    <n v="63589"/>
    <m/>
    <s v="BOHLENDER"/>
    <s v="Q1"/>
    <e v="#REF!"/>
    <e v="#REF!"/>
    <e v="#REF!"/>
  </r>
  <r>
    <s v="181000"/>
    <x v="6"/>
    <s v="COMPTE DE LIAISON DES ETABLISSEMENTS"/>
    <s v="OD"/>
    <n v="101.76"/>
    <d v="2025-05-07T00:00:00"/>
    <s v="Liaison établissement 401000 VWR TO"/>
    <m/>
    <e v="#N/A"/>
    <e v="#N/A"/>
    <n v="71842"/>
    <s v="COMMANDE PRODUIT LABO"/>
    <s v="VWR AVANTOR"/>
    <s v="Q2"/>
    <e v="#REF!"/>
    <e v="#REF!"/>
    <e v="#REF!"/>
  </r>
  <r>
    <s v="181000"/>
    <x v="6"/>
    <s v="COMPTE DE LIAISON DES ETABLISSEMENTS"/>
    <s v="OD"/>
    <n v="101.8"/>
    <d v="2025-12-02T00:00:00"/>
    <s v="Liaison inter-établissement"/>
    <m/>
    <e v="#N/A"/>
    <e v="#N/A"/>
    <n v="94120"/>
    <m/>
    <s v="SNCF"/>
    <s v="Q4"/>
    <e v="#REF!"/>
    <e v="#REF!"/>
    <e v="#REF!"/>
  </r>
  <r>
    <s v="181000"/>
    <x v="6"/>
    <s v="COMPTE DE LIAISON DES ETABLISSEMENTS"/>
    <s v="OD"/>
    <n v="102"/>
    <d v="2025-06-26T00:00:00"/>
    <s v="Liaison inter-établissement"/>
    <m/>
    <e v="#N/A"/>
    <e v="#N/A"/>
    <n v="78128"/>
    <m/>
    <s v="SNCF"/>
    <s v="Q2"/>
    <e v="#REF!"/>
    <e v="#REF!"/>
    <e v="#REF!"/>
  </r>
  <r>
    <s v="181000"/>
    <x v="6"/>
    <s v="COMPTE DE LIAISON DES ETABLISSEMENTS"/>
    <s v="OD"/>
    <n v="102"/>
    <d v="2025-07-31T00:00:00"/>
    <s v="Liaison établissement 401000 VWR TO"/>
    <m/>
    <e v="#N/A"/>
    <e v="#N/A"/>
    <n v="79332"/>
    <s v="COMMANDE PRODUIT POUR LABO"/>
    <s v="VWR AVANTOR"/>
    <s v="Q3"/>
    <e v="#REF!"/>
    <e v="#REF!"/>
    <e v="#REF!"/>
  </r>
  <r>
    <s v="181000"/>
    <x v="6"/>
    <s v="COMPTE DE LIAISON DES ETABLISSEMENTS"/>
    <s v="OD"/>
    <n v="102.98"/>
    <d v="2025-06-25T00:00:00"/>
    <s v="Liaison inter-établissement"/>
    <m/>
    <e v="#N/A"/>
    <e v="#N/A"/>
    <n v="82224"/>
    <m/>
    <s v="BRUNEAU"/>
    <s v="Q2"/>
    <e v="#REF!"/>
    <e v="#REF!"/>
    <e v="#REF!"/>
  </r>
  <r>
    <s v="181000"/>
    <x v="6"/>
    <s v="COMPTE DE LIAISON DES ETABLISSEMENTS"/>
    <s v="OD"/>
    <n v="104"/>
    <d v="2025-10-31T00:00:00"/>
    <s v="Liaison établissement 401000 BLD PHARMATECH TO"/>
    <m/>
    <e v="#N/A"/>
    <e v="#N/A"/>
    <n v="87530"/>
    <s v="INGM232808"/>
    <s v="BLD PHARMATECH"/>
    <s v="Q4"/>
    <e v="#REF!"/>
    <e v="#REF!"/>
    <e v="#REF!"/>
  </r>
  <r>
    <s v="181000"/>
    <x v="6"/>
    <s v="COMPTE DE LIAISON DES ETABLISSEMENTS"/>
    <s v="OD"/>
    <n v="104.72"/>
    <d v="2025-10-31T00:00:00"/>
    <s v="Liaison établissement 401000 VWR TO"/>
    <m/>
    <e v="#N/A"/>
    <e v="#N/A"/>
    <n v="87571"/>
    <s v="SOLVANT LABO"/>
    <s v="VWR AVANTOR"/>
    <s v="Q4"/>
    <e v="#REF!"/>
    <e v="#REF!"/>
    <e v="#REF!"/>
  </r>
  <r>
    <s v="181000"/>
    <x v="6"/>
    <s v="COMPTE DE LIAISON DES ETABLISSEMENTS"/>
    <s v="OD"/>
    <n v="105.5"/>
    <d v="2025-07-31T00:00:00"/>
    <s v="Liaison établissement 401000 VWR TO"/>
    <m/>
    <e v="#N/A"/>
    <e v="#N/A"/>
    <n v="79327"/>
    <s v="COMMANDE SOLVANT LABO"/>
    <s v="VWR AVANTOR"/>
    <s v="Q3"/>
    <e v="#REF!"/>
    <e v="#REF!"/>
    <e v="#REF!"/>
  </r>
  <r>
    <s v="181000"/>
    <x v="6"/>
    <s v="COMPTE DE LIAISON DES ETABLISSEMENTS"/>
    <s v="OD"/>
    <n v="106.39"/>
    <d v="2025-02-07T00:00:00"/>
    <s v="Liaison inter-établissement"/>
    <m/>
    <e v="#N/A"/>
    <e v="#N/A"/>
    <n v="64259"/>
    <m/>
    <s v="BOHLENDER"/>
    <s v="Q1"/>
    <e v="#REF!"/>
    <e v="#REF!"/>
    <e v="#REF!"/>
  </r>
  <r>
    <s v="181000"/>
    <x v="6"/>
    <s v="COMPTE DE LIAISON DES ETABLISSEMENTS"/>
    <s v="OD"/>
    <n v="106.5"/>
    <d v="2025-03-19T00:00:00"/>
    <s v="Liaison inter-établissement"/>
    <m/>
    <e v="#N/A"/>
    <e v="#N/A"/>
    <n v="70068"/>
    <m/>
    <s v="RS COMPONENT"/>
    <s v="Q1"/>
    <e v="#REF!"/>
    <e v="#REF!"/>
    <e v="#REF!"/>
  </r>
  <r>
    <s v="181000"/>
    <x v="6"/>
    <s v="COMPTE DE LIAISON DES ETABLISSEMENTS"/>
    <s v="OD"/>
    <n v="106.82"/>
    <d v="2025-12-12T00:00:00"/>
    <s v="Liaison inter-établissement"/>
    <m/>
    <e v="#N/A"/>
    <e v="#N/A"/>
    <n v="94068"/>
    <m/>
    <s v="BRUNEAU"/>
    <s v="Q4"/>
    <e v="#REF!"/>
    <e v="#REF!"/>
    <e v="#REF!"/>
  </r>
  <r>
    <s v="181000"/>
    <x v="6"/>
    <s v="COMPTE DE LIAISON DES ETABLISSEMENTS"/>
    <s v="OD"/>
    <n v="107.17"/>
    <d v="2025-05-16T00:00:00"/>
    <s v="Liaison inter-établissement"/>
    <m/>
    <e v="#N/A"/>
    <e v="#N/A"/>
    <n v="74947"/>
    <m/>
    <s v="DHL"/>
    <s v="Q2"/>
    <e v="#REF!"/>
    <e v="#REF!"/>
    <e v="#REF!"/>
  </r>
  <r>
    <s v="181000"/>
    <x v="6"/>
    <s v="COMPTE DE LIAISON DES ETABLISSEMENTS"/>
    <s v="OD"/>
    <n v="107.39"/>
    <d v="2025-11-07T00:00:00"/>
    <s v="Liaison établissement 401000 VWR TO"/>
    <m/>
    <e v="#N/A"/>
    <e v="#N/A"/>
    <n v="89429"/>
    <s v="4067821368"/>
    <s v="VWR AVANTOR"/>
    <s v="Q4"/>
    <e v="#REF!"/>
    <e v="#REF!"/>
    <e v="#REF!"/>
  </r>
  <r>
    <s v="181000"/>
    <x v="6"/>
    <s v="COMPTE DE LIAISON DES ETABLISSEMENTS"/>
    <s v="OD"/>
    <n v="107.4"/>
    <d v="2025-03-10T00:00:00"/>
    <s v="Liaison inter-établissement"/>
    <m/>
    <e v="#N/A"/>
    <e v="#N/A"/>
    <n v="76650"/>
    <m/>
    <s v="Jérémie Blache"/>
    <s v="Q1"/>
    <e v="#REF!"/>
    <e v="#REF!"/>
    <e v="#REF!"/>
  </r>
  <r>
    <s v="181000"/>
    <x v="6"/>
    <s v="COMPTE DE LIAISON DES ETABLISSEMENTS"/>
    <s v="OD"/>
    <n v="107.64"/>
    <d v="2025-04-28T00:00:00"/>
    <s v="Liaison inter-établissement"/>
    <m/>
    <e v="#N/A"/>
    <e v="#N/A"/>
    <n v="74867"/>
    <m/>
    <s v="ARCANE INDUSTRIE"/>
    <s v="Q2"/>
    <e v="#REF!"/>
    <e v="#REF!"/>
    <e v="#REF!"/>
  </r>
  <r>
    <s v="181000"/>
    <x v="6"/>
    <s v="COMPTE DE LIAISON DES ETABLISSEMENTS"/>
    <s v="OD"/>
    <n v="107.99"/>
    <d v="2025-02-04T00:00:00"/>
    <s v="Liaison inter-établissement"/>
    <m/>
    <e v="#N/A"/>
    <e v="#N/A"/>
    <n v="71399"/>
    <m/>
    <s v="DATACAMPUS"/>
    <s v="Q1"/>
    <e v="#REF!"/>
    <e v="#REF!"/>
    <e v="#REF!"/>
  </r>
  <r>
    <s v="181000"/>
    <x v="6"/>
    <s v="COMPTE DE LIAISON DES ETABLISSEMENTS"/>
    <s v="OD"/>
    <n v="107.99"/>
    <d v="2025-02-19T00:00:00"/>
    <s v="Liaison inter-établissement"/>
    <m/>
    <e v="#N/A"/>
    <e v="#N/A"/>
    <n v="71403"/>
    <m/>
    <s v="DATACAMPUS"/>
    <s v="Q1"/>
    <e v="#REF!"/>
    <e v="#REF!"/>
    <e v="#REF!"/>
  </r>
  <r>
    <s v="181000"/>
    <x v="6"/>
    <s v="COMPTE DE LIAISON DES ETABLISSEMENTS"/>
    <s v="OD"/>
    <n v="107.99"/>
    <d v="2025-03-21T00:00:00"/>
    <s v="Liaison inter-établissement"/>
    <m/>
    <e v="#N/A"/>
    <e v="#N/A"/>
    <n v="71407"/>
    <m/>
    <s v="DATACAMPUS"/>
    <s v="Q1"/>
    <e v="#REF!"/>
    <e v="#REF!"/>
    <e v="#REF!"/>
  </r>
  <r>
    <s v="181000"/>
    <x v="6"/>
    <s v="COMPTE DE LIAISON DES ETABLISSEMENTS"/>
    <s v="OD"/>
    <n v="107.99"/>
    <d v="2025-04-24T00:00:00"/>
    <s v="Liaison inter-établissement"/>
    <m/>
    <e v="#N/A"/>
    <e v="#N/A"/>
    <n v="70100"/>
    <m/>
    <s v="DATACAMPUS"/>
    <s v="Q2"/>
    <e v="#REF!"/>
    <e v="#REF!"/>
    <e v="#REF!"/>
  </r>
  <r>
    <s v="181000"/>
    <x v="6"/>
    <s v="COMPTE DE LIAISON DES ETABLISSEMENTS"/>
    <s v="OD"/>
    <n v="107.99"/>
    <d v="2025-05-21T00:00:00"/>
    <s v="Liaison inter-établissement"/>
    <m/>
    <e v="#N/A"/>
    <e v="#N/A"/>
    <n v="74078"/>
    <m/>
    <s v="DATACAMPUS"/>
    <s v="Q2"/>
    <e v="#REF!"/>
    <e v="#REF!"/>
    <e v="#REF!"/>
  </r>
  <r>
    <s v="181000"/>
    <x v="6"/>
    <s v="COMPTE DE LIAISON DES ETABLISSEMENTS"/>
    <s v="OD"/>
    <n v="107.99"/>
    <d v="2025-06-19T00:00:00"/>
    <s v="Liaison inter-établissement"/>
    <m/>
    <e v="#N/A"/>
    <e v="#N/A"/>
    <n v="76225"/>
    <m/>
    <s v="DATACAMPUS"/>
    <s v="Q2"/>
    <e v="#REF!"/>
    <e v="#REF!"/>
    <e v="#REF!"/>
  </r>
  <r>
    <s v="181000"/>
    <x v="6"/>
    <s v="COMPTE DE LIAISON DES ETABLISSEMENTS"/>
    <s v="OD"/>
    <n v="107.99"/>
    <d v="2025-07-09T00:00:00"/>
    <s v="Liaison inter-établissement"/>
    <m/>
    <e v="#N/A"/>
    <e v="#N/A"/>
    <n v="78876"/>
    <m/>
    <s v="DATACAMPUS"/>
    <s v="Q3"/>
    <e v="#REF!"/>
    <e v="#REF!"/>
    <e v="#REF!"/>
  </r>
  <r>
    <s v="181000"/>
    <x v="6"/>
    <s v="COMPTE DE LIAISON DES ETABLISSEMENTS"/>
    <s v="OD"/>
    <n v="107.99"/>
    <d v="2025-08-25T00:00:00"/>
    <s v="Liaison inter-établissement"/>
    <m/>
    <e v="#N/A"/>
    <e v="#N/A"/>
    <n v="82822"/>
    <m/>
    <s v="DATACAMPUS"/>
    <s v="Q3"/>
    <e v="#REF!"/>
    <e v="#REF!"/>
    <e v="#REF!"/>
  </r>
  <r>
    <s v="181000"/>
    <x v="6"/>
    <s v="COMPTE DE LIAISON DES ETABLISSEMENTS"/>
    <s v="OD"/>
    <n v="107.99"/>
    <d v="2025-09-25T00:00:00"/>
    <s v="Liaison inter-établissement"/>
    <m/>
    <e v="#N/A"/>
    <e v="#N/A"/>
    <n v="82826"/>
    <m/>
    <s v="DATACAMPUS"/>
    <s v="Q3"/>
    <e v="#REF!"/>
    <e v="#REF!"/>
    <e v="#REF!"/>
  </r>
  <r>
    <s v="181000"/>
    <x v="6"/>
    <s v="COMPTE DE LIAISON DES ETABLISSEMENTS"/>
    <s v="OD"/>
    <n v="107.99"/>
    <d v="2025-10-17T00:00:00"/>
    <s v="Liaison inter-établissement"/>
    <m/>
    <e v="#N/A"/>
    <e v="#N/A"/>
    <n v="89338"/>
    <m/>
    <s v="DATACAMPUS"/>
    <s v="Q4"/>
    <e v="#REF!"/>
    <e v="#REF!"/>
    <e v="#REF!"/>
  </r>
  <r>
    <s v="181000"/>
    <x v="6"/>
    <s v="COMPTE DE LIAISON DES ETABLISSEMENTS"/>
    <s v="OD"/>
    <n v="107.99"/>
    <d v="2025-11-19T00:00:00"/>
    <s v="Liaison inter-établissement"/>
    <m/>
    <e v="#N/A"/>
    <e v="#N/A"/>
    <n v="90567"/>
    <m/>
    <s v="DATACAMPUS"/>
    <s v="Q4"/>
    <e v="#REF!"/>
    <e v="#REF!"/>
    <e v="#REF!"/>
  </r>
  <r>
    <s v="181000"/>
    <x v="6"/>
    <s v="COMPTE DE LIAISON DES ETABLISSEMENTS"/>
    <s v="OD"/>
    <n v="107.99"/>
    <d v="2025-12-18T00:00:00"/>
    <s v="Liaison inter-établissement"/>
    <m/>
    <e v="#N/A"/>
    <e v="#N/A"/>
    <n v="93718"/>
    <m/>
    <s v="DATACAMPUS"/>
    <s v="Q4"/>
    <e v="#REF!"/>
    <e v="#REF!"/>
    <e v="#REF!"/>
  </r>
  <r>
    <s v="181000"/>
    <x v="6"/>
    <s v="COMPTE DE LIAISON DES ETABLISSEMENTS"/>
    <s v="OD"/>
    <n v="108"/>
    <d v="2025-03-28T00:00:00"/>
    <s v="Liaison inter-établissement"/>
    <m/>
    <e v="#N/A"/>
    <e v="#N/A"/>
    <n v="68022"/>
    <m/>
    <s v="BLD PHARMATECH"/>
    <s v="Q1"/>
    <e v="#REF!"/>
    <e v="#REF!"/>
    <e v="#REF!"/>
  </r>
  <r>
    <s v="181000"/>
    <x v="6"/>
    <s v="COMPTE DE LIAISON DES ETABLISSEMENTS"/>
    <s v="OD"/>
    <n v="108.45"/>
    <d v="2025-03-10T00:00:00"/>
    <s v="Liaison inter-établissement"/>
    <m/>
    <e v="#N/A"/>
    <e v="#N/A"/>
    <n v="74970"/>
    <m/>
    <s v="ENGIE"/>
    <s v="Q1"/>
    <e v="#REF!"/>
    <e v="#REF!"/>
    <e v="#REF!"/>
  </r>
  <r>
    <s v="181000"/>
    <x v="6"/>
    <s v="COMPTE DE LIAISON DES ETABLISSEMENTS"/>
    <s v="OD"/>
    <n v="108.81"/>
    <d v="2025-08-22T00:00:00"/>
    <s v="Liaison inter-établissement"/>
    <m/>
    <e v="#N/A"/>
    <e v="#N/A"/>
    <n v="83256"/>
    <m/>
    <s v="BRUNEAU"/>
    <s v="Q3"/>
    <e v="#REF!"/>
    <e v="#REF!"/>
    <e v="#REF!"/>
  </r>
  <r>
    <s v="181000"/>
    <x v="6"/>
    <s v="COMPTE DE LIAISON DES ETABLISSEMENTS"/>
    <s v="OD"/>
    <n v="109"/>
    <d v="2025-03-19T00:00:00"/>
    <s v="Liaison inter-établissement"/>
    <m/>
    <e v="#N/A"/>
    <e v="#N/A"/>
    <n v="70028"/>
    <m/>
    <s v="SNCF"/>
    <s v="Q1"/>
    <e v="#REF!"/>
    <e v="#REF!"/>
    <e v="#REF!"/>
  </r>
  <r>
    <s v="181000"/>
    <x v="6"/>
    <s v="COMPTE DE LIAISON DES ETABLISSEMENTS"/>
    <s v="OD"/>
    <n v="109"/>
    <d v="2025-05-07T00:00:00"/>
    <s v="Liaison inter-établissement"/>
    <m/>
    <e v="#N/A"/>
    <e v="#N/A"/>
    <n v="78156"/>
    <m/>
    <s v="SNCF"/>
    <s v="Q2"/>
    <e v="#REF!"/>
    <e v="#REF!"/>
    <e v="#REF!"/>
  </r>
  <r>
    <s v="181000"/>
    <x v="6"/>
    <s v="COMPTE DE LIAISON DES ETABLISSEMENTS"/>
    <s v="OD"/>
    <n v="109"/>
    <d v="2025-05-13T00:00:00"/>
    <s v="Liaison inter-établissement"/>
    <m/>
    <e v="#N/A"/>
    <e v="#N/A"/>
    <n v="78164"/>
    <m/>
    <s v="SNCF"/>
    <s v="Q2"/>
    <e v="#REF!"/>
    <e v="#REF!"/>
    <e v="#REF!"/>
  </r>
  <r>
    <s v="181000"/>
    <x v="6"/>
    <s v="COMPTE DE LIAISON DES ETABLISSEMENTS"/>
    <s v="OD"/>
    <n v="109"/>
    <d v="2025-12-09T00:00:00"/>
    <s v="Liaison inter-établissement"/>
    <m/>
    <e v="#N/A"/>
    <e v="#N/A"/>
    <n v="94132"/>
    <m/>
    <s v="SNCF"/>
    <s v="Q4"/>
    <e v="#REF!"/>
    <e v="#REF!"/>
    <e v="#REF!"/>
  </r>
  <r>
    <s v="181000"/>
    <x v="6"/>
    <s v="COMPTE DE LIAISON DES ETABLISSEMENTS"/>
    <s v="OD"/>
    <n v="109"/>
    <d v="2025-12-11T00:00:00"/>
    <s v="Liaison inter-établissement"/>
    <m/>
    <e v="#N/A"/>
    <e v="#N/A"/>
    <n v="94144"/>
    <m/>
    <s v="SNCF"/>
    <s v="Q4"/>
    <e v="#REF!"/>
    <e v="#REF!"/>
    <e v="#REF!"/>
  </r>
  <r>
    <s v="181000"/>
    <x v="6"/>
    <s v="COMPTE DE LIAISON DES ETABLISSEMENTS"/>
    <s v="OD"/>
    <n v="110.17"/>
    <d v="2025-09-26T00:00:00"/>
    <s v="Liaison inter-établissement"/>
    <m/>
    <e v="#N/A"/>
    <e v="#N/A"/>
    <n v="89739"/>
    <m/>
    <s v="BOOKING"/>
    <s v="Q3"/>
    <e v="#REF!"/>
    <e v="#REF!"/>
    <e v="#REF!"/>
  </r>
  <r>
    <s v="181000"/>
    <x v="6"/>
    <s v="COMPTE DE LIAISON DES ETABLISSEMENTS"/>
    <s v="OD"/>
    <n v="110.52"/>
    <d v="2025-07-09T00:00:00"/>
    <s v="Liaison établissement 401000 SIGMA TO"/>
    <m/>
    <e v="#N/A"/>
    <e v="#N/A"/>
    <n v="77237"/>
    <s v="PRODUITS POUR VBIO ET V2020 AMINOIMINOMETHANESULFINIC ACID IRON II SULFATE HEPTAHYDRATE"/>
    <s v="Sigma-Aldrich chimie"/>
    <s v="Q3"/>
    <e v="#REF!"/>
    <e v="#REF!"/>
    <e v="#REF!"/>
  </r>
  <r>
    <s v="181000"/>
    <x v="6"/>
    <s v="COMPTE DE LIAISON DES ETABLISSEMENTS"/>
    <s v="OD"/>
    <n v="110.59"/>
    <d v="2025-08-21T00:00:00"/>
    <s v="Liaison établissement 401000 VWR TO"/>
    <m/>
    <e v="#N/A"/>
    <e v="#N/A"/>
    <n v="81528"/>
    <s v="COMMANDE CONSOMMABLES LABO"/>
    <s v="VWR AVANTOR"/>
    <s v="Q3"/>
    <e v="#REF!"/>
    <e v="#REF!"/>
    <e v="#REF!"/>
  </r>
  <r>
    <s v="181000"/>
    <x v="6"/>
    <s v="COMPTE DE LIAISON DES ETABLISSEMENTS"/>
    <s v="OD"/>
    <n v="111"/>
    <d v="2025-04-09T00:00:00"/>
    <s v="Liaison inter-établissement"/>
    <m/>
    <e v="#N/A"/>
    <e v="#N/A"/>
    <n v="78168"/>
    <m/>
    <s v="SNCF"/>
    <s v="Q2"/>
    <e v="#REF!"/>
    <e v="#REF!"/>
    <e v="#REF!"/>
  </r>
  <r>
    <s v="181000"/>
    <x v="6"/>
    <s v="COMPTE DE LIAISON DES ETABLISSEMENTS"/>
    <s v="OD"/>
    <n v="111.05"/>
    <d v="2025-02-22T00:00:00"/>
    <s v="Liaison inter-établissement"/>
    <m/>
    <e v="#N/A"/>
    <e v="#N/A"/>
    <n v="64275"/>
    <m/>
    <s v="CHATEAUDEAU"/>
    <s v="Q1"/>
    <e v="#REF!"/>
    <e v="#REF!"/>
    <e v="#REF!"/>
  </r>
  <r>
    <s v="181000"/>
    <x v="6"/>
    <s v="COMPTE DE LIAISON DES ETABLISSEMENTS"/>
    <s v="OD"/>
    <n v="111.45"/>
    <d v="2025-03-29T00:00:00"/>
    <s v="Liaison inter-établissement"/>
    <m/>
    <e v="#N/A"/>
    <e v="#N/A"/>
    <n v="71395"/>
    <m/>
    <s v="AIRBNB"/>
    <s v="Q1"/>
    <e v="#REF!"/>
    <e v="#REF!"/>
    <e v="#REF!"/>
  </r>
  <r>
    <s v="181000"/>
    <x v="6"/>
    <s v="COMPTE DE LIAISON DES ETABLISSEMENTS"/>
    <s v="OD"/>
    <n v="111.83"/>
    <d v="2025-07-12T00:00:00"/>
    <s v="Liaison inter-établissement"/>
    <m/>
    <e v="#N/A"/>
    <e v="#N/A"/>
    <n v="81037"/>
    <m/>
    <s v="RS COMPONENT"/>
    <s v="Q3"/>
    <e v="#REF!"/>
    <e v="#REF!"/>
    <e v="#REF!"/>
  </r>
  <r>
    <s v="181000"/>
    <x v="6"/>
    <s v="COMPTE DE LIAISON DES ETABLISSEMENTS"/>
    <s v="OD"/>
    <n v="112.8"/>
    <d v="2025-04-25T00:00:00"/>
    <s v="Liaison établissement 401000 DENIOS TO"/>
    <m/>
    <e v="#N/A"/>
    <e v="#N/A"/>
    <n v="70168"/>
    <s v="Invoice Payment by Pili"/>
    <s v="DENIOS"/>
    <s v="Q2"/>
    <e v="#REF!"/>
    <e v="#REF!"/>
    <e v="#REF!"/>
  </r>
  <r>
    <s v="181000"/>
    <x v="6"/>
    <s v="COMPTE DE LIAISON DES ETABLISSEMENTS"/>
    <s v="OD"/>
    <n v="113"/>
    <d v="2025-04-28T00:00:00"/>
    <s v="Liaison inter-établissement"/>
    <m/>
    <e v="#N/A"/>
    <e v="#N/A"/>
    <n v="74791"/>
    <m/>
    <s v="SNCF"/>
    <s v="Q2"/>
    <e v="#REF!"/>
    <e v="#REF!"/>
    <e v="#REF!"/>
  </r>
  <r>
    <s v="181000"/>
    <x v="6"/>
    <s v="COMPTE DE LIAISON DES ETABLISSEMENTS"/>
    <s v="OD"/>
    <n v="113.26"/>
    <d v="2025-04-25T00:00:00"/>
    <s v="Liaison établissement 401000 AIRLIQUIDE TO"/>
    <m/>
    <e v="#N/A"/>
    <e v="#N/A"/>
    <n v="70128"/>
    <s v="Invoice Payment by Pili"/>
    <s v="AIR LIQUIDE"/>
    <s v="Q2"/>
    <e v="#REF!"/>
    <e v="#REF!"/>
    <e v="#REF!"/>
  </r>
  <r>
    <s v="181000"/>
    <x v="6"/>
    <s v="COMPTE DE LIAISON DES ETABLISSEMENTS"/>
    <s v="OD"/>
    <n v="113.74"/>
    <d v="2025-12-19T00:00:00"/>
    <s v="Liaison inter-établissement"/>
    <m/>
    <e v="#N/A"/>
    <e v="#N/A"/>
    <n v="92926"/>
    <m/>
    <s v="DHL"/>
    <s v="Q4"/>
    <e v="#REF!"/>
    <e v="#REF!"/>
    <e v="#REF!"/>
  </r>
  <r>
    <s v="181000"/>
    <x v="6"/>
    <s v="COMPTE DE LIAISON DES ETABLISSEMENTS"/>
    <s v="OD"/>
    <n v="114.21"/>
    <d v="2025-04-07T00:00:00"/>
    <s v="Liaison inter-établissement"/>
    <m/>
    <e v="#N/A"/>
    <e v="#N/A"/>
    <n v="72768"/>
    <m/>
    <s v="ENGIE"/>
    <s v="Q2"/>
    <e v="#REF!"/>
    <e v="#REF!"/>
    <e v="#REF!"/>
  </r>
  <r>
    <s v="181000"/>
    <x v="6"/>
    <s v="COMPTE DE LIAISON DES ETABLISSEMENTS"/>
    <s v="OD"/>
    <n v="114.38"/>
    <d v="2025-03-25T00:00:00"/>
    <s v="Liaison inter-établissement"/>
    <m/>
    <e v="#N/A"/>
    <e v="#N/A"/>
    <n v="70052"/>
    <m/>
    <s v="MANUTAN"/>
    <s v="Q1"/>
    <e v="#REF!"/>
    <e v="#REF!"/>
    <e v="#REF!"/>
  </r>
  <r>
    <s v="181000"/>
    <x v="6"/>
    <s v="COMPTE DE LIAISON DES ETABLISSEMENTS"/>
    <s v="OD"/>
    <n v="115.21"/>
    <d v="2025-07-05T00:00:00"/>
    <s v="Liaison inter-établissement"/>
    <m/>
    <e v="#N/A"/>
    <e v="#N/A"/>
    <n v="85068"/>
    <m/>
    <s v="CASTORAMA"/>
    <s v="Q3"/>
    <e v="#REF!"/>
    <e v="#REF!"/>
    <e v="#REF!"/>
  </r>
  <r>
    <s v="181000"/>
    <x v="6"/>
    <s v="COMPTE DE LIAISON DES ETABLISSEMENTS"/>
    <s v="OD"/>
    <n v="115.56"/>
    <d v="2025-06-13T00:00:00"/>
    <s v="Liaison inter-établissement"/>
    <m/>
    <e v="#N/A"/>
    <e v="#N/A"/>
    <n v="76714"/>
    <m/>
    <s v="Julie Lacondemine"/>
    <s v="Q2"/>
    <e v="#REF!"/>
    <e v="#REF!"/>
    <e v="#REF!"/>
  </r>
  <r>
    <s v="181000"/>
    <x v="6"/>
    <s v="COMPTE DE LIAISON DES ETABLISSEMENTS"/>
    <s v="OD"/>
    <n v="115.61"/>
    <d v="2025-10-12T00:00:00"/>
    <s v="Liaison inter-établissement"/>
    <s v="Non"/>
    <s v="Non"/>
    <e v="#N/A"/>
    <n v="89687"/>
    <m/>
    <s v="LINKEDIN"/>
    <s v="Q4"/>
    <e v="#REF!"/>
    <e v="#REF!"/>
    <e v="#REF!"/>
  </r>
  <r>
    <s v="181000"/>
    <x v="6"/>
    <s v="COMPTE DE LIAISON DES ETABLISSEMENTS"/>
    <s v="OD"/>
    <n v="116"/>
    <d v="2025-01-14T00:00:00"/>
    <s v="Liaison inter-établissement"/>
    <m/>
    <e v="#N/A"/>
    <e v="#N/A"/>
    <n v="63891"/>
    <m/>
    <s v="SNCF"/>
    <s v="Q1"/>
    <e v="#REF!"/>
    <e v="#REF!"/>
    <e v="#REF!"/>
  </r>
  <r>
    <s v="181000"/>
    <x v="6"/>
    <s v="COMPTE DE LIAISON DES ETABLISSEMENTS"/>
    <s v="OD"/>
    <n v="116"/>
    <d v="2025-01-21T00:00:00"/>
    <s v="Liaison inter-établissement"/>
    <m/>
    <e v="#N/A"/>
    <e v="#N/A"/>
    <n v="63895"/>
    <m/>
    <s v="SNCF"/>
    <s v="Q1"/>
    <e v="#REF!"/>
    <e v="#REF!"/>
    <e v="#REF!"/>
  </r>
  <r>
    <s v="181000"/>
    <x v="6"/>
    <s v="COMPTE DE LIAISON DES ETABLISSEMENTS"/>
    <s v="OD"/>
    <n v="116"/>
    <d v="2025-02-12T00:00:00"/>
    <s v="Liaison inter-établissement"/>
    <m/>
    <e v="#N/A"/>
    <e v="#N/A"/>
    <n v="64379"/>
    <m/>
    <s v="SNCF"/>
    <s v="Q1"/>
    <e v="#REF!"/>
    <e v="#REF!"/>
    <e v="#REF!"/>
  </r>
  <r>
    <s v="181000"/>
    <x v="6"/>
    <s v="COMPTE DE LIAISON DES ETABLISSEMENTS"/>
    <s v="OD"/>
    <n v="116"/>
    <d v="2025-05-13T00:00:00"/>
    <s v="Liaison inter-établissement"/>
    <m/>
    <e v="#N/A"/>
    <e v="#N/A"/>
    <n v="78160"/>
    <m/>
    <s v="SNCF"/>
    <s v="Q2"/>
    <e v="#REF!"/>
    <e v="#REF!"/>
    <e v="#REF!"/>
  </r>
  <r>
    <s v="181000"/>
    <x v="6"/>
    <s v="COMPTE DE LIAISON DES ETABLISSEMENTS"/>
    <s v="OD"/>
    <n v="116"/>
    <d v="2025-10-11T00:00:00"/>
    <s v="Liaison inter-établissement"/>
    <m/>
    <e v="#N/A"/>
    <e v="#N/A"/>
    <n v="89797"/>
    <m/>
    <s v="SNCF"/>
    <s v="Q4"/>
    <e v="#REF!"/>
    <e v="#REF!"/>
    <e v="#REF!"/>
  </r>
  <r>
    <s v="181000"/>
    <x v="6"/>
    <s v="COMPTE DE LIAISON DES ETABLISSEMENTS"/>
    <s v="OD"/>
    <n v="116"/>
    <d v="2025-10-30T00:00:00"/>
    <s v="Liaison inter-établissement"/>
    <m/>
    <e v="#N/A"/>
    <e v="#N/A"/>
    <n v="91685"/>
    <m/>
    <s v="SNCF"/>
    <s v="Q4"/>
    <e v="#REF!"/>
    <e v="#REF!"/>
    <e v="#REF!"/>
  </r>
  <r>
    <s v="181000"/>
    <x v="6"/>
    <s v="COMPTE DE LIAISON DES ETABLISSEMENTS"/>
    <s v="OD"/>
    <n v="116"/>
    <d v="2025-11-01T00:00:00"/>
    <s v="Liaison inter-établissement"/>
    <m/>
    <e v="#N/A"/>
    <e v="#N/A"/>
    <n v="91801"/>
    <m/>
    <s v="SNCF"/>
    <s v="Q4"/>
    <e v="#REF!"/>
    <e v="#REF!"/>
    <e v="#REF!"/>
  </r>
  <r>
    <s v="181000"/>
    <x v="6"/>
    <s v="COMPTE DE LIAISON DES ETABLISSEMENTS"/>
    <s v="OD"/>
    <n v="116"/>
    <d v="2025-11-02T00:00:00"/>
    <s v="Liaison inter-établissement"/>
    <m/>
    <e v="#N/A"/>
    <e v="#N/A"/>
    <n v="91693"/>
    <m/>
    <s v="SNCF"/>
    <s v="Q4"/>
    <e v="#REF!"/>
    <e v="#REF!"/>
    <e v="#REF!"/>
  </r>
  <r>
    <s v="181000"/>
    <x v="6"/>
    <s v="COMPTE DE LIAISON DES ETABLISSEMENTS"/>
    <s v="OD"/>
    <n v="116"/>
    <d v="2025-11-29T00:00:00"/>
    <s v="Liaison inter-établissement"/>
    <m/>
    <e v="#N/A"/>
    <e v="#N/A"/>
    <n v="91709"/>
    <m/>
    <s v="SNCF"/>
    <s v="Q4"/>
    <e v="#REF!"/>
    <e v="#REF!"/>
    <e v="#REF!"/>
  </r>
  <r>
    <s v="181000"/>
    <x v="6"/>
    <s v="COMPTE DE LIAISON DES ETABLISSEMENTS"/>
    <s v="OD"/>
    <n v="116"/>
    <d v="2025-11-29T00:00:00"/>
    <s v="Liaison inter-établissement"/>
    <m/>
    <e v="#N/A"/>
    <e v="#N/A"/>
    <n v="91713"/>
    <m/>
    <s v="SNCF"/>
    <s v="Q4"/>
    <e v="#REF!"/>
    <e v="#REF!"/>
    <e v="#REF!"/>
  </r>
  <r>
    <s v="181000"/>
    <x v="6"/>
    <s v="COMPTE DE LIAISON DES ETABLISSEMENTS"/>
    <s v="OD"/>
    <n v="116.5"/>
    <d v="2025-03-11T00:00:00"/>
    <s v="Liaison inter-établissement"/>
    <m/>
    <e v="#N/A"/>
    <e v="#N/A"/>
    <n v="70020"/>
    <m/>
    <s v="SNCF"/>
    <s v="Q1"/>
    <e v="#REF!"/>
    <e v="#REF!"/>
    <e v="#REF!"/>
  </r>
  <r>
    <s v="181000"/>
    <x v="6"/>
    <s v="COMPTE DE LIAISON DES ETABLISSEMENTS"/>
    <s v="OD"/>
    <n v="116.53"/>
    <d v="2025-09-19T00:00:00"/>
    <s v="Liaison inter-établissement"/>
    <m/>
    <e v="#N/A"/>
    <e v="#N/A"/>
    <n v="83268"/>
    <m/>
    <s v="BRUNEAU"/>
    <s v="Q3"/>
    <e v="#REF!"/>
    <e v="#REF!"/>
    <e v="#REF!"/>
  </r>
  <r>
    <s v="181000"/>
    <x v="6"/>
    <s v="COMPTE DE LIAISON DES ETABLISSEMENTS"/>
    <s v="OD"/>
    <n v="116.97"/>
    <d v="2025-04-15T00:00:00"/>
    <s v="Liaison inter-établissement"/>
    <m/>
    <e v="#N/A"/>
    <e v="#N/A"/>
    <n v="74859"/>
    <m/>
    <s v="American Airlines"/>
    <s v="Q2"/>
    <e v="#REF!"/>
    <e v="#REF!"/>
    <e v="#REF!"/>
  </r>
  <r>
    <s v="181000"/>
    <x v="6"/>
    <s v="COMPTE DE LIAISON DES ETABLISSEMENTS"/>
    <s v="OD"/>
    <n v="116.97"/>
    <d v="2025-04-15T00:00:00"/>
    <s v="Liaison inter-établissement"/>
    <m/>
    <e v="#N/A"/>
    <e v="#N/A"/>
    <n v="74863"/>
    <m/>
    <s v="American Airlines"/>
    <s v="Q2"/>
    <e v="#REF!"/>
    <e v="#REF!"/>
    <e v="#REF!"/>
  </r>
  <r>
    <s v="181000"/>
    <x v="6"/>
    <s v="COMPTE DE LIAISON DES ETABLISSEMENTS"/>
    <s v="OD"/>
    <n v="117"/>
    <d v="2025-04-25T00:00:00"/>
    <s v="Liaison établissement 401000 RUF TO"/>
    <m/>
    <e v="#N/A"/>
    <e v="#N/A"/>
    <n v="70188"/>
    <s v="Invoice Payment by Pili"/>
    <s v="RUF POSEUR D'EMPREINTES"/>
    <s v="Q2"/>
    <e v="#REF!"/>
    <e v="#REF!"/>
    <e v="#REF!"/>
  </r>
  <r>
    <s v="181000"/>
    <x v="6"/>
    <s v="COMPTE DE LIAISON DES ETABLISSEMENTS"/>
    <s v="OD"/>
    <n v="117.6"/>
    <d v="2025-04-25T00:00:00"/>
    <s v="Liaison établissement 401000 CHAUM TO"/>
    <m/>
    <e v="#N/A"/>
    <e v="#N/A"/>
    <n v="70143"/>
    <s v="Invoice Payment by Pili"/>
    <s v="GROUPE CHAUMEIL"/>
    <s v="Q2"/>
    <e v="#REF!"/>
    <e v="#REF!"/>
    <e v="#REF!"/>
  </r>
  <r>
    <s v="181000"/>
    <x v="6"/>
    <s v="COMPTE DE LIAISON DES ETABLISSEMENTS"/>
    <s v="OD"/>
    <n v="118.04"/>
    <d v="2025-07-31T00:00:00"/>
    <s v="Liaison établissement 401000 VWR TO"/>
    <m/>
    <e v="#N/A"/>
    <e v="#N/A"/>
    <n v="79302"/>
    <s v="COMMANDE PRODUIT LABO"/>
    <s v="VWR AVANTOR"/>
    <s v="Q3"/>
    <e v="#REF!"/>
    <e v="#REF!"/>
    <e v="#REF!"/>
  </r>
  <r>
    <s v="181000"/>
    <x v="6"/>
    <s v="COMPTE DE LIAISON DES ETABLISSEMENTS"/>
    <s v="OD"/>
    <n v="118.5"/>
    <d v="2025-02-26T00:00:00"/>
    <s v="Liaison inter-établissement"/>
    <m/>
    <e v="#N/A"/>
    <e v="#N/A"/>
    <n v="73853"/>
    <m/>
    <s v="Jérémie Blache"/>
    <s v="Q1"/>
    <e v="#REF!"/>
    <e v="#REF!"/>
    <e v="#REF!"/>
  </r>
  <r>
    <s v="181000"/>
    <x v="6"/>
    <s v="COMPTE DE LIAISON DES ETABLISSEMENTS"/>
    <s v="OD"/>
    <n v="118.96"/>
    <d v="2025-09-12T00:00:00"/>
    <s v="Liaison établissement 401000 BIOTIKA TO"/>
    <s v="Non"/>
    <e v="#N/A"/>
    <e v="#N/A"/>
    <n v="82067"/>
    <s v="COUTS DE TRANSPORT - ECHANTILLONS"/>
    <s v="BIOTIKA"/>
    <s v="Q3"/>
    <e v="#REF!"/>
    <e v="#REF!"/>
    <e v="#REF!"/>
  </r>
  <r>
    <s v="181000"/>
    <x v="6"/>
    <s v="COMPTE DE LIAISON DES ETABLISSEMENTS"/>
    <s v="OD"/>
    <n v="119.4"/>
    <d v="2025-11-19T00:00:00"/>
    <s v="Liaison inter-établissement"/>
    <m/>
    <e v="#N/A"/>
    <e v="#N/A"/>
    <n v="91677"/>
    <m/>
    <s v="MONDROGUISTE"/>
    <s v="Q4"/>
    <e v="#REF!"/>
    <e v="#REF!"/>
    <e v="#REF!"/>
  </r>
  <r>
    <s v="181000"/>
    <x v="6"/>
    <s v="COMPTE DE LIAISON DES ETABLISSEMENTS"/>
    <s v="OD"/>
    <n v="119.41"/>
    <d v="2025-11-18T00:00:00"/>
    <s v="Liaison inter-établissement"/>
    <m/>
    <e v="#N/A"/>
    <e v="#N/A"/>
    <n v="91608"/>
    <m/>
    <s v="BOOKING"/>
    <s v="Q4"/>
    <e v="#REF!"/>
    <e v="#REF!"/>
    <e v="#REF!"/>
  </r>
  <r>
    <s v="181000"/>
    <x v="6"/>
    <s v="COMPTE DE LIAISON DES ETABLISSEMENTS"/>
    <s v="OD"/>
    <n v="119.99"/>
    <d v="2025-02-09T00:00:00"/>
    <s v="Liaison inter-établissement"/>
    <m/>
    <e v="#N/A"/>
    <e v="#N/A"/>
    <n v="64279"/>
    <m/>
    <s v="DARTY"/>
    <s v="Q1"/>
    <e v="#REF!"/>
    <e v="#REF!"/>
    <e v="#REF!"/>
  </r>
  <r>
    <s v="181000"/>
    <x v="6"/>
    <s v="COMPTE DE LIAISON DES ETABLISSEMENTS"/>
    <s v="OD"/>
    <n v="120"/>
    <d v="2025-05-13T00:00:00"/>
    <s v="Liaison inter-établissement"/>
    <m/>
    <e v="#N/A"/>
    <e v="#N/A"/>
    <n v="74565"/>
    <m/>
    <s v="Marie-Sarah Adenis"/>
    <s v="Q2"/>
    <e v="#REF!"/>
    <e v="#REF!"/>
    <e v="#REF!"/>
  </r>
  <r>
    <s v="181000"/>
    <x v="6"/>
    <s v="COMPTE DE LIAISON DES ETABLISSEMENTS"/>
    <s v="OD"/>
    <n v="120"/>
    <d v="2025-06-04T00:00:00"/>
    <s v="Liaison établissement 401000 SIGMA TO"/>
    <m/>
    <e v="#N/A"/>
    <e v="#N/A"/>
    <n v="75543"/>
    <s v="Invoice payment by Pili"/>
    <s v="Sigma-Aldrich chimie"/>
    <s v="Q2"/>
    <e v="#REF!"/>
    <e v="#REF!"/>
    <e v="#REF!"/>
  </r>
  <r>
    <s v="181000"/>
    <x v="6"/>
    <s v="COMPTE DE LIAISON DES ETABLISSEMENTS"/>
    <s v="OD"/>
    <n v="120.05"/>
    <d v="2025-06-27T00:00:00"/>
    <s v="Liaison inter-établissement"/>
    <m/>
    <e v="#N/A"/>
    <e v="#N/A"/>
    <n v="76759"/>
    <m/>
    <s v="Marie-Sarah Adenis"/>
    <s v="Q2"/>
    <e v="#REF!"/>
    <e v="#REF!"/>
    <e v="#REF!"/>
  </r>
  <r>
    <s v="181000"/>
    <x v="6"/>
    <s v="COMPTE DE LIAISON DES ETABLISSEMENTS"/>
    <s v="OD"/>
    <n v="120.36"/>
    <d v="2025-04-02T00:00:00"/>
    <s v="Liaison établissement 401000 VWR TO"/>
    <m/>
    <e v="#N/A"/>
    <e v="#N/A"/>
    <n v="66498"/>
    <s v="Invoice Payment by Pili"/>
    <s v="VWR AVANTOR"/>
    <s v="Q2"/>
    <e v="#REF!"/>
    <e v="#REF!"/>
    <e v="#REF!"/>
  </r>
  <r>
    <s v="181000"/>
    <x v="6"/>
    <s v="COMPTE DE LIAISON DES ETABLISSEMENTS"/>
    <s v="OD"/>
    <n v="121.85"/>
    <d v="2025-07-31T00:00:00"/>
    <s v="Liaison établissement 401000 VWR TO"/>
    <m/>
    <e v="#N/A"/>
    <e v="#N/A"/>
    <n v="79362"/>
    <s v="COMMANDE CONSOMMABLE LABO"/>
    <s v="VWR AVANTOR"/>
    <s v="Q3"/>
    <e v="#REF!"/>
    <e v="#REF!"/>
    <e v="#REF!"/>
  </r>
  <r>
    <s v="181000"/>
    <x v="6"/>
    <s v="COMPTE DE LIAISON DES ETABLISSEMENTS"/>
    <s v="OD"/>
    <n v="122"/>
    <d v="2025-04-04T00:00:00"/>
    <s v="Liaison inter-établissement"/>
    <m/>
    <e v="#N/A"/>
    <e v="#N/A"/>
    <n v="74779"/>
    <m/>
    <s v="SNCF"/>
    <s v="Q2"/>
    <e v="#REF!"/>
    <e v="#REF!"/>
    <e v="#REF!"/>
  </r>
  <r>
    <s v="181000"/>
    <x v="6"/>
    <s v="COMPTE DE LIAISON DES ETABLISSEMENTS"/>
    <s v="OD"/>
    <n v="122"/>
    <d v="2025-09-03T00:00:00"/>
    <s v="Liaison inter-établissement"/>
    <m/>
    <e v="#N/A"/>
    <e v="#N/A"/>
    <n v="83148"/>
    <m/>
    <s v="SNCF"/>
    <s v="Q3"/>
    <e v="#REF!"/>
    <e v="#REF!"/>
    <e v="#REF!"/>
  </r>
  <r>
    <s v="181000"/>
    <x v="6"/>
    <s v="COMPTE DE LIAISON DES ETABLISSEMENTS"/>
    <s v="OD"/>
    <n v="122.54"/>
    <d v="2025-03-18T00:00:00"/>
    <s v="Liaison inter-établissement"/>
    <m/>
    <e v="#N/A"/>
    <e v="#N/A"/>
    <n v="64463"/>
    <m/>
    <s v="VWR AVANTOR"/>
    <s v="Q1"/>
    <e v="#REF!"/>
    <e v="#REF!"/>
    <e v="#REF!"/>
  </r>
  <r>
    <s v="181000"/>
    <x v="6"/>
    <s v="COMPTE DE LIAISON DES ETABLISSEMENTS"/>
    <s v="OD"/>
    <n v="122.56"/>
    <d v="2025-02-06T00:00:00"/>
    <s v="Liaison inter-établissement"/>
    <m/>
    <e v="#N/A"/>
    <e v="#N/A"/>
    <n v="63817"/>
    <m/>
    <s v="ROTH SOCHIEL"/>
    <s v="Q1"/>
    <e v="#REF!"/>
    <e v="#REF!"/>
    <e v="#REF!"/>
  </r>
  <r>
    <s v="181000"/>
    <x v="6"/>
    <s v="COMPTE DE LIAISON DES ETABLISSEMENTS"/>
    <s v="OD"/>
    <n v="122.65"/>
    <d v="2025-05-23T00:00:00"/>
    <s v="Liaison inter-établissement"/>
    <m/>
    <e v="#N/A"/>
    <e v="#N/A"/>
    <n v="74903"/>
    <m/>
    <s v="DHL"/>
    <s v="Q2"/>
    <e v="#REF!"/>
    <e v="#REF!"/>
    <e v="#REF!"/>
  </r>
  <r>
    <s v="181000"/>
    <x v="6"/>
    <s v="COMPTE DE LIAISON DES ETABLISSEMENTS"/>
    <s v="OD"/>
    <n v="123"/>
    <d v="2025-05-13T00:00:00"/>
    <s v="Liaison inter-établissement"/>
    <m/>
    <e v="#N/A"/>
    <e v="#N/A"/>
    <n v="74581"/>
    <m/>
    <s v="Thibault Dejardin"/>
    <s v="Q2"/>
    <e v="#REF!"/>
    <e v="#REF!"/>
    <e v="#REF!"/>
  </r>
  <r>
    <s v="181000"/>
    <x v="6"/>
    <s v="COMPTE DE LIAISON DES ETABLISSEMENTS"/>
    <s v="OD"/>
    <n v="123.1"/>
    <d v="2025-10-01T00:00:00"/>
    <s v="Liaison inter-établissement"/>
    <m/>
    <e v="#N/A"/>
    <e v="#N/A"/>
    <n v="86698"/>
    <m/>
    <m/>
    <s v="Q4"/>
    <e v="#REF!"/>
    <e v="#REF!"/>
    <e v="#REF!"/>
  </r>
  <r>
    <s v="181000"/>
    <x v="6"/>
    <s v="COMPTE DE LIAISON DES ETABLISSEMENTS"/>
    <s v="OD"/>
    <n v="123.1"/>
    <d v="2025-10-01T00:00:00"/>
    <s v="Liaison inter-établissement vers TO "/>
    <m/>
    <e v="#N/A"/>
    <e v="#N/A"/>
    <n v="86318"/>
    <m/>
    <m/>
    <s v="Q4"/>
    <e v="#REF!"/>
    <e v="#REF!"/>
    <e v="#REF!"/>
  </r>
  <r>
    <s v="181000"/>
    <x v="6"/>
    <s v="COMPTE DE LIAISON DES ETABLISSEMENTS"/>
    <s v="OD"/>
    <n v="124"/>
    <d v="2025-01-29T00:00:00"/>
    <s v="Liaison inter-établissement"/>
    <m/>
    <e v="#N/A"/>
    <e v="#N/A"/>
    <n v="66743"/>
    <m/>
    <s v="SNCF"/>
    <s v="Q1"/>
    <e v="#REF!"/>
    <e v="#REF!"/>
    <e v="#REF!"/>
  </r>
  <r>
    <s v="181000"/>
    <x v="6"/>
    <s v="COMPTE DE LIAISON DES ETABLISSEMENTS"/>
    <s v="OD"/>
    <n v="124"/>
    <d v="2025-12-09T00:00:00"/>
    <s v="Liaison inter-établissement"/>
    <m/>
    <e v="#N/A"/>
    <e v="#N/A"/>
    <n v="94140"/>
    <m/>
    <s v="SNCF"/>
    <s v="Q4"/>
    <e v="#REF!"/>
    <e v="#REF!"/>
    <e v="#REF!"/>
  </r>
  <r>
    <s v="181000"/>
    <x v="6"/>
    <s v="COMPTE DE LIAISON DES ETABLISSEMENTS"/>
    <s v="OD"/>
    <n v="124.06"/>
    <d v="2025-08-18T00:00:00"/>
    <s v="Liaison établissement 401000 VWR TO"/>
    <m/>
    <e v="#N/A"/>
    <e v="#N/A"/>
    <n v="81168"/>
    <s v="COMMANDE PRODUITS LABO"/>
    <s v="VWR AVANTOR"/>
    <s v="Q3"/>
    <e v="#REF!"/>
    <e v="#REF!"/>
    <e v="#REF!"/>
  </r>
  <r>
    <s v="181000"/>
    <x v="6"/>
    <s v="COMPTE DE LIAISON DES ETABLISSEMENTS"/>
    <s v="OD"/>
    <n v="124.92"/>
    <d v="2025-04-30T00:00:00"/>
    <s v="Liaison inter-établissement"/>
    <m/>
    <e v="#N/A"/>
    <e v="#N/A"/>
    <n v="74521"/>
    <m/>
    <s v="Jérémie Blache"/>
    <s v="Q2"/>
    <e v="#REF!"/>
    <e v="#REF!"/>
    <e v="#REF!"/>
  </r>
  <r>
    <s v="181000"/>
    <x v="6"/>
    <s v="COMPTE DE LIAISON DES ETABLISSEMENTS"/>
    <s v="OD"/>
    <n v="125.83"/>
    <d v="2025-10-14T00:00:00"/>
    <s v="Liaison inter-établissement"/>
    <s v="Non"/>
    <s v="Non"/>
    <e v="#N/A"/>
    <n v="89691"/>
    <m/>
    <s v="LINKEDIN"/>
    <s v="Q4"/>
    <e v="#REF!"/>
    <e v="#REF!"/>
    <e v="#REF!"/>
  </r>
  <r>
    <s v="181000"/>
    <x v="6"/>
    <s v="COMPTE DE LIAISON DES ETABLISSEMENTS"/>
    <s v="OD"/>
    <n v="126.59"/>
    <d v="2025-01-26T00:00:00"/>
    <s v="Liaison inter-établissement"/>
    <m/>
    <e v="#N/A"/>
    <e v="#N/A"/>
    <n v="63821"/>
    <m/>
    <s v="RS COMPONENT"/>
    <s v="Q1"/>
    <e v="#REF!"/>
    <e v="#REF!"/>
    <e v="#REF!"/>
  </r>
  <r>
    <s v="181000"/>
    <x v="6"/>
    <s v="COMPTE DE LIAISON DES ETABLISSEMENTS"/>
    <s v="OD"/>
    <n v="127"/>
    <d v="2025-09-12T00:00:00"/>
    <s v="Liaison établissement 401000 TCI TO"/>
    <m/>
    <e v="#N/A"/>
    <e v="#N/A"/>
    <n v="82027"/>
    <s v="COMMANDE PRODUIT KEENB"/>
    <s v="TCI"/>
    <s v="Q3"/>
    <e v="#REF!"/>
    <e v="#REF!"/>
    <e v="#REF!"/>
  </r>
  <r>
    <s v="181000"/>
    <x v="6"/>
    <s v="COMPTE DE LIAISON DES ETABLISSEMENTS"/>
    <s v="OD"/>
    <n v="128"/>
    <d v="2025-03-18T00:00:00"/>
    <s v="Liaison inter-établissement"/>
    <m/>
    <e v="#N/A"/>
    <e v="#N/A"/>
    <n v="64459"/>
    <m/>
    <s v="TCI"/>
    <s v="Q1"/>
    <e v="#REF!"/>
    <e v="#REF!"/>
    <e v="#REF!"/>
  </r>
  <r>
    <s v="181000"/>
    <x v="6"/>
    <s v="COMPTE DE LIAISON DES ETABLISSEMENTS"/>
    <s v="OD"/>
    <n v="128"/>
    <d v="2025-03-24T00:00:00"/>
    <s v="Liaison inter-établissement"/>
    <m/>
    <e v="#N/A"/>
    <e v="#N/A"/>
    <n v="73837"/>
    <m/>
    <s v="Jérémie Blache"/>
    <s v="Q1"/>
    <e v="#REF!"/>
    <e v="#REF!"/>
    <e v="#REF!"/>
  </r>
  <r>
    <s v="181000"/>
    <x v="6"/>
    <s v="COMPTE DE LIAISON DES ETABLISSEMENTS"/>
    <s v="OD"/>
    <n v="128"/>
    <d v="2025-09-05T00:00:00"/>
    <s v="Liaison inter-établissement"/>
    <m/>
    <e v="#N/A"/>
    <e v="#N/A"/>
    <n v="83144"/>
    <m/>
    <s v="SNCF"/>
    <s v="Q3"/>
    <e v="#REF!"/>
    <e v="#REF!"/>
    <e v="#REF!"/>
  </r>
  <r>
    <s v="181000"/>
    <x v="6"/>
    <s v="COMPTE DE LIAISON DES ETABLISSEMENTS"/>
    <s v="OD"/>
    <n v="128"/>
    <d v="2025-10-09T00:00:00"/>
    <s v="Liaison inter-établissement"/>
    <m/>
    <e v="#N/A"/>
    <e v="#N/A"/>
    <n v="89809"/>
    <m/>
    <s v="SNCF"/>
    <s v="Q4"/>
    <e v="#REF!"/>
    <e v="#REF!"/>
    <e v="#REF!"/>
  </r>
  <r>
    <s v="181000"/>
    <x v="6"/>
    <s v="COMPTE DE LIAISON DES ETABLISSEMENTS"/>
    <s v="OD"/>
    <n v="128"/>
    <d v="2025-11-18T00:00:00"/>
    <s v="Liaison inter-établissement"/>
    <m/>
    <e v="#N/A"/>
    <e v="#N/A"/>
    <n v="91721"/>
    <m/>
    <s v="SNCF"/>
    <s v="Q4"/>
    <e v="#REF!"/>
    <e v="#REF!"/>
    <e v="#REF!"/>
  </r>
  <r>
    <s v="181000"/>
    <x v="6"/>
    <s v="COMPTE DE LIAISON DES ETABLISSEMENTS"/>
    <s v="OD"/>
    <n v="128"/>
    <d v="2025-11-25T00:00:00"/>
    <s v="Liaison inter-établissement"/>
    <m/>
    <e v="#N/A"/>
    <e v="#N/A"/>
    <n v="91717"/>
    <m/>
    <s v="SNCF"/>
    <s v="Q4"/>
    <e v="#REF!"/>
    <e v="#REF!"/>
    <e v="#REF!"/>
  </r>
  <r>
    <s v="181000"/>
    <x v="6"/>
    <s v="COMPTE DE LIAISON DES ETABLISSEMENTS"/>
    <s v="OD"/>
    <n v="128.93"/>
    <d v="2025-10-25T00:00:00"/>
    <s v="Liaison inter-établissement"/>
    <m/>
    <e v="#N/A"/>
    <e v="#N/A"/>
    <n v="91592"/>
    <m/>
    <s v="AIRLINES"/>
    <s v="Q4"/>
    <e v="#REF!"/>
    <e v="#REF!"/>
    <e v="#REF!"/>
  </r>
  <r>
    <s v="181000"/>
    <x v="6"/>
    <s v="COMPTE DE LIAISON DES ETABLISSEMENTS"/>
    <s v="OD"/>
    <n v="129.41999999999999"/>
    <d v="2025-03-18T00:00:00"/>
    <s v="Liaison inter-établissement"/>
    <m/>
    <e v="#N/A"/>
    <e v="#N/A"/>
    <n v="64491"/>
    <m/>
    <s v="VWR AVANTOR"/>
    <s v="Q1"/>
    <e v="#REF!"/>
    <e v="#REF!"/>
    <e v="#REF!"/>
  </r>
  <r>
    <s v="181000"/>
    <x v="6"/>
    <s v="COMPTE DE LIAISON DES ETABLISSEMENTS"/>
    <s v="OD"/>
    <n v="130"/>
    <d v="2025-07-31T00:00:00"/>
    <s v="Liaison établissement 401000 ALTAIR TO"/>
    <s v="Non"/>
    <s v="Non"/>
    <e v="#N/A"/>
    <n v="79242"/>
    <s v="CONSEIL ET ASSISTANCE DANS LE CADRE DU SUIVI DES BSPCE"/>
    <s v="ALTAIR AVOCATS"/>
    <s v="Q3"/>
    <e v="#REF!"/>
    <e v="#REF!"/>
    <e v="#REF!"/>
  </r>
  <r>
    <s v="181000"/>
    <x v="6"/>
    <s v="COMPTE DE LIAISON DES ETABLISSEMENTS"/>
    <s v="OD"/>
    <n v="132"/>
    <d v="2025-01-07T00:00:00"/>
    <s v="Liaison inter-établissement"/>
    <m/>
    <e v="#N/A"/>
    <e v="#N/A"/>
    <n v="74875"/>
    <m/>
    <s v="HOPER"/>
    <s v="Q1"/>
    <e v="#REF!"/>
    <e v="#REF!"/>
    <e v="#REF!"/>
  </r>
  <r>
    <s v="181000"/>
    <x v="6"/>
    <s v="COMPTE DE LIAISON DES ETABLISSEMENTS"/>
    <s v="OD"/>
    <n v="132"/>
    <d v="2025-04-07T00:00:00"/>
    <s v="Liaison inter-établissement"/>
    <m/>
    <e v="#N/A"/>
    <e v="#N/A"/>
    <n v="71420"/>
    <m/>
    <s v="HOPER"/>
    <s v="Q2"/>
    <e v="#REF!"/>
    <e v="#REF!"/>
    <e v="#REF!"/>
  </r>
  <r>
    <s v="181000"/>
    <x v="6"/>
    <s v="COMPTE DE LIAISON DES ETABLISSEMENTS"/>
    <s v="OD"/>
    <n v="132.47999999999999"/>
    <d v="2025-07-31T00:00:00"/>
    <s v="Liaison établissement 401000 ROTH TO"/>
    <m/>
    <e v="#N/A"/>
    <e v="#N/A"/>
    <n v="79297"/>
    <s v="RÉACTIFS KL VBIO"/>
    <s v="ROTH SOCHIEL"/>
    <s v="Q3"/>
    <e v="#REF!"/>
    <e v="#REF!"/>
    <e v="#REF!"/>
  </r>
  <r>
    <s v="181000"/>
    <x v="6"/>
    <s v="COMPTE DE LIAISON DES ETABLISSEMENTS"/>
    <s v="OD"/>
    <n v="132.97999999999999"/>
    <d v="2025-12-08T00:00:00"/>
    <s v="Liaison établissement 401000 BIOTIKA TO"/>
    <s v="Non"/>
    <e v="#N/A"/>
    <e v="#N/A"/>
    <n v="91338"/>
    <s v="2025-Q100527"/>
    <s v="BIOTIKA"/>
    <s v="Q4"/>
    <e v="#REF!"/>
    <e v="#REF!"/>
    <e v="#REF!"/>
  </r>
  <r>
    <s v="181000"/>
    <x v="6"/>
    <s v="COMPTE DE LIAISON DES ETABLISSEMENTS"/>
    <s v="OD"/>
    <n v="133.19999999999999"/>
    <d v="2025-02-10T00:00:00"/>
    <s v="Liaison inter-établissement"/>
    <m/>
    <e v="#N/A"/>
    <e v="#N/A"/>
    <n v="73131"/>
    <m/>
    <s v="ORANGE"/>
    <s v="Q1"/>
    <e v="#REF!"/>
    <e v="#REF!"/>
    <e v="#REF!"/>
  </r>
  <r>
    <s v="181000"/>
    <x v="6"/>
    <s v="COMPTE DE LIAISON DES ETABLISSEMENTS"/>
    <s v="OD"/>
    <n v="133.19999999999999"/>
    <d v="2025-03-13T00:00:00"/>
    <s v="Liaison inter-établissement"/>
    <m/>
    <e v="#N/A"/>
    <e v="#N/A"/>
    <n v="81300"/>
    <m/>
    <s v="ORANGE"/>
    <s v="Q1"/>
    <e v="#REF!"/>
    <e v="#REF!"/>
    <e v="#REF!"/>
  </r>
  <r>
    <s v="181000"/>
    <x v="6"/>
    <s v="COMPTE DE LIAISON DES ETABLISSEMENTS"/>
    <s v="OD"/>
    <n v="133.19999999999999"/>
    <d v="2025-04-10T00:00:00"/>
    <s v="Liaison inter-établissement"/>
    <m/>
    <e v="#N/A"/>
    <e v="#N/A"/>
    <n v="87399"/>
    <m/>
    <s v="ORANGE"/>
    <s v="Q2"/>
    <e v="#REF!"/>
    <e v="#REF!"/>
    <e v="#REF!"/>
  </r>
  <r>
    <s v="181000"/>
    <x v="6"/>
    <s v="COMPTE DE LIAISON DES ETABLISSEMENTS"/>
    <s v="OD"/>
    <n v="133.19999999999999"/>
    <d v="2025-05-12T00:00:00"/>
    <s v="Liaison inter-établissement"/>
    <m/>
    <e v="#N/A"/>
    <e v="#N/A"/>
    <n v="81262"/>
    <m/>
    <s v="ORANGE"/>
    <s v="Q2"/>
    <e v="#REF!"/>
    <e v="#REF!"/>
    <e v="#REF!"/>
  </r>
  <r>
    <s v="181000"/>
    <x v="6"/>
    <s v="COMPTE DE LIAISON DES ETABLISSEMENTS"/>
    <s v="OD"/>
    <n v="133.86000000000001"/>
    <d v="2025-12-30T00:00:00"/>
    <s v="Liaison établissement 401000 BIOTIKA TO"/>
    <s v="Non"/>
    <e v="#N/A"/>
    <e v="#N/A"/>
    <n v="93772"/>
    <s v="91250200"/>
    <s v="BIOTIKA"/>
    <s v="Q4"/>
    <e v="#REF!"/>
    <e v="#REF!"/>
    <e v="#REF!"/>
  </r>
  <r>
    <s v="181000"/>
    <x v="6"/>
    <s v="COMPTE DE LIAISON DES ETABLISSEMENTS"/>
    <s v="OD"/>
    <n v="134"/>
    <d v="2025-04-10T00:00:00"/>
    <s v="Liaison inter-établissement"/>
    <m/>
    <e v="#N/A"/>
    <e v="#N/A"/>
    <n v="78186"/>
    <m/>
    <s v="SNCF"/>
    <s v="Q2"/>
    <e v="#REF!"/>
    <e v="#REF!"/>
    <e v="#REF!"/>
  </r>
  <r>
    <s v="181000"/>
    <x v="6"/>
    <s v="COMPTE DE LIAISON DES ETABLISSEMENTS"/>
    <s v="OD"/>
    <n v="134.05000000000001"/>
    <d v="2025-06-30T00:00:00"/>
    <s v="Liaison inter-établissement vers TO "/>
    <m/>
    <e v="#N/A"/>
    <e v="#N/A"/>
    <n v="78705"/>
    <m/>
    <m/>
    <s v="Q2"/>
    <e v="#REF!"/>
    <e v="#REF!"/>
    <e v="#REF!"/>
  </r>
  <r>
    <s v="181000"/>
    <x v="6"/>
    <s v="COMPTE DE LIAISON DES ETABLISSEMENTS"/>
    <s v="OD"/>
    <n v="134.30000000000001"/>
    <d v="2025-05-13T00:00:00"/>
    <s v="Liaison inter-établissement"/>
    <m/>
    <e v="#N/A"/>
    <e v="#N/A"/>
    <n v="75137"/>
    <m/>
    <s v="GANDI"/>
    <s v="Q2"/>
    <e v="#REF!"/>
    <e v="#REF!"/>
    <e v="#REF!"/>
  </r>
  <r>
    <s v="181000"/>
    <x v="6"/>
    <s v="COMPTE DE LIAISON DES ETABLISSEMENTS"/>
    <s v="OD"/>
    <n v="134.76"/>
    <d v="2025-03-06T00:00:00"/>
    <s v="Liaison inter-établissement"/>
    <m/>
    <e v="#N/A"/>
    <e v="#N/A"/>
    <n v="63871"/>
    <m/>
    <s v="Sigma-Aldrich chimie"/>
    <s v="Q1"/>
    <e v="#REF!"/>
    <e v="#REF!"/>
    <e v="#REF!"/>
  </r>
  <r>
    <s v="181000"/>
    <x v="6"/>
    <s v="COMPTE DE LIAISON DES ETABLISSEMENTS"/>
    <s v="OD"/>
    <n v="134.80000000000001"/>
    <d v="2025-06-10T00:00:00"/>
    <s v="Liaison inter-établissement"/>
    <m/>
    <e v="#N/A"/>
    <e v="#N/A"/>
    <n v="81304"/>
    <m/>
    <s v="ORANGE"/>
    <s v="Q2"/>
    <e v="#REF!"/>
    <e v="#REF!"/>
    <e v="#REF!"/>
  </r>
  <r>
    <s v="181000"/>
    <x v="6"/>
    <s v="COMPTE DE LIAISON DES ETABLISSEMENTS"/>
    <s v="OD"/>
    <n v="135"/>
    <d v="2025-07-31T00:00:00"/>
    <s v="Liaison établissement 401000 FISHER TO"/>
    <m/>
    <e v="#N/A"/>
    <e v="#N/A"/>
    <n v="79277"/>
    <s v="ÉQUIPEMENT POUR LABO"/>
    <s v="FISHER SCIENTIFIC"/>
    <s v="Q3"/>
    <e v="#REF!"/>
    <e v="#REF!"/>
    <e v="#REF!"/>
  </r>
  <r>
    <s v="181000"/>
    <x v="6"/>
    <s v="COMPTE DE LIAISON DES ETABLISSEMENTS"/>
    <s v="OD"/>
    <n v="136.56"/>
    <d v="2025-12-03T00:00:00"/>
    <s v="Liaison inter-établissement"/>
    <m/>
    <s v="Non"/>
    <e v="#N/A"/>
    <n v="91849"/>
    <m/>
    <s v="HELLOCSE"/>
    <s v="Q4"/>
    <e v="#REF!"/>
    <e v="#REF!"/>
    <e v="#REF!"/>
  </r>
  <r>
    <s v="181000"/>
    <x v="6"/>
    <s v="COMPTE DE LIAISON DES ETABLISSEMENTS"/>
    <s v="OD"/>
    <n v="136.80000000000001"/>
    <d v="2025-04-08T00:00:00"/>
    <s v="Liaison inter-établissement"/>
    <m/>
    <e v="#N/A"/>
    <e v="#N/A"/>
    <n v="70003"/>
    <m/>
    <s v="ROTH SOCHIEL"/>
    <s v="Q2"/>
    <e v="#REF!"/>
    <e v="#REF!"/>
    <e v="#REF!"/>
  </r>
  <r>
    <s v="181000"/>
    <x v="6"/>
    <s v="COMPTE DE LIAISON DES ETABLISSEMENTS"/>
    <s v="OD"/>
    <n v="136.91999999999999"/>
    <d v="2025-02-18T00:00:00"/>
    <s v="Liaison inter-établissement"/>
    <m/>
    <e v="#N/A"/>
    <e v="#N/A"/>
    <n v="63855"/>
    <m/>
    <s v="Sigma-Aldrich chimie"/>
    <s v="Q1"/>
    <e v="#REF!"/>
    <e v="#REF!"/>
    <e v="#REF!"/>
  </r>
  <r>
    <s v="181000"/>
    <x v="6"/>
    <s v="COMPTE DE LIAISON DES ETABLISSEMENTS"/>
    <s v="OD"/>
    <n v="137.04"/>
    <d v="2025-06-04T00:00:00"/>
    <s v="Liaison établissement 401000 SIGMA TO"/>
    <m/>
    <e v="#N/A"/>
    <e v="#N/A"/>
    <n v="75538"/>
    <s v="Invoice payment by Pili"/>
    <s v="Sigma-Aldrich chimie"/>
    <s v="Q2"/>
    <e v="#REF!"/>
    <e v="#REF!"/>
    <e v="#REF!"/>
  </r>
  <r>
    <s v="181000"/>
    <x v="6"/>
    <s v="COMPTE DE LIAISON DES ETABLISSEMENTS"/>
    <s v="OD"/>
    <n v="139.49"/>
    <d v="2025-08-29T00:00:00"/>
    <s v="Liaison inter-établissement"/>
    <m/>
    <e v="#N/A"/>
    <e v="#N/A"/>
    <n v="81669"/>
    <m/>
    <s v="AIR LIQUIDE"/>
    <s v="Q3"/>
    <e v="#REF!"/>
    <e v="#REF!"/>
    <e v="#REF!"/>
  </r>
  <r>
    <s v="181000"/>
    <x v="6"/>
    <s v="COMPTE DE LIAISON DES ETABLISSEMENTS"/>
    <s v="OD"/>
    <n v="139.56"/>
    <d v="2025-06-30T00:00:00"/>
    <s v="Liaison inter-établissement vers TO "/>
    <m/>
    <e v="#N/A"/>
    <e v="#N/A"/>
    <n v="78540"/>
    <m/>
    <m/>
    <s v="Q2"/>
    <e v="#REF!"/>
    <e v="#REF!"/>
    <e v="#REF!"/>
  </r>
  <r>
    <s v="181000"/>
    <x v="6"/>
    <s v="COMPTE DE LIAISON DES ETABLISSEMENTS"/>
    <s v="OD"/>
    <n v="140.02000000000001"/>
    <d v="2025-09-22T00:00:00"/>
    <s v="Liaison établissement 401000 BIOTIKA TO"/>
    <s v="Non"/>
    <e v="#N/A"/>
    <e v="#N/A"/>
    <n v="82372"/>
    <s v="TRANSPORT ECHANTILLON"/>
    <s v="BIOTIKA"/>
    <s v="Q3"/>
    <e v="#REF!"/>
    <e v="#REF!"/>
    <e v="#REF!"/>
  </r>
  <r>
    <s v="181000"/>
    <x v="6"/>
    <s v="COMPTE DE LIAISON DES ETABLISSEMENTS"/>
    <s v="OD"/>
    <n v="140.74"/>
    <d v="2025-03-27T00:00:00"/>
    <s v="Liaison inter-établissement"/>
    <m/>
    <e v="#N/A"/>
    <e v="#N/A"/>
    <n v="69979"/>
    <m/>
    <s v="FISHER SCIENTIFIC"/>
    <s v="Q1"/>
    <e v="#REF!"/>
    <e v="#REF!"/>
    <e v="#REF!"/>
  </r>
  <r>
    <s v="181000"/>
    <x v="6"/>
    <s v="COMPTE DE LIAISON DES ETABLISSEMENTS"/>
    <s v="OD"/>
    <n v="140.74"/>
    <d v="2025-05-14T00:00:00"/>
    <s v="Liaison établissement 401000 FISHER TO"/>
    <m/>
    <e v="#N/A"/>
    <e v="#N/A"/>
    <n v="72333"/>
    <s v="Invoice Payment by Pili"/>
    <s v="FISHER SCIENTIFIC"/>
    <s v="Q2"/>
    <e v="#REF!"/>
    <e v="#REF!"/>
    <e v="#REF!"/>
  </r>
  <r>
    <s v="181000"/>
    <x v="6"/>
    <s v="COMPTE DE LIAISON DES ETABLISSEMENTS"/>
    <s v="OD"/>
    <n v="141.6"/>
    <d v="2025-03-19T00:00:00"/>
    <s v="Liaison inter-établissement"/>
    <m/>
    <e v="#N/A"/>
    <e v="#N/A"/>
    <n v="63863"/>
    <m/>
    <s v="Sigma-Aldrich chimie"/>
    <s v="Q1"/>
    <e v="#REF!"/>
    <e v="#REF!"/>
    <e v="#REF!"/>
  </r>
  <r>
    <s v="181000"/>
    <x v="6"/>
    <s v="COMPTE DE LIAISON DES ETABLISSEMENTS"/>
    <s v="OD"/>
    <n v="141.66"/>
    <d v="2025-01-01T00:00:00"/>
    <s v="Liaison inter-établissement vers RO "/>
    <m/>
    <e v="#N/A"/>
    <e v="#N/A"/>
    <n v="64432"/>
    <m/>
    <s v="MANO MANO"/>
    <s v="Q1"/>
    <e v="#REF!"/>
    <e v="#REF!"/>
    <e v="#REF!"/>
  </r>
  <r>
    <s v="181000"/>
    <x v="6"/>
    <s v="COMPTE DE LIAISON DES ETABLISSEMENTS"/>
    <s v="OD"/>
    <n v="142.27000000000001"/>
    <d v="2025-12-05T00:00:00"/>
    <s v="Liaison établissement 401000 VWR TO"/>
    <m/>
    <e v="#N/A"/>
    <e v="#N/A"/>
    <n v="91372"/>
    <s v="4067849964"/>
    <s v="VWR AVANTOR"/>
    <s v="Q4"/>
    <e v="#REF!"/>
    <e v="#REF!"/>
    <e v="#REF!"/>
  </r>
  <r>
    <s v="181000"/>
    <x v="6"/>
    <s v="COMPTE DE LIAISON DES ETABLISSEMENTS"/>
    <s v="OD"/>
    <n v="142.86000000000001"/>
    <d v="2025-11-14T00:00:00"/>
    <s v="Liaison inter-établissement"/>
    <m/>
    <e v="#N/A"/>
    <e v="#N/A"/>
    <n v="91625"/>
    <m/>
    <s v="BRUNEAU"/>
    <s v="Q4"/>
    <e v="#REF!"/>
    <e v="#REF!"/>
    <e v="#REF!"/>
  </r>
  <r>
    <s v="181000"/>
    <x v="6"/>
    <s v="COMPTE DE LIAISON DES ETABLISSEMENTS"/>
    <s v="OD"/>
    <n v="143.28"/>
    <d v="2025-05-14T00:00:00"/>
    <s v="Liaison établissement 401000 SIGMA TO"/>
    <m/>
    <e v="#N/A"/>
    <e v="#N/A"/>
    <n v="72348"/>
    <s v="Invoice Payment by Pili"/>
    <s v="Sigma-Aldrich chimie"/>
    <s v="Q2"/>
    <e v="#REF!"/>
    <e v="#REF!"/>
    <e v="#REF!"/>
  </r>
  <r>
    <s v="181000"/>
    <x v="6"/>
    <s v="COMPTE DE LIAISON DES ETABLISSEMENTS"/>
    <s v="OD"/>
    <n v="143.47"/>
    <d v="2025-03-14T00:00:00"/>
    <s v="Liaison établissement 401000 ROTH TO"/>
    <m/>
    <e v="#N/A"/>
    <e v="#N/A"/>
    <n v="61672"/>
    <s v="Paiement Roth"/>
    <s v="ROTH SOCHIEL"/>
    <s v="Q1"/>
    <e v="#REF!"/>
    <e v="#REF!"/>
    <e v="#REF!"/>
  </r>
  <r>
    <s v="181000"/>
    <x v="6"/>
    <s v="COMPTE DE LIAISON DES ETABLISSEMENTS"/>
    <s v="OD"/>
    <n v="144"/>
    <d v="2025-03-18T00:00:00"/>
    <s v="Liaison inter-établissement"/>
    <m/>
    <e v="#N/A"/>
    <e v="#N/A"/>
    <n v="64411"/>
    <m/>
    <s v="CLOUP"/>
    <s v="Q1"/>
    <e v="#REF!"/>
    <e v="#REF!"/>
    <e v="#REF!"/>
  </r>
  <r>
    <s v="181000"/>
    <x v="6"/>
    <s v="COMPTE DE LIAISON DES ETABLISSEMENTS"/>
    <s v="OD"/>
    <n v="144"/>
    <d v="2025-12-15T00:00:00"/>
    <s v="Liaison inter-établissement"/>
    <m/>
    <e v="#N/A"/>
    <e v="#N/A"/>
    <n v="94872"/>
    <m/>
    <s v="RICOH"/>
    <s v="Q4"/>
    <e v="#REF!"/>
    <e v="#REF!"/>
    <e v="#REF!"/>
  </r>
  <r>
    <s v="181000"/>
    <x v="6"/>
    <s v="COMPTE DE LIAISON DES ETABLISSEMENTS"/>
    <s v="OD"/>
    <n v="144.30000000000001"/>
    <d v="2025-09-11T00:00:00"/>
    <s v="Liaison inter-établissement"/>
    <m/>
    <e v="#N/A"/>
    <e v="#N/A"/>
    <n v="83384"/>
    <m/>
    <s v="AIRBNB"/>
    <s v="Q3"/>
    <e v="#REF!"/>
    <e v="#REF!"/>
    <e v="#REF!"/>
  </r>
  <r>
    <s v="181000"/>
    <x v="6"/>
    <s v="COMPTE DE LIAISON DES ETABLISSEMENTS"/>
    <s v="OD"/>
    <n v="145"/>
    <d v="2025-12-31T00:00:00"/>
    <s v="Liaison inter-établissement"/>
    <s v="Non"/>
    <s v="Non"/>
    <e v="#N/A"/>
    <n v="97674"/>
    <m/>
    <s v="Michel Manach"/>
    <s v="Q4"/>
    <e v="#REF!"/>
    <e v="#REF!"/>
    <e v="#REF!"/>
  </r>
  <r>
    <s v="181000"/>
    <x v="6"/>
    <s v="COMPTE DE LIAISON DES ETABLISSEMENTS"/>
    <s v="OD"/>
    <n v="145.03"/>
    <d v="2025-08-21T00:00:00"/>
    <s v="Liaison établissement 401000 VWR TO"/>
    <m/>
    <e v="#N/A"/>
    <e v="#N/A"/>
    <n v="81518"/>
    <s v="COMMANDE CONSOMMABLES LABO"/>
    <s v="VWR AVANTOR"/>
    <s v="Q3"/>
    <e v="#REF!"/>
    <e v="#REF!"/>
    <e v="#REF!"/>
  </r>
  <r>
    <s v="181000"/>
    <x v="6"/>
    <s v="COMPTE DE LIAISON DES ETABLISSEMENTS"/>
    <s v="OD"/>
    <n v="146.06"/>
    <d v="2025-07-31T00:00:00"/>
    <s v="Liaison établissement 401000 VWR TO"/>
    <m/>
    <e v="#N/A"/>
    <e v="#N/A"/>
    <n v="79342"/>
    <s v="COMMANDE PRODUIT LABO"/>
    <s v="VWR AVANTOR"/>
    <s v="Q3"/>
    <e v="#REF!"/>
    <e v="#REF!"/>
    <e v="#REF!"/>
  </r>
  <r>
    <s v="181000"/>
    <x v="6"/>
    <s v="COMPTE DE LIAISON DES ETABLISSEMENTS"/>
    <s v="OD"/>
    <n v="146.1"/>
    <d v="2025-05-24T00:00:00"/>
    <s v="Liaison inter-établissement"/>
    <m/>
    <e v="#N/A"/>
    <e v="#N/A"/>
    <n v="81069"/>
    <m/>
    <s v="WURTH FRANCE"/>
    <s v="Q2"/>
    <e v="#REF!"/>
    <e v="#REF!"/>
    <e v="#REF!"/>
  </r>
  <r>
    <s v="181000"/>
    <x v="6"/>
    <s v="COMPTE DE LIAISON DES ETABLISSEMENTS"/>
    <s v="OD"/>
    <n v="146.63"/>
    <d v="2025-07-31T00:00:00"/>
    <s v="Liaison établissement 401000 VWR TO"/>
    <m/>
    <e v="#N/A"/>
    <e v="#N/A"/>
    <n v="79352"/>
    <s v="COMMANDE PRODUIT LABO"/>
    <s v="VWR AVANTOR"/>
    <s v="Q3"/>
    <e v="#REF!"/>
    <e v="#REF!"/>
    <e v="#REF!"/>
  </r>
  <r>
    <s v="181000"/>
    <x v="6"/>
    <s v="COMPTE DE LIAISON DES ETABLISSEMENTS"/>
    <s v="OD"/>
    <n v="147"/>
    <d v="2025-02-18T00:00:00"/>
    <s v="Liaison inter-établissement"/>
    <m/>
    <e v="#N/A"/>
    <e v="#N/A"/>
    <n v="66747"/>
    <m/>
    <s v="SNCF"/>
    <s v="Q1"/>
    <e v="#REF!"/>
    <e v="#REF!"/>
    <e v="#REF!"/>
  </r>
  <r>
    <s v="181000"/>
    <x v="6"/>
    <s v="COMPTE DE LIAISON DES ETABLISSEMENTS"/>
    <s v="OD"/>
    <n v="147.12"/>
    <d v="2025-03-28T00:00:00"/>
    <s v="Liaison inter-établissement"/>
    <m/>
    <e v="#N/A"/>
    <e v="#N/A"/>
    <n v="68126"/>
    <m/>
    <s v="Sigma-Aldrich chimie"/>
    <s v="Q1"/>
    <e v="#REF!"/>
    <e v="#REF!"/>
    <e v="#REF!"/>
  </r>
  <r>
    <s v="181000"/>
    <x v="6"/>
    <s v="COMPTE DE LIAISON DES ETABLISSEMENTS"/>
    <s v="OD"/>
    <n v="147.69"/>
    <d v="2025-10-30T00:00:00"/>
    <s v="Liaison inter-établissement"/>
    <m/>
    <e v="#N/A"/>
    <e v="#N/A"/>
    <n v="89707"/>
    <m/>
    <s v="AIRBNB"/>
    <s v="Q4"/>
    <e v="#REF!"/>
    <e v="#REF!"/>
    <e v="#REF!"/>
  </r>
  <r>
    <s v="181000"/>
    <x v="6"/>
    <s v="COMPTE DE LIAISON DES ETABLISSEMENTS"/>
    <s v="OD"/>
    <n v="149"/>
    <d v="2025-02-01T00:00:00"/>
    <s v="Liaison inter-établissement"/>
    <m/>
    <e v="#N/A"/>
    <e v="#N/A"/>
    <n v="64363"/>
    <m/>
    <s v="SNCF"/>
    <s v="Q1"/>
    <e v="#REF!"/>
    <e v="#REF!"/>
    <e v="#REF!"/>
  </r>
  <r>
    <s v="181000"/>
    <x v="6"/>
    <s v="COMPTE DE LIAISON DES ETABLISSEMENTS"/>
    <s v="OD"/>
    <n v="150"/>
    <d v="2025-02-24T00:00:00"/>
    <s v="Liaison inter-établissement"/>
    <m/>
    <s v="Non"/>
    <n v="0"/>
    <n v="69971"/>
    <m/>
    <s v="FORMATEC PRO SECURITE"/>
    <s v="Q1"/>
    <e v="#REF!"/>
    <e v="#REF!"/>
    <e v="#REF!"/>
  </r>
  <r>
    <s v="181000"/>
    <x v="6"/>
    <s v="COMPTE DE LIAISON DES ETABLISSEMENTS"/>
    <s v="OD"/>
    <n v="151.1"/>
    <d v="2025-02-24T00:00:00"/>
    <s v="Liaison inter-établissement"/>
    <m/>
    <s v="Non"/>
    <n v="0"/>
    <n v="71391"/>
    <m/>
    <s v="SERVICE ACTION SANTE"/>
    <s v="Q1"/>
    <e v="#REF!"/>
    <e v="#REF!"/>
    <e v="#REF!"/>
  </r>
  <r>
    <s v="181000"/>
    <x v="6"/>
    <s v="COMPTE DE LIAISON DES ETABLISSEMENTS"/>
    <s v="OD"/>
    <n v="152.41"/>
    <d v="2025-05-07T00:00:00"/>
    <s v="Liaison établissement 401000 VWR TO"/>
    <m/>
    <e v="#N/A"/>
    <e v="#N/A"/>
    <n v="71837"/>
    <s v="COMMANDE PRODUIT LABO"/>
    <s v="VWR AVANTOR"/>
    <s v="Q2"/>
    <e v="#REF!"/>
    <e v="#REF!"/>
    <e v="#REF!"/>
  </r>
  <r>
    <s v="181000"/>
    <x v="6"/>
    <s v="COMPTE DE LIAISON DES ETABLISSEMENTS"/>
    <s v="OD"/>
    <n v="154.59"/>
    <d v="2025-05-31T00:00:00"/>
    <s v="Liaison inter-établissement"/>
    <m/>
    <e v="#N/A"/>
    <e v="#N/A"/>
    <n v="81073"/>
    <m/>
    <s v="ROUGIER ET PIE"/>
    <s v="Q2"/>
    <e v="#REF!"/>
    <e v="#REF!"/>
    <e v="#REF!"/>
  </r>
  <r>
    <s v="181000"/>
    <x v="6"/>
    <s v="COMPTE DE LIAISON DES ETABLISSEMENTS"/>
    <s v="OD"/>
    <n v="154.72"/>
    <d v="2025-04-04T00:00:00"/>
    <s v="Liaison inter-établissement"/>
    <m/>
    <e v="#N/A"/>
    <e v="#N/A"/>
    <n v="74771"/>
    <m/>
    <s v="BOHLENDER"/>
    <s v="Q2"/>
    <e v="#REF!"/>
    <e v="#REF!"/>
    <e v="#REF!"/>
  </r>
  <r>
    <s v="181000"/>
    <x v="6"/>
    <s v="COMPTE DE LIAISON DES ETABLISSEMENTS"/>
    <s v="OD"/>
    <n v="154.97999999999999"/>
    <d v="2025-01-06T00:00:00"/>
    <s v="Liaison inter-établissement"/>
    <m/>
    <e v="#N/A"/>
    <e v="#N/A"/>
    <n v="63497"/>
    <m/>
    <s v="ADOBE"/>
    <s v="Q1"/>
    <e v="#REF!"/>
    <e v="#REF!"/>
    <e v="#REF!"/>
  </r>
  <r>
    <s v="181000"/>
    <x v="6"/>
    <s v="COMPTE DE LIAISON DES ETABLISSEMENTS"/>
    <s v="OD"/>
    <n v="154.97999999999999"/>
    <d v="2025-02-06T00:00:00"/>
    <s v="Liaison inter-établissement"/>
    <m/>
    <e v="#N/A"/>
    <e v="#N/A"/>
    <n v="64251"/>
    <m/>
    <s v="ADOBE"/>
    <s v="Q1"/>
    <e v="#REF!"/>
    <e v="#REF!"/>
    <e v="#REF!"/>
  </r>
  <r>
    <s v="181000"/>
    <x v="6"/>
    <s v="COMPTE DE LIAISON DES ETABLISSEMENTS"/>
    <s v="OD"/>
    <n v="154.97999999999999"/>
    <d v="2025-03-06T00:00:00"/>
    <s v="Liaison inter-établissement"/>
    <m/>
    <e v="#N/A"/>
    <e v="#N/A"/>
    <n v="67994"/>
    <m/>
    <s v="ADOBE"/>
    <s v="Q1"/>
    <e v="#REF!"/>
    <e v="#REF!"/>
    <e v="#REF!"/>
  </r>
  <r>
    <s v="181000"/>
    <x v="6"/>
    <s v="COMPTE DE LIAISON DES ETABLISSEMENTS"/>
    <s v="OD"/>
    <n v="154.97999999999999"/>
    <d v="2025-04-06T00:00:00"/>
    <s v="Liaison inter-établissement"/>
    <m/>
    <e v="#N/A"/>
    <e v="#N/A"/>
    <n v="74819"/>
    <m/>
    <s v="ADOBE"/>
    <s v="Q2"/>
    <e v="#REF!"/>
    <e v="#REF!"/>
    <e v="#REF!"/>
  </r>
  <r>
    <s v="181000"/>
    <x v="6"/>
    <s v="COMPTE DE LIAISON DES ETABLISSEMENTS"/>
    <s v="OD"/>
    <n v="154.97999999999999"/>
    <d v="2025-05-06T00:00:00"/>
    <s v="Liaison inter-établissement"/>
    <m/>
    <e v="#N/A"/>
    <e v="#N/A"/>
    <n v="75125"/>
    <m/>
    <s v="ADOBE"/>
    <s v="Q2"/>
    <e v="#REF!"/>
    <e v="#REF!"/>
    <e v="#REF!"/>
  </r>
  <r>
    <s v="181000"/>
    <x v="6"/>
    <s v="COMPTE DE LIAISON DES ETABLISSEMENTS"/>
    <s v="OD"/>
    <n v="154.97999999999999"/>
    <d v="2025-06-06T00:00:00"/>
    <s v="Liaison inter-établissement"/>
    <m/>
    <e v="#N/A"/>
    <e v="#N/A"/>
    <n v="78231"/>
    <m/>
    <s v="ADOBE"/>
    <s v="Q2"/>
    <e v="#REF!"/>
    <e v="#REF!"/>
    <e v="#REF!"/>
  </r>
  <r>
    <s v="181000"/>
    <x v="6"/>
    <s v="COMPTE DE LIAISON DES ETABLISSEMENTS"/>
    <s v="OD"/>
    <n v="154.97999999999999"/>
    <d v="2025-07-06T00:00:00"/>
    <s v="Liaison inter-établissement"/>
    <m/>
    <e v="#N/A"/>
    <e v="#N/A"/>
    <n v="81021"/>
    <m/>
    <s v="ADOBE"/>
    <s v="Q3"/>
    <e v="#REF!"/>
    <e v="#REF!"/>
    <e v="#REF!"/>
  </r>
  <r>
    <s v="181000"/>
    <x v="6"/>
    <s v="COMPTE DE LIAISON DES ETABLISSEMENTS"/>
    <s v="OD"/>
    <n v="154.97999999999999"/>
    <d v="2025-08-06T00:00:00"/>
    <s v="Liaison inter-établissement"/>
    <m/>
    <e v="#N/A"/>
    <e v="#N/A"/>
    <n v="83320"/>
    <m/>
    <s v="ADOBE"/>
    <s v="Q3"/>
    <e v="#REF!"/>
    <e v="#REF!"/>
    <e v="#REF!"/>
  </r>
  <r>
    <s v="181000"/>
    <x v="6"/>
    <s v="COMPTE DE LIAISON DES ETABLISSEMENTS"/>
    <s v="OD"/>
    <n v="154.97999999999999"/>
    <d v="2025-09-06T00:00:00"/>
    <s v="Liaison inter-établissement"/>
    <m/>
    <e v="#N/A"/>
    <e v="#N/A"/>
    <n v="83324"/>
    <m/>
    <s v="ADOBE"/>
    <s v="Q3"/>
    <e v="#REF!"/>
    <e v="#REF!"/>
    <e v="#REF!"/>
  </r>
  <r>
    <s v="181000"/>
    <x v="6"/>
    <s v="COMPTE DE LIAISON DES ETABLISSEMENTS"/>
    <s v="OD"/>
    <n v="154.97999999999999"/>
    <d v="2025-10-06T00:00:00"/>
    <s v="Liaison inter-établissement"/>
    <m/>
    <e v="#N/A"/>
    <e v="#N/A"/>
    <n v="89699"/>
    <m/>
    <s v="ADOBE"/>
    <s v="Q4"/>
    <e v="#REF!"/>
    <e v="#REF!"/>
    <e v="#REF!"/>
  </r>
  <r>
    <s v="181000"/>
    <x v="6"/>
    <s v="COMPTE DE LIAISON DES ETABLISSEMENTS"/>
    <s v="OD"/>
    <n v="154.97999999999999"/>
    <d v="2025-11-06T00:00:00"/>
    <s v="Liaison inter-établissement"/>
    <m/>
    <e v="#N/A"/>
    <e v="#N/A"/>
    <n v="91576"/>
    <m/>
    <s v="ADOBE"/>
    <s v="Q4"/>
    <e v="#REF!"/>
    <e v="#REF!"/>
    <e v="#REF!"/>
  </r>
  <r>
    <s v="181000"/>
    <x v="6"/>
    <s v="COMPTE DE LIAISON DES ETABLISSEMENTS"/>
    <s v="OD"/>
    <n v="154.97999999999999"/>
    <d v="2025-12-06T00:00:00"/>
    <s v="Liaison inter-établissement"/>
    <m/>
    <e v="#N/A"/>
    <e v="#N/A"/>
    <n v="94064"/>
    <m/>
    <s v="ADOBE"/>
    <s v="Q4"/>
    <e v="#REF!"/>
    <e v="#REF!"/>
    <e v="#REF!"/>
  </r>
  <r>
    <s v="181000"/>
    <x v="6"/>
    <s v="COMPTE DE LIAISON DES ETABLISSEMENTS"/>
    <s v="OD"/>
    <n v="156"/>
    <d v="2025-02-18T00:00:00"/>
    <s v="Liaison inter-établissement"/>
    <m/>
    <e v="#N/A"/>
    <e v="#N/A"/>
    <n v="70012"/>
    <m/>
    <s v="SNCF"/>
    <s v="Q1"/>
    <e v="#REF!"/>
    <e v="#REF!"/>
    <e v="#REF!"/>
  </r>
  <r>
    <s v="181000"/>
    <x v="6"/>
    <s v="COMPTE DE LIAISON DES ETABLISSEMENTS"/>
    <s v="OD"/>
    <n v="156"/>
    <d v="2025-07-22T00:00:00"/>
    <s v="Liaison établissement 401000 BROSSIER TO"/>
    <m/>
    <e v="#N/A"/>
    <e v="#N/A"/>
    <n v="78312"/>
    <s v="TRANSPORT ESSAI 1 ROUSSELET ROBATEL"/>
    <s v="BROSSIER TRANSPORTS"/>
    <s v="Q3"/>
    <e v="#REF!"/>
    <e v="#REF!"/>
    <e v="#REF!"/>
  </r>
  <r>
    <s v="181000"/>
    <x v="6"/>
    <s v="COMPTE DE LIAISON DES ETABLISSEMENTS"/>
    <s v="OD"/>
    <n v="156.24"/>
    <d v="2025-02-04T00:00:00"/>
    <s v="Liaison inter-établissement"/>
    <m/>
    <e v="#N/A"/>
    <e v="#N/A"/>
    <n v="72760"/>
    <m/>
    <s v="ENGIE"/>
    <s v="Q1"/>
    <e v="#REF!"/>
    <e v="#REF!"/>
    <e v="#REF!"/>
  </r>
  <r>
    <s v="181000"/>
    <x v="6"/>
    <s v="COMPTE DE LIAISON DES ETABLISSEMENTS"/>
    <s v="OD"/>
    <n v="157.19999999999999"/>
    <d v="2025-02-20T00:00:00"/>
    <s v="Liaison inter-établissement"/>
    <m/>
    <e v="#N/A"/>
    <e v="#N/A"/>
    <n v="63851"/>
    <m/>
    <s v="Sigma-Aldrich chimie"/>
    <s v="Q1"/>
    <e v="#REF!"/>
    <e v="#REF!"/>
    <e v="#REF!"/>
  </r>
  <r>
    <s v="181000"/>
    <x v="6"/>
    <s v="COMPTE DE LIAISON DES ETABLISSEMENTS"/>
    <s v="OD"/>
    <n v="157.19999999999999"/>
    <d v="2025-06-16T00:00:00"/>
    <s v="Liaison établissement 401000 SIGMA TO"/>
    <m/>
    <e v="#N/A"/>
    <e v="#N/A"/>
    <n v="76041"/>
    <s v="ACCESSOIRE LABO ANALYSES R."/>
    <s v="Sigma-Aldrich chimie"/>
    <s v="Q2"/>
    <e v="#REF!"/>
    <e v="#REF!"/>
    <e v="#REF!"/>
  </r>
  <r>
    <s v="181000"/>
    <x v="6"/>
    <s v="COMPTE DE LIAISON DES ETABLISSEMENTS"/>
    <s v="OD"/>
    <n v="157.19999999999999"/>
    <d v="2025-07-11T00:00:00"/>
    <s v="Liaison inter-établissement"/>
    <m/>
    <e v="#N/A"/>
    <e v="#N/A"/>
    <n v="81258"/>
    <m/>
    <s v="ORANGE"/>
    <s v="Q3"/>
    <e v="#REF!"/>
    <e v="#REF!"/>
    <e v="#REF!"/>
  </r>
  <r>
    <s v="181000"/>
    <x v="6"/>
    <s v="COMPTE DE LIAISON DES ETABLISSEMENTS"/>
    <s v="OD"/>
    <n v="157.19999999999999"/>
    <d v="2025-08-08T00:00:00"/>
    <s v="Liaison inter-établissement"/>
    <m/>
    <e v="#N/A"/>
    <e v="#N/A"/>
    <n v="87298"/>
    <m/>
    <s v="ORANGE"/>
    <s v="Q3"/>
    <e v="#REF!"/>
    <e v="#REF!"/>
    <e v="#REF!"/>
  </r>
  <r>
    <s v="181000"/>
    <x v="6"/>
    <s v="COMPTE DE LIAISON DES ETABLISSEMENTS"/>
    <s v="OD"/>
    <n v="157.19999999999999"/>
    <d v="2025-09-08T00:00:00"/>
    <s v="Liaison inter-établissement"/>
    <m/>
    <e v="#N/A"/>
    <e v="#N/A"/>
    <n v="82260"/>
    <m/>
    <s v="ORANGE"/>
    <s v="Q3"/>
    <e v="#REF!"/>
    <e v="#REF!"/>
    <e v="#REF!"/>
  </r>
  <r>
    <s v="181000"/>
    <x v="6"/>
    <s v="COMPTE DE LIAISON DES ETABLISSEMENTS"/>
    <s v="OD"/>
    <n v="157.19999999999999"/>
    <d v="2025-10-10T00:00:00"/>
    <s v="Liaison inter-établissement"/>
    <m/>
    <e v="#N/A"/>
    <e v="#N/A"/>
    <n v="90087"/>
    <m/>
    <s v="ORANGE"/>
    <s v="Q4"/>
    <e v="#REF!"/>
    <e v="#REF!"/>
    <e v="#REF!"/>
  </r>
  <r>
    <s v="181000"/>
    <x v="6"/>
    <s v="COMPTE DE LIAISON DES ETABLISSEMENTS"/>
    <s v="OD"/>
    <n v="157.19999999999999"/>
    <d v="2025-11-07T00:00:00"/>
    <s v="Liaison inter-établissement"/>
    <m/>
    <e v="#N/A"/>
    <e v="#N/A"/>
    <n v="90091"/>
    <m/>
    <s v="ORANGE"/>
    <s v="Q4"/>
    <e v="#REF!"/>
    <e v="#REF!"/>
    <e v="#REF!"/>
  </r>
  <r>
    <s v="181000"/>
    <x v="6"/>
    <s v="COMPTE DE LIAISON DES ETABLISSEMENTS"/>
    <s v="OD"/>
    <n v="157.19999999999999"/>
    <d v="2025-12-08T00:00:00"/>
    <s v="Liaison inter-établissement"/>
    <m/>
    <e v="#N/A"/>
    <e v="#N/A"/>
    <n v="92965"/>
    <m/>
    <s v="ORANGE"/>
    <s v="Q4"/>
    <e v="#REF!"/>
    <e v="#REF!"/>
    <e v="#REF!"/>
  </r>
  <r>
    <s v="181000"/>
    <x v="6"/>
    <s v="COMPTE DE LIAISON DES ETABLISSEMENTS"/>
    <s v="OD"/>
    <n v="158.16999999999999"/>
    <d v="2025-12-30T00:00:00"/>
    <s v="Liaison établissement 401000 VWR TO"/>
    <m/>
    <e v="#N/A"/>
    <e v="#N/A"/>
    <n v="93839"/>
    <s v="4067869549"/>
    <s v="VWR AVANTOR"/>
    <s v="Q4"/>
    <e v="#REF!"/>
    <e v="#REF!"/>
    <e v="#REF!"/>
  </r>
  <r>
    <s v="181000"/>
    <x v="6"/>
    <s v="COMPTE DE LIAISON DES ETABLISSEMENTS"/>
    <s v="OD"/>
    <n v="158.65"/>
    <d v="2025-01-31T00:00:00"/>
    <s v="Liaison inter-établissement"/>
    <m/>
    <e v="#N/A"/>
    <e v="#N/A"/>
    <n v="73106"/>
    <m/>
    <s v="FENWICK FINANCIAL SERVICES"/>
    <s v="Q1"/>
    <e v="#REF!"/>
    <e v="#REF!"/>
    <e v="#REF!"/>
  </r>
  <r>
    <s v="181000"/>
    <x v="6"/>
    <s v="COMPTE DE LIAISON DES ETABLISSEMENTS"/>
    <s v="OD"/>
    <n v="158.65"/>
    <d v="2025-02-28T00:00:00"/>
    <s v="Liaison inter-établissement"/>
    <m/>
    <e v="#N/A"/>
    <e v="#N/A"/>
    <n v="73110"/>
    <m/>
    <s v="FENWICK FINANCIAL SERVICES"/>
    <s v="Q1"/>
    <e v="#REF!"/>
    <e v="#REF!"/>
    <e v="#REF!"/>
  </r>
  <r>
    <s v="181000"/>
    <x v="6"/>
    <s v="COMPTE DE LIAISON DES ETABLISSEMENTS"/>
    <s v="OD"/>
    <n v="158.65"/>
    <d v="2025-03-31T00:00:00"/>
    <s v="Liaison inter-établissement"/>
    <m/>
    <e v="#N/A"/>
    <e v="#N/A"/>
    <n v="73114"/>
    <m/>
    <s v="FENWICK FINANCIAL SERVICES"/>
    <s v="Q1"/>
    <e v="#REF!"/>
    <e v="#REF!"/>
    <e v="#REF!"/>
  </r>
  <r>
    <s v="181000"/>
    <x v="6"/>
    <s v="COMPTE DE LIAISON DES ETABLISSEMENTS"/>
    <s v="OD"/>
    <n v="158.65"/>
    <d v="2025-04-11T00:00:00"/>
    <s v="Liaison inter-établissement"/>
    <m/>
    <e v="#N/A"/>
    <e v="#N/A"/>
    <n v="70104"/>
    <m/>
    <s v="FENWICK FINANCIAL SERVICES"/>
    <s v="Q2"/>
    <e v="#REF!"/>
    <e v="#REF!"/>
    <e v="#REF!"/>
  </r>
  <r>
    <s v="181000"/>
    <x v="6"/>
    <s v="COMPTE DE LIAISON DES ETABLISSEMENTS"/>
    <s v="OD"/>
    <n v="158.65"/>
    <d v="2025-05-13T00:00:00"/>
    <s v="Liaison inter-établissement"/>
    <m/>
    <e v="#N/A"/>
    <e v="#N/A"/>
    <n v="73118"/>
    <m/>
    <s v="FENWICK FINANCIAL SERVICES"/>
    <s v="Q2"/>
    <e v="#REF!"/>
    <e v="#REF!"/>
    <e v="#REF!"/>
  </r>
  <r>
    <s v="181000"/>
    <x v="6"/>
    <s v="COMPTE DE LIAISON DES ETABLISSEMENTS"/>
    <s v="OD"/>
    <n v="158.65"/>
    <d v="2025-06-30T00:00:00"/>
    <s v="Liaison inter-établissement"/>
    <m/>
    <e v="#N/A"/>
    <e v="#N/A"/>
    <n v="76019"/>
    <m/>
    <s v="FENWICK FINANCIAL SERVICES"/>
    <s v="Q2"/>
    <e v="#REF!"/>
    <e v="#REF!"/>
    <e v="#REF!"/>
  </r>
  <r>
    <s v="181000"/>
    <x v="6"/>
    <s v="COMPTE DE LIAISON DES ETABLISSEMENTS"/>
    <s v="OD"/>
    <n v="158.65"/>
    <d v="2025-07-11T00:00:00"/>
    <s v="Liaison inter-établissement"/>
    <m/>
    <e v="#N/A"/>
    <e v="#N/A"/>
    <n v="78880"/>
    <m/>
    <s v="FENWICK FINANCIAL SERVICES"/>
    <s v="Q3"/>
    <e v="#REF!"/>
    <e v="#REF!"/>
    <e v="#REF!"/>
  </r>
  <r>
    <s v="181000"/>
    <x v="6"/>
    <s v="COMPTE DE LIAISON DES ETABLISSEMENTS"/>
    <s v="OD"/>
    <n v="158.65"/>
    <d v="2025-08-11T00:00:00"/>
    <s v="Liaison inter-établissement"/>
    <m/>
    <e v="#N/A"/>
    <e v="#N/A"/>
    <n v="81572"/>
    <m/>
    <s v="FENWICK FINANCIAL SERVICES"/>
    <s v="Q3"/>
    <e v="#REF!"/>
    <e v="#REF!"/>
    <e v="#REF!"/>
  </r>
  <r>
    <s v="181000"/>
    <x v="6"/>
    <s v="COMPTE DE LIAISON DES ETABLISSEMENTS"/>
    <s v="OD"/>
    <n v="158.65"/>
    <d v="2025-09-11T00:00:00"/>
    <s v="Liaison inter-établissement"/>
    <m/>
    <e v="#N/A"/>
    <e v="#N/A"/>
    <n v="82104"/>
    <m/>
    <s v="FENWICK FINANCIAL SERVICES"/>
    <s v="Q3"/>
    <e v="#REF!"/>
    <e v="#REF!"/>
    <e v="#REF!"/>
  </r>
  <r>
    <s v="181000"/>
    <x v="6"/>
    <s v="COMPTE DE LIAISON DES ETABLISSEMENTS"/>
    <s v="OD"/>
    <n v="158.65"/>
    <d v="2025-10-13T00:00:00"/>
    <s v="Liaison inter-établissement"/>
    <m/>
    <e v="#N/A"/>
    <e v="#N/A"/>
    <n v="86974"/>
    <m/>
    <s v="FENWICK FINANCIAL SERVICES"/>
    <s v="Q4"/>
    <e v="#REF!"/>
    <e v="#REF!"/>
    <e v="#REF!"/>
  </r>
  <r>
    <s v="181000"/>
    <x v="6"/>
    <s v="COMPTE DE LIAISON DES ETABLISSEMENTS"/>
    <s v="OD"/>
    <n v="158.65"/>
    <d v="2025-11-13T00:00:00"/>
    <s v="Liaison inter-établissement"/>
    <m/>
    <e v="#N/A"/>
    <e v="#N/A"/>
    <n v="90026"/>
    <m/>
    <s v="FENWICK FINANCIAL SERVICES"/>
    <s v="Q4"/>
    <e v="#REF!"/>
    <e v="#REF!"/>
    <e v="#REF!"/>
  </r>
  <r>
    <s v="181000"/>
    <x v="6"/>
    <s v="COMPTE DE LIAISON DES ETABLISSEMENTS"/>
    <s v="OD"/>
    <n v="158.65"/>
    <d v="2025-12-31T00:00:00"/>
    <s v="Liaison inter-établissement"/>
    <m/>
    <e v="#N/A"/>
    <e v="#N/A"/>
    <n v="92135"/>
    <m/>
    <s v="FENWICK FINANCIAL SERVICES"/>
    <s v="Q4"/>
    <e v="#REF!"/>
    <e v="#REF!"/>
    <e v="#REF!"/>
  </r>
  <r>
    <s v="181000"/>
    <x v="6"/>
    <s v="COMPTE DE LIAISON DES ETABLISSEMENTS"/>
    <s v="OD"/>
    <n v="159"/>
    <d v="2025-02-14T00:00:00"/>
    <s v="Liaison inter-établissement"/>
    <m/>
    <e v="#N/A"/>
    <e v="#N/A"/>
    <n v="66751"/>
    <m/>
    <s v="SNCF"/>
    <s v="Q1"/>
    <e v="#REF!"/>
    <e v="#REF!"/>
    <e v="#REF!"/>
  </r>
  <r>
    <s v="181000"/>
    <x v="6"/>
    <s v="COMPTE DE LIAISON DES ETABLISSEMENTS"/>
    <s v="OD"/>
    <n v="159.5"/>
    <d v="2025-05-01T00:00:00"/>
    <s v="Liaison inter-établissement"/>
    <m/>
    <s v="Non"/>
    <e v="#N/A"/>
    <n v="74799"/>
    <m/>
    <s v="DIVERS"/>
    <s v="Q2"/>
    <e v="#REF!"/>
    <e v="#REF!"/>
    <e v="#REF!"/>
  </r>
  <r>
    <s v="181000"/>
    <x v="6"/>
    <s v="COMPTE DE LIAISON DES ETABLISSEMENTS"/>
    <s v="OD"/>
    <n v="160"/>
    <d v="2025-04-15T00:00:00"/>
    <s v="Liaison inter-établissement"/>
    <m/>
    <e v="#N/A"/>
    <e v="#N/A"/>
    <n v="74995"/>
    <m/>
    <s v="SNCF"/>
    <s v="Q2"/>
    <e v="#REF!"/>
    <e v="#REF!"/>
    <e v="#REF!"/>
  </r>
  <r>
    <s v="181000"/>
    <x v="6"/>
    <s v="COMPTE DE LIAISON DES ETABLISSEMENTS"/>
    <s v="OD"/>
    <n v="160.80000000000001"/>
    <d v="2025-06-16T00:00:00"/>
    <s v="Liaison établissement 401000 SIGMA TO"/>
    <m/>
    <e v="#N/A"/>
    <e v="#N/A"/>
    <n v="76036"/>
    <s v="HYDROXYLAMINE SULFATE"/>
    <s v="Sigma-Aldrich chimie"/>
    <s v="Q2"/>
    <e v="#REF!"/>
    <e v="#REF!"/>
    <e v="#REF!"/>
  </r>
  <r>
    <s v="181000"/>
    <x v="6"/>
    <s v="COMPTE DE LIAISON DES ETABLISSEMENTS"/>
    <s v="OD"/>
    <n v="160.80000000000001"/>
    <d v="2025-08-22T00:00:00"/>
    <s v="Liaison établissement 401000 SIGMA TO"/>
    <m/>
    <e v="#N/A"/>
    <e v="#N/A"/>
    <n v="81613"/>
    <s v="HYDROXYLAMINE SULFATE POUR KEENY STEP 2"/>
    <s v="Sigma-Aldrich chimie"/>
    <s v="Q3"/>
    <e v="#REF!"/>
    <e v="#REF!"/>
    <e v="#REF!"/>
  </r>
  <r>
    <s v="181000"/>
    <x v="6"/>
    <s v="COMPTE DE LIAISON DES ETABLISSEMENTS"/>
    <s v="OD"/>
    <n v="162.08000000000001"/>
    <d v="2025-02-28T00:00:00"/>
    <s v="Liaison inter-établissement"/>
    <m/>
    <e v="#N/A"/>
    <e v="#N/A"/>
    <n v="63725"/>
    <m/>
    <s v="FISHER SCIENTIFIC"/>
    <s v="Q1"/>
    <e v="#REF!"/>
    <e v="#REF!"/>
    <e v="#REF!"/>
  </r>
  <r>
    <s v="181000"/>
    <x v="6"/>
    <s v="COMPTE DE LIAISON DES ETABLISSEMENTS"/>
    <s v="OD"/>
    <n v="162.19"/>
    <d v="2025-12-23T00:00:00"/>
    <s v="Liaison inter-établissement"/>
    <m/>
    <e v="#N/A"/>
    <e v="#N/A"/>
    <n v="93598"/>
    <m/>
    <s v="Julie Lacondemine"/>
    <s v="Q4"/>
    <e v="#REF!"/>
    <e v="#REF!"/>
    <e v="#REF!"/>
  </r>
  <r>
    <s v="181000"/>
    <x v="6"/>
    <s v="COMPTE DE LIAISON DES ETABLISSEMENTS"/>
    <s v="OD"/>
    <n v="165.13"/>
    <d v="2025-06-02T00:00:00"/>
    <s v="Liaison établissement 401000 FISHER TO"/>
    <m/>
    <e v="#N/A"/>
    <e v="#N/A"/>
    <n v="75300"/>
    <s v="Invoice Payment By Pili"/>
    <s v="FISHER SCIENTIFIC"/>
    <s v="Q2"/>
    <e v="#REF!"/>
    <e v="#REF!"/>
    <e v="#REF!"/>
  </r>
  <r>
    <s v="181000"/>
    <x v="6"/>
    <s v="COMPTE DE LIAISON DES ETABLISSEMENTS"/>
    <s v="OD"/>
    <n v="166.13"/>
    <d v="2025-01-31T00:00:00"/>
    <s v="Liaison inter-établissement"/>
    <m/>
    <e v="#N/A"/>
    <e v="#N/A"/>
    <n v="87134"/>
    <m/>
    <s v="AIR LIQUIDE"/>
    <s v="Q1"/>
    <e v="#REF!"/>
    <e v="#REF!"/>
    <e v="#REF!"/>
  </r>
  <r>
    <s v="181000"/>
    <x v="6"/>
    <s v="COMPTE DE LIAISON DES ETABLISSEMENTS"/>
    <s v="OD"/>
    <n v="166.82"/>
    <d v="2025-02-03T00:00:00"/>
    <s v="Liaison inter-établissement"/>
    <m/>
    <e v="#N/A"/>
    <e v="#N/A"/>
    <n v="75874"/>
    <m/>
    <s v="Loic masseboeuf"/>
    <s v="Q1"/>
    <e v="#REF!"/>
    <e v="#REF!"/>
    <e v="#REF!"/>
  </r>
  <r>
    <s v="181000"/>
    <x v="6"/>
    <s v="COMPTE DE LIAISON DES ETABLISSEMENTS"/>
    <s v="OD"/>
    <n v="167.8"/>
    <d v="2025-06-20T00:00:00"/>
    <s v="Liaison inter-établissement"/>
    <m/>
    <e v="#N/A"/>
    <e v="#N/A"/>
    <n v="78263"/>
    <m/>
    <s v="NMMEDICAL"/>
    <s v="Q2"/>
    <e v="#REF!"/>
    <e v="#REF!"/>
    <e v="#REF!"/>
  </r>
  <r>
    <s v="181000"/>
    <x v="6"/>
    <s v="COMPTE DE LIAISON DES ETABLISSEMENTS"/>
    <s v="OD"/>
    <n v="168"/>
    <d v="2025-07-31T00:00:00"/>
    <s v="Liaison établissement 401000 TRANSPERFECT TO"/>
    <m/>
    <e v="#N/A"/>
    <e v="#N/A"/>
    <n v="79212"/>
    <s v="RELECTURE TEXTE VOIX OFF ANGLAISE"/>
    <s v="TRANSPERFECT TRADUCTIONS"/>
    <s v="Q3"/>
    <e v="#REF!"/>
    <e v="#REF!"/>
    <e v="#REF!"/>
  </r>
  <r>
    <s v="181000"/>
    <x v="6"/>
    <s v="COMPTE DE LIAISON DES ETABLISSEMENTS"/>
    <s v="OD"/>
    <n v="168.59"/>
    <d v="2025-02-26T00:00:00"/>
    <s v="Liaison inter-établissement"/>
    <s v="Non"/>
    <s v="Non"/>
    <e v="#N/A"/>
    <n v="72796"/>
    <m/>
    <s v="LINKEDIN"/>
    <s v="Q1"/>
    <e v="#REF!"/>
    <e v="#REF!"/>
    <e v="#REF!"/>
  </r>
  <r>
    <s v="181000"/>
    <x v="6"/>
    <s v="COMPTE DE LIAISON DES ETABLISSEMENTS"/>
    <s v="OD"/>
    <n v="168.59"/>
    <d v="2025-02-28T00:00:00"/>
    <s v="Liaison inter-établissement"/>
    <s v="Non"/>
    <s v="Non"/>
    <e v="#N/A"/>
    <n v="72788"/>
    <m/>
    <s v="LINKEDIN"/>
    <s v="Q1"/>
    <e v="#REF!"/>
    <e v="#REF!"/>
    <e v="#REF!"/>
  </r>
  <r>
    <s v="181000"/>
    <x v="6"/>
    <s v="COMPTE DE LIAISON DES ETABLISSEMENTS"/>
    <s v="OD"/>
    <n v="168.59"/>
    <d v="2025-03-27T00:00:00"/>
    <s v="Liaison inter-établissement"/>
    <s v="Non"/>
    <s v="Non"/>
    <e v="#N/A"/>
    <n v="72792"/>
    <m/>
    <s v="LINKEDIN"/>
    <s v="Q1"/>
    <e v="#REF!"/>
    <e v="#REF!"/>
    <e v="#REF!"/>
  </r>
  <r>
    <s v="181000"/>
    <x v="6"/>
    <s v="COMPTE DE LIAISON DES ETABLISSEMENTS"/>
    <s v="OD"/>
    <n v="168.59"/>
    <d v="2025-10-30T00:00:00"/>
    <s v="Liaison inter-établissement"/>
    <s v="Non"/>
    <s v="Non"/>
    <e v="#N/A"/>
    <n v="91853"/>
    <m/>
    <s v="LINKEDIN"/>
    <s v="Q4"/>
    <e v="#REF!"/>
    <e v="#REF!"/>
    <e v="#REF!"/>
  </r>
  <r>
    <s v="181000"/>
    <x v="6"/>
    <s v="COMPTE DE LIAISON DES ETABLISSEMENTS"/>
    <s v="OD"/>
    <n v="168.59"/>
    <d v="2025-11-27T00:00:00"/>
    <s v="Liaison inter-établissement"/>
    <s v="Non"/>
    <s v="Non"/>
    <e v="#N/A"/>
    <n v="91857"/>
    <m/>
    <s v="LINKEDIN"/>
    <s v="Q4"/>
    <e v="#REF!"/>
    <e v="#REF!"/>
    <e v="#REF!"/>
  </r>
  <r>
    <s v="181000"/>
    <x v="6"/>
    <s v="COMPTE DE LIAISON DES ETABLISSEMENTS"/>
    <s v="OD"/>
    <n v="168.59"/>
    <d v="2025-12-27T00:00:00"/>
    <s v="Liaison inter-établissement"/>
    <s v="Non"/>
    <s v="Non"/>
    <e v="#N/A"/>
    <n v="96036"/>
    <m/>
    <s v="LINKEDIN"/>
    <s v="Q4"/>
    <e v="#REF!"/>
    <e v="#REF!"/>
    <e v="#REF!"/>
  </r>
  <r>
    <s v="181000"/>
    <x v="6"/>
    <s v="COMPTE DE LIAISON DES ETABLISSEMENTS"/>
    <s v="OD"/>
    <n v="170.04"/>
    <d v="2025-03-18T00:00:00"/>
    <s v="Liaison inter-établissement"/>
    <m/>
    <e v="#N/A"/>
    <e v="#N/A"/>
    <n v="64495"/>
    <m/>
    <s v="VWR AVANTOR"/>
    <s v="Q1"/>
    <e v="#REF!"/>
    <e v="#REF!"/>
    <e v="#REF!"/>
  </r>
  <r>
    <s v="181000"/>
    <x v="6"/>
    <s v="COMPTE DE LIAISON DES ETABLISSEMENTS"/>
    <s v="OD"/>
    <n v="171.22"/>
    <d v="2025-10-01T00:00:00"/>
    <s v="Liaison inter-établissement"/>
    <m/>
    <e v="#N/A"/>
    <e v="#N/A"/>
    <n v="89711"/>
    <m/>
    <s v="AIRLINES"/>
    <s v="Q4"/>
    <e v="#REF!"/>
    <e v="#REF!"/>
    <e v="#REF!"/>
  </r>
  <r>
    <s v="181000"/>
    <x v="6"/>
    <s v="COMPTE DE LIAISON DES ETABLISSEMENTS"/>
    <s v="OD"/>
    <n v="171.94"/>
    <d v="2025-04-25T00:00:00"/>
    <s v="Liaison établissement 401000 CLOUP TO"/>
    <m/>
    <e v="#N/A"/>
    <e v="#N/A"/>
    <n v="70148"/>
    <s v="Invoice Payment by Pili"/>
    <s v="CLOUP"/>
    <s v="Q2"/>
    <e v="#REF!"/>
    <e v="#REF!"/>
    <e v="#REF!"/>
  </r>
  <r>
    <s v="181000"/>
    <x v="6"/>
    <s v="COMPTE DE LIAISON DES ETABLISSEMENTS"/>
    <s v="OD"/>
    <n v="172"/>
    <d v="2025-10-29T00:00:00"/>
    <s v="Liaison inter-établissement"/>
    <m/>
    <e v="#N/A"/>
    <e v="#N/A"/>
    <n v="89825"/>
    <m/>
    <s v="SNCF"/>
    <s v="Q4"/>
    <e v="#REF!"/>
    <e v="#REF!"/>
    <e v="#REF!"/>
  </r>
  <r>
    <s v="181000"/>
    <x v="6"/>
    <s v="COMPTE DE LIAISON DES ETABLISSEMENTS"/>
    <s v="OD"/>
    <n v="172.78"/>
    <d v="2025-12-04T00:00:00"/>
    <s v="Liaison inter-établissement"/>
    <m/>
    <e v="#N/A"/>
    <e v="#N/A"/>
    <n v="94080"/>
    <m/>
    <s v="GANDI"/>
    <s v="Q4"/>
    <e v="#REF!"/>
    <e v="#REF!"/>
    <e v="#REF!"/>
  </r>
  <r>
    <s v="181000"/>
    <x v="6"/>
    <s v="COMPTE DE LIAISON DES ETABLISSEMENTS"/>
    <s v="OD"/>
    <n v="172.8"/>
    <d v="2025-07-16T00:00:00"/>
    <s v="Liaison inter-établissement"/>
    <m/>
    <e v="#N/A"/>
    <e v="#N/A"/>
    <n v="85060"/>
    <m/>
    <s v="MANUTAN"/>
    <s v="Q3"/>
    <e v="#REF!"/>
    <e v="#REF!"/>
    <e v="#REF!"/>
  </r>
  <r>
    <s v="181000"/>
    <x v="6"/>
    <s v="COMPTE DE LIAISON DES ETABLISSEMENTS"/>
    <s v="OD"/>
    <n v="174"/>
    <d v="2025-03-04T00:00:00"/>
    <s v="Liaison inter-établissement"/>
    <m/>
    <e v="#N/A"/>
    <e v="#N/A"/>
    <n v="73901"/>
    <m/>
    <s v="Thibault Dejardin"/>
    <s v="Q1"/>
    <e v="#REF!"/>
    <e v="#REF!"/>
    <e v="#REF!"/>
  </r>
  <r>
    <s v="181000"/>
    <x v="6"/>
    <s v="COMPTE DE LIAISON DES ETABLISSEMENTS"/>
    <s v="OD"/>
    <n v="174.96"/>
    <d v="2025-02-15T00:00:00"/>
    <s v="Liaison inter-établissement"/>
    <m/>
    <e v="#N/A"/>
    <e v="#N/A"/>
    <n v="64327"/>
    <m/>
    <s v="PROLIANS"/>
    <s v="Q1"/>
    <e v="#REF!"/>
    <e v="#REF!"/>
    <e v="#REF!"/>
  </r>
  <r>
    <s v="181000"/>
    <x v="6"/>
    <s v="COMPTE DE LIAISON DES ETABLISSEMENTS"/>
    <s v="OD"/>
    <n v="174.99"/>
    <d v="2025-06-12T00:00:00"/>
    <s v="Liaison inter-établissement"/>
    <m/>
    <e v="#N/A"/>
    <e v="#N/A"/>
    <n v="78203"/>
    <m/>
    <s v="AIChE"/>
    <s v="Q2"/>
    <e v="#REF!"/>
    <e v="#REF!"/>
    <e v="#REF!"/>
  </r>
  <r>
    <s v="181000"/>
    <x v="6"/>
    <s v="COMPTE DE LIAISON DES ETABLISSEMENTS"/>
    <s v="OD"/>
    <n v="176"/>
    <d v="2025-01-23T00:00:00"/>
    <s v="Liaison inter-établissement"/>
    <m/>
    <e v="#N/A"/>
    <e v="#N/A"/>
    <n v="63899"/>
    <m/>
    <s v="SNCF"/>
    <s v="Q1"/>
    <e v="#REF!"/>
    <e v="#REF!"/>
    <e v="#REF!"/>
  </r>
  <r>
    <s v="181000"/>
    <x v="6"/>
    <s v="COMPTE DE LIAISON DES ETABLISSEMENTS"/>
    <s v="OD"/>
    <n v="176"/>
    <d v="2025-02-12T00:00:00"/>
    <s v="Liaison inter-établissement"/>
    <m/>
    <e v="#N/A"/>
    <e v="#N/A"/>
    <n v="64375"/>
    <m/>
    <s v="SNCF"/>
    <s v="Q1"/>
    <e v="#REF!"/>
    <e v="#REF!"/>
    <e v="#REF!"/>
  </r>
  <r>
    <s v="181000"/>
    <x v="6"/>
    <s v="COMPTE DE LIAISON DES ETABLISSEMENTS"/>
    <s v="OD"/>
    <n v="176"/>
    <d v="2025-05-24T00:00:00"/>
    <s v="Liaison inter-établissement"/>
    <m/>
    <e v="#N/A"/>
    <e v="#N/A"/>
    <n v="78172"/>
    <m/>
    <s v="SNCF"/>
    <s v="Q2"/>
    <e v="#REF!"/>
    <e v="#REF!"/>
    <e v="#REF!"/>
  </r>
  <r>
    <s v="181000"/>
    <x v="6"/>
    <s v="COMPTE DE LIAISON DES ETABLISSEMENTS"/>
    <s v="OD"/>
    <n v="176"/>
    <d v="2025-05-27T00:00:00"/>
    <s v="Liaison inter-établissement"/>
    <m/>
    <e v="#N/A"/>
    <e v="#N/A"/>
    <n v="78136"/>
    <m/>
    <s v="SNCF"/>
    <s v="Q2"/>
    <e v="#REF!"/>
    <e v="#REF!"/>
    <e v="#REF!"/>
  </r>
  <r>
    <s v="181000"/>
    <x v="6"/>
    <s v="COMPTE DE LIAISON DES ETABLISSEMENTS"/>
    <s v="OD"/>
    <n v="176"/>
    <d v="2025-09-15T00:00:00"/>
    <s v="Liaison inter-établissement"/>
    <m/>
    <e v="#N/A"/>
    <e v="#N/A"/>
    <n v="83140"/>
    <m/>
    <s v="SNCF"/>
    <s v="Q3"/>
    <e v="#REF!"/>
    <e v="#REF!"/>
    <e v="#REF!"/>
  </r>
  <r>
    <s v="181000"/>
    <x v="6"/>
    <s v="COMPTE DE LIAISON DES ETABLISSEMENTS"/>
    <s v="OD"/>
    <n v="176"/>
    <d v="2025-10-21T00:00:00"/>
    <s v="Liaison inter-établissement"/>
    <m/>
    <e v="#N/A"/>
    <e v="#N/A"/>
    <n v="89813"/>
    <m/>
    <s v="SNCF"/>
    <s v="Q4"/>
    <e v="#REF!"/>
    <e v="#REF!"/>
    <e v="#REF!"/>
  </r>
  <r>
    <s v="181000"/>
    <x v="6"/>
    <s v="COMPTE DE LIAISON DES ETABLISSEMENTS"/>
    <s v="OD"/>
    <n v="177"/>
    <d v="2025-11-17T00:00:00"/>
    <s v="Liaison établissement 401000 GINELOG TO"/>
    <m/>
    <e v="#N/A"/>
    <e v="#N/A"/>
    <n v="90134"/>
    <s v="LOCATION MINIBUS ÉQUIPE ROUSSILLON DÉPLACEMENT SÉMINAIRE PILI"/>
    <s v="GINE-LOG"/>
    <s v="Q4"/>
    <e v="#REF!"/>
    <e v="#REF!"/>
    <e v="#REF!"/>
  </r>
  <r>
    <s v="181000"/>
    <x v="6"/>
    <s v="COMPTE DE LIAISON DES ETABLISSEMENTS"/>
    <s v="OD"/>
    <n v="178.36"/>
    <d v="2025-07-12T00:00:00"/>
    <s v="Liaison inter-établissement"/>
    <m/>
    <e v="#N/A"/>
    <e v="#N/A"/>
    <n v="81029"/>
    <m/>
    <s v="RS COMPONENT"/>
    <s v="Q3"/>
    <e v="#REF!"/>
    <e v="#REF!"/>
    <e v="#REF!"/>
  </r>
  <r>
    <s v="181000"/>
    <x v="6"/>
    <s v="COMPTE DE LIAISON DES ETABLISSEMENTS"/>
    <s v="OD"/>
    <n v="178.61"/>
    <d v="2025-02-28T00:00:00"/>
    <s v="Liaison inter-établissement"/>
    <m/>
    <e v="#N/A"/>
    <e v="#N/A"/>
    <n v="90109"/>
    <m/>
    <s v="AIR LIQUIDE"/>
    <s v="Q1"/>
    <e v="#REF!"/>
    <e v="#REF!"/>
    <e v="#REF!"/>
  </r>
  <r>
    <s v="181000"/>
    <x v="6"/>
    <s v="COMPTE DE LIAISON DES ETABLISSEMENTS"/>
    <s v="OD"/>
    <n v="178.61"/>
    <d v="2025-05-30T00:00:00"/>
    <s v="Liaison inter-établissement"/>
    <m/>
    <e v="#N/A"/>
    <e v="#N/A"/>
    <n v="75020"/>
    <m/>
    <s v="AIR LIQUIDE"/>
    <s v="Q2"/>
    <e v="#REF!"/>
    <e v="#REF!"/>
    <e v="#REF!"/>
  </r>
  <r>
    <s v="181000"/>
    <x v="6"/>
    <s v="COMPTE DE LIAISON DES ETABLISSEMENTS"/>
    <s v="OD"/>
    <n v="178.61"/>
    <d v="2025-07-31T00:00:00"/>
    <s v="Liaison inter-établissement"/>
    <m/>
    <e v="#N/A"/>
    <e v="#N/A"/>
    <n v="81919"/>
    <m/>
    <s v="AIR LIQUIDE"/>
    <s v="Q3"/>
    <e v="#REF!"/>
    <e v="#REF!"/>
    <e v="#REF!"/>
  </r>
  <r>
    <s v="181000"/>
    <x v="6"/>
    <s v="COMPTE DE LIAISON DES ETABLISSEMENTS"/>
    <s v="OD"/>
    <n v="178.61"/>
    <d v="2025-09-30T00:00:00"/>
    <s v="Liaison inter-établissement"/>
    <m/>
    <e v="#N/A"/>
    <e v="#N/A"/>
    <n v="82666"/>
    <m/>
    <s v="AIR LIQUIDE"/>
    <s v="Q3"/>
    <e v="#REF!"/>
    <e v="#REF!"/>
    <e v="#REF!"/>
  </r>
  <r>
    <s v="181000"/>
    <x v="6"/>
    <s v="COMPTE DE LIAISON DES ETABLISSEMENTS"/>
    <s v="OD"/>
    <n v="178.61"/>
    <d v="2025-12-31T00:00:00"/>
    <s v="Liaison inter-établissement"/>
    <m/>
    <e v="#N/A"/>
    <e v="#N/A"/>
    <n v="95001"/>
    <m/>
    <s v="AIR LIQUIDE"/>
    <s v="Q4"/>
    <e v="#REF!"/>
    <e v="#REF!"/>
    <e v="#REF!"/>
  </r>
  <r>
    <s v="181000"/>
    <x v="6"/>
    <s v="COMPTE DE LIAISON DES ETABLISSEMENTS"/>
    <s v="OD"/>
    <n v="178.8"/>
    <d v="2025-07-29T00:00:00"/>
    <s v="Liaison établissement 401000 SIGMA TO"/>
    <m/>
    <e v="#N/A"/>
    <e v="#N/A"/>
    <n v="78732"/>
    <s v="PRODUITS POUR VBIO ET V2020 AMINOIMINOMETHANESULFINIC ACID IRON II SULFATE HEPTAHYDRATE"/>
    <s v="Sigma-Aldrich chimie"/>
    <s v="Q3"/>
    <e v="#REF!"/>
    <e v="#REF!"/>
    <e v="#REF!"/>
  </r>
  <r>
    <s v="181000"/>
    <x v="6"/>
    <s v="COMPTE DE LIAISON DES ETABLISSEMENTS"/>
    <s v="OD"/>
    <n v="180"/>
    <d v="2025-04-07T00:00:00"/>
    <s v="Liaison inter-établissement"/>
    <m/>
    <e v="#N/A"/>
    <e v="#N/A"/>
    <n v="76718"/>
    <m/>
    <s v="Julie Lacondemine"/>
    <s v="Q2"/>
    <e v="#REF!"/>
    <e v="#REF!"/>
    <e v="#REF!"/>
  </r>
  <r>
    <s v="181000"/>
    <x v="6"/>
    <s v="COMPTE DE LIAISON DES ETABLISSEMENTS"/>
    <s v="OD"/>
    <n v="180"/>
    <d v="2025-07-31T00:00:00"/>
    <s v="Liaison établissement 401000 BECKER TO"/>
    <s v="Non"/>
    <s v="Oui"/>
    <e v="#N/A"/>
    <n v="79252"/>
    <s v="DEMANDE DE BREVET EN INDE (ÉTAT DE LA FAMILLE) - BREVET PHOENIX"/>
    <s v="BECKER"/>
    <s v="Q3"/>
    <e v="#REF!"/>
    <e v="#REF!"/>
    <e v="#REF!"/>
  </r>
  <r>
    <s v="181000"/>
    <x v="6"/>
    <s v="COMPTE DE LIAISON DES ETABLISSEMENTS"/>
    <s v="OD"/>
    <n v="181.2"/>
    <d v="2025-01-03T00:00:00"/>
    <s v="Liaison inter-établissement"/>
    <m/>
    <e v="#N/A"/>
    <e v="#N/A"/>
    <n v="63769"/>
    <m/>
    <s v="OPTIMUS"/>
    <s v="Q1"/>
    <e v="#REF!"/>
    <e v="#REF!"/>
    <e v="#REF!"/>
  </r>
  <r>
    <s v="181000"/>
    <x v="6"/>
    <s v="COMPTE DE LIAISON DES ETABLISSEMENTS"/>
    <s v="OD"/>
    <n v="181.2"/>
    <d v="2025-04-15T00:00:00"/>
    <s v="Liaison inter-établissement"/>
    <m/>
    <e v="#N/A"/>
    <e v="#N/A"/>
    <n v="68094"/>
    <m/>
    <s v="CLOUP"/>
    <s v="Q2"/>
    <e v="#REF!"/>
    <e v="#REF!"/>
    <e v="#REF!"/>
  </r>
  <r>
    <s v="181000"/>
    <x v="6"/>
    <s v="COMPTE DE LIAISON DES ETABLISSEMENTS"/>
    <s v="OD"/>
    <n v="181.54"/>
    <d v="2025-09-19T00:00:00"/>
    <s v="Liaison inter-établissement"/>
    <m/>
    <s v="Non"/>
    <e v="#N/A"/>
    <n v="85064"/>
    <m/>
    <s v="DIVERS"/>
    <s v="Q3"/>
    <e v="#REF!"/>
    <e v="#REF!"/>
    <e v="#REF!"/>
  </r>
  <r>
    <s v="181000"/>
    <x v="6"/>
    <s v="COMPTE DE LIAISON DES ETABLISSEMENTS"/>
    <s v="OD"/>
    <n v="182.39"/>
    <d v="2025-10-16T00:00:00"/>
    <s v="Liaison inter-établissement"/>
    <s v="Non"/>
    <s v="Non"/>
    <e v="#N/A"/>
    <n v="89683"/>
    <m/>
    <s v="LINKEDIN"/>
    <s v="Q4"/>
    <e v="#REF!"/>
    <e v="#REF!"/>
    <e v="#REF!"/>
  </r>
  <r>
    <s v="181000"/>
    <x v="6"/>
    <s v="COMPTE DE LIAISON DES ETABLISSEMENTS"/>
    <s v="OD"/>
    <n v="182.93"/>
    <d v="2025-02-14T00:00:00"/>
    <s v="Liaison inter-établissement"/>
    <m/>
    <e v="#N/A"/>
    <e v="#N/A"/>
    <n v="66775"/>
    <m/>
    <s v="AIRBNB"/>
    <s v="Q1"/>
    <e v="#REF!"/>
    <e v="#REF!"/>
    <e v="#REF!"/>
  </r>
  <r>
    <s v="181000"/>
    <x v="6"/>
    <s v="COMPTE DE LIAISON DES ETABLISSEMENTS"/>
    <s v="OD"/>
    <n v="183.02"/>
    <d v="2025-02-22T00:00:00"/>
    <s v="Liaison inter-établissement"/>
    <m/>
    <e v="#N/A"/>
    <e v="#N/A"/>
    <n v="74259"/>
    <m/>
    <s v="ORANGE"/>
    <s v="Q1"/>
    <e v="#REF!"/>
    <e v="#REF!"/>
    <e v="#REF!"/>
  </r>
  <r>
    <s v="181000"/>
    <x v="6"/>
    <s v="COMPTE DE LIAISON DES ETABLISSEMENTS"/>
    <s v="OD"/>
    <n v="184.32"/>
    <d v="2025-09-22T00:00:00"/>
    <s v="Liaison établissement 401000 OPTIMUS TO"/>
    <m/>
    <e v="#N/A"/>
    <e v="#N/A"/>
    <n v="82397"/>
    <s v="CLARINETTE POUR KL"/>
    <s v="OPTIMUS"/>
    <s v="Q3"/>
    <e v="#REF!"/>
    <e v="#REF!"/>
    <e v="#REF!"/>
  </r>
  <r>
    <s v="181000"/>
    <x v="6"/>
    <s v="COMPTE DE LIAISON DES ETABLISSEMENTS"/>
    <s v="OD"/>
    <n v="184.75"/>
    <d v="2025-05-14T00:00:00"/>
    <s v="Liaison établissement 401000 ROTH TO"/>
    <m/>
    <e v="#N/A"/>
    <e v="#N/A"/>
    <n v="72343"/>
    <s v="Invoice Payment by Pili"/>
    <s v="ROTH SOCHIEL"/>
    <s v="Q2"/>
    <e v="#REF!"/>
    <e v="#REF!"/>
    <e v="#REF!"/>
  </r>
  <r>
    <s v="181000"/>
    <x v="6"/>
    <s v="COMPTE DE LIAISON DES ETABLISSEMENTS"/>
    <s v="OD"/>
    <n v="186"/>
    <d v="2025-05-18T00:00:00"/>
    <s v="Liaison inter-établissement"/>
    <m/>
    <e v="#N/A"/>
    <e v="#N/A"/>
    <n v="78152"/>
    <m/>
    <s v="SNCF"/>
    <s v="Q2"/>
    <e v="#REF!"/>
    <e v="#REF!"/>
    <e v="#REF!"/>
  </r>
  <r>
    <s v="181000"/>
    <x v="6"/>
    <s v="COMPTE DE LIAISON DES ETABLISSEMENTS"/>
    <s v="OD"/>
    <n v="186.02"/>
    <d v="2025-10-15T00:00:00"/>
    <s v="Liaison inter-établissement"/>
    <m/>
    <e v="#N/A"/>
    <e v="#N/A"/>
    <n v="89773"/>
    <m/>
    <s v="RS COMPONENT"/>
    <s v="Q4"/>
    <e v="#REF!"/>
    <e v="#REF!"/>
    <e v="#REF!"/>
  </r>
  <r>
    <s v="181000"/>
    <x v="6"/>
    <s v="COMPTE DE LIAISON DES ETABLISSEMENTS"/>
    <s v="OD"/>
    <n v="186.42"/>
    <d v="2025-07-09T00:00:00"/>
    <s v="Liaison établissement 401000 VWR TO"/>
    <m/>
    <e v="#N/A"/>
    <e v="#N/A"/>
    <n v="77247"/>
    <s v="DODÉCYLSULFATE SEL DE SODIUM LAB"/>
    <s v="VWR AVANTOR"/>
    <s v="Q3"/>
    <e v="#REF!"/>
    <e v="#REF!"/>
    <e v="#REF!"/>
  </r>
  <r>
    <s v="181000"/>
    <x v="6"/>
    <s v="COMPTE DE LIAISON DES ETABLISSEMENTS"/>
    <s v="OD"/>
    <n v="187.2"/>
    <d v="2025-03-31T00:00:00"/>
    <s v="Liaison inter-établissement"/>
    <m/>
    <e v="#N/A"/>
    <e v="#N/A"/>
    <n v="72735"/>
    <m/>
    <s v="Banque Populaire Rive de Paris"/>
    <s v="Q1"/>
    <e v="#REF!"/>
    <e v="#REF!"/>
    <e v="#REF!"/>
  </r>
  <r>
    <s v="181000"/>
    <x v="6"/>
    <s v="COMPTE DE LIAISON DES ETABLISSEMENTS"/>
    <s v="OD"/>
    <n v="187.26"/>
    <d v="2025-02-03T00:00:00"/>
    <s v="Liaison inter-établissement"/>
    <m/>
    <e v="#N/A"/>
    <e v="#N/A"/>
    <n v="73897"/>
    <m/>
    <s v="Loic masseboeuf"/>
    <s v="Q1"/>
    <e v="#REF!"/>
    <e v="#REF!"/>
    <e v="#REF!"/>
  </r>
  <r>
    <s v="181000"/>
    <x v="6"/>
    <s v="COMPTE DE LIAISON DES ETABLISSEMENTS"/>
    <s v="OD"/>
    <n v="187.65"/>
    <d v="2025-12-03T00:00:00"/>
    <s v="Liaison inter-établissement"/>
    <m/>
    <e v="#N/A"/>
    <e v="#N/A"/>
    <n v="96040"/>
    <m/>
    <s v="AIRBNB"/>
    <s v="Q4"/>
    <e v="#REF!"/>
    <e v="#REF!"/>
    <e v="#REF!"/>
  </r>
  <r>
    <s v="181000"/>
    <x v="6"/>
    <s v="COMPTE DE LIAISON DES ETABLISSEMENTS"/>
    <s v="OD"/>
    <n v="187.86"/>
    <d v="2025-11-24T00:00:00"/>
    <s v="Liaison inter-établissement"/>
    <m/>
    <e v="#N/A"/>
    <e v="#N/A"/>
    <n v="91043"/>
    <m/>
    <s v="Julie Lacondemine"/>
    <s v="Q4"/>
    <e v="#REF!"/>
    <e v="#REF!"/>
    <e v="#REF!"/>
  </r>
  <r>
    <s v="181000"/>
    <x v="6"/>
    <s v="COMPTE DE LIAISON DES ETABLISSEMENTS"/>
    <s v="OD"/>
    <n v="188"/>
    <d v="2025-06-30T00:00:00"/>
    <s v="Liaison inter-établissement vers TO "/>
    <m/>
    <e v="#N/A"/>
    <e v="#N/A"/>
    <n v="78520"/>
    <m/>
    <m/>
    <s v="Q2"/>
    <e v="#REF!"/>
    <e v="#REF!"/>
    <e v="#REF!"/>
  </r>
  <r>
    <s v="181000"/>
    <x v="6"/>
    <s v="COMPTE DE LIAISON DES ETABLISSEMENTS"/>
    <s v="OD"/>
    <n v="188"/>
    <d v="2025-11-15T00:00:00"/>
    <s v="Liaison inter-établissement"/>
    <m/>
    <e v="#N/A"/>
    <e v="#N/A"/>
    <n v="91701"/>
    <m/>
    <s v="SNCF"/>
    <s v="Q4"/>
    <e v="#REF!"/>
    <e v="#REF!"/>
    <e v="#REF!"/>
  </r>
  <r>
    <s v="181000"/>
    <x v="6"/>
    <s v="COMPTE DE LIAISON DES ETABLISSEMENTS"/>
    <s v="OD"/>
    <n v="188.4"/>
    <d v="2025-02-28T00:00:00"/>
    <s v="Liaison inter-établissement"/>
    <m/>
    <e v="#N/A"/>
    <e v="#N/A"/>
    <n v="63553"/>
    <m/>
    <s v="ARESCOM"/>
    <s v="Q1"/>
    <e v="#REF!"/>
    <e v="#REF!"/>
    <e v="#REF!"/>
  </r>
  <r>
    <s v="181000"/>
    <x v="6"/>
    <s v="COMPTE DE LIAISON DES ETABLISSEMENTS"/>
    <s v="OD"/>
    <n v="188.52"/>
    <d v="2025-03-18T00:00:00"/>
    <s v="Liaison inter-établissement"/>
    <m/>
    <e v="#N/A"/>
    <e v="#N/A"/>
    <n v="64479"/>
    <m/>
    <s v="VWR AVANTOR"/>
    <s v="Q1"/>
    <e v="#REF!"/>
    <e v="#REF!"/>
    <e v="#REF!"/>
  </r>
  <r>
    <s v="181000"/>
    <x v="6"/>
    <s v="COMPTE DE LIAISON DES ETABLISSEMENTS"/>
    <s v="OD"/>
    <n v="188.55"/>
    <d v="2025-05-14T00:00:00"/>
    <s v="Liaison établissement 401000 BIOTIKA TO"/>
    <s v="Non"/>
    <e v="#N/A"/>
    <e v="#N/A"/>
    <n v="72293"/>
    <m/>
    <s v="BIOTIKA"/>
    <s v="Q2"/>
    <e v="#REF!"/>
    <e v="#REF!"/>
    <e v="#REF!"/>
  </r>
  <r>
    <s v="181000"/>
    <x v="6"/>
    <s v="COMPTE DE LIAISON DES ETABLISSEMENTS"/>
    <s v="OD"/>
    <n v="188.58"/>
    <d v="2025-02-28T00:00:00"/>
    <s v="Liaison inter-établissement"/>
    <m/>
    <e v="#N/A"/>
    <e v="#N/A"/>
    <n v="63625"/>
    <m/>
    <s v="CAWATOES"/>
    <s v="Q1"/>
    <e v="#REF!"/>
    <e v="#REF!"/>
    <e v="#REF!"/>
  </r>
  <r>
    <s v="181000"/>
    <x v="6"/>
    <s v="COMPTE DE LIAISON DES ETABLISSEMENTS"/>
    <s v="OD"/>
    <n v="189.6"/>
    <d v="2025-12-30T00:00:00"/>
    <s v="Liaison établissement 401000 ROTH TO"/>
    <m/>
    <e v="#N/A"/>
    <e v="#N/A"/>
    <n v="93859"/>
    <s v="4185754"/>
    <s v="ROTH SOCHIEL"/>
    <s v="Q4"/>
    <e v="#REF!"/>
    <e v="#REF!"/>
    <e v="#REF!"/>
  </r>
  <r>
    <s v="181000"/>
    <x v="6"/>
    <s v="COMPTE DE LIAISON DES ETABLISSEMENTS"/>
    <s v="OD"/>
    <n v="191"/>
    <d v="2025-12-03T00:00:00"/>
    <s v="Liaison inter-établissement"/>
    <m/>
    <e v="#N/A"/>
    <e v="#N/A"/>
    <n v="94116"/>
    <m/>
    <s v="SNCF"/>
    <s v="Q4"/>
    <e v="#REF!"/>
    <e v="#REF!"/>
    <e v="#REF!"/>
  </r>
  <r>
    <s v="181000"/>
    <x v="6"/>
    <s v="COMPTE DE LIAISON DES ETABLISSEMENTS"/>
    <s v="OD"/>
    <n v="191.12"/>
    <d v="2025-06-30T00:00:00"/>
    <s v="Liaison inter-établissement"/>
    <m/>
    <e v="#N/A"/>
    <e v="#N/A"/>
    <n v="78465"/>
    <m/>
    <m/>
    <s v="Q2"/>
    <e v="#REF!"/>
    <e v="#REF!"/>
    <e v="#REF!"/>
  </r>
  <r>
    <s v="181000"/>
    <x v="6"/>
    <s v="COMPTE DE LIAISON DES ETABLISSEMENTS"/>
    <s v="OD"/>
    <n v="191.12"/>
    <d v="2025-06-30T00:00:00"/>
    <s v="Liaison inter-établissement vers TO "/>
    <m/>
    <e v="#N/A"/>
    <e v="#N/A"/>
    <n v="78473"/>
    <m/>
    <m/>
    <s v="Q2"/>
    <e v="#REF!"/>
    <e v="#REF!"/>
    <e v="#REF!"/>
  </r>
  <r>
    <s v="181000"/>
    <x v="6"/>
    <s v="COMPTE DE LIAISON DES ETABLISSEMENTS"/>
    <s v="OD"/>
    <n v="194"/>
    <d v="2025-10-22T00:00:00"/>
    <s v="Liaison inter-établissement"/>
    <m/>
    <e v="#N/A"/>
    <e v="#N/A"/>
    <n v="89817"/>
    <m/>
    <s v="SNCF"/>
    <s v="Q4"/>
    <e v="#REF!"/>
    <e v="#REF!"/>
    <e v="#REF!"/>
  </r>
  <r>
    <s v="181000"/>
    <x v="6"/>
    <s v="COMPTE DE LIAISON DES ETABLISSEMENTS"/>
    <s v="OD"/>
    <n v="194.04"/>
    <d v="2025-07-31T00:00:00"/>
    <s v="Liaison établissement 401000 VWR TO"/>
    <m/>
    <e v="#N/A"/>
    <e v="#N/A"/>
    <n v="79367"/>
    <s v="COMMANDE CONSOMMABLE LABO"/>
    <s v="VWR AVANTOR"/>
    <s v="Q3"/>
    <e v="#REF!"/>
    <e v="#REF!"/>
    <e v="#REF!"/>
  </r>
  <r>
    <s v="181000"/>
    <x v="6"/>
    <s v="COMPTE DE LIAISON DES ETABLISSEMENTS"/>
    <s v="OD"/>
    <n v="194.2"/>
    <d v="2025-06-17T00:00:00"/>
    <s v="Liaison inter-établissement"/>
    <m/>
    <e v="#N/A"/>
    <e v="#N/A"/>
    <n v="78148"/>
    <m/>
    <s v="SNCF"/>
    <s v="Q2"/>
    <e v="#REF!"/>
    <e v="#REF!"/>
    <e v="#REF!"/>
  </r>
  <r>
    <s v="181000"/>
    <x v="6"/>
    <s v="COMPTE DE LIAISON DES ETABLISSEMENTS"/>
    <s v="OD"/>
    <n v="194.88"/>
    <d v="2025-12-10T00:00:00"/>
    <s v="Liaison établissement 401000 VWR TO"/>
    <m/>
    <e v="#N/A"/>
    <e v="#N/A"/>
    <n v="92060"/>
    <s v="4067855750"/>
    <s v="VWR AVANTOR"/>
    <s v="Q4"/>
    <e v="#REF!"/>
    <e v="#REF!"/>
    <e v="#REF!"/>
  </r>
  <r>
    <s v="181000"/>
    <x v="6"/>
    <s v="COMPTE DE LIAISON DES ETABLISSEMENTS"/>
    <s v="OD"/>
    <n v="195.36"/>
    <d v="2025-04-08T00:00:00"/>
    <s v="Liaison établissement 401000 SIGMA TO"/>
    <m/>
    <e v="#N/A"/>
    <e v="#N/A"/>
    <n v="66704"/>
    <s v="Invoice Payment By Pili"/>
    <s v="Sigma-Aldrich chimie"/>
    <s v="Q2"/>
    <e v="#REF!"/>
    <e v="#REF!"/>
    <e v="#REF!"/>
  </r>
  <r>
    <s v="181000"/>
    <x v="6"/>
    <s v="COMPTE DE LIAISON DES ETABLISSEMENTS"/>
    <s v="OD"/>
    <n v="195.54"/>
    <d v="2025-10-24T00:00:00"/>
    <s v="Liaison inter-établissement"/>
    <m/>
    <e v="#N/A"/>
    <e v="#N/A"/>
    <n v="89723"/>
    <m/>
    <s v="BRUNEAU"/>
    <s v="Q4"/>
    <e v="#REF!"/>
    <e v="#REF!"/>
    <e v="#REF!"/>
  </r>
  <r>
    <s v="181000"/>
    <x v="6"/>
    <s v="COMPTE DE LIAISON DES ETABLISSEMENTS"/>
    <s v="OD"/>
    <n v="196"/>
    <d v="2025-04-25T00:00:00"/>
    <s v="Liaison inter-établissement"/>
    <m/>
    <e v="#N/A"/>
    <e v="#N/A"/>
    <n v="74477"/>
    <m/>
    <s v="Eugénie Terrangle"/>
    <s v="Q2"/>
    <e v="#REF!"/>
    <e v="#REF!"/>
    <e v="#REF!"/>
  </r>
  <r>
    <s v="181000"/>
    <x v="6"/>
    <s v="COMPTE DE LIAISON DES ETABLISSEMENTS"/>
    <s v="OD"/>
    <n v="198"/>
    <d v="2025-02-21T00:00:00"/>
    <s v="Liaison inter-établissement"/>
    <m/>
    <s v="Non"/>
    <e v="#N/A"/>
    <n v="68102"/>
    <m/>
    <s v="DIVERS"/>
    <s v="Q1"/>
    <e v="#REF!"/>
    <e v="#REF!"/>
    <e v="#REF!"/>
  </r>
  <r>
    <s v="181000"/>
    <x v="6"/>
    <s v="COMPTE DE LIAISON DES ETABLISSEMENTS"/>
    <s v="OD"/>
    <n v="198"/>
    <d v="2025-06-30T00:00:00"/>
    <s v="Liaison inter-établissement vers TO "/>
    <m/>
    <e v="#N/A"/>
    <e v="#N/A"/>
    <n v="78479"/>
    <m/>
    <m/>
    <s v="Q2"/>
    <e v="#REF!"/>
    <e v="#REF!"/>
    <e v="#REF!"/>
  </r>
  <r>
    <s v="181000"/>
    <x v="6"/>
    <s v="COMPTE DE LIAISON DES ETABLISSEMENTS"/>
    <s v="OD"/>
    <n v="198"/>
    <d v="2025-07-30T00:00:00"/>
    <s v="Liaison inter-établissement"/>
    <m/>
    <e v="#N/A"/>
    <e v="#N/A"/>
    <n v="81061"/>
    <m/>
    <s v="CHIMIE PROMOTION"/>
    <s v="Q3"/>
    <e v="#REF!"/>
    <e v="#REF!"/>
    <e v="#REF!"/>
  </r>
  <r>
    <s v="181000"/>
    <x v="6"/>
    <s v="COMPTE DE LIAISON DES ETABLISSEMENTS"/>
    <s v="OD"/>
    <n v="198"/>
    <d v="2025-10-06T00:00:00"/>
    <s v="Liaison établissement 401000 F2P TO"/>
    <s v="Non"/>
    <s v="Non"/>
    <e v="#N/A"/>
    <n v="82891"/>
    <s v="ATTESTATION BPI JUILLET 2025"/>
    <s v="F2P AUDIT &amp; CONSEIL"/>
    <s v="Q4"/>
    <e v="#REF!"/>
    <e v="#REF!"/>
    <e v="#REF!"/>
  </r>
  <r>
    <s v="181000"/>
    <x v="6"/>
    <s v="COMPTE DE LIAISON DES ETABLISSEMENTS"/>
    <s v="OD"/>
    <n v="198.28"/>
    <d v="2025-03-20T00:00:00"/>
    <s v="Liaison inter-établissement"/>
    <m/>
    <e v="#N/A"/>
    <e v="#N/A"/>
    <n v="64431"/>
    <m/>
    <s v="FISHER SCIENTIFIC"/>
    <s v="Q1"/>
    <e v="#REF!"/>
    <e v="#REF!"/>
    <e v="#REF!"/>
  </r>
  <r>
    <s v="181000"/>
    <x v="6"/>
    <s v="COMPTE DE LIAISON DES ETABLISSEMENTS"/>
    <s v="OD"/>
    <n v="199.33"/>
    <d v="2025-02-14T00:00:00"/>
    <s v="Liaison inter-établissement"/>
    <m/>
    <e v="#N/A"/>
    <e v="#N/A"/>
    <n v="64267"/>
    <m/>
    <s v="BRUNEAU"/>
    <s v="Q1"/>
    <e v="#REF!"/>
    <e v="#REF!"/>
    <e v="#REF!"/>
  </r>
  <r>
    <s v="181000"/>
    <x v="6"/>
    <s v="COMPTE DE LIAISON DES ETABLISSEMENTS"/>
    <s v="OD"/>
    <n v="199.9"/>
    <d v="2025-09-27T00:00:00"/>
    <s v="Liaison inter-établissement"/>
    <m/>
    <e v="#N/A"/>
    <e v="#N/A"/>
    <n v="91689"/>
    <m/>
    <s v="SNCF"/>
    <s v="Q3"/>
    <e v="#REF!"/>
    <e v="#REF!"/>
    <e v="#REF!"/>
  </r>
  <r>
    <s v="181000"/>
    <x v="6"/>
    <s v="COMPTE DE LIAISON DES ETABLISSEMENTS"/>
    <s v="OD"/>
    <n v="200"/>
    <d v="2025-01-13T00:00:00"/>
    <s v="Liaison inter-établissement"/>
    <m/>
    <e v="#N/A"/>
    <e v="#N/A"/>
    <n v="73885"/>
    <m/>
    <s v="Jérémie Blache"/>
    <s v="Q1"/>
    <e v="#REF!"/>
    <e v="#REF!"/>
    <e v="#REF!"/>
  </r>
  <r>
    <s v="181000"/>
    <x v="6"/>
    <s v="COMPTE DE LIAISON DES ETABLISSEMENTS"/>
    <s v="OD"/>
    <n v="200"/>
    <d v="2025-02-17T00:00:00"/>
    <s v="Liaison inter-établissement"/>
    <m/>
    <e v="#N/A"/>
    <e v="#N/A"/>
    <n v="73861"/>
    <m/>
    <s v="Jérémie Blache"/>
    <s v="Q1"/>
    <e v="#REF!"/>
    <e v="#REF!"/>
    <e v="#REF!"/>
  </r>
  <r>
    <s v="181000"/>
    <x v="6"/>
    <s v="COMPTE DE LIAISON DES ETABLISSEMENTS"/>
    <s v="OD"/>
    <n v="200"/>
    <d v="2025-04-29T00:00:00"/>
    <s v="Liaison inter-établissement"/>
    <m/>
    <e v="#N/A"/>
    <e v="#N/A"/>
    <n v="74517"/>
    <m/>
    <s v="Jérémie Blache"/>
    <s v="Q2"/>
    <e v="#REF!"/>
    <e v="#REF!"/>
    <e v="#REF!"/>
  </r>
  <r>
    <s v="181000"/>
    <x v="6"/>
    <s v="COMPTE DE LIAISON DES ETABLISSEMENTS"/>
    <s v="OD"/>
    <n v="200"/>
    <d v="2025-05-13T00:00:00"/>
    <s v="Liaison inter-établissement"/>
    <m/>
    <e v="#N/A"/>
    <e v="#N/A"/>
    <n v="74513"/>
    <m/>
    <s v="Jérémie Blache"/>
    <s v="Q2"/>
    <e v="#REF!"/>
    <e v="#REF!"/>
    <e v="#REF!"/>
  </r>
  <r>
    <s v="181000"/>
    <x v="6"/>
    <s v="COMPTE DE LIAISON DES ETABLISSEMENTS"/>
    <s v="OD"/>
    <n v="200.94"/>
    <d v="2025-07-31T00:00:00"/>
    <s v="Liaison établissement 401000 FILHOL TO"/>
    <m/>
    <e v="#N/A"/>
    <e v="#N/A"/>
    <n v="79272"/>
    <s v="TRANSPORT PRODUITS POUR ESSAIS 2 CHEZ ROUSSELET"/>
    <s v="FILHOL"/>
    <s v="Q3"/>
    <e v="#REF!"/>
    <e v="#REF!"/>
    <e v="#REF!"/>
  </r>
  <r>
    <s v="181000"/>
    <x v="6"/>
    <s v="COMPTE DE LIAISON DES ETABLISSEMENTS"/>
    <s v="OD"/>
    <n v="201.24"/>
    <d v="2025-02-28T00:00:00"/>
    <s v="Liaison inter-établissement"/>
    <m/>
    <e v="#N/A"/>
    <e v="#N/A"/>
    <n v="63621"/>
    <m/>
    <s v="CAWATOES"/>
    <s v="Q1"/>
    <e v="#REF!"/>
    <e v="#REF!"/>
    <e v="#REF!"/>
  </r>
  <r>
    <s v="181000"/>
    <x v="6"/>
    <s v="COMPTE DE LIAISON DES ETABLISSEMENTS"/>
    <s v="OD"/>
    <n v="201.24"/>
    <d v="2025-04-25T00:00:00"/>
    <s v="Liaison établissement 401000 CAWAT TO"/>
    <m/>
    <e v="#N/A"/>
    <e v="#N/A"/>
    <n v="70204"/>
    <s v="Invoice Payment by Pili"/>
    <s v="CAWATOES"/>
    <s v="Q2"/>
    <e v="#REF!"/>
    <e v="#REF!"/>
    <e v="#REF!"/>
  </r>
  <r>
    <s v="181000"/>
    <x v="6"/>
    <s v="COMPTE DE LIAISON DES ETABLISSEMENTS"/>
    <s v="OD"/>
    <n v="201.42"/>
    <d v="2025-02-01T00:00:00"/>
    <s v="Liaison inter-établissement"/>
    <m/>
    <e v="#N/A"/>
    <e v="#N/A"/>
    <n v="89488"/>
    <m/>
    <s v="ORANGE"/>
    <s v="Q1"/>
    <e v="#REF!"/>
    <e v="#REF!"/>
    <e v="#REF!"/>
  </r>
  <r>
    <s v="181000"/>
    <x v="6"/>
    <s v="COMPTE DE LIAISON DES ETABLISSEMENTS"/>
    <s v="OD"/>
    <n v="202.68"/>
    <d v="2025-03-06T00:00:00"/>
    <s v="Liaison inter-établissement"/>
    <m/>
    <e v="#N/A"/>
    <e v="#N/A"/>
    <n v="63493"/>
    <m/>
    <s v="ACRITEC"/>
    <s v="Q1"/>
    <e v="#REF!"/>
    <e v="#REF!"/>
    <e v="#REF!"/>
  </r>
  <r>
    <s v="181000"/>
    <x v="6"/>
    <s v="COMPTE DE LIAISON DES ETABLISSEMENTS"/>
    <s v="OD"/>
    <n v="204"/>
    <d v="2025-02-18T00:00:00"/>
    <s v="Liaison inter-établissement"/>
    <m/>
    <e v="#N/A"/>
    <e v="#N/A"/>
    <n v="75894"/>
    <m/>
    <s v="Maud Sanchez"/>
    <s v="Q1"/>
    <e v="#REF!"/>
    <e v="#REF!"/>
    <e v="#REF!"/>
  </r>
  <r>
    <s v="181000"/>
    <x v="6"/>
    <s v="COMPTE DE LIAISON DES ETABLISSEMENTS"/>
    <s v="OD"/>
    <n v="204.67"/>
    <d v="2025-04-04T00:00:00"/>
    <s v="Liaison inter-établissement"/>
    <m/>
    <e v="#N/A"/>
    <e v="#N/A"/>
    <n v="74795"/>
    <m/>
    <s v="FISHER SCIENTIFIC"/>
    <s v="Q2"/>
    <e v="#REF!"/>
    <e v="#REF!"/>
    <e v="#REF!"/>
  </r>
  <r>
    <s v="181000"/>
    <x v="6"/>
    <s v="COMPTE DE LIAISON DES ETABLISSEMENTS"/>
    <s v="OD"/>
    <n v="209.16"/>
    <d v="2025-08-01T00:00:00"/>
    <s v="Liaison inter-établissement"/>
    <m/>
    <e v="#N/A"/>
    <e v="#N/A"/>
    <n v="83260"/>
    <m/>
    <s v="BRUNEAU"/>
    <s v="Q3"/>
    <e v="#REF!"/>
    <e v="#REF!"/>
    <e v="#REF!"/>
  </r>
  <r>
    <s v="181000"/>
    <x v="6"/>
    <s v="COMPTE DE LIAISON DES ETABLISSEMENTS"/>
    <s v="OD"/>
    <n v="210"/>
    <d v="2025-01-30T00:00:00"/>
    <s v="Liaison inter-établissement"/>
    <m/>
    <e v="#N/A"/>
    <e v="#N/A"/>
    <n v="70118"/>
    <m/>
    <s v="GSF"/>
    <s v="Q1"/>
    <e v="#REF!"/>
    <e v="#REF!"/>
    <e v="#REF!"/>
  </r>
  <r>
    <s v="181000"/>
    <x v="6"/>
    <s v="COMPTE DE LIAISON DES ETABLISSEMENTS"/>
    <s v="OD"/>
    <n v="210"/>
    <d v="2025-01-31T00:00:00"/>
    <s v="Liaison inter-établissement"/>
    <m/>
    <e v="#N/A"/>
    <e v="#N/A"/>
    <n v="63733"/>
    <m/>
    <s v="GSF"/>
    <s v="Q1"/>
    <e v="#REF!"/>
    <e v="#REF!"/>
    <e v="#REF!"/>
  </r>
  <r>
    <s v="181000"/>
    <x v="6"/>
    <s v="COMPTE DE LIAISON DES ETABLISSEMENTS"/>
    <s v="OD"/>
    <n v="210"/>
    <d v="2025-03-07T00:00:00"/>
    <s v="Liaison inter-établissement"/>
    <m/>
    <e v="#N/A"/>
    <e v="#N/A"/>
    <n v="63805"/>
    <m/>
    <s v="PHENOMENEX"/>
    <s v="Q1"/>
    <e v="#REF!"/>
    <e v="#REF!"/>
    <e v="#REF!"/>
  </r>
  <r>
    <s v="181000"/>
    <x v="6"/>
    <s v="COMPTE DE LIAISON DES ETABLISSEMENTS"/>
    <s v="OD"/>
    <n v="210"/>
    <d v="2025-03-28T00:00:00"/>
    <s v="Liaison établissement 401000 ROTH TO"/>
    <m/>
    <e v="#N/A"/>
    <e v="#N/A"/>
    <n v="64999"/>
    <s v="Invoice Payment by Pili"/>
    <s v="ROTH SOCHIEL"/>
    <s v="Q1"/>
    <e v="#REF!"/>
    <e v="#REF!"/>
    <e v="#REF!"/>
  </r>
  <r>
    <s v="181000"/>
    <x v="6"/>
    <s v="COMPTE DE LIAISON DES ETABLISSEMENTS"/>
    <s v="OD"/>
    <n v="210.7"/>
    <d v="2025-01-31T00:00:00"/>
    <s v="Liaison inter-établissement"/>
    <m/>
    <e v="#N/A"/>
    <e v="#N/A"/>
    <n v="76217"/>
    <m/>
    <s v="AIR LIQUIDE"/>
    <s v="Q1"/>
    <e v="#REF!"/>
    <e v="#REF!"/>
    <e v="#REF!"/>
  </r>
  <r>
    <s v="181000"/>
    <x v="6"/>
    <s v="COMPTE DE LIAISON DES ETABLISSEMENTS"/>
    <s v="OD"/>
    <n v="211.5"/>
    <d v="2025-04-10T00:00:00"/>
    <s v="Liaison inter-établissement"/>
    <m/>
    <e v="#N/A"/>
    <e v="#N/A"/>
    <n v="74991"/>
    <m/>
    <s v="SNCF"/>
    <s v="Q2"/>
    <e v="#REF!"/>
    <e v="#REF!"/>
    <e v="#REF!"/>
  </r>
  <r>
    <s v="181000"/>
    <x v="6"/>
    <s v="COMPTE DE LIAISON DES ETABLISSEMENTS"/>
    <s v="OD"/>
    <n v="211.73"/>
    <d v="2025-09-30T00:00:00"/>
    <s v="Liaison inter-établissement vers TO "/>
    <m/>
    <e v="#N/A"/>
    <e v="#N/A"/>
    <n v="87251"/>
    <m/>
    <m/>
    <s v="Q3"/>
    <e v="#REF!"/>
    <e v="#REF!"/>
    <e v="#REF!"/>
  </r>
  <r>
    <s v="181000"/>
    <x v="6"/>
    <s v="COMPTE DE LIAISON DES ETABLISSEMENTS"/>
    <s v="OD"/>
    <n v="212.8"/>
    <d v="2025-05-29T00:00:00"/>
    <s v="Liaison inter-établissement"/>
    <m/>
    <e v="#N/A"/>
    <e v="#N/A"/>
    <n v="81065"/>
    <m/>
    <s v="EUROPCAR"/>
    <s v="Q2"/>
    <e v="#REF!"/>
    <e v="#REF!"/>
    <e v="#REF!"/>
  </r>
  <r>
    <s v="181000"/>
    <x v="6"/>
    <s v="COMPTE DE LIAISON DES ETABLISSEMENTS"/>
    <s v="OD"/>
    <n v="213.45"/>
    <d v="2025-07-03T00:00:00"/>
    <s v="Liaison inter-établissement"/>
    <m/>
    <e v="#N/A"/>
    <e v="#N/A"/>
    <n v="80979"/>
    <m/>
    <s v="PTFE TUBE SHOP"/>
    <s v="Q3"/>
    <e v="#REF!"/>
    <e v="#REF!"/>
    <e v="#REF!"/>
  </r>
  <r>
    <s v="181000"/>
    <x v="6"/>
    <s v="COMPTE DE LIAISON DES ETABLISSEMENTS"/>
    <s v="OD"/>
    <n v="213.71"/>
    <d v="2025-06-30T00:00:00"/>
    <s v="Liaison inter-établissement"/>
    <m/>
    <e v="#N/A"/>
    <e v="#N/A"/>
    <n v="77351"/>
    <m/>
    <s v="DHL"/>
    <s v="Q2"/>
    <e v="#REF!"/>
    <e v="#REF!"/>
    <e v="#REF!"/>
  </r>
  <r>
    <s v="181000"/>
    <x v="6"/>
    <s v="COMPTE DE LIAISON DES ETABLISSEMENTS"/>
    <s v="OD"/>
    <n v="214.03"/>
    <d v="2025-09-08T00:00:00"/>
    <s v="Liaison inter-établissement"/>
    <m/>
    <e v="#N/A"/>
    <e v="#N/A"/>
    <n v="89837"/>
    <m/>
    <s v="LITFAD"/>
    <s v="Q3"/>
    <e v="#REF!"/>
    <e v="#REF!"/>
    <e v="#REF!"/>
  </r>
  <r>
    <s v="181000"/>
    <x v="6"/>
    <s v="COMPTE DE LIAISON DES ETABLISSEMENTS"/>
    <s v="OD"/>
    <n v="215.2"/>
    <d v="2025-03-18T00:00:00"/>
    <s v="Liaison inter-établissement"/>
    <m/>
    <e v="#N/A"/>
    <e v="#N/A"/>
    <n v="66763"/>
    <m/>
    <s v="SNCF"/>
    <s v="Q1"/>
    <e v="#REF!"/>
    <e v="#REF!"/>
    <e v="#REF!"/>
  </r>
  <r>
    <s v="181000"/>
    <x v="6"/>
    <s v="COMPTE DE LIAISON DES ETABLISSEMENTS"/>
    <s v="OD"/>
    <n v="216.24"/>
    <d v="2025-03-20T00:00:00"/>
    <s v="Liaison inter-établissement"/>
    <m/>
    <e v="#N/A"/>
    <e v="#N/A"/>
    <n v="64443"/>
    <m/>
    <s v="ROTH SOCHIEL"/>
    <s v="Q1"/>
    <e v="#REF!"/>
    <e v="#REF!"/>
    <e v="#REF!"/>
  </r>
  <r>
    <s v="181000"/>
    <x v="6"/>
    <s v="COMPTE DE LIAISON DES ETABLISSEMENTS"/>
    <s v="OD"/>
    <n v="217"/>
    <d v="2025-01-01T00:00:00"/>
    <s v="Liaison inter-établissement vers KB "/>
    <m/>
    <s v="Non"/>
    <e v="#N/A"/>
    <n v="89331"/>
    <m/>
    <s v="AXE GESCOM"/>
    <s v="Q1"/>
    <e v="#REF!"/>
    <e v="#REF!"/>
    <e v="#REF!"/>
  </r>
  <r>
    <s v="181000"/>
    <x v="6"/>
    <s v="COMPTE DE LIAISON DES ETABLISSEMENTS"/>
    <s v="OD"/>
    <n v="217"/>
    <d v="2025-01-01T00:00:00"/>
    <s v="Liaison inter-établissement vers TO "/>
    <m/>
    <e v="#N/A"/>
    <e v="#N/A"/>
    <n v="86534"/>
    <m/>
    <m/>
    <s v="Q1"/>
    <e v="#REF!"/>
    <e v="#REF!"/>
    <e v="#REF!"/>
  </r>
  <r>
    <s v="181000"/>
    <x v="6"/>
    <s v="COMPTE DE LIAISON DES ETABLISSEMENTS"/>
    <s v="OD"/>
    <n v="217.68"/>
    <d v="2025-12-30T00:00:00"/>
    <s v="Liaison établissement 401000 FISHER TO"/>
    <m/>
    <e v="#N/A"/>
    <e v="#N/A"/>
    <n v="93749"/>
    <s v="4175244732"/>
    <s v="FISHER SCIENTIFIC"/>
    <s v="Q4"/>
    <e v="#REF!"/>
    <e v="#REF!"/>
    <e v="#REF!"/>
  </r>
  <r>
    <s v="181000"/>
    <x v="6"/>
    <s v="COMPTE DE LIAISON DES ETABLISSEMENTS"/>
    <s v="OD"/>
    <n v="218.75"/>
    <d v="2025-11-24T00:00:00"/>
    <s v="Liaison inter-établissement"/>
    <m/>
    <e v="#N/A"/>
    <e v="#N/A"/>
    <n v="91035"/>
    <m/>
    <s v="Anne-Sophie Goutierre"/>
    <s v="Q4"/>
    <e v="#REF!"/>
    <e v="#REF!"/>
    <e v="#REF!"/>
  </r>
  <r>
    <s v="181000"/>
    <x v="6"/>
    <s v="COMPTE DE LIAISON DES ETABLISSEMENTS"/>
    <s v="OD"/>
    <n v="219.94"/>
    <d v="2025-09-12T00:00:00"/>
    <s v="Liaison établissement 401000 BIOTIKA TO"/>
    <s v="Non"/>
    <e v="#N/A"/>
    <e v="#N/A"/>
    <n v="82062"/>
    <s v="COÛTS DE TRANSPORT ECHANTILLONS"/>
    <s v="BIOTIKA"/>
    <s v="Q3"/>
    <e v="#REF!"/>
    <e v="#REF!"/>
    <e v="#REF!"/>
  </r>
  <r>
    <s v="181000"/>
    <x v="6"/>
    <s v="COMPTE DE LIAISON DES ETABLISSEMENTS"/>
    <s v="OD"/>
    <n v="220.32"/>
    <d v="2025-03-18T00:00:00"/>
    <s v="Liaison inter-établissement"/>
    <m/>
    <e v="#N/A"/>
    <e v="#N/A"/>
    <n v="64383"/>
    <m/>
    <s v="ABCR"/>
    <s v="Q1"/>
    <e v="#REF!"/>
    <e v="#REF!"/>
    <e v="#REF!"/>
  </r>
  <r>
    <s v="181000"/>
    <x v="6"/>
    <s v="COMPTE DE LIAISON DES ETABLISSEMENTS"/>
    <s v="OD"/>
    <n v="220.4"/>
    <d v="2025-10-31T00:00:00"/>
    <s v="Liaison établissement 401000 BECKER TO"/>
    <s v="Non"/>
    <s v="Oui"/>
    <e v="#N/A"/>
    <n v="87514"/>
    <s v="EXTENSION BREVET PHOENIX V20 AUX US"/>
    <s v="BECKER"/>
    <s v="Q4"/>
    <e v="#REF!"/>
    <e v="#REF!"/>
    <e v="#REF!"/>
  </r>
  <r>
    <s v="181000"/>
    <x v="6"/>
    <s v="COMPTE DE LIAISON DES ETABLISSEMENTS"/>
    <s v="OD"/>
    <n v="222.48"/>
    <d v="2025-09-22T00:00:00"/>
    <s v="Liaison établissement 401000 FENWICK-LINDE TO"/>
    <m/>
    <e v="#N/A"/>
    <e v="#N/A"/>
    <n v="82407"/>
    <s v="MAINTENANCE GERBEUR : RÉPARATION BOUTON MONTÉE-BAISSE"/>
    <s v="FENWICK-LINDE"/>
    <s v="Q3"/>
    <e v="#REF!"/>
    <e v="#REF!"/>
    <e v="#REF!"/>
  </r>
  <r>
    <s v="181000"/>
    <x v="6"/>
    <s v="COMPTE DE LIAISON DES ETABLISSEMENTS"/>
    <s v="OD"/>
    <n v="223.02"/>
    <d v="2025-03-31T00:00:00"/>
    <s v="Liaison inter-établissement"/>
    <m/>
    <e v="#N/A"/>
    <e v="#N/A"/>
    <n v="70056"/>
    <m/>
    <s v="ORANGE"/>
    <s v="Q1"/>
    <e v="#REF!"/>
    <e v="#REF!"/>
    <e v="#REF!"/>
  </r>
  <r>
    <s v="181000"/>
    <x v="6"/>
    <s v="COMPTE DE LIAISON DES ETABLISSEMENTS"/>
    <s v="OD"/>
    <n v="223.46"/>
    <d v="2025-03-31T00:00:00"/>
    <s v="Liaison inter-établissement vers TO "/>
    <m/>
    <e v="#N/A"/>
    <e v="#N/A"/>
    <n v="70266"/>
    <m/>
    <m/>
    <s v="Q1"/>
    <e v="#REF!"/>
    <e v="#REF!"/>
    <e v="#REF!"/>
  </r>
  <r>
    <s v="181000"/>
    <x v="6"/>
    <s v="COMPTE DE LIAISON DES ETABLISSEMENTS"/>
    <s v="OD"/>
    <n v="224.1"/>
    <d v="2025-04-07T00:00:00"/>
    <s v="Liaison inter-établissement"/>
    <m/>
    <e v="#N/A"/>
    <e v="#N/A"/>
    <n v="75882"/>
    <m/>
    <s v="Marie-Sarah Adenis"/>
    <s v="Q2"/>
    <e v="#REF!"/>
    <e v="#REF!"/>
    <e v="#REF!"/>
  </r>
  <r>
    <s v="181000"/>
    <x v="6"/>
    <s v="COMPTE DE LIAISON DES ETABLISSEMENTS"/>
    <s v="OD"/>
    <n v="224.99"/>
    <d v="2025-09-30T00:00:00"/>
    <s v="Liaison inter-établissement vers TO "/>
    <m/>
    <e v="#N/A"/>
    <e v="#N/A"/>
    <n v="87221"/>
    <m/>
    <m/>
    <s v="Q3"/>
    <e v="#REF!"/>
    <e v="#REF!"/>
    <e v="#REF!"/>
  </r>
  <r>
    <s v="181000"/>
    <x v="6"/>
    <s v="COMPTE DE LIAISON DES ETABLISSEMENTS"/>
    <s v="OD"/>
    <n v="226.8"/>
    <d v="2025-08-08T00:00:00"/>
    <s v="Liaison établissement 401000 CLOUP TO"/>
    <m/>
    <e v="#N/A"/>
    <e v="#N/A"/>
    <n v="80761"/>
    <s v="CARTOUCHES POUR L'EAU DÉMINÉRALISÉE"/>
    <s v="CLOUP"/>
    <s v="Q3"/>
    <e v="#REF!"/>
    <e v="#REF!"/>
    <e v="#REF!"/>
  </r>
  <r>
    <s v="181000"/>
    <x v="6"/>
    <s v="COMPTE DE LIAISON DES ETABLISSEMENTS"/>
    <s v="OD"/>
    <n v="227.61"/>
    <d v="2025-09-15T00:00:00"/>
    <s v="Liaison inter-établissement"/>
    <m/>
    <e v="#N/A"/>
    <e v="#N/A"/>
    <n v="82353"/>
    <m/>
    <s v="VWR AVANTOR"/>
    <s v="Q3"/>
    <e v="#REF!"/>
    <e v="#REF!"/>
    <e v="#REF!"/>
  </r>
  <r>
    <s v="181000"/>
    <x v="6"/>
    <s v="COMPTE DE LIAISON DES ETABLISSEMENTS"/>
    <s v="OD"/>
    <n v="228"/>
    <d v="2025-12-10T00:00:00"/>
    <s v="Liaison établissement 401000 ARESCOM TO"/>
    <m/>
    <e v="#N/A"/>
    <e v="#N/A"/>
    <n v="92034"/>
    <s v="144835"/>
    <s v="ARESCOM"/>
    <s v="Q4"/>
    <e v="#REF!"/>
    <e v="#REF!"/>
    <e v="#REF!"/>
  </r>
  <r>
    <s v="181000"/>
    <x v="6"/>
    <s v="COMPTE DE LIAISON DES ETABLISSEMENTS"/>
    <s v="OD"/>
    <n v="228"/>
    <d v="2025-12-23T00:00:00"/>
    <s v="Liaison établissement 401000 HIPOLITO TO"/>
    <m/>
    <e v="#N/A"/>
    <e v="#N/A"/>
    <n v="93618"/>
    <s v="2025 / 177"/>
    <s v="HIPOLITO"/>
    <s v="Q4"/>
    <e v="#REF!"/>
    <e v="#REF!"/>
    <e v="#REF!"/>
  </r>
  <r>
    <s v="181000"/>
    <x v="6"/>
    <s v="COMPTE DE LIAISON DES ETABLISSEMENTS"/>
    <s v="OD"/>
    <n v="228.1"/>
    <d v="2025-04-25T00:00:00"/>
    <s v="Liaison établissement 401000 AIRLIQUIDE TO"/>
    <m/>
    <e v="#N/A"/>
    <e v="#N/A"/>
    <n v="70133"/>
    <s v="Invoice Payment by Pili"/>
    <s v="AIR LIQUIDE"/>
    <s v="Q2"/>
    <e v="#REF!"/>
    <e v="#REF!"/>
    <e v="#REF!"/>
  </r>
  <r>
    <s v="181000"/>
    <x v="6"/>
    <s v="COMPTE DE LIAISON DES ETABLISSEMENTS"/>
    <s v="OD"/>
    <n v="229.06"/>
    <d v="2025-09-30T00:00:00"/>
    <s v="Liaison inter-établissement"/>
    <m/>
    <e v="#N/A"/>
    <e v="#N/A"/>
    <n v="82670"/>
    <m/>
    <s v="AIR LIQUIDE"/>
    <s v="Q3"/>
    <e v="#REF!"/>
    <e v="#REF!"/>
    <e v="#REF!"/>
  </r>
  <r>
    <s v="181000"/>
    <x v="6"/>
    <s v="COMPTE DE LIAISON DES ETABLISSEMENTS"/>
    <s v="OD"/>
    <n v="229.55"/>
    <d v="2025-02-26T00:00:00"/>
    <s v="Liaison inter-établissement"/>
    <m/>
    <e v="#N/A"/>
    <e v="#N/A"/>
    <n v="75842"/>
    <m/>
    <s v="Anne-Sophie Goutierre"/>
    <s v="Q1"/>
    <e v="#REF!"/>
    <e v="#REF!"/>
    <e v="#REF!"/>
  </r>
  <r>
    <s v="181000"/>
    <x v="6"/>
    <s v="COMPTE DE LIAISON DES ETABLISSEMENTS"/>
    <s v="OD"/>
    <n v="230.49"/>
    <d v="2025-11-26T00:00:00"/>
    <s v="Liaison inter-établissement"/>
    <m/>
    <e v="#N/A"/>
    <e v="#N/A"/>
    <n v="91580"/>
    <m/>
    <s v="AIRBNB"/>
    <s v="Q4"/>
    <e v="#REF!"/>
    <e v="#REF!"/>
    <e v="#REF!"/>
  </r>
  <r>
    <s v="181000"/>
    <x v="6"/>
    <s v="COMPTE DE LIAISON DES ETABLISSEMENTS"/>
    <s v="OD"/>
    <n v="230.89"/>
    <d v="2025-07-13T00:00:00"/>
    <s v="Liaison inter-établissement"/>
    <m/>
    <e v="#N/A"/>
    <e v="#N/A"/>
    <n v="81025"/>
    <m/>
    <s v="RS COMPONENT"/>
    <s v="Q3"/>
    <e v="#REF!"/>
    <e v="#REF!"/>
    <e v="#REF!"/>
  </r>
  <r>
    <s v="181000"/>
    <x v="6"/>
    <s v="COMPTE DE LIAISON DES ETABLISSEMENTS"/>
    <s v="OD"/>
    <n v="231.65"/>
    <d v="2025-04-22T00:00:00"/>
    <s v="Liaison inter-établissement"/>
    <m/>
    <e v="#N/A"/>
    <e v="#N/A"/>
    <n v="81203"/>
    <m/>
    <s v="RICOH"/>
    <s v="Q2"/>
    <e v="#REF!"/>
    <e v="#REF!"/>
    <e v="#REF!"/>
  </r>
  <r>
    <s v="181000"/>
    <x v="6"/>
    <s v="COMPTE DE LIAISON DES ETABLISSEMENTS"/>
    <s v="OD"/>
    <n v="233.11"/>
    <d v="2025-01-31T00:00:00"/>
    <s v="Liaison inter-établissement"/>
    <m/>
    <e v="#N/A"/>
    <e v="#N/A"/>
    <n v="63609"/>
    <m/>
    <s v="BRUNEAU"/>
    <s v="Q1"/>
    <e v="#REF!"/>
    <e v="#REF!"/>
    <e v="#REF!"/>
  </r>
  <r>
    <s v="181000"/>
    <x v="6"/>
    <s v="COMPTE DE LIAISON DES ETABLISSEMENTS"/>
    <s v="OD"/>
    <n v="233.68"/>
    <d v="2025-06-24T00:00:00"/>
    <s v="Liaison inter-établissement"/>
    <m/>
    <e v="#N/A"/>
    <e v="#N/A"/>
    <n v="78267"/>
    <m/>
    <s v="BRUNEAU"/>
    <s v="Q2"/>
    <e v="#REF!"/>
    <e v="#REF!"/>
    <e v="#REF!"/>
  </r>
  <r>
    <s v="181000"/>
    <x v="6"/>
    <s v="COMPTE DE LIAISON DES ETABLISSEMENTS"/>
    <s v="OD"/>
    <n v="234.64"/>
    <d v="2025-03-04T00:00:00"/>
    <s v="Liaison inter-établissement"/>
    <m/>
    <e v="#N/A"/>
    <e v="#N/A"/>
    <n v="75850"/>
    <m/>
    <s v="Guillaume Boissonnat-Wu"/>
    <s v="Q1"/>
    <e v="#REF!"/>
    <e v="#REF!"/>
    <e v="#REF!"/>
  </r>
  <r>
    <s v="181000"/>
    <x v="6"/>
    <s v="COMPTE DE LIAISON DES ETABLISSEMENTS"/>
    <s v="OD"/>
    <n v="235"/>
    <d v="2025-02-06T00:00:00"/>
    <s v="Liaison inter-établissement"/>
    <m/>
    <s v="Non"/>
    <e v="#N/A"/>
    <n v="64299"/>
    <m/>
    <s v="DIVERS"/>
    <s v="Q1"/>
    <e v="#REF!"/>
    <e v="#REF!"/>
    <e v="#REF!"/>
  </r>
  <r>
    <s v="181000"/>
    <x v="6"/>
    <s v="COMPTE DE LIAISON DES ETABLISSEMENTS"/>
    <s v="OD"/>
    <n v="235.32"/>
    <d v="2025-03-28T00:00:00"/>
    <s v="Liaison inter-établissement"/>
    <m/>
    <e v="#N/A"/>
    <e v="#N/A"/>
    <n v="68122"/>
    <m/>
    <s v="Sigma-Aldrich chimie"/>
    <s v="Q1"/>
    <e v="#REF!"/>
    <e v="#REF!"/>
    <e v="#REF!"/>
  </r>
  <r>
    <s v="181000"/>
    <x v="6"/>
    <s v="COMPTE DE LIAISON DES ETABLISSEMENTS"/>
    <s v="OD"/>
    <n v="236.4"/>
    <d v="2025-11-07T00:00:00"/>
    <s v="Liaison établissement 401000 VWR TO"/>
    <m/>
    <e v="#N/A"/>
    <e v="#N/A"/>
    <n v="89439"/>
    <s v="4067827511"/>
    <s v="VWR AVANTOR"/>
    <s v="Q4"/>
    <e v="#REF!"/>
    <e v="#REF!"/>
    <e v="#REF!"/>
  </r>
  <r>
    <s v="181000"/>
    <x v="6"/>
    <s v="COMPTE DE LIAISON DES ETABLISSEMENTS"/>
    <s v="OD"/>
    <n v="237.13"/>
    <d v="2025-02-18T00:00:00"/>
    <s v="Liaison inter-établissement"/>
    <m/>
    <e v="#N/A"/>
    <e v="#N/A"/>
    <n v="74962"/>
    <m/>
    <s v="ENGIE"/>
    <s v="Q1"/>
    <e v="#REF!"/>
    <e v="#REF!"/>
    <e v="#REF!"/>
  </r>
  <r>
    <s v="181000"/>
    <x v="6"/>
    <s v="COMPTE DE LIAISON DES ETABLISSEMENTS"/>
    <s v="OD"/>
    <n v="239.14"/>
    <d v="2025-07-09T00:00:00"/>
    <s v="Liaison établissement 401000 VWR TO"/>
    <m/>
    <e v="#N/A"/>
    <e v="#N/A"/>
    <n v="77252"/>
    <s v="COMMANDE PRODUIT LABO"/>
    <s v="VWR AVANTOR"/>
    <s v="Q3"/>
    <e v="#REF!"/>
    <e v="#REF!"/>
    <e v="#REF!"/>
  </r>
  <r>
    <s v="181000"/>
    <x v="6"/>
    <s v="COMPTE DE LIAISON DES ETABLISSEMENTS"/>
    <s v="OD"/>
    <n v="239.8"/>
    <d v="2025-02-05T00:00:00"/>
    <s v="Liaison inter-établissement"/>
    <m/>
    <e v="#N/A"/>
    <e v="#N/A"/>
    <n v="64351"/>
    <m/>
    <s v="SNCF"/>
    <s v="Q1"/>
    <e v="#REF!"/>
    <e v="#REF!"/>
    <e v="#REF!"/>
  </r>
  <r>
    <s v="181000"/>
    <x v="6"/>
    <s v="COMPTE DE LIAISON DES ETABLISSEMENTS"/>
    <s v="OD"/>
    <n v="240"/>
    <d v="2025-02-18T00:00:00"/>
    <s v="Liaison inter-établissement"/>
    <m/>
    <s v="Non"/>
    <n v="0"/>
    <n v="63657"/>
    <m/>
    <s v="CNFSE RECYCLAGE"/>
    <s v="Q1"/>
    <e v="#REF!"/>
    <e v="#REF!"/>
    <e v="#REF!"/>
  </r>
  <r>
    <s v="181000"/>
    <x v="6"/>
    <s v="COMPTE DE LIAISON DES ETABLISSEMENTS"/>
    <s v="OD"/>
    <n v="240"/>
    <d v="2025-07-23T00:00:00"/>
    <s v="Liaison établissement 401000 BIOTIKA TO"/>
    <s v="Non"/>
    <e v="#N/A"/>
    <e v="#N/A"/>
    <n v="78341"/>
    <s v="TRANSPORT OF MATERIAL FROM GBELY SK TO SLOVENSKÁ"/>
    <s v="BIOTIKA"/>
    <s v="Q3"/>
    <e v="#REF!"/>
    <e v="#REF!"/>
    <e v="#REF!"/>
  </r>
  <r>
    <s v="181000"/>
    <x v="6"/>
    <s v="COMPTE DE LIAISON DES ETABLISSEMENTS"/>
    <s v="OD"/>
    <n v="240"/>
    <d v="2025-12-10T00:00:00"/>
    <s v="Liaison établissement 401000 LEGICHEM SERVICES TO"/>
    <m/>
    <e v="#N/A"/>
    <e v="#N/A"/>
    <n v="92065"/>
    <s v="FA000262"/>
    <s v="LEGICHEM SERVICES"/>
    <s v="Q4"/>
    <e v="#REF!"/>
    <e v="#REF!"/>
    <e v="#REF!"/>
  </r>
  <r>
    <s v="181000"/>
    <x v="6"/>
    <s v="COMPTE DE LIAISON DES ETABLISSEMENTS"/>
    <s v="OD"/>
    <n v="240.67"/>
    <d v="2025-03-31T00:00:00"/>
    <s v="Liaison inter-établissement vers TO "/>
    <m/>
    <e v="#N/A"/>
    <e v="#N/A"/>
    <n v="68524"/>
    <m/>
    <m/>
    <s v="Q1"/>
    <e v="#REF!"/>
    <e v="#REF!"/>
    <e v="#REF!"/>
  </r>
  <r>
    <s v="181000"/>
    <x v="6"/>
    <s v="COMPTE DE LIAISON DES ETABLISSEMENTS"/>
    <s v="OD"/>
    <n v="241.08"/>
    <d v="2025-01-27T00:00:00"/>
    <s v="Liaison inter-établissement"/>
    <m/>
    <e v="#N/A"/>
    <e v="#N/A"/>
    <n v="76241"/>
    <m/>
    <s v="ORANGE"/>
    <s v="Q1"/>
    <e v="#REF!"/>
    <e v="#REF!"/>
    <e v="#REF!"/>
  </r>
  <r>
    <s v="181000"/>
    <x v="6"/>
    <s v="COMPTE DE LIAISON DES ETABLISSEMENTS"/>
    <s v="OD"/>
    <n v="241.08"/>
    <d v="2025-02-24T00:00:00"/>
    <s v="Liaison inter-établissement"/>
    <m/>
    <e v="#N/A"/>
    <e v="#N/A"/>
    <n v="76237"/>
    <m/>
    <s v="ORANGE"/>
    <s v="Q1"/>
    <e v="#REF!"/>
    <e v="#REF!"/>
    <e v="#REF!"/>
  </r>
  <r>
    <s v="181000"/>
    <x v="6"/>
    <s v="COMPTE DE LIAISON DES ETABLISSEMENTS"/>
    <s v="OD"/>
    <n v="241.33"/>
    <d v="2025-07-25T00:00:00"/>
    <s v="Liaison inter-établissement"/>
    <m/>
    <e v="#N/A"/>
    <e v="#N/A"/>
    <n v="80811"/>
    <m/>
    <s v="RICOH"/>
    <s v="Q3"/>
    <e v="#REF!"/>
    <e v="#REF!"/>
    <e v="#REF!"/>
  </r>
  <r>
    <s v="181000"/>
    <x v="6"/>
    <s v="COMPTE DE LIAISON DES ETABLISSEMENTS"/>
    <s v="OD"/>
    <n v="242.14"/>
    <d v="2025-02-05T00:00:00"/>
    <s v="Liaison inter-établissement"/>
    <m/>
    <s v="Non"/>
    <e v="#N/A"/>
    <n v="68098"/>
    <m/>
    <s v="DIVERS"/>
    <s v="Q1"/>
    <e v="#REF!"/>
    <e v="#REF!"/>
    <e v="#REF!"/>
  </r>
  <r>
    <s v="181000"/>
    <x v="6"/>
    <s v="COMPTE DE LIAISON DES ETABLISSEMENTS"/>
    <s v="OD"/>
    <n v="242.52"/>
    <d v="2025-04-28T00:00:00"/>
    <s v="Liaison inter-établissement"/>
    <m/>
    <e v="#N/A"/>
    <e v="#N/A"/>
    <n v="73135"/>
    <m/>
    <s v="ORANGE"/>
    <s v="Q2"/>
    <e v="#REF!"/>
    <e v="#REF!"/>
    <e v="#REF!"/>
  </r>
  <r>
    <s v="181000"/>
    <x v="6"/>
    <s v="COMPTE DE LIAISON DES ETABLISSEMENTS"/>
    <s v="OD"/>
    <n v="243.6"/>
    <d v="2025-08-21T00:00:00"/>
    <s v="Liaison établissement 401000 VWR TO"/>
    <m/>
    <e v="#N/A"/>
    <e v="#N/A"/>
    <n v="81503"/>
    <s v="COMMANDE CONSOMMABLE LABO"/>
    <s v="VWR AVANTOR"/>
    <s v="Q3"/>
    <e v="#REF!"/>
    <e v="#REF!"/>
    <e v="#REF!"/>
  </r>
  <r>
    <s v="181000"/>
    <x v="6"/>
    <s v="COMPTE DE LIAISON DES ETABLISSEMENTS"/>
    <s v="OD"/>
    <n v="243.98"/>
    <d v="2025-03-04T00:00:00"/>
    <s v="Liaison inter-établissement"/>
    <m/>
    <s v="Non"/>
    <e v="#N/A"/>
    <n v="68106"/>
    <m/>
    <s v="DIVERS"/>
    <s v="Q1"/>
    <e v="#REF!"/>
    <e v="#REF!"/>
    <e v="#REF!"/>
  </r>
  <r>
    <s v="181000"/>
    <x v="6"/>
    <s v="COMPTE DE LIAISON DES ETABLISSEMENTS"/>
    <s v="OD"/>
    <n v="244.12"/>
    <d v="2025-10-15T00:00:00"/>
    <s v="Liaison inter-établissement"/>
    <s v="Non"/>
    <s v="Non"/>
    <e v="#N/A"/>
    <n v="89695"/>
    <m/>
    <s v="LINKEDIN"/>
    <s v="Q4"/>
    <e v="#REF!"/>
    <e v="#REF!"/>
    <e v="#REF!"/>
  </r>
  <r>
    <s v="181000"/>
    <x v="6"/>
    <s v="COMPTE DE LIAISON DES ETABLISSEMENTS"/>
    <s v="OD"/>
    <n v="246"/>
    <d v="2025-10-24T00:00:00"/>
    <s v="Liaison inter-établissement"/>
    <m/>
    <e v="#N/A"/>
    <e v="#N/A"/>
    <n v="89821"/>
    <m/>
    <s v="SNCF"/>
    <s v="Q4"/>
    <e v="#REF!"/>
    <e v="#REF!"/>
    <e v="#REF!"/>
  </r>
  <r>
    <s v="181000"/>
    <x v="6"/>
    <s v="COMPTE DE LIAISON DES ETABLISSEMENTS"/>
    <s v="OD"/>
    <n v="247.74"/>
    <d v="2025-09-12T00:00:00"/>
    <s v="Liaison établissement 401000 BIOTIKA TO"/>
    <s v="Non"/>
    <e v="#N/A"/>
    <e v="#N/A"/>
    <n v="82072"/>
    <s v="COÛT TRANSPORT"/>
    <s v="BIOTIKA"/>
    <s v="Q3"/>
    <e v="#REF!"/>
    <e v="#REF!"/>
    <e v="#REF!"/>
  </r>
  <r>
    <s v="181000"/>
    <x v="6"/>
    <s v="COMPTE DE LIAISON DES ETABLISSEMENTS"/>
    <s v="OD"/>
    <n v="249.6"/>
    <d v="2025-03-11T00:00:00"/>
    <s v="Liaison inter-établissement"/>
    <m/>
    <e v="#N/A"/>
    <e v="#N/A"/>
    <n v="64451"/>
    <m/>
    <s v="Sigma-Aldrich chimie"/>
    <s v="Q1"/>
    <e v="#REF!"/>
    <e v="#REF!"/>
    <e v="#REF!"/>
  </r>
  <r>
    <s v="181000"/>
    <x v="6"/>
    <s v="COMPTE DE LIAISON DES ETABLISSEMENTS"/>
    <s v="OD"/>
    <n v="249.6"/>
    <d v="2025-08-22T00:00:00"/>
    <s v="Liaison établissement 401000 GAZDETECT TO"/>
    <m/>
    <e v="#N/A"/>
    <e v="#N/A"/>
    <n v="81592"/>
    <s v="MAINTENANCE/RÉPARATION DES 4 DÉTECTEURS HCN DU LABO"/>
    <s v="GAZ DETECT"/>
    <s v="Q3"/>
    <e v="#REF!"/>
    <e v="#REF!"/>
    <e v="#REF!"/>
  </r>
  <r>
    <s v="181000"/>
    <x v="6"/>
    <s v="COMPTE DE LIAISON DES ETABLISSEMENTS"/>
    <s v="OD"/>
    <n v="250.44"/>
    <d v="2025-12-30T00:00:00"/>
    <s v="Liaison établissement 401000 ABCR TO"/>
    <m/>
    <e v="#N/A"/>
    <e v="#N/A"/>
    <n v="93744"/>
    <s v="VRGG25-025479"/>
    <s v="ABCR"/>
    <s v="Q4"/>
    <e v="#REF!"/>
    <e v="#REF!"/>
    <e v="#REF!"/>
  </r>
  <r>
    <s v="181000"/>
    <x v="6"/>
    <s v="COMPTE DE LIAISON DES ETABLISSEMENTS"/>
    <s v="OD"/>
    <n v="250.63"/>
    <d v="2025-03-18T00:00:00"/>
    <s v="Liaison inter-établissement"/>
    <m/>
    <e v="#N/A"/>
    <e v="#N/A"/>
    <n v="70048"/>
    <m/>
    <s v="MANUTAN"/>
    <s v="Q1"/>
    <e v="#REF!"/>
    <e v="#REF!"/>
    <e v="#REF!"/>
  </r>
  <r>
    <s v="181000"/>
    <x v="6"/>
    <s v="COMPTE DE LIAISON DES ETABLISSEMENTS"/>
    <s v="OD"/>
    <n v="250.63"/>
    <d v="2025-07-25T00:00:00"/>
    <s v="Liaison inter-établissement"/>
    <m/>
    <e v="#N/A"/>
    <e v="#N/A"/>
    <n v="81003"/>
    <m/>
    <s v="MANUTAN"/>
    <s v="Q3"/>
    <e v="#REF!"/>
    <e v="#REF!"/>
    <e v="#REF!"/>
  </r>
  <r>
    <s v="181000"/>
    <x v="6"/>
    <s v="COMPTE DE LIAISON DES ETABLISSEMENTS"/>
    <s v="OD"/>
    <n v="250.8"/>
    <d v="2025-04-25T00:00:00"/>
    <s v="Liaison établissement 401000 DENIOS TO"/>
    <m/>
    <e v="#N/A"/>
    <e v="#N/A"/>
    <n v="70163"/>
    <s v="Invoice Payment by Pili"/>
    <s v="DENIOS"/>
    <s v="Q2"/>
    <e v="#REF!"/>
    <e v="#REF!"/>
    <e v="#REF!"/>
  </r>
  <r>
    <s v="181000"/>
    <x v="6"/>
    <s v="COMPTE DE LIAISON DES ETABLISSEMENTS"/>
    <s v="OD"/>
    <n v="254.99"/>
    <d v="2025-02-20T00:00:00"/>
    <s v="Liaison inter-établissement"/>
    <m/>
    <s v="Non"/>
    <e v="#N/A"/>
    <n v="64287"/>
    <m/>
    <s v="DIVERS"/>
    <s v="Q1"/>
    <e v="#REF!"/>
    <e v="#REF!"/>
    <e v="#REF!"/>
  </r>
  <r>
    <s v="181000"/>
    <x v="6"/>
    <s v="COMPTE DE LIAISON DES ETABLISSEMENTS"/>
    <s v="OD"/>
    <n v="257.10000000000002"/>
    <d v="2025-05-22T00:00:00"/>
    <s v="Liaison inter-établissement"/>
    <m/>
    <e v="#N/A"/>
    <e v="#N/A"/>
    <n v="76702"/>
    <m/>
    <s v="Guillaume Boissonnat-Wu"/>
    <s v="Q2"/>
    <e v="#REF!"/>
    <e v="#REF!"/>
    <e v="#REF!"/>
  </r>
  <r>
    <s v="181000"/>
    <x v="6"/>
    <s v="COMPTE DE LIAISON DES ETABLISSEMENTS"/>
    <s v="OD"/>
    <n v="257.41000000000003"/>
    <d v="2025-05-19T00:00:00"/>
    <s v="Liaison inter-établissement"/>
    <m/>
    <e v="#N/A"/>
    <e v="#N/A"/>
    <n v="78828"/>
    <m/>
    <s v="ENGIE"/>
    <s v="Q2"/>
    <e v="#REF!"/>
    <e v="#REF!"/>
    <e v="#REF!"/>
  </r>
  <r>
    <s v="181000"/>
    <x v="6"/>
    <s v="COMPTE DE LIAISON DES ETABLISSEMENTS"/>
    <s v="OD"/>
    <n v="257.47000000000003"/>
    <d v="2025-05-01T00:00:00"/>
    <s v="Liaison inter-établissement"/>
    <m/>
    <e v="#N/A"/>
    <e v="#N/A"/>
    <n v="74823"/>
    <m/>
    <s v="MANUTAN"/>
    <s v="Q2"/>
    <e v="#REF!"/>
    <e v="#REF!"/>
    <e v="#REF!"/>
  </r>
  <r>
    <s v="181000"/>
    <x v="6"/>
    <s v="COMPTE DE LIAISON DES ETABLISSEMENTS"/>
    <s v="OD"/>
    <n v="258"/>
    <d v="2025-09-10T00:00:00"/>
    <s v="Liaison inter-établissement"/>
    <m/>
    <e v="#N/A"/>
    <e v="#N/A"/>
    <n v="83152"/>
    <m/>
    <s v="SNCF"/>
    <s v="Q3"/>
    <e v="#REF!"/>
    <e v="#REF!"/>
    <e v="#REF!"/>
  </r>
  <r>
    <s v="181000"/>
    <x v="6"/>
    <s v="COMPTE DE LIAISON DES ETABLISSEMENTS"/>
    <s v="OD"/>
    <n v="258.27999999999997"/>
    <d v="2025-07-30T00:00:00"/>
    <s v="Liaison inter-établissement"/>
    <m/>
    <e v="#N/A"/>
    <e v="#N/A"/>
    <n v="80983"/>
    <m/>
    <s v="PTFE TUBE SHOP"/>
    <s v="Q3"/>
    <e v="#REF!"/>
    <e v="#REF!"/>
    <e v="#REF!"/>
  </r>
  <r>
    <s v="181000"/>
    <x v="6"/>
    <s v="COMPTE DE LIAISON DES ETABLISSEMENTS"/>
    <s v="OD"/>
    <n v="258.72000000000003"/>
    <d v="2025-03-18T00:00:00"/>
    <s v="Liaison inter-établissement"/>
    <m/>
    <e v="#N/A"/>
    <e v="#N/A"/>
    <n v="64387"/>
    <m/>
    <s v="ABCR"/>
    <s v="Q1"/>
    <e v="#REF!"/>
    <e v="#REF!"/>
    <e v="#REF!"/>
  </r>
  <r>
    <s v="181000"/>
    <x v="6"/>
    <s v="COMPTE DE LIAISON DES ETABLISSEMENTS"/>
    <s v="OD"/>
    <n v="259.2"/>
    <d v="2025-04-15T00:00:00"/>
    <s v="Liaison inter-établissement"/>
    <m/>
    <e v="#N/A"/>
    <e v="#N/A"/>
    <n v="68030"/>
    <m/>
    <s v="ALGOCHEM"/>
    <s v="Q2"/>
    <e v="#REF!"/>
    <e v="#REF!"/>
    <e v="#REF!"/>
  </r>
  <r>
    <s v="181000"/>
    <x v="6"/>
    <s v="COMPTE DE LIAISON DES ETABLISSEMENTS"/>
    <s v="OD"/>
    <n v="262.58999999999997"/>
    <d v="2025-09-12T00:00:00"/>
    <s v="Liaison établissement 401000 BIOTIKA TO"/>
    <s v="Non"/>
    <e v="#N/A"/>
    <e v="#N/A"/>
    <n v="82052"/>
    <s v="COÛTS DE TRANSPORT - ECHANTILLONS"/>
    <s v="BIOTIKA"/>
    <s v="Q3"/>
    <e v="#REF!"/>
    <e v="#REF!"/>
    <e v="#REF!"/>
  </r>
  <r>
    <s v="181000"/>
    <x v="6"/>
    <s v="COMPTE DE LIAISON DES ETABLISSEMENTS"/>
    <s v="OD"/>
    <n v="262.58999999999997"/>
    <d v="2025-09-12T00:00:00"/>
    <s v="Liaison établissement 401000 BIOTIKA TO"/>
    <s v="Non"/>
    <e v="#N/A"/>
    <e v="#N/A"/>
    <n v="82057"/>
    <s v="COUTS DE TRANSPORT"/>
    <s v="BIOTIKA"/>
    <s v="Q3"/>
    <e v="#REF!"/>
    <e v="#REF!"/>
    <e v="#REF!"/>
  </r>
  <r>
    <s v="181000"/>
    <x v="6"/>
    <s v="COMPTE DE LIAISON DES ETABLISSEMENTS"/>
    <s v="OD"/>
    <n v="263.60000000000002"/>
    <d v="2025-11-24T00:00:00"/>
    <s v="Liaison inter-établissement"/>
    <m/>
    <e v="#N/A"/>
    <e v="#N/A"/>
    <n v="91031"/>
    <m/>
    <s v="Kevin Cottet"/>
    <s v="Q4"/>
    <e v="#REF!"/>
    <e v="#REF!"/>
    <e v="#REF!"/>
  </r>
  <r>
    <s v="181000"/>
    <x v="6"/>
    <s v="COMPTE DE LIAISON DES ETABLISSEMENTS"/>
    <s v="OD"/>
    <n v="264.88"/>
    <d v="2025-08-22T00:00:00"/>
    <s v="Liaison établissement 401000 FENWICK-LINDE TO"/>
    <m/>
    <e v="#N/A"/>
    <e v="#N/A"/>
    <n v="81618"/>
    <s v="MAINTENANCE GERBEUR : RÉPARATION BOUTON MONTÉE-BAISSE"/>
    <s v="FENWICK-LINDE"/>
    <s v="Q3"/>
    <e v="#REF!"/>
    <e v="#REF!"/>
    <e v="#REF!"/>
  </r>
  <r>
    <s v="181000"/>
    <x v="6"/>
    <s v="COMPTE DE LIAISON DES ETABLISSEMENTS"/>
    <s v="OD"/>
    <n v="264.89999999999998"/>
    <d v="2025-11-06T00:00:00"/>
    <s v="Liaison inter-établissement"/>
    <m/>
    <e v="#N/A"/>
    <e v="#N/A"/>
    <n v="91645"/>
    <m/>
    <s v="HOTELS"/>
    <s v="Q4"/>
    <e v="#REF!"/>
    <e v="#REF!"/>
    <e v="#REF!"/>
  </r>
  <r>
    <s v="181000"/>
    <x v="6"/>
    <s v="COMPTE DE LIAISON DES ETABLISSEMENTS"/>
    <s v="OD"/>
    <n v="266.8"/>
    <d v="2025-11-09T00:00:00"/>
    <s v="Liaison inter-établissement"/>
    <m/>
    <e v="#N/A"/>
    <e v="#N/A"/>
    <n v="91612"/>
    <m/>
    <s v="BOOKING"/>
    <s v="Q4"/>
    <e v="#REF!"/>
    <e v="#REF!"/>
    <e v="#REF!"/>
  </r>
  <r>
    <s v="181000"/>
    <x v="6"/>
    <s v="COMPTE DE LIAISON DES ETABLISSEMENTS"/>
    <s v="OD"/>
    <n v="267.39999999999998"/>
    <d v="2025-04-14T00:00:00"/>
    <s v="Liaison inter-établissement"/>
    <m/>
    <e v="#N/A"/>
    <e v="#N/A"/>
    <n v="74469"/>
    <m/>
    <s v="Anne-Sophie Goutierre"/>
    <s v="Q2"/>
    <e v="#REF!"/>
    <e v="#REF!"/>
    <e v="#REF!"/>
  </r>
  <r>
    <s v="181000"/>
    <x v="6"/>
    <s v="COMPTE DE LIAISON DES ETABLISSEMENTS"/>
    <s v="OD"/>
    <n v="271"/>
    <d v="2025-01-01T00:00:00"/>
    <s v="Liaison inter-établissement vers TO "/>
    <m/>
    <e v="#N/A"/>
    <e v="#N/A"/>
    <n v="86713"/>
    <m/>
    <m/>
    <s v="Q1"/>
    <e v="#REF!"/>
    <e v="#REF!"/>
    <e v="#REF!"/>
  </r>
  <r>
    <s v="181000"/>
    <x v="6"/>
    <s v="COMPTE DE LIAISON DES ETABLISSEMENTS"/>
    <s v="OD"/>
    <n v="271.06"/>
    <d v="2025-01-07T00:00:00"/>
    <s v="Liaison inter-établissement"/>
    <m/>
    <e v="#N/A"/>
    <e v="#N/A"/>
    <n v="76779"/>
    <m/>
    <s v="Yves Combret"/>
    <s v="Q1"/>
    <e v="#REF!"/>
    <e v="#REF!"/>
    <e v="#REF!"/>
  </r>
  <r>
    <s v="181000"/>
    <x v="6"/>
    <s v="COMPTE DE LIAISON DES ETABLISSEMENTS"/>
    <s v="OD"/>
    <n v="273.60000000000002"/>
    <d v="2025-05-16T00:00:00"/>
    <s v="Liaison inter-établissement"/>
    <m/>
    <e v="#N/A"/>
    <e v="#N/A"/>
    <n v="74577"/>
    <m/>
    <s v="Thibault Dejardin"/>
    <s v="Q2"/>
    <e v="#REF!"/>
    <e v="#REF!"/>
    <e v="#REF!"/>
  </r>
  <r>
    <s v="181000"/>
    <x v="6"/>
    <s v="COMPTE DE LIAISON DES ETABLISSEMENTS"/>
    <s v="OD"/>
    <n v="273.94"/>
    <d v="2025-05-28T00:00:00"/>
    <s v="Liaison inter-établissement"/>
    <m/>
    <e v="#N/A"/>
    <e v="#N/A"/>
    <n v="74255"/>
    <m/>
    <s v="ORANGE"/>
    <s v="Q2"/>
    <e v="#REF!"/>
    <e v="#REF!"/>
    <e v="#REF!"/>
  </r>
  <r>
    <s v="181000"/>
    <x v="6"/>
    <s v="COMPTE DE LIAISON DES ETABLISSEMENTS"/>
    <s v="OD"/>
    <n v="274.29000000000002"/>
    <d v="2025-02-28T00:00:00"/>
    <s v="Liaison inter-établissement"/>
    <m/>
    <e v="#N/A"/>
    <e v="#N/A"/>
    <n v="74935"/>
    <m/>
    <s v="DHL"/>
    <s v="Q1"/>
    <e v="#REF!"/>
    <e v="#REF!"/>
    <e v="#REF!"/>
  </r>
  <r>
    <s v="181000"/>
    <x v="6"/>
    <s v="COMPTE DE LIAISON DES ETABLISSEMENTS"/>
    <s v="OD"/>
    <n v="274.45999999999998"/>
    <d v="2025-06-27T00:00:00"/>
    <s v="Liaison inter-établissement"/>
    <m/>
    <e v="#N/A"/>
    <e v="#N/A"/>
    <n v="76730"/>
    <m/>
    <s v="Marie-Sarah Adenis"/>
    <s v="Q2"/>
    <e v="#REF!"/>
    <e v="#REF!"/>
    <e v="#REF!"/>
  </r>
  <r>
    <s v="181000"/>
    <x v="6"/>
    <s v="COMPTE DE LIAISON DES ETABLISSEMENTS"/>
    <s v="OD"/>
    <n v="274.56"/>
    <d v="2025-12-19T00:00:00"/>
    <s v="Liaison établissement 401000 OSIRIS TO"/>
    <s v="Non"/>
    <s v="Non"/>
    <e v="#N/A"/>
    <n v="92696"/>
    <s v="93813939"/>
    <s v="OSIRIS"/>
    <s v="Q4"/>
    <e v="#REF!"/>
    <e v="#REF!"/>
    <e v="#REF!"/>
  </r>
  <r>
    <s v="181000"/>
    <x v="6"/>
    <s v="COMPTE DE LIAISON DES ETABLISSEMENTS"/>
    <s v="OD"/>
    <n v="275.89"/>
    <d v="2025-05-14T00:00:00"/>
    <s v="Liaison établissement 401000 BIOTIKA TO"/>
    <s v="Non"/>
    <e v="#N/A"/>
    <e v="#N/A"/>
    <n v="72301"/>
    <m/>
    <s v="BIOTIKA"/>
    <s v="Q2"/>
    <e v="#REF!"/>
    <e v="#REF!"/>
    <e v="#REF!"/>
  </r>
  <r>
    <s v="181000"/>
    <x v="6"/>
    <s v="COMPTE DE LIAISON DES ETABLISSEMENTS"/>
    <s v="OD"/>
    <n v="276.45999999999998"/>
    <d v="2025-10-31T00:00:00"/>
    <s v="Liaison établissement 401000 BIOTIKA TO"/>
    <s v="Non"/>
    <e v="#N/A"/>
    <e v="#N/A"/>
    <n v="87520"/>
    <s v="TRANSPORT COSTS"/>
    <s v="BIOTIKA"/>
    <s v="Q4"/>
    <e v="#REF!"/>
    <e v="#REF!"/>
    <e v="#REF!"/>
  </r>
  <r>
    <s v="181000"/>
    <x v="6"/>
    <s v="COMPTE DE LIAISON DES ETABLISSEMENTS"/>
    <s v="OD"/>
    <n v="276.61"/>
    <d v="2025-06-16T00:00:00"/>
    <s v="Liaison inter-établissement"/>
    <m/>
    <e v="#N/A"/>
    <e v="#N/A"/>
    <n v="78848"/>
    <m/>
    <s v="ENGIE"/>
    <s v="Q2"/>
    <e v="#REF!"/>
    <e v="#REF!"/>
    <e v="#REF!"/>
  </r>
  <r>
    <s v="181000"/>
    <x v="6"/>
    <s v="COMPTE DE LIAISON DES ETABLISSEMENTS"/>
    <s v="OD"/>
    <n v="279.01"/>
    <d v="2025-06-28T00:00:00"/>
    <s v="Liaison inter-établissement"/>
    <m/>
    <e v="#N/A"/>
    <e v="#N/A"/>
    <n v="83308"/>
    <m/>
    <s v="FNAC"/>
    <s v="Q2"/>
    <e v="#REF!"/>
    <e v="#REF!"/>
    <e v="#REF!"/>
  </r>
  <r>
    <s v="181000"/>
    <x v="6"/>
    <s v="COMPTE DE LIAISON DES ETABLISSEMENTS"/>
    <s v="OD"/>
    <n v="279.74"/>
    <d v="2025-09-22T00:00:00"/>
    <s v="Liaison établissement 401000 OPTIMUS TO"/>
    <m/>
    <e v="#N/A"/>
    <e v="#N/A"/>
    <n v="82392"/>
    <s v="JOINTS ÉTANCHÉITÉ KL POUR MAINTENANCE JUILLET - URGENT"/>
    <s v="OPTIMUS"/>
    <s v="Q3"/>
    <e v="#REF!"/>
    <e v="#REF!"/>
    <e v="#REF!"/>
  </r>
  <r>
    <s v="181000"/>
    <x v="6"/>
    <s v="COMPTE DE LIAISON DES ETABLISSEMENTS"/>
    <s v="OD"/>
    <n v="280"/>
    <d v="2025-01-31T00:00:00"/>
    <s v="Liaison inter-établissement vers RO "/>
    <m/>
    <e v="#N/A"/>
    <e v="#N/A"/>
    <n v="87999"/>
    <m/>
    <s v="SOFFIERA"/>
    <s v="Q1"/>
    <e v="#REF!"/>
    <e v="#REF!"/>
    <e v="#REF!"/>
  </r>
  <r>
    <s v="181000"/>
    <x v="6"/>
    <s v="COMPTE DE LIAISON DES ETABLISSEMENTS"/>
    <s v="OD"/>
    <n v="281.32"/>
    <d v="2025-05-16T00:00:00"/>
    <s v="Liaison inter-établissement"/>
    <m/>
    <e v="#N/A"/>
    <e v="#N/A"/>
    <n v="74505"/>
    <m/>
    <s v="Jérémie Blache"/>
    <s v="Q2"/>
    <e v="#REF!"/>
    <e v="#REF!"/>
    <e v="#REF!"/>
  </r>
  <r>
    <s v="181000"/>
    <x v="6"/>
    <s v="COMPTE DE LIAISON DES ETABLISSEMENTS"/>
    <s v="OD"/>
    <n v="282.08999999999997"/>
    <d v="2025-05-16T00:00:00"/>
    <s v="Liaison inter-établissement"/>
    <m/>
    <e v="#N/A"/>
    <e v="#N/A"/>
    <n v="74553"/>
    <m/>
    <s v="Julie Lacondemine"/>
    <s v="Q2"/>
    <e v="#REF!"/>
    <e v="#REF!"/>
    <e v="#REF!"/>
  </r>
  <r>
    <s v="181000"/>
    <x v="6"/>
    <s v="COMPTE DE LIAISON DES ETABLISSEMENTS"/>
    <s v="OD"/>
    <n v="283.39"/>
    <d v="2025-08-18T00:00:00"/>
    <s v="Liaison établissement 401000 VWR TO"/>
    <m/>
    <e v="#N/A"/>
    <e v="#N/A"/>
    <n v="81128"/>
    <s v="COMMANDE CONSOMMABLE LABO"/>
    <s v="VWR AVANTOR"/>
    <s v="Q3"/>
    <e v="#REF!"/>
    <e v="#REF!"/>
    <e v="#REF!"/>
  </r>
  <r>
    <s v="181000"/>
    <x v="6"/>
    <s v="COMPTE DE LIAISON DES ETABLISSEMENTS"/>
    <s v="OD"/>
    <n v="286.08"/>
    <d v="2025-08-18T00:00:00"/>
    <s v="Liaison établissement 401000 VWR TO"/>
    <m/>
    <e v="#N/A"/>
    <e v="#N/A"/>
    <n v="81133"/>
    <s v="COMMANDE PRODUIT POUR LABO"/>
    <s v="VWR AVANTOR"/>
    <s v="Q3"/>
    <e v="#REF!"/>
    <e v="#REF!"/>
    <e v="#REF!"/>
  </r>
  <r>
    <s v="181000"/>
    <x v="6"/>
    <s v="COMPTE DE LIAISON DES ETABLISSEMENTS"/>
    <s v="OD"/>
    <n v="287.83999999999997"/>
    <d v="2025-12-14T00:00:00"/>
    <s v="Liaison inter-établissement"/>
    <m/>
    <e v="#N/A"/>
    <e v="#N/A"/>
    <n v="94104"/>
    <m/>
    <s v="BRADY GROUPE"/>
    <s v="Q4"/>
    <e v="#REF!"/>
    <e v="#REF!"/>
    <e v="#REF!"/>
  </r>
  <r>
    <s v="181000"/>
    <x v="6"/>
    <s v="COMPTE DE LIAISON DES ETABLISSEMENTS"/>
    <s v="OD"/>
    <n v="288"/>
    <d v="2025-01-23T00:00:00"/>
    <s v="Liaison inter-établissement"/>
    <m/>
    <s v="Non"/>
    <e v="#N/A"/>
    <n v="63721"/>
    <m/>
    <s v="DIVERS"/>
    <s v="Q1"/>
    <e v="#REF!"/>
    <e v="#REF!"/>
    <e v="#REF!"/>
  </r>
  <r>
    <s v="181000"/>
    <x v="6"/>
    <s v="COMPTE DE LIAISON DES ETABLISSEMENTS"/>
    <s v="OD"/>
    <n v="288"/>
    <d v="2025-09-26T00:00:00"/>
    <s v="Liaison établissement 401000 GSF TO"/>
    <m/>
    <e v="#N/A"/>
    <e v="#N/A"/>
    <n v="82521"/>
    <s v="INVOICE PAYMENT BY PILI"/>
    <s v="GSF"/>
    <s v="Q3"/>
    <e v="#REF!"/>
    <e v="#REF!"/>
    <e v="#REF!"/>
  </r>
  <r>
    <s v="181000"/>
    <x v="6"/>
    <s v="COMPTE DE LIAISON DES ETABLISSEMENTS"/>
    <s v="OD"/>
    <n v="288.27"/>
    <d v="2025-11-28T00:00:00"/>
    <s v="Liaison établissement 401000 VWR TO"/>
    <m/>
    <e v="#N/A"/>
    <e v="#N/A"/>
    <n v="91248"/>
    <s v="4067842722"/>
    <s v="VWR AVANTOR"/>
    <s v="Q4"/>
    <e v="#REF!"/>
    <e v="#REF!"/>
    <e v="#REF!"/>
  </r>
  <r>
    <s v="181000"/>
    <x v="6"/>
    <s v="COMPTE DE LIAISON DES ETABLISSEMENTS"/>
    <s v="OD"/>
    <n v="290"/>
    <d v="2025-10-29T00:00:00"/>
    <s v="Liaison inter-établissement"/>
    <m/>
    <e v="#N/A"/>
    <e v="#N/A"/>
    <n v="89829"/>
    <m/>
    <s v="SNCF"/>
    <s v="Q4"/>
    <e v="#REF!"/>
    <e v="#REF!"/>
    <e v="#REF!"/>
  </r>
  <r>
    <s v="181000"/>
    <x v="6"/>
    <s v="COMPTE DE LIAISON DES ETABLISSEMENTS"/>
    <s v="OD"/>
    <n v="292"/>
    <d v="2025-11-28T00:00:00"/>
    <s v="Liaison établissement 401000 BLD PHARMATECH TO"/>
    <m/>
    <e v="#N/A"/>
    <e v="#N/A"/>
    <n v="91263"/>
    <s v="INGM238822"/>
    <s v="BLD PHARMATECH"/>
    <s v="Q4"/>
    <e v="#REF!"/>
    <e v="#REF!"/>
    <e v="#REF!"/>
  </r>
  <r>
    <s v="181000"/>
    <x v="6"/>
    <s v="COMPTE DE LIAISON DES ETABLISSEMENTS"/>
    <s v="OD"/>
    <n v="293.54000000000002"/>
    <d v="2025-02-18T00:00:00"/>
    <s v="Liaison inter-établissement"/>
    <m/>
    <e v="#N/A"/>
    <e v="#N/A"/>
    <n v="63765"/>
    <m/>
    <s v="MANUTAN"/>
    <s v="Q1"/>
    <e v="#REF!"/>
    <e v="#REF!"/>
    <e v="#REF!"/>
  </r>
  <r>
    <s v="181000"/>
    <x v="6"/>
    <s v="COMPTE DE LIAISON DES ETABLISSEMENTS"/>
    <s v="OD"/>
    <n v="294.49"/>
    <d v="2025-06-30T00:00:00"/>
    <s v="Liaison inter-établissement vers TO "/>
    <m/>
    <e v="#N/A"/>
    <e v="#N/A"/>
    <n v="78533"/>
    <m/>
    <m/>
    <s v="Q2"/>
    <e v="#REF!"/>
    <e v="#REF!"/>
    <e v="#REF!"/>
  </r>
  <r>
    <s v="181000"/>
    <x v="6"/>
    <s v="COMPTE DE LIAISON DES ETABLISSEMENTS"/>
    <s v="OD"/>
    <n v="294.95999999999998"/>
    <d v="2025-10-25T00:00:00"/>
    <s v="Liaison inter-établissement"/>
    <m/>
    <e v="#N/A"/>
    <e v="#N/A"/>
    <n v="91596"/>
    <m/>
    <s v="AIRLINES"/>
    <s v="Q4"/>
    <e v="#REF!"/>
    <e v="#REF!"/>
    <e v="#REF!"/>
  </r>
  <r>
    <s v="181000"/>
    <x v="6"/>
    <s v="COMPTE DE LIAISON DES ETABLISSEMENTS"/>
    <s v="OD"/>
    <n v="298"/>
    <d v="2025-02-06T00:00:00"/>
    <s v="Liaison inter-établissement"/>
    <m/>
    <s v="Non"/>
    <e v="#N/A"/>
    <n v="64295"/>
    <m/>
    <s v="DIVERS"/>
    <s v="Q1"/>
    <e v="#REF!"/>
    <e v="#REF!"/>
    <e v="#REF!"/>
  </r>
  <r>
    <s v="181000"/>
    <x v="6"/>
    <s v="COMPTE DE LIAISON DES ETABLISSEMENTS"/>
    <s v="OD"/>
    <n v="298.8"/>
    <d v="2025-03-03T00:00:00"/>
    <s v="Liaison inter-établissement"/>
    <m/>
    <e v="#N/A"/>
    <e v="#N/A"/>
    <n v="64407"/>
    <m/>
    <s v="CLOUP"/>
    <s v="Q1"/>
    <e v="#REF!"/>
    <e v="#REF!"/>
    <e v="#REF!"/>
  </r>
  <r>
    <s v="181000"/>
    <x v="6"/>
    <s v="COMPTE DE LIAISON DES ETABLISSEMENTS"/>
    <s v="OD"/>
    <n v="299.51"/>
    <d v="2025-12-24T00:00:00"/>
    <s v="Liaison établissement 401000 WARNER NORCROSS JUDD TO"/>
    <s v="Non"/>
    <s v="Non"/>
    <e v="#N/A"/>
    <n v="93670"/>
    <s v="2473501"/>
    <s v="WARNER NORCROSS JUDD"/>
    <s v="Q4"/>
    <e v="#REF!"/>
    <e v="#REF!"/>
    <e v="#REF!"/>
  </r>
  <r>
    <s v="181000"/>
    <x v="6"/>
    <s v="COMPTE DE LIAISON DES ETABLISSEMENTS"/>
    <s v="OD"/>
    <n v="300"/>
    <d v="2025-06-27T00:00:00"/>
    <s v="Liaison inter-établissement"/>
    <m/>
    <e v="#N/A"/>
    <e v="#N/A"/>
    <n v="76678"/>
    <m/>
    <s v="Jérémie Blache"/>
    <s v="Q2"/>
    <e v="#REF!"/>
    <e v="#REF!"/>
    <e v="#REF!"/>
  </r>
  <r>
    <s v="181000"/>
    <x v="6"/>
    <s v="COMPTE DE LIAISON DES ETABLISSEMENTS"/>
    <s v="OD"/>
    <n v="300"/>
    <d v="2025-07-31T00:00:00"/>
    <s v="Liaison établissement 401000 GONZALEZ TO"/>
    <s v="Non"/>
    <s v="Non"/>
    <e v="#N/A"/>
    <n v="79282"/>
    <s v="PRESTATION PHOTOGRAPHIQUE COMPRENANT LA PRISE DE VUES ET LA POST-PRODUCTION"/>
    <s v="GONZALEZ VICTOR"/>
    <s v="Q3"/>
    <e v="#REF!"/>
    <e v="#REF!"/>
    <e v="#REF!"/>
  </r>
  <r>
    <s v="181000"/>
    <x v="6"/>
    <s v="COMPTE DE LIAISON DES ETABLISSEMENTS"/>
    <s v="OD"/>
    <n v="300.89"/>
    <d v="2025-09-30T00:00:00"/>
    <s v="Liaison inter-établissement"/>
    <m/>
    <e v="#N/A"/>
    <e v="#N/A"/>
    <n v="82678"/>
    <m/>
    <s v="BRENNTAG"/>
    <s v="Q3"/>
    <e v="#REF!"/>
    <e v="#REF!"/>
    <e v="#REF!"/>
  </r>
  <r>
    <s v="181000"/>
    <x v="6"/>
    <s v="COMPTE DE LIAISON DES ETABLISSEMENTS"/>
    <s v="OD"/>
    <n v="302.39999999999998"/>
    <d v="2025-09-12T00:00:00"/>
    <s v="Liaison établissement 401000 VWR TO"/>
    <m/>
    <e v="#N/A"/>
    <e v="#N/A"/>
    <n v="82032"/>
    <s v="CONSOMMABLES LABO"/>
    <s v="VWR AVANTOR"/>
    <s v="Q3"/>
    <e v="#REF!"/>
    <e v="#REF!"/>
    <e v="#REF!"/>
  </r>
  <r>
    <s v="181000"/>
    <x v="6"/>
    <s v="COMPTE DE LIAISON DES ETABLISSEMENTS"/>
    <s v="OD"/>
    <n v="303.10000000000002"/>
    <d v="2025-07-16T00:00:00"/>
    <s v="Liaison inter-établissement"/>
    <m/>
    <e v="#N/A"/>
    <e v="#N/A"/>
    <n v="78860"/>
    <m/>
    <s v="ENGIE"/>
    <s v="Q3"/>
    <e v="#REF!"/>
    <e v="#REF!"/>
    <e v="#REF!"/>
  </r>
  <r>
    <s v="181000"/>
    <x v="6"/>
    <s v="COMPTE DE LIAISON DES ETABLISSEMENTS"/>
    <s v="OD"/>
    <n v="305.92"/>
    <d v="2025-10-16T00:00:00"/>
    <s v="Liaison inter-établissement"/>
    <m/>
    <e v="#N/A"/>
    <e v="#N/A"/>
    <n v="86958"/>
    <m/>
    <s v="ENGIE"/>
    <s v="Q4"/>
    <e v="#REF!"/>
    <e v="#REF!"/>
    <e v="#REF!"/>
  </r>
  <r>
    <s v="181000"/>
    <x v="6"/>
    <s v="COMPTE DE LIAISON DES ETABLISSEMENTS"/>
    <s v="OD"/>
    <n v="308.27"/>
    <d v="2025-04-14T00:00:00"/>
    <s v="Liaison inter-établissement"/>
    <m/>
    <e v="#N/A"/>
    <e v="#N/A"/>
    <n v="72780"/>
    <m/>
    <s v="ENGIE"/>
    <s v="Q2"/>
    <e v="#REF!"/>
    <e v="#REF!"/>
    <e v="#REF!"/>
  </r>
  <r>
    <s v="181000"/>
    <x v="6"/>
    <s v="COMPTE DE LIAISON DES ETABLISSEMENTS"/>
    <s v="OD"/>
    <n v="308.41000000000003"/>
    <d v="2025-11-13T00:00:00"/>
    <s v="Liaison établissement 401000 VWR TO"/>
    <m/>
    <e v="#N/A"/>
    <e v="#N/A"/>
    <n v="89949"/>
    <s v="CONSOMMABLE LABO"/>
    <s v="VWR AVANTOR"/>
    <s v="Q4"/>
    <e v="#REF!"/>
    <e v="#REF!"/>
    <e v="#REF!"/>
  </r>
  <r>
    <s v="181000"/>
    <x v="6"/>
    <s v="COMPTE DE LIAISON DES ETABLISSEMENTS"/>
    <s v="OD"/>
    <n v="309.12"/>
    <d v="2025-03-28T00:00:00"/>
    <s v="Liaison établissement 401000 CLOUP TO"/>
    <m/>
    <e v="#N/A"/>
    <e v="#N/A"/>
    <n v="65004"/>
    <s v="Invoice Payment by Pili"/>
    <s v="CLOUP"/>
    <s v="Q1"/>
    <e v="#REF!"/>
    <e v="#REF!"/>
    <e v="#REF!"/>
  </r>
  <r>
    <s v="181000"/>
    <x v="6"/>
    <s v="COMPTE DE LIAISON DES ETABLISSEMENTS"/>
    <s v="OD"/>
    <n v="313.2"/>
    <d v="2025-05-07T00:00:00"/>
    <s v="Liaison établissement 401000 RAJA TO"/>
    <m/>
    <e v="#N/A"/>
    <e v="#N/A"/>
    <n v="71807"/>
    <s v="TUBE BRUN RAJA D60 LONG500"/>
    <s v="RAJA"/>
    <s v="Q2"/>
    <e v="#REF!"/>
    <e v="#REF!"/>
    <e v="#REF!"/>
  </r>
  <r>
    <s v="181000"/>
    <x v="6"/>
    <s v="COMPTE DE LIAISON DES ETABLISSEMENTS"/>
    <s v="OD"/>
    <n v="313.2"/>
    <d v="2025-09-12T00:00:00"/>
    <s v="Liaison établissement 401000 FISHER TO"/>
    <m/>
    <e v="#N/A"/>
    <e v="#N/A"/>
    <n v="82007"/>
    <s v="HYDROXYLAMINE SULFATE POUR STEP 2 KEENY"/>
    <s v="FISHER SCIENTIFIC"/>
    <s v="Q3"/>
    <e v="#REF!"/>
    <e v="#REF!"/>
    <e v="#REF!"/>
  </r>
  <r>
    <s v="181000"/>
    <x v="6"/>
    <s v="COMPTE DE LIAISON DES ETABLISSEMENTS"/>
    <s v="OD"/>
    <n v="313.2"/>
    <d v="2025-10-06T00:00:00"/>
    <s v="Liaison établissement 401000 FISHER TO"/>
    <m/>
    <e v="#N/A"/>
    <e v="#N/A"/>
    <n v="82931"/>
    <s v="HYDROXYLAMINE SULFATE POUR STEP 2 KEENY"/>
    <s v="FISHER SCIENTIFIC"/>
    <s v="Q4"/>
    <e v="#REF!"/>
    <e v="#REF!"/>
    <e v="#REF!"/>
  </r>
  <r>
    <s v="181000"/>
    <x v="6"/>
    <s v="COMPTE DE LIAISON DES ETABLISSEMENTS"/>
    <s v="OD"/>
    <n v="313.33"/>
    <d v="2025-04-25T00:00:00"/>
    <s v="Liaison inter-établissement"/>
    <m/>
    <e v="#N/A"/>
    <e v="#N/A"/>
    <n v="74473"/>
    <m/>
    <s v="Bob Fernandez"/>
    <s v="Q2"/>
    <e v="#REF!"/>
    <e v="#REF!"/>
    <e v="#REF!"/>
  </r>
  <r>
    <s v="181000"/>
    <x v="6"/>
    <s v="COMPTE DE LIAISON DES ETABLISSEMENTS"/>
    <s v="OD"/>
    <n v="316.7"/>
    <d v="2025-03-21T00:00:00"/>
    <s v="Liaison inter-établissement"/>
    <m/>
    <s v="Non"/>
    <e v="#N/A"/>
    <n v="68114"/>
    <m/>
    <s v="DIVERS"/>
    <s v="Q1"/>
    <e v="#REF!"/>
    <e v="#REF!"/>
    <e v="#REF!"/>
  </r>
  <r>
    <s v="181000"/>
    <x v="6"/>
    <s v="COMPTE DE LIAISON DES ETABLISSEMENTS"/>
    <s v="OD"/>
    <n v="318"/>
    <d v="2025-05-07T00:00:00"/>
    <s v="Liaison établissement 401000 GAZDETECT TO"/>
    <m/>
    <e v="#N/A"/>
    <e v="#N/A"/>
    <n v="71782"/>
    <s v="CARTOUCHE AX POUR MASQUE À GAZ"/>
    <s v="GAZ DETECT"/>
    <s v="Q2"/>
    <e v="#REF!"/>
    <e v="#REF!"/>
    <e v="#REF!"/>
  </r>
  <r>
    <s v="181000"/>
    <x v="6"/>
    <s v="COMPTE DE LIAISON DES ETABLISSEMENTS"/>
    <s v="OD"/>
    <n v="319.43"/>
    <d v="2025-09-12T00:00:00"/>
    <s v="Liaison établissement 401000 VWR TO"/>
    <m/>
    <e v="#N/A"/>
    <e v="#N/A"/>
    <n v="82042"/>
    <s v="CONSOMMABLES LABO"/>
    <s v="VWR AVANTOR"/>
    <s v="Q3"/>
    <e v="#REF!"/>
    <e v="#REF!"/>
    <e v="#REF!"/>
  </r>
  <r>
    <s v="181000"/>
    <x v="6"/>
    <s v="COMPTE DE LIAISON DES ETABLISSEMENTS"/>
    <s v="OD"/>
    <n v="321.18"/>
    <d v="2025-12-30T00:00:00"/>
    <s v="Liaison établissement 401000 VWR TO"/>
    <m/>
    <e v="#N/A"/>
    <e v="#N/A"/>
    <n v="93844"/>
    <s v="4067873149"/>
    <s v="VWR AVANTOR"/>
    <s v="Q4"/>
    <e v="#REF!"/>
    <e v="#REF!"/>
    <e v="#REF!"/>
  </r>
  <r>
    <s v="181000"/>
    <x v="6"/>
    <s v="COMPTE DE LIAISON DES ETABLISSEMENTS"/>
    <s v="OD"/>
    <n v="321.35000000000002"/>
    <d v="2025-07-31T00:00:00"/>
    <s v="Liaison inter-établissement"/>
    <m/>
    <e v="#N/A"/>
    <e v="#N/A"/>
    <n v="81923"/>
    <m/>
    <s v="AIR LIQUIDE"/>
    <s v="Q3"/>
    <e v="#REF!"/>
    <e v="#REF!"/>
    <e v="#REF!"/>
  </r>
  <r>
    <s v="181000"/>
    <x v="6"/>
    <s v="COMPTE DE LIAISON DES ETABLISSEMENTS"/>
    <s v="OD"/>
    <n v="324"/>
    <d v="2025-10-21T00:00:00"/>
    <s v="Liaison inter-établissement"/>
    <m/>
    <e v="#N/A"/>
    <e v="#N/A"/>
    <n v="87491"/>
    <m/>
    <s v="DOMAINE DE CHRISTIN SAS"/>
    <s v="Q4"/>
    <e v="#REF!"/>
    <e v="#REF!"/>
    <e v="#REF!"/>
  </r>
  <r>
    <s v="181000"/>
    <x v="6"/>
    <s v="COMPTE DE LIAISON DES ETABLISSEMENTS"/>
    <s v="OD"/>
    <n v="325.93"/>
    <d v="2025-10-31T00:00:00"/>
    <s v="Liaison établissement 401000 BIOTIKA TO"/>
    <s v="Non"/>
    <e v="#N/A"/>
    <e v="#N/A"/>
    <n v="87525"/>
    <s v="TRANSPORT COSTS"/>
    <s v="BIOTIKA"/>
    <s v="Q4"/>
    <e v="#REF!"/>
    <e v="#REF!"/>
    <e v="#REF!"/>
  </r>
  <r>
    <s v="181000"/>
    <x v="6"/>
    <s v="COMPTE DE LIAISON DES ETABLISSEMENTS"/>
    <s v="OD"/>
    <n v="328.09"/>
    <d v="2025-08-21T00:00:00"/>
    <s v="Liaison inter-établissement"/>
    <m/>
    <e v="#N/A"/>
    <e v="#N/A"/>
    <n v="83244"/>
    <m/>
    <s v="ARCANE INDUSTRIE"/>
    <s v="Q3"/>
    <e v="#REF!"/>
    <e v="#REF!"/>
    <e v="#REF!"/>
  </r>
  <r>
    <s v="181000"/>
    <x v="6"/>
    <s v="COMPTE DE LIAISON DES ETABLISSEMENTS"/>
    <s v="OD"/>
    <n v="328.09"/>
    <d v="2025-11-05T00:00:00"/>
    <s v="Liaison inter-établissement"/>
    <m/>
    <e v="#N/A"/>
    <e v="#N/A"/>
    <n v="91600"/>
    <m/>
    <s v="ARCANE INDUSTRIE"/>
    <s v="Q4"/>
    <e v="#REF!"/>
    <e v="#REF!"/>
    <e v="#REF!"/>
  </r>
  <r>
    <s v="181000"/>
    <x v="6"/>
    <s v="COMPTE DE LIAISON DES ETABLISSEMENTS"/>
    <s v="OD"/>
    <n v="329.19"/>
    <d v="2025-08-15T00:00:00"/>
    <s v="Liaison inter-établissement"/>
    <m/>
    <e v="#N/A"/>
    <e v="#N/A"/>
    <n v="81927"/>
    <m/>
    <s v="ENGIE"/>
    <s v="Q3"/>
    <e v="#REF!"/>
    <e v="#REF!"/>
    <e v="#REF!"/>
  </r>
  <r>
    <s v="181000"/>
    <x v="6"/>
    <s v="COMPTE DE LIAISON DES ETABLISSEMENTS"/>
    <s v="OD"/>
    <n v="330.2"/>
    <d v="2025-03-21T00:00:00"/>
    <s v="Liaison inter-établissement"/>
    <m/>
    <e v="#N/A"/>
    <e v="#N/A"/>
    <n v="68082"/>
    <m/>
    <s v="BRUNEAU"/>
    <s v="Q1"/>
    <e v="#REF!"/>
    <e v="#REF!"/>
    <e v="#REF!"/>
  </r>
  <r>
    <s v="181000"/>
    <x v="6"/>
    <s v="COMPTE DE LIAISON DES ETABLISSEMENTS"/>
    <s v="OD"/>
    <n v="332.45"/>
    <d v="2025-03-14T00:00:00"/>
    <s v="Liaison inter-établissement"/>
    <m/>
    <e v="#N/A"/>
    <e v="#N/A"/>
    <n v="75886"/>
    <m/>
    <s v="Marie-Sarah Adenis"/>
    <s v="Q1"/>
    <e v="#REF!"/>
    <e v="#REF!"/>
    <e v="#REF!"/>
  </r>
  <r>
    <s v="181000"/>
    <x v="6"/>
    <s v="COMPTE DE LIAISON DES ETABLISSEMENTS"/>
    <s v="OD"/>
    <n v="333.2"/>
    <d v="2025-01-01T00:00:00"/>
    <s v="Liaison inter-établissement vers RO "/>
    <m/>
    <e v="#N/A"/>
    <e v="#N/A"/>
    <n v="74067"/>
    <m/>
    <s v="BROSSIER TRANSPORTS"/>
    <s v="Q1"/>
    <e v="#REF!"/>
    <e v="#REF!"/>
    <e v="#REF!"/>
  </r>
  <r>
    <s v="181000"/>
    <x v="6"/>
    <s v="COMPTE DE LIAISON DES ETABLISSEMENTS"/>
    <s v="OD"/>
    <n v="334.19"/>
    <d v="2025-10-24T00:00:00"/>
    <s v="Liaison inter-établissement"/>
    <m/>
    <e v="#N/A"/>
    <e v="#N/A"/>
    <n v="94876"/>
    <m/>
    <s v="RICOH"/>
    <s v="Q4"/>
    <e v="#REF!"/>
    <e v="#REF!"/>
    <e v="#REF!"/>
  </r>
  <r>
    <s v="181000"/>
    <x v="6"/>
    <s v="COMPTE DE LIAISON DES ETABLISSEMENTS"/>
    <s v="OD"/>
    <n v="336"/>
    <d v="2025-10-31T00:00:00"/>
    <s v="Liaison établissement 401000 BECKER TO"/>
    <s v="Non"/>
    <s v="Oui"/>
    <e v="#N/A"/>
    <n v="87509"/>
    <s v="RETRAIT DEMANDE INITIALE EP AVANT PCT DE PALOMA CHIMIE"/>
    <s v="BECKER"/>
    <s v="Q4"/>
    <e v="#REF!"/>
    <e v="#REF!"/>
    <e v="#REF!"/>
  </r>
  <r>
    <s v="181000"/>
    <x v="6"/>
    <s v="COMPTE DE LIAISON DES ETABLISSEMENTS"/>
    <s v="OD"/>
    <n v="336.86"/>
    <d v="2025-03-19T00:00:00"/>
    <s v="Liaison inter-établissement"/>
    <m/>
    <e v="#N/A"/>
    <e v="#N/A"/>
    <n v="63761"/>
    <m/>
    <s v="MANUTAN"/>
    <s v="Q1"/>
    <e v="#REF!"/>
    <e v="#REF!"/>
    <e v="#REF!"/>
  </r>
  <r>
    <s v="181000"/>
    <x v="6"/>
    <s v="COMPTE DE LIAISON DES ETABLISSEMENTS"/>
    <s v="OD"/>
    <n v="341.36"/>
    <d v="2025-05-30T00:00:00"/>
    <s v="Liaison inter-établissement"/>
    <m/>
    <e v="#N/A"/>
    <e v="#N/A"/>
    <n v="75024"/>
    <m/>
    <s v="AIR LIQUIDE"/>
    <s v="Q2"/>
    <e v="#REF!"/>
    <e v="#REF!"/>
    <e v="#REF!"/>
  </r>
  <r>
    <s v="181000"/>
    <x v="6"/>
    <s v="COMPTE DE LIAISON DES ETABLISSEMENTS"/>
    <s v="OD"/>
    <n v="344.4"/>
    <d v="2025-07-23T00:00:00"/>
    <s v="Liaison établissement 401000 BIOTIKA TO"/>
    <s v="Non"/>
    <e v="#N/A"/>
    <e v="#N/A"/>
    <n v="78351"/>
    <s v="TRANSPORT OF ADR MATERIAL TO MILANO ITALY"/>
    <s v="BIOTIKA"/>
    <s v="Q3"/>
    <e v="#REF!"/>
    <e v="#REF!"/>
    <e v="#REF!"/>
  </r>
  <r>
    <s v="181000"/>
    <x v="6"/>
    <s v="COMPTE DE LIAISON DES ETABLISSEMENTS"/>
    <s v="OD"/>
    <n v="346.55"/>
    <d v="2025-05-07T00:00:00"/>
    <s v="Liaison établissement 401000 VWR TO"/>
    <m/>
    <e v="#N/A"/>
    <e v="#N/A"/>
    <n v="71862"/>
    <s v="COMMANDE PRODUITS ET CONSOMMABLES LABO"/>
    <s v="VWR AVANTOR"/>
    <s v="Q2"/>
    <e v="#REF!"/>
    <e v="#REF!"/>
    <e v="#REF!"/>
  </r>
  <r>
    <s v="181000"/>
    <x v="6"/>
    <s v="COMPTE DE LIAISON DES ETABLISSEMENTS"/>
    <s v="OD"/>
    <n v="348.34"/>
    <d v="2025-04-25T00:00:00"/>
    <s v="Liaison établissement 401000 ROTH TO"/>
    <m/>
    <e v="#N/A"/>
    <e v="#N/A"/>
    <n v="70178"/>
    <s v="Invoice Payment by Pili"/>
    <s v="ROTH SOCHIEL"/>
    <s v="Q2"/>
    <e v="#REF!"/>
    <e v="#REF!"/>
    <e v="#REF!"/>
  </r>
  <r>
    <s v="181000"/>
    <x v="6"/>
    <s v="COMPTE DE LIAISON DES ETABLISSEMENTS"/>
    <s v="OD"/>
    <n v="349"/>
    <d v="2025-05-29T00:00:00"/>
    <s v="Liaison inter-établissement"/>
    <m/>
    <e v="#N/A"/>
    <e v="#N/A"/>
    <n v="78140"/>
    <m/>
    <s v="SNCF"/>
    <s v="Q2"/>
    <e v="#REF!"/>
    <e v="#REF!"/>
    <e v="#REF!"/>
  </r>
  <r>
    <s v="181000"/>
    <x v="6"/>
    <s v="COMPTE DE LIAISON DES ETABLISSEMENTS"/>
    <s v="OD"/>
    <n v="349"/>
    <d v="2025-11-28T00:00:00"/>
    <s v="Liaison inter-établissement"/>
    <m/>
    <e v="#N/A"/>
    <e v="#N/A"/>
    <n v="91733"/>
    <m/>
    <s v="SNCF"/>
    <s v="Q4"/>
    <e v="#REF!"/>
    <e v="#REF!"/>
    <e v="#REF!"/>
  </r>
  <r>
    <s v="181000"/>
    <x v="6"/>
    <s v="COMPTE DE LIAISON DES ETABLISSEMENTS"/>
    <s v="OD"/>
    <n v="349"/>
    <d v="2025-12-09T00:00:00"/>
    <s v="Liaison inter-établissement"/>
    <m/>
    <e v="#N/A"/>
    <e v="#N/A"/>
    <n v="94136"/>
    <m/>
    <s v="SNCF"/>
    <s v="Q4"/>
    <e v="#REF!"/>
    <e v="#REF!"/>
    <e v="#REF!"/>
  </r>
  <r>
    <s v="181000"/>
    <x v="6"/>
    <s v="COMPTE DE LIAISON DES ETABLISSEMENTS"/>
    <s v="OD"/>
    <n v="350.44"/>
    <d v="2025-10-08T00:00:00"/>
    <s v="Liaison inter-établissement"/>
    <m/>
    <e v="#N/A"/>
    <e v="#N/A"/>
    <n v="89769"/>
    <m/>
    <s v="MANUTAN"/>
    <s v="Q4"/>
    <e v="#REF!"/>
    <e v="#REF!"/>
    <e v="#REF!"/>
  </r>
  <r>
    <s v="181000"/>
    <x v="6"/>
    <s v="COMPTE DE LIAISON DES ETABLISSEMENTS"/>
    <s v="OD"/>
    <n v="354.95"/>
    <d v="2025-03-07T00:00:00"/>
    <s v="Liaison inter-établissement"/>
    <m/>
    <e v="#N/A"/>
    <e v="#N/A"/>
    <n v="68074"/>
    <m/>
    <s v="BRUNEAU"/>
    <s v="Q1"/>
    <e v="#REF!"/>
    <e v="#REF!"/>
    <e v="#REF!"/>
  </r>
  <r>
    <s v="181000"/>
    <x v="6"/>
    <s v="COMPTE DE LIAISON DES ETABLISSEMENTS"/>
    <s v="OD"/>
    <n v="356.12"/>
    <d v="2025-12-30T00:00:00"/>
    <s v="Liaison établissement 401000 BIOTIKA TO"/>
    <s v="Non"/>
    <e v="#N/A"/>
    <e v="#N/A"/>
    <n v="93782"/>
    <s v="91250194"/>
    <s v="BIOTIKA"/>
    <s v="Q4"/>
    <e v="#REF!"/>
    <e v="#REF!"/>
    <e v="#REF!"/>
  </r>
  <r>
    <s v="181000"/>
    <x v="6"/>
    <s v="COMPTE DE LIAISON DES ETABLISSEMENTS"/>
    <s v="OD"/>
    <n v="356.4"/>
    <d v="2025-08-21T00:00:00"/>
    <s v="Liaison établissement 401000 SAESPCI TO"/>
    <m/>
    <e v="#N/A"/>
    <e v="#N/A"/>
    <n v="81493"/>
    <s v="ANALYSE RMN ESPCI - AVR-JUIN 2025"/>
    <s v="SAESPCI"/>
    <s v="Q3"/>
    <e v="#REF!"/>
    <e v="#REF!"/>
    <e v="#REF!"/>
  </r>
  <r>
    <s v="181000"/>
    <x v="6"/>
    <s v="COMPTE DE LIAISON DES ETABLISSEMENTS"/>
    <s v="OD"/>
    <n v="359.69"/>
    <d v="2025-04-25T00:00:00"/>
    <s v="Liaison établissement 401000 ROTH TO"/>
    <m/>
    <e v="#N/A"/>
    <e v="#N/A"/>
    <n v="70183"/>
    <s v="Invoice Payment by Pili"/>
    <s v="ROTH SOCHIEL"/>
    <s v="Q2"/>
    <e v="#REF!"/>
    <e v="#REF!"/>
    <e v="#REF!"/>
  </r>
  <r>
    <s v="181000"/>
    <x v="6"/>
    <s v="COMPTE DE LIAISON DES ETABLISSEMENTS"/>
    <s v="OD"/>
    <n v="360"/>
    <d v="2025-08-21T00:00:00"/>
    <s v="Liaison établissement 401000 BECKER TO"/>
    <s v="Non"/>
    <s v="Oui"/>
    <e v="#N/A"/>
    <n v="81407"/>
    <s v="SURVEILLANCE BREVET"/>
    <s v="BECKER"/>
    <s v="Q3"/>
    <e v="#REF!"/>
    <e v="#REF!"/>
    <e v="#REF!"/>
  </r>
  <r>
    <s v="181000"/>
    <x v="6"/>
    <s v="COMPTE DE LIAISON DES ETABLISSEMENTS"/>
    <s v="OD"/>
    <n v="360"/>
    <d v="2025-09-25T00:00:00"/>
    <s v="Liaison inter-établissement"/>
    <m/>
    <e v="#N/A"/>
    <e v="#N/A"/>
    <n v="83400"/>
    <m/>
    <s v="BILLETWEB"/>
    <s v="Q3"/>
    <e v="#REF!"/>
    <e v="#REF!"/>
    <e v="#REF!"/>
  </r>
  <r>
    <s v="181000"/>
    <x v="6"/>
    <s v="COMPTE DE LIAISON DES ETABLISSEMENTS"/>
    <s v="OD"/>
    <n v="360"/>
    <d v="2025-11-04T00:00:00"/>
    <s v="Liaison inter-établissement"/>
    <m/>
    <e v="#N/A"/>
    <e v="#N/A"/>
    <n v="91757"/>
    <m/>
    <s v="YOUSIGN"/>
    <s v="Q4"/>
    <e v="#REF!"/>
    <e v="#REF!"/>
    <e v="#REF!"/>
  </r>
  <r>
    <s v="181000"/>
    <x v="6"/>
    <s v="COMPTE DE LIAISON DES ETABLISSEMENTS"/>
    <s v="OD"/>
    <n v="360.2"/>
    <d v="2025-11-13T00:00:00"/>
    <s v="Liaison établissement 401000 INITIATIVE TO"/>
    <m/>
    <e v="#N/A"/>
    <e v="#N/A"/>
    <n v="89955"/>
    <s v="COUVERTURE MULTIRISQUE PROFESSIONNELLE AV DE SULLY LYON"/>
    <s v="INITIATIVE &amp; RISK PARTNERS"/>
    <s v="Q4"/>
    <e v="#REF!"/>
    <e v="#REF!"/>
    <e v="#REF!"/>
  </r>
  <r>
    <s v="181000"/>
    <x v="6"/>
    <s v="COMPTE DE LIAISON DES ETABLISSEMENTS"/>
    <s v="OD"/>
    <n v="362.31"/>
    <d v="2025-03-14T00:00:00"/>
    <s v="Liaison inter-établissement"/>
    <m/>
    <s v="Non"/>
    <e v="#N/A"/>
    <n v="71911"/>
    <m/>
    <s v="DIVERS"/>
    <s v="Q1"/>
    <e v="#REF!"/>
    <e v="#REF!"/>
    <e v="#REF!"/>
  </r>
  <r>
    <s v="181000"/>
    <x v="6"/>
    <s v="COMPTE DE LIAISON DES ETABLISSEMENTS"/>
    <s v="OD"/>
    <n v="364.78"/>
    <d v="2025-02-28T00:00:00"/>
    <s v="Liaison inter-établissement"/>
    <m/>
    <e v="#N/A"/>
    <e v="#N/A"/>
    <n v="64423"/>
    <m/>
    <s v="COTRAL LAB"/>
    <s v="Q1"/>
    <e v="#REF!"/>
    <e v="#REF!"/>
    <e v="#REF!"/>
  </r>
  <r>
    <s v="181000"/>
    <x v="6"/>
    <s v="COMPTE DE LIAISON DES ETABLISSEMENTS"/>
    <s v="OD"/>
    <n v="371.26"/>
    <d v="2025-05-14T00:00:00"/>
    <s v="Liaison établissement 401000 BIOTIKA TO"/>
    <s v="Non"/>
    <e v="#N/A"/>
    <e v="#N/A"/>
    <n v="72297"/>
    <m/>
    <s v="BIOTIKA"/>
    <s v="Q2"/>
    <e v="#REF!"/>
    <e v="#REF!"/>
    <e v="#REF!"/>
  </r>
  <r>
    <s v="181000"/>
    <x v="6"/>
    <s v="COMPTE DE LIAISON DES ETABLISSEMENTS"/>
    <s v="OD"/>
    <n v="373.14"/>
    <d v="2025-02-18T00:00:00"/>
    <s v="Liaison inter-établissement"/>
    <s v="Non"/>
    <e v="#N/A"/>
    <e v="#N/A"/>
    <n v="63573"/>
    <m/>
    <s v="BIOTIKA"/>
    <s v="Q1"/>
    <e v="#REF!"/>
    <e v="#REF!"/>
    <e v="#REF!"/>
  </r>
  <r>
    <s v="181000"/>
    <x v="6"/>
    <s v="COMPTE DE LIAISON DES ETABLISSEMENTS"/>
    <s v="OD"/>
    <n v="373.2"/>
    <d v="2025-04-18T00:00:00"/>
    <s v="Liaison établissement 401000 GSF TO"/>
    <m/>
    <e v="#N/A"/>
    <e v="#N/A"/>
    <n v="68184"/>
    <s v="Invoice Payment by Pili"/>
    <s v="GSF"/>
    <s v="Q2"/>
    <e v="#REF!"/>
    <e v="#REF!"/>
    <e v="#REF!"/>
  </r>
  <r>
    <s v="181000"/>
    <x v="6"/>
    <s v="COMPTE DE LIAISON DES ETABLISSEMENTS"/>
    <s v="OD"/>
    <n v="373.2"/>
    <d v="2025-05-07T00:00:00"/>
    <s v="Liaison établissement 401000 GSF TO"/>
    <m/>
    <e v="#N/A"/>
    <e v="#N/A"/>
    <n v="71787"/>
    <s v="ENTRETIEN DES LOCAUX ROUSSILLON AVRIL 2025"/>
    <s v="GSF"/>
    <s v="Q2"/>
    <e v="#REF!"/>
    <e v="#REF!"/>
    <e v="#REF!"/>
  </r>
  <r>
    <s v="181000"/>
    <x v="6"/>
    <s v="COMPTE DE LIAISON DES ETABLISSEMENTS"/>
    <s v="OD"/>
    <n v="373.2"/>
    <d v="2025-07-22T00:00:00"/>
    <s v="Liaison établissement 401000 GSF TO"/>
    <m/>
    <e v="#N/A"/>
    <e v="#N/A"/>
    <n v="78317"/>
    <s v="ENTRETIEN LOCAUX ROUSSILLON"/>
    <s v="GSF"/>
    <s v="Q3"/>
    <e v="#REF!"/>
    <e v="#REF!"/>
    <e v="#REF!"/>
  </r>
  <r>
    <s v="181000"/>
    <x v="6"/>
    <s v="COMPTE DE LIAISON DES ETABLISSEMENTS"/>
    <s v="OD"/>
    <n v="373.2"/>
    <d v="2025-08-22T00:00:00"/>
    <s v="Liaison établissement 401000 GSF TO"/>
    <m/>
    <e v="#N/A"/>
    <e v="#N/A"/>
    <n v="81597"/>
    <s v="CONTRAT DE NETTOYAGE DES ALGECOS - ROUSSILLON"/>
    <s v="GSF"/>
    <s v="Q3"/>
    <e v="#REF!"/>
    <e v="#REF!"/>
    <e v="#REF!"/>
  </r>
  <r>
    <s v="181000"/>
    <x v="6"/>
    <s v="COMPTE DE LIAISON DES ETABLISSEMENTS"/>
    <s v="OD"/>
    <n v="373.2"/>
    <d v="2025-09-26T00:00:00"/>
    <s v="Liaison établissement 401000 GSF TO"/>
    <m/>
    <e v="#N/A"/>
    <e v="#N/A"/>
    <n v="82516"/>
    <s v="INVOICE PAYMENT BY PILI"/>
    <s v="GSF"/>
    <s v="Q3"/>
    <e v="#REF!"/>
    <e v="#REF!"/>
    <e v="#REF!"/>
  </r>
  <r>
    <s v="181000"/>
    <x v="6"/>
    <s v="COMPTE DE LIAISON DES ETABLISSEMENTS"/>
    <s v="OD"/>
    <n v="373.2"/>
    <d v="2025-10-31T00:00:00"/>
    <s v="Liaison établissement 401000 GSF TO"/>
    <m/>
    <e v="#N/A"/>
    <e v="#N/A"/>
    <n v="87556"/>
    <s v="ENTRETIEN DES ALGÉCOS"/>
    <s v="GSF"/>
    <s v="Q4"/>
    <e v="#REF!"/>
    <e v="#REF!"/>
    <e v="#REF!"/>
  </r>
  <r>
    <s v="181000"/>
    <x v="6"/>
    <s v="COMPTE DE LIAISON DES ETABLISSEMENTS"/>
    <s v="OD"/>
    <n v="373.2"/>
    <d v="2025-11-28T00:00:00"/>
    <s v="Liaison établissement 401000 GSF TO"/>
    <m/>
    <e v="#N/A"/>
    <e v="#N/A"/>
    <n v="91238"/>
    <s v="251P1464"/>
    <s v="GSF"/>
    <s v="Q4"/>
    <e v="#REF!"/>
    <e v="#REF!"/>
    <e v="#REF!"/>
  </r>
  <r>
    <s v="181000"/>
    <x v="6"/>
    <s v="COMPTE DE LIAISON DES ETABLISSEMENTS"/>
    <s v="OD"/>
    <n v="373.2"/>
    <d v="2025-12-30T00:00:00"/>
    <s v="Liaison établissement 401000 GSF TO"/>
    <m/>
    <e v="#N/A"/>
    <e v="#N/A"/>
    <n v="93829"/>
    <s v="251P1661"/>
    <s v="GSF"/>
    <s v="Q4"/>
    <e v="#REF!"/>
    <e v="#REF!"/>
    <e v="#REF!"/>
  </r>
  <r>
    <s v="181000"/>
    <x v="6"/>
    <s v="COMPTE DE LIAISON DES ETABLISSEMENTS"/>
    <s v="OD"/>
    <n v="376.96"/>
    <d v="2025-10-01T00:00:00"/>
    <s v="Liaison inter-établissement"/>
    <m/>
    <e v="#N/A"/>
    <e v="#N/A"/>
    <n v="89719"/>
    <m/>
    <s v="AVIS"/>
    <s v="Q4"/>
    <e v="#REF!"/>
    <e v="#REF!"/>
    <e v="#REF!"/>
  </r>
  <r>
    <s v="181000"/>
    <x v="6"/>
    <s v="COMPTE DE LIAISON DES ETABLISSEMENTS"/>
    <s v="OD"/>
    <n v="378"/>
    <d v="2025-03-07T00:00:00"/>
    <s v="Liaison inter-établissement"/>
    <m/>
    <e v="#N/A"/>
    <e v="#N/A"/>
    <n v="63829"/>
    <m/>
    <s v="SAESPCI"/>
    <s v="Q1"/>
    <e v="#REF!"/>
    <e v="#REF!"/>
    <e v="#REF!"/>
  </r>
  <r>
    <s v="181000"/>
    <x v="6"/>
    <s v="COMPTE DE LIAISON DES ETABLISSEMENTS"/>
    <s v="OD"/>
    <n v="378"/>
    <d v="2025-09-25T00:00:00"/>
    <s v="Liaison inter-établissement"/>
    <m/>
    <e v="#N/A"/>
    <e v="#N/A"/>
    <n v="91641"/>
    <m/>
    <s v="HOTELS"/>
    <s v="Q3"/>
    <e v="#REF!"/>
    <e v="#REF!"/>
    <e v="#REF!"/>
  </r>
  <r>
    <s v="181000"/>
    <x v="6"/>
    <s v="COMPTE DE LIAISON DES ETABLISSEMENTS"/>
    <s v="OD"/>
    <n v="380"/>
    <d v="2025-05-14T00:00:00"/>
    <s v="Liaison établissement 401000 BIOTIKA TO"/>
    <s v="Non"/>
    <e v="#N/A"/>
    <e v="#N/A"/>
    <n v="72305"/>
    <m/>
    <s v="BIOTIKA"/>
    <s v="Q2"/>
    <e v="#REF!"/>
    <e v="#REF!"/>
    <e v="#REF!"/>
  </r>
  <r>
    <s v="181000"/>
    <x v="6"/>
    <s v="COMPTE DE LIAISON DES ETABLISSEMENTS"/>
    <s v="OD"/>
    <n v="380"/>
    <d v="2025-09-26T00:00:00"/>
    <s v="Liaison inter-établissement"/>
    <m/>
    <e v="#N/A"/>
    <e v="#N/A"/>
    <n v="89793"/>
    <m/>
    <s v="SNCF"/>
    <s v="Q3"/>
    <e v="#REF!"/>
    <e v="#REF!"/>
    <e v="#REF!"/>
  </r>
  <r>
    <s v="181000"/>
    <x v="6"/>
    <s v="COMPTE DE LIAISON DES ETABLISSEMENTS"/>
    <s v="OD"/>
    <n v="380"/>
    <d v="2025-09-30T00:00:00"/>
    <s v="Liaison inter-établissement vers TO "/>
    <m/>
    <e v="#N/A"/>
    <e v="#N/A"/>
    <n v="87227"/>
    <m/>
    <m/>
    <s v="Q3"/>
    <e v="#REF!"/>
    <e v="#REF!"/>
    <e v="#REF!"/>
  </r>
  <r>
    <s v="181000"/>
    <x v="6"/>
    <s v="COMPTE DE LIAISON DES ETABLISSEMENTS"/>
    <s v="OD"/>
    <n v="380.53"/>
    <d v="2025-03-12T00:00:00"/>
    <s v="Liaison inter-établissement"/>
    <m/>
    <s v="Non"/>
    <e v="#N/A"/>
    <n v="71919"/>
    <m/>
    <s v="DIVERS"/>
    <s v="Q1"/>
    <e v="#REF!"/>
    <e v="#REF!"/>
    <e v="#REF!"/>
  </r>
  <r>
    <s v="181000"/>
    <x v="6"/>
    <s v="COMPTE DE LIAISON DES ETABLISSEMENTS"/>
    <s v="OD"/>
    <n v="382.5"/>
    <d v="2025-06-01T00:00:00"/>
    <s v="Liaison inter-établissement"/>
    <m/>
    <e v="#N/A"/>
    <e v="#N/A"/>
    <n v="89500"/>
    <m/>
    <s v="ORANGE"/>
    <s v="Q2"/>
    <e v="#REF!"/>
    <e v="#REF!"/>
    <e v="#REF!"/>
  </r>
  <r>
    <s v="181000"/>
    <x v="6"/>
    <s v="COMPTE DE LIAISON DES ETABLISSEMENTS"/>
    <s v="OD"/>
    <n v="384.15"/>
    <d v="2025-06-27T00:00:00"/>
    <s v="Liaison inter-établissement"/>
    <m/>
    <e v="#N/A"/>
    <e v="#N/A"/>
    <n v="76767"/>
    <m/>
    <s v="Marie-Sarah Adenis"/>
    <s v="Q2"/>
    <e v="#REF!"/>
    <e v="#REF!"/>
    <e v="#REF!"/>
  </r>
  <r>
    <s v="181000"/>
    <x v="6"/>
    <s v="COMPTE DE LIAISON DES ETABLISSEMENTS"/>
    <s v="OD"/>
    <n v="386.4"/>
    <d v="2025-08-21T00:00:00"/>
    <s v="Liaison établissement 401000 BECKER TO"/>
    <s v="Non"/>
    <s v="Oui"/>
    <e v="#N/A"/>
    <n v="81397"/>
    <s v="FRAIS PI LISA EN AMONT BREVET PALOMA CHIMIE"/>
    <s v="BECKER"/>
    <s v="Q3"/>
    <e v="#REF!"/>
    <e v="#REF!"/>
    <e v="#REF!"/>
  </r>
  <r>
    <s v="181000"/>
    <x v="6"/>
    <s v="COMPTE DE LIAISON DES ETABLISSEMENTS"/>
    <s v="OD"/>
    <n v="391.51"/>
    <d v="2025-10-30T00:00:00"/>
    <s v="Liaison inter-établissement"/>
    <m/>
    <e v="#N/A"/>
    <e v="#N/A"/>
    <n v="89743"/>
    <m/>
    <s v="INFORMA MARKETS"/>
    <s v="Q4"/>
    <e v="#REF!"/>
    <e v="#REF!"/>
    <e v="#REF!"/>
  </r>
  <r>
    <s v="181000"/>
    <x v="6"/>
    <s v="COMPTE DE LIAISON DES ETABLISSEMENTS"/>
    <s v="OD"/>
    <n v="392.44"/>
    <d v="2025-09-16T00:00:00"/>
    <s v="Liaison inter-établissement"/>
    <m/>
    <e v="#N/A"/>
    <e v="#N/A"/>
    <n v="82806"/>
    <m/>
    <s v="ENGIE"/>
    <s v="Q3"/>
    <e v="#REF!"/>
    <e v="#REF!"/>
    <e v="#REF!"/>
  </r>
  <r>
    <s v="181000"/>
    <x v="6"/>
    <s v="COMPTE DE LIAISON DES ETABLISSEMENTS"/>
    <s v="OD"/>
    <n v="393.92"/>
    <d v="2025-12-10T00:00:00"/>
    <s v="Liaison établissement 401000 ROTH TO"/>
    <m/>
    <e v="#N/A"/>
    <e v="#N/A"/>
    <n v="92040"/>
    <s v="4184079"/>
    <s v="ROTH SOCHIEL"/>
    <s v="Q4"/>
    <e v="#REF!"/>
    <e v="#REF!"/>
    <e v="#REF!"/>
  </r>
  <r>
    <s v="181000"/>
    <x v="6"/>
    <s v="COMPTE DE LIAISON DES ETABLISSEMENTS"/>
    <s v="OD"/>
    <n v="396.6"/>
    <d v="2025-03-28T00:00:00"/>
    <s v="Liaison inter-établissement"/>
    <m/>
    <e v="#N/A"/>
    <e v="#N/A"/>
    <n v="70080"/>
    <m/>
    <s v="RS COMPONENT"/>
    <s v="Q1"/>
    <e v="#REF!"/>
    <e v="#REF!"/>
    <e v="#REF!"/>
  </r>
  <r>
    <s v="181000"/>
    <x v="6"/>
    <s v="COMPTE DE LIAISON DES ETABLISSEMENTS"/>
    <s v="OD"/>
    <n v="398.79"/>
    <d v="2025-06-27T00:00:00"/>
    <s v="Liaison inter-établissement"/>
    <m/>
    <e v="#N/A"/>
    <e v="#N/A"/>
    <n v="76694"/>
    <m/>
    <s v="Anne-Sophie Goutierre"/>
    <s v="Q2"/>
    <e v="#REF!"/>
    <e v="#REF!"/>
    <e v="#REF!"/>
  </r>
  <r>
    <s v="181000"/>
    <x v="6"/>
    <s v="COMPTE DE LIAISON DES ETABLISSEMENTS"/>
    <s v="OD"/>
    <n v="402.8"/>
    <d v="2025-11-17T00:00:00"/>
    <s v="Liaison inter-établissement"/>
    <m/>
    <e v="#N/A"/>
    <e v="#N/A"/>
    <n v="90175"/>
    <m/>
    <s v="ENGIE"/>
    <s v="Q4"/>
    <e v="#REF!"/>
    <e v="#REF!"/>
    <e v="#REF!"/>
  </r>
  <r>
    <s v="181000"/>
    <x v="6"/>
    <s v="COMPTE DE LIAISON DES ETABLISSEMENTS"/>
    <s v="OD"/>
    <n v="404.49"/>
    <d v="2025-10-30T00:00:00"/>
    <s v="Liaison inter-établissement"/>
    <m/>
    <e v="#N/A"/>
    <e v="#N/A"/>
    <n v="91787"/>
    <m/>
    <s v="BACKMARKET"/>
    <s v="Q4"/>
    <e v="#REF!"/>
    <e v="#REF!"/>
    <e v="#REF!"/>
  </r>
  <r>
    <s v="181000"/>
    <x v="6"/>
    <s v="COMPTE DE LIAISON DES ETABLISSEMENTS"/>
    <s v="OD"/>
    <n v="404.71"/>
    <d v="2025-03-18T00:00:00"/>
    <s v="Liaison inter-établissement"/>
    <m/>
    <e v="#N/A"/>
    <e v="#N/A"/>
    <n v="72776"/>
    <m/>
    <s v="ENGIE"/>
    <s v="Q1"/>
    <e v="#REF!"/>
    <e v="#REF!"/>
    <e v="#REF!"/>
  </r>
  <r>
    <s v="181000"/>
    <x v="6"/>
    <s v="COMPTE DE LIAISON DES ETABLISSEMENTS"/>
    <s v="OD"/>
    <n v="406.01"/>
    <d v="2025-03-19T00:00:00"/>
    <s v="Liaison inter-établissement"/>
    <m/>
    <e v="#N/A"/>
    <e v="#N/A"/>
    <n v="63693"/>
    <m/>
    <s v="COTE"/>
    <s v="Q1"/>
    <e v="#REF!"/>
    <e v="#REF!"/>
    <e v="#REF!"/>
  </r>
  <r>
    <s v="181000"/>
    <x v="6"/>
    <s v="COMPTE DE LIAISON DES ETABLISSEMENTS"/>
    <s v="OD"/>
    <n v="406.11"/>
    <d v="2025-12-23T00:00:00"/>
    <s v="Liaison inter-établissement"/>
    <m/>
    <e v="#N/A"/>
    <e v="#N/A"/>
    <n v="93574"/>
    <m/>
    <s v="Pierre-Yves Bolle"/>
    <s v="Q4"/>
    <e v="#REF!"/>
    <e v="#REF!"/>
    <e v="#REF!"/>
  </r>
  <r>
    <s v="181000"/>
    <x v="6"/>
    <s v="COMPTE DE LIAISON DES ETABLISSEMENTS"/>
    <s v="OD"/>
    <n v="406.8"/>
    <d v="2025-09-26T00:00:00"/>
    <s v="Liaison établissement 401000 CLOUP TO"/>
    <m/>
    <e v="#N/A"/>
    <e v="#N/A"/>
    <n v="82490"/>
    <s v="INVOICE PAYMENT BY PILI"/>
    <s v="CLOUP"/>
    <s v="Q3"/>
    <e v="#REF!"/>
    <e v="#REF!"/>
    <e v="#REF!"/>
  </r>
  <r>
    <s v="181000"/>
    <x v="6"/>
    <s v="COMPTE DE LIAISON DES ETABLISSEMENTS"/>
    <s v="OD"/>
    <n v="409.81"/>
    <d v="2025-11-07T00:00:00"/>
    <s v="Liaison établissement 401000 CLOUP TO"/>
    <m/>
    <e v="#N/A"/>
    <e v="#N/A"/>
    <n v="89419"/>
    <s v="0189538"/>
    <s v="CLOUP"/>
    <s v="Q4"/>
    <e v="#REF!"/>
    <e v="#REF!"/>
    <e v="#REF!"/>
  </r>
  <r>
    <s v="181000"/>
    <x v="6"/>
    <s v="COMPTE DE LIAISON DES ETABLISSEMENTS"/>
    <s v="OD"/>
    <n v="412.27"/>
    <d v="2025-06-30T00:00:00"/>
    <s v="Liaison établissement 401000 BIOTIKA TO"/>
    <s v="Non"/>
    <e v="#N/A"/>
    <e v="#N/A"/>
    <n v="76857"/>
    <s v="TRANSPORT COSTS"/>
    <s v="BIOTIKA"/>
    <s v="Q2"/>
    <e v="#REF!"/>
    <e v="#REF!"/>
    <e v="#REF!"/>
  </r>
  <r>
    <s v="181000"/>
    <x v="6"/>
    <s v="COMPTE DE LIAISON DES ETABLISSEMENTS"/>
    <s v="OD"/>
    <n v="418.01"/>
    <d v="2025-11-24T00:00:00"/>
    <s v="Liaison inter-établissement"/>
    <m/>
    <e v="#N/A"/>
    <e v="#N/A"/>
    <n v="91039"/>
    <m/>
    <s v="Maud Sanchez"/>
    <s v="Q4"/>
    <e v="#REF!"/>
    <e v="#REF!"/>
    <e v="#REF!"/>
  </r>
  <r>
    <s v="181000"/>
    <x v="6"/>
    <s v="COMPTE DE LIAISON DES ETABLISSEMENTS"/>
    <s v="OD"/>
    <n v="418.37"/>
    <d v="2025-12-01T00:00:00"/>
    <s v="Liaison inter-établissement"/>
    <m/>
    <e v="#N/A"/>
    <e v="#N/A"/>
    <n v="94060"/>
    <m/>
    <s v="ARCANE INDUSTRIE"/>
    <s v="Q4"/>
    <e v="#REF!"/>
    <e v="#REF!"/>
    <e v="#REF!"/>
  </r>
  <r>
    <s v="181000"/>
    <x v="6"/>
    <s v="COMPTE DE LIAISON DES ETABLISSEMENTS"/>
    <s v="OD"/>
    <n v="419.05"/>
    <d v="2025-11-19T00:00:00"/>
    <s v="Liaison établissement 401000 BIOTIKA TO"/>
    <s v="Non"/>
    <e v="#N/A"/>
    <e v="#N/A"/>
    <n v="90492"/>
    <s v="91250166"/>
    <s v="BIOTIKA"/>
    <s v="Q4"/>
    <e v="#REF!"/>
    <e v="#REF!"/>
    <e v="#REF!"/>
  </r>
  <r>
    <s v="181000"/>
    <x v="6"/>
    <s v="COMPTE DE LIAISON DES ETABLISSEMENTS"/>
    <s v="OD"/>
    <n v="421.6"/>
    <d v="2025-11-28T00:00:00"/>
    <s v="Liaison établissement 401000 GUERLET-DEGUERNE TO"/>
    <m/>
    <e v="#N/A"/>
    <e v="#N/A"/>
    <n v="91181"/>
    <s v="20251089"/>
    <s v="GUERLET-DEGUERNE"/>
    <s v="Q4"/>
    <e v="#REF!"/>
    <e v="#REF!"/>
    <e v="#REF!"/>
  </r>
  <r>
    <s v="181000"/>
    <x v="6"/>
    <s v="COMPTE DE LIAISON DES ETABLISSEMENTS"/>
    <s v="OD"/>
    <n v="422.3"/>
    <d v="2025-06-16T00:00:00"/>
    <s v="Liaison établissement 401000 BIOTIKA TO"/>
    <s v="Non"/>
    <e v="#N/A"/>
    <e v="#N/A"/>
    <n v="76061"/>
    <s v="TRANSPORT COSTS"/>
    <s v="BIOTIKA"/>
    <s v="Q2"/>
    <e v="#REF!"/>
    <e v="#REF!"/>
    <e v="#REF!"/>
  </r>
  <r>
    <s v="181000"/>
    <x v="6"/>
    <s v="COMPTE DE LIAISON DES ETABLISSEMENTS"/>
    <s v="OD"/>
    <n v="430.7"/>
    <d v="2025-09-11T00:00:00"/>
    <s v="Liaison inter-établissement"/>
    <m/>
    <e v="#N/A"/>
    <e v="#N/A"/>
    <n v="83388"/>
    <m/>
    <s v="GETAROUND"/>
    <s v="Q3"/>
    <e v="#REF!"/>
    <e v="#REF!"/>
    <e v="#REF!"/>
  </r>
  <r>
    <s v="181000"/>
    <x v="6"/>
    <s v="COMPTE DE LIAISON DES ETABLISSEMENTS"/>
    <s v="OD"/>
    <n v="431.94"/>
    <d v="2025-11-19T00:00:00"/>
    <s v="Liaison établissement 401000 BIOTIKA TO"/>
    <s v="Non"/>
    <e v="#N/A"/>
    <e v="#N/A"/>
    <n v="90497"/>
    <s v="91250167"/>
    <s v="BIOTIKA"/>
    <s v="Q4"/>
    <e v="#REF!"/>
    <e v="#REF!"/>
    <e v="#REF!"/>
  </r>
  <r>
    <s v="181000"/>
    <x v="6"/>
    <s v="COMPTE DE LIAISON DES ETABLISSEMENTS"/>
    <s v="OD"/>
    <n v="436.4"/>
    <d v="2025-08-01T00:00:00"/>
    <s v="Liaison inter-établissement"/>
    <m/>
    <e v="#N/A"/>
    <e v="#N/A"/>
    <n v="89508"/>
    <m/>
    <s v="ORANGE"/>
    <s v="Q3"/>
    <e v="#REF!"/>
    <e v="#REF!"/>
    <e v="#REF!"/>
  </r>
  <r>
    <s v="181000"/>
    <x v="6"/>
    <s v="COMPTE DE LIAISON DES ETABLISSEMENTS"/>
    <s v="OD"/>
    <n v="437.92"/>
    <d v="2025-06-27T00:00:00"/>
    <s v="Liaison inter-établissement"/>
    <m/>
    <e v="#N/A"/>
    <e v="#N/A"/>
    <n v="76763"/>
    <m/>
    <s v="Marie-Sarah Adenis"/>
    <s v="Q2"/>
    <e v="#REF!"/>
    <e v="#REF!"/>
    <e v="#REF!"/>
  </r>
  <r>
    <s v="181000"/>
    <x v="6"/>
    <s v="COMPTE DE LIAISON DES ETABLISSEMENTS"/>
    <s v="OD"/>
    <n v="443.1"/>
    <d v="2025-05-07T00:00:00"/>
    <s v="Liaison établissement 401000 CAWAT TO"/>
    <m/>
    <e v="#N/A"/>
    <e v="#N/A"/>
    <n v="71767"/>
    <s v="CAFÉ DES TERROIRS"/>
    <s v="CAWATOES"/>
    <s v="Q2"/>
    <e v="#REF!"/>
    <e v="#REF!"/>
    <e v="#REF!"/>
  </r>
  <r>
    <s v="181000"/>
    <x v="6"/>
    <s v="COMPTE DE LIAISON DES ETABLISSEMENTS"/>
    <s v="OD"/>
    <n v="443.25"/>
    <d v="2025-01-13T00:00:00"/>
    <s v="Liaison inter-établissement"/>
    <m/>
    <e v="#N/A"/>
    <e v="#N/A"/>
    <n v="75870"/>
    <m/>
    <s v="Kevin Cottet"/>
    <s v="Q1"/>
    <e v="#REF!"/>
    <e v="#REF!"/>
    <e v="#REF!"/>
  </r>
  <r>
    <s v="181000"/>
    <x v="6"/>
    <s v="COMPTE DE LIAISON DES ETABLISSEMENTS"/>
    <s v="OD"/>
    <n v="447"/>
    <d v="2025-02-06T00:00:00"/>
    <s v="Liaison inter-établissement"/>
    <m/>
    <s v="Non"/>
    <e v="#N/A"/>
    <n v="64303"/>
    <m/>
    <s v="DIVERS"/>
    <s v="Q1"/>
    <e v="#REF!"/>
    <e v="#REF!"/>
    <e v="#REF!"/>
  </r>
  <r>
    <s v="181000"/>
    <x v="6"/>
    <s v="COMPTE DE LIAISON DES ETABLISSEMENTS"/>
    <s v="OD"/>
    <n v="449.4"/>
    <d v="2025-07-28T00:00:00"/>
    <s v="Liaison inter-établissement"/>
    <m/>
    <e v="#N/A"/>
    <e v="#N/A"/>
    <n v="81296"/>
    <m/>
    <s v="ORANGE"/>
    <s v="Q3"/>
    <e v="#REF!"/>
    <e v="#REF!"/>
    <e v="#REF!"/>
  </r>
  <r>
    <s v="181000"/>
    <x v="6"/>
    <s v="COMPTE DE LIAISON DES ETABLISSEMENTS"/>
    <s v="OD"/>
    <n v="450.05"/>
    <d v="2025-04-01T00:00:00"/>
    <s v="Liaison inter-établissement"/>
    <m/>
    <e v="#N/A"/>
    <e v="#N/A"/>
    <n v="89496"/>
    <m/>
    <s v="ORANGE"/>
    <s v="Q2"/>
    <e v="#REF!"/>
    <e v="#REF!"/>
    <e v="#REF!"/>
  </r>
  <r>
    <s v="181000"/>
    <x v="6"/>
    <s v="COMPTE DE LIAISON DES ETABLISSEMENTS"/>
    <s v="OD"/>
    <n v="452.02"/>
    <d v="2025-05-14T00:00:00"/>
    <s v="Liaison établissement 401000 FISHER TO"/>
    <m/>
    <e v="#N/A"/>
    <e v="#N/A"/>
    <n v="72338"/>
    <s v="Invoice Payment by Pili"/>
    <s v="FISHER SCIENTIFIC"/>
    <s v="Q2"/>
    <e v="#REF!"/>
    <e v="#REF!"/>
    <e v="#REF!"/>
  </r>
  <r>
    <s v="181000"/>
    <x v="6"/>
    <s v="COMPTE DE LIAISON DES ETABLISSEMENTS"/>
    <s v="OD"/>
    <n v="456"/>
    <d v="2025-04-15T00:00:00"/>
    <s v="Liaison inter-établissement"/>
    <m/>
    <e v="#N/A"/>
    <e v="#N/A"/>
    <n v="69923"/>
    <m/>
    <s v="BROSSIER TRANSPORTS"/>
    <s v="Q2"/>
    <e v="#REF!"/>
    <e v="#REF!"/>
    <e v="#REF!"/>
  </r>
  <r>
    <s v="181000"/>
    <x v="6"/>
    <s v="COMPTE DE LIAISON DES ETABLISSEMENTS"/>
    <s v="OD"/>
    <n v="457.2"/>
    <d v="2025-07-31T00:00:00"/>
    <s v="Liaison établissement 401000 VWR TO"/>
    <m/>
    <e v="#N/A"/>
    <e v="#N/A"/>
    <n v="79317"/>
    <s v="COMMANDE PRODUIT KEENB"/>
    <s v="VWR AVANTOR"/>
    <s v="Q3"/>
    <e v="#REF!"/>
    <e v="#REF!"/>
    <e v="#REF!"/>
  </r>
  <r>
    <s v="181000"/>
    <x v="6"/>
    <s v="COMPTE DE LIAISON DES ETABLISSEMENTS"/>
    <s v="OD"/>
    <n v="458.77"/>
    <d v="2025-05-07T00:00:00"/>
    <s v="Liaison établissement 401000 FRANCECHIMIE TO"/>
    <m/>
    <s v="Non"/>
    <s v="Oui"/>
    <n v="71777"/>
    <s v="ACOMPTE COTISATION SYNDICALE"/>
    <s v="FRANCE CHIMIE"/>
    <s v="Q2"/>
    <e v="#REF!"/>
    <e v="#REF!"/>
    <e v="#REF!"/>
  </r>
  <r>
    <s v="181000"/>
    <x v="6"/>
    <s v="COMPTE DE LIAISON DES ETABLISSEMENTS"/>
    <s v="OD"/>
    <n v="465.82"/>
    <d v="2025-11-06T00:00:00"/>
    <s v="Liaison inter-établissement"/>
    <m/>
    <e v="#N/A"/>
    <e v="#N/A"/>
    <n v="91584"/>
    <m/>
    <s v="AIRBNB"/>
    <s v="Q4"/>
    <e v="#REF!"/>
    <e v="#REF!"/>
    <e v="#REF!"/>
  </r>
  <r>
    <s v="181000"/>
    <x v="6"/>
    <s v="COMPTE DE LIAISON DES ETABLISSEMENTS"/>
    <s v="OD"/>
    <n v="468"/>
    <d v="2025-04-25T00:00:00"/>
    <s v="Liaison établissement 401000 COFICIEL TO"/>
    <m/>
    <e v="#N/A"/>
    <e v="#N/A"/>
    <n v="70153"/>
    <s v="Invoice Payment by Pili"/>
    <s v="COFICIEL"/>
    <s v="Q2"/>
    <e v="#REF!"/>
    <e v="#REF!"/>
    <e v="#REF!"/>
  </r>
  <r>
    <s v="181000"/>
    <x v="6"/>
    <s v="COMPTE DE LIAISON DES ETABLISSEMENTS"/>
    <s v="OD"/>
    <n v="468"/>
    <d v="2025-06-02T00:00:00"/>
    <s v="Liaison établissement 401000 COFICIEL TO"/>
    <m/>
    <e v="#N/A"/>
    <e v="#N/A"/>
    <n v="75254"/>
    <s v="Invoice Payment By Pili"/>
    <s v="COFICIEL"/>
    <s v="Q2"/>
    <e v="#REF!"/>
    <e v="#REF!"/>
    <e v="#REF!"/>
  </r>
  <r>
    <s v="181000"/>
    <x v="6"/>
    <s v="COMPTE DE LIAISON DES ETABLISSEMENTS"/>
    <s v="OD"/>
    <n v="468"/>
    <d v="2025-08-08T00:00:00"/>
    <s v="Liaison établissement 401000 COFICIEL TO"/>
    <m/>
    <e v="#N/A"/>
    <e v="#N/A"/>
    <n v="80751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468"/>
    <d v="2025-08-22T00:00:00"/>
    <s v="Liaison établissement 401000 COFICIEL TO"/>
    <m/>
    <e v="#N/A"/>
    <e v="#N/A"/>
    <n v="81608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468"/>
    <d v="2025-09-26T00:00:00"/>
    <s v="Liaison établissement 401000 COFICIEL TO"/>
    <m/>
    <e v="#N/A"/>
    <e v="#N/A"/>
    <n v="82500"/>
    <s v="INVOICE PAYMENT BY PILI"/>
    <s v="COFICIEL"/>
    <s v="Q3"/>
    <e v="#REF!"/>
    <e v="#REF!"/>
    <e v="#REF!"/>
  </r>
  <r>
    <s v="181000"/>
    <x v="6"/>
    <s v="COMPTE DE LIAISON DES ETABLISSEMENTS"/>
    <s v="OD"/>
    <n v="468"/>
    <d v="2025-10-31T00:00:00"/>
    <s v="Liaison établissement 401000 COFICIEL TO"/>
    <m/>
    <e v="#N/A"/>
    <e v="#N/A"/>
    <n v="87546"/>
    <s v="F2509/0833"/>
    <s v="COFICIEL"/>
    <s v="Q4"/>
    <e v="#REF!"/>
    <e v="#REF!"/>
    <e v="#REF!"/>
  </r>
  <r>
    <s v="181000"/>
    <x v="6"/>
    <s v="COMPTE DE LIAISON DES ETABLISSEMENTS"/>
    <s v="OD"/>
    <n v="468"/>
    <d v="2025-12-05T00:00:00"/>
    <s v="Liaison établissement 401000 COFICIEL TO"/>
    <m/>
    <e v="#N/A"/>
    <e v="#N/A"/>
    <n v="91361"/>
    <s v="F2510/0736"/>
    <s v="COFICIEL"/>
    <s v="Q4"/>
    <e v="#REF!"/>
    <e v="#REF!"/>
    <e v="#REF!"/>
  </r>
  <r>
    <s v="181000"/>
    <x v="6"/>
    <s v="COMPTE DE LIAISON DES ETABLISSEMENTS"/>
    <s v="OD"/>
    <n v="468"/>
    <d v="2025-12-30T00:00:00"/>
    <s v="Liaison établissement 401000 COFICIEL TO"/>
    <m/>
    <e v="#N/A"/>
    <e v="#N/A"/>
    <n v="93824"/>
    <s v="F2511/1367"/>
    <s v="COFICIEL"/>
    <s v="Q4"/>
    <e v="#REF!"/>
    <e v="#REF!"/>
    <e v="#REF!"/>
  </r>
  <r>
    <s v="181000"/>
    <x v="6"/>
    <s v="COMPTE DE LIAISON DES ETABLISSEMENTS"/>
    <s v="OD"/>
    <n v="469.32"/>
    <d v="2025-12-10T00:00:00"/>
    <s v="Liaison établissement 401000 CLOUP TO"/>
    <m/>
    <e v="#N/A"/>
    <e v="#N/A"/>
    <n v="92050"/>
    <s v="0190028"/>
    <s v="CLOUP"/>
    <s v="Q4"/>
    <e v="#REF!"/>
    <e v="#REF!"/>
    <e v="#REF!"/>
  </r>
  <r>
    <s v="181000"/>
    <x v="6"/>
    <s v="COMPTE DE LIAISON DES ETABLISSEMENTS"/>
    <s v="OD"/>
    <n v="473"/>
    <d v="2025-11-25T00:00:00"/>
    <s v="Liaison établissement 401000 ROLAND GRANGIER TO"/>
    <m/>
    <e v="#N/A"/>
    <e v="#N/A"/>
    <n v="91139"/>
    <s v="COMMANDE VIN SOIRÉE 10 ANS PILI"/>
    <s v="ROLAND GRANGIER"/>
    <s v="Q4"/>
    <e v="#REF!"/>
    <e v="#REF!"/>
    <e v="#REF!"/>
  </r>
  <r>
    <s v="181000"/>
    <x v="6"/>
    <s v="COMPTE DE LIAISON DES ETABLISSEMENTS"/>
    <s v="OD"/>
    <n v="473.47"/>
    <d v="2025-12-05T00:00:00"/>
    <s v="Liaison établissement 401000 VWR TO"/>
    <m/>
    <e v="#N/A"/>
    <e v="#N/A"/>
    <n v="91377"/>
    <s v="4067854697"/>
    <s v="VWR AVANTOR"/>
    <s v="Q4"/>
    <e v="#REF!"/>
    <e v="#REF!"/>
    <e v="#REF!"/>
  </r>
  <r>
    <s v="181000"/>
    <x v="6"/>
    <s v="COMPTE DE LIAISON DES ETABLISSEMENTS"/>
    <s v="OD"/>
    <n v="473.94"/>
    <d v="2025-04-07T00:00:00"/>
    <s v="Liaison inter-établissement"/>
    <m/>
    <e v="#N/A"/>
    <e v="#N/A"/>
    <n v="75902"/>
    <m/>
    <s v="Maud Sanchez"/>
    <s v="Q2"/>
    <e v="#REF!"/>
    <e v="#REF!"/>
    <e v="#REF!"/>
  </r>
  <r>
    <s v="181000"/>
    <x v="6"/>
    <s v="COMPTE DE LIAISON DES ETABLISSEMENTS"/>
    <s v="OD"/>
    <n v="474.75"/>
    <d v="2025-09-26T00:00:00"/>
    <s v="Liaison inter-établissement"/>
    <m/>
    <e v="#N/A"/>
    <e v="#N/A"/>
    <n v="91588"/>
    <m/>
    <s v="AIRLINES"/>
    <s v="Q3"/>
    <e v="#REF!"/>
    <e v="#REF!"/>
    <e v="#REF!"/>
  </r>
  <r>
    <s v="181000"/>
    <x v="6"/>
    <s v="COMPTE DE LIAISON DES ETABLISSEMENTS"/>
    <s v="OD"/>
    <n v="475"/>
    <d v="2025-07-02T00:00:00"/>
    <s v="Liaison établissement 401000 HERPORT TO"/>
    <m/>
    <e v="#N/A"/>
    <e v="#N/A"/>
    <n v="76828"/>
    <s v="FACTURE 70002119"/>
    <s v="HERPORT"/>
    <s v="Q3"/>
    <e v="#REF!"/>
    <e v="#REF!"/>
    <e v="#REF!"/>
  </r>
  <r>
    <s v="181000"/>
    <x v="6"/>
    <s v="COMPTE DE LIAISON DES ETABLISSEMENTS"/>
    <s v="OD"/>
    <n v="476.52"/>
    <d v="2025-01-02T00:00:00"/>
    <s v="Liaison inter-établissement"/>
    <m/>
    <e v="#N/A"/>
    <e v="#N/A"/>
    <n v="87092"/>
    <m/>
    <s v="BNP PARIBAS LEASE GROUP"/>
    <s v="Q1"/>
    <e v="#REF!"/>
    <e v="#REF!"/>
    <e v="#REF!"/>
  </r>
  <r>
    <s v="181000"/>
    <x v="6"/>
    <s v="COMPTE DE LIAISON DES ETABLISSEMENTS"/>
    <s v="OD"/>
    <n v="476.52"/>
    <d v="2025-04-01T00:00:00"/>
    <s v="Liaison inter-établissement"/>
    <m/>
    <e v="#N/A"/>
    <e v="#N/A"/>
    <n v="87096"/>
    <m/>
    <s v="BNP PARIBAS LEASE GROUP"/>
    <s v="Q2"/>
    <e v="#REF!"/>
    <e v="#REF!"/>
    <e v="#REF!"/>
  </r>
  <r>
    <s v="181000"/>
    <x v="6"/>
    <s v="COMPTE DE LIAISON DES ETABLISSEMENTS"/>
    <s v="OD"/>
    <n v="476.52"/>
    <d v="2025-07-01T00:00:00"/>
    <s v="Liaison inter-établissement"/>
    <m/>
    <e v="#N/A"/>
    <e v="#N/A"/>
    <n v="87100"/>
    <m/>
    <s v="BNP PARIBAS LEASE GROUP"/>
    <s v="Q3"/>
    <e v="#REF!"/>
    <e v="#REF!"/>
    <e v="#REF!"/>
  </r>
  <r>
    <s v="181000"/>
    <x v="6"/>
    <s v="COMPTE DE LIAISON DES ETABLISSEMENTS"/>
    <s v="OD"/>
    <n v="476.52"/>
    <d v="2025-10-01T00:00:00"/>
    <s v="Liaison inter-établissement"/>
    <m/>
    <e v="#N/A"/>
    <e v="#N/A"/>
    <n v="87104"/>
    <m/>
    <s v="BNP PARIBAS LEASE GROUP"/>
    <s v="Q4"/>
    <e v="#REF!"/>
    <e v="#REF!"/>
    <e v="#REF!"/>
  </r>
  <r>
    <s v="181000"/>
    <x v="6"/>
    <s v="COMPTE DE LIAISON DES ETABLISSEMENTS"/>
    <s v="OD"/>
    <n v="476.9"/>
    <d v="2025-01-01T00:00:00"/>
    <s v="Liaison inter-établissement"/>
    <m/>
    <e v="#N/A"/>
    <e v="#N/A"/>
    <n v="70524"/>
    <m/>
    <s v="Marie Rézeau"/>
    <s v="Q1"/>
    <e v="#REF!"/>
    <e v="#REF!"/>
    <e v="#REF!"/>
  </r>
  <r>
    <s v="181000"/>
    <x v="6"/>
    <s v="COMPTE DE LIAISON DES ETABLISSEMENTS"/>
    <s v="OD"/>
    <n v="480"/>
    <d v="2025-06-11T00:00:00"/>
    <s v="Liaison établissement 401000 F2P TO"/>
    <s v="Non"/>
    <s v="Non"/>
    <e v="#N/A"/>
    <n v="75948"/>
    <s v="ARRÊTÉ ANNUEL DES COMPTES 2024 : SOLDE"/>
    <s v="F2P AUDIT &amp; CONSEIL"/>
    <s v="Q2"/>
    <e v="#REF!"/>
    <e v="#REF!"/>
    <e v="#REF!"/>
  </r>
  <r>
    <s v="181000"/>
    <x v="6"/>
    <s v="COMPTE DE LIAISON DES ETABLISSEMENTS"/>
    <s v="OD"/>
    <n v="482.04"/>
    <d v="2025-08-22T00:00:00"/>
    <s v="Liaison établissement 401000 EXELL TO"/>
    <m/>
    <e v="#N/A"/>
    <e v="#N/A"/>
    <n v="81539"/>
    <s v="PRESTATION : SPS"/>
    <s v="EXELL SECURITE"/>
    <s v="Q3"/>
    <e v="#REF!"/>
    <e v="#REF!"/>
    <e v="#REF!"/>
  </r>
  <r>
    <s v="181000"/>
    <x v="6"/>
    <s v="COMPTE DE LIAISON DES ETABLISSEMENTS"/>
    <s v="OD"/>
    <n v="490.01"/>
    <d v="2025-04-25T00:00:00"/>
    <s v="Liaison établissement 401000 ALTAIR TO"/>
    <s v="Non"/>
    <s v="Non"/>
    <e v="#N/A"/>
    <n v="70138"/>
    <s v="Invoice Payment by Pili"/>
    <s v="ALTAIR AVOCATS"/>
    <s v="Q2"/>
    <e v="#REF!"/>
    <e v="#REF!"/>
    <e v="#REF!"/>
  </r>
  <r>
    <s v="181000"/>
    <x v="6"/>
    <s v="COMPTE DE LIAISON DES ETABLISSEMENTS"/>
    <s v="OD"/>
    <n v="491.92"/>
    <d v="2025-09-18T00:00:00"/>
    <s v="Liaison inter-établissement"/>
    <m/>
    <e v="#N/A"/>
    <e v="#N/A"/>
    <n v="83396"/>
    <m/>
    <s v="INTERMARCHE"/>
    <s v="Q3"/>
    <e v="#REF!"/>
    <e v="#REF!"/>
    <e v="#REF!"/>
  </r>
  <r>
    <s v="181000"/>
    <x v="6"/>
    <s v="COMPTE DE LIAISON DES ETABLISSEMENTS"/>
    <s v="OD"/>
    <n v="492.8"/>
    <d v="2025-01-31T00:00:00"/>
    <s v="Liaison inter-établissement"/>
    <m/>
    <e v="#N/A"/>
    <e v="#N/A"/>
    <n v="82147"/>
    <m/>
    <s v="KILOUTOU"/>
    <s v="Q1"/>
    <e v="#REF!"/>
    <e v="#REF!"/>
    <e v="#REF!"/>
  </r>
  <r>
    <s v="181000"/>
    <x v="6"/>
    <s v="COMPTE DE LIAISON DES ETABLISSEMENTS"/>
    <s v="OD"/>
    <n v="493"/>
    <d v="2025-09-26T00:00:00"/>
    <s v="Liaison établissement 401000 TCI TO"/>
    <m/>
    <e v="#N/A"/>
    <e v="#N/A"/>
    <n v="82526"/>
    <s v="INVOICE PAYMENT BY PILI"/>
    <s v="TCI"/>
    <s v="Q3"/>
    <e v="#REF!"/>
    <e v="#REF!"/>
    <e v="#REF!"/>
  </r>
  <r>
    <s v="181000"/>
    <x v="6"/>
    <s v="COMPTE DE LIAISON DES ETABLISSEMENTS"/>
    <s v="OD"/>
    <n v="498"/>
    <d v="2025-01-30T00:00:00"/>
    <s v="Liaison inter-établissement"/>
    <m/>
    <e v="#N/A"/>
    <e v="#N/A"/>
    <n v="63633"/>
    <m/>
    <s v="FMGE"/>
    <s v="Q1"/>
    <e v="#REF!"/>
    <e v="#REF!"/>
    <e v="#REF!"/>
  </r>
  <r>
    <s v="181000"/>
    <x v="6"/>
    <s v="COMPTE DE LIAISON DES ETABLISSEMENTS"/>
    <s v="OD"/>
    <n v="500"/>
    <d v="2025-06-30T00:00:00"/>
    <s v="Liaison établissement 401000 BIOTIKA TO"/>
    <s v="Non"/>
    <e v="#N/A"/>
    <e v="#N/A"/>
    <n v="76847"/>
    <s v="TESTING OF MATERIAL BY MARINER"/>
    <s v="BIOTIKA"/>
    <s v="Q2"/>
    <e v="#REF!"/>
    <e v="#REF!"/>
    <e v="#REF!"/>
  </r>
  <r>
    <s v="181000"/>
    <x v="6"/>
    <s v="COMPTE DE LIAISON DES ETABLISSEMENTS"/>
    <s v="OD"/>
    <n v="500"/>
    <d v="2025-07-23T00:00:00"/>
    <s v="Liaison établissement 401000 BIOTIKA TO"/>
    <s v="Non"/>
    <e v="#N/A"/>
    <e v="#N/A"/>
    <n v="78346"/>
    <s v="TESTING OF MATERIAL BY MARINER"/>
    <s v="BIOTIKA"/>
    <s v="Q3"/>
    <e v="#REF!"/>
    <e v="#REF!"/>
    <e v="#REF!"/>
  </r>
  <r>
    <s v="181000"/>
    <x v="6"/>
    <s v="COMPTE DE LIAISON DES ETABLISSEMENTS"/>
    <s v="OD"/>
    <n v="504"/>
    <d v="2025-12-11T00:00:00"/>
    <s v="Liaison établissement 401000 FMGE TO"/>
    <m/>
    <e v="#N/A"/>
    <e v="#N/A"/>
    <n v="92085"/>
    <s v="25-212"/>
    <s v="FMGE"/>
    <s v="Q4"/>
    <e v="#REF!"/>
    <e v="#REF!"/>
    <e v="#REF!"/>
  </r>
  <r>
    <s v="181000"/>
    <x v="6"/>
    <s v="COMPTE DE LIAISON DES ETABLISSEMENTS"/>
    <s v="OD"/>
    <n v="506.39"/>
    <d v="2025-11-24T00:00:00"/>
    <s v="Liaison inter-établissement"/>
    <m/>
    <e v="#N/A"/>
    <e v="#N/A"/>
    <n v="91023"/>
    <m/>
    <s v="Guillaume Boissonnat-Wu"/>
    <s v="Q4"/>
    <e v="#REF!"/>
    <e v="#REF!"/>
    <e v="#REF!"/>
  </r>
  <r>
    <s v="181000"/>
    <x v="6"/>
    <s v="COMPTE DE LIAISON DES ETABLISSEMENTS"/>
    <s v="OD"/>
    <n v="509.96"/>
    <d v="2025-12-16T00:00:00"/>
    <s v="Liaison inter-établissement"/>
    <m/>
    <e v="#N/A"/>
    <e v="#N/A"/>
    <n v="92237"/>
    <m/>
    <s v="ENGIE"/>
    <s v="Q4"/>
    <e v="#REF!"/>
    <e v="#REF!"/>
    <e v="#REF!"/>
  </r>
  <r>
    <s v="181000"/>
    <x v="6"/>
    <s v="COMPTE DE LIAISON DES ETABLISSEMENTS"/>
    <s v="OD"/>
    <n v="512.04"/>
    <d v="2025-12-30T00:00:00"/>
    <s v="Liaison établissement 401000 ARESCOM TO"/>
    <m/>
    <e v="#N/A"/>
    <e v="#N/A"/>
    <n v="93762"/>
    <s v="145295"/>
    <s v="ARESCOM"/>
    <s v="Q4"/>
    <e v="#REF!"/>
    <e v="#REF!"/>
    <e v="#REF!"/>
  </r>
  <r>
    <s v="181000"/>
    <x v="6"/>
    <s v="COMPTE DE LIAISON DES ETABLISSEMENTS"/>
    <s v="OD"/>
    <n v="514.08000000000004"/>
    <d v="2025-09-29T00:00:00"/>
    <s v="Liaison inter-établissement"/>
    <m/>
    <e v="#N/A"/>
    <e v="#N/A"/>
    <n v="82674"/>
    <m/>
    <s v="ORANGE"/>
    <s v="Q3"/>
    <e v="#REF!"/>
    <e v="#REF!"/>
    <e v="#REF!"/>
  </r>
  <r>
    <s v="181000"/>
    <x v="6"/>
    <s v="COMPTE DE LIAISON DES ETABLISSEMENTS"/>
    <s v="OD"/>
    <n v="515.69000000000005"/>
    <d v="2025-03-28T00:00:00"/>
    <s v="Liaison établissement 401000 ROTH TO"/>
    <m/>
    <e v="#N/A"/>
    <e v="#N/A"/>
    <n v="64994"/>
    <s v="Invoice Payment by Pili"/>
    <s v="ROTH SOCHIEL"/>
    <s v="Q1"/>
    <e v="#REF!"/>
    <e v="#REF!"/>
    <e v="#REF!"/>
  </r>
  <r>
    <s v="181000"/>
    <x v="6"/>
    <s v="COMPTE DE LIAISON DES ETABLISSEMENTS"/>
    <s v="OD"/>
    <n v="516"/>
    <d v="2025-05-23T00:00:00"/>
    <s v="Liaison établissement 401000 OSIRIS TO"/>
    <s v="Non"/>
    <s v="Non"/>
    <e v="#N/A"/>
    <n v="74053"/>
    <s v="Invoice payment by Pili"/>
    <s v="OSIRIS"/>
    <s v="Q2"/>
    <e v="#REF!"/>
    <e v="#REF!"/>
    <e v="#REF!"/>
  </r>
  <r>
    <s v="181000"/>
    <x v="6"/>
    <s v="COMPTE DE LIAISON DES ETABLISSEMENTS"/>
    <s v="OD"/>
    <n v="523.20000000000005"/>
    <d v="2025-09-12T00:00:00"/>
    <s v="Liaison établissement 401000 SIGMA TO"/>
    <m/>
    <e v="#N/A"/>
    <e v="#N/A"/>
    <n v="82022"/>
    <s v="HYDROXYLAMINE SULFATE POUR KEENY STEP 2"/>
    <s v="Sigma-Aldrich chimie"/>
    <s v="Q3"/>
    <e v="#REF!"/>
    <e v="#REF!"/>
    <e v="#REF!"/>
  </r>
  <r>
    <s v="181000"/>
    <x v="6"/>
    <s v="COMPTE DE LIAISON DES ETABLISSEMENTS"/>
    <s v="OD"/>
    <n v="525"/>
    <d v="2025-10-31T00:00:00"/>
    <s v="Liaison établissement 401000 BECKER TO"/>
    <s v="Non"/>
    <s v="Oui"/>
    <e v="#N/A"/>
    <n v="87504"/>
    <s v="ETUDE RAPPORT DE RECHERCHE OEB"/>
    <s v="BECKER"/>
    <s v="Q4"/>
    <e v="#REF!"/>
    <e v="#REF!"/>
    <e v="#REF!"/>
  </r>
  <r>
    <s v="181000"/>
    <x v="6"/>
    <s v="COMPTE DE LIAISON DES ETABLISSEMENTS"/>
    <s v="OD"/>
    <n v="529.20000000000005"/>
    <d v="2025-08-08T00:00:00"/>
    <s v="Liaison établissement 401000 VWR TO"/>
    <m/>
    <e v="#N/A"/>
    <e v="#N/A"/>
    <n v="80766"/>
    <s v="COMMANDE PRODUIT LABO"/>
    <s v="VWR AVANTOR"/>
    <s v="Q3"/>
    <e v="#REF!"/>
    <e v="#REF!"/>
    <e v="#REF!"/>
  </r>
  <r>
    <s v="181000"/>
    <x v="6"/>
    <s v="COMPTE DE LIAISON DES ETABLISSEMENTS"/>
    <s v="OD"/>
    <n v="529.91999999999996"/>
    <d v="2025-06-27T00:00:00"/>
    <s v="Liaison inter-établissement"/>
    <m/>
    <e v="#N/A"/>
    <e v="#N/A"/>
    <n v="76775"/>
    <m/>
    <s v="Yves Combret"/>
    <s v="Q2"/>
    <e v="#REF!"/>
    <e v="#REF!"/>
    <e v="#REF!"/>
  </r>
  <r>
    <s v="181000"/>
    <x v="6"/>
    <s v="COMPTE DE LIAISON DES ETABLISSEMENTS"/>
    <s v="OD"/>
    <n v="530.46"/>
    <d v="2025-05-26T00:00:00"/>
    <s v="Liaison inter-établissement"/>
    <m/>
    <e v="#N/A"/>
    <e v="#N/A"/>
    <n v="74267"/>
    <m/>
    <s v="ORANGE"/>
    <s v="Q2"/>
    <e v="#REF!"/>
    <e v="#REF!"/>
    <e v="#REF!"/>
  </r>
  <r>
    <s v="181000"/>
    <x v="6"/>
    <s v="COMPTE DE LIAISON DES ETABLISSEMENTS"/>
    <s v="OD"/>
    <n v="534"/>
    <d v="2025-12-10T00:00:00"/>
    <s v="Liaison établissement 401000 CHAUM TO"/>
    <m/>
    <e v="#N/A"/>
    <e v="#N/A"/>
    <n v="92029"/>
    <s v="FL260970"/>
    <s v="GROUPE CHAUMEIL"/>
    <s v="Q4"/>
    <e v="#REF!"/>
    <e v="#REF!"/>
    <e v="#REF!"/>
  </r>
  <r>
    <s v="181000"/>
    <x v="6"/>
    <s v="COMPTE DE LIAISON DES ETABLISSEMENTS"/>
    <s v="OD"/>
    <n v="539.29"/>
    <d v="2025-06-30T00:00:00"/>
    <s v="Liaison inter-établissement vers TO "/>
    <m/>
    <e v="#N/A"/>
    <e v="#N/A"/>
    <n v="78678"/>
    <m/>
    <m/>
    <s v="Q2"/>
    <e v="#REF!"/>
    <e v="#REF!"/>
    <e v="#REF!"/>
  </r>
  <r>
    <s v="181000"/>
    <x v="6"/>
    <s v="COMPTE DE LIAISON DES ETABLISSEMENTS"/>
    <s v="OD"/>
    <n v="540"/>
    <d v="2025-08-21T00:00:00"/>
    <s v="Liaison établissement 401000 AFTPVA TO"/>
    <m/>
    <e v="#N/A"/>
    <e v="#N/A"/>
    <n v="81476"/>
    <s v="FACTURE CONFÉRENCE PYB AFTPVA"/>
    <s v="AFTPVA"/>
    <s v="Q3"/>
    <e v="#REF!"/>
    <e v="#REF!"/>
    <e v="#REF!"/>
  </r>
  <r>
    <s v="181000"/>
    <x v="6"/>
    <s v="COMPTE DE LIAISON DES ETABLISSEMENTS"/>
    <s v="OD"/>
    <n v="543"/>
    <d v="2025-11-06T00:00:00"/>
    <s v="Liaison inter-établissement"/>
    <m/>
    <e v="#N/A"/>
    <e v="#N/A"/>
    <n v="91697"/>
    <m/>
    <s v="SNCF"/>
    <s v="Q4"/>
    <e v="#REF!"/>
    <e v="#REF!"/>
    <e v="#REF!"/>
  </r>
  <r>
    <s v="181000"/>
    <x v="6"/>
    <s v="COMPTE DE LIAISON DES ETABLISSEMENTS"/>
    <s v="OD"/>
    <n v="544.78"/>
    <d v="2025-01-01T00:00:00"/>
    <s v="Liaison inter-établissement"/>
    <m/>
    <e v="#N/A"/>
    <e v="#N/A"/>
    <n v="90202"/>
    <m/>
    <m/>
    <s v="Q1"/>
    <e v="#REF!"/>
    <e v="#REF!"/>
    <e v="#REF!"/>
  </r>
  <r>
    <s v="181000"/>
    <x v="6"/>
    <s v="COMPTE DE LIAISON DES ETABLISSEMENTS"/>
    <s v="OD"/>
    <n v="544.78"/>
    <d v="2025-01-01T00:00:00"/>
    <s v="Liaison inter-établissement vers RO "/>
    <m/>
    <e v="#N/A"/>
    <e v="#N/A"/>
    <n v="79046"/>
    <m/>
    <m/>
    <s v="Q1"/>
    <e v="#REF!"/>
    <e v="#REF!"/>
    <e v="#REF!"/>
  </r>
  <r>
    <s v="181000"/>
    <x v="6"/>
    <s v="COMPTE DE LIAISON DES ETABLISSEMENTS"/>
    <s v="OD"/>
    <n v="556.52"/>
    <d v="2025-11-24T00:00:00"/>
    <s v="Liaison inter-établissement"/>
    <m/>
    <e v="#N/A"/>
    <e v="#N/A"/>
    <n v="91011"/>
    <m/>
    <s v="Marie-Sarah Adenis"/>
    <s v="Q4"/>
    <e v="#REF!"/>
    <e v="#REF!"/>
    <e v="#REF!"/>
  </r>
  <r>
    <s v="181000"/>
    <x v="6"/>
    <s v="COMPTE DE LIAISON DES ETABLISSEMENTS"/>
    <s v="OD"/>
    <n v="561.89"/>
    <d v="2025-02-22T00:00:00"/>
    <s v="Liaison inter-établissement"/>
    <m/>
    <e v="#N/A"/>
    <e v="#N/A"/>
    <n v="70040"/>
    <m/>
    <s v="MANUTAN"/>
    <s v="Q1"/>
    <e v="#REF!"/>
    <e v="#REF!"/>
    <e v="#REF!"/>
  </r>
  <r>
    <s v="181000"/>
    <x v="6"/>
    <s v="COMPTE DE LIAISON DES ETABLISSEMENTS"/>
    <s v="OD"/>
    <n v="562.30999999999995"/>
    <d v="2025-05-05T00:00:00"/>
    <s v="Liaison inter-établissement"/>
    <s v="Non"/>
    <s v="Non"/>
    <e v="#N/A"/>
    <n v="77459"/>
    <m/>
    <s v="BUSINOVE"/>
    <s v="Q2"/>
    <e v="#REF!"/>
    <e v="#REF!"/>
    <e v="#REF!"/>
  </r>
  <r>
    <s v="181000"/>
    <x v="6"/>
    <s v="COMPTE DE LIAISON DES ETABLISSEMENTS"/>
    <s v="OD"/>
    <n v="563.17999999999995"/>
    <d v="2025-05-07T00:00:00"/>
    <s v="Liaison établissement 401000 VWR TO"/>
    <m/>
    <e v="#N/A"/>
    <e v="#N/A"/>
    <n v="71827"/>
    <s v="COMMANDE PRODUIT ET CONSOMMABLE LABO"/>
    <s v="VWR AVANTOR"/>
    <s v="Q2"/>
    <e v="#REF!"/>
    <e v="#REF!"/>
    <e v="#REF!"/>
  </r>
  <r>
    <s v="181000"/>
    <x v="6"/>
    <s v="COMPTE DE LIAISON DES ETABLISSEMENTS"/>
    <s v="OD"/>
    <n v="563.88"/>
    <d v="2025-06-28T00:00:00"/>
    <s v="Liaison inter-établissement"/>
    <m/>
    <e v="#N/A"/>
    <e v="#N/A"/>
    <n v="78271"/>
    <m/>
    <s v="ARCANE INDUSTRIE"/>
    <s v="Q2"/>
    <e v="#REF!"/>
    <e v="#REF!"/>
    <e v="#REF!"/>
  </r>
  <r>
    <s v="181000"/>
    <x v="6"/>
    <s v="COMPTE DE LIAISON DES ETABLISSEMENTS"/>
    <s v="OD"/>
    <n v="564"/>
    <d v="2025-08-22T00:00:00"/>
    <s v="Liaison établissement 401000 ABELC TO"/>
    <m/>
    <e v="#N/A"/>
    <e v="#N/A"/>
    <n v="81567"/>
    <s v="ENTRETIEN MÉNAGER"/>
    <s v="ABEL CHRIST SOMPLEI"/>
    <s v="Q3"/>
    <e v="#REF!"/>
    <e v="#REF!"/>
    <e v="#REF!"/>
  </r>
  <r>
    <s v="181000"/>
    <x v="6"/>
    <s v="COMPTE DE LIAISON DES ETABLISSEMENTS"/>
    <s v="OD"/>
    <n v="566.26"/>
    <d v="2025-11-27T00:00:00"/>
    <s v="Liaison inter-établissement"/>
    <m/>
    <e v="#N/A"/>
    <e v="#N/A"/>
    <n v="94052"/>
    <m/>
    <s v="AIRBNB"/>
    <s v="Q4"/>
    <e v="#REF!"/>
    <e v="#REF!"/>
    <e v="#REF!"/>
  </r>
  <r>
    <s v="181000"/>
    <x v="6"/>
    <s v="COMPTE DE LIAISON DES ETABLISSEMENTS"/>
    <s v="OD"/>
    <n v="568.70000000000005"/>
    <d v="2025-01-16T00:00:00"/>
    <s v="Liaison inter-établissement"/>
    <m/>
    <s v="Non"/>
    <e v="#N/A"/>
    <n v="63713"/>
    <m/>
    <s v="DIVERS"/>
    <s v="Q1"/>
    <e v="#REF!"/>
    <e v="#REF!"/>
    <e v="#REF!"/>
  </r>
  <r>
    <s v="181000"/>
    <x v="6"/>
    <s v="COMPTE DE LIAISON DES ETABLISSEMENTS"/>
    <s v="OD"/>
    <n v="569.46"/>
    <d v="2025-04-30T00:00:00"/>
    <s v="Liaison inter-établissement"/>
    <m/>
    <e v="#N/A"/>
    <e v="#N/A"/>
    <n v="87142"/>
    <m/>
    <s v="AIR LIQUIDE"/>
    <s v="Q2"/>
    <e v="#REF!"/>
    <e v="#REF!"/>
    <e v="#REF!"/>
  </r>
  <r>
    <s v="181000"/>
    <x v="6"/>
    <s v="COMPTE DE LIAISON DES ETABLISSEMENTS"/>
    <s v="OD"/>
    <n v="570"/>
    <d v="2025-04-08T00:00:00"/>
    <s v="Liaison inter-établissement"/>
    <s v="Non"/>
    <s v="Non"/>
    <e v="#N/A"/>
    <n v="71672"/>
    <m/>
    <s v="TESSIER PAUL"/>
    <s v="Q2"/>
    <e v="#REF!"/>
    <e v="#REF!"/>
    <e v="#REF!"/>
  </r>
  <r>
    <s v="181000"/>
    <x v="6"/>
    <s v="COMPTE DE LIAISON DES ETABLISSEMENTS"/>
    <s v="OD"/>
    <n v="570.53"/>
    <d v="2025-04-29T00:00:00"/>
    <s v="Liaison inter-établissement"/>
    <m/>
    <e v="#N/A"/>
    <e v="#N/A"/>
    <n v="74569"/>
    <m/>
    <s v="Marie Rézeau"/>
    <s v="Q2"/>
    <e v="#REF!"/>
    <e v="#REF!"/>
    <e v="#REF!"/>
  </r>
  <r>
    <s v="181000"/>
    <x v="6"/>
    <s v="COMPTE DE LIAISON DES ETABLISSEMENTS"/>
    <s v="OD"/>
    <n v="575.9"/>
    <d v="2025-12-23T00:00:00"/>
    <s v="Liaison inter-établissement"/>
    <m/>
    <e v="#N/A"/>
    <e v="#N/A"/>
    <n v="93590"/>
    <m/>
    <s v="Kevin Cottet"/>
    <s v="Q4"/>
    <e v="#REF!"/>
    <e v="#REF!"/>
    <e v="#REF!"/>
  </r>
  <r>
    <s v="181000"/>
    <x v="6"/>
    <s v="COMPTE DE LIAISON DES ETABLISSEMENTS"/>
    <s v="OD"/>
    <n v="576"/>
    <d v="2025-01-30T00:00:00"/>
    <s v="Liaison inter-établissement"/>
    <m/>
    <e v="#N/A"/>
    <e v="#N/A"/>
    <n v="63569"/>
    <m/>
    <s v="BIOKAL"/>
    <s v="Q1"/>
    <e v="#REF!"/>
    <e v="#REF!"/>
    <e v="#REF!"/>
  </r>
  <r>
    <s v="181000"/>
    <x v="6"/>
    <s v="COMPTE DE LIAISON DES ETABLISSEMENTS"/>
    <s v="OD"/>
    <n v="576.4"/>
    <d v="2025-02-05T00:00:00"/>
    <s v="Liaison inter-établissement"/>
    <m/>
    <e v="#N/A"/>
    <e v="#N/A"/>
    <n v="74239"/>
    <m/>
    <s v="Alain Pinchard"/>
    <s v="Q1"/>
    <e v="#REF!"/>
    <e v="#REF!"/>
    <e v="#REF!"/>
  </r>
  <r>
    <s v="181000"/>
    <x v="6"/>
    <s v="COMPTE DE LIAISON DES ETABLISSEMENTS"/>
    <s v="OD"/>
    <n v="577.20000000000005"/>
    <d v="2025-06-27T00:00:00"/>
    <s v="Liaison inter-établissement"/>
    <m/>
    <e v="#N/A"/>
    <e v="#N/A"/>
    <n v="76722"/>
    <m/>
    <s v="Kevin Cottet"/>
    <s v="Q2"/>
    <e v="#REF!"/>
    <e v="#REF!"/>
    <e v="#REF!"/>
  </r>
  <r>
    <s v="181000"/>
    <x v="6"/>
    <s v="COMPTE DE LIAISON DES ETABLISSEMENTS"/>
    <s v="OD"/>
    <n v="579.08000000000004"/>
    <d v="2025-04-09T00:00:00"/>
    <s v="Liaison inter-établissement"/>
    <m/>
    <e v="#N/A"/>
    <e v="#N/A"/>
    <n v="74827"/>
    <m/>
    <s v="MANUTAN"/>
    <s v="Q2"/>
    <e v="#REF!"/>
    <e v="#REF!"/>
    <e v="#REF!"/>
  </r>
  <r>
    <s v="181000"/>
    <x v="6"/>
    <s v="COMPTE DE LIAISON DES ETABLISSEMENTS"/>
    <s v="OD"/>
    <n v="581.4"/>
    <d v="2025-03-14T00:00:00"/>
    <s v="Liaison inter-établissement"/>
    <m/>
    <e v="#N/A"/>
    <e v="#N/A"/>
    <n v="75862"/>
    <m/>
    <s v="Kevin Cottet"/>
    <s v="Q1"/>
    <e v="#REF!"/>
    <e v="#REF!"/>
    <e v="#REF!"/>
  </r>
  <r>
    <s v="181000"/>
    <x v="6"/>
    <s v="COMPTE DE LIAISON DES ETABLISSEMENTS"/>
    <s v="OD"/>
    <n v="582"/>
    <d v="2025-01-01T00:00:00"/>
    <s v="Liaison inter-établissement vers RO "/>
    <m/>
    <e v="#N/A"/>
    <e v="#N/A"/>
    <n v="74071"/>
    <m/>
    <s v="BROSSIER TRANSPORTS"/>
    <s v="Q1"/>
    <e v="#REF!"/>
    <e v="#REF!"/>
    <e v="#REF!"/>
  </r>
  <r>
    <s v="181000"/>
    <x v="6"/>
    <s v="COMPTE DE LIAISON DES ETABLISSEMENTS"/>
    <s v="OD"/>
    <n v="585.01"/>
    <d v="2025-08-18T00:00:00"/>
    <s v="Liaison établissement 401000 ALTAIR TO"/>
    <s v="Non"/>
    <s v="Non"/>
    <e v="#N/A"/>
    <n v="81138"/>
    <s v="HOTLINE"/>
    <s v="ALTAIR AVOCATS"/>
    <s v="Q3"/>
    <e v="#REF!"/>
    <e v="#REF!"/>
    <e v="#REF!"/>
  </r>
  <r>
    <s v="181000"/>
    <x v="6"/>
    <s v="COMPTE DE LIAISON DES ETABLISSEMENTS"/>
    <s v="OD"/>
    <n v="594"/>
    <d v="2025-03-31T00:00:00"/>
    <s v="Liaison inter-établissement vers TO "/>
    <m/>
    <e v="#N/A"/>
    <e v="#N/A"/>
    <n v="70256"/>
    <m/>
    <m/>
    <s v="Q1"/>
    <e v="#REF!"/>
    <e v="#REF!"/>
    <e v="#REF!"/>
  </r>
  <r>
    <s v="181000"/>
    <x v="6"/>
    <s v="COMPTE DE LIAISON DES ETABLISSEMENTS"/>
    <s v="OD"/>
    <n v="594"/>
    <d v="2025-04-08T00:00:00"/>
    <s v="Liaison inter-établissement"/>
    <m/>
    <s v="Non"/>
    <e v="#N/A"/>
    <n v="68066"/>
    <m/>
    <s v="AXE GESCOM"/>
    <s v="Q2"/>
    <e v="#REF!"/>
    <e v="#REF!"/>
    <e v="#REF!"/>
  </r>
  <r>
    <s v="181000"/>
    <x v="6"/>
    <s v="COMPTE DE LIAISON DES ETABLISSEMENTS"/>
    <s v="OD"/>
    <n v="594"/>
    <d v="2025-04-08T00:00:00"/>
    <s v="Liaison inter-établissement"/>
    <m/>
    <s v="Non"/>
    <e v="#N/A"/>
    <n v="68070"/>
    <m/>
    <s v="AXE GESCOM"/>
    <s v="Q2"/>
    <e v="#REF!"/>
    <e v="#REF!"/>
    <e v="#REF!"/>
  </r>
  <r>
    <s v="181000"/>
    <x v="6"/>
    <s v="COMPTE DE LIAISON DES ETABLISSEMENTS"/>
    <s v="OD"/>
    <n v="597.6"/>
    <d v="2025-09-16T00:00:00"/>
    <s v="Liaison inter-établissement"/>
    <m/>
    <e v="#N/A"/>
    <e v="#N/A"/>
    <n v="83248"/>
    <m/>
    <s v="ARCANE INDUSTRIE"/>
    <s v="Q3"/>
    <e v="#REF!"/>
    <e v="#REF!"/>
    <e v="#REF!"/>
  </r>
  <r>
    <s v="181000"/>
    <x v="6"/>
    <s v="COMPTE DE LIAISON DES ETABLISSEMENTS"/>
    <s v="OD"/>
    <n v="599.85"/>
    <d v="2025-11-24T00:00:00"/>
    <s v="Liaison inter-établissement"/>
    <m/>
    <e v="#N/A"/>
    <e v="#N/A"/>
    <n v="91027"/>
    <m/>
    <s v="Pierre-Yves Bolle"/>
    <s v="Q4"/>
    <e v="#REF!"/>
    <e v="#REF!"/>
    <e v="#REF!"/>
  </r>
  <r>
    <s v="181000"/>
    <x v="6"/>
    <s v="COMPTE DE LIAISON DES ETABLISSEMENTS"/>
    <s v="OD"/>
    <n v="600"/>
    <d v="2025-01-27T00:00:00"/>
    <s v="Liaison inter-établissement"/>
    <m/>
    <e v="#N/A"/>
    <e v="#N/A"/>
    <n v="73877"/>
    <m/>
    <s v="Jérémie Blache"/>
    <s v="Q1"/>
    <e v="#REF!"/>
    <e v="#REF!"/>
    <e v="#REF!"/>
  </r>
  <r>
    <s v="181000"/>
    <x v="6"/>
    <s v="COMPTE DE LIAISON DES ETABLISSEMENTS"/>
    <s v="OD"/>
    <n v="600"/>
    <d v="2025-02-11T00:00:00"/>
    <s v="Liaison inter-établissement"/>
    <m/>
    <e v="#N/A"/>
    <e v="#N/A"/>
    <n v="76686"/>
    <m/>
    <s v="Jérémie Blache"/>
    <s v="Q1"/>
    <e v="#REF!"/>
    <e v="#REF!"/>
    <e v="#REF!"/>
  </r>
  <r>
    <s v="181000"/>
    <x v="6"/>
    <s v="COMPTE DE LIAISON DES ETABLISSEMENTS"/>
    <s v="OD"/>
    <n v="600"/>
    <d v="2025-03-10T00:00:00"/>
    <s v="Liaison inter-établissement"/>
    <m/>
    <e v="#N/A"/>
    <e v="#N/A"/>
    <n v="76690"/>
    <m/>
    <s v="Jérémie Blache"/>
    <s v="Q1"/>
    <e v="#REF!"/>
    <e v="#REF!"/>
    <e v="#REF!"/>
  </r>
  <r>
    <s v="181000"/>
    <x v="6"/>
    <s v="COMPTE DE LIAISON DES ETABLISSEMENTS"/>
    <s v="OD"/>
    <n v="600"/>
    <d v="2025-06-24T00:00:00"/>
    <s v="Liaison inter-établissement"/>
    <m/>
    <e v="#N/A"/>
    <e v="#N/A"/>
    <n v="76682"/>
    <m/>
    <s v="Jérémie Blache"/>
    <s v="Q2"/>
    <e v="#REF!"/>
    <e v="#REF!"/>
    <e v="#REF!"/>
  </r>
  <r>
    <s v="181000"/>
    <x v="6"/>
    <s v="COMPTE DE LIAISON DES ETABLISSEMENTS"/>
    <s v="OD"/>
    <n v="600"/>
    <d v="2025-08-08T00:00:00"/>
    <s v="Liaison établissement 401000 ALTAIR TO"/>
    <s v="Non"/>
    <s v="Non"/>
    <e v="#N/A"/>
    <n v="80782"/>
    <s v="HONORAIRE FORFAITAIRE ATTENDANCE TO THE BOARD 13/05/2025"/>
    <s v="ALTAIR AVOCATS"/>
    <s v="Q3"/>
    <e v="#REF!"/>
    <e v="#REF!"/>
    <e v="#REF!"/>
  </r>
  <r>
    <s v="181000"/>
    <x v="6"/>
    <s v="COMPTE DE LIAISON DES ETABLISSEMENTS"/>
    <s v="OD"/>
    <n v="600"/>
    <d v="2025-08-18T00:00:00"/>
    <s v="Liaison établissement 401000 SOCIETE CHIMIQUE DE FRANCE TO"/>
    <m/>
    <s v="Non"/>
    <e v="#N/A"/>
    <n v="81153"/>
    <s v="ADHÉSION SFC"/>
    <s v="SOCIETE CHIMIQUE DE FRANCE"/>
    <s v="Q3"/>
    <e v="#REF!"/>
    <e v="#REF!"/>
    <e v="#REF!"/>
  </r>
  <r>
    <s v="181000"/>
    <x v="6"/>
    <s v="COMPTE DE LIAISON DES ETABLISSEMENTS"/>
    <s v="OD"/>
    <n v="600"/>
    <d v="2025-08-21T00:00:00"/>
    <s v="Liaison établissement 401000 ALTAIR TO"/>
    <s v="Non"/>
    <s v="Non"/>
    <e v="#N/A"/>
    <n v="81372"/>
    <s v="HONORAIRE FORFAITAIRE ATTENDANCE TO THE BOARD 10/06/2025"/>
    <s v="ALTAIR AVOCATS"/>
    <s v="Q3"/>
    <e v="#REF!"/>
    <e v="#REF!"/>
    <e v="#REF!"/>
  </r>
  <r>
    <s v="181000"/>
    <x v="6"/>
    <s v="COMPTE DE LIAISON DES ETABLISSEMENTS"/>
    <s v="OD"/>
    <n v="603.70000000000005"/>
    <d v="2025-02-18T00:00:00"/>
    <s v="Liaison inter-établissement"/>
    <m/>
    <e v="#N/A"/>
    <e v="#N/A"/>
    <n v="75866"/>
    <m/>
    <s v="Kevin Cottet"/>
    <s v="Q1"/>
    <e v="#REF!"/>
    <e v="#REF!"/>
    <e v="#REF!"/>
  </r>
  <r>
    <s v="181000"/>
    <x v="6"/>
    <s v="COMPTE DE LIAISON DES ETABLISSEMENTS"/>
    <s v="OD"/>
    <n v="607.51"/>
    <d v="2025-03-18T00:00:00"/>
    <s v="Liaison inter-établissement"/>
    <m/>
    <e v="#N/A"/>
    <e v="#N/A"/>
    <n v="64483"/>
    <m/>
    <s v="VWR AVANTOR"/>
    <s v="Q1"/>
    <e v="#REF!"/>
    <e v="#REF!"/>
    <e v="#REF!"/>
  </r>
  <r>
    <s v="181000"/>
    <x v="6"/>
    <s v="COMPTE DE LIAISON DES ETABLISSEMENTS"/>
    <s v="OD"/>
    <n v="608.58000000000004"/>
    <d v="2025-01-31T00:00:00"/>
    <s v="Liaison inter-établissement"/>
    <m/>
    <e v="#N/A"/>
    <e v="#N/A"/>
    <n v="89856"/>
    <m/>
    <s v="AIR LIQUIDE"/>
    <s v="Q1"/>
    <e v="#REF!"/>
    <e v="#REF!"/>
    <e v="#REF!"/>
  </r>
  <r>
    <s v="181000"/>
    <x v="6"/>
    <s v="COMPTE DE LIAISON DES ETABLISSEMENTS"/>
    <s v="OD"/>
    <n v="609.24"/>
    <d v="2025-09-22T00:00:00"/>
    <s v="Liaison établissement 401000 ACRITEC TO"/>
    <m/>
    <e v="#N/A"/>
    <e v="#N/A"/>
    <n v="82413"/>
    <s v="CONTRÔLE ANNUEL ÉLECTRIQUE + VGP GERBEUR ÉLECTRIQUE"/>
    <s v="ACRITEC"/>
    <s v="Q3"/>
    <e v="#REF!"/>
    <e v="#REF!"/>
    <e v="#REF!"/>
  </r>
  <r>
    <s v="181000"/>
    <x v="6"/>
    <s v="COMPTE DE LIAISON DES ETABLISSEMENTS"/>
    <s v="OD"/>
    <n v="614.4"/>
    <d v="2025-02-08T00:00:00"/>
    <s v="Liaison inter-établissement"/>
    <m/>
    <e v="#N/A"/>
    <e v="#N/A"/>
    <n v="64255"/>
    <m/>
    <s v="ARCANE INDUSTRIE"/>
    <s v="Q1"/>
    <e v="#REF!"/>
    <e v="#REF!"/>
    <e v="#REF!"/>
  </r>
  <r>
    <s v="181000"/>
    <x v="6"/>
    <s v="COMPTE DE LIAISON DES ETABLISSEMENTS"/>
    <s v="OD"/>
    <n v="615"/>
    <d v="2025-08-21T00:00:00"/>
    <s v="Liaison établissement 401000 BECKER TO"/>
    <s v="Non"/>
    <s v="Oui"/>
    <e v="#N/A"/>
    <n v="81402"/>
    <s v="RAPPORT DE RECHERCHE - BREVET PALOMA CHIMIE"/>
    <s v="BECKER"/>
    <s v="Q3"/>
    <e v="#REF!"/>
    <e v="#REF!"/>
    <e v="#REF!"/>
  </r>
  <r>
    <s v="181000"/>
    <x v="6"/>
    <s v="COMPTE DE LIAISON DES ETABLISSEMENTS"/>
    <s v="OD"/>
    <n v="623.4"/>
    <d v="2025-04-29T00:00:00"/>
    <s v="Liaison établissement 401000 BECKER TO"/>
    <s v="Non"/>
    <s v="Oui"/>
    <e v="#N/A"/>
    <n v="70474"/>
    <s v="Invocie Payment by Pili"/>
    <s v="BECKER"/>
    <s v="Q2"/>
    <e v="#REF!"/>
    <e v="#REF!"/>
    <e v="#REF!"/>
  </r>
  <r>
    <s v="181000"/>
    <x v="6"/>
    <s v="COMPTE DE LIAISON DES ETABLISSEMENTS"/>
    <s v="OD"/>
    <n v="631.20000000000005"/>
    <d v="2025-01-31T00:00:00"/>
    <s v="Liaison inter-établissement"/>
    <s v="Non"/>
    <s v="Non"/>
    <e v="#N/A"/>
    <n v="63785"/>
    <m/>
    <s v="OSIRIS"/>
    <s v="Q1"/>
    <e v="#REF!"/>
    <e v="#REF!"/>
    <e v="#REF!"/>
  </r>
  <r>
    <s v="181000"/>
    <x v="6"/>
    <s v="COMPTE DE LIAISON DES ETABLISSEMENTS"/>
    <s v="OD"/>
    <n v="637.20000000000005"/>
    <d v="2025-06-04T00:00:00"/>
    <s v="Liaison établissement 401000 CHAUM TO"/>
    <m/>
    <e v="#N/A"/>
    <e v="#N/A"/>
    <n v="75518"/>
    <s v="Invoice payment by Pili"/>
    <s v="GROUPE CHAUMEIL"/>
    <s v="Q2"/>
    <e v="#REF!"/>
    <e v="#REF!"/>
    <e v="#REF!"/>
  </r>
  <r>
    <s v="181000"/>
    <x v="6"/>
    <s v="COMPTE DE LIAISON DES ETABLISSEMENTS"/>
    <s v="OD"/>
    <n v="638"/>
    <d v="2025-04-29T00:00:00"/>
    <s v="Liaison établissement 401000 NURNBERG TO"/>
    <m/>
    <e v="#N/A"/>
    <e v="#N/A"/>
    <n v="70479"/>
    <s v="Invocie Payment by Pili"/>
    <s v="NURNBERG"/>
    <s v="Q2"/>
    <e v="#REF!"/>
    <e v="#REF!"/>
    <e v="#REF!"/>
  </r>
  <r>
    <s v="181000"/>
    <x v="6"/>
    <s v="COMPTE DE LIAISON DES ETABLISSEMENTS"/>
    <s v="OD"/>
    <n v="644.52"/>
    <d v="2025-04-18T00:00:00"/>
    <s v="Liaison établissement 401000 EURISOTOP TO"/>
    <m/>
    <e v="#N/A"/>
    <e v="#N/A"/>
    <n v="68174"/>
    <s v="Invoice Payment by Pili"/>
    <s v="EURISOTOP"/>
    <s v="Q2"/>
    <e v="#REF!"/>
    <e v="#REF!"/>
    <e v="#REF!"/>
  </r>
  <r>
    <s v="181000"/>
    <x v="6"/>
    <s v="COMPTE DE LIAISON DES ETABLISSEMENTS"/>
    <s v="OD"/>
    <n v="644.83000000000004"/>
    <d v="2025-01-09T00:00:00"/>
    <s v="Liaison inter-établissement"/>
    <m/>
    <e v="#N/A"/>
    <e v="#N/A"/>
    <n v="63697"/>
    <m/>
    <s v="DENIOS"/>
    <s v="Q1"/>
    <e v="#REF!"/>
    <e v="#REF!"/>
    <e v="#REF!"/>
  </r>
  <r>
    <s v="181000"/>
    <x v="6"/>
    <s v="COMPTE DE LIAISON DES ETABLISSEMENTS"/>
    <s v="OD"/>
    <n v="649"/>
    <d v="2025-04-29T00:00:00"/>
    <s v="Liaison inter-établissement"/>
    <m/>
    <e v="#N/A"/>
    <e v="#N/A"/>
    <n v="71412"/>
    <m/>
    <s v="ETAI"/>
    <s v="Q2"/>
    <e v="#REF!"/>
    <e v="#REF!"/>
    <e v="#REF!"/>
  </r>
  <r>
    <s v="181000"/>
    <x v="6"/>
    <s v="COMPTE DE LIAISON DES ETABLISSEMENTS"/>
    <s v="OD"/>
    <n v="651.6"/>
    <d v="2025-03-18T00:00:00"/>
    <s v="Liaison inter-établissement"/>
    <m/>
    <e v="#N/A"/>
    <e v="#N/A"/>
    <n v="64391"/>
    <m/>
    <s v="3BCLIM"/>
    <s v="Q1"/>
    <e v="#REF!"/>
    <e v="#REF!"/>
    <e v="#REF!"/>
  </r>
  <r>
    <s v="181000"/>
    <x v="6"/>
    <s v="COMPTE DE LIAISON DES ETABLISSEMENTS"/>
    <s v="OD"/>
    <n v="652.63"/>
    <d v="2025-10-06T00:00:00"/>
    <s v="Liaison établissement 401000 VWR TO"/>
    <m/>
    <e v="#N/A"/>
    <e v="#N/A"/>
    <n v="82911"/>
    <s v="PRODUITS KEENB"/>
    <s v="VWR AVANTOR"/>
    <s v="Q4"/>
    <e v="#REF!"/>
    <e v="#REF!"/>
    <e v="#REF!"/>
  </r>
  <r>
    <s v="181000"/>
    <x v="6"/>
    <s v="COMPTE DE LIAISON DES ETABLISSEMENTS"/>
    <s v="OD"/>
    <n v="655.09"/>
    <d v="2025-12-22T00:00:00"/>
    <s v="Liaison inter-établissement"/>
    <m/>
    <e v="#N/A"/>
    <e v="#N/A"/>
    <n v="93030"/>
    <m/>
    <s v="ROTH SOCHIEL"/>
    <s v="Q4"/>
    <e v="#REF!"/>
    <e v="#REF!"/>
    <e v="#REF!"/>
  </r>
  <r>
    <s v="181000"/>
    <x v="6"/>
    <s v="COMPTE DE LIAISON DES ETABLISSEMENTS"/>
    <s v="OD"/>
    <n v="656.5"/>
    <d v="2025-07-17T00:00:00"/>
    <s v="Liaison inter-établissement"/>
    <m/>
    <e v="#N/A"/>
    <e v="#N/A"/>
    <n v="81353"/>
    <m/>
    <s v="BRENNTAG"/>
    <s v="Q3"/>
    <e v="#REF!"/>
    <e v="#REF!"/>
    <e v="#REF!"/>
  </r>
  <r>
    <s v="181000"/>
    <x v="6"/>
    <s v="COMPTE DE LIAISON DES ETABLISSEMENTS"/>
    <s v="OD"/>
    <n v="658"/>
    <d v="2025-01-07T00:00:00"/>
    <s v="Liaison inter-établissement"/>
    <m/>
    <e v="#N/A"/>
    <e v="#N/A"/>
    <n v="63481"/>
    <m/>
    <s v="ABEL CHRIST SOMPLEI"/>
    <s v="Q1"/>
    <e v="#REF!"/>
    <e v="#REF!"/>
    <e v="#REF!"/>
  </r>
  <r>
    <s v="181000"/>
    <x v="6"/>
    <s v="COMPTE DE LIAISON DES ETABLISSEMENTS"/>
    <s v="OD"/>
    <n v="660"/>
    <d v="2025-08-18T00:00:00"/>
    <s v="Liaison établissement 401000 COFICIEL TO"/>
    <m/>
    <e v="#N/A"/>
    <e v="#N/A"/>
    <n v="81148"/>
    <s v="F2506/0476"/>
    <s v="COFICIEL"/>
    <s v="Q3"/>
    <e v="#REF!"/>
    <e v="#REF!"/>
    <e v="#REF!"/>
  </r>
  <r>
    <s v="181000"/>
    <x v="6"/>
    <s v="COMPTE DE LIAISON DES ETABLISSEMENTS"/>
    <s v="OD"/>
    <n v="660"/>
    <d v="2025-10-03T00:00:00"/>
    <s v="Liaison inter-établissement"/>
    <m/>
    <e v="#N/A"/>
    <e v="#N/A"/>
    <n v="89735"/>
    <m/>
    <s v="HOTELS"/>
    <s v="Q4"/>
    <e v="#REF!"/>
    <e v="#REF!"/>
    <e v="#REF!"/>
  </r>
  <r>
    <s v="181000"/>
    <x v="6"/>
    <s v="COMPTE DE LIAISON DES ETABLISSEMENTS"/>
    <s v="OD"/>
    <n v="661.11"/>
    <d v="2025-06-27T00:00:00"/>
    <s v="Liaison inter-établissement"/>
    <m/>
    <e v="#N/A"/>
    <e v="#N/A"/>
    <n v="76771"/>
    <m/>
    <s v="Marie-Sarah Adenis"/>
    <s v="Q2"/>
    <e v="#REF!"/>
    <e v="#REF!"/>
    <e v="#REF!"/>
  </r>
  <r>
    <s v="181000"/>
    <x v="6"/>
    <s v="COMPTE DE LIAISON DES ETABLISSEMENTS"/>
    <s v="OD"/>
    <n v="661.69"/>
    <d v="2025-09-22T00:00:00"/>
    <s v="Liaison établissement 401000 THERMOELECTRON TO"/>
    <m/>
    <s v="Non"/>
    <e v="#N/A"/>
    <n v="82402"/>
    <s v="FILTRE DE PROTECTION POUR LA GC-MS (ARRIVÉ D'HÉLIUM + SORTIE DE LA POMPE)"/>
    <s v="THERMOELECTRON"/>
    <s v="Q3"/>
    <e v="#REF!"/>
    <e v="#REF!"/>
    <e v="#REF!"/>
  </r>
  <r>
    <s v="181000"/>
    <x v="6"/>
    <s v="COMPTE DE LIAISON DES ETABLISSEMENTS"/>
    <s v="OD"/>
    <n v="663.32"/>
    <d v="2025-02-11T00:00:00"/>
    <s v="Liaison inter-établissement"/>
    <m/>
    <e v="#N/A"/>
    <e v="#N/A"/>
    <n v="75846"/>
    <m/>
    <s v="Guillaume Boissonnat-Wu"/>
    <s v="Q1"/>
    <e v="#REF!"/>
    <e v="#REF!"/>
    <e v="#REF!"/>
  </r>
  <r>
    <s v="181000"/>
    <x v="6"/>
    <s v="COMPTE DE LIAISON DES ETABLISSEMENTS"/>
    <s v="OD"/>
    <n v="664.8"/>
    <d v="2025-04-18T00:00:00"/>
    <s v="Liaison établissement 401000 GSF TO"/>
    <m/>
    <e v="#N/A"/>
    <e v="#N/A"/>
    <n v="68179"/>
    <s v="Invoice Payment by Pili"/>
    <s v="GSF"/>
    <s v="Q2"/>
    <e v="#REF!"/>
    <e v="#REF!"/>
    <e v="#REF!"/>
  </r>
  <r>
    <s v="181000"/>
    <x v="6"/>
    <s v="COMPTE DE LIAISON DES ETABLISSEMENTS"/>
    <s v="OD"/>
    <n v="690"/>
    <d v="2025-06-30T00:00:00"/>
    <s v="Liaison établissement 401000 BIOTIKA TO"/>
    <s v="Non"/>
    <e v="#N/A"/>
    <e v="#N/A"/>
    <n v="76862"/>
    <s v="TRANSPORT COST"/>
    <s v="BIOTIKA"/>
    <s v="Q2"/>
    <e v="#REF!"/>
    <e v="#REF!"/>
    <e v="#REF!"/>
  </r>
  <r>
    <s v="181000"/>
    <x v="6"/>
    <s v="COMPTE DE LIAISON DES ETABLISSEMENTS"/>
    <s v="OD"/>
    <n v="696.42"/>
    <d v="2025-03-12T00:00:00"/>
    <s v="Liaison inter-établissement"/>
    <m/>
    <s v="Non"/>
    <e v="#N/A"/>
    <n v="68110"/>
    <m/>
    <s v="DIVERS"/>
    <s v="Q1"/>
    <e v="#REF!"/>
    <e v="#REF!"/>
    <e v="#REF!"/>
  </r>
  <r>
    <s v="181000"/>
    <x v="6"/>
    <s v="COMPTE DE LIAISON DES ETABLISSEMENTS"/>
    <s v="OD"/>
    <n v="709.8"/>
    <d v="2025-05-07T00:00:00"/>
    <s v="Liaison établissement 401000 FOURE TO"/>
    <m/>
    <e v="#N/A"/>
    <e v="#N/A"/>
    <n v="71772"/>
    <s v="MODIFICATION BUTÉE MONORAIL RÉACTEUR INOX"/>
    <s v="FOURE LAGADEC"/>
    <s v="Q2"/>
    <e v="#REF!"/>
    <e v="#REF!"/>
    <e v="#REF!"/>
  </r>
  <r>
    <s v="181000"/>
    <x v="6"/>
    <s v="COMPTE DE LIAISON DES ETABLISSEMENTS"/>
    <s v="OD"/>
    <n v="716.7"/>
    <d v="2025-04-29T00:00:00"/>
    <s v="Liaison établissement 401000 METTLER TO"/>
    <m/>
    <e v="#N/A"/>
    <e v="#N/A"/>
    <n v="70467"/>
    <s v="Invocie Payment by Pili"/>
    <s v="METTLER TOLEDO"/>
    <s v="Q2"/>
    <e v="#REF!"/>
    <e v="#REF!"/>
    <e v="#REF!"/>
  </r>
  <r>
    <s v="181000"/>
    <x v="6"/>
    <s v="COMPTE DE LIAISON DES ETABLISSEMENTS"/>
    <s v="OD"/>
    <n v="720"/>
    <d v="2025-04-07T00:00:00"/>
    <s v="Liaison inter-établissement"/>
    <m/>
    <e v="#N/A"/>
    <e v="#N/A"/>
    <n v="72916"/>
    <m/>
    <s v="EURECIA"/>
    <s v="Q2"/>
    <e v="#REF!"/>
    <e v="#REF!"/>
    <e v="#REF!"/>
  </r>
  <r>
    <s v="181000"/>
    <x v="6"/>
    <s v="COMPTE DE LIAISON DES ETABLISSEMENTS"/>
    <s v="OD"/>
    <n v="721"/>
    <d v="2025-04-25T00:00:00"/>
    <s v="Liaison inter-établissement"/>
    <m/>
    <e v="#N/A"/>
    <e v="#N/A"/>
    <n v="74787"/>
    <m/>
    <s v="SNCF"/>
    <s v="Q2"/>
    <e v="#REF!"/>
    <e v="#REF!"/>
    <e v="#REF!"/>
  </r>
  <r>
    <s v="181000"/>
    <x v="6"/>
    <s v="COMPTE DE LIAISON DES ETABLISSEMENTS"/>
    <s v="OD"/>
    <n v="721"/>
    <d v="2025-06-16T00:00:00"/>
    <s v="Liaison établissement 401000 BIOTIKA TO"/>
    <s v="Non"/>
    <e v="#N/A"/>
    <e v="#N/A"/>
    <n v="76066"/>
    <s v="TRANSPORT COSTS"/>
    <s v="BIOTIKA"/>
    <s v="Q2"/>
    <e v="#REF!"/>
    <e v="#REF!"/>
    <e v="#REF!"/>
  </r>
  <r>
    <s v="181000"/>
    <x v="6"/>
    <s v="COMPTE DE LIAISON DES ETABLISSEMENTS"/>
    <s v="OD"/>
    <n v="723.6"/>
    <d v="2025-12-30T00:00:00"/>
    <s v="Liaison établissement 401000 EIFFAGE ENERGIE SYSTEMES TO"/>
    <m/>
    <e v="#N/A"/>
    <e v="#N/A"/>
    <n v="93787"/>
    <s v="F00034250900145"/>
    <s v="EIFFAGE ENERGIE SYSTEMES"/>
    <s v="Q4"/>
    <e v="#REF!"/>
    <e v="#REF!"/>
    <e v="#REF!"/>
  </r>
  <r>
    <s v="181000"/>
    <x v="6"/>
    <s v="COMPTE DE LIAISON DES ETABLISSEMENTS"/>
    <s v="OD"/>
    <n v="731.15"/>
    <d v="2025-02-18T00:00:00"/>
    <s v="Liaison inter-établissement"/>
    <m/>
    <e v="#N/A"/>
    <e v="#N/A"/>
    <n v="74235"/>
    <m/>
    <s v="Alain Pinchard"/>
    <s v="Q1"/>
    <e v="#REF!"/>
    <e v="#REF!"/>
    <e v="#REF!"/>
  </r>
  <r>
    <s v="181000"/>
    <x v="6"/>
    <s v="COMPTE DE LIAISON DES ETABLISSEMENTS"/>
    <s v="OD"/>
    <n v="736.02"/>
    <d v="2025-09-12T00:00:00"/>
    <s v="Liaison établissement 401000 FISHER TO"/>
    <m/>
    <e v="#N/A"/>
    <e v="#N/A"/>
    <n v="82002"/>
    <s v="BENZENE SULFONYLE CHLORURE POUR KEENY STEP 3"/>
    <s v="FISHER SCIENTIFIC"/>
    <s v="Q3"/>
    <e v="#REF!"/>
    <e v="#REF!"/>
    <e v="#REF!"/>
  </r>
  <r>
    <s v="181000"/>
    <x v="6"/>
    <s v="COMPTE DE LIAISON DES ETABLISSEMENTS"/>
    <s v="OD"/>
    <n v="738"/>
    <d v="2025-01-01T00:00:00"/>
    <s v="Liaison inter-établissement vers TO "/>
    <m/>
    <e v="#N/A"/>
    <e v="#N/A"/>
    <n v="86743"/>
    <m/>
    <m/>
    <s v="Q1"/>
    <e v="#REF!"/>
    <e v="#REF!"/>
    <e v="#REF!"/>
  </r>
  <r>
    <s v="181000"/>
    <x v="6"/>
    <s v="COMPTE DE LIAISON DES ETABLISSEMENTS"/>
    <s v="OD"/>
    <n v="739.98"/>
    <d v="2025-12-10T00:00:00"/>
    <s v="Liaison établissement 401000 FRANCECHIMIE TO"/>
    <m/>
    <s v="Non"/>
    <s v="Oui"/>
    <n v="92077"/>
    <s v="SD 106 - 072025"/>
    <s v="FRANCE CHIMIE"/>
    <s v="Q4"/>
    <e v="#REF!"/>
    <e v="#REF!"/>
    <e v="#REF!"/>
  </r>
  <r>
    <s v="181000"/>
    <x v="6"/>
    <s v="COMPTE DE LIAISON DES ETABLISSEMENTS"/>
    <s v="OD"/>
    <n v="747.97"/>
    <d v="2025-01-23T00:00:00"/>
    <s v="Liaison inter-établissement"/>
    <m/>
    <s v="Non"/>
    <e v="#N/A"/>
    <n v="63717"/>
    <m/>
    <s v="DIVERS"/>
    <s v="Q1"/>
    <e v="#REF!"/>
    <e v="#REF!"/>
    <e v="#REF!"/>
  </r>
  <r>
    <s v="181000"/>
    <x v="6"/>
    <s v="COMPTE DE LIAISON DES ETABLISSEMENTS"/>
    <s v="OD"/>
    <n v="750.65"/>
    <d v="2025-12-23T00:00:00"/>
    <s v="Liaison inter-établissement"/>
    <m/>
    <e v="#N/A"/>
    <e v="#N/A"/>
    <n v="93582"/>
    <m/>
    <s v="Marie-Sarah Adenis"/>
    <s v="Q4"/>
    <e v="#REF!"/>
    <e v="#REF!"/>
    <e v="#REF!"/>
  </r>
  <r>
    <s v="181000"/>
    <x v="6"/>
    <s v="COMPTE DE LIAISON DES ETABLISSEMENTS"/>
    <s v="OD"/>
    <n v="752"/>
    <d v="2025-10-06T00:00:00"/>
    <s v="Liaison établissement 401000 ABELC TO"/>
    <m/>
    <e v="#N/A"/>
    <e v="#N/A"/>
    <n v="82896"/>
    <s v="ENTRETIEN MÉNAGER"/>
    <s v="ABEL CHRIST SOMPLEI"/>
    <s v="Q4"/>
    <e v="#REF!"/>
    <e v="#REF!"/>
    <e v="#REF!"/>
  </r>
  <r>
    <s v="181000"/>
    <x v="6"/>
    <s v="COMPTE DE LIAISON DES ETABLISSEMENTS"/>
    <s v="OD"/>
    <n v="752"/>
    <d v="2025-11-28T00:00:00"/>
    <s v="Liaison établissement 401000 ABELC TO"/>
    <m/>
    <e v="#N/A"/>
    <e v="#N/A"/>
    <n v="91243"/>
    <s v="PILI-171125"/>
    <s v="ABEL CHRIST SOMPLEI"/>
    <s v="Q4"/>
    <e v="#REF!"/>
    <e v="#REF!"/>
    <e v="#REF!"/>
  </r>
  <r>
    <s v="181000"/>
    <x v="6"/>
    <s v="COMPTE DE LIAISON DES ETABLISSEMENTS"/>
    <s v="OD"/>
    <n v="756"/>
    <d v="2025-07-01T00:00:00"/>
    <s v="Liaison inter-établissement"/>
    <m/>
    <e v="#N/A"/>
    <e v="#N/A"/>
    <n v="89504"/>
    <m/>
    <s v="ORANGE"/>
    <s v="Q3"/>
    <e v="#REF!"/>
    <e v="#REF!"/>
    <e v="#REF!"/>
  </r>
  <r>
    <s v="181000"/>
    <x v="6"/>
    <s v="COMPTE DE LIAISON DES ETABLISSEMENTS"/>
    <s v="OD"/>
    <n v="760.57"/>
    <d v="2025-03-04T00:00:00"/>
    <s v="Liaison inter-établissement"/>
    <m/>
    <s v="Non"/>
    <e v="#N/A"/>
    <n v="71903"/>
    <m/>
    <s v="DIVERS"/>
    <s v="Q1"/>
    <e v="#REF!"/>
    <e v="#REF!"/>
    <e v="#REF!"/>
  </r>
  <r>
    <s v="181000"/>
    <x v="6"/>
    <s v="COMPTE DE LIAISON DES ETABLISSEMENTS"/>
    <s v="OD"/>
    <n v="760.83"/>
    <d v="2025-02-06T00:00:00"/>
    <s v="Liaison inter-établissement"/>
    <m/>
    <e v="#N/A"/>
    <e v="#N/A"/>
    <n v="63935"/>
    <m/>
    <s v="VWR AVANTOR"/>
    <s v="Q1"/>
    <e v="#REF!"/>
    <e v="#REF!"/>
    <e v="#REF!"/>
  </r>
  <r>
    <s v="181000"/>
    <x v="6"/>
    <s v="COMPTE DE LIAISON DES ETABLISSEMENTS"/>
    <s v="OD"/>
    <n v="766.45"/>
    <d v="2025-01-20T00:00:00"/>
    <s v="Liaison inter-établissement"/>
    <m/>
    <e v="#N/A"/>
    <e v="#N/A"/>
    <n v="74231"/>
    <m/>
    <s v="Alain Pinchard"/>
    <s v="Q1"/>
    <e v="#REF!"/>
    <e v="#REF!"/>
    <e v="#REF!"/>
  </r>
  <r>
    <s v="181000"/>
    <x v="6"/>
    <s v="COMPTE DE LIAISON DES ETABLISSEMENTS"/>
    <s v="OD"/>
    <n v="769.28"/>
    <d v="2025-03-18T00:00:00"/>
    <s v="Liaison inter-établissement"/>
    <m/>
    <e v="#N/A"/>
    <e v="#N/A"/>
    <n v="64475"/>
    <m/>
    <s v="VWR AVANTOR"/>
    <s v="Q1"/>
    <e v="#REF!"/>
    <e v="#REF!"/>
    <e v="#REF!"/>
  </r>
  <r>
    <s v="181000"/>
    <x v="6"/>
    <s v="COMPTE DE LIAISON DES ETABLISSEMENTS"/>
    <s v="OD"/>
    <n v="778.8"/>
    <d v="2025-01-02T00:00:00"/>
    <s v="Liaison inter-établissement"/>
    <m/>
    <e v="#N/A"/>
    <e v="#N/A"/>
    <n v="63907"/>
    <m/>
    <s v="SPENDESK"/>
    <s v="Q1"/>
    <e v="#REF!"/>
    <e v="#REF!"/>
    <e v="#REF!"/>
  </r>
  <r>
    <s v="181000"/>
    <x v="6"/>
    <s v="COMPTE DE LIAISON DES ETABLISSEMENTS"/>
    <s v="OD"/>
    <n v="778.8"/>
    <d v="2025-02-04T00:00:00"/>
    <s v="Liaison inter-établissement"/>
    <m/>
    <e v="#N/A"/>
    <e v="#N/A"/>
    <n v="64347"/>
    <m/>
    <s v="SPENDESK"/>
    <s v="Q1"/>
    <e v="#REF!"/>
    <e v="#REF!"/>
    <e v="#REF!"/>
  </r>
  <r>
    <s v="181000"/>
    <x v="6"/>
    <s v="COMPTE DE LIAISON DES ETABLISSEMENTS"/>
    <s v="OD"/>
    <n v="778.8"/>
    <d v="2025-03-04T00:00:00"/>
    <s v="Liaison inter-établissement"/>
    <m/>
    <e v="#N/A"/>
    <e v="#N/A"/>
    <n v="70032"/>
    <m/>
    <s v="SPENDESK"/>
    <s v="Q1"/>
    <e v="#REF!"/>
    <e v="#REF!"/>
    <e v="#REF!"/>
  </r>
  <r>
    <s v="181000"/>
    <x v="6"/>
    <s v="COMPTE DE LIAISON DES ETABLISSEMENTS"/>
    <s v="OD"/>
    <n v="778.8"/>
    <d v="2025-04-02T00:00:00"/>
    <s v="Liaison inter-établissement"/>
    <m/>
    <e v="#N/A"/>
    <e v="#N/A"/>
    <n v="74741"/>
    <m/>
    <s v="SPENDESK"/>
    <s v="Q2"/>
    <e v="#REF!"/>
    <e v="#REF!"/>
    <e v="#REF!"/>
  </r>
  <r>
    <s v="181000"/>
    <x v="6"/>
    <s v="COMPTE DE LIAISON DES ETABLISSEMENTS"/>
    <s v="OD"/>
    <n v="778.8"/>
    <d v="2025-05-02T00:00:00"/>
    <s v="Liaison inter-établissement"/>
    <m/>
    <e v="#N/A"/>
    <e v="#N/A"/>
    <n v="75099"/>
    <m/>
    <s v="SPENDESK"/>
    <s v="Q2"/>
    <e v="#REF!"/>
    <e v="#REF!"/>
    <e v="#REF!"/>
  </r>
  <r>
    <s v="181000"/>
    <x v="6"/>
    <s v="COMPTE DE LIAISON DES ETABLISSEMENTS"/>
    <s v="OD"/>
    <n v="778.8"/>
    <d v="2025-06-05T00:00:00"/>
    <s v="Liaison inter-établissement"/>
    <m/>
    <e v="#N/A"/>
    <e v="#N/A"/>
    <n v="78215"/>
    <m/>
    <s v="SPENDESK"/>
    <s v="Q2"/>
    <e v="#REF!"/>
    <e v="#REF!"/>
    <e v="#REF!"/>
  </r>
  <r>
    <s v="181000"/>
    <x v="6"/>
    <s v="COMPTE DE LIAISON DES ETABLISSEMENTS"/>
    <s v="OD"/>
    <n v="778.8"/>
    <d v="2025-07-02T00:00:00"/>
    <s v="Liaison inter-établissement"/>
    <m/>
    <e v="#N/A"/>
    <e v="#N/A"/>
    <n v="81053"/>
    <m/>
    <s v="SPENDESK"/>
    <s v="Q3"/>
    <e v="#REF!"/>
    <e v="#REF!"/>
    <e v="#REF!"/>
  </r>
  <r>
    <s v="181000"/>
    <x v="6"/>
    <s v="COMPTE DE LIAISON DES ETABLISSEMENTS"/>
    <s v="OD"/>
    <n v="778.8"/>
    <d v="2025-08-05T00:00:00"/>
    <s v="Liaison inter-établissement"/>
    <m/>
    <e v="#N/A"/>
    <e v="#N/A"/>
    <n v="83252"/>
    <m/>
    <s v="SPENDESK"/>
    <s v="Q3"/>
    <e v="#REF!"/>
    <e v="#REF!"/>
    <e v="#REF!"/>
  </r>
  <r>
    <s v="181000"/>
    <x v="6"/>
    <s v="COMPTE DE LIAISON DES ETABLISSEMENTS"/>
    <s v="OD"/>
    <n v="778.8"/>
    <d v="2025-09-02T00:00:00"/>
    <s v="Liaison inter-établissement"/>
    <m/>
    <e v="#N/A"/>
    <e v="#N/A"/>
    <n v="83176"/>
    <m/>
    <s v="SPENDESK"/>
    <s v="Q3"/>
    <e v="#REF!"/>
    <e v="#REF!"/>
    <e v="#REF!"/>
  </r>
  <r>
    <s v="181000"/>
    <x v="6"/>
    <s v="COMPTE DE LIAISON DES ETABLISSEMENTS"/>
    <s v="OD"/>
    <n v="778.8"/>
    <d v="2025-10-02T00:00:00"/>
    <s v="Liaison inter-établissement"/>
    <m/>
    <e v="#N/A"/>
    <e v="#N/A"/>
    <n v="89833"/>
    <m/>
    <s v="SPENDESK"/>
    <s v="Q4"/>
    <e v="#REF!"/>
    <e v="#REF!"/>
    <e v="#REF!"/>
  </r>
  <r>
    <s v="181000"/>
    <x v="6"/>
    <s v="COMPTE DE LIAISON DES ETABLISSEMENTS"/>
    <s v="OD"/>
    <n v="778.8"/>
    <d v="2025-11-04T00:00:00"/>
    <s v="Liaison inter-établissement"/>
    <m/>
    <e v="#N/A"/>
    <e v="#N/A"/>
    <n v="91753"/>
    <m/>
    <s v="SPENDESK"/>
    <s v="Q4"/>
    <e v="#REF!"/>
    <e v="#REF!"/>
    <e v="#REF!"/>
  </r>
  <r>
    <s v="181000"/>
    <x v="6"/>
    <s v="COMPTE DE LIAISON DES ETABLISSEMENTS"/>
    <s v="OD"/>
    <n v="778.8"/>
    <d v="2025-12-02T00:00:00"/>
    <s v="Liaison inter-établissement"/>
    <m/>
    <e v="#N/A"/>
    <e v="#N/A"/>
    <n v="94148"/>
    <m/>
    <s v="SPENDESK"/>
    <s v="Q4"/>
    <e v="#REF!"/>
    <e v="#REF!"/>
    <e v="#REF!"/>
  </r>
  <r>
    <s v="181000"/>
    <x v="6"/>
    <s v="COMPTE DE LIAISON DES ETABLISSEMENTS"/>
    <s v="OD"/>
    <n v="792"/>
    <d v="2025-05-16T00:00:00"/>
    <s v="Liaison établissement 401000 AGRUME TO"/>
    <m/>
    <s v="Non"/>
    <e v="#N/A"/>
    <n v="72838"/>
    <s v="ELECTIONS CSE PAR VOIE ÉLECTRONIQUE SUR LA BASE DE 40 ÉLECTEURS"/>
    <s v="AGRUME"/>
    <s v="Q2"/>
    <e v="#REF!"/>
    <e v="#REF!"/>
    <e v="#REF!"/>
  </r>
  <r>
    <s v="181000"/>
    <x v="6"/>
    <s v="COMPTE DE LIAISON DES ETABLISSEMENTS"/>
    <s v="OD"/>
    <n v="796.3"/>
    <d v="2025-04-25T00:00:00"/>
    <s v="Liaison établissement 401000 BOUFFE TO"/>
    <m/>
    <e v="#N/A"/>
    <e v="#N/A"/>
    <n v="70199"/>
    <s v="Invoice Payment by Pili"/>
    <s v="LES BOUFFESQUETAIRES"/>
    <s v="Q2"/>
    <e v="#REF!"/>
    <e v="#REF!"/>
    <e v="#REF!"/>
  </r>
  <r>
    <s v="181000"/>
    <x v="6"/>
    <s v="COMPTE DE LIAISON DES ETABLISSEMENTS"/>
    <s v="OD"/>
    <n v="797.01"/>
    <d v="2025-11-21T00:00:00"/>
    <s v="Liaison inter-établissement vers TO "/>
    <m/>
    <e v="#N/A"/>
    <e v="#N/A"/>
    <n v="97985"/>
    <m/>
    <s v="MAXIBURO"/>
    <s v="Q4"/>
    <e v="#REF!"/>
    <e v="#REF!"/>
    <e v="#REF!"/>
  </r>
  <r>
    <s v="181000"/>
    <x v="6"/>
    <s v="COMPTE DE LIAISON DES ETABLISSEMENTS"/>
    <s v="OD"/>
    <n v="799.42"/>
    <d v="2025-11-24T00:00:00"/>
    <s v="Liaison inter-établissement"/>
    <m/>
    <e v="#N/A"/>
    <e v="#N/A"/>
    <n v="91015"/>
    <m/>
    <s v="Marie Rézeau"/>
    <s v="Q4"/>
    <e v="#REF!"/>
    <e v="#REF!"/>
    <e v="#REF!"/>
  </r>
  <r>
    <s v="181000"/>
    <x v="6"/>
    <s v="COMPTE DE LIAISON DES ETABLISSEMENTS"/>
    <s v="OD"/>
    <n v="800"/>
    <d v="2025-08-18T00:00:00"/>
    <s v="Liaison établissement 401000 IRCOM TO"/>
    <m/>
    <s v="Non"/>
    <e v="#N/A"/>
    <n v="81143"/>
    <s v="FORMATION COMMUNICATION DE CRISE"/>
    <s v="IRCOM"/>
    <s v="Q3"/>
    <e v="#REF!"/>
    <e v="#REF!"/>
    <e v="#REF!"/>
  </r>
  <r>
    <s v="181000"/>
    <x v="6"/>
    <s v="COMPTE DE LIAISON DES ETABLISSEMENTS"/>
    <s v="OD"/>
    <n v="800.84"/>
    <d v="2025-01-25T00:00:00"/>
    <s v="Liaison inter-établissement"/>
    <m/>
    <e v="#N/A"/>
    <e v="#N/A"/>
    <n v="63509"/>
    <m/>
    <s v="AIR FRANCE"/>
    <s v="Q1"/>
    <e v="#REF!"/>
    <e v="#REF!"/>
    <e v="#REF!"/>
  </r>
  <r>
    <s v="181000"/>
    <x v="6"/>
    <s v="COMPTE DE LIAISON DES ETABLISSEMENTS"/>
    <s v="OD"/>
    <n v="800.84"/>
    <d v="2025-01-25T00:00:00"/>
    <s v="Liaison inter-établissement"/>
    <m/>
    <e v="#N/A"/>
    <e v="#N/A"/>
    <n v="63513"/>
    <m/>
    <s v="AIR FRANCE"/>
    <s v="Q1"/>
    <e v="#REF!"/>
    <e v="#REF!"/>
    <e v="#REF!"/>
  </r>
  <r>
    <s v="181000"/>
    <x v="6"/>
    <s v="COMPTE DE LIAISON DES ETABLISSEMENTS"/>
    <s v="OD"/>
    <n v="810"/>
    <d v="2025-01-30T00:00:00"/>
    <s v="Liaison inter-établissement"/>
    <m/>
    <e v="#N/A"/>
    <e v="#N/A"/>
    <n v="63875"/>
    <m/>
    <s v="SMTS"/>
    <s v="Q1"/>
    <e v="#REF!"/>
    <e v="#REF!"/>
    <e v="#REF!"/>
  </r>
  <r>
    <s v="181000"/>
    <x v="6"/>
    <s v="COMPTE DE LIAISON DES ETABLISSEMENTS"/>
    <s v="OD"/>
    <n v="817.52"/>
    <d v="2025-04-14T00:00:00"/>
    <s v="Liaison inter-établissement"/>
    <m/>
    <e v="#N/A"/>
    <e v="#N/A"/>
    <n v="76275"/>
    <m/>
    <s v="Yves Combret"/>
    <s v="Q2"/>
    <e v="#REF!"/>
    <e v="#REF!"/>
    <e v="#REF!"/>
  </r>
  <r>
    <s v="181000"/>
    <x v="6"/>
    <s v="COMPTE DE LIAISON DES ETABLISSEMENTS"/>
    <s v="OD"/>
    <n v="818.4"/>
    <d v="2025-09-12T00:00:00"/>
    <s v="Liaison établissement 401000 GAZDETECT TO"/>
    <m/>
    <e v="#N/A"/>
    <e v="#N/A"/>
    <n v="82012"/>
    <s v="PAC 6500 SO2 0-100 PPM STANDARD"/>
    <s v="GAZ DETECT"/>
    <s v="Q3"/>
    <e v="#REF!"/>
    <e v="#REF!"/>
    <e v="#REF!"/>
  </r>
  <r>
    <s v="181000"/>
    <x v="6"/>
    <s v="COMPTE DE LIAISON DES ETABLISSEMENTS"/>
    <s v="OD"/>
    <n v="828"/>
    <d v="2025-08-21T00:00:00"/>
    <s v="Liaison établissement 401000 THERMOELECTRON TO"/>
    <m/>
    <s v="Non"/>
    <e v="#N/A"/>
    <n v="81481"/>
    <s v="UTILISATION LOGICIEL CHROMOLEON - NIVEAU 2 - 1 JOURNÉE"/>
    <s v="THERMOELECTRON"/>
    <s v="Q3"/>
    <e v="#REF!"/>
    <e v="#REF!"/>
    <e v="#REF!"/>
  </r>
  <r>
    <s v="181000"/>
    <x v="6"/>
    <s v="COMPTE DE LIAISON DES ETABLISSEMENTS"/>
    <s v="OD"/>
    <n v="828.34"/>
    <d v="2025-11-19T00:00:00"/>
    <s v="Liaison établissement 401000 BOUFFE TO"/>
    <m/>
    <e v="#N/A"/>
    <e v="#N/A"/>
    <n v="90480"/>
    <s v="F-1013-1766"/>
    <s v="LES BOUFFESQUETAIRES"/>
    <s v="Q4"/>
    <e v="#REF!"/>
    <e v="#REF!"/>
    <e v="#REF!"/>
  </r>
  <r>
    <s v="181000"/>
    <x v="6"/>
    <s v="COMPTE DE LIAISON DES ETABLISSEMENTS"/>
    <s v="OD"/>
    <n v="832.2"/>
    <d v="2025-04-29T00:00:00"/>
    <s v="Liaison établissement 401000 SAESPCI TO"/>
    <m/>
    <e v="#N/A"/>
    <e v="#N/A"/>
    <n v="70494"/>
    <s v="Invocie Payment by Pili"/>
    <s v="SAESPCI"/>
    <s v="Q2"/>
    <e v="#REF!"/>
    <e v="#REF!"/>
    <e v="#REF!"/>
  </r>
  <r>
    <s v="181000"/>
    <x v="6"/>
    <s v="COMPTE DE LIAISON DES ETABLISSEMENTS"/>
    <s v="OD"/>
    <n v="834"/>
    <d v="2025-11-17T00:00:00"/>
    <s v="Liaison établissement 401000 SAESPCI TO"/>
    <m/>
    <e v="#N/A"/>
    <e v="#N/A"/>
    <n v="90146"/>
    <s v="RMN ESPCI"/>
    <s v="SAESPCI"/>
    <s v="Q4"/>
    <e v="#REF!"/>
    <e v="#REF!"/>
    <e v="#REF!"/>
  </r>
  <r>
    <s v="181000"/>
    <x v="6"/>
    <s v="COMPTE DE LIAISON DES ETABLISSEMENTS"/>
    <s v="OD"/>
    <n v="844.73"/>
    <d v="2025-08-21T00:00:00"/>
    <s v="Liaison établissement 401000 VWR TO"/>
    <m/>
    <e v="#N/A"/>
    <e v="#N/A"/>
    <n v="81513"/>
    <s v="COMMANDE CONSOMMABLES ET SOLVANTS POUR LABO"/>
    <s v="VWR AVANTOR"/>
    <s v="Q3"/>
    <e v="#REF!"/>
    <e v="#REF!"/>
    <e v="#REF!"/>
  </r>
  <r>
    <s v="181000"/>
    <x v="6"/>
    <s v="COMPTE DE LIAISON DES ETABLISSEMENTS"/>
    <s v="OD"/>
    <n v="849.6"/>
    <d v="2025-03-11T00:00:00"/>
    <s v="Liaison inter-établissement"/>
    <m/>
    <e v="#N/A"/>
    <e v="#N/A"/>
    <n v="74066"/>
    <m/>
    <s v="BROSSIER TRANSPORTS"/>
    <s v="Q1"/>
    <e v="#REF!"/>
    <e v="#REF!"/>
    <e v="#REF!"/>
  </r>
  <r>
    <s v="181000"/>
    <x v="6"/>
    <s v="COMPTE DE LIAISON DES ETABLISSEMENTS"/>
    <s v="OD"/>
    <n v="852"/>
    <d v="2025-09-12T00:00:00"/>
    <s v="Liaison établissement 401000 ALGOCHEM TO"/>
    <m/>
    <e v="#N/A"/>
    <e v="#N/A"/>
    <n v="82017"/>
    <s v="FACTURE 910"/>
    <s v="ALGOCHEM"/>
    <s v="Q3"/>
    <e v="#REF!"/>
    <e v="#REF!"/>
    <e v="#REF!"/>
  </r>
  <r>
    <s v="181000"/>
    <x v="6"/>
    <s v="COMPTE DE LIAISON DES ETABLISSEMENTS"/>
    <s v="OD"/>
    <n v="858"/>
    <d v="2025-03-28T00:00:00"/>
    <s v="Liaison établissement 401000 DIVA TO"/>
    <m/>
    <e v="#N/A"/>
    <e v="#N/A"/>
    <n v="65012"/>
    <s v="Invoice Payment by Pili"/>
    <s v="AGENCE DIVA"/>
    <s v="Q1"/>
    <e v="#REF!"/>
    <e v="#REF!"/>
    <e v="#REF!"/>
  </r>
  <r>
    <s v="181000"/>
    <x v="6"/>
    <s v="COMPTE DE LIAISON DES ETABLISSEMENTS"/>
    <s v="OD"/>
    <n v="859.06"/>
    <d v="2025-04-04T00:00:00"/>
    <s v="Liaison inter-établissement"/>
    <m/>
    <e v="#N/A"/>
    <e v="#N/A"/>
    <n v="75854"/>
    <m/>
    <s v="Guillaume Boissonnat-Wu"/>
    <s v="Q2"/>
    <e v="#REF!"/>
    <e v="#REF!"/>
    <e v="#REF!"/>
  </r>
  <r>
    <s v="181000"/>
    <x v="6"/>
    <s v="COMPTE DE LIAISON DES ETABLISSEMENTS"/>
    <s v="OD"/>
    <n v="859.07"/>
    <d v="2025-08-01T00:00:00"/>
    <s v="Liaison inter-établissement"/>
    <m/>
    <e v="#N/A"/>
    <e v="#N/A"/>
    <n v="85072"/>
    <m/>
    <s v="MAXOUTILS"/>
    <s v="Q3"/>
    <e v="#REF!"/>
    <e v="#REF!"/>
    <e v="#REF!"/>
  </r>
  <r>
    <s v="181000"/>
    <x v="6"/>
    <s v="COMPTE DE LIAISON DES ETABLISSEMENTS"/>
    <s v="OD"/>
    <n v="859.74"/>
    <d v="2025-02-10T00:00:00"/>
    <s v="Liaison inter-établissement"/>
    <m/>
    <e v="#N/A"/>
    <e v="#N/A"/>
    <n v="75906"/>
    <m/>
    <s v="Pierre-Yves Bolle"/>
    <s v="Q1"/>
    <e v="#REF!"/>
    <e v="#REF!"/>
    <e v="#REF!"/>
  </r>
  <r>
    <s v="181000"/>
    <x v="6"/>
    <s v="COMPTE DE LIAISON DES ETABLISSEMENTS"/>
    <s v="OD"/>
    <n v="859.96"/>
    <d v="2025-04-07T00:00:00"/>
    <s v="Liaison inter-établissement"/>
    <m/>
    <e v="#N/A"/>
    <e v="#N/A"/>
    <n v="75858"/>
    <m/>
    <s v="Kevin Cottet"/>
    <s v="Q2"/>
    <e v="#REF!"/>
    <e v="#REF!"/>
    <e v="#REF!"/>
  </r>
  <r>
    <s v="181000"/>
    <x v="6"/>
    <s v="COMPTE DE LIAISON DES ETABLISSEMENTS"/>
    <s v="OD"/>
    <n v="882.42"/>
    <d v="2025-06-30T00:00:00"/>
    <s v="Liaison inter-établissement vers TO "/>
    <m/>
    <e v="#N/A"/>
    <e v="#N/A"/>
    <n v="78681"/>
    <m/>
    <m/>
    <s v="Q2"/>
    <e v="#REF!"/>
    <e v="#REF!"/>
    <e v="#REF!"/>
  </r>
  <r>
    <s v="181000"/>
    <x v="6"/>
    <s v="COMPTE DE LIAISON DES ETABLISSEMENTS"/>
    <s v="OD"/>
    <n v="885.18"/>
    <d v="2025-04-23T00:00:00"/>
    <s v="Liaison inter-établissement"/>
    <m/>
    <s v="Non"/>
    <n v="0"/>
    <n v="68218"/>
    <m/>
    <s v="SERVICE ACTION SANTE"/>
    <s v="Q2"/>
    <e v="#REF!"/>
    <e v="#REF!"/>
    <e v="#REF!"/>
  </r>
  <r>
    <s v="181000"/>
    <x v="6"/>
    <s v="COMPTE DE LIAISON DES ETABLISSEMENTS"/>
    <s v="OD"/>
    <n v="888.06"/>
    <d v="2025-02-28T00:00:00"/>
    <s v="Liaison inter-établissement"/>
    <s v="Non"/>
    <s v="Non"/>
    <e v="#N/A"/>
    <n v="63781"/>
    <m/>
    <s v="OSIRIS"/>
    <s v="Q1"/>
    <e v="#REF!"/>
    <e v="#REF!"/>
    <e v="#REF!"/>
  </r>
  <r>
    <s v="181000"/>
    <x v="6"/>
    <s v="COMPTE DE LIAISON DES ETABLISSEMENTS"/>
    <s v="OD"/>
    <n v="900"/>
    <d v="2025-04-15T00:00:00"/>
    <s v="Liaison inter-établissement"/>
    <m/>
    <e v="#N/A"/>
    <e v="#N/A"/>
    <n v="68090"/>
    <m/>
    <s v="CLOUP"/>
    <s v="Q2"/>
    <e v="#REF!"/>
    <e v="#REF!"/>
    <e v="#REF!"/>
  </r>
  <r>
    <s v="181000"/>
    <x v="6"/>
    <s v="COMPTE DE LIAISON DES ETABLISSEMENTS"/>
    <s v="OD"/>
    <n v="900"/>
    <d v="2025-06-16T00:00:00"/>
    <s v="Liaison établissement 401000 CHARRIERE TO"/>
    <s v="Non"/>
    <s v="Non"/>
    <e v="#N/A"/>
    <n v="76076"/>
    <s v="CONSULTANTE E CHARRIÈRE"/>
    <s v="CHARRIERE Eugenie"/>
    <s v="Q2"/>
    <e v="#REF!"/>
    <e v="#REF!"/>
    <e v="#REF!"/>
  </r>
  <r>
    <s v="181000"/>
    <x v="6"/>
    <s v="COMPTE DE LIAISON DES ETABLISSEMENTS"/>
    <s v="OD"/>
    <n v="900"/>
    <d v="2025-09-12T00:00:00"/>
    <s v="Liaison inter-établissement"/>
    <m/>
    <e v="#N/A"/>
    <e v="#N/A"/>
    <n v="85012"/>
    <m/>
    <s v="BURAY ERIC"/>
    <s v="Q3"/>
    <e v="#REF!"/>
    <e v="#REF!"/>
    <e v="#REF!"/>
  </r>
  <r>
    <s v="181000"/>
    <x v="6"/>
    <s v="COMPTE DE LIAISON DES ETABLISSEMENTS"/>
    <s v="OD"/>
    <n v="907.2"/>
    <d v="2025-02-05T00:00:00"/>
    <s v="Liaison inter-établissement"/>
    <m/>
    <e v="#N/A"/>
    <e v="#N/A"/>
    <n v="74263"/>
    <m/>
    <s v="ORANGE"/>
    <s v="Q1"/>
    <e v="#REF!"/>
    <e v="#REF!"/>
    <e v="#REF!"/>
  </r>
  <r>
    <s v="181000"/>
    <x v="6"/>
    <s v="COMPTE DE LIAISON DES ETABLISSEMENTS"/>
    <s v="OD"/>
    <n v="907.2"/>
    <d v="2025-04-08T00:00:00"/>
    <s v="Liaison inter-établissement"/>
    <m/>
    <e v="#N/A"/>
    <e v="#N/A"/>
    <n v="70060"/>
    <m/>
    <s v="ORANGE"/>
    <s v="Q2"/>
    <e v="#REF!"/>
    <e v="#REF!"/>
    <e v="#REF!"/>
  </r>
  <r>
    <s v="181000"/>
    <x v="6"/>
    <s v="COMPTE DE LIAISON DES ETABLISSEMENTS"/>
    <s v="OD"/>
    <n v="907.2"/>
    <d v="2025-06-04T00:00:00"/>
    <s v="Liaison inter-établissement"/>
    <m/>
    <e v="#N/A"/>
    <e v="#N/A"/>
    <n v="78864"/>
    <m/>
    <s v="ORANGE"/>
    <s v="Q2"/>
    <e v="#REF!"/>
    <e v="#REF!"/>
    <e v="#REF!"/>
  </r>
  <r>
    <s v="181000"/>
    <x v="6"/>
    <s v="COMPTE DE LIAISON DES ETABLISSEMENTS"/>
    <s v="OD"/>
    <n v="907.2"/>
    <d v="2025-10-06T00:00:00"/>
    <s v="Liaison inter-établissement"/>
    <m/>
    <e v="#N/A"/>
    <e v="#N/A"/>
    <n v="86966"/>
    <m/>
    <s v="ORANGE"/>
    <s v="Q4"/>
    <e v="#REF!"/>
    <e v="#REF!"/>
    <e v="#REF!"/>
  </r>
  <r>
    <s v="181000"/>
    <x v="6"/>
    <s v="COMPTE DE LIAISON DES ETABLISSEMENTS"/>
    <s v="OD"/>
    <n v="907.2"/>
    <d v="2025-12-05T00:00:00"/>
    <s v="Liaison inter-établissement"/>
    <m/>
    <e v="#N/A"/>
    <e v="#N/A"/>
    <n v="91922"/>
    <m/>
    <s v="ORANGE"/>
    <s v="Q4"/>
    <e v="#REF!"/>
    <e v="#REF!"/>
    <e v="#REF!"/>
  </r>
  <r>
    <s v="181000"/>
    <x v="6"/>
    <s v="COMPTE DE LIAISON DES ETABLISSEMENTS"/>
    <s v="OD"/>
    <n v="912"/>
    <d v="2025-01-30T00:00:00"/>
    <s v="Liaison inter-établissement"/>
    <m/>
    <e v="#N/A"/>
    <e v="#N/A"/>
    <n v="63677"/>
    <m/>
    <s v="COFICIEL"/>
    <s v="Q1"/>
    <e v="#REF!"/>
    <e v="#REF!"/>
    <e v="#REF!"/>
  </r>
  <r>
    <s v="181000"/>
    <x v="6"/>
    <s v="COMPTE DE LIAISON DES ETABLISSEMENTS"/>
    <s v="OD"/>
    <n v="912"/>
    <d v="2025-03-28T00:00:00"/>
    <s v="Liaison établissement 401000 COFICIEL TO"/>
    <m/>
    <e v="#N/A"/>
    <e v="#N/A"/>
    <n v="65017"/>
    <s v="Invoice Payment by Pili"/>
    <s v="COFICIEL"/>
    <s v="Q1"/>
    <e v="#REF!"/>
    <e v="#REF!"/>
    <e v="#REF!"/>
  </r>
  <r>
    <s v="181000"/>
    <x v="6"/>
    <s v="COMPTE DE LIAISON DES ETABLISSEMENTS"/>
    <s v="OD"/>
    <n v="912"/>
    <d v="2025-04-18T00:00:00"/>
    <s v="Liaison établissement 401000 COFICIEL TO"/>
    <m/>
    <e v="#N/A"/>
    <e v="#N/A"/>
    <n v="68164"/>
    <s v="Invoice Payment by Pili"/>
    <s v="COFICIEL"/>
    <s v="Q2"/>
    <e v="#REF!"/>
    <e v="#REF!"/>
    <e v="#REF!"/>
  </r>
  <r>
    <s v="181000"/>
    <x v="6"/>
    <s v="COMPTE DE LIAISON DES ETABLISSEMENTS"/>
    <s v="OD"/>
    <n v="912"/>
    <d v="2025-06-02T00:00:00"/>
    <s v="Liaison établissement 401000 COFICIEL TO"/>
    <m/>
    <e v="#N/A"/>
    <e v="#N/A"/>
    <n v="75259"/>
    <s v="Invoice Payment By Pili"/>
    <s v="COFICIEL"/>
    <s v="Q2"/>
    <e v="#REF!"/>
    <e v="#REF!"/>
    <e v="#REF!"/>
  </r>
  <r>
    <s v="181000"/>
    <x v="6"/>
    <s v="COMPTE DE LIAISON DES ETABLISSEMENTS"/>
    <s v="OD"/>
    <n v="912"/>
    <d v="2025-08-08T00:00:00"/>
    <s v="Liaison établissement 401000 COFICIEL TO"/>
    <m/>
    <e v="#N/A"/>
    <e v="#N/A"/>
    <n v="80756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912"/>
    <d v="2025-08-22T00:00:00"/>
    <s v="Liaison établissement 401000 COFICIEL TO"/>
    <m/>
    <e v="#N/A"/>
    <e v="#N/A"/>
    <n v="81603"/>
    <s v="LOCATION ALGECO ROUSSILLON (PÉRIODE TRAVAUX)"/>
    <s v="COFICIEL"/>
    <s v="Q3"/>
    <e v="#REF!"/>
    <e v="#REF!"/>
    <e v="#REF!"/>
  </r>
  <r>
    <s v="181000"/>
    <x v="6"/>
    <s v="COMPTE DE LIAISON DES ETABLISSEMENTS"/>
    <s v="OD"/>
    <n v="912"/>
    <d v="2025-09-12T00:00:00"/>
    <s v="Liaison établissement 401000 COFICIEL TO"/>
    <m/>
    <e v="#N/A"/>
    <e v="#N/A"/>
    <n v="81997"/>
    <s v="F2507/0532"/>
    <s v="COFICIEL"/>
    <s v="Q3"/>
    <e v="#REF!"/>
    <e v="#REF!"/>
    <e v="#REF!"/>
  </r>
  <r>
    <s v="181000"/>
    <x v="6"/>
    <s v="COMPTE DE LIAISON DES ETABLISSEMENTS"/>
    <s v="OD"/>
    <n v="912"/>
    <d v="2025-09-26T00:00:00"/>
    <s v="Liaison établissement 401000 COFICIEL TO"/>
    <m/>
    <e v="#N/A"/>
    <e v="#N/A"/>
    <n v="82495"/>
    <s v="INVOICE PAYMENT BY PILI"/>
    <s v="COFICIEL"/>
    <s v="Q3"/>
    <e v="#REF!"/>
    <e v="#REF!"/>
    <e v="#REF!"/>
  </r>
  <r>
    <s v="181000"/>
    <x v="6"/>
    <s v="COMPTE DE LIAISON DES ETABLISSEMENTS"/>
    <s v="OD"/>
    <n v="912"/>
    <d v="2025-10-31T00:00:00"/>
    <s v="Liaison établissement 401000 COFICIEL TO"/>
    <m/>
    <e v="#N/A"/>
    <e v="#N/A"/>
    <n v="87551"/>
    <s v="F2509/0832"/>
    <s v="COFICIEL"/>
    <s v="Q4"/>
    <e v="#REF!"/>
    <e v="#REF!"/>
    <e v="#REF!"/>
  </r>
  <r>
    <s v="181000"/>
    <x v="6"/>
    <s v="COMPTE DE LIAISON DES ETABLISSEMENTS"/>
    <s v="OD"/>
    <n v="912"/>
    <d v="2025-12-05T00:00:00"/>
    <s v="Liaison établissement 401000 COFICIEL TO"/>
    <m/>
    <e v="#N/A"/>
    <e v="#N/A"/>
    <n v="91356"/>
    <s v="F2510/0735"/>
    <s v="COFICIEL"/>
    <s v="Q4"/>
    <e v="#REF!"/>
    <e v="#REF!"/>
    <e v="#REF!"/>
  </r>
  <r>
    <s v="181000"/>
    <x v="6"/>
    <s v="COMPTE DE LIAISON DES ETABLISSEMENTS"/>
    <s v="OD"/>
    <n v="912"/>
    <d v="2025-12-30T00:00:00"/>
    <s v="Liaison établissement 401000 COFICIEL TO"/>
    <m/>
    <e v="#N/A"/>
    <e v="#N/A"/>
    <n v="93819"/>
    <s v="F2511/1366"/>
    <s v="COFICIEL"/>
    <s v="Q4"/>
    <e v="#REF!"/>
    <e v="#REF!"/>
    <e v="#REF!"/>
  </r>
  <r>
    <s v="181000"/>
    <x v="6"/>
    <s v="COMPTE DE LIAISON DES ETABLISSEMENTS"/>
    <s v="OD"/>
    <n v="918"/>
    <d v="2025-03-19T00:00:00"/>
    <s v="Liaison inter-établissement"/>
    <m/>
    <e v="#N/A"/>
    <e v="#N/A"/>
    <n v="63801"/>
    <m/>
    <s v="PHENOMENEX"/>
    <s v="Q1"/>
    <e v="#REF!"/>
    <e v="#REF!"/>
    <e v="#REF!"/>
  </r>
  <r>
    <s v="181000"/>
    <x v="6"/>
    <s v="COMPTE DE LIAISON DES ETABLISSEMENTS"/>
    <s v="OD"/>
    <n v="940"/>
    <d v="2025-10-31T00:00:00"/>
    <s v="Liaison établissement 401000 ABELC TO"/>
    <m/>
    <e v="#N/A"/>
    <e v="#N/A"/>
    <n v="87499"/>
    <s v="ENTRETIEN MÉNAGER"/>
    <s v="ABEL CHRIST SOMPLEI"/>
    <s v="Q4"/>
    <e v="#REF!"/>
    <e v="#REF!"/>
    <e v="#REF!"/>
  </r>
  <r>
    <s v="181000"/>
    <x v="6"/>
    <s v="COMPTE DE LIAISON DES ETABLISSEMENTS"/>
    <s v="OD"/>
    <n v="940"/>
    <d v="2025-12-30T00:00:00"/>
    <s v="Liaison établissement 401000 ABELC TO"/>
    <m/>
    <e v="#N/A"/>
    <e v="#N/A"/>
    <n v="93808"/>
    <s v="PILI-231225"/>
    <s v="ABEL CHRIST SOMPLEI"/>
    <s v="Q4"/>
    <e v="#REF!"/>
    <e v="#REF!"/>
    <e v="#REF!"/>
  </r>
  <r>
    <s v="181000"/>
    <x v="6"/>
    <s v="COMPTE DE LIAISON DES ETABLISSEMENTS"/>
    <s v="OD"/>
    <n v="960"/>
    <d v="2025-03-19T00:00:00"/>
    <s v="Liaison inter-établissement"/>
    <m/>
    <s v="Non"/>
    <n v="0"/>
    <n v="69947"/>
    <m/>
    <s v="ASS FORMATION CONTINUE INDUS CHIMIQUES"/>
    <s v="Q1"/>
    <e v="#REF!"/>
    <e v="#REF!"/>
    <e v="#REF!"/>
  </r>
  <r>
    <s v="181000"/>
    <x v="6"/>
    <s v="COMPTE DE LIAISON DES ETABLISSEMENTS"/>
    <s v="OD"/>
    <n v="960"/>
    <d v="2025-12-30T00:00:00"/>
    <s v="Liaison établissement 401000 BOLD TO"/>
    <s v="Non"/>
    <s v="Non"/>
    <e v="#N/A"/>
    <n v="93834"/>
    <s v="BOLD-031819"/>
    <s v="WE ARE BOLD"/>
    <s v="Q4"/>
    <e v="#REF!"/>
    <e v="#REF!"/>
    <e v="#REF!"/>
  </r>
  <r>
    <s v="181000"/>
    <x v="6"/>
    <s v="COMPTE DE LIAISON DES ETABLISSEMENTS"/>
    <s v="OD"/>
    <n v="980.67"/>
    <d v="2025-03-03T00:00:00"/>
    <s v="Liaison inter-établissement"/>
    <m/>
    <e v="#N/A"/>
    <e v="#N/A"/>
    <n v="87138"/>
    <m/>
    <s v="AIR LIQUIDE"/>
    <s v="Q1"/>
    <e v="#REF!"/>
    <e v="#REF!"/>
    <e v="#REF!"/>
  </r>
  <r>
    <s v="181000"/>
    <x v="6"/>
    <s v="COMPTE DE LIAISON DES ETABLISSEMENTS"/>
    <s v="OD"/>
    <n v="992.72"/>
    <d v="2025-07-22T00:00:00"/>
    <s v="Liaison établissement 401000 ROTH TO"/>
    <m/>
    <e v="#N/A"/>
    <e v="#N/A"/>
    <n v="78287"/>
    <s v="MÉTHANOL 2MIN. 99 % EAU 5 ROTISOLV HPLC GRADIENT GRADE MÉTHYLE-2-TÉTRAHYDROFURANE"/>
    <s v="ROTH SOCHIEL"/>
    <s v="Q3"/>
    <e v="#REF!"/>
    <e v="#REF!"/>
    <e v="#REF!"/>
  </r>
  <r>
    <s v="181000"/>
    <x v="6"/>
    <s v="COMPTE DE LIAISON DES ETABLISSEMENTS"/>
    <s v="OD"/>
    <n v="1000"/>
    <d v="2025-04-15T00:00:00"/>
    <s v="Liaison inter-établissement"/>
    <s v="Non"/>
    <s v="Non"/>
    <e v="#N/A"/>
    <n v="77527"/>
    <m/>
    <s v="IN MANAGEMENT"/>
    <s v="Q2"/>
    <e v="#REF!"/>
    <e v="#REF!"/>
    <e v="#REF!"/>
  </r>
  <r>
    <s v="181000"/>
    <x v="6"/>
    <s v="COMPTE DE LIAISON DES ETABLISSEMENTS"/>
    <s v="OD"/>
    <n v="1000"/>
    <d v="2025-08-21T00:00:00"/>
    <s v="Liaison établissement 401000 MANACH TO"/>
    <s v="Non"/>
    <s v="Non"/>
    <e v="#N/A"/>
    <n v="81438"/>
    <s v="PARTICIPATION AU BOARD BUSINESS"/>
    <s v="Michel Manach"/>
    <s v="Q3"/>
    <e v="#REF!"/>
    <e v="#REF!"/>
    <e v="#REF!"/>
  </r>
  <r>
    <s v="181000"/>
    <x v="6"/>
    <s v="COMPTE DE LIAISON DES ETABLISSEMENTS"/>
    <s v="OD"/>
    <n v="1000"/>
    <d v="2025-12-11T00:00:00"/>
    <s v="Liaison établissement 401000 MANACH TO"/>
    <s v="Non"/>
    <s v="Non"/>
    <e v="#N/A"/>
    <n v="92095"/>
    <s v="20251002"/>
    <s v="Michel Manach"/>
    <s v="Q4"/>
    <e v="#REF!"/>
    <e v="#REF!"/>
    <e v="#REF!"/>
  </r>
  <r>
    <s v="181000"/>
    <x v="6"/>
    <s v="COMPTE DE LIAISON DES ETABLISSEMENTS"/>
    <s v="OD"/>
    <n v="1010.82"/>
    <d v="2025-06-16T00:00:00"/>
    <s v="Liaison inter-établissement"/>
    <m/>
    <e v="#N/A"/>
    <e v="#N/A"/>
    <n v="78844"/>
    <m/>
    <s v="ENGIE"/>
    <s v="Q2"/>
    <e v="#REF!"/>
    <e v="#REF!"/>
    <e v="#REF!"/>
  </r>
  <r>
    <s v="181000"/>
    <x v="6"/>
    <s v="COMPTE DE LIAISON DES ETABLISSEMENTS"/>
    <s v="OD"/>
    <n v="1013.84"/>
    <d v="2025-12-11T00:00:00"/>
    <s v="Liaison établissement 401000 BECKER TO"/>
    <s v="Non"/>
    <s v="Oui"/>
    <e v="#N/A"/>
    <n v="92105"/>
    <s v="254432"/>
    <s v="BECKER"/>
    <s v="Q4"/>
    <e v="#REF!"/>
    <e v="#REF!"/>
    <e v="#REF!"/>
  </r>
  <r>
    <s v="181000"/>
    <x v="6"/>
    <s v="COMPTE DE LIAISON DES ETABLISSEMENTS"/>
    <s v="OD"/>
    <n v="1022"/>
    <d v="2025-11-17T00:00:00"/>
    <s v="Liaison établissement 401000 CANOVAS STEVE EI TO"/>
    <m/>
    <e v="#N/A"/>
    <e v="#N/A"/>
    <n v="90141"/>
    <s v="TRAITEUR SÉMINAIRE PILI (JEUDI 18 SEPT. SOIR)"/>
    <s v="CANOVAS STEVE EI"/>
    <s v="Q4"/>
    <e v="#REF!"/>
    <e v="#REF!"/>
    <e v="#REF!"/>
  </r>
  <r>
    <s v="181000"/>
    <x v="6"/>
    <s v="COMPTE DE LIAISON DES ETABLISSEMENTS"/>
    <s v="OD"/>
    <n v="1026"/>
    <d v="2025-03-19T00:00:00"/>
    <s v="Liaison inter-établissement"/>
    <m/>
    <e v="#N/A"/>
    <e v="#N/A"/>
    <n v="63797"/>
    <m/>
    <s v="PHENOMENEX"/>
    <s v="Q1"/>
    <e v="#REF!"/>
    <e v="#REF!"/>
    <e v="#REF!"/>
  </r>
  <r>
    <s v="181000"/>
    <x v="6"/>
    <s v="COMPTE DE LIAISON DES ETABLISSEMENTS"/>
    <s v="OD"/>
    <n v="1034"/>
    <d v="2025-02-28T00:00:00"/>
    <s v="Liaison inter-établissement"/>
    <m/>
    <e v="#N/A"/>
    <e v="#N/A"/>
    <n v="63489"/>
    <m/>
    <s v="ABEL CHRIST SOMPLEI"/>
    <s v="Q1"/>
    <e v="#REF!"/>
    <e v="#REF!"/>
    <e v="#REF!"/>
  </r>
  <r>
    <s v="181000"/>
    <x v="6"/>
    <s v="COMPTE DE LIAISON DES ETABLISSEMENTS"/>
    <s v="OD"/>
    <n v="1034"/>
    <d v="2025-04-02T00:00:00"/>
    <s v="Liaison inter-établissement"/>
    <m/>
    <e v="#N/A"/>
    <e v="#N/A"/>
    <n v="67982"/>
    <m/>
    <s v="ABEL CHRIST SOMPLEI"/>
    <s v="Q2"/>
    <e v="#REF!"/>
    <e v="#REF!"/>
    <e v="#REF!"/>
  </r>
  <r>
    <s v="181000"/>
    <x v="6"/>
    <s v="COMPTE DE LIAISON DES ETABLISSEMENTS"/>
    <s v="OD"/>
    <n v="1034"/>
    <d v="2025-07-04T00:00:00"/>
    <s v="Liaison établissement 401000 ABELC TO"/>
    <m/>
    <e v="#N/A"/>
    <e v="#N/A"/>
    <n v="77022"/>
    <s v="ENTRETIEN MÉNAGER"/>
    <s v="ABEL CHRIST SOMPLEI"/>
    <s v="Q3"/>
    <e v="#REF!"/>
    <e v="#REF!"/>
    <e v="#REF!"/>
  </r>
  <r>
    <s v="181000"/>
    <x v="6"/>
    <s v="COMPTE DE LIAISON DES ETABLISSEMENTS"/>
    <s v="OD"/>
    <n v="1037.4000000000001"/>
    <d v="2025-04-25T00:00:00"/>
    <s v="Liaison établissement 401000 DENIOS TO"/>
    <m/>
    <e v="#N/A"/>
    <e v="#N/A"/>
    <n v="70158"/>
    <s v="Invoice Payment by Pili"/>
    <s v="DENIOS"/>
    <s v="Q2"/>
    <e v="#REF!"/>
    <e v="#REF!"/>
    <e v="#REF!"/>
  </r>
  <r>
    <s v="181000"/>
    <x v="6"/>
    <s v="COMPTE DE LIAISON DES ETABLISSEMENTS"/>
    <s v="OD"/>
    <n v="1044"/>
    <d v="2025-07-31T00:00:00"/>
    <s v="Liaison inter-établissement"/>
    <m/>
    <e v="#N/A"/>
    <e v="#N/A"/>
    <n v="81057"/>
    <m/>
    <s v="SNCF"/>
    <s v="Q3"/>
    <e v="#REF!"/>
    <e v="#REF!"/>
    <e v="#REF!"/>
  </r>
  <r>
    <s v="181000"/>
    <x v="6"/>
    <s v="COMPTE DE LIAISON DES ETABLISSEMENTS"/>
    <s v="OD"/>
    <n v="1046.69"/>
    <d v="2025-03-14T00:00:00"/>
    <s v="Liaison inter-établissement"/>
    <m/>
    <e v="#N/A"/>
    <e v="#N/A"/>
    <n v="75898"/>
    <m/>
    <s v="Maud Sanchez"/>
    <s v="Q1"/>
    <e v="#REF!"/>
    <e v="#REF!"/>
    <e v="#REF!"/>
  </r>
  <r>
    <s v="181000"/>
    <x v="6"/>
    <s v="COMPTE DE LIAISON DES ETABLISSEMENTS"/>
    <s v="OD"/>
    <n v="1050"/>
    <d v="2025-03-14T00:00:00"/>
    <s v="Liaison inter-établissement"/>
    <m/>
    <e v="#N/A"/>
    <n v="0"/>
    <n v="63749"/>
    <m/>
    <s v="LOCAPROD EVENEMENT"/>
    <s v="Q1"/>
    <e v="#REF!"/>
    <e v="#REF!"/>
    <e v="#REF!"/>
  </r>
  <r>
    <s v="181000"/>
    <x v="6"/>
    <s v="COMPTE DE LIAISON DES ETABLISSEMENTS"/>
    <s v="OD"/>
    <n v="1050"/>
    <d v="2025-06-04T00:00:00"/>
    <s v="Liaison établissement 401000 QWINCY TO"/>
    <s v="Non"/>
    <s v="Non"/>
    <e v="#N/A"/>
    <n v="75533"/>
    <s v="Invoice payment by Pili"/>
    <s v="QWINCY"/>
    <s v="Q2"/>
    <e v="#REF!"/>
    <e v="#REF!"/>
    <e v="#REF!"/>
  </r>
  <r>
    <s v="181000"/>
    <x v="6"/>
    <s v="COMPTE DE LIAISON DES ETABLISSEMENTS"/>
    <s v="OD"/>
    <n v="1050"/>
    <d v="2025-11-28T00:00:00"/>
    <s v="Liaison établissement 401000 QWINCY TO"/>
    <s v="Non"/>
    <s v="Non"/>
    <e v="#N/A"/>
    <n v="91193"/>
    <s v="F2025040078"/>
    <s v="QWINCY"/>
    <s v="Q4"/>
    <e v="#REF!"/>
    <e v="#REF!"/>
    <e v="#REF!"/>
  </r>
  <r>
    <s v="181000"/>
    <x v="6"/>
    <s v="COMPTE DE LIAISON DES ETABLISSEMENTS"/>
    <s v="OD"/>
    <n v="1056"/>
    <d v="2025-01-01T00:00:00"/>
    <s v="Liaison inter-établissement vers TO "/>
    <m/>
    <e v="#N/A"/>
    <e v="#N/A"/>
    <n v="86640"/>
    <m/>
    <m/>
    <s v="Q1"/>
    <e v="#REF!"/>
    <e v="#REF!"/>
    <e v="#REF!"/>
  </r>
  <r>
    <s v="181000"/>
    <x v="6"/>
    <s v="COMPTE DE LIAISON DES ETABLISSEMENTS"/>
    <s v="OD"/>
    <n v="1056"/>
    <d v="2025-05-14T00:00:00"/>
    <s v="Liaison établissement 401000 ECHAFAUDAGE TO"/>
    <m/>
    <e v="#N/A"/>
    <e v="#N/A"/>
    <n v="72328"/>
    <s v="Invoice Payment by Pili"/>
    <s v="ECHAFAUDAGE"/>
    <s v="Q2"/>
    <e v="#REF!"/>
    <e v="#REF!"/>
    <e v="#REF!"/>
  </r>
  <r>
    <s v="181000"/>
    <x v="6"/>
    <s v="COMPTE DE LIAISON DES ETABLISSEMENTS"/>
    <s v="OD"/>
    <n v="1059.31"/>
    <d v="2025-02-28T00:00:00"/>
    <s v="Liaison inter-établissement"/>
    <m/>
    <e v="#N/A"/>
    <e v="#N/A"/>
    <n v="76221"/>
    <m/>
    <s v="AIR LIQUIDE"/>
    <s v="Q1"/>
    <e v="#REF!"/>
    <e v="#REF!"/>
    <e v="#REF!"/>
  </r>
  <r>
    <s v="181000"/>
    <x v="6"/>
    <s v="COMPTE DE LIAISON DES ETABLISSEMENTS"/>
    <s v="OD"/>
    <n v="1061.49"/>
    <d v="2025-04-10T00:00:00"/>
    <s v="Liaison inter-établissement"/>
    <m/>
    <e v="#N/A"/>
    <e v="#N/A"/>
    <n v="72723"/>
    <m/>
    <s v="Banque Populaire Rive de Paris"/>
    <s v="Q2"/>
    <e v="#REF!"/>
    <e v="#REF!"/>
    <e v="#REF!"/>
  </r>
  <r>
    <s v="181000"/>
    <x v="6"/>
    <s v="COMPTE DE LIAISON DES ETABLISSEMENTS"/>
    <s v="OD"/>
    <n v="1068.5999999999999"/>
    <d v="2025-07-31T00:00:00"/>
    <s v="Liaison établissement 401000 BECKER TO"/>
    <s v="Non"/>
    <s v="Oui"/>
    <e v="#N/A"/>
    <n v="79247"/>
    <s v="TRANSMISSION ET ANALYSE DU RAPPORT DE RECHERCHE EUROPÉEN - BREVET BIOPIGMENTS"/>
    <s v="BECKER"/>
    <s v="Q3"/>
    <e v="#REF!"/>
    <e v="#REF!"/>
    <e v="#REF!"/>
  </r>
  <r>
    <s v="181000"/>
    <x v="6"/>
    <s v="COMPTE DE LIAISON DES ETABLISSEMENTS"/>
    <s v="OD"/>
    <n v="1080"/>
    <d v="2025-04-29T00:00:00"/>
    <s v="Liaison établissement 401000 WOOSPEAK TO"/>
    <m/>
    <s v="Non"/>
    <e v="#N/A"/>
    <n v="70484"/>
    <s v="Invocie Payment by Pili"/>
    <s v="WOOSPEAK"/>
    <s v="Q2"/>
    <e v="#REF!"/>
    <e v="#REF!"/>
    <e v="#REF!"/>
  </r>
  <r>
    <s v="181000"/>
    <x v="6"/>
    <s v="COMPTE DE LIAISON DES ETABLISSEMENTS"/>
    <s v="OD"/>
    <n v="1080"/>
    <d v="2025-05-14T00:00:00"/>
    <s v="Liaison établissement 401000 WOOSPEAK TO"/>
    <m/>
    <s v="Non"/>
    <e v="#N/A"/>
    <n v="72353"/>
    <s v="Invoice Payment by Pili"/>
    <s v="WOOSPEAK"/>
    <s v="Q2"/>
    <e v="#REF!"/>
    <e v="#REF!"/>
    <e v="#REF!"/>
  </r>
  <r>
    <s v="181000"/>
    <x v="6"/>
    <s v="COMPTE DE LIAISON DES ETABLISSEMENTS"/>
    <s v="OD"/>
    <n v="1086"/>
    <d v="2025-07-01T00:00:00"/>
    <s v="Liaison établissement 401000 OSIRIS TO"/>
    <s v="Non"/>
    <s v="Non"/>
    <e v="#N/A"/>
    <n v="76841"/>
    <s v="FORMATION 04/2025 : HABILITATION ÉLECTRIQUE BR BC B1V B2V BE ESSAI H"/>
    <s v="OSIRIS"/>
    <s v="Q3"/>
    <e v="#REF!"/>
    <e v="#REF!"/>
    <e v="#REF!"/>
  </r>
  <r>
    <s v="181000"/>
    <x v="6"/>
    <s v="COMPTE DE LIAISON DES ETABLISSEMENTS"/>
    <s v="OD"/>
    <n v="1104.5"/>
    <d v="2025-02-05T00:00:00"/>
    <s v="Liaison inter-établissement"/>
    <m/>
    <e v="#N/A"/>
    <e v="#N/A"/>
    <n v="63485"/>
    <m/>
    <s v="ABEL CHRIST SOMPLEI"/>
    <s v="Q1"/>
    <e v="#REF!"/>
    <e v="#REF!"/>
    <e v="#REF!"/>
  </r>
  <r>
    <s v="181000"/>
    <x v="6"/>
    <s v="COMPTE DE LIAISON DES ETABLISSEMENTS"/>
    <s v="OD"/>
    <n v="1104.5"/>
    <d v="2025-06-02T00:00:00"/>
    <s v="Liaison établissement 401000 ABELC TO"/>
    <m/>
    <e v="#N/A"/>
    <e v="#N/A"/>
    <n v="75269"/>
    <s v="Invoice Payment By Pili"/>
    <s v="ABEL CHRIST SOMPLEI"/>
    <s v="Q2"/>
    <e v="#REF!"/>
    <e v="#REF!"/>
    <e v="#REF!"/>
  </r>
  <r>
    <s v="181000"/>
    <x v="6"/>
    <s v="COMPTE DE LIAISON DES ETABLISSEMENTS"/>
    <s v="OD"/>
    <n v="1107.9100000000001"/>
    <d v="2025-12-23T00:00:00"/>
    <s v="Liaison inter-établissement"/>
    <m/>
    <e v="#N/A"/>
    <e v="#N/A"/>
    <n v="93594"/>
    <m/>
    <s v="Yves Combret"/>
    <s v="Q4"/>
    <e v="#REF!"/>
    <e v="#REF!"/>
    <e v="#REF!"/>
  </r>
  <r>
    <s v="181000"/>
    <x v="6"/>
    <s v="COMPTE DE LIAISON DES ETABLISSEMENTS"/>
    <s v="OD"/>
    <n v="1113"/>
    <d v="2025-01-01T00:00:00"/>
    <s v="Liaison inter-établissement vers LY "/>
    <m/>
    <e v="#N/A"/>
    <e v="#N/A"/>
    <n v="89839"/>
    <m/>
    <s v="REGIE CONSEIL"/>
    <s v="Q1"/>
    <e v="#REF!"/>
    <e v="#REF!"/>
    <e v="#REF!"/>
  </r>
  <r>
    <s v="181000"/>
    <x v="6"/>
    <s v="COMPTE DE LIAISON DES ETABLISSEMENTS"/>
    <s v="OD"/>
    <n v="1113"/>
    <d v="2025-01-01T00:00:00"/>
    <s v="Liaison inter-établissement vers TO "/>
    <m/>
    <e v="#N/A"/>
    <e v="#N/A"/>
    <n v="86514"/>
    <m/>
    <m/>
    <s v="Q1"/>
    <e v="#REF!"/>
    <e v="#REF!"/>
    <e v="#REF!"/>
  </r>
  <r>
    <s v="181000"/>
    <x v="6"/>
    <s v="COMPTE DE LIAISON DES ETABLISSEMENTS"/>
    <s v="OD"/>
    <n v="1116"/>
    <d v="2025-01-30T00:00:00"/>
    <s v="Liaison inter-établissement"/>
    <m/>
    <e v="#N/A"/>
    <e v="#N/A"/>
    <n v="63709"/>
    <m/>
    <s v="AGENCE DIVA"/>
    <s v="Q1"/>
    <e v="#REF!"/>
    <e v="#REF!"/>
    <e v="#REF!"/>
  </r>
  <r>
    <s v="181000"/>
    <x v="6"/>
    <s v="COMPTE DE LIAISON DES ETABLISSEMENTS"/>
    <s v="OD"/>
    <n v="1116"/>
    <d v="2025-03-03T00:00:00"/>
    <s v="Liaison inter-établissement"/>
    <m/>
    <e v="#N/A"/>
    <e v="#N/A"/>
    <n v="63705"/>
    <m/>
    <s v="AGENCE DIVA"/>
    <s v="Q1"/>
    <e v="#REF!"/>
    <e v="#REF!"/>
    <e v="#REF!"/>
  </r>
  <r>
    <s v="181000"/>
    <x v="6"/>
    <s v="COMPTE DE LIAISON DES ETABLISSEMENTS"/>
    <s v="OD"/>
    <n v="1116"/>
    <d v="2025-04-18T00:00:00"/>
    <s v="Liaison établissement 401000 DIVA TO"/>
    <m/>
    <e v="#N/A"/>
    <e v="#N/A"/>
    <n v="68169"/>
    <s v="Invoice Payment by Pili"/>
    <s v="AGENCE DIVA"/>
    <s v="Q2"/>
    <e v="#REF!"/>
    <e v="#REF!"/>
    <e v="#REF!"/>
  </r>
  <r>
    <s v="181000"/>
    <x v="6"/>
    <s v="COMPTE DE LIAISON DES ETABLISSEMENTS"/>
    <s v="OD"/>
    <n v="1116"/>
    <d v="2025-06-02T00:00:00"/>
    <s v="Liaison établissement 401000 DIVA TO"/>
    <m/>
    <e v="#N/A"/>
    <e v="#N/A"/>
    <n v="75264"/>
    <s v="Invoice Payment By Pili"/>
    <s v="AGENCE DIVA"/>
    <s v="Q2"/>
    <e v="#REF!"/>
    <e v="#REF!"/>
    <e v="#REF!"/>
  </r>
  <r>
    <s v="181000"/>
    <x v="6"/>
    <s v="COMPTE DE LIAISON DES ETABLISSEMENTS"/>
    <s v="OD"/>
    <n v="1116"/>
    <d v="2025-08-08T00:00:00"/>
    <s v="Liaison établissement 401000 DIVA TO"/>
    <m/>
    <e v="#N/A"/>
    <e v="#N/A"/>
    <n v="80746"/>
    <s v="PRESTATION ASSISTANT(E) OFFICE MANAGER"/>
    <s v="AGENCE DIVA"/>
    <s v="Q3"/>
    <e v="#REF!"/>
    <e v="#REF!"/>
    <e v="#REF!"/>
  </r>
  <r>
    <s v="181000"/>
    <x v="6"/>
    <s v="COMPTE DE LIAISON DES ETABLISSEMENTS"/>
    <s v="OD"/>
    <n v="1116"/>
    <d v="2025-08-21T00:00:00"/>
    <s v="Liaison établissement 401000 DIVA TO"/>
    <m/>
    <e v="#N/A"/>
    <e v="#N/A"/>
    <n v="81448"/>
    <s v="PRESTATION ASSISTANT(E) OFFICE MANAGER"/>
    <s v="AGENCE DIVA"/>
    <s v="Q3"/>
    <e v="#REF!"/>
    <e v="#REF!"/>
    <e v="#REF!"/>
  </r>
  <r>
    <s v="181000"/>
    <x v="6"/>
    <s v="COMPTE DE LIAISON DES ETABLISSEMENTS"/>
    <s v="OD"/>
    <n v="1116"/>
    <d v="2025-09-26T00:00:00"/>
    <s v="Liaison établissement 401000 DIVA TO"/>
    <m/>
    <e v="#N/A"/>
    <e v="#N/A"/>
    <n v="82505"/>
    <s v="INVOICE PAYMENT BY PILI"/>
    <s v="AGENCE DIVA"/>
    <s v="Q3"/>
    <e v="#REF!"/>
    <e v="#REF!"/>
    <e v="#REF!"/>
  </r>
  <r>
    <s v="181000"/>
    <x v="6"/>
    <s v="COMPTE DE LIAISON DES ETABLISSEMENTS"/>
    <s v="OD"/>
    <n v="1116"/>
    <d v="2025-11-04T00:00:00"/>
    <s v="Liaison établissement 401000 DIVA TO"/>
    <m/>
    <e v="#N/A"/>
    <e v="#N/A"/>
    <n v="88044"/>
    <s v="PRESTATION ASSISTANT(E) OFFICE MANAGER"/>
    <s v="AGENCE DIVA"/>
    <s v="Q4"/>
    <e v="#REF!"/>
    <e v="#REF!"/>
    <e v="#REF!"/>
  </r>
  <r>
    <s v="181000"/>
    <x v="6"/>
    <s v="COMPTE DE LIAISON DES ETABLISSEMENTS"/>
    <s v="OD"/>
    <n v="1116"/>
    <d v="2025-11-28T00:00:00"/>
    <s v="Liaison établissement 401000 DIVA TO"/>
    <m/>
    <e v="#N/A"/>
    <e v="#N/A"/>
    <n v="91218"/>
    <s v="F-25100652"/>
    <s v="AGENCE DIVA"/>
    <s v="Q4"/>
    <e v="#REF!"/>
    <e v="#REF!"/>
    <e v="#REF!"/>
  </r>
  <r>
    <s v="181000"/>
    <x v="6"/>
    <s v="COMPTE DE LIAISON DES ETABLISSEMENTS"/>
    <s v="OD"/>
    <n v="1116"/>
    <d v="2025-12-30T00:00:00"/>
    <s v="Liaison établissement 401000 DIVA TO"/>
    <m/>
    <e v="#N/A"/>
    <e v="#N/A"/>
    <n v="93814"/>
    <s v="F-25110721"/>
    <s v="AGENCE DIVA"/>
    <s v="Q4"/>
    <e v="#REF!"/>
    <e v="#REF!"/>
    <e v="#REF!"/>
  </r>
  <r>
    <s v="181000"/>
    <x v="6"/>
    <s v="COMPTE DE LIAISON DES ETABLISSEMENTS"/>
    <s v="OD"/>
    <n v="1123.3"/>
    <d v="2025-04-01T00:00:00"/>
    <s v="Liaison inter-établissement"/>
    <m/>
    <e v="#N/A"/>
    <e v="#N/A"/>
    <n v="92128"/>
    <m/>
    <s v="REGIE CONSEIL"/>
    <s v="Q2"/>
    <e v="#REF!"/>
    <e v="#REF!"/>
    <e v="#REF!"/>
  </r>
  <r>
    <s v="181000"/>
    <x v="6"/>
    <s v="COMPTE DE LIAISON DES ETABLISSEMENTS"/>
    <s v="OD"/>
    <n v="1129.2"/>
    <d v="2025-03-03T00:00:00"/>
    <s v="Liaison inter-établissement"/>
    <m/>
    <e v="#N/A"/>
    <e v="#N/A"/>
    <n v="68050"/>
    <m/>
    <s v="GAZ DETECT"/>
    <s v="Q1"/>
    <e v="#REF!"/>
    <e v="#REF!"/>
    <e v="#REF!"/>
  </r>
  <r>
    <s v="181000"/>
    <x v="6"/>
    <s v="COMPTE DE LIAISON DES ETABLISSEMENTS"/>
    <s v="OD"/>
    <n v="1131.31"/>
    <d v="2025-05-19T00:00:00"/>
    <s v="Liaison inter-établissement"/>
    <m/>
    <e v="#N/A"/>
    <e v="#N/A"/>
    <n v="78832"/>
    <m/>
    <s v="ENGIE"/>
    <s v="Q2"/>
    <e v="#REF!"/>
    <e v="#REF!"/>
    <e v="#REF!"/>
  </r>
  <r>
    <s v="181000"/>
    <x v="6"/>
    <s v="COMPTE DE LIAISON DES ETABLISSEMENTS"/>
    <s v="OD"/>
    <n v="1148.67"/>
    <d v="2025-09-30T00:00:00"/>
    <s v="Liaison inter-établissement vers TO "/>
    <m/>
    <e v="#N/A"/>
    <e v="#N/A"/>
    <n v="87211"/>
    <m/>
    <m/>
    <s v="Q3"/>
    <e v="#REF!"/>
    <e v="#REF!"/>
    <e v="#REF!"/>
  </r>
  <r>
    <s v="181000"/>
    <x v="6"/>
    <s v="COMPTE DE LIAISON DES ETABLISSEMENTS"/>
    <s v="OD"/>
    <n v="1158"/>
    <d v="2025-08-21T00:00:00"/>
    <s v="Liaison établissement 401000 CONTROLAIR TO"/>
    <m/>
    <e v="#N/A"/>
    <e v="#N/A"/>
    <n v="81428"/>
    <s v="CONTRÔLE ANNUEL DES SORBONNES ET DES ARMOIRES"/>
    <s v="CONTROL'AIR"/>
    <s v="Q3"/>
    <e v="#REF!"/>
    <e v="#REF!"/>
    <e v="#REF!"/>
  </r>
  <r>
    <s v="181000"/>
    <x v="6"/>
    <s v="COMPTE DE LIAISON DES ETABLISSEMENTS"/>
    <s v="OD"/>
    <n v="1168.02"/>
    <d v="2025-02-10T00:00:00"/>
    <s v="Liaison inter-établissement"/>
    <m/>
    <e v="#N/A"/>
    <e v="#N/A"/>
    <n v="63661"/>
    <m/>
    <s v="EXELL SECURITE"/>
    <s v="Q1"/>
    <e v="#REF!"/>
    <e v="#REF!"/>
    <e v="#REF!"/>
  </r>
  <r>
    <s v="181000"/>
    <x v="6"/>
    <s v="COMPTE DE LIAISON DES ETABLISSEMENTS"/>
    <s v="OD"/>
    <n v="1170.1600000000001"/>
    <d v="2025-11-17T00:00:00"/>
    <s v="Liaison inter-établissement"/>
    <m/>
    <e v="#N/A"/>
    <e v="#N/A"/>
    <n v="90171"/>
    <m/>
    <s v="ENGIE"/>
    <s v="Q4"/>
    <e v="#REF!"/>
    <e v="#REF!"/>
    <e v="#REF!"/>
  </r>
  <r>
    <s v="181000"/>
    <x v="6"/>
    <s v="COMPTE DE LIAISON DES ETABLISSEMENTS"/>
    <s v="OD"/>
    <n v="1173.5999999999999"/>
    <d v="2025-08-21T00:00:00"/>
    <s v="Liaison établissement 401000 BECKER TO"/>
    <s v="Non"/>
    <s v="Oui"/>
    <e v="#N/A"/>
    <n v="81487"/>
    <s v="RÉPONSE À LA NOTIFICATION DE DEMANDE DE BREVET EUROPÉEN - BREVET PHOENIX"/>
    <s v="BECKER"/>
    <s v="Q3"/>
    <e v="#REF!"/>
    <e v="#REF!"/>
    <e v="#REF!"/>
  </r>
  <r>
    <s v="181000"/>
    <x v="6"/>
    <s v="COMPTE DE LIAISON DES ETABLISSEMENTS"/>
    <s v="OD"/>
    <n v="1176"/>
    <d v="2025-06-02T00:00:00"/>
    <s v="Liaison établissement 401000 AFCIC TO"/>
    <m/>
    <s v="Non"/>
    <n v="0"/>
    <n v="75223"/>
    <s v="Invoice Payment By Pili"/>
    <s v="ASS FORMATION CONTINUE INDUS CHIMIQUES"/>
    <s v="Q2"/>
    <e v="#REF!"/>
    <e v="#REF!"/>
    <e v="#REF!"/>
  </r>
  <r>
    <s v="181000"/>
    <x v="6"/>
    <s v="COMPTE DE LIAISON DES ETABLISSEMENTS"/>
    <s v="OD"/>
    <n v="1188"/>
    <d v="2025-02-18T00:00:00"/>
    <s v="Liaison inter-établissement"/>
    <m/>
    <s v="Non"/>
    <e v="#N/A"/>
    <n v="66542"/>
    <m/>
    <s v="AXE GESCOM"/>
    <s v="Q1"/>
    <e v="#REF!"/>
    <e v="#REF!"/>
    <e v="#REF!"/>
  </r>
  <r>
    <s v="181000"/>
    <x v="6"/>
    <s v="COMPTE DE LIAISON DES ETABLISSEMENTS"/>
    <s v="OD"/>
    <n v="1188"/>
    <d v="2025-06-02T00:00:00"/>
    <s v="Liaison établissement 401000 AXEINFO TO"/>
    <m/>
    <s v="Non"/>
    <e v="#N/A"/>
    <n v="75294"/>
    <s v="Invoice Payment By Pili"/>
    <s v="AXE GESCOM"/>
    <s v="Q2"/>
    <e v="#REF!"/>
    <e v="#REF!"/>
    <e v="#REF!"/>
  </r>
  <r>
    <s v="181000"/>
    <x v="6"/>
    <s v="COMPTE DE LIAISON DES ETABLISSEMENTS"/>
    <s v="OD"/>
    <n v="1188"/>
    <d v="2025-08-21T00:00:00"/>
    <s v="Liaison établissement 401000 AXEINFO TO"/>
    <m/>
    <s v="Non"/>
    <e v="#N/A"/>
    <n v="81382"/>
    <s v="FORMATION À DISTANCE SAGE"/>
    <s v="AXE GESCOM"/>
    <s v="Q3"/>
    <e v="#REF!"/>
    <e v="#REF!"/>
    <e v="#REF!"/>
  </r>
  <r>
    <s v="181000"/>
    <x v="6"/>
    <s v="COMPTE DE LIAISON DES ETABLISSEMENTS"/>
    <s v="OD"/>
    <n v="1188"/>
    <d v="2025-08-21T00:00:00"/>
    <s v="Liaison établissement 401000 AXEINFO TO"/>
    <m/>
    <s v="Non"/>
    <e v="#N/A"/>
    <n v="81387"/>
    <s v="FORMATION À DISTANCE SAGE G. ZIANI"/>
    <s v="AXE GESCOM"/>
    <s v="Q3"/>
    <e v="#REF!"/>
    <e v="#REF!"/>
    <e v="#REF!"/>
  </r>
  <r>
    <s v="181000"/>
    <x v="6"/>
    <s v="COMPTE DE LIAISON DES ETABLISSEMENTS"/>
    <s v="OD"/>
    <n v="1200"/>
    <d v="2025-03-07T00:00:00"/>
    <s v="Liaison inter-établissement"/>
    <s v="Non"/>
    <s v="Non"/>
    <e v="#N/A"/>
    <n v="63637"/>
    <m/>
    <s v="GARRIGUE CONSULTING"/>
    <s v="Q1"/>
    <e v="#REF!"/>
    <e v="#REF!"/>
    <e v="#REF!"/>
  </r>
  <r>
    <s v="181000"/>
    <x v="6"/>
    <s v="COMPTE DE LIAISON DES ETABLISSEMENTS"/>
    <s v="OD"/>
    <n v="1200"/>
    <d v="2025-04-25T00:00:00"/>
    <s v="Liaison établissement 401000 GARRIGUE TO"/>
    <s v="Non"/>
    <s v="Non"/>
    <e v="#N/A"/>
    <n v="70173"/>
    <s v="Invoice Payment by Pili"/>
    <s v="GARRIGUE CONSULTING"/>
    <s v="Q2"/>
    <e v="#REF!"/>
    <e v="#REF!"/>
    <e v="#REF!"/>
  </r>
  <r>
    <s v="181000"/>
    <x v="6"/>
    <s v="COMPTE DE LIAISON DES ETABLISSEMENTS"/>
    <s v="OD"/>
    <n v="1200"/>
    <d v="2025-06-16T00:00:00"/>
    <s v="Liaison établissement 401000 GARRIGUE TO"/>
    <s v="Non"/>
    <s v="Non"/>
    <e v="#N/A"/>
    <n v="76071"/>
    <s v="FOFAIT 1 BOARD -13/05/2025 - PILI BOARD SERIE B"/>
    <s v="GARRIGUE CONSULTING"/>
    <s v="Q2"/>
    <e v="#REF!"/>
    <e v="#REF!"/>
    <e v="#REF!"/>
  </r>
  <r>
    <s v="181000"/>
    <x v="6"/>
    <s v="COMPTE DE LIAISON DES ETABLISSEMENTS"/>
    <s v="OD"/>
    <n v="1200"/>
    <d v="2025-08-21T00:00:00"/>
    <s v="Liaison établissement 401000 GARRIGUE TO"/>
    <s v="Non"/>
    <s v="Non"/>
    <e v="#N/A"/>
    <n v="81453"/>
    <s v="FOFAIT 1 BOARD -10/06/2025 - PILI BOARD"/>
    <s v="GARRIGUE CONSULTING"/>
    <s v="Q3"/>
    <e v="#REF!"/>
    <e v="#REF!"/>
    <e v="#REF!"/>
  </r>
  <r>
    <s v="181000"/>
    <x v="6"/>
    <s v="COMPTE DE LIAISON DES ETABLISSEMENTS"/>
    <s v="OD"/>
    <n v="1200"/>
    <d v="2025-08-22T00:00:00"/>
    <s v="Liaison établissement 401000 OSIRIS TO"/>
    <s v="Non"/>
    <s v="Non"/>
    <e v="#N/A"/>
    <n v="81577"/>
    <s v="LOYER ANNUEL OSIRIS"/>
    <s v="OSIRIS"/>
    <s v="Q3"/>
    <e v="#REF!"/>
    <e v="#REF!"/>
    <e v="#REF!"/>
  </r>
  <r>
    <s v="181000"/>
    <x v="6"/>
    <s v="COMPTE DE LIAISON DES ETABLISSEMENTS"/>
    <s v="OD"/>
    <n v="1200"/>
    <d v="2025-11-04T00:00:00"/>
    <s v="Liaison établissement 401000 HELLITAX TO"/>
    <s v="Non"/>
    <s v="Non"/>
    <e v="#N/A"/>
    <n v="88034"/>
    <s v="BUSINESS ADVISORY BOARD - E PETIOT."/>
    <s v="HELLITAX"/>
    <s v="Q4"/>
    <e v="#REF!"/>
    <e v="#REF!"/>
    <e v="#REF!"/>
  </r>
  <r>
    <s v="181000"/>
    <x v="6"/>
    <s v="COMPTE DE LIAISON DES ETABLISSEMENTS"/>
    <s v="OD"/>
    <n v="1200"/>
    <d v="2025-12-11T00:00:00"/>
    <s v="Liaison établissement 401000 GARRIGUE TO"/>
    <s v="Non"/>
    <s v="Non"/>
    <e v="#N/A"/>
    <n v="92090"/>
    <s v="20251001-0001"/>
    <s v="GARRIGUE CONSULTING"/>
    <s v="Q4"/>
    <e v="#REF!"/>
    <e v="#REF!"/>
    <e v="#REF!"/>
  </r>
  <r>
    <s v="181000"/>
    <x v="6"/>
    <s v="COMPTE DE LIAISON DES ETABLISSEMENTS"/>
    <s v="OD"/>
    <n v="1200"/>
    <d v="2025-12-11T00:00:00"/>
    <s v="Liaison établissement 401000 HELLITAX TO"/>
    <s v="Non"/>
    <s v="Non"/>
    <e v="#N/A"/>
    <n v="92100"/>
    <s v="F25X0003"/>
    <s v="HELLITAX"/>
    <s v="Q4"/>
    <e v="#REF!"/>
    <e v="#REF!"/>
    <e v="#REF!"/>
  </r>
  <r>
    <s v="181000"/>
    <x v="6"/>
    <s v="COMPTE DE LIAISON DES ETABLISSEMENTS"/>
    <s v="OD"/>
    <n v="1212.67"/>
    <d v="2025-10-31T00:00:00"/>
    <s v="Liaison inter-établissement"/>
    <m/>
    <e v="#N/A"/>
    <e v="#N/A"/>
    <n v="87610"/>
    <m/>
    <s v="AIR LIQUIDE"/>
    <s v="Q4"/>
    <e v="#REF!"/>
    <e v="#REF!"/>
    <e v="#REF!"/>
  </r>
  <r>
    <s v="181000"/>
    <x v="6"/>
    <s v="COMPTE DE LIAISON DES ETABLISSEMENTS"/>
    <s v="OD"/>
    <n v="1222"/>
    <d v="2025-04-25T00:00:00"/>
    <s v="Liaison établissement 401000 ABELC TO"/>
    <m/>
    <e v="#N/A"/>
    <e v="#N/A"/>
    <n v="70123"/>
    <s v="Invoice Payment by Pili"/>
    <s v="ABEL CHRIST SOMPLEI"/>
    <s v="Q2"/>
    <e v="#REF!"/>
    <e v="#REF!"/>
    <e v="#REF!"/>
  </r>
  <r>
    <s v="181000"/>
    <x v="6"/>
    <s v="COMPTE DE LIAISON DES ETABLISSEMENTS"/>
    <s v="OD"/>
    <n v="1229.72"/>
    <d v="2025-02-18T00:00:00"/>
    <s v="Liaison inter-établissement"/>
    <m/>
    <e v="#N/A"/>
    <e v="#N/A"/>
    <n v="74958"/>
    <m/>
    <s v="ENGIE"/>
    <s v="Q1"/>
    <e v="#REF!"/>
    <e v="#REF!"/>
    <e v="#REF!"/>
  </r>
  <r>
    <s v="181000"/>
    <x v="6"/>
    <s v="COMPTE DE LIAISON DES ETABLISSEMENTS"/>
    <s v="OD"/>
    <n v="1231.2"/>
    <d v="2025-10-06T00:00:00"/>
    <s v="Liaison inter-établissement"/>
    <m/>
    <e v="#N/A"/>
    <n v="0"/>
    <n v="85004"/>
    <m/>
    <s v="LOCAPROD EVENEMENT"/>
    <s v="Q4"/>
    <e v="#REF!"/>
    <e v="#REF!"/>
    <e v="#REF!"/>
  </r>
  <r>
    <s v="181000"/>
    <x v="6"/>
    <s v="COMPTE DE LIAISON DES ETABLISSEMENTS"/>
    <s v="OD"/>
    <n v="1236.8599999999999"/>
    <d v="2025-02-20T00:00:00"/>
    <s v="Liaison inter-établissement"/>
    <m/>
    <e v="#N/A"/>
    <e v="#N/A"/>
    <n v="63825"/>
    <m/>
    <s v="RYTHMES ET SONS"/>
    <s v="Q1"/>
    <e v="#REF!"/>
    <e v="#REF!"/>
    <e v="#REF!"/>
  </r>
  <r>
    <s v="181000"/>
    <x v="6"/>
    <s v="COMPTE DE LIAISON DES ETABLISSEMENTS"/>
    <s v="OD"/>
    <n v="1243.02"/>
    <d v="2025-03-03T00:00:00"/>
    <s v="Liaison inter-établissement"/>
    <m/>
    <e v="#N/A"/>
    <e v="#N/A"/>
    <n v="68010"/>
    <m/>
    <s v="AIR FRANCE"/>
    <s v="Q1"/>
    <e v="#REF!"/>
    <e v="#REF!"/>
    <e v="#REF!"/>
  </r>
  <r>
    <s v="181000"/>
    <x v="6"/>
    <s v="COMPTE DE LIAISON DES ETABLISSEMENTS"/>
    <s v="OD"/>
    <n v="1249.03"/>
    <d v="2025-03-24T00:00:00"/>
    <s v="Liaison inter-établissement"/>
    <m/>
    <e v="#N/A"/>
    <e v="#N/A"/>
    <n v="75890"/>
    <m/>
    <s v="Marie Rézeau"/>
    <s v="Q1"/>
    <e v="#REF!"/>
    <e v="#REF!"/>
    <e v="#REF!"/>
  </r>
  <r>
    <s v="181000"/>
    <x v="6"/>
    <s v="COMPTE DE LIAISON DES ETABLISSEMENTS"/>
    <s v="OD"/>
    <n v="1265.82"/>
    <d v="2025-03-13T00:00:00"/>
    <s v="Liaison inter-établissement"/>
    <m/>
    <s v="Non"/>
    <e v="#N/A"/>
    <n v="71907"/>
    <m/>
    <s v="DIVERS"/>
    <s v="Q1"/>
    <e v="#REF!"/>
    <e v="#REF!"/>
    <e v="#REF!"/>
  </r>
  <r>
    <s v="181000"/>
    <x v="6"/>
    <s v="COMPTE DE LIAISON DES ETABLISSEMENTS"/>
    <s v="OD"/>
    <n v="1268.52"/>
    <d v="2025-05-07T00:00:00"/>
    <s v="Liaison établissement 401000 OPTIMUS TO"/>
    <m/>
    <e v="#N/A"/>
    <e v="#N/A"/>
    <n v="71797"/>
    <s v="TURBINE RUSHTON - KL - PROJET KEENY ET AUTRES PROJETS"/>
    <s v="OPTIMUS"/>
    <s v="Q2"/>
    <e v="#REF!"/>
    <e v="#REF!"/>
    <e v="#REF!"/>
  </r>
  <r>
    <s v="181000"/>
    <x v="6"/>
    <s v="COMPTE DE LIAISON DES ETABLISSEMENTS"/>
    <s v="OD"/>
    <n v="1288.3599999999999"/>
    <d v="2025-09-10T00:00:00"/>
    <s v="Liaison inter-établissement"/>
    <m/>
    <e v="#N/A"/>
    <e v="#N/A"/>
    <n v="82111"/>
    <m/>
    <s v="REGIE CONSEIL"/>
    <s v="Q3"/>
    <e v="#REF!"/>
    <e v="#REF!"/>
    <e v="#REF!"/>
  </r>
  <r>
    <s v="181000"/>
    <x v="6"/>
    <s v="COMPTE DE LIAISON DES ETABLISSEMENTS"/>
    <s v="OD"/>
    <n v="1288.3599999999999"/>
    <d v="2025-11-10T00:00:00"/>
    <s v="Liaison inter-établissement"/>
    <m/>
    <e v="#N/A"/>
    <e v="#N/A"/>
    <n v="89544"/>
    <m/>
    <s v="REGIE CONSEIL"/>
    <s v="Q4"/>
    <e v="#REF!"/>
    <e v="#REF!"/>
    <e v="#REF!"/>
  </r>
  <r>
    <s v="181000"/>
    <x v="6"/>
    <s v="COMPTE DE LIAISON DES ETABLISSEMENTS"/>
    <s v="OD"/>
    <n v="1292.5"/>
    <d v="2025-07-31T00:00:00"/>
    <s v="Liaison établissement 401000 ABELC TO"/>
    <m/>
    <e v="#N/A"/>
    <e v="#N/A"/>
    <n v="79377"/>
    <s v="ENTRETIEN MÉNAGER"/>
    <s v="ABEL CHRIST SOMPLEI"/>
    <s v="Q3"/>
    <e v="#REF!"/>
    <e v="#REF!"/>
    <e v="#REF!"/>
  </r>
  <r>
    <s v="181000"/>
    <x v="6"/>
    <s v="COMPTE DE LIAISON DES ETABLISSEMENTS"/>
    <s v="OD"/>
    <n v="1300"/>
    <d v="2025-05-11T00:00:00"/>
    <s v="Liaison inter-établissement"/>
    <s v="Non"/>
    <s v="Non"/>
    <e v="#N/A"/>
    <n v="77518"/>
    <m/>
    <s v="CHEM"/>
    <s v="Q2"/>
    <e v="#REF!"/>
    <e v="#REF!"/>
    <e v="#REF!"/>
  </r>
  <r>
    <s v="181000"/>
    <x v="6"/>
    <s v="COMPTE DE LIAISON DES ETABLISSEMENTS"/>
    <s v="OD"/>
    <n v="1300"/>
    <d v="2025-06-04T00:00:00"/>
    <s v="Liaison établissement 401000 CHEM TO"/>
    <s v="Non"/>
    <s v="Non"/>
    <e v="#N/A"/>
    <n v="75523"/>
    <s v="Invoice payment by Pili"/>
    <s v="CHEM"/>
    <s v="Q2"/>
    <e v="#REF!"/>
    <e v="#REF!"/>
    <e v="#REF!"/>
  </r>
  <r>
    <s v="181000"/>
    <x v="6"/>
    <s v="COMPTE DE LIAISON DES ETABLISSEMENTS"/>
    <s v="OD"/>
    <n v="1300"/>
    <d v="2025-12-30T00:00:00"/>
    <s v="Liaison établissement 401000 CHEM TO"/>
    <s v="Non"/>
    <s v="Non"/>
    <e v="#N/A"/>
    <n v="93756"/>
    <s v="2025/1219"/>
    <s v="CHEM"/>
    <s v="Q4"/>
    <e v="#REF!"/>
    <e v="#REF!"/>
    <e v="#REF!"/>
  </r>
  <r>
    <s v="181000"/>
    <x v="6"/>
    <s v="COMPTE DE LIAISON DES ETABLISSEMENTS"/>
    <s v="OD"/>
    <n v="1305.24"/>
    <d v="2025-11-04T00:00:00"/>
    <s v="Liaison établissement 401000 EURISOTOP TO"/>
    <m/>
    <e v="#N/A"/>
    <e v="#N/A"/>
    <n v="88029"/>
    <s v="SOLVANTS DEUTÉRÉS POUR ANALYSE RMN"/>
    <s v="EURISOTOP"/>
    <s v="Q4"/>
    <e v="#REF!"/>
    <e v="#REF!"/>
    <e v="#REF!"/>
  </r>
  <r>
    <s v="181000"/>
    <x v="6"/>
    <s v="COMPTE DE LIAISON DES ETABLISSEMENTS"/>
    <s v="OD"/>
    <n v="1307.31"/>
    <d v="2025-04-30T00:00:00"/>
    <s v="Liaison inter-établissement"/>
    <m/>
    <e v="#N/A"/>
    <e v="#N/A"/>
    <n v="74557"/>
    <m/>
    <s v="Kevin Cottet"/>
    <s v="Q2"/>
    <e v="#REF!"/>
    <e v="#REF!"/>
    <e v="#REF!"/>
  </r>
  <r>
    <s v="181000"/>
    <x v="6"/>
    <s v="COMPTE DE LIAISON DES ETABLISSEMENTS"/>
    <s v="OD"/>
    <n v="1317.04"/>
    <d v="2025-07-16T00:00:00"/>
    <s v="Liaison inter-établissement"/>
    <m/>
    <e v="#N/A"/>
    <e v="#N/A"/>
    <n v="78816"/>
    <m/>
    <s v="ENGIE"/>
    <s v="Q3"/>
    <e v="#REF!"/>
    <e v="#REF!"/>
    <e v="#REF!"/>
  </r>
  <r>
    <s v="181000"/>
    <x v="6"/>
    <s v="COMPTE DE LIAISON DES ETABLISSEMENTS"/>
    <s v="OD"/>
    <n v="1320.72"/>
    <d v="2025-07-22T00:00:00"/>
    <s v="Liaison établissement 401000 OPTIMUS TO"/>
    <m/>
    <e v="#N/A"/>
    <e v="#N/A"/>
    <n v="78282"/>
    <s v="ACCESSOIRES MAINTENANCE KL"/>
    <s v="OPTIMUS"/>
    <s v="Q3"/>
    <e v="#REF!"/>
    <e v="#REF!"/>
    <e v="#REF!"/>
  </r>
  <r>
    <s v="181000"/>
    <x v="6"/>
    <s v="COMPTE DE LIAISON DES ETABLISSEMENTS"/>
    <s v="OD"/>
    <n v="1328.01"/>
    <d v="2025-06-30T00:00:00"/>
    <s v="Liaison inter-établissement vers TO "/>
    <m/>
    <e v="#N/A"/>
    <e v="#N/A"/>
    <n v="78715"/>
    <m/>
    <m/>
    <s v="Q2"/>
    <e v="#REF!"/>
    <e v="#REF!"/>
    <e v="#REF!"/>
  </r>
  <r>
    <s v="181000"/>
    <x v="6"/>
    <s v="COMPTE DE LIAISON DES ETABLISSEMENTS"/>
    <s v="OD"/>
    <n v="1328.88"/>
    <d v="2025-11-04T00:00:00"/>
    <s v="Liaison établissement 401000 FENWICK-LINDE TO"/>
    <m/>
    <e v="#N/A"/>
    <e v="#N/A"/>
    <n v="88012"/>
    <s v="MAINTENANCE GERBEUR ÉLECTRIQUE : CHANGEMENT CARTE DE COMMANDE ÉLECTRONIQUE"/>
    <s v="FENWICK-LINDE"/>
    <s v="Q4"/>
    <e v="#REF!"/>
    <e v="#REF!"/>
    <e v="#REF!"/>
  </r>
  <r>
    <s v="181000"/>
    <x v="6"/>
    <s v="COMPTE DE LIAISON DES ETABLISSEMENTS"/>
    <s v="OD"/>
    <n v="1330.62"/>
    <d v="2025-01-07T00:00:00"/>
    <s v="Liaison inter-établissement"/>
    <m/>
    <e v="#N/A"/>
    <e v="#N/A"/>
    <n v="63813"/>
    <m/>
    <s v="REGIE CONSEIL"/>
    <s v="Q1"/>
    <e v="#REF!"/>
    <e v="#REF!"/>
    <e v="#REF!"/>
  </r>
  <r>
    <s v="181000"/>
    <x v="6"/>
    <s v="COMPTE DE LIAISON DES ETABLISSEMENTS"/>
    <s v="OD"/>
    <n v="1335.65"/>
    <d v="2025-11-21T00:00:00"/>
    <s v="Liaison inter-établissement"/>
    <m/>
    <s v="Non"/>
    <n v="0"/>
    <n v="90605"/>
    <m/>
    <s v="SERVICE ACTION SANTE"/>
    <s v="Q4"/>
    <e v="#REF!"/>
    <e v="#REF!"/>
    <e v="#REF!"/>
  </r>
  <r>
    <s v="181000"/>
    <x v="6"/>
    <s v="COMPTE DE LIAISON DES ETABLISSEMENTS"/>
    <s v="OD"/>
    <n v="1335.78"/>
    <d v="2025-11-07T00:00:00"/>
    <s v="Liaison établissement 401000 VWR TO"/>
    <m/>
    <e v="#N/A"/>
    <e v="#N/A"/>
    <n v="89424"/>
    <s v="4067821369"/>
    <s v="VWR AVANTOR"/>
    <s v="Q4"/>
    <e v="#REF!"/>
    <e v="#REF!"/>
    <e v="#REF!"/>
  </r>
  <r>
    <s v="181000"/>
    <x v="6"/>
    <s v="COMPTE DE LIAISON DES ETABLISSEMENTS"/>
    <s v="OD"/>
    <n v="1340.96"/>
    <d v="2025-03-06T00:00:00"/>
    <s v="Liaison inter-établissement"/>
    <m/>
    <e v="#N/A"/>
    <e v="#N/A"/>
    <n v="64331"/>
    <m/>
    <s v="REGIE CONSEIL"/>
    <s v="Q1"/>
    <e v="#REF!"/>
    <e v="#REF!"/>
    <e v="#REF!"/>
  </r>
  <r>
    <s v="181000"/>
    <x v="6"/>
    <s v="COMPTE DE LIAISON DES ETABLISSEMENTS"/>
    <s v="OD"/>
    <n v="1340.96"/>
    <d v="2025-03-14T00:00:00"/>
    <s v="Liaison inter-établissement"/>
    <m/>
    <e v="#N/A"/>
    <e v="#N/A"/>
    <n v="69995"/>
    <m/>
    <s v="REGIE CONSEIL"/>
    <s v="Q1"/>
    <e v="#REF!"/>
    <e v="#REF!"/>
    <e v="#REF!"/>
  </r>
  <r>
    <s v="181000"/>
    <x v="6"/>
    <s v="COMPTE DE LIAISON DES ETABLISSEMENTS"/>
    <s v="OD"/>
    <n v="1340.96"/>
    <d v="2025-05-10T00:00:00"/>
    <s v="Liaison inter-établissement"/>
    <m/>
    <e v="#N/A"/>
    <e v="#N/A"/>
    <n v="72924"/>
    <m/>
    <s v="REGIE CONSEIL"/>
    <s v="Q2"/>
    <e v="#REF!"/>
    <e v="#REF!"/>
    <e v="#REF!"/>
  </r>
  <r>
    <s v="181000"/>
    <x v="6"/>
    <s v="COMPTE DE LIAISON DES ETABLISSEMENTS"/>
    <s v="OD"/>
    <n v="1340.96"/>
    <d v="2025-06-10T00:00:00"/>
    <s v="Liaison inter-établissement"/>
    <m/>
    <e v="#N/A"/>
    <e v="#N/A"/>
    <n v="77361"/>
    <m/>
    <s v="REGIE CONSEIL"/>
    <s v="Q2"/>
    <e v="#REF!"/>
    <e v="#REF!"/>
    <e v="#REF!"/>
  </r>
  <r>
    <s v="181000"/>
    <x v="6"/>
    <s v="COMPTE DE LIAISON DES ETABLISSEMENTS"/>
    <s v="OD"/>
    <n v="1340.96"/>
    <d v="2025-07-11T00:00:00"/>
    <s v="Liaison inter-établissement"/>
    <m/>
    <e v="#N/A"/>
    <e v="#N/A"/>
    <n v="78868"/>
    <m/>
    <s v="REGIE CONSEIL"/>
    <s v="Q3"/>
    <e v="#REF!"/>
    <e v="#REF!"/>
    <e v="#REF!"/>
  </r>
  <r>
    <s v="181000"/>
    <x v="6"/>
    <s v="COMPTE DE LIAISON DES ETABLISSEMENTS"/>
    <s v="OD"/>
    <n v="1348.8"/>
    <d v="2025-02-10T00:00:00"/>
    <s v="Liaison inter-établissement"/>
    <m/>
    <s v="Non"/>
    <s v="Oui"/>
    <n v="63565"/>
    <m/>
    <s v="AXELERA"/>
    <s v="Q1"/>
    <e v="#REF!"/>
    <e v="#REF!"/>
    <e v="#REF!"/>
  </r>
  <r>
    <s v="181000"/>
    <x v="6"/>
    <s v="COMPTE DE LIAISON DES ETABLISSEMENTS"/>
    <s v="OD"/>
    <n v="1356.48"/>
    <d v="2025-02-15T00:00:00"/>
    <s v="Liaison inter-établissement"/>
    <m/>
    <e v="#N/A"/>
    <e v="#N/A"/>
    <n v="64319"/>
    <m/>
    <s v="MANUTAN"/>
    <s v="Q1"/>
    <e v="#REF!"/>
    <e v="#REF!"/>
    <e v="#REF!"/>
  </r>
  <r>
    <s v="181000"/>
    <x v="6"/>
    <s v="COMPTE DE LIAISON DES ETABLISSEMENTS"/>
    <s v="OD"/>
    <n v="1370.76"/>
    <d v="2025-08-21T00:00:00"/>
    <s v="Liaison établissement 401000 OPTIMUS TO"/>
    <m/>
    <e v="#N/A"/>
    <e v="#N/A"/>
    <n v="81458"/>
    <s v="COUVERCLE DE RÉACTEUR 10L"/>
    <s v="OPTIMUS"/>
    <s v="Q3"/>
    <e v="#REF!"/>
    <e v="#REF!"/>
    <e v="#REF!"/>
  </r>
  <r>
    <s v="181000"/>
    <x v="6"/>
    <s v="COMPTE DE LIAISON DES ETABLISSEMENTS"/>
    <s v="OD"/>
    <n v="1374.9"/>
    <d v="2025-08-21T00:00:00"/>
    <s v="Liaison établissement 401000 BECKER TO"/>
    <s v="Non"/>
    <s v="Oui"/>
    <e v="#N/A"/>
    <n v="81392"/>
    <s v="PRÉSENTATION DE LA REQUÊTE EN EXAMEN - PHASES NATIONALES CHINE - BREVET PHOENIX"/>
    <s v="BECKER"/>
    <s v="Q3"/>
    <e v="#REF!"/>
    <e v="#REF!"/>
    <e v="#REF!"/>
  </r>
  <r>
    <s v="181000"/>
    <x v="6"/>
    <s v="COMPTE DE LIAISON DES ETABLISSEMENTS"/>
    <s v="OD"/>
    <n v="1389.3"/>
    <d v="2025-10-10T00:00:00"/>
    <s v="Liaison inter-établissement"/>
    <m/>
    <e v="#N/A"/>
    <e v="#N/A"/>
    <n v="86978"/>
    <m/>
    <s v="REGIE CONSEIL"/>
    <s v="Q4"/>
    <e v="#REF!"/>
    <e v="#REF!"/>
    <e v="#REF!"/>
  </r>
  <r>
    <s v="181000"/>
    <x v="6"/>
    <s v="COMPTE DE LIAISON DES ETABLISSEMENTS"/>
    <s v="OD"/>
    <n v="1404"/>
    <d v="2025-08-21T00:00:00"/>
    <s v="Liaison établissement 401000 ROUSSELET TO"/>
    <s v="Non"/>
    <e v="#N/A"/>
    <e v="#N/A"/>
    <n v="81443"/>
    <s v="ESSAI ROUSSELET (APRÈS LYSE SOUDE)"/>
    <s v="ROUSSELET CENTRIFUGATION"/>
    <s v="Q3"/>
    <e v="#REF!"/>
    <e v="#REF!"/>
    <e v="#REF!"/>
  </r>
  <r>
    <s v="181000"/>
    <x v="6"/>
    <s v="COMPTE DE LIAISON DES ETABLISSEMENTS"/>
    <s v="OD"/>
    <n v="1408.06"/>
    <d v="2025-04-14T00:00:00"/>
    <s v="Liaison inter-établissement"/>
    <m/>
    <e v="#N/A"/>
    <e v="#N/A"/>
    <n v="72784"/>
    <m/>
    <s v="ENGIE"/>
    <s v="Q2"/>
    <e v="#REF!"/>
    <e v="#REF!"/>
    <e v="#REF!"/>
  </r>
  <r>
    <s v="181000"/>
    <x v="6"/>
    <s v="COMPTE DE LIAISON DES ETABLISSEMENTS"/>
    <s v="OD"/>
    <n v="1408.56"/>
    <d v="2025-06-02T00:00:00"/>
    <s v="Liaison établissement 401000 OSIRIS TO"/>
    <s v="Non"/>
    <s v="Non"/>
    <e v="#N/A"/>
    <n v="75279"/>
    <s v="Invoice Payment By Pili"/>
    <s v="OSIRIS"/>
    <s v="Q2"/>
    <e v="#REF!"/>
    <e v="#REF!"/>
    <e v="#REF!"/>
  </r>
  <r>
    <s v="181000"/>
    <x v="6"/>
    <s v="COMPTE DE LIAISON DES ETABLISSEMENTS"/>
    <s v="OD"/>
    <n v="1411.13"/>
    <d v="2025-08-15T00:00:00"/>
    <s v="Liaison inter-établissement"/>
    <m/>
    <e v="#N/A"/>
    <e v="#N/A"/>
    <n v="81931"/>
    <m/>
    <s v="ENGIE"/>
    <s v="Q3"/>
    <e v="#REF!"/>
    <e v="#REF!"/>
    <e v="#REF!"/>
  </r>
  <r>
    <s v="181000"/>
    <x v="6"/>
    <s v="COMPTE DE LIAISON DES ETABLISSEMENTS"/>
    <s v="OD"/>
    <n v="1416"/>
    <d v="2025-08-21T00:00:00"/>
    <s v="Liaison établissement 401000 CONTROLAIR TO"/>
    <m/>
    <e v="#N/A"/>
    <e v="#N/A"/>
    <n v="81433"/>
    <s v="CONTRÔLE AÉRAULIQUE D'ÉQUIPEMENTS DE PROTECTION COLLECTIVE VENTILÉS SUR SITE"/>
    <s v="CONTROL'AIR"/>
    <s v="Q3"/>
    <e v="#REF!"/>
    <e v="#REF!"/>
    <e v="#REF!"/>
  </r>
  <r>
    <s v="181000"/>
    <x v="6"/>
    <s v="COMPTE DE LIAISON DES ETABLISSEMENTS"/>
    <s v="OD"/>
    <n v="1426.11"/>
    <d v="2025-08-11T00:00:00"/>
    <s v="Liaison inter-établissement"/>
    <m/>
    <e v="#N/A"/>
    <e v="#N/A"/>
    <n v="81935"/>
    <m/>
    <s v="REGIE CONSEIL"/>
    <s v="Q3"/>
    <e v="#REF!"/>
    <e v="#REF!"/>
    <e v="#REF!"/>
  </r>
  <r>
    <s v="181000"/>
    <x v="6"/>
    <s v="COMPTE DE LIAISON DES ETABLISSEMENTS"/>
    <s v="OD"/>
    <n v="1426.92"/>
    <d v="2025-08-08T00:00:00"/>
    <s v="Liaison inter-établissement"/>
    <m/>
    <e v="#N/A"/>
    <e v="#N/A"/>
    <n v="89386"/>
    <m/>
    <s v="Marie Rézeau"/>
    <s v="Q3"/>
    <e v="#REF!"/>
    <e v="#REF!"/>
    <e v="#REF!"/>
  </r>
  <r>
    <s v="181000"/>
    <x v="6"/>
    <s v="COMPTE DE LIAISON DES ETABLISSEMENTS"/>
    <s v="OD"/>
    <n v="1428"/>
    <d v="2025-08-08T00:00:00"/>
    <s v="Liaison établissement 401000 ALGOCHEM TO"/>
    <m/>
    <e v="#N/A"/>
    <e v="#N/A"/>
    <n v="80731"/>
    <s v="RACCORD / FLEXIBLE TCU F3000"/>
    <s v="ALGOCHEM"/>
    <s v="Q3"/>
    <e v="#REF!"/>
    <e v="#REF!"/>
    <e v="#REF!"/>
  </r>
  <r>
    <s v="181000"/>
    <x v="6"/>
    <s v="COMPTE DE LIAISON DES ETABLISSEMENTS"/>
    <s v="OD"/>
    <n v="1431.04"/>
    <d v="2025-12-10T00:00:00"/>
    <s v="Liaison inter-établissement"/>
    <m/>
    <e v="#N/A"/>
    <e v="#N/A"/>
    <n v="92151"/>
    <m/>
    <s v="REGIE CONSEIL"/>
    <s v="Q4"/>
    <e v="#REF!"/>
    <e v="#REF!"/>
    <e v="#REF!"/>
  </r>
  <r>
    <s v="181000"/>
    <x v="6"/>
    <s v="COMPTE DE LIAISON DES ETABLISSEMENTS"/>
    <s v="OD"/>
    <n v="1449.6"/>
    <d v="2025-01-31T00:00:00"/>
    <s v="Liaison inter-établissement"/>
    <m/>
    <e v="#N/A"/>
    <e v="#N/A"/>
    <n v="63701"/>
    <m/>
    <s v="DENIOS"/>
    <s v="Q1"/>
    <e v="#REF!"/>
    <e v="#REF!"/>
    <e v="#REF!"/>
  </r>
  <r>
    <s v="181000"/>
    <x v="6"/>
    <s v="COMPTE DE LIAISON DES ETABLISSEMENTS"/>
    <s v="OD"/>
    <n v="1452"/>
    <d v="2025-01-15T00:00:00"/>
    <s v="Liaison inter-établissement"/>
    <m/>
    <e v="#N/A"/>
    <e v="#N/A"/>
    <n v="62277"/>
    <m/>
    <s v="AGELAB"/>
    <s v="Q1"/>
    <e v="#REF!"/>
    <e v="#REF!"/>
    <e v="#REF!"/>
  </r>
  <r>
    <s v="181000"/>
    <x v="6"/>
    <s v="COMPTE DE LIAISON DES ETABLISSEMENTS"/>
    <s v="OD"/>
    <n v="1464.24"/>
    <d v="2025-04-25T00:00:00"/>
    <s v="Liaison inter-établissement"/>
    <s v="Non"/>
    <s v="Non"/>
    <e v="#N/A"/>
    <n v="71424"/>
    <m/>
    <s v="IN MANAGEMENT"/>
    <s v="Q2"/>
    <e v="#REF!"/>
    <e v="#REF!"/>
    <e v="#REF!"/>
  </r>
  <r>
    <s v="181000"/>
    <x v="6"/>
    <s v="COMPTE DE LIAISON DES ETABLISSEMENTS"/>
    <s v="OD"/>
    <n v="1471.57"/>
    <d v="2025-04-29T00:00:00"/>
    <s v="Liaison inter-établissement"/>
    <m/>
    <e v="#N/A"/>
    <e v="#N/A"/>
    <n v="76626"/>
    <m/>
    <s v="Pierre-Yves Bolle"/>
    <s v="Q2"/>
    <e v="#REF!"/>
    <e v="#REF!"/>
    <e v="#REF!"/>
  </r>
  <r>
    <s v="181000"/>
    <x v="6"/>
    <s v="COMPTE DE LIAISON DES ETABLISSEMENTS"/>
    <s v="OD"/>
    <n v="1486.97"/>
    <d v="2025-01-10T00:00:00"/>
    <s v="Liaison inter-établissement"/>
    <m/>
    <e v="#N/A"/>
    <e v="#N/A"/>
    <n v="72719"/>
    <m/>
    <s v="Banque Populaire Rive de Paris"/>
    <s v="Q1"/>
    <e v="#REF!"/>
    <e v="#REF!"/>
    <e v="#REF!"/>
  </r>
  <r>
    <s v="181000"/>
    <x v="6"/>
    <s v="COMPTE DE LIAISON DES ETABLISSEMENTS"/>
    <s v="OD"/>
    <n v="1487"/>
    <d v="2025-01-01T00:00:00"/>
    <s v="Liaison inter-établissement"/>
    <m/>
    <e v="#N/A"/>
    <e v="#N/A"/>
    <n v="88064"/>
    <m/>
    <m/>
    <s v="Q1"/>
    <e v="#REF!"/>
    <e v="#REF!"/>
    <e v="#REF!"/>
  </r>
  <r>
    <s v="181000"/>
    <x v="6"/>
    <s v="COMPTE DE LIAISON DES ETABLISSEMENTS"/>
    <s v="OD"/>
    <n v="1488.95"/>
    <d v="2025-10-16T00:00:00"/>
    <s v="Liaison inter-établissement"/>
    <m/>
    <e v="#N/A"/>
    <e v="#N/A"/>
    <n v="86962"/>
    <m/>
    <s v="ENGIE"/>
    <s v="Q4"/>
    <e v="#REF!"/>
    <e v="#REF!"/>
    <e v="#REF!"/>
  </r>
  <r>
    <s v="181000"/>
    <x v="6"/>
    <s v="COMPTE DE LIAISON DES ETABLISSEMENTS"/>
    <s v="OD"/>
    <n v="1500"/>
    <d v="2025-04-18T00:00:00"/>
    <s v="Liaison établissement 401000 LRC2 TO"/>
    <s v="Non"/>
    <s v="Non"/>
    <e v="#N/A"/>
    <n v="68199"/>
    <s v="Invoice Payment by Pili"/>
    <s v="LRC2"/>
    <s v="Q2"/>
    <e v="#REF!"/>
    <e v="#REF!"/>
    <e v="#REF!"/>
  </r>
  <r>
    <s v="181000"/>
    <x v="6"/>
    <s v="COMPTE DE LIAISON DES ETABLISSEMENTS"/>
    <s v="OD"/>
    <n v="1500"/>
    <d v="2025-05-06T00:00:00"/>
    <s v="Liaison inter-établissement"/>
    <s v="Oui"/>
    <s v="Non"/>
    <e v="#N/A"/>
    <n v="77508"/>
    <m/>
    <s v="CONSEIL CPP"/>
    <s v="Q2"/>
    <e v="#REF!"/>
    <e v="#REF!"/>
    <e v="#REF!"/>
  </r>
  <r>
    <s v="181000"/>
    <x v="6"/>
    <s v="COMPTE DE LIAISON DES ETABLISSEMENTS"/>
    <s v="OD"/>
    <n v="1500"/>
    <d v="2025-06-10T00:00:00"/>
    <s v="Liaison établissement 401000 START TO"/>
    <m/>
    <e v="#N/A"/>
    <e v="#N/A"/>
    <n v="75922"/>
    <s v="START INDUSTRIE – COTISATION MEMBRE ACTIF 2025/2026"/>
    <s v="STARTINDUSTRIE"/>
    <s v="Q2"/>
    <e v="#REF!"/>
    <e v="#REF!"/>
    <e v="#REF!"/>
  </r>
  <r>
    <s v="181000"/>
    <x v="6"/>
    <s v="COMPTE DE LIAISON DES ETABLISSEMENTS"/>
    <s v="OD"/>
    <n v="1500"/>
    <d v="2025-10-31T00:00:00"/>
    <s v="Liaison établissement 401000 WATIER TO"/>
    <s v="Non"/>
    <s v="Non"/>
    <e v="#N/A"/>
    <n v="87591"/>
    <s v="PHASE 2 ET FACTURE FINALE M WATIER"/>
    <s v="WATIER Marie"/>
    <s v="Q4"/>
    <e v="#REF!"/>
    <e v="#REF!"/>
    <e v="#REF!"/>
  </r>
  <r>
    <s v="181000"/>
    <x v="6"/>
    <s v="COMPTE DE LIAISON DES ETABLISSEMENTS"/>
    <s v="OD"/>
    <n v="1502.09"/>
    <d v="2025-07-23T00:00:00"/>
    <s v="Liaison inter-établissement"/>
    <m/>
    <s v="Non"/>
    <n v="0"/>
    <n v="81254"/>
    <m/>
    <s v="SERVICE ACTION SANTE"/>
    <s v="Q3"/>
    <e v="#REF!"/>
    <e v="#REF!"/>
    <e v="#REF!"/>
  </r>
  <r>
    <s v="181000"/>
    <x v="6"/>
    <s v="COMPTE DE LIAISON DES ETABLISSEMENTS"/>
    <s v="OD"/>
    <n v="1504.2"/>
    <d v="2025-11-04T00:00:00"/>
    <s v="Liaison établissement 401000 RIVOIRE TO"/>
    <m/>
    <e v="#N/A"/>
    <e v="#N/A"/>
    <n v="88023"/>
    <s v="MODIFICATION FILTRE À PLAQUES :  - AJOUT BAC DE RÉTENTION - AJOUT SUPPORT SEAU 30L"/>
    <s v="RIVOIRE"/>
    <s v="Q4"/>
    <e v="#REF!"/>
    <e v="#REF!"/>
    <e v="#REF!"/>
  </r>
  <r>
    <s v="181000"/>
    <x v="6"/>
    <s v="COMPTE DE LIAISON DES ETABLISSEMENTS"/>
    <s v="OD"/>
    <n v="1512"/>
    <d v="2025-02-18T00:00:00"/>
    <s v="Liaison inter-établissement"/>
    <m/>
    <e v="#N/A"/>
    <e v="#N/A"/>
    <n v="63653"/>
    <m/>
    <s v="CIMEO"/>
    <s v="Q1"/>
    <e v="#REF!"/>
    <e v="#REF!"/>
    <e v="#REF!"/>
  </r>
  <r>
    <s v="181000"/>
    <x v="6"/>
    <s v="COMPTE DE LIAISON DES ETABLISSEMENTS"/>
    <s v="OD"/>
    <n v="1525.39"/>
    <d v="2025-02-18T00:00:00"/>
    <s v="Liaison inter-établissement"/>
    <m/>
    <e v="#N/A"/>
    <e v="#N/A"/>
    <n v="63689"/>
    <m/>
    <s v="COTE"/>
    <s v="Q1"/>
    <e v="#REF!"/>
    <e v="#REF!"/>
    <e v="#REF!"/>
  </r>
  <r>
    <s v="181000"/>
    <x v="6"/>
    <s v="COMPTE DE LIAISON DES ETABLISSEMENTS"/>
    <s v="OD"/>
    <n v="1525.62"/>
    <d v="2025-09-16T00:00:00"/>
    <s v="Liaison inter-établissement"/>
    <m/>
    <e v="#N/A"/>
    <e v="#N/A"/>
    <n v="82802"/>
    <m/>
    <s v="ENGIE"/>
    <s v="Q3"/>
    <e v="#REF!"/>
    <e v="#REF!"/>
    <e v="#REF!"/>
  </r>
  <r>
    <s v="181000"/>
    <x v="6"/>
    <s v="COMPTE DE LIAISON DES ETABLISSEMENTS"/>
    <s v="OD"/>
    <n v="1536"/>
    <d v="2025-12-23T00:00:00"/>
    <s v="Liaison établissement 401000 INSAR TO"/>
    <m/>
    <e v="#N/A"/>
    <e v="#N/A"/>
    <n v="93628"/>
    <s v="FAR-2025-000748"/>
    <s v="INSA ROUEN"/>
    <s v="Q4"/>
    <e v="#REF!"/>
    <e v="#REF!"/>
    <e v="#REF!"/>
  </r>
  <r>
    <s v="181000"/>
    <x v="6"/>
    <s v="COMPTE DE LIAISON DES ETABLISSEMENTS"/>
    <s v="OD"/>
    <n v="1546.2"/>
    <d v="2025-09-26T00:00:00"/>
    <s v="Liaison établissement 401000 ARESCOM TO"/>
    <m/>
    <e v="#N/A"/>
    <e v="#N/A"/>
    <n v="82484"/>
    <s v="INVOICE PAYMENT BY PILI"/>
    <s v="ARESCOM"/>
    <s v="Q3"/>
    <e v="#REF!"/>
    <e v="#REF!"/>
    <e v="#REF!"/>
  </r>
  <r>
    <s v="181000"/>
    <x v="6"/>
    <s v="COMPTE DE LIAISON DES ETABLISSEMENTS"/>
    <s v="OD"/>
    <n v="1548.62"/>
    <d v="2025-03-21T00:00:00"/>
    <s v="Liaison inter-établissement"/>
    <m/>
    <e v="#N/A"/>
    <e v="#N/A"/>
    <n v="68014"/>
    <m/>
    <s v="AIR FRANCE"/>
    <s v="Q1"/>
    <e v="#REF!"/>
    <e v="#REF!"/>
    <e v="#REF!"/>
  </r>
  <r>
    <s v="181000"/>
    <x v="6"/>
    <s v="COMPTE DE LIAISON DES ETABLISSEMENTS"/>
    <s v="OD"/>
    <n v="1557"/>
    <d v="2025-01-01T00:00:00"/>
    <s v="Liaison inter-établissement vers TO "/>
    <m/>
    <e v="#N/A"/>
    <e v="#N/A"/>
    <n v="86687"/>
    <m/>
    <m/>
    <s v="Q1"/>
    <e v="#REF!"/>
    <e v="#REF!"/>
    <e v="#REF!"/>
  </r>
  <r>
    <s v="181000"/>
    <x v="6"/>
    <s v="COMPTE DE LIAISON DES ETABLISSEMENTS"/>
    <s v="OD"/>
    <n v="1562.4"/>
    <d v="2025-06-04T00:00:00"/>
    <s v="Liaison établissement 401000 ARESCOM TO"/>
    <m/>
    <e v="#N/A"/>
    <e v="#N/A"/>
    <n v="75508"/>
    <s v="Invoice payment by Pili"/>
    <s v="ARESCOM"/>
    <s v="Q2"/>
    <e v="#REF!"/>
    <e v="#REF!"/>
    <e v="#REF!"/>
  </r>
  <r>
    <s v="181000"/>
    <x v="6"/>
    <s v="COMPTE DE LIAISON DES ETABLISSEMENTS"/>
    <s v="OD"/>
    <n v="1562.4"/>
    <d v="2025-08-21T00:00:00"/>
    <s v="Liaison établissement 401000 ARESCOM TO"/>
    <m/>
    <e v="#N/A"/>
    <e v="#N/A"/>
    <n v="81377"/>
    <s v="CONTRAT DE MAINTENANCE PRO"/>
    <s v="ARESCOM"/>
    <s v="Q3"/>
    <e v="#REF!"/>
    <e v="#REF!"/>
    <e v="#REF!"/>
  </r>
  <r>
    <s v="181000"/>
    <x v="6"/>
    <s v="COMPTE DE LIAISON DES ETABLISSEMENTS"/>
    <s v="OD"/>
    <n v="1562.4"/>
    <d v="2025-09-26T00:00:00"/>
    <s v="Liaison établissement 401000 ARESCOM TO"/>
    <m/>
    <e v="#N/A"/>
    <e v="#N/A"/>
    <n v="82474"/>
    <s v="INVOICE PAYMENT BY PILI"/>
    <s v="ARESCOM"/>
    <s v="Q3"/>
    <e v="#REF!"/>
    <e v="#REF!"/>
    <e v="#REF!"/>
  </r>
  <r>
    <s v="181000"/>
    <x v="6"/>
    <s v="COMPTE DE LIAISON DES ETABLISSEMENTS"/>
    <s v="OD"/>
    <n v="1579.77"/>
    <d v="2025-04-11T00:00:00"/>
    <s v="Liaison inter-établissement"/>
    <m/>
    <e v="#N/A"/>
    <e v="#N/A"/>
    <n v="74835"/>
    <m/>
    <s v="AIR FRANCE"/>
    <s v="Q2"/>
    <e v="#REF!"/>
    <e v="#REF!"/>
    <e v="#REF!"/>
  </r>
  <r>
    <s v="181000"/>
    <x v="6"/>
    <s v="COMPTE DE LIAISON DES ETABLISSEMENTS"/>
    <s v="OD"/>
    <n v="1582.5"/>
    <d v="2025-06-15T00:00:00"/>
    <s v="Liaison inter-établissement"/>
    <m/>
    <e v="#N/A"/>
    <e v="#N/A"/>
    <n v="78251"/>
    <m/>
    <s v="GREENDELTA"/>
    <s v="Q2"/>
    <e v="#REF!"/>
    <e v="#REF!"/>
    <e v="#REF!"/>
  </r>
  <r>
    <s v="181000"/>
    <x v="6"/>
    <s v="COMPTE DE LIAISON DES ETABLISSEMENTS"/>
    <s v="OD"/>
    <n v="1584"/>
    <d v="2025-02-28T00:00:00"/>
    <s v="Liaison inter-établissement"/>
    <m/>
    <s v="Non"/>
    <n v="0"/>
    <n v="63521"/>
    <m/>
    <s v="APF SECURITE"/>
    <s v="Q1"/>
    <e v="#REF!"/>
    <e v="#REF!"/>
    <e v="#REF!"/>
  </r>
  <r>
    <s v="181000"/>
    <x v="6"/>
    <s v="COMPTE DE LIAISON DES ETABLISSEMENTS"/>
    <s v="OD"/>
    <n v="1589.28"/>
    <d v="2025-11-28T00:00:00"/>
    <s v="Liaison établissement 401000 ARESCOM TO"/>
    <m/>
    <e v="#N/A"/>
    <e v="#N/A"/>
    <n v="91223"/>
    <s v="145044"/>
    <s v="ARESCOM"/>
    <s v="Q4"/>
    <e v="#REF!"/>
    <e v="#REF!"/>
    <e v="#REF!"/>
  </r>
  <r>
    <s v="181000"/>
    <x v="6"/>
    <s v="COMPTE DE LIAISON DES ETABLISSEMENTS"/>
    <s v="OD"/>
    <n v="1597.9"/>
    <d v="2025-11-04T00:00:00"/>
    <s v="Liaison établissement 401000 ARESCOM TO"/>
    <m/>
    <e v="#N/A"/>
    <e v="#N/A"/>
    <n v="88049"/>
    <s v="CONTRAT DE MAINTENANCE PRO"/>
    <s v="ARESCOM"/>
    <s v="Q4"/>
    <e v="#REF!"/>
    <e v="#REF!"/>
    <e v="#REF!"/>
  </r>
  <r>
    <s v="181000"/>
    <x v="6"/>
    <s v="COMPTE DE LIAISON DES ETABLISSEMENTS"/>
    <s v="OD"/>
    <n v="1600.56"/>
    <d v="2025-12-10T00:00:00"/>
    <s v="Liaison établissement 401000 CRIT TO"/>
    <m/>
    <e v="#N/A"/>
    <e v="#N/A"/>
    <n v="92023"/>
    <s v="N6171053-2025"/>
    <s v="CRIT"/>
    <s v="Q4"/>
    <e v="#REF!"/>
    <e v="#REF!"/>
    <e v="#REF!"/>
  </r>
  <r>
    <s v="181000"/>
    <x v="6"/>
    <s v="COMPTE DE LIAISON DES ETABLISSEMENTS"/>
    <s v="OD"/>
    <n v="1600.56"/>
    <d v="2025-12-30T00:00:00"/>
    <s v="Liaison établissement 401000 CRIT TO"/>
    <m/>
    <e v="#N/A"/>
    <e v="#N/A"/>
    <n v="93733"/>
    <s v="N6171211-2025"/>
    <s v="CRIT"/>
    <s v="Q4"/>
    <e v="#REF!"/>
    <e v="#REF!"/>
    <e v="#REF!"/>
  </r>
  <r>
    <s v="181000"/>
    <x v="6"/>
    <s v="COMPTE DE LIAISON DES ETABLISSEMENTS"/>
    <s v="OD"/>
    <n v="1600.56"/>
    <d v="2025-12-30T00:00:00"/>
    <s v="Liaison établissement 401000 CRIT TO"/>
    <m/>
    <e v="#N/A"/>
    <e v="#N/A"/>
    <n v="93864"/>
    <s v="N6171054-2025"/>
    <s v="CRIT"/>
    <s v="Q4"/>
    <e v="#REF!"/>
    <e v="#REF!"/>
    <e v="#REF!"/>
  </r>
  <r>
    <s v="181000"/>
    <x v="6"/>
    <s v="COMPTE DE LIAISON DES ETABLISSEMENTS"/>
    <s v="OD"/>
    <n v="1608"/>
    <d v="2025-07-31T00:00:00"/>
    <s v="Liaison établissement 401000 ROUSSELET TO"/>
    <s v="Non"/>
    <e v="#N/A"/>
    <e v="#N/A"/>
    <n v="79383"/>
    <s v="ESSAIS LABORATOIRE ESSOREUSE / DECANTEUSE À BOL POUR SÉPARATION INDIGO ET MOÛT DE FERMENTATION"/>
    <s v="ROUSSELET CENTRIFUGATION"/>
    <s v="Q3"/>
    <e v="#REF!"/>
    <e v="#REF!"/>
    <e v="#REF!"/>
  </r>
  <r>
    <s v="181000"/>
    <x v="6"/>
    <s v="COMPTE DE LIAISON DES ETABLISSEMENTS"/>
    <s v="OD"/>
    <n v="1610.66"/>
    <d v="2025-01-31T00:00:00"/>
    <s v="Liaison inter-établissement"/>
    <m/>
    <e v="#N/A"/>
    <e v="#N/A"/>
    <n v="82848"/>
    <m/>
    <s v="Banque Populaire Rive de Paris"/>
    <s v="Q1"/>
    <e v="#REF!"/>
    <e v="#REF!"/>
    <e v="#REF!"/>
  </r>
  <r>
    <s v="181000"/>
    <x v="6"/>
    <s v="COMPTE DE LIAISON DES ETABLISSEMENTS"/>
    <s v="OD"/>
    <n v="1619.08"/>
    <d v="2025-03-21T00:00:00"/>
    <s v="Liaison inter-établissement"/>
    <m/>
    <e v="#N/A"/>
    <e v="#N/A"/>
    <n v="69951"/>
    <m/>
    <s v="AIR FRANCE"/>
    <s v="Q1"/>
    <e v="#REF!"/>
    <e v="#REF!"/>
    <e v="#REF!"/>
  </r>
  <r>
    <s v="181000"/>
    <x v="6"/>
    <s v="COMPTE DE LIAISON DES ETABLISSEMENTS"/>
    <s v="OD"/>
    <n v="1632"/>
    <d v="2025-01-01T00:00:00"/>
    <s v="Liaison inter-établissement vers TO "/>
    <m/>
    <e v="#N/A"/>
    <e v="#N/A"/>
    <n v="86600"/>
    <m/>
    <m/>
    <s v="Q1"/>
    <e v="#REF!"/>
    <e v="#REF!"/>
    <e v="#REF!"/>
  </r>
  <r>
    <s v="181000"/>
    <x v="6"/>
    <s v="COMPTE DE LIAISON DES ETABLISSEMENTS"/>
    <s v="OD"/>
    <n v="1632.14"/>
    <d v="2025-02-10T00:00:00"/>
    <s v="Liaison inter-établissement"/>
    <m/>
    <e v="#N/A"/>
    <e v="#N/A"/>
    <n v="63537"/>
    <m/>
    <s v="ARESCOM"/>
    <s v="Q1"/>
    <e v="#REF!"/>
    <e v="#REF!"/>
    <e v="#REF!"/>
  </r>
  <r>
    <s v="181000"/>
    <x v="6"/>
    <s v="COMPTE DE LIAISON DES ETABLISSEMENTS"/>
    <s v="OD"/>
    <n v="1636.05"/>
    <d v="2025-02-10T00:00:00"/>
    <s v="Liaison inter-établissement"/>
    <m/>
    <e v="#N/A"/>
    <e v="#N/A"/>
    <n v="63541"/>
    <m/>
    <s v="ARESCOM"/>
    <s v="Q1"/>
    <e v="#REF!"/>
    <e v="#REF!"/>
    <e v="#REF!"/>
  </r>
  <r>
    <s v="181000"/>
    <x v="6"/>
    <s v="COMPTE DE LIAISON DES ETABLISSEMENTS"/>
    <s v="OD"/>
    <n v="1637.52"/>
    <d v="2025-03-06T00:00:00"/>
    <s v="Liaison inter-établissement"/>
    <m/>
    <e v="#N/A"/>
    <e v="#N/A"/>
    <n v="68058"/>
    <m/>
    <s v="ARESCOM"/>
    <s v="Q1"/>
    <e v="#REF!"/>
    <e v="#REF!"/>
    <e v="#REF!"/>
  </r>
  <r>
    <s v="181000"/>
    <x v="6"/>
    <s v="COMPTE DE LIAISON DES ETABLISSEMENTS"/>
    <s v="OD"/>
    <n v="1646.72"/>
    <d v="2025-12-30T00:00:00"/>
    <s v="Liaison établissement 401000 ARESCOM TO"/>
    <m/>
    <e v="#N/A"/>
    <e v="#N/A"/>
    <n v="93767"/>
    <s v="145557"/>
    <s v="ARESCOM"/>
    <s v="Q4"/>
    <e v="#REF!"/>
    <e v="#REF!"/>
    <e v="#REF!"/>
  </r>
  <r>
    <s v="181000"/>
    <x v="6"/>
    <s v="COMPTE DE LIAISON DES ETABLISSEMENTS"/>
    <s v="OD"/>
    <n v="1648.56"/>
    <d v="2025-03-06T00:00:00"/>
    <s v="Liaison inter-établissement"/>
    <m/>
    <e v="#N/A"/>
    <e v="#N/A"/>
    <n v="68062"/>
    <m/>
    <s v="ARESCOM"/>
    <s v="Q1"/>
    <e v="#REF!"/>
    <e v="#REF!"/>
    <e v="#REF!"/>
  </r>
  <r>
    <s v="181000"/>
    <x v="6"/>
    <s v="COMPTE DE LIAISON DES ETABLISSEMENTS"/>
    <s v="OD"/>
    <n v="1648.56"/>
    <d v="2025-04-08T00:00:00"/>
    <s v="Liaison inter-établissement"/>
    <m/>
    <e v="#N/A"/>
    <e v="#N/A"/>
    <n v="69919"/>
    <m/>
    <s v="ARESCOM"/>
    <s v="Q2"/>
    <e v="#REF!"/>
    <e v="#REF!"/>
    <e v="#REF!"/>
  </r>
  <r>
    <s v="181000"/>
    <x v="6"/>
    <s v="COMPTE DE LIAISON DES ETABLISSEMENTS"/>
    <s v="OD"/>
    <n v="1648.56"/>
    <d v="2025-06-02T00:00:00"/>
    <s v="Liaison établissement 401000 ARESCOM TO"/>
    <m/>
    <e v="#N/A"/>
    <e v="#N/A"/>
    <n v="75233"/>
    <s v="Invoice Payment By Pili"/>
    <s v="ARESCOM"/>
    <s v="Q2"/>
    <e v="#REF!"/>
    <e v="#REF!"/>
    <e v="#REF!"/>
  </r>
  <r>
    <s v="181000"/>
    <x v="6"/>
    <s v="COMPTE DE LIAISON DES ETABLISSEMENTS"/>
    <s v="OD"/>
    <n v="1652.73"/>
    <d v="2025-02-18T00:00:00"/>
    <s v="Liaison inter-établissement"/>
    <m/>
    <e v="#N/A"/>
    <e v="#N/A"/>
    <n v="63545"/>
    <m/>
    <s v="ARESCOM"/>
    <s v="Q1"/>
    <e v="#REF!"/>
    <e v="#REF!"/>
    <e v="#REF!"/>
  </r>
  <r>
    <s v="181000"/>
    <x v="6"/>
    <s v="COMPTE DE LIAISON DES ETABLISSEMENTS"/>
    <s v="OD"/>
    <n v="1652.96"/>
    <d v="2025-08-21T00:00:00"/>
    <s v="Liaison établissement 401000 BECKER TO"/>
    <s v="Non"/>
    <s v="Oui"/>
    <e v="#N/A"/>
    <n v="81412"/>
    <s v="GESTION DES ANNUITÉS"/>
    <s v="BECKER"/>
    <s v="Q3"/>
    <e v="#REF!"/>
    <e v="#REF!"/>
    <e v="#REF!"/>
  </r>
  <r>
    <s v="181000"/>
    <x v="6"/>
    <s v="COMPTE DE LIAISON DES ETABLISSEMENTS"/>
    <s v="OD"/>
    <n v="1657.05"/>
    <d v="2025-02-18T00:00:00"/>
    <s v="Liaison inter-établissement"/>
    <m/>
    <e v="#N/A"/>
    <e v="#N/A"/>
    <n v="63549"/>
    <m/>
    <s v="ARESCOM"/>
    <s v="Q1"/>
    <e v="#REF!"/>
    <e v="#REF!"/>
    <e v="#REF!"/>
  </r>
  <r>
    <s v="181000"/>
    <x v="6"/>
    <s v="COMPTE DE LIAISON DES ETABLISSEMENTS"/>
    <s v="OD"/>
    <n v="1670.24"/>
    <d v="2025-03-21T00:00:00"/>
    <s v="Liaison inter-établissement"/>
    <m/>
    <s v="Non"/>
    <n v="0"/>
    <n v="67990"/>
    <m/>
    <s v="SERVICE ACTION SANTE"/>
    <s v="Q1"/>
    <e v="#REF!"/>
    <e v="#REF!"/>
    <e v="#REF!"/>
  </r>
  <r>
    <s v="181000"/>
    <x v="6"/>
    <s v="COMPTE DE LIAISON DES ETABLISSEMENTS"/>
    <s v="OD"/>
    <n v="1679.02"/>
    <d v="2025-12-16T00:00:00"/>
    <s v="Liaison inter-établissement"/>
    <m/>
    <e v="#N/A"/>
    <e v="#N/A"/>
    <n v="92241"/>
    <m/>
    <s v="ENGIE"/>
    <s v="Q4"/>
    <e v="#REF!"/>
    <e v="#REF!"/>
    <e v="#REF!"/>
  </r>
  <r>
    <s v="181000"/>
    <x v="6"/>
    <s v="COMPTE DE LIAISON DES ETABLISSEMENTS"/>
    <s v="OD"/>
    <n v="1730.3"/>
    <d v="2025-08-21T00:00:00"/>
    <s v="Liaison établissement 401000 ALTAIR TO"/>
    <s v="Non"/>
    <s v="Non"/>
    <e v="#N/A"/>
    <n v="81367"/>
    <s v="HONORAIRES DE PROGRESSION SUR LA PÉRIODE DU 1ER AU 31 MAI 2025"/>
    <s v="ALTAIR AVOCATS"/>
    <s v="Q3"/>
    <e v="#REF!"/>
    <e v="#REF!"/>
    <e v="#REF!"/>
  </r>
  <r>
    <s v="181000"/>
    <x v="6"/>
    <s v="COMPTE DE LIAISON DES ETABLISSEMENTS"/>
    <s v="OD"/>
    <n v="1751.48"/>
    <d v="2025-04-08T00:00:00"/>
    <s v="Liaison inter-établissement"/>
    <m/>
    <e v="#N/A"/>
    <e v="#N/A"/>
    <n v="69915"/>
    <m/>
    <s v="ARESCOM"/>
    <s v="Q2"/>
    <e v="#REF!"/>
    <e v="#REF!"/>
    <e v="#REF!"/>
  </r>
  <r>
    <s v="181000"/>
    <x v="6"/>
    <s v="COMPTE DE LIAISON DES ETABLISSEMENTS"/>
    <s v="OD"/>
    <n v="1758.99"/>
    <d v="2025-12-23T00:00:00"/>
    <s v="Liaison inter-établissement"/>
    <m/>
    <e v="#N/A"/>
    <e v="#N/A"/>
    <n v="93570"/>
    <m/>
    <s v="Pauline Rullière"/>
    <s v="Q4"/>
    <e v="#REF!"/>
    <e v="#REF!"/>
    <e v="#REF!"/>
  </r>
  <r>
    <s v="181000"/>
    <x v="6"/>
    <s v="COMPTE DE LIAISON DES ETABLISSEMENTS"/>
    <s v="OD"/>
    <n v="1761.79"/>
    <d v="2025-09-08T00:00:00"/>
    <s v="Liaison établissement 401000 NOVA TO"/>
    <m/>
    <e v="#N/A"/>
    <e v="#N/A"/>
    <n v="81736"/>
    <s v="TICKET CONFÉRENCE RMC GBW"/>
    <s v="NOVA-INSTITUT"/>
    <s v="Q3"/>
    <e v="#REF!"/>
    <e v="#REF!"/>
    <e v="#REF!"/>
  </r>
  <r>
    <s v="181000"/>
    <x v="6"/>
    <s v="COMPTE DE LIAISON DES ETABLISSEMENTS"/>
    <s v="OD"/>
    <n v="1766.65"/>
    <d v="2025-04-02T00:00:00"/>
    <s v="Liaison établissement 401000 CHIMIREC TO"/>
    <m/>
    <s v="Non"/>
    <n v="0"/>
    <n v="66483"/>
    <s v="Invoice Payment by Pili"/>
    <s v="CHIMIREC CENTRE EST"/>
    <s v="Q2"/>
    <e v="#REF!"/>
    <e v="#REF!"/>
    <e v="#REF!"/>
  </r>
  <r>
    <s v="181000"/>
    <x v="6"/>
    <s v="COMPTE DE LIAISON DES ETABLISSEMENTS"/>
    <s v="OD"/>
    <n v="1800"/>
    <d v="2025-02-28T00:00:00"/>
    <s v="Liaison inter-établissement"/>
    <s v="Non"/>
    <s v="Non"/>
    <e v="#N/A"/>
    <n v="63601"/>
    <m/>
    <s v="WE ARE BOLD"/>
    <s v="Q1"/>
    <e v="#REF!"/>
    <e v="#REF!"/>
    <e v="#REF!"/>
  </r>
  <r>
    <s v="181000"/>
    <x v="6"/>
    <s v="COMPTE DE LIAISON DES ETABLISSEMENTS"/>
    <s v="OD"/>
    <n v="1800"/>
    <d v="2025-03-19T00:00:00"/>
    <s v="Liaison inter-établissement"/>
    <s v="Non"/>
    <s v="Non"/>
    <e v="#N/A"/>
    <n v="63593"/>
    <m/>
    <s v="WE ARE BOLD"/>
    <s v="Q1"/>
    <e v="#REF!"/>
    <e v="#REF!"/>
    <e v="#REF!"/>
  </r>
  <r>
    <s v="181000"/>
    <x v="6"/>
    <s v="COMPTE DE LIAISON DES ETABLISSEMENTS"/>
    <s v="OD"/>
    <n v="1800"/>
    <d v="2025-03-31T00:00:00"/>
    <s v="Liaison inter-établissement"/>
    <s v="Non"/>
    <s v="Non"/>
    <e v="#N/A"/>
    <n v="77514"/>
    <m/>
    <s v="BIOADVICE"/>
    <s v="Q1"/>
    <e v="#REF!"/>
    <e v="#REF!"/>
    <e v="#REF!"/>
  </r>
  <r>
    <s v="181000"/>
    <x v="6"/>
    <s v="COMPTE DE LIAISON DES ETABLISSEMENTS"/>
    <s v="OD"/>
    <n v="1800"/>
    <d v="2025-06-04T00:00:00"/>
    <s v="Liaison établissement 401000 MAGELAN TO"/>
    <s v="Non"/>
    <s v="Non"/>
    <e v="#N/A"/>
    <n v="75528"/>
    <s v="Invoice payment by Pili"/>
    <s v="MAGELAN"/>
    <s v="Q2"/>
    <e v="#REF!"/>
    <e v="#REF!"/>
    <e v="#REF!"/>
  </r>
  <r>
    <s v="181000"/>
    <x v="6"/>
    <s v="COMPTE DE LIAISON DES ETABLISSEMENTS"/>
    <s v="OD"/>
    <n v="1804.04"/>
    <d v="2025-06-04T00:00:00"/>
    <s v="Liaison établissement 401000 ARESCOM TO"/>
    <m/>
    <e v="#N/A"/>
    <e v="#N/A"/>
    <n v="75503"/>
    <s v="Invoice payment by Pili"/>
    <s v="ARESCOM"/>
    <s v="Q2"/>
    <e v="#REF!"/>
    <e v="#REF!"/>
    <e v="#REF!"/>
  </r>
  <r>
    <s v="181000"/>
    <x v="6"/>
    <s v="COMPTE DE LIAISON DES ETABLISSEMENTS"/>
    <s v="OD"/>
    <n v="1804.04"/>
    <d v="2025-08-08T00:00:00"/>
    <s v="Liaison établissement 401000 ARESCOM TO"/>
    <m/>
    <e v="#N/A"/>
    <e v="#N/A"/>
    <n v="80741"/>
    <s v="LICENCES OFFICE 365"/>
    <s v="ARESCOM"/>
    <s v="Q3"/>
    <e v="#REF!"/>
    <e v="#REF!"/>
    <e v="#REF!"/>
  </r>
  <r>
    <s v="181000"/>
    <x v="6"/>
    <s v="COMPTE DE LIAISON DES ETABLISSEMENTS"/>
    <s v="OD"/>
    <n v="1812"/>
    <d v="2025-05-12T00:00:00"/>
    <s v="Liaison établissement 401000 AIGP TO"/>
    <m/>
    <e v="#N/A"/>
    <e v="#N/A"/>
    <n v="71753"/>
    <s v="GESTION DE PROJET SÉCURISATION BÂTIMENT DÉMO"/>
    <s v="AIGP INGENIERIE"/>
    <s v="Q2"/>
    <e v="#REF!"/>
    <e v="#REF!"/>
    <e v="#REF!"/>
  </r>
  <r>
    <s v="181000"/>
    <x v="6"/>
    <s v="COMPTE DE LIAISON DES ETABLISSEMENTS"/>
    <s v="OD"/>
    <n v="1812"/>
    <d v="2025-06-16T00:00:00"/>
    <s v="Liaison établissement 401000 AIGP TO"/>
    <m/>
    <e v="#N/A"/>
    <e v="#N/A"/>
    <n v="76031"/>
    <s v="GESTION DE PROJET SÉCURISATION BÂTIMENT DÉMO"/>
    <s v="AIGP INGENIERIE"/>
    <s v="Q2"/>
    <e v="#REF!"/>
    <e v="#REF!"/>
    <e v="#REF!"/>
  </r>
  <r>
    <s v="181000"/>
    <x v="6"/>
    <s v="COMPTE DE LIAISON DES ETABLISSEMENTS"/>
    <s v="OD"/>
    <n v="1825.81"/>
    <d v="2025-08-21T00:00:00"/>
    <s v="Liaison établissement 401000 ACI TO"/>
    <m/>
    <e v="#N/A"/>
    <e v="#N/A"/>
    <n v="81463"/>
    <s v="R1000 - VANNE À BOISSEAU SPHÉRIQUE KK/F DN40"/>
    <s v="ACI"/>
    <s v="Q3"/>
    <e v="#REF!"/>
    <e v="#REF!"/>
    <e v="#REF!"/>
  </r>
  <r>
    <s v="181000"/>
    <x v="6"/>
    <s v="COMPTE DE LIAISON DES ETABLISSEMENTS"/>
    <s v="OD"/>
    <n v="1827.26"/>
    <d v="2025-06-27T00:00:00"/>
    <s v="Liaison inter-établissement"/>
    <m/>
    <e v="#N/A"/>
    <e v="#N/A"/>
    <n v="76802"/>
    <m/>
    <s v="Pierre-Yves Bolle"/>
    <s v="Q2"/>
    <e v="#REF!"/>
    <e v="#REF!"/>
    <e v="#REF!"/>
  </r>
  <r>
    <s v="181000"/>
    <x v="6"/>
    <s v="COMPTE DE LIAISON DES ETABLISSEMENTS"/>
    <s v="OD"/>
    <n v="1828.97"/>
    <d v="2025-06-02T00:00:00"/>
    <s v="Liaison établissement 401000 ARESCOM TO"/>
    <m/>
    <e v="#N/A"/>
    <e v="#N/A"/>
    <n v="75228"/>
    <s v="Invoice Payment By Pili"/>
    <s v="ARESCOM"/>
    <s v="Q2"/>
    <e v="#REF!"/>
    <e v="#REF!"/>
    <e v="#REF!"/>
  </r>
  <r>
    <s v="181000"/>
    <x v="6"/>
    <s v="COMPTE DE LIAISON DES ETABLISSEMENTS"/>
    <s v="OD"/>
    <n v="1840"/>
    <d v="2025-07-09T00:00:00"/>
    <s v="Liaison établissement 401000 BIOTIKA TO"/>
    <s v="Non"/>
    <e v="#N/A"/>
    <e v="#N/A"/>
    <n v="77196"/>
    <s v="TRANSPORT OF MATERIAL TO ALFA  LAVAL ITALY (MEDICAL LOGISTICS),"/>
    <s v="BIOTIKA"/>
    <s v="Q3"/>
    <e v="#REF!"/>
    <e v="#REF!"/>
    <e v="#REF!"/>
  </r>
  <r>
    <s v="181000"/>
    <x v="6"/>
    <s v="COMPTE DE LIAISON DES ETABLISSEMENTS"/>
    <s v="OD"/>
    <n v="1945.3"/>
    <d v="2025-05-23T00:00:00"/>
    <s v="Liaison établissement 401000 ALTAIR TO"/>
    <s v="Non"/>
    <s v="Non"/>
    <e v="#N/A"/>
    <n v="74043"/>
    <s v="Invoice payment by Pili"/>
    <s v="ALTAIR AVOCATS"/>
    <s v="Q2"/>
    <e v="#REF!"/>
    <e v="#REF!"/>
    <e v="#REF!"/>
  </r>
  <r>
    <s v="181000"/>
    <x v="6"/>
    <s v="COMPTE DE LIAISON DES ETABLISSEMENTS"/>
    <s v="OD"/>
    <n v="1946.6"/>
    <d v="2025-06-04T00:00:00"/>
    <s v="Liaison inter-établissement"/>
    <m/>
    <e v="#N/A"/>
    <e v="#N/A"/>
    <n v="81976"/>
    <m/>
    <s v="INITIATIVE &amp; RISK PARTNERS"/>
    <s v="Q2"/>
    <e v="#REF!"/>
    <e v="#REF!"/>
    <e v="#REF!"/>
  </r>
  <r>
    <s v="181000"/>
    <x v="6"/>
    <s v="COMPTE DE LIAISON DES ETABLISSEMENTS"/>
    <s v="OD"/>
    <n v="1957.16"/>
    <d v="2025-03-18T00:00:00"/>
    <s v="Liaison inter-établissement"/>
    <m/>
    <e v="#N/A"/>
    <e v="#N/A"/>
    <n v="72764"/>
    <m/>
    <s v="ENGIE"/>
    <s v="Q1"/>
    <e v="#REF!"/>
    <e v="#REF!"/>
    <e v="#REF!"/>
  </r>
  <r>
    <s v="181000"/>
    <x v="6"/>
    <s v="COMPTE DE LIAISON DES ETABLISSEMENTS"/>
    <s v="OD"/>
    <n v="1969.73"/>
    <d v="2025-03-28T00:00:00"/>
    <s v="Liaison établissement 401000 COFICIEL TO"/>
    <m/>
    <e v="#N/A"/>
    <e v="#N/A"/>
    <n v="65022"/>
    <s v="Invoice Payment by Pili"/>
    <s v="COFICIEL"/>
    <s v="Q1"/>
    <e v="#REF!"/>
    <e v="#REF!"/>
    <e v="#REF!"/>
  </r>
  <r>
    <s v="181000"/>
    <x v="6"/>
    <s v="COMPTE DE LIAISON DES ETABLISSEMENTS"/>
    <s v="OD"/>
    <n v="1981.1"/>
    <d v="2025-09-26T00:00:00"/>
    <s v="Liaison établissement 401000 ARESCOM TO"/>
    <m/>
    <e v="#N/A"/>
    <e v="#N/A"/>
    <n v="82479"/>
    <s v="INVOICE PAYMENT BY PILI"/>
    <s v="ARESCOM"/>
    <s v="Q3"/>
    <e v="#REF!"/>
    <e v="#REF!"/>
    <e v="#REF!"/>
  </r>
  <r>
    <s v="181000"/>
    <x v="6"/>
    <s v="COMPTE DE LIAISON DES ETABLISSEMENTS"/>
    <s v="OD"/>
    <n v="1981.1"/>
    <d v="2025-11-04T00:00:00"/>
    <s v="Liaison établissement 401000 ARESCOM TO"/>
    <m/>
    <e v="#N/A"/>
    <e v="#N/A"/>
    <n v="88054"/>
    <s v="LICENCES OFFICE 365"/>
    <s v="ARESCOM"/>
    <s v="Q4"/>
    <e v="#REF!"/>
    <e v="#REF!"/>
    <e v="#REF!"/>
  </r>
  <r>
    <s v="181000"/>
    <x v="6"/>
    <s v="COMPTE DE LIAISON DES ETABLISSEMENTS"/>
    <s v="OD"/>
    <n v="1981.1"/>
    <d v="2025-11-28T00:00:00"/>
    <s v="Liaison établissement 401000 ARESCOM TO"/>
    <m/>
    <e v="#N/A"/>
    <e v="#N/A"/>
    <n v="91228"/>
    <s v="145166"/>
    <s v="ARESCOM"/>
    <s v="Q4"/>
    <e v="#REF!"/>
    <e v="#REF!"/>
    <e v="#REF!"/>
  </r>
  <r>
    <s v="181000"/>
    <x v="6"/>
    <s v="COMPTE DE LIAISON DES ETABLISSEMENTS"/>
    <s v="OD"/>
    <n v="1981.1"/>
    <d v="2025-12-30T00:00:00"/>
    <s v="Liaison établissement 401000 ARESCOM TO"/>
    <m/>
    <e v="#N/A"/>
    <e v="#N/A"/>
    <n v="93802"/>
    <s v="145679"/>
    <s v="ARESCOM"/>
    <s v="Q4"/>
    <e v="#REF!"/>
    <e v="#REF!"/>
    <e v="#REF!"/>
  </r>
  <r>
    <s v="181000"/>
    <x v="6"/>
    <s v="COMPTE DE LIAISON DES ETABLISSEMENTS"/>
    <s v="OD"/>
    <n v="2000"/>
    <d v="2025-03-31T00:00:00"/>
    <s v="Liaison inter-établissement"/>
    <s v="Non"/>
    <s v="Non"/>
    <e v="#N/A"/>
    <n v="77449"/>
    <m/>
    <s v="BUSINOVE"/>
    <s v="Q1"/>
    <e v="#REF!"/>
    <e v="#REF!"/>
    <e v="#REF!"/>
  </r>
  <r>
    <s v="181000"/>
    <x v="6"/>
    <s v="COMPTE DE LIAISON DES ETABLISSEMENTS"/>
    <s v="OD"/>
    <n v="2000"/>
    <d v="2025-08-08T00:00:00"/>
    <s v="Liaison établissement 401000 WATIER TO"/>
    <s v="Non"/>
    <s v="Non"/>
    <e v="#N/A"/>
    <n v="80736"/>
    <s v="REVUE DE LITT SCIENTIFIQUE INDIGO ET COLORANTS/PIGMENTS"/>
    <s v="WATIER Marie"/>
    <s v="Q3"/>
    <e v="#REF!"/>
    <e v="#REF!"/>
    <e v="#REF!"/>
  </r>
  <r>
    <s v="181000"/>
    <x v="6"/>
    <s v="COMPTE DE LIAISON DES ETABLISSEMENTS"/>
    <s v="OD"/>
    <n v="2000"/>
    <d v="2025-09-22T00:00:00"/>
    <s v="Liaison établissement 401000 BIOTIKA TO"/>
    <s v="Non"/>
    <e v="#N/A"/>
    <e v="#N/A"/>
    <n v="82377"/>
    <s v="PHOENIX VBIO - ESSAI DECANTEUR - CENTRIGUGE / MARINER"/>
    <s v="BIOTIKA"/>
    <s v="Q3"/>
    <e v="#REF!"/>
    <e v="#REF!"/>
    <e v="#REF!"/>
  </r>
  <r>
    <s v="181000"/>
    <x v="6"/>
    <s v="COMPTE DE LIAISON DES ETABLISSEMENTS"/>
    <s v="OD"/>
    <n v="2034.4"/>
    <d v="2025-01-30T00:00:00"/>
    <s v="Liaison inter-établissement"/>
    <m/>
    <e v="#N/A"/>
    <e v="#N/A"/>
    <n v="63729"/>
    <m/>
    <s v="FISHER SCIENTIFIC"/>
    <s v="Q1"/>
    <e v="#REF!"/>
    <e v="#REF!"/>
    <e v="#REF!"/>
  </r>
  <r>
    <s v="181000"/>
    <x v="6"/>
    <s v="COMPTE DE LIAISON DES ETABLISSEMENTS"/>
    <s v="OD"/>
    <n v="2052"/>
    <d v="2025-12-30T00:00:00"/>
    <s v="Liaison établissement 401000 EIFFAGE ENERGIE SYSTEMES TO"/>
    <m/>
    <e v="#N/A"/>
    <e v="#N/A"/>
    <n v="93792"/>
    <s v="F00034250900143"/>
    <s v="EIFFAGE ENERGIE SYSTEMES"/>
    <s v="Q4"/>
    <e v="#REF!"/>
    <e v="#REF!"/>
    <e v="#REF!"/>
  </r>
  <r>
    <s v="181000"/>
    <x v="6"/>
    <s v="COMPTE DE LIAISON DES ETABLISSEMENTS"/>
    <s v="OD"/>
    <n v="2054.6999999999998"/>
    <d v="2025-01-31T00:00:00"/>
    <s v="Liaison inter-établissement"/>
    <s v="Non"/>
    <s v="Non"/>
    <e v="#N/A"/>
    <n v="63793"/>
    <m/>
    <s v="OSIRIS"/>
    <s v="Q1"/>
    <e v="#REF!"/>
    <e v="#REF!"/>
    <e v="#REF!"/>
  </r>
  <r>
    <s v="181000"/>
    <x v="6"/>
    <s v="COMPTE DE LIAISON DES ETABLISSEMENTS"/>
    <s v="OD"/>
    <n v="2062.67"/>
    <d v="2025-04-29T00:00:00"/>
    <s v="Liaison établissement 401000 COTE TO"/>
    <m/>
    <e v="#N/A"/>
    <e v="#N/A"/>
    <n v="70489"/>
    <s v="Invocie Payment by Pili"/>
    <s v="COTE"/>
    <s v="Q2"/>
    <e v="#REF!"/>
    <e v="#REF!"/>
    <e v="#REF!"/>
  </r>
  <r>
    <s v="181000"/>
    <x v="6"/>
    <s v="COMPTE DE LIAISON DES ETABLISSEMENTS"/>
    <s v="OD"/>
    <n v="2106.7600000000002"/>
    <d v="2025-09-12T00:00:00"/>
    <s v="Liaison établissement 401000 ARESCOM TO"/>
    <m/>
    <e v="#N/A"/>
    <e v="#N/A"/>
    <n v="81987"/>
    <s v="LICENCES OFFICE 365"/>
    <s v="ARESCOM"/>
    <s v="Q3"/>
    <e v="#REF!"/>
    <e v="#REF!"/>
    <e v="#REF!"/>
  </r>
  <r>
    <s v="181000"/>
    <x v="6"/>
    <s v="COMPTE DE LIAISON DES ETABLISSEMENTS"/>
    <s v="OD"/>
    <n v="2133.25"/>
    <d v="2025-06-30T00:00:00"/>
    <s v="Liaison inter-établissement vers TO "/>
    <m/>
    <e v="#N/A"/>
    <e v="#N/A"/>
    <n v="78698"/>
    <m/>
    <m/>
    <s v="Q2"/>
    <e v="#REF!"/>
    <e v="#REF!"/>
    <e v="#REF!"/>
  </r>
  <r>
    <s v="181000"/>
    <x v="6"/>
    <s v="COMPTE DE LIAISON DES ETABLISSEMENTS"/>
    <s v="OD"/>
    <n v="2133.42"/>
    <d v="2025-09-01T00:00:00"/>
    <s v="Liaison inter-établissement vers KB "/>
    <m/>
    <e v="#N/A"/>
    <e v="#N/A"/>
    <n v="92182"/>
    <m/>
    <s v="DENIOS"/>
    <s v="Q3"/>
    <e v="#REF!"/>
    <e v="#REF!"/>
    <e v="#REF!"/>
  </r>
  <r>
    <s v="181000"/>
    <x v="6"/>
    <s v="COMPTE DE LIAISON DES ETABLISSEMENTS"/>
    <s v="OD"/>
    <n v="2142.5"/>
    <d v="2025-03-07T00:00:00"/>
    <s v="Liaison inter-établissement"/>
    <s v="Non"/>
    <e v="#N/A"/>
    <e v="#N/A"/>
    <n v="63943"/>
    <m/>
    <s v="ZDHC Gateway B.V."/>
    <s v="Q1"/>
    <e v="#REF!"/>
    <e v="#REF!"/>
    <e v="#REF!"/>
  </r>
  <r>
    <s v="181000"/>
    <x v="6"/>
    <s v="COMPTE DE LIAISON DES ETABLISSEMENTS"/>
    <s v="OD"/>
    <n v="2142.8000000000002"/>
    <d v="2025-03-31T00:00:00"/>
    <s v="Liaison inter-établissement"/>
    <m/>
    <e v="#N/A"/>
    <e v="#N/A"/>
    <n v="68486"/>
    <m/>
    <m/>
    <s v="Q1"/>
    <e v="#REF!"/>
    <e v="#REF!"/>
    <e v="#REF!"/>
  </r>
  <r>
    <s v="181000"/>
    <x v="6"/>
    <s v="COMPTE DE LIAISON DES ETABLISSEMENTS"/>
    <s v="OD"/>
    <n v="2142.8000000000002"/>
    <d v="2025-03-31T00:00:00"/>
    <s v="Liaison inter-établissement vers TO "/>
    <m/>
    <e v="#N/A"/>
    <e v="#N/A"/>
    <n v="68490"/>
    <m/>
    <m/>
    <s v="Q1"/>
    <e v="#REF!"/>
    <e v="#REF!"/>
    <e v="#REF!"/>
  </r>
  <r>
    <s v="181000"/>
    <x v="6"/>
    <s v="COMPTE DE LIAISON DES ETABLISSEMENTS"/>
    <s v="OD"/>
    <n v="2150"/>
    <d v="2025-01-01T00:00:00"/>
    <s v="Liaison inter-établissement vers TO "/>
    <m/>
    <e v="#N/A"/>
    <e v="#N/A"/>
    <n v="86522"/>
    <m/>
    <m/>
    <s v="Q1"/>
    <e v="#REF!"/>
    <e v="#REF!"/>
    <e v="#REF!"/>
  </r>
  <r>
    <s v="181000"/>
    <x v="6"/>
    <s v="COMPTE DE LIAISON DES ETABLISSEMENTS"/>
    <s v="OD"/>
    <n v="2160"/>
    <d v="2025-06-02T00:00:00"/>
    <s v="Liaison établissement 401000 COFICIEL TO"/>
    <m/>
    <e v="#N/A"/>
    <e v="#N/A"/>
    <n v="75249"/>
    <s v="Invoice Payment By Pili"/>
    <s v="COFICIEL"/>
    <s v="Q2"/>
    <e v="#REF!"/>
    <e v="#REF!"/>
    <e v="#REF!"/>
  </r>
  <r>
    <s v="181000"/>
    <x v="6"/>
    <s v="COMPTE DE LIAISON DES ETABLISSEMENTS"/>
    <s v="OD"/>
    <n v="2175.37"/>
    <d v="2025-08-21T00:00:00"/>
    <s v="Liaison inter-établissement"/>
    <s v="Non"/>
    <s v="Non"/>
    <e v="#N/A"/>
    <n v="81724"/>
    <m/>
    <s v="NEIL BELL"/>
    <s v="Q3"/>
    <e v="#REF!"/>
    <e v="#REF!"/>
    <e v="#REF!"/>
  </r>
  <r>
    <s v="181000"/>
    <x v="6"/>
    <s v="COMPTE DE LIAISON DES ETABLISSEMENTS"/>
    <s v="OD"/>
    <n v="2191.1999999999998"/>
    <d v="2025-03-14T00:00:00"/>
    <s v="Liaison inter-établissement"/>
    <m/>
    <e v="#N/A"/>
    <e v="#N/A"/>
    <n v="68006"/>
    <m/>
    <s v="LE CURIEUX PROMOTION"/>
    <s v="Q1"/>
    <e v="#REF!"/>
    <e v="#REF!"/>
    <e v="#REF!"/>
  </r>
  <r>
    <s v="181000"/>
    <x v="6"/>
    <s v="COMPTE DE LIAISON DES ETABLISSEMENTS"/>
    <s v="OD"/>
    <n v="2214"/>
    <d v="2025-03-14T00:00:00"/>
    <s v="Liaison inter-établissement"/>
    <m/>
    <e v="#N/A"/>
    <e v="#N/A"/>
    <n v="68054"/>
    <m/>
    <s v="ARCANE INDUSTRIE"/>
    <s v="Q1"/>
    <e v="#REF!"/>
    <e v="#REF!"/>
    <e v="#REF!"/>
  </r>
  <r>
    <s v="181000"/>
    <x v="6"/>
    <s v="COMPTE DE LIAISON DES ETABLISSEMENTS"/>
    <s v="OD"/>
    <n v="2220"/>
    <d v="2025-09-22T00:00:00"/>
    <s v="Liaison établissement 401000 PIGNAT TO"/>
    <m/>
    <e v="#N/A"/>
    <e v="#N/A"/>
    <n v="82457"/>
    <s v="FACTURE 0017360"/>
    <s v="PIGNAT"/>
    <s v="Q3"/>
    <e v="#REF!"/>
    <e v="#REF!"/>
    <e v="#REF!"/>
  </r>
  <r>
    <s v="181000"/>
    <x v="6"/>
    <s v="COMPTE DE LIAISON DES ETABLISSEMENTS"/>
    <s v="OD"/>
    <n v="2232.13"/>
    <d v="2025-01-15T00:00:00"/>
    <s v="Liaison inter-établissement"/>
    <m/>
    <e v="#N/A"/>
    <e v="#N/A"/>
    <n v="63685"/>
    <m/>
    <s v="COTE"/>
    <s v="Q1"/>
    <e v="#REF!"/>
    <e v="#REF!"/>
    <e v="#REF!"/>
  </r>
  <r>
    <s v="181000"/>
    <x v="6"/>
    <s v="COMPTE DE LIAISON DES ETABLISSEMENTS"/>
    <s v="OD"/>
    <n v="2250"/>
    <d v="2025-07-31T00:00:00"/>
    <s v="Liaison établissement 401000 CHARRIERE TO"/>
    <s v="Non"/>
    <s v="Non"/>
    <e v="#N/A"/>
    <n v="79262"/>
    <s v="PRESTATION CONSEIL DISTRIBUTION E. CHARRIERE"/>
    <s v="CHARRIERE Eugenie"/>
    <s v="Q3"/>
    <e v="#REF!"/>
    <e v="#REF!"/>
    <e v="#REF!"/>
  </r>
  <r>
    <s v="181000"/>
    <x v="6"/>
    <s v="COMPTE DE LIAISON DES ETABLISSEMENTS"/>
    <s v="OD"/>
    <n v="2280"/>
    <d v="2025-07-07T00:00:00"/>
    <s v="Liaison inter-établissement"/>
    <m/>
    <e v="#N/A"/>
    <e v="#N/A"/>
    <n v="78977"/>
    <m/>
    <s v="APIE"/>
    <s v="Q3"/>
    <e v="#REF!"/>
    <e v="#REF!"/>
    <e v="#REF!"/>
  </r>
  <r>
    <s v="181000"/>
    <x v="6"/>
    <s v="COMPTE DE LIAISON DES ETABLISSEMENTS"/>
    <s v="OD"/>
    <n v="2288.6"/>
    <d v="2025-06-30T00:00:00"/>
    <s v="Liaison inter-établissement vers TO "/>
    <m/>
    <e v="#N/A"/>
    <e v="#N/A"/>
    <n v="78483"/>
    <m/>
    <m/>
    <s v="Q2"/>
    <e v="#REF!"/>
    <e v="#REF!"/>
    <e v="#REF!"/>
  </r>
  <r>
    <s v="181000"/>
    <x v="6"/>
    <s v="COMPTE DE LIAISON DES ETABLISSEMENTS"/>
    <s v="OD"/>
    <n v="2297.17"/>
    <d v="2025-03-31T00:00:00"/>
    <s v="Liaison inter-établissement vers TO "/>
    <m/>
    <e v="#N/A"/>
    <e v="#N/A"/>
    <n v="70281"/>
    <m/>
    <m/>
    <s v="Q1"/>
    <e v="#REF!"/>
    <e v="#REF!"/>
    <e v="#REF!"/>
  </r>
  <r>
    <s v="181000"/>
    <x v="6"/>
    <s v="COMPTE DE LIAISON DES ETABLISSEMENTS"/>
    <s v="OD"/>
    <n v="2308.36"/>
    <d v="2025-08-21T00:00:00"/>
    <s v="Liaison établissement 401000 CJLAB TO"/>
    <m/>
    <e v="#N/A"/>
    <e v="#N/A"/>
    <n v="81468"/>
    <s v="INTERVENTION SUR HPLC ROUSSILLON"/>
    <s v="C.J. LAB"/>
    <s v="Q3"/>
    <e v="#REF!"/>
    <e v="#REF!"/>
    <e v="#REF!"/>
  </r>
  <r>
    <s v="181000"/>
    <x v="6"/>
    <s v="COMPTE DE LIAISON DES ETABLISSEMENTS"/>
    <s v="OD"/>
    <n v="2310.9899999999998"/>
    <d v="2025-08-18T00:00:00"/>
    <s v="Liaison établissement 401000 NEILB TO"/>
    <s v="Non"/>
    <s v="Non"/>
    <e v="#N/A"/>
    <n v="81179"/>
    <s v="MONTHLY CONSULTANCY SERVICES 2025_04"/>
    <s v="NEIL BELL"/>
    <s v="Q3"/>
    <e v="#REF!"/>
    <e v="#REF!"/>
    <e v="#REF!"/>
  </r>
  <r>
    <s v="181000"/>
    <x v="6"/>
    <s v="COMPTE DE LIAISON DES ETABLISSEMENTS"/>
    <s v="OD"/>
    <n v="2320"/>
    <d v="2025-06-30T00:00:00"/>
    <s v="Liaison établissement 401000 DOTMATICS TO"/>
    <s v="Non"/>
    <e v="#N/A"/>
    <e v="#N/A"/>
    <n v="76888"/>
    <s v="LICENCES DOTMATICS 2026 - 2 ADDITIONAL CHEMISTRY"/>
    <s v="DOTMATICS LIMITED"/>
    <s v="Q2"/>
    <e v="#REF!"/>
    <e v="#REF!"/>
    <e v="#REF!"/>
  </r>
  <r>
    <s v="181000"/>
    <x v="6"/>
    <s v="COMPTE DE LIAISON DES ETABLISSEMENTS"/>
    <s v="OD"/>
    <n v="2326.1999999999998"/>
    <d v="2025-07-31T00:00:00"/>
    <s v="Liaison établissement 401000 RIBIERE TO"/>
    <m/>
    <e v="#N/A"/>
    <e v="#N/A"/>
    <n v="79292"/>
    <s v="DEMO : SÉCURISATION ZONE DÉMONSTRATEUR : - FONDATION POTEAUX EXISTANTS - TERRASSEMENT"/>
    <s v="RIBIERE"/>
    <s v="Q3"/>
    <e v="#REF!"/>
    <e v="#REF!"/>
    <e v="#REF!"/>
  </r>
  <r>
    <s v="181000"/>
    <x v="6"/>
    <s v="COMPTE DE LIAISON DES ETABLISSEMENTS"/>
    <s v="OD"/>
    <n v="2328"/>
    <d v="2025-12-05T00:00:00"/>
    <s v="Liaison établissement 401000 HIPOLITO TO"/>
    <m/>
    <e v="#N/A"/>
    <e v="#N/A"/>
    <n v="91366"/>
    <s v="2025/156"/>
    <s v="HIPOLITO"/>
    <s v="Q4"/>
    <e v="#REF!"/>
    <e v="#REF!"/>
    <e v="#REF!"/>
  </r>
  <r>
    <s v="181000"/>
    <x v="6"/>
    <s v="COMPTE DE LIAISON DES ETABLISSEMENTS"/>
    <s v="OD"/>
    <n v="2335.12"/>
    <d v="2025-12-30T00:00:00"/>
    <s v="Liaison établissement 401000 CLOUP TO"/>
    <m/>
    <e v="#N/A"/>
    <e v="#N/A"/>
    <n v="93797"/>
    <s v="0190171"/>
    <s v="CLOUP"/>
    <s v="Q4"/>
    <e v="#REF!"/>
    <e v="#REF!"/>
    <e v="#REF!"/>
  </r>
  <r>
    <s v="181000"/>
    <x v="6"/>
    <s v="COMPTE DE LIAISON DES ETABLISSEMENTS"/>
    <s v="OD"/>
    <n v="2340"/>
    <d v="2025-01-18T00:00:00"/>
    <s v="Liaison inter-établissement"/>
    <m/>
    <e v="#N/A"/>
    <e v="#N/A"/>
    <n v="70108"/>
    <m/>
    <s v="CIAMT"/>
    <s v="Q1"/>
    <e v="#REF!"/>
    <e v="#REF!"/>
    <e v="#REF!"/>
  </r>
  <r>
    <s v="181000"/>
    <x v="6"/>
    <s v="COMPTE DE LIAISON DES ETABLISSEMENTS"/>
    <s v="OD"/>
    <n v="2341.81"/>
    <d v="2025-03-31T00:00:00"/>
    <s v="Liaison inter-établissement vers TO "/>
    <m/>
    <e v="#N/A"/>
    <e v="#N/A"/>
    <n v="70278"/>
    <m/>
    <m/>
    <s v="Q1"/>
    <e v="#REF!"/>
    <e v="#REF!"/>
    <e v="#REF!"/>
  </r>
  <r>
    <s v="181000"/>
    <x v="6"/>
    <s v="COMPTE DE LIAISON DES ETABLISSEMENTS"/>
    <s v="OD"/>
    <n v="2350.5"/>
    <d v="2025-03-06T00:00:00"/>
    <s v="Liaison inter-établissement"/>
    <m/>
    <e v="#N/A"/>
    <e v="#N/A"/>
    <n v="69967"/>
    <m/>
    <s v="Eurofins BLC Leather Technology Centre Limited"/>
    <s v="Q1"/>
    <e v="#REF!"/>
    <e v="#REF!"/>
    <e v="#REF!"/>
  </r>
  <r>
    <s v="181000"/>
    <x v="6"/>
    <s v="COMPTE DE LIAISON DES ETABLISSEMENTS"/>
    <s v="OD"/>
    <n v="2400"/>
    <d v="2025-04-18T00:00:00"/>
    <s v="Liaison établissement 401000 BUSINOVE TO"/>
    <s v="Non"/>
    <s v="Non"/>
    <e v="#N/A"/>
    <n v="68149"/>
    <s v="Invoice Payment by Pili"/>
    <s v="BUSINOVE"/>
    <s v="Q2"/>
    <e v="#REF!"/>
    <e v="#REF!"/>
    <e v="#REF!"/>
  </r>
  <r>
    <s v="181000"/>
    <x v="6"/>
    <s v="COMPTE DE LIAISON DES ETABLISSEMENTS"/>
    <s v="OD"/>
    <n v="2400"/>
    <d v="2025-05-05T00:00:00"/>
    <s v="Liaison inter-établissement vers KB "/>
    <m/>
    <e v="#N/A"/>
    <e v="#N/A"/>
    <n v="77574"/>
    <m/>
    <m/>
    <s v="Q2"/>
    <e v="#REF!"/>
    <e v="#REF!"/>
    <e v="#REF!"/>
  </r>
  <r>
    <s v="181000"/>
    <x v="6"/>
    <s v="COMPTE DE LIAISON DES ETABLISSEMENTS"/>
    <s v="OD"/>
    <n v="2402.54"/>
    <d v="2025-04-02T00:00:00"/>
    <s v="Liaison inter-établissement"/>
    <s v="Non"/>
    <s v="Non"/>
    <e v="#N/A"/>
    <n v="76934"/>
    <m/>
    <s v="NEIL BELL"/>
    <s v="Q2"/>
    <e v="#REF!"/>
    <e v="#REF!"/>
    <e v="#REF!"/>
  </r>
  <r>
    <s v="181000"/>
    <x v="6"/>
    <s v="COMPTE DE LIAISON DES ETABLISSEMENTS"/>
    <s v="OD"/>
    <n v="2402.54"/>
    <d v="2025-04-02T00:00:00"/>
    <s v="Liaison inter-établissement"/>
    <s v="Non"/>
    <s v="Non"/>
    <e v="#N/A"/>
    <n v="76938"/>
    <m/>
    <s v="NEIL BELL"/>
    <s v="Q2"/>
    <e v="#REF!"/>
    <e v="#REF!"/>
    <e v="#REF!"/>
  </r>
  <r>
    <s v="181000"/>
    <x v="6"/>
    <s v="COMPTE DE LIAISON DES ETABLISSEMENTS"/>
    <s v="OD"/>
    <n v="2402.54"/>
    <d v="2025-04-02T00:00:00"/>
    <s v="Liaison inter-établissement"/>
    <s v="Non"/>
    <s v="Non"/>
    <e v="#N/A"/>
    <n v="76942"/>
    <m/>
    <s v="NEIL BELL"/>
    <s v="Q2"/>
    <e v="#REF!"/>
    <e v="#REF!"/>
    <e v="#REF!"/>
  </r>
  <r>
    <s v="181000"/>
    <x v="6"/>
    <s v="COMPTE DE LIAISON DES ETABLISSEMENTS"/>
    <s v="OD"/>
    <n v="2408.88"/>
    <d v="2025-07-18T00:00:00"/>
    <s v="Liaison établissement 401000 NEILB TO"/>
    <s v="Non"/>
    <s v="Non"/>
    <e v="#N/A"/>
    <n v="78323"/>
    <s v="MONTHLY CONSULTANCE SERVICES 2025_03"/>
    <s v="NEIL BELL"/>
    <s v="Q3"/>
    <e v="#REF!"/>
    <e v="#REF!"/>
    <e v="#REF!"/>
  </r>
  <r>
    <s v="181000"/>
    <x v="6"/>
    <s v="COMPTE DE LIAISON DES ETABLISSEMENTS"/>
    <s v="OD"/>
    <n v="2412.63"/>
    <d v="2025-07-01T00:00:00"/>
    <s v="Liaison inter-établissement"/>
    <s v="Non"/>
    <s v="Non"/>
    <e v="#N/A"/>
    <n v="76958"/>
    <m/>
    <s v="NEIL BELL"/>
    <s v="Q3"/>
    <e v="#REF!"/>
    <e v="#REF!"/>
    <e v="#REF!"/>
  </r>
  <r>
    <s v="181000"/>
    <x v="6"/>
    <s v="COMPTE DE LIAISON DES ETABLISSEMENTS"/>
    <s v="OD"/>
    <n v="2450.7399999999998"/>
    <d v="2025-03-26T00:00:00"/>
    <s v="Liaison inter-établissement"/>
    <m/>
    <e v="#N/A"/>
    <e v="#N/A"/>
    <n v="68002"/>
    <m/>
    <s v="DENIOS"/>
    <s v="Q1"/>
    <e v="#REF!"/>
    <e v="#REF!"/>
    <e v="#REF!"/>
  </r>
  <r>
    <s v="181000"/>
    <x v="6"/>
    <s v="COMPTE DE LIAISON DES ETABLISSEMENTS"/>
    <s v="OD"/>
    <n v="2459.5"/>
    <d v="2025-06-30T00:00:00"/>
    <s v="Liaison inter-établissement"/>
    <m/>
    <e v="#N/A"/>
    <e v="#N/A"/>
    <n v="78462"/>
    <m/>
    <m/>
    <s v="Q2"/>
    <e v="#REF!"/>
    <e v="#REF!"/>
    <e v="#REF!"/>
  </r>
  <r>
    <s v="181000"/>
    <x v="6"/>
    <s v="COMPTE DE LIAISON DES ETABLISSEMENTS"/>
    <s v="OD"/>
    <n v="2459.5"/>
    <d v="2025-06-30T00:00:00"/>
    <s v="Liaison inter-établissement vers TO "/>
    <m/>
    <e v="#N/A"/>
    <e v="#N/A"/>
    <n v="78469"/>
    <m/>
    <m/>
    <s v="Q2"/>
    <e v="#REF!"/>
    <e v="#REF!"/>
    <e v="#REF!"/>
  </r>
  <r>
    <s v="181000"/>
    <x v="6"/>
    <s v="COMPTE DE LIAISON DES ETABLISSEMENTS"/>
    <s v="OD"/>
    <n v="2472"/>
    <d v="2025-01-30T00:00:00"/>
    <s v="Liaison inter-établissement"/>
    <m/>
    <e v="#N/A"/>
    <e v="#N/A"/>
    <n v="63879"/>
    <m/>
    <s v="SMTS"/>
    <s v="Q1"/>
    <e v="#REF!"/>
    <e v="#REF!"/>
    <e v="#REF!"/>
  </r>
  <r>
    <s v="181000"/>
    <x v="6"/>
    <s v="COMPTE DE LIAISON DES ETABLISSEMENTS"/>
    <s v="OD"/>
    <n v="2560.1"/>
    <d v="2025-09-03T00:00:00"/>
    <s v="Liaison inter-établissement"/>
    <m/>
    <e v="#N/A"/>
    <e v="#N/A"/>
    <n v="87483"/>
    <m/>
    <s v="DENIOS"/>
    <s v="Q3"/>
    <e v="#REF!"/>
    <e v="#REF!"/>
    <e v="#REF!"/>
  </r>
  <r>
    <s v="181000"/>
    <x v="6"/>
    <s v="COMPTE DE LIAISON DES ETABLISSEMENTS"/>
    <s v="OD"/>
    <n v="2590"/>
    <d v="2025-07-09T00:00:00"/>
    <s v="Liaison établissement 401000 BIOTIKA TO"/>
    <s v="Non"/>
    <e v="#N/A"/>
    <e v="#N/A"/>
    <n v="77206"/>
    <s v="TRANSPORTATION COSTS"/>
    <s v="BIOTIKA"/>
    <s v="Q3"/>
    <e v="#REF!"/>
    <e v="#REF!"/>
    <e v="#REF!"/>
  </r>
  <r>
    <s v="181000"/>
    <x v="6"/>
    <s v="COMPTE DE LIAISON DES ETABLISSEMENTS"/>
    <s v="OD"/>
    <n v="2628"/>
    <d v="2025-03-19T00:00:00"/>
    <s v="Liaison inter-établissement"/>
    <m/>
    <s v="Non"/>
    <n v="0"/>
    <n v="64403"/>
    <m/>
    <s v="CEGOS"/>
    <s v="Q1"/>
    <e v="#REF!"/>
    <e v="#REF!"/>
    <e v="#REF!"/>
  </r>
  <r>
    <s v="181000"/>
    <x v="6"/>
    <s v="COMPTE DE LIAISON DES ETABLISSEMENTS"/>
    <s v="OD"/>
    <n v="2638"/>
    <d v="2025-01-01T00:00:00"/>
    <s v="Liaison inter-établissement vers TO "/>
    <m/>
    <e v="#N/A"/>
    <e v="#N/A"/>
    <n v="86542"/>
    <m/>
    <m/>
    <s v="Q1"/>
    <e v="#REF!"/>
    <e v="#REF!"/>
    <e v="#REF!"/>
  </r>
  <r>
    <s v="181000"/>
    <x v="6"/>
    <s v="COMPTE DE LIAISON DES ETABLISSEMENTS"/>
    <s v="OD"/>
    <n v="2638"/>
    <d v="2025-06-01T00:00:00"/>
    <s v="Liaison inter-établissement vers RO "/>
    <m/>
    <e v="#N/A"/>
    <e v="#N/A"/>
    <n v="89379"/>
    <m/>
    <s v="ASCONA"/>
    <s v="Q2"/>
    <e v="#REF!"/>
    <e v="#REF!"/>
    <e v="#REF!"/>
  </r>
  <r>
    <s v="181000"/>
    <x v="6"/>
    <s v="COMPTE DE LIAISON DES ETABLISSEMENTS"/>
    <s v="OD"/>
    <n v="2657.84"/>
    <d v="2025-02-15T00:00:00"/>
    <s v="Liaison inter-établissement"/>
    <m/>
    <s v="Non"/>
    <e v="#N/A"/>
    <n v="64291"/>
    <m/>
    <s v="DIVERS"/>
    <s v="Q1"/>
    <e v="#REF!"/>
    <e v="#REF!"/>
    <e v="#REF!"/>
  </r>
  <r>
    <s v="181000"/>
    <x v="6"/>
    <s v="COMPTE DE LIAISON DES ETABLISSEMENTS"/>
    <s v="OD"/>
    <n v="2684.62"/>
    <d v="2025-10-31T00:00:00"/>
    <s v="Liaison établissement 401000 CLOUP TO"/>
    <m/>
    <e v="#N/A"/>
    <e v="#N/A"/>
    <n v="87541"/>
    <s v="0189108"/>
    <s v="CLOUP"/>
    <s v="Q4"/>
    <e v="#REF!"/>
    <e v="#REF!"/>
    <e v="#REF!"/>
  </r>
  <r>
    <s v="181000"/>
    <x v="6"/>
    <s v="COMPTE DE LIAISON DES ETABLISSEMENTS"/>
    <s v="OD"/>
    <n v="2700"/>
    <d v="2025-05-26T00:00:00"/>
    <s v="Liaison inter-établissement"/>
    <m/>
    <s v="Non"/>
    <e v="#N/A"/>
    <n v="74118"/>
    <m/>
    <s v="AXE GESCOM"/>
    <s v="Q2"/>
    <e v="#REF!"/>
    <e v="#REF!"/>
    <e v="#REF!"/>
  </r>
  <r>
    <s v="181000"/>
    <x v="6"/>
    <s v="COMPTE DE LIAISON DES ETABLISSEMENTS"/>
    <s v="OD"/>
    <n v="2700"/>
    <d v="2025-08-28T00:00:00"/>
    <s v="Liaison inter-établissement"/>
    <m/>
    <s v="Non"/>
    <e v="#N/A"/>
    <n v="82141"/>
    <m/>
    <s v="AXE GESCOM"/>
    <s v="Q3"/>
    <e v="#REF!"/>
    <e v="#REF!"/>
    <e v="#REF!"/>
  </r>
  <r>
    <s v="181000"/>
    <x v="6"/>
    <s v="COMPTE DE LIAISON DES ETABLISSEMENTS"/>
    <s v="OD"/>
    <n v="2700"/>
    <d v="2025-11-28T00:00:00"/>
    <s v="Liaison inter-établissement"/>
    <m/>
    <s v="Non"/>
    <e v="#N/A"/>
    <n v="91285"/>
    <m/>
    <s v="AXE GESCOM"/>
    <s v="Q4"/>
    <e v="#REF!"/>
    <e v="#REF!"/>
    <e v="#REF!"/>
  </r>
  <r>
    <s v="181000"/>
    <x v="6"/>
    <s v="COMPTE DE LIAISON DES ETABLISSEMENTS"/>
    <s v="OD"/>
    <n v="2806.51"/>
    <d v="2025-02-18T00:00:00"/>
    <s v="Liaison inter-établissement"/>
    <s v="Non"/>
    <s v="Non"/>
    <e v="#N/A"/>
    <n v="61651"/>
    <m/>
    <s v="F2P AUDIT &amp; CONSEIL"/>
    <s v="Q1"/>
    <e v="#REF!"/>
    <e v="#REF!"/>
    <e v="#REF!"/>
  </r>
  <r>
    <s v="181000"/>
    <x v="6"/>
    <s v="COMPTE DE LIAISON DES ETABLISSEMENTS"/>
    <s v="OD"/>
    <n v="2862"/>
    <d v="2025-12-29T00:00:00"/>
    <s v="Liaison inter-établissement"/>
    <m/>
    <s v="Non"/>
    <e v="#N/A"/>
    <n v="93711"/>
    <m/>
    <s v="AXE GESCOM"/>
    <s v="Q4"/>
    <e v="#REF!"/>
    <e v="#REF!"/>
    <e v="#REF!"/>
  </r>
  <r>
    <s v="181000"/>
    <x v="6"/>
    <s v="COMPTE DE LIAISON DES ETABLISSEMENTS"/>
    <s v="OD"/>
    <n v="2875"/>
    <d v="2025-05-07T00:00:00"/>
    <s v="Liaison établissement 401000 ACDV TO"/>
    <m/>
    <s v="Non"/>
    <s v="Oui"/>
    <n v="71761"/>
    <s v="COTISATION 2025"/>
    <s v="ASSOCIATION CHIMIE DU VEGETAL"/>
    <s v="Q2"/>
    <e v="#REF!"/>
    <e v="#REF!"/>
    <e v="#REF!"/>
  </r>
  <r>
    <s v="181000"/>
    <x v="6"/>
    <s v="COMPTE DE LIAISON DES ETABLISSEMENTS"/>
    <s v="OD"/>
    <n v="2880"/>
    <d v="2025-10-03T00:00:00"/>
    <s v="Liaison établissement 401000 DMI TO"/>
    <m/>
    <e v="#N/A"/>
    <e v="#N/A"/>
    <n v="82705"/>
    <s v="FACT1901"/>
    <s v="DMI"/>
    <s v="Q4"/>
    <e v="#REF!"/>
    <e v="#REF!"/>
    <e v="#REF!"/>
  </r>
  <r>
    <s v="181000"/>
    <x v="6"/>
    <s v="COMPTE DE LIAISON DES ETABLISSEMENTS"/>
    <s v="OD"/>
    <n v="2886.24"/>
    <d v="2025-10-31T00:00:00"/>
    <s v="Liaison établissement 401000 LABSERVICES TO"/>
    <m/>
    <e v="#N/A"/>
    <e v="#N/A"/>
    <n v="87561"/>
    <s v="LSE-049745"/>
    <s v="LABSERVICES"/>
    <s v="Q4"/>
    <e v="#REF!"/>
    <e v="#REF!"/>
    <e v="#REF!"/>
  </r>
  <r>
    <s v="181000"/>
    <x v="6"/>
    <s v="COMPTE DE LIAISON DES ETABLISSEMENTS"/>
    <s v="OD"/>
    <n v="2896.04"/>
    <d v="2025-11-17T00:00:00"/>
    <s v="Liaison établissement 401000 TRAITEUR GRAND TO"/>
    <m/>
    <e v="#N/A"/>
    <e v="#N/A"/>
    <n v="90128"/>
    <s v="PRESTATION TRAITEUR SÉMINAIRE PILI"/>
    <s v="TRAITEUR GRAND"/>
    <s v="Q4"/>
    <e v="#REF!"/>
    <e v="#REF!"/>
    <e v="#REF!"/>
  </r>
  <r>
    <s v="181000"/>
    <x v="6"/>
    <s v="COMPTE DE LIAISON DES ETABLISSEMENTS"/>
    <s v="OD"/>
    <n v="2896.05"/>
    <d v="2025-09-23T00:00:00"/>
    <s v="Liaison inter-établissement"/>
    <m/>
    <e v="#N/A"/>
    <e v="#N/A"/>
    <n v="87130"/>
    <m/>
    <s v="TRAITEUR GRAND"/>
    <s v="Q3"/>
    <e v="#REF!"/>
    <e v="#REF!"/>
    <e v="#REF!"/>
  </r>
  <r>
    <s v="181000"/>
    <x v="6"/>
    <s v="COMPTE DE LIAISON DES ETABLISSEMENTS"/>
    <s v="OD"/>
    <n v="2904"/>
    <d v="2025-11-28T00:00:00"/>
    <s v="Liaison établissement 401000 INSAR TO"/>
    <m/>
    <e v="#N/A"/>
    <e v="#N/A"/>
    <n v="91208"/>
    <s v="FAR-2025-000189"/>
    <s v="INSA ROUEN"/>
    <s v="Q4"/>
    <e v="#REF!"/>
    <e v="#REF!"/>
    <e v="#REF!"/>
  </r>
  <r>
    <s v="181000"/>
    <x v="6"/>
    <s v="COMPTE DE LIAISON DES ETABLISSEMENTS"/>
    <s v="OD"/>
    <n v="2904"/>
    <d v="2025-12-10T00:00:00"/>
    <s v="Liaison établissement 401000 INSAR TO"/>
    <m/>
    <e v="#N/A"/>
    <e v="#N/A"/>
    <n v="92071"/>
    <s v="FAR-2025-000562"/>
    <s v="INSA ROUEN"/>
    <s v="Q4"/>
    <e v="#REF!"/>
    <e v="#REF!"/>
    <e v="#REF!"/>
  </r>
  <r>
    <s v="181000"/>
    <x v="6"/>
    <s v="COMPTE DE LIAISON DES ETABLISSEMENTS"/>
    <s v="OD"/>
    <n v="2904"/>
    <d v="2025-12-30T00:00:00"/>
    <s v="Liaison établissement 401000 INSAR TO"/>
    <m/>
    <e v="#N/A"/>
    <e v="#N/A"/>
    <n v="93728"/>
    <s v="FAR-2025-000749"/>
    <s v="INSA ROUEN"/>
    <s v="Q4"/>
    <e v="#REF!"/>
    <e v="#REF!"/>
    <e v="#REF!"/>
  </r>
  <r>
    <s v="181000"/>
    <x v="6"/>
    <s v="COMPTE DE LIAISON DES ETABLISSEMENTS"/>
    <s v="OD"/>
    <n v="2907.91"/>
    <d v="2025-03-14T00:00:00"/>
    <s v="Liaison inter-établissement"/>
    <s v="Non"/>
    <s v="Non"/>
    <e v="#N/A"/>
    <n v="64427"/>
    <m/>
    <s v="F2P AUDIT &amp; CONSEIL"/>
    <s v="Q1"/>
    <e v="#REF!"/>
    <e v="#REF!"/>
    <e v="#REF!"/>
  </r>
  <r>
    <s v="181000"/>
    <x v="6"/>
    <s v="COMPTE DE LIAISON DES ETABLISSEMENTS"/>
    <s v="OD"/>
    <n v="2913.06"/>
    <d v="2025-01-17T00:00:00"/>
    <s v="Liaison inter-établissement"/>
    <m/>
    <e v="#N/A"/>
    <e v="#N/A"/>
    <n v="71899"/>
    <m/>
    <s v="PROMINENT"/>
    <s v="Q1"/>
    <e v="#REF!"/>
    <e v="#REF!"/>
    <e v="#REF!"/>
  </r>
  <r>
    <s v="181000"/>
    <x v="6"/>
    <s v="COMPTE DE LIAISON DES ETABLISSEMENTS"/>
    <s v="OD"/>
    <n v="3000"/>
    <d v="2025-02-18T00:00:00"/>
    <s v="Liaison inter-établissement"/>
    <s v="Non"/>
    <s v="Non"/>
    <e v="#N/A"/>
    <n v="63605"/>
    <m/>
    <s v="WE ARE BOLD"/>
    <s v="Q1"/>
    <e v="#REF!"/>
    <e v="#REF!"/>
    <e v="#REF!"/>
  </r>
  <r>
    <s v="181000"/>
    <x v="6"/>
    <s v="COMPTE DE LIAISON DES ETABLISSEMENTS"/>
    <s v="OD"/>
    <n v="3000"/>
    <d v="2025-03-19T00:00:00"/>
    <s v="Liaison inter-établissement"/>
    <s v="Non"/>
    <s v="Non"/>
    <e v="#N/A"/>
    <n v="63597"/>
    <m/>
    <s v="WE ARE BOLD"/>
    <s v="Q1"/>
    <e v="#REF!"/>
    <e v="#REF!"/>
    <e v="#REF!"/>
  </r>
  <r>
    <s v="181000"/>
    <x v="6"/>
    <s v="COMPTE DE LIAISON DES ETABLISSEMENTS"/>
    <s v="OD"/>
    <n v="3000"/>
    <d v="2025-04-15T00:00:00"/>
    <s v="Liaison inter-établissement"/>
    <s v="Non"/>
    <s v="Non"/>
    <e v="#N/A"/>
    <n v="68026"/>
    <m/>
    <s v="WE ARE BOLD"/>
    <s v="Q2"/>
    <e v="#REF!"/>
    <e v="#REF!"/>
    <e v="#REF!"/>
  </r>
  <r>
    <s v="181000"/>
    <x v="6"/>
    <s v="COMPTE DE LIAISON DES ETABLISSEMENTS"/>
    <s v="OD"/>
    <n v="3000"/>
    <d v="2025-06-02T00:00:00"/>
    <s v="Liaison établissement 401000 BOLD TO"/>
    <s v="Non"/>
    <s v="Non"/>
    <e v="#N/A"/>
    <n v="75238"/>
    <s v="Invoice Payment By Pili"/>
    <s v="WE ARE BOLD"/>
    <s v="Q2"/>
    <e v="#REF!"/>
    <e v="#REF!"/>
    <e v="#REF!"/>
  </r>
  <r>
    <s v="181000"/>
    <x v="6"/>
    <s v="COMPTE DE LIAISON DES ETABLISSEMENTS"/>
    <s v="OD"/>
    <n v="3000"/>
    <d v="2025-07-31T00:00:00"/>
    <s v="Liaison établissement 401000 BOLD TO"/>
    <s v="Non"/>
    <s v="Non"/>
    <e v="#N/A"/>
    <n v="79257"/>
    <s v="FORFAIT JURIDIQUE 2025_05"/>
    <s v="WE ARE BOLD"/>
    <s v="Q3"/>
    <e v="#REF!"/>
    <e v="#REF!"/>
    <e v="#REF!"/>
  </r>
  <r>
    <s v="181000"/>
    <x v="6"/>
    <s v="COMPTE DE LIAISON DES ETABLISSEMENTS"/>
    <s v="OD"/>
    <n v="3000"/>
    <d v="2025-08-21T00:00:00"/>
    <s v="Liaison établissement 401000 BOLD TO"/>
    <s v="Non"/>
    <s v="Non"/>
    <e v="#N/A"/>
    <n v="81422"/>
    <s v="PRESTATION BOLD"/>
    <s v="WE ARE BOLD"/>
    <s v="Q3"/>
    <e v="#REF!"/>
    <e v="#REF!"/>
    <e v="#REF!"/>
  </r>
  <r>
    <s v="181000"/>
    <x v="6"/>
    <s v="COMPTE DE LIAISON DES ETABLISSEMENTS"/>
    <s v="OD"/>
    <n v="3000"/>
    <d v="2025-09-12T00:00:00"/>
    <s v="Liaison établissement 401000 BOLD TO"/>
    <s v="Non"/>
    <s v="Non"/>
    <e v="#N/A"/>
    <n v="81992"/>
    <s v="FORFAIT JURIDIQUE"/>
    <s v="WE ARE BOLD"/>
    <s v="Q3"/>
    <e v="#REF!"/>
    <e v="#REF!"/>
    <e v="#REF!"/>
  </r>
  <r>
    <s v="181000"/>
    <x v="6"/>
    <s v="COMPTE DE LIAISON DES ETABLISSEMENTS"/>
    <s v="OD"/>
    <n v="3027.91"/>
    <d v="2025-04-08T00:00:00"/>
    <s v="Liaison inter-établissement"/>
    <s v="Non"/>
    <s v="Non"/>
    <e v="#N/A"/>
    <n v="67998"/>
    <m/>
    <s v="F2P AUDIT &amp; CONSEIL"/>
    <s v="Q2"/>
    <e v="#REF!"/>
    <e v="#REF!"/>
    <e v="#REF!"/>
  </r>
  <r>
    <s v="181000"/>
    <x v="6"/>
    <s v="COMPTE DE LIAISON DES ETABLISSEMENTS"/>
    <s v="OD"/>
    <n v="3041.31"/>
    <d v="2025-06-30T00:00:00"/>
    <s v="Liaison inter-établissement vers TO "/>
    <m/>
    <e v="#N/A"/>
    <e v="#N/A"/>
    <n v="78688"/>
    <m/>
    <m/>
    <s v="Q2"/>
    <e v="#REF!"/>
    <e v="#REF!"/>
    <e v="#REF!"/>
  </r>
  <r>
    <s v="181000"/>
    <x v="6"/>
    <s v="COMPTE DE LIAISON DES ETABLISSEMENTS"/>
    <s v="OD"/>
    <n v="3120"/>
    <d v="2025-05-07T00:00:00"/>
    <s v="Liaison établissement 401000 PAGE TO"/>
    <s v="Non"/>
    <s v="Non"/>
    <e v="#N/A"/>
    <n v="71802"/>
    <s v="PACK EXPERT PLUSMP"/>
    <s v="MICHAEL PAGE"/>
    <s v="Q2"/>
    <e v="#REF!"/>
    <e v="#REF!"/>
    <e v="#REF!"/>
  </r>
  <r>
    <s v="181000"/>
    <x v="6"/>
    <s v="COMPTE DE LIAISON DES ETABLISSEMENTS"/>
    <s v="OD"/>
    <n v="3280"/>
    <d v="2025-09-12T00:00:00"/>
    <s v="Liaison inter-établissement"/>
    <m/>
    <e v="#N/A"/>
    <e v="#N/A"/>
    <n v="85008"/>
    <m/>
    <s v="DOMAINE DE CHRISTIN SAS"/>
    <s v="Q3"/>
    <e v="#REF!"/>
    <e v="#REF!"/>
    <e v="#REF!"/>
  </r>
  <r>
    <s v="181000"/>
    <x v="6"/>
    <s v="COMPTE DE LIAISON DES ETABLISSEMENTS"/>
    <s v="OD"/>
    <n v="3316.8"/>
    <d v="2025-01-31T00:00:00"/>
    <s v="Liaison inter-établissement"/>
    <m/>
    <e v="#N/A"/>
    <e v="#N/A"/>
    <n v="64243"/>
    <m/>
    <s v="ACTEA"/>
    <s v="Q1"/>
    <e v="#REF!"/>
    <e v="#REF!"/>
    <e v="#REF!"/>
  </r>
  <r>
    <s v="181000"/>
    <x v="6"/>
    <s v="COMPTE DE LIAISON DES ETABLISSEMENTS"/>
    <s v="OD"/>
    <n v="3316.8"/>
    <d v="2025-02-28T00:00:00"/>
    <s v="Liaison inter-établissement"/>
    <m/>
    <e v="#N/A"/>
    <e v="#N/A"/>
    <n v="64247"/>
    <m/>
    <s v="ACTEA"/>
    <s v="Q1"/>
    <e v="#REF!"/>
    <e v="#REF!"/>
    <e v="#REF!"/>
  </r>
  <r>
    <s v="181000"/>
    <x v="6"/>
    <s v="COMPTE DE LIAISON DES ETABLISSEMENTS"/>
    <s v="OD"/>
    <n v="3316.8"/>
    <d v="2025-03-31T00:00:00"/>
    <s v="Liaison inter-établissement"/>
    <m/>
    <e v="#N/A"/>
    <e v="#N/A"/>
    <n v="64395"/>
    <m/>
    <s v="ACTEA"/>
    <s v="Q1"/>
    <e v="#REF!"/>
    <e v="#REF!"/>
    <e v="#REF!"/>
  </r>
  <r>
    <s v="181000"/>
    <x v="6"/>
    <s v="COMPTE DE LIAISON DES ETABLISSEMENTS"/>
    <s v="OD"/>
    <n v="3316.8"/>
    <d v="2025-04-30T00:00:00"/>
    <s v="Liaison inter-établissement"/>
    <m/>
    <e v="#N/A"/>
    <e v="#N/A"/>
    <n v="67986"/>
    <m/>
    <s v="ACTEA"/>
    <s v="Q2"/>
    <e v="#REF!"/>
    <e v="#REF!"/>
    <e v="#REF!"/>
  </r>
  <r>
    <s v="181000"/>
    <x v="6"/>
    <s v="COMPTE DE LIAISON DES ETABLISSEMENTS"/>
    <s v="OD"/>
    <n v="3316.8"/>
    <d v="2025-05-31T00:00:00"/>
    <s v="Liaison inter-établissement"/>
    <m/>
    <e v="#N/A"/>
    <e v="#N/A"/>
    <n v="71387"/>
    <m/>
    <s v="ACTEA"/>
    <s v="Q2"/>
    <e v="#REF!"/>
    <e v="#REF!"/>
    <e v="#REF!"/>
  </r>
  <r>
    <s v="181000"/>
    <x v="6"/>
    <s v="COMPTE DE LIAISON DES ETABLISSEMENTS"/>
    <s v="OD"/>
    <n v="3316.8"/>
    <d v="2025-06-30T00:00:00"/>
    <s v="Liaison inter-établissement"/>
    <m/>
    <e v="#N/A"/>
    <e v="#N/A"/>
    <n v="75307"/>
    <m/>
    <s v="ACTEA"/>
    <s v="Q2"/>
    <e v="#REF!"/>
    <e v="#REF!"/>
    <e v="#REF!"/>
  </r>
  <r>
    <s v="181000"/>
    <x v="6"/>
    <s v="COMPTE DE LIAISON DES ETABLISSEMENTS"/>
    <s v="OD"/>
    <n v="3316.8"/>
    <d v="2025-07-01T00:00:00"/>
    <s v="Liaison inter-établissement"/>
    <m/>
    <e v="#N/A"/>
    <e v="#N/A"/>
    <n v="77078"/>
    <m/>
    <s v="ACTEA"/>
    <s v="Q3"/>
    <e v="#REF!"/>
    <e v="#REF!"/>
    <e v="#REF!"/>
  </r>
  <r>
    <s v="181000"/>
    <x v="6"/>
    <s v="COMPTE DE LIAISON DES ETABLISSEMENTS"/>
    <s v="OD"/>
    <n v="3316.8"/>
    <d v="2025-08-01T00:00:00"/>
    <s v="Liaison inter-établissement"/>
    <m/>
    <e v="#N/A"/>
    <e v="#N/A"/>
    <n v="80677"/>
    <m/>
    <s v="ACTEA"/>
    <s v="Q3"/>
    <e v="#REF!"/>
    <e v="#REF!"/>
    <e v="#REF!"/>
  </r>
  <r>
    <s v="181000"/>
    <x v="6"/>
    <s v="COMPTE DE LIAISON DES ETABLISSEMENTS"/>
    <s v="OD"/>
    <n v="3316.8"/>
    <d v="2025-09-01T00:00:00"/>
    <s v="Liaison inter-établissement"/>
    <m/>
    <e v="#N/A"/>
    <e v="#N/A"/>
    <n v="81689"/>
    <m/>
    <s v="ACTEA"/>
    <s v="Q3"/>
    <e v="#REF!"/>
    <e v="#REF!"/>
    <e v="#REF!"/>
  </r>
  <r>
    <s v="181000"/>
    <x v="6"/>
    <s v="COMPTE DE LIAISON DES ETABLISSEMENTS"/>
    <s v="OD"/>
    <n v="3316.8"/>
    <d v="2025-10-01T00:00:00"/>
    <s v="Liaison inter-établissement"/>
    <m/>
    <e v="#N/A"/>
    <e v="#N/A"/>
    <n v="82818"/>
    <m/>
    <s v="ACTEA"/>
    <s v="Q4"/>
    <e v="#REF!"/>
    <e v="#REF!"/>
    <e v="#REF!"/>
  </r>
  <r>
    <s v="181000"/>
    <x v="6"/>
    <s v="COMPTE DE LIAISON DES ETABLISSEMENTS"/>
    <s v="OD"/>
    <n v="3316.8"/>
    <d v="2025-11-03T00:00:00"/>
    <s v="Liaison inter-établissement"/>
    <m/>
    <e v="#N/A"/>
    <e v="#N/A"/>
    <n v="87995"/>
    <m/>
    <s v="ACTEA"/>
    <s v="Q4"/>
    <e v="#REF!"/>
    <e v="#REF!"/>
    <e v="#REF!"/>
  </r>
  <r>
    <s v="181000"/>
    <x v="6"/>
    <s v="COMPTE DE LIAISON DES ETABLISSEMENTS"/>
    <s v="OD"/>
    <n v="3316.8"/>
    <d v="2025-12-01T00:00:00"/>
    <s v="Liaison inter-établissement"/>
    <m/>
    <e v="#N/A"/>
    <e v="#N/A"/>
    <n v="91311"/>
    <m/>
    <s v="ACTEA"/>
    <s v="Q4"/>
    <e v="#REF!"/>
    <e v="#REF!"/>
    <e v="#REF!"/>
  </r>
  <r>
    <s v="181000"/>
    <x v="6"/>
    <s v="COMPTE DE LIAISON DES ETABLISSEMENTS"/>
    <s v="OD"/>
    <n v="3408"/>
    <d v="2025-01-30T00:00:00"/>
    <s v="Liaison inter-établissement"/>
    <m/>
    <e v="#N/A"/>
    <e v="#N/A"/>
    <n v="63931"/>
    <m/>
    <s v="VALENTIN"/>
    <s v="Q1"/>
    <e v="#REF!"/>
    <e v="#REF!"/>
    <e v="#REF!"/>
  </r>
  <r>
    <s v="181000"/>
    <x v="6"/>
    <s v="COMPTE DE LIAISON DES ETABLISSEMENTS"/>
    <s v="OD"/>
    <n v="3462.75"/>
    <d v="2025-02-25T00:00:00"/>
    <s v="Liaison inter-établissement"/>
    <m/>
    <e v="#N/A"/>
    <e v="#N/A"/>
    <n v="72804"/>
    <m/>
    <s v="NEGATIF -"/>
    <s v="Q1"/>
    <e v="#REF!"/>
    <e v="#REF!"/>
    <e v="#REF!"/>
  </r>
  <r>
    <s v="181000"/>
    <x v="6"/>
    <s v="COMPTE DE LIAISON DES ETABLISSEMENTS"/>
    <s v="OD"/>
    <n v="3499.2"/>
    <d v="2025-01-30T00:00:00"/>
    <s v="Liaison inter-établissement"/>
    <m/>
    <e v="#N/A"/>
    <e v="#N/A"/>
    <n v="63501"/>
    <m/>
    <s v="ADVERIS"/>
    <s v="Q1"/>
    <e v="#REF!"/>
    <e v="#REF!"/>
    <e v="#REF!"/>
  </r>
  <r>
    <s v="181000"/>
    <x v="6"/>
    <s v="COMPTE DE LIAISON DES ETABLISSEMENTS"/>
    <s v="OD"/>
    <n v="3500"/>
    <d v="2025-01-17T00:00:00"/>
    <s v="Liaison inter-établissement vers TO "/>
    <m/>
    <e v="#N/A"/>
    <e v="#N/A"/>
    <n v="87973"/>
    <m/>
    <m/>
    <s v="Q1"/>
    <e v="#REF!"/>
    <e v="#REF!"/>
    <e v="#REF!"/>
  </r>
  <r>
    <s v="181000"/>
    <x v="6"/>
    <s v="COMPTE DE LIAISON DES ETABLISSEMENTS"/>
    <s v="OD"/>
    <n v="3516.48"/>
    <d v="2025-04-18T00:00:00"/>
    <s v="Liaison établissement 401000 CHIMIREC TO"/>
    <m/>
    <s v="Non"/>
    <n v="0"/>
    <n v="68159"/>
    <s v="Invoice Payment by Pili"/>
    <s v="CHIMIREC CENTRE EST"/>
    <s v="Q2"/>
    <e v="#REF!"/>
    <e v="#REF!"/>
    <e v="#REF!"/>
  </r>
  <r>
    <s v="181000"/>
    <x v="6"/>
    <s v="COMPTE DE LIAISON DES ETABLISSEMENTS"/>
    <s v="OD"/>
    <n v="3547.5"/>
    <d v="2025-02-18T00:00:00"/>
    <s v="Liaison inter-établissement"/>
    <s v="Non"/>
    <s v="Non"/>
    <e v="#N/A"/>
    <n v="63517"/>
    <m/>
    <s v="ALTAIR AVOCATS"/>
    <s v="Q1"/>
    <e v="#REF!"/>
    <e v="#REF!"/>
    <e v="#REF!"/>
  </r>
  <r>
    <s v="181000"/>
    <x v="6"/>
    <s v="COMPTE DE LIAISON DES ETABLISSEMENTS"/>
    <s v="OD"/>
    <n v="3568.48"/>
    <d v="2025-11-28T00:00:00"/>
    <s v="Liaison établissement 401000 CHIMIREC TO"/>
    <m/>
    <s v="Non"/>
    <n v="0"/>
    <n v="91213"/>
    <s v="F061358047"/>
    <s v="CHIMIREC CENTRE EST"/>
    <s v="Q4"/>
    <e v="#REF!"/>
    <e v="#REF!"/>
    <e v="#REF!"/>
  </r>
  <r>
    <s v="181000"/>
    <x v="6"/>
    <s v="COMPTE DE LIAISON DES ETABLISSEMENTS"/>
    <s v="OD"/>
    <n v="3574.97"/>
    <d v="2025-12-30T00:00:00"/>
    <s v="Liaison établissement 401000 BIOTIKA TO"/>
    <s v="Non"/>
    <e v="#N/A"/>
    <e v="#N/A"/>
    <n v="93777"/>
    <s v="91250196"/>
    <s v="BIOTIKA"/>
    <s v="Q4"/>
    <e v="#REF!"/>
    <e v="#REF!"/>
    <e v="#REF!"/>
  </r>
  <r>
    <s v="181000"/>
    <x v="6"/>
    <s v="COMPTE DE LIAISON DES ETABLISSEMENTS"/>
    <s v="OD"/>
    <n v="3588"/>
    <d v="2025-04-18T00:00:00"/>
    <s v="Liaison établissement 401000 HAYS TO"/>
    <m/>
    <s v="Non"/>
    <e v="#N/A"/>
    <n v="68189"/>
    <s v="Invoice Payment by Pili"/>
    <s v="HAYS"/>
    <s v="Q2"/>
    <e v="#REF!"/>
    <e v="#REF!"/>
    <e v="#REF!"/>
  </r>
  <r>
    <s v="181000"/>
    <x v="6"/>
    <s v="COMPTE DE LIAISON DES ETABLISSEMENTS"/>
    <s v="OD"/>
    <n v="3684"/>
    <d v="2025-11-28T00:00:00"/>
    <s v="Liaison établissement 401000 ROUSSELET TO"/>
    <s v="Non"/>
    <e v="#N/A"/>
    <e v="#N/A"/>
    <n v="91268"/>
    <s v="FA006465"/>
    <s v="ROUSSELET CENTRIFUGATION"/>
    <s v="Q4"/>
    <e v="#REF!"/>
    <e v="#REF!"/>
    <e v="#REF!"/>
  </r>
  <r>
    <s v="181000"/>
    <x v="6"/>
    <s v="COMPTE DE LIAISON DES ETABLISSEMENTS"/>
    <s v="OD"/>
    <n v="3840"/>
    <d v="2025-02-28T00:00:00"/>
    <s v="Liaison inter-établissement"/>
    <m/>
    <s v="Non"/>
    <e v="#N/A"/>
    <n v="66557"/>
    <m/>
    <s v="AXE GESCOM"/>
    <s v="Q1"/>
    <e v="#REF!"/>
    <e v="#REF!"/>
    <e v="#REF!"/>
  </r>
  <r>
    <s v="181000"/>
    <x v="6"/>
    <s v="COMPTE DE LIAISON DES ETABLISSEMENTS"/>
    <s v="OD"/>
    <n v="3871.32"/>
    <d v="2025-02-28T00:00:00"/>
    <s v="Liaison inter-établissement"/>
    <m/>
    <e v="#N/A"/>
    <e v="#N/A"/>
    <n v="63665"/>
    <m/>
    <s v="FOURE LAGADEC"/>
    <s v="Q1"/>
    <e v="#REF!"/>
    <e v="#REF!"/>
    <e v="#REF!"/>
  </r>
  <r>
    <s v="181000"/>
    <x v="6"/>
    <s v="COMPTE DE LIAISON DES ETABLISSEMENTS"/>
    <s v="OD"/>
    <n v="3875"/>
    <d v="2025-06-16T00:00:00"/>
    <s v="Liaison établissement 401000 BIOTIKA TO"/>
    <s v="Non"/>
    <e v="#N/A"/>
    <e v="#N/A"/>
    <n v="76056"/>
    <s v="TRANSPORT COSTS"/>
    <s v="BIOTIKA"/>
    <s v="Q2"/>
    <e v="#REF!"/>
    <e v="#REF!"/>
    <e v="#REF!"/>
  </r>
  <r>
    <s v="181000"/>
    <x v="6"/>
    <s v="COMPTE DE LIAISON DES ETABLISSEMENTS"/>
    <s v="OD"/>
    <n v="4072"/>
    <d v="2025-09-22T00:00:00"/>
    <s v="Liaison établissement 401000 BIOTIKA TO"/>
    <s v="Non"/>
    <e v="#N/A"/>
    <e v="#N/A"/>
    <n v="82382"/>
    <s v="LOCATION EQUIPEMENT FLOTWEG"/>
    <s v="BIOTIKA"/>
    <s v="Q3"/>
    <e v="#REF!"/>
    <e v="#REF!"/>
    <e v="#REF!"/>
  </r>
  <r>
    <s v="181000"/>
    <x v="6"/>
    <s v="COMPTE DE LIAISON DES ETABLISSEMENTS"/>
    <s v="OD"/>
    <n v="4200"/>
    <d v="2025-12-10T00:00:00"/>
    <s v="Liaison établissement 401000 HIPOLITO TO"/>
    <m/>
    <e v="#N/A"/>
    <e v="#N/A"/>
    <n v="92045"/>
    <s v="PROJET VIDÉO PILI"/>
    <s v="HIPOLITO"/>
    <s v="Q4"/>
    <e v="#REF!"/>
    <e v="#REF!"/>
    <e v="#REF!"/>
  </r>
  <r>
    <s v="181000"/>
    <x v="6"/>
    <s v="COMPTE DE LIAISON DES ETABLISSEMENTS"/>
    <s v="OD"/>
    <n v="4217.22"/>
    <d v="2025-06-16T00:00:00"/>
    <s v="Liaison établissement 401000 MAZARS TO"/>
    <s v="Non"/>
    <s v="Non"/>
    <e v="#N/A"/>
    <n v="76046"/>
    <s v="AUDIT ERD BPI INOV"/>
    <s v="FORVIS MAZARS"/>
    <s v="Q2"/>
    <e v="#REF!"/>
    <e v="#REF!"/>
    <e v="#REF!"/>
  </r>
  <r>
    <s v="181000"/>
    <x v="6"/>
    <s v="COMPTE DE LIAISON DES ETABLISSEMENTS"/>
    <s v="OD"/>
    <n v="4234.1899999999996"/>
    <d v="2025-06-30T00:00:00"/>
    <s v="Liaison inter-établissement vers TO "/>
    <m/>
    <e v="#N/A"/>
    <e v="#N/A"/>
    <n v="78708"/>
    <m/>
    <m/>
    <s v="Q2"/>
    <e v="#REF!"/>
    <e v="#REF!"/>
    <e v="#REF!"/>
  </r>
  <r>
    <s v="181000"/>
    <x v="6"/>
    <s v="COMPTE DE LIAISON DES ETABLISSEMENTS"/>
    <s v="OD"/>
    <n v="4260"/>
    <d v="2025-11-26T00:00:00"/>
    <s v="Liaison inter-établissement"/>
    <m/>
    <e v="#N/A"/>
    <e v="#N/A"/>
    <n v="91861"/>
    <m/>
    <s v="SD TECH"/>
    <s v="Q4"/>
    <e v="#REF!"/>
    <e v="#REF!"/>
    <e v="#REF!"/>
  </r>
  <r>
    <s v="181000"/>
    <x v="6"/>
    <s v="COMPTE DE LIAISON DES ETABLISSEMENTS"/>
    <s v="OD"/>
    <n v="4344"/>
    <d v="2025-01-30T00:00:00"/>
    <s v="Liaison inter-établissement"/>
    <s v="Non"/>
    <e v="#N/A"/>
    <e v="#N/A"/>
    <n v="63753"/>
    <m/>
    <s v="LOPEZ PLOMBERIE ELECTRICITE"/>
    <s v="Q1"/>
    <e v="#REF!"/>
    <e v="#REF!"/>
    <e v="#REF!"/>
  </r>
  <r>
    <s v="181000"/>
    <x v="6"/>
    <s v="COMPTE DE LIAISON DES ETABLISSEMENTS"/>
    <s v="OD"/>
    <n v="4471.5600000000004"/>
    <d v="2025-04-18T00:00:00"/>
    <s v="Liaison établissement 401000 HIPOLITO TO"/>
    <m/>
    <e v="#N/A"/>
    <e v="#N/A"/>
    <n v="68194"/>
    <s v="Invoice Payment by Pili"/>
    <s v="HIPOLITO"/>
    <s v="Q2"/>
    <e v="#REF!"/>
    <e v="#REF!"/>
    <e v="#REF!"/>
  </r>
  <r>
    <s v="181000"/>
    <x v="6"/>
    <s v="COMPTE DE LIAISON DES ETABLISSEMENTS"/>
    <s v="OD"/>
    <n v="4560"/>
    <d v="2025-02-28T00:00:00"/>
    <s v="Liaison inter-établissement"/>
    <m/>
    <e v="#N/A"/>
    <e v="#N/A"/>
    <n v="63649"/>
    <m/>
    <s v="DROOMS"/>
    <s v="Q1"/>
    <e v="#REF!"/>
    <e v="#REF!"/>
    <e v="#REF!"/>
  </r>
  <r>
    <s v="181000"/>
    <x v="6"/>
    <s v="COMPTE DE LIAISON DES ETABLISSEMENTS"/>
    <s v="OD"/>
    <n v="4632.59"/>
    <d v="2025-04-18T00:00:00"/>
    <s v="Liaison établissement 401000 BIOADVICE TO"/>
    <s v="Non"/>
    <s v="Non"/>
    <e v="#N/A"/>
    <n v="68144"/>
    <s v="Invoice Payment by Pili"/>
    <s v="BIOADVICE"/>
    <s v="Q2"/>
    <e v="#REF!"/>
    <e v="#REF!"/>
    <e v="#REF!"/>
  </r>
  <r>
    <s v="181000"/>
    <x v="6"/>
    <s v="COMPTE DE LIAISON DES ETABLISSEMENTS"/>
    <s v="OD"/>
    <n v="4752"/>
    <d v="2025-03-18T00:00:00"/>
    <s v="Liaison inter-établissement"/>
    <m/>
    <s v="Non"/>
    <e v="#N/A"/>
    <n v="66550"/>
    <m/>
    <s v="AXE GESCOM"/>
    <s v="Q1"/>
    <e v="#REF!"/>
    <e v="#REF!"/>
    <e v="#REF!"/>
  </r>
  <r>
    <s v="181000"/>
    <x v="6"/>
    <s v="COMPTE DE LIAISON DES ETABLISSEMENTS"/>
    <s v="OD"/>
    <n v="4782.96"/>
    <d v="2025-02-18T00:00:00"/>
    <s v="Liaison inter-établissement"/>
    <m/>
    <e v="#N/A"/>
    <e v="#N/A"/>
    <n v="63669"/>
    <m/>
    <s v="FOURE LAGADEC"/>
    <s v="Q1"/>
    <e v="#REF!"/>
    <e v="#REF!"/>
    <e v="#REF!"/>
  </r>
  <r>
    <s v="181000"/>
    <x v="6"/>
    <s v="COMPTE DE LIAISON DES ETABLISSEMENTS"/>
    <s v="OD"/>
    <n v="4979.78"/>
    <d v="2025-11-14T00:00:00"/>
    <s v="Liaison établissement 401000 COTE TO"/>
    <m/>
    <e v="#N/A"/>
    <e v="#N/A"/>
    <n v="90008"/>
    <s v="PRISES LABORATOIRE : 1775.13€ PRISES ATEX : 4130.91€ ALIMENTATION CLIM + AIR : 1501.94€ PLANS : 872.75€"/>
    <s v="COTE"/>
    <s v="Q4"/>
    <e v="#REF!"/>
    <e v="#REF!"/>
    <e v="#REF!"/>
  </r>
  <r>
    <s v="181000"/>
    <x v="6"/>
    <s v="COMPTE DE LIAISON DES ETABLISSEMENTS"/>
    <s v="OD"/>
    <n v="5000"/>
    <d v="2025-06-29T00:00:00"/>
    <s v="Liaison inter-établissement vers KB "/>
    <m/>
    <e v="#N/A"/>
    <e v="#N/A"/>
    <n v="77549"/>
    <m/>
    <m/>
    <s v="Q2"/>
    <e v="#REF!"/>
    <e v="#REF!"/>
    <e v="#REF!"/>
  </r>
  <r>
    <s v="181000"/>
    <x v="6"/>
    <s v="COMPTE DE LIAISON DES ETABLISSEMENTS"/>
    <s v="OD"/>
    <n v="5000"/>
    <d v="2025-06-30T00:00:00"/>
    <s v="Liaison établissement 401000 BIOTIKA TO"/>
    <s v="Non"/>
    <e v="#N/A"/>
    <e v="#N/A"/>
    <n v="76882"/>
    <s v="SUMMARY REPORT - AGREEMENT"/>
    <s v="BIOTIKA"/>
    <s v="Q2"/>
    <e v="#REF!"/>
    <e v="#REF!"/>
    <e v="#REF!"/>
  </r>
  <r>
    <s v="181000"/>
    <x v="6"/>
    <s v="COMPTE DE LIAISON DES ETABLISSEMENTS"/>
    <s v="OD"/>
    <n v="5000"/>
    <d v="2025-07-09T00:00:00"/>
    <s v="Liaison établissement 401000 BIOTIKA TO"/>
    <s v="Non"/>
    <e v="#N/A"/>
    <e v="#N/A"/>
    <n v="77201"/>
    <s v="AGREEMENT  PHOENIX I - FACTURE FINALE - RAPPORT"/>
    <s v="BIOTIKA"/>
    <s v="Q3"/>
    <e v="#REF!"/>
    <e v="#REF!"/>
    <e v="#REF!"/>
  </r>
  <r>
    <s v="181000"/>
    <x v="6"/>
    <s v="COMPTE DE LIAISON DES ETABLISSEMENTS"/>
    <s v="OD"/>
    <n v="5040"/>
    <d v="2025-10-03T00:00:00"/>
    <s v="Liaison établissement 401000 DMI TO"/>
    <m/>
    <e v="#N/A"/>
    <e v="#N/A"/>
    <n v="82710"/>
    <s v="FACT1903"/>
    <s v="DMI"/>
    <s v="Q4"/>
    <e v="#REF!"/>
    <e v="#REF!"/>
    <e v="#REF!"/>
  </r>
  <r>
    <s v="181000"/>
    <x v="6"/>
    <s v="COMPTE DE LIAISON DES ETABLISSEMENTS"/>
    <s v="OD"/>
    <n v="5082.07"/>
    <d v="2025-01-30T00:00:00"/>
    <s v="Liaison inter-établissement"/>
    <m/>
    <s v="Non"/>
    <n v="0"/>
    <n v="63673"/>
    <m/>
    <s v="CHIMIREC CENTRE EST"/>
    <s v="Q1"/>
    <e v="#REF!"/>
    <e v="#REF!"/>
    <e v="#REF!"/>
  </r>
  <r>
    <s v="181000"/>
    <x v="6"/>
    <s v="COMPTE DE LIAISON DES ETABLISSEMENTS"/>
    <s v="OD"/>
    <n v="5217.95"/>
    <d v="2025-11-14T00:00:00"/>
    <s v="Liaison établissement 401000 BIOTIKA TO"/>
    <s v="Non"/>
    <e v="#N/A"/>
    <e v="#N/A"/>
    <n v="89997"/>
    <s v="91250161"/>
    <s v="BIOTIKA"/>
    <s v="Q4"/>
    <e v="#REF!"/>
    <e v="#REF!"/>
    <e v="#REF!"/>
  </r>
  <r>
    <s v="181000"/>
    <x v="6"/>
    <s v="COMPTE DE LIAISON DES ETABLISSEMENTS"/>
    <s v="OD"/>
    <n v="5328.4"/>
    <d v="2025-11-19T00:00:00"/>
    <s v="Liaison établissement 401000 BIOTIKA TO"/>
    <s v="Non"/>
    <e v="#N/A"/>
    <e v="#N/A"/>
    <n v="90502"/>
    <s v="91250170"/>
    <s v="BIOTIKA"/>
    <s v="Q4"/>
    <e v="#REF!"/>
    <e v="#REF!"/>
    <e v="#REF!"/>
  </r>
  <r>
    <s v="181000"/>
    <x v="6"/>
    <s v="COMPTE DE LIAISON DES ETABLISSEMENTS"/>
    <s v="OD"/>
    <n v="5400"/>
    <d v="2025-03-18T00:00:00"/>
    <s v="Liaison inter-établissement"/>
    <s v="Oui"/>
    <s v="Non"/>
    <e v="#N/A"/>
    <n v="70036"/>
    <m/>
    <s v="CONSEIL CPP"/>
    <s v="Q1"/>
    <e v="#REF!"/>
    <e v="#REF!"/>
    <e v="#REF!"/>
  </r>
  <r>
    <s v="181000"/>
    <x v="6"/>
    <s v="COMPTE DE LIAISON DES ETABLISSEMENTS"/>
    <s v="OD"/>
    <n v="5412"/>
    <d v="2025-12-08T00:00:00"/>
    <s v="Liaison établissement 401000 SCMI TO"/>
    <m/>
    <e v="#N/A"/>
    <e v="#N/A"/>
    <n v="91344"/>
    <s v="FA25-08-15222"/>
    <s v="SCMI"/>
    <s v="Q4"/>
    <e v="#REF!"/>
    <e v="#REF!"/>
    <e v="#REF!"/>
  </r>
  <r>
    <s v="181000"/>
    <x v="6"/>
    <s v="COMPTE DE LIAISON DES ETABLISSEMENTS"/>
    <s v="OD"/>
    <n v="5415.12"/>
    <d v="2025-04-15T00:00:00"/>
    <s v="Liaison inter-établissement"/>
    <m/>
    <e v="#N/A"/>
    <e v="#N/A"/>
    <n v="69975"/>
    <m/>
    <s v="FISHER SCIENTIFIC"/>
    <s v="Q2"/>
    <e v="#REF!"/>
    <e v="#REF!"/>
    <e v="#REF!"/>
  </r>
  <r>
    <s v="181000"/>
    <x v="6"/>
    <s v="COMPTE DE LIAISON DES ETABLISSEMENTS"/>
    <s v="OD"/>
    <n v="5532"/>
    <d v="2025-02-18T00:00:00"/>
    <s v="Liaison inter-établissement"/>
    <m/>
    <e v="#N/A"/>
    <e v="#N/A"/>
    <n v="63809"/>
    <m/>
    <s v="REED EXHIBITIONS LTD"/>
    <s v="Q1"/>
    <e v="#REF!"/>
    <e v="#REF!"/>
    <e v="#REF!"/>
  </r>
  <r>
    <s v="181000"/>
    <x v="6"/>
    <s v="COMPTE DE LIAISON DES ETABLISSEMENTS"/>
    <s v="OD"/>
    <n v="5686.19"/>
    <d v="2025-12-08T00:00:00"/>
    <s v="Liaison établissement 401000 BIOADVICE TO"/>
    <s v="Non"/>
    <s v="Non"/>
    <e v="#N/A"/>
    <n v="91349"/>
    <s v="F2025-013-PILI"/>
    <s v="BIOADVICE"/>
    <s v="Q4"/>
    <e v="#REF!"/>
    <e v="#REF!"/>
    <e v="#REF!"/>
  </r>
  <r>
    <s v="181000"/>
    <x v="6"/>
    <s v="COMPTE DE LIAISON DES ETABLISSEMENTS"/>
    <s v="OD"/>
    <n v="5702.6"/>
    <d v="2025-02-28T00:00:00"/>
    <s v="Liaison inter-établissement"/>
    <m/>
    <s v="Non"/>
    <e v="#N/A"/>
    <n v="66531"/>
    <m/>
    <s v="AXE GESCOM"/>
    <s v="Q1"/>
    <e v="#REF!"/>
    <e v="#REF!"/>
    <e v="#REF!"/>
  </r>
  <r>
    <s v="181000"/>
    <x v="6"/>
    <s v="COMPTE DE LIAISON DES ETABLISSEMENTS"/>
    <s v="OD"/>
    <n v="5708.53"/>
    <d v="2025-06-30T00:00:00"/>
    <s v="Liaison inter-établissement vers TO "/>
    <m/>
    <e v="#N/A"/>
    <e v="#N/A"/>
    <n v="78516"/>
    <m/>
    <m/>
    <s v="Q2"/>
    <e v="#REF!"/>
    <e v="#REF!"/>
    <e v="#REF!"/>
  </r>
  <r>
    <s v="181000"/>
    <x v="6"/>
    <s v="COMPTE DE LIAISON DES ETABLISSEMENTS"/>
    <s v="OD"/>
    <n v="5720.71"/>
    <d v="2025-08-18T00:00:00"/>
    <s v="Liaison établissement 401000 CHIMIREC TO"/>
    <m/>
    <s v="Non"/>
    <n v="0"/>
    <n v="81123"/>
    <s v="F061352698"/>
    <s v="CHIMIREC CENTRE EST"/>
    <s v="Q3"/>
    <e v="#REF!"/>
    <e v="#REF!"/>
    <e v="#REF!"/>
  </r>
  <r>
    <s v="181000"/>
    <x v="6"/>
    <s v="COMPTE DE LIAISON DES ETABLISSEMENTS"/>
    <s v="OD"/>
    <n v="5876"/>
    <d v="2025-12-16T00:00:00"/>
    <s v="Liaison inter-établissement"/>
    <m/>
    <e v="#N/A"/>
    <e v="#N/A"/>
    <n v="95659"/>
    <m/>
    <m/>
    <s v="Q4"/>
    <e v="#REF!"/>
    <e v="#REF!"/>
    <e v="#REF!"/>
  </r>
  <r>
    <s v="181000"/>
    <x v="6"/>
    <s v="COMPTE DE LIAISON DES ETABLISSEMENTS"/>
    <s v="OD"/>
    <n v="6000"/>
    <d v="2025-02-28T00:00:00"/>
    <s v="Liaison inter-établissement"/>
    <m/>
    <e v="#N/A"/>
    <e v="#N/A"/>
    <n v="63927"/>
    <m/>
    <s v="UBIQUITIZ CONSULTING"/>
    <s v="Q1"/>
    <e v="#REF!"/>
    <e v="#REF!"/>
    <e v="#REF!"/>
  </r>
  <r>
    <s v="181000"/>
    <x v="6"/>
    <s v="COMPTE DE LIAISON DES ETABLISSEMENTS"/>
    <s v="OD"/>
    <n v="6000"/>
    <d v="2025-06-26T00:00:00"/>
    <s v="Liaison établissement 401000 INSIDE TO"/>
    <s v="Non"/>
    <s v="Non"/>
    <e v="#N/A"/>
    <n v="76328"/>
    <s v="INVOICE PAYMENT BY PILI"/>
    <s v="INSIDE MANAGEMENT"/>
    <s v="Q2"/>
    <e v="#REF!"/>
    <e v="#REF!"/>
    <e v="#REF!"/>
  </r>
  <r>
    <s v="181000"/>
    <x v="6"/>
    <s v="COMPTE DE LIAISON DES ETABLISSEMENTS"/>
    <s v="OD"/>
    <n v="6024.43"/>
    <d v="2025-03-31T00:00:00"/>
    <s v="Liaison inter-établissement vers TO "/>
    <m/>
    <e v="#N/A"/>
    <e v="#N/A"/>
    <n v="70274"/>
    <m/>
    <m/>
    <s v="Q1"/>
    <e v="#REF!"/>
    <e v="#REF!"/>
    <e v="#REF!"/>
  </r>
  <r>
    <s v="181000"/>
    <x v="6"/>
    <s v="COMPTE DE LIAISON DES ETABLISSEMENTS"/>
    <s v="OD"/>
    <n v="6141.33"/>
    <d v="2025-12-31T00:00:00"/>
    <s v="Liaison inter-établissement vers TO "/>
    <m/>
    <e v="#N/A"/>
    <e v="#N/A"/>
    <n v="96171"/>
    <m/>
    <m/>
    <s v="Q4"/>
    <e v="#REF!"/>
    <e v="#REF!"/>
    <e v="#REF!"/>
  </r>
  <r>
    <s v="181000"/>
    <x v="6"/>
    <s v="COMPTE DE LIAISON DES ETABLISSEMENTS"/>
    <s v="OD"/>
    <n v="6171.17"/>
    <d v="2025-04-28T00:00:00"/>
    <s v="Liaison inter-établissement"/>
    <s v="Non"/>
    <s v="Non"/>
    <e v="#N/A"/>
    <n v="70539"/>
    <m/>
    <s v="BDO EXPERTISE"/>
    <s v="Q2"/>
    <e v="#REF!"/>
    <e v="#REF!"/>
    <e v="#REF!"/>
  </r>
  <r>
    <s v="181000"/>
    <x v="6"/>
    <s v="COMPTE DE LIAISON DES ETABLISSEMENTS"/>
    <s v="OD"/>
    <n v="6210"/>
    <d v="2025-01-01T00:00:00"/>
    <s v="Liaison inter-établissement vers TO "/>
    <m/>
    <e v="#N/A"/>
    <e v="#N/A"/>
    <n v="86622"/>
    <m/>
    <m/>
    <s v="Q1"/>
    <e v="#REF!"/>
    <e v="#REF!"/>
    <e v="#REF!"/>
  </r>
  <r>
    <s v="181000"/>
    <x v="6"/>
    <s v="COMPTE DE LIAISON DES ETABLISSEMENTS"/>
    <s v="OD"/>
    <n v="6389.4"/>
    <d v="2025-11-04T00:00:00"/>
    <s v="Liaison établissement 401000 BECKER TO"/>
    <s v="Non"/>
    <s v="Oui"/>
    <e v="#N/A"/>
    <n v="88018"/>
    <s v="ETUDE PI, FTO ET PRÉPARATION AU DÉPÔT D'EXTENSION PCT PALOMA CHIMIE"/>
    <s v="BECKER"/>
    <s v="Q4"/>
    <e v="#REF!"/>
    <e v="#REF!"/>
    <e v="#REF!"/>
  </r>
  <r>
    <s v="181000"/>
    <x v="6"/>
    <s v="COMPTE DE LIAISON DES ETABLISSEMENTS"/>
    <s v="OD"/>
    <n v="6591.56"/>
    <d v="2025-08-18T00:00:00"/>
    <s v="Liaison établissement 401000 TRICIA CAREY TO"/>
    <s v="Non"/>
    <s v="Non"/>
    <e v="#N/A"/>
    <n v="81112"/>
    <s v="FACTURE T CARREY CONSULTANTE GO TO MARKET INDIGO - FACTURE FINALE"/>
    <s v="TRICIA CAREY"/>
    <s v="Q3"/>
    <e v="#REF!"/>
    <e v="#REF!"/>
    <e v="#REF!"/>
  </r>
  <r>
    <s v="181000"/>
    <x v="6"/>
    <s v="COMPTE DE LIAISON DES ETABLISSEMENTS"/>
    <s v="OD"/>
    <n v="6610"/>
    <d v="2025-06-30T00:00:00"/>
    <s v="Liaison établissement 401000 DOTMATICS TO"/>
    <s v="Non"/>
    <e v="#N/A"/>
    <e v="#N/A"/>
    <n v="76898"/>
    <s v="LICENCES DOTMATICS 2025_06 À 2026_05 - 1 READ ONLY - 5 ADDITIONAL CHEMISTRY"/>
    <s v="DOTMATICS LIMITED"/>
    <s v="Q2"/>
    <e v="#REF!"/>
    <e v="#REF!"/>
    <e v="#REF!"/>
  </r>
  <r>
    <s v="181000"/>
    <x v="6"/>
    <s v="COMPTE DE LIAISON DES ETABLISSEMENTS"/>
    <s v="OD"/>
    <n v="6623.52"/>
    <d v="2025-07-31T00:00:00"/>
    <s v="Liaison établissement 401000 OSIRIS TO"/>
    <s v="Non"/>
    <s v="Non"/>
    <e v="#N/A"/>
    <n v="79287"/>
    <s v="DIVERS OSIRIS"/>
    <s v="OSIRIS"/>
    <s v="Q3"/>
    <e v="#REF!"/>
    <e v="#REF!"/>
    <e v="#REF!"/>
  </r>
  <r>
    <s v="181000"/>
    <x v="6"/>
    <s v="COMPTE DE LIAISON DES ETABLISSEMENTS"/>
    <s v="OD"/>
    <n v="6806.45"/>
    <d v="2025-06-30T00:00:00"/>
    <s v="Liaison inter-établissement vers TO "/>
    <m/>
    <e v="#N/A"/>
    <e v="#N/A"/>
    <n v="78718"/>
    <m/>
    <m/>
    <s v="Q2"/>
    <e v="#REF!"/>
    <e v="#REF!"/>
    <e v="#REF!"/>
  </r>
  <r>
    <s v="181000"/>
    <x v="6"/>
    <s v="COMPTE DE LIAISON DES ETABLISSEMENTS"/>
    <s v="OD"/>
    <n v="6859.79"/>
    <d v="2025-02-28T00:00:00"/>
    <s v="Liaison inter-établissement"/>
    <s v="Non"/>
    <s v="Non"/>
    <e v="#N/A"/>
    <n v="63777"/>
    <m/>
    <s v="OSIRIS"/>
    <s v="Q1"/>
    <e v="#REF!"/>
    <e v="#REF!"/>
    <e v="#REF!"/>
  </r>
  <r>
    <s v="181000"/>
    <x v="6"/>
    <s v="COMPTE DE LIAISON DES ETABLISSEMENTS"/>
    <s v="OD"/>
    <n v="6867.36"/>
    <d v="2025-03-31T00:00:00"/>
    <s v="Liaison inter-établissement vers TO "/>
    <m/>
    <e v="#N/A"/>
    <e v="#N/A"/>
    <n v="68497"/>
    <m/>
    <m/>
    <s v="Q1"/>
    <e v="#REF!"/>
    <e v="#REF!"/>
    <e v="#REF!"/>
  </r>
  <r>
    <s v="181000"/>
    <x v="6"/>
    <s v="COMPTE DE LIAISON DES ETABLISSEMENTS"/>
    <s v="OD"/>
    <n v="6952.17"/>
    <d v="2025-04-02T00:00:00"/>
    <s v="Liaison inter-établissement"/>
    <s v="Non"/>
    <s v="Non"/>
    <e v="#N/A"/>
    <n v="68136"/>
    <m/>
    <s v="TRICIA CAREY"/>
    <s v="Q2"/>
    <e v="#REF!"/>
    <e v="#REF!"/>
    <e v="#REF!"/>
  </r>
  <r>
    <s v="181000"/>
    <x v="6"/>
    <s v="COMPTE DE LIAISON DES ETABLISSEMENTS"/>
    <s v="OD"/>
    <n v="6998.2"/>
    <d v="2025-09-30T00:00:00"/>
    <s v="Liaison inter-établissement"/>
    <m/>
    <e v="#N/A"/>
    <e v="#N/A"/>
    <n v="87234"/>
    <m/>
    <m/>
    <s v="Q3"/>
    <e v="#REF!"/>
    <e v="#REF!"/>
    <e v="#REF!"/>
  </r>
  <r>
    <s v="181000"/>
    <x v="6"/>
    <s v="COMPTE DE LIAISON DES ETABLISSEMENTS"/>
    <s v="OD"/>
    <n v="6998.2"/>
    <d v="2025-09-30T00:00:00"/>
    <s v="Liaison inter-établissement vers TO "/>
    <m/>
    <e v="#N/A"/>
    <e v="#N/A"/>
    <n v="87241"/>
    <m/>
    <m/>
    <s v="Q3"/>
    <e v="#REF!"/>
    <e v="#REF!"/>
    <e v="#REF!"/>
  </r>
  <r>
    <s v="181000"/>
    <x v="6"/>
    <s v="COMPTE DE LIAISON DES ETABLISSEMENTS"/>
    <s v="OD"/>
    <n v="7014.63"/>
    <d v="2025-03-31T00:00:00"/>
    <s v="Liaison inter-établissement vers TO "/>
    <m/>
    <e v="#N/A"/>
    <e v="#N/A"/>
    <n v="70259"/>
    <m/>
    <m/>
    <s v="Q1"/>
    <e v="#REF!"/>
    <e v="#REF!"/>
    <e v="#REF!"/>
  </r>
  <r>
    <s v="181000"/>
    <x v="6"/>
    <s v="COMPTE DE LIAISON DES ETABLISSEMENTS"/>
    <s v="OD"/>
    <n v="7326.34"/>
    <d v="2025-06-30T00:00:00"/>
    <s v="Liaison inter-établissement vers TO "/>
    <m/>
    <e v="#N/A"/>
    <e v="#N/A"/>
    <n v="78691"/>
    <m/>
    <m/>
    <s v="Q2"/>
    <e v="#REF!"/>
    <e v="#REF!"/>
    <e v="#REF!"/>
  </r>
  <r>
    <s v="181000"/>
    <x v="6"/>
    <s v="COMPTE DE LIAISON DES ETABLISSEMENTS"/>
    <s v="OD"/>
    <n v="7437.6"/>
    <d v="2025-04-02T00:00:00"/>
    <s v="Liaison établissement 401000 3BCLIM TO"/>
    <m/>
    <e v="#N/A"/>
    <e v="#N/A"/>
    <n v="66478"/>
    <s v="CONTRAT DE MAINTENANCE N°CT0662 - PÉRIODE DU 01/03/2025 AU 28/02/2026"/>
    <s v="3BCLIM"/>
    <s v="Q2"/>
    <e v="#REF!"/>
    <e v="#REF!"/>
    <e v="#REF!"/>
  </r>
  <r>
    <s v="181000"/>
    <x v="6"/>
    <s v="COMPTE DE LIAISON DES ETABLISSEMENTS"/>
    <s v="OD"/>
    <n v="7680"/>
    <d v="2025-01-07T00:00:00"/>
    <s v="Liaison inter-établissement"/>
    <m/>
    <e v="#N/A"/>
    <e v="#N/A"/>
    <n v="63641"/>
    <m/>
    <s v="CISION"/>
    <s v="Q1"/>
    <e v="#REF!"/>
    <e v="#REF!"/>
    <e v="#REF!"/>
  </r>
  <r>
    <s v="181000"/>
    <x v="6"/>
    <s v="COMPTE DE LIAISON DES ETABLISSEMENTS"/>
    <s v="OD"/>
    <n v="7781.48"/>
    <d v="2025-08-22T00:00:00"/>
    <s v="Liaison établissement 401000 OSIRIS TO"/>
    <s v="Non"/>
    <s v="Non"/>
    <e v="#N/A"/>
    <n v="81582"/>
    <s v="DIVERS OSIRIS : PRESTATIONS DE SERVICE, LABORATOIRE, STOCKAGE PALETTES"/>
    <s v="OSIRIS"/>
    <s v="Q3"/>
    <e v="#REF!"/>
    <e v="#REF!"/>
    <e v="#REF!"/>
  </r>
  <r>
    <s v="181000"/>
    <x v="6"/>
    <s v="COMPTE DE LIAISON DES ETABLISSEMENTS"/>
    <s v="OD"/>
    <n v="8137.74"/>
    <d v="2025-03-31T00:00:00"/>
    <s v="Liaison inter-établissement"/>
    <m/>
    <e v="#N/A"/>
    <e v="#N/A"/>
    <n v="68489"/>
    <m/>
    <m/>
    <s v="Q1"/>
    <e v="#REF!"/>
    <e v="#REF!"/>
    <e v="#REF!"/>
  </r>
  <r>
    <s v="181000"/>
    <x v="6"/>
    <s v="COMPTE DE LIAISON DES ETABLISSEMENTS"/>
    <s v="OD"/>
    <n v="8137.74"/>
    <d v="2025-03-31T00:00:00"/>
    <s v="Liaison inter-établissement vers TO "/>
    <m/>
    <e v="#N/A"/>
    <e v="#N/A"/>
    <n v="68494"/>
    <m/>
    <m/>
    <s v="Q1"/>
    <e v="#REF!"/>
    <e v="#REF!"/>
    <e v="#REF!"/>
  </r>
  <r>
    <s v="181000"/>
    <x v="6"/>
    <s v="COMPTE DE LIAISON DES ETABLISSEMENTS"/>
    <s v="OD"/>
    <n v="8400"/>
    <d v="2025-01-02T00:00:00"/>
    <s v="Liaison inter-établissement"/>
    <m/>
    <e v="#N/A"/>
    <e v="#N/A"/>
    <n v="63919"/>
    <m/>
    <s v="TECHNIP ENERGIES FRANCE"/>
    <s v="Q1"/>
    <e v="#REF!"/>
    <e v="#REF!"/>
    <e v="#REF!"/>
  </r>
  <r>
    <s v="181000"/>
    <x v="6"/>
    <s v="COMPTE DE LIAISON DES ETABLISSEMENTS"/>
    <s v="OD"/>
    <n v="8400"/>
    <d v="2025-06-26T00:00:00"/>
    <s v="Liaison établissement 401000 INSIDE TO"/>
    <s v="Non"/>
    <s v="Non"/>
    <e v="#N/A"/>
    <n v="76336"/>
    <s v="INVOICE PAYMENT BY PILI"/>
    <s v="INSIDE MANAGEMENT"/>
    <s v="Q2"/>
    <e v="#REF!"/>
    <e v="#REF!"/>
    <e v="#REF!"/>
  </r>
  <r>
    <s v="181000"/>
    <x v="6"/>
    <s v="COMPTE DE LIAISON DES ETABLISSEMENTS"/>
    <s v="OD"/>
    <n v="8729.66"/>
    <d v="2025-06-02T00:00:00"/>
    <s v="Liaison établissement 401000 OSIRIS TO"/>
    <s v="Non"/>
    <s v="Non"/>
    <e v="#N/A"/>
    <n v="75289"/>
    <s v="Invoice Payment By Pili"/>
    <s v="OSIRIS"/>
    <s v="Q2"/>
    <e v="#REF!"/>
    <e v="#REF!"/>
    <e v="#REF!"/>
  </r>
  <r>
    <s v="181000"/>
    <x v="6"/>
    <s v="COMPTE DE LIAISON DES ETABLISSEMENTS"/>
    <s v="OD"/>
    <n v="8763.7000000000007"/>
    <d v="2025-08-21T00:00:00"/>
    <s v="Liaison établissement 401000 BECKER TO"/>
    <s v="Non"/>
    <s v="Oui"/>
    <e v="#N/A"/>
    <n v="81417"/>
    <s v="SUITE ENTRÉE EN PHASE NATIONALE USA - BREVET PHOENIX"/>
    <s v="BECKER"/>
    <s v="Q3"/>
    <e v="#REF!"/>
    <e v="#REF!"/>
    <e v="#REF!"/>
  </r>
  <r>
    <s v="181000"/>
    <x v="6"/>
    <s v="COMPTE DE LIAISON DES ETABLISSEMENTS"/>
    <s v="OD"/>
    <n v="8792.08"/>
    <d v="2025-06-30T00:00:00"/>
    <s v="Liaison inter-établissement vers TO "/>
    <m/>
    <e v="#N/A"/>
    <e v="#N/A"/>
    <n v="78671"/>
    <m/>
    <m/>
    <s v="Q2"/>
    <e v="#REF!"/>
    <e v="#REF!"/>
    <e v="#REF!"/>
  </r>
  <r>
    <s v="181000"/>
    <x v="6"/>
    <s v="COMPTE DE LIAISON DES ETABLISSEMENTS"/>
    <s v="OD"/>
    <n v="8967.9"/>
    <d v="2025-07-25T00:00:00"/>
    <s v="Liaison inter-établissement"/>
    <s v="Non"/>
    <e v="#N/A"/>
    <e v="#N/A"/>
    <n v="78610"/>
    <m/>
    <s v="BIOTIKA"/>
    <s v="Q3"/>
    <e v="#REF!"/>
    <e v="#REF!"/>
    <e v="#REF!"/>
  </r>
  <r>
    <s v="181000"/>
    <x v="6"/>
    <s v="COMPTE DE LIAISON DES ETABLISSEMENTS"/>
    <s v="OD"/>
    <n v="9000"/>
    <d v="2025-06-24T00:00:00"/>
    <s v="Liaison établissement 401000 MANACH TO"/>
    <s v="Non"/>
    <s v="Non"/>
    <e v="#N/A"/>
    <n v="76168"/>
    <s v="PARTICIPATION BOARD MICHEL MANACH"/>
    <s v="Michel Manach"/>
    <s v="Q2"/>
    <e v="#REF!"/>
    <e v="#REF!"/>
    <e v="#REF!"/>
  </r>
  <r>
    <s v="181000"/>
    <x v="6"/>
    <s v="COMPTE DE LIAISON DES ETABLISSEMENTS"/>
    <s v="OD"/>
    <n v="9000"/>
    <d v="2025-12-31T00:00:00"/>
    <s v="Liaison établissement 401000 CNAM TO"/>
    <m/>
    <e v="#N/A"/>
    <e v="#N/A"/>
    <n v="93876"/>
    <s v="2110000565"/>
    <s v="CNAM"/>
    <s v="Q4"/>
    <e v="#REF!"/>
    <e v="#REF!"/>
    <e v="#REF!"/>
  </r>
  <r>
    <s v="181000"/>
    <x v="6"/>
    <s v="COMPTE DE LIAISON DES ETABLISSEMENTS"/>
    <s v="OD"/>
    <n v="9444.6"/>
    <d v="2025-07-01T00:00:00"/>
    <s v="Liaison établissement 401000 OSIRIS TO"/>
    <s v="Non"/>
    <s v="Non"/>
    <e v="#N/A"/>
    <n v="76836"/>
    <s v="FACTURE MENSUELLE OSIRIS"/>
    <s v="OSIRIS"/>
    <s v="Q3"/>
    <e v="#REF!"/>
    <e v="#REF!"/>
    <e v="#REF!"/>
  </r>
  <r>
    <s v="181000"/>
    <x v="6"/>
    <s v="COMPTE DE LIAISON DES ETABLISSEMENTS"/>
    <s v="OD"/>
    <n v="9450"/>
    <d v="2025-11-28T00:00:00"/>
    <s v="Liaison établissement 401000 QWINCY TO"/>
    <s v="Non"/>
    <s v="Non"/>
    <e v="#N/A"/>
    <n v="91198"/>
    <s v="F2025050087"/>
    <s v="QWINCY"/>
    <s v="Q4"/>
    <e v="#REF!"/>
    <e v="#REF!"/>
    <e v="#REF!"/>
  </r>
  <r>
    <s v="181000"/>
    <x v="6"/>
    <s v="COMPTE DE LIAISON DES ETABLISSEMENTS"/>
    <s v="OD"/>
    <n v="9720"/>
    <d v="2025-07-31T00:00:00"/>
    <s v="Liaison établissement 401000 CONSEILCPP TO"/>
    <s v="Oui"/>
    <s v="Non"/>
    <e v="#N/A"/>
    <n v="79267"/>
    <s v="ACTIVITÉ DE CONSEIL RÉALISÉE SOUS LA DIRECTION DE MONSIEUR GUILLAUME BOISSONNAT"/>
    <s v="CONSEIL CPP"/>
    <s v="Q3"/>
    <e v="#REF!"/>
    <e v="#REF!"/>
    <e v="#REF!"/>
  </r>
  <r>
    <s v="181000"/>
    <x v="6"/>
    <s v="COMPTE DE LIAISON DES ETABLISSEMENTS"/>
    <s v="OD"/>
    <n v="10093.799999999999"/>
    <d v="2025-06-16T00:00:00"/>
    <s v="Liaison établissement 401000 RIBIERE TO"/>
    <m/>
    <e v="#N/A"/>
    <e v="#N/A"/>
    <n v="76026"/>
    <s v="DEMO : SÉCURISATION ZONE DÉMONSTRATEUR : - FONDATION POTEAUX EXISTANTS - TERRASSEMENT"/>
    <s v="RIBIERE"/>
    <s v="Q2"/>
    <e v="#REF!"/>
    <e v="#REF!"/>
    <e v="#REF!"/>
  </r>
  <r>
    <s v="181000"/>
    <x v="6"/>
    <s v="COMPTE DE LIAISON DES ETABLISSEMENTS"/>
    <s v="OD"/>
    <n v="10200"/>
    <d v="2025-02-20T00:00:00"/>
    <s v="Liaison inter-établissement"/>
    <s v="Non"/>
    <e v="#N/A"/>
    <e v="#N/A"/>
    <n v="63757"/>
    <m/>
    <s v="MAMA DATA"/>
    <s v="Q1"/>
    <e v="#REF!"/>
    <e v="#REF!"/>
    <e v="#REF!"/>
  </r>
  <r>
    <s v="181000"/>
    <x v="6"/>
    <s v="COMPTE DE LIAISON DES ETABLISSEMENTS"/>
    <s v="OD"/>
    <n v="10380"/>
    <d v="2025-11-28T00:00:00"/>
    <s v="Liaison établissement 401000 KYMONO TO"/>
    <m/>
    <e v="#N/A"/>
    <e v="#N/A"/>
    <n v="91203"/>
    <s v="FACT-20251103-23126"/>
    <s v="Kymono"/>
    <s v="Q4"/>
    <e v="#REF!"/>
    <e v="#REF!"/>
    <e v="#REF!"/>
  </r>
  <r>
    <s v="181000"/>
    <x v="6"/>
    <s v="COMPTE DE LIAISON DES ETABLISSEMENTS"/>
    <s v="OD"/>
    <n v="10500"/>
    <d v="2025-09-10T00:00:00"/>
    <s v="Liaison établissement 401000 QWINCY TO"/>
    <s v="Non"/>
    <s v="Non"/>
    <e v="#N/A"/>
    <n v="81981"/>
    <s v="PRESTATION DE SERVICES, AVRIL 2025"/>
    <s v="QWINCY"/>
    <s v="Q3"/>
    <e v="#REF!"/>
    <e v="#REF!"/>
    <e v="#REF!"/>
  </r>
  <r>
    <s v="181000"/>
    <x v="6"/>
    <s v="COMPTE DE LIAISON DES ETABLISSEMENTS"/>
    <s v="OD"/>
    <n v="10500"/>
    <d v="2025-11-04T00:00:00"/>
    <s v="Liaison établissement 401000 QWINCY TO"/>
    <s v="Non"/>
    <s v="Non"/>
    <e v="#N/A"/>
    <n v="88007"/>
    <s v="PRESTATION DE SERVICES, AVRIL 2025"/>
    <s v="QWINCY"/>
    <s v="Q4"/>
    <e v="#REF!"/>
    <e v="#REF!"/>
    <e v="#REF!"/>
  </r>
  <r>
    <s v="181000"/>
    <x v="6"/>
    <s v="COMPTE DE LIAISON DES ETABLISSEMENTS"/>
    <s v="OD"/>
    <n v="10518.86"/>
    <d v="2025-11-28T00:00:00"/>
    <s v="Liaison établissement 401000 OSIRIS TO"/>
    <s v="Non"/>
    <s v="Non"/>
    <e v="#N/A"/>
    <n v="91233"/>
    <s v="93813582"/>
    <s v="OSIRIS"/>
    <s v="Q4"/>
    <e v="#REF!"/>
    <e v="#REF!"/>
    <e v="#REF!"/>
  </r>
  <r>
    <s v="181000"/>
    <x v="6"/>
    <s v="COMPTE DE LIAISON DES ETABLISSEMENTS"/>
    <s v="OD"/>
    <n v="10677.6"/>
    <d v="2025-06-30T00:00:00"/>
    <s v="Liaison établissement 401000 INTEROR TO"/>
    <s v="Non"/>
    <e v="#N/A"/>
    <n v="0"/>
    <n v="76872"/>
    <s v="INDIGO STADE 2"/>
    <s v="INTEROR"/>
    <s v="Q2"/>
    <e v="#REF!"/>
    <e v="#REF!"/>
    <e v="#REF!"/>
  </r>
  <r>
    <s v="181000"/>
    <x v="6"/>
    <s v="COMPTE DE LIAISON DES ETABLISSEMENTS"/>
    <s v="OD"/>
    <n v="10714"/>
    <d v="2025-03-19T00:00:00"/>
    <s v="Liaison inter-établissement"/>
    <m/>
    <e v="#N/A"/>
    <e v="#N/A"/>
    <n v="64455"/>
    <m/>
    <s v="Taros Chemicals GmbH &amp; Co. KG"/>
    <s v="Q1"/>
    <e v="#REF!"/>
    <e v="#REF!"/>
    <e v="#REF!"/>
  </r>
  <r>
    <s v="181000"/>
    <x v="6"/>
    <s v="COMPTE DE LIAISON DES ETABLISSEMENTS"/>
    <s v="OD"/>
    <n v="10715"/>
    <d v="2025-06-17T00:00:00"/>
    <s v="Liaison établissement 401000 TAROS TO"/>
    <m/>
    <e v="#N/A"/>
    <e v="#N/A"/>
    <n v="76141"/>
    <s v="FIN DE LA SYNTHÈSE ET DÉVELOPPEMENT DE 1KG CYANOBENZOIC ACID - KEENB"/>
    <s v="Taros Chemicals GmbH &amp; Co. KG"/>
    <s v="Q2"/>
    <e v="#REF!"/>
    <e v="#REF!"/>
    <e v="#REF!"/>
  </r>
  <r>
    <s v="181000"/>
    <x v="6"/>
    <s v="COMPTE DE LIAISON DES ETABLISSEMENTS"/>
    <s v="OD"/>
    <n v="10861.31"/>
    <d v="2025-11-04T00:00:00"/>
    <s v="Liaison établissement 401000 OSIRIS TO"/>
    <s v="Non"/>
    <s v="Non"/>
    <e v="#N/A"/>
    <n v="88039"/>
    <s v="DIVERS OSIRIS JUILLET 25"/>
    <s v="OSIRIS"/>
    <s v="Q4"/>
    <e v="#REF!"/>
    <e v="#REF!"/>
    <e v="#REF!"/>
  </r>
  <r>
    <s v="181000"/>
    <x v="6"/>
    <s v="COMPTE DE LIAISON DES ETABLISSEMENTS"/>
    <s v="OD"/>
    <n v="11140.7"/>
    <d v="2025-10-15T00:00:00"/>
    <s v="Liaison inter-établissement"/>
    <m/>
    <e v="#N/A"/>
    <e v="#N/A"/>
    <n v="86970"/>
    <m/>
    <s v="EURECIA"/>
    <s v="Q4"/>
    <e v="#REF!"/>
    <e v="#REF!"/>
    <e v="#REF!"/>
  </r>
  <r>
    <s v="181000"/>
    <x v="6"/>
    <s v="COMPTE DE LIAISON DES ETABLISSEMENTS"/>
    <s v="OD"/>
    <n v="11211.25"/>
    <d v="2025-05-14T00:00:00"/>
    <s v="Liaison établissement 401000 BIOTIKA TO"/>
    <s v="Non"/>
    <e v="#N/A"/>
    <e v="#N/A"/>
    <n v="72313"/>
    <m/>
    <s v="BIOTIKA"/>
    <s v="Q2"/>
    <e v="#REF!"/>
    <e v="#REF!"/>
    <e v="#REF!"/>
  </r>
  <r>
    <s v="181000"/>
    <x v="6"/>
    <s v="COMPTE DE LIAISON DES ETABLISSEMENTS"/>
    <s v="OD"/>
    <n v="11256"/>
    <d v="2025-06-02T00:00:00"/>
    <s v="Liaison établissement 401000 ACTIVATION TO"/>
    <m/>
    <e v="#N/A"/>
    <e v="#N/A"/>
    <n v="75213"/>
    <s v="Invoice Payment By Pili"/>
    <s v="ACTIVATION"/>
    <s v="Q2"/>
    <e v="#REF!"/>
    <e v="#REF!"/>
    <e v="#REF!"/>
  </r>
  <r>
    <s v="181000"/>
    <x v="6"/>
    <s v="COMPTE DE LIAISON DES ETABLISSEMENTS"/>
    <s v="OD"/>
    <n v="11405.2"/>
    <d v="2025-03-06T00:00:00"/>
    <s v="Liaison inter-établissement"/>
    <m/>
    <s v="Non"/>
    <e v="#N/A"/>
    <n v="66535"/>
    <m/>
    <s v="AXE GESCOM"/>
    <s v="Q1"/>
    <e v="#REF!"/>
    <e v="#REF!"/>
    <e v="#REF!"/>
  </r>
  <r>
    <s v="181000"/>
    <x v="6"/>
    <s v="COMPTE DE LIAISON DES ETABLISSEMENTS"/>
    <s v="OD"/>
    <n v="11427"/>
    <d v="2025-01-01T00:00:00"/>
    <s v="Liaison inter-établissement vers TO "/>
    <m/>
    <e v="#N/A"/>
    <e v="#N/A"/>
    <n v="86485"/>
    <m/>
    <m/>
    <s v="Q1"/>
    <e v="#REF!"/>
    <e v="#REF!"/>
    <e v="#REF!"/>
  </r>
  <r>
    <s v="181000"/>
    <x v="6"/>
    <s v="COMPTE DE LIAISON DES ETABLISSEMENTS"/>
    <s v="OD"/>
    <n v="11837.69"/>
    <d v="2025-05-05T00:00:00"/>
    <s v="Liaison inter-établissement"/>
    <s v="Non"/>
    <s v="Non"/>
    <e v="#N/A"/>
    <n v="77453"/>
    <m/>
    <s v="BUSINOVE"/>
    <s v="Q2"/>
    <e v="#REF!"/>
    <e v="#REF!"/>
    <e v="#REF!"/>
  </r>
  <r>
    <s v="181000"/>
    <x v="6"/>
    <s v="COMPTE DE LIAISON DES ETABLISSEMENTS"/>
    <s v="OD"/>
    <n v="11880"/>
    <d v="2025-01-20T00:00:00"/>
    <s v="Liaison inter-établissement"/>
    <m/>
    <e v="#N/A"/>
    <e v="#N/A"/>
    <n v="63629"/>
    <m/>
    <s v="Eurolysine"/>
    <s v="Q1"/>
    <e v="#REF!"/>
    <e v="#REF!"/>
    <e v="#REF!"/>
  </r>
  <r>
    <s v="181000"/>
    <x v="6"/>
    <s v="COMPTE DE LIAISON DES ETABLISSEMENTS"/>
    <s v="OD"/>
    <n v="12000"/>
    <d v="2025-04-09T00:00:00"/>
    <s v="Liaison inter-établissement"/>
    <s v="Non"/>
    <s v="Non"/>
    <e v="#N/A"/>
    <n v="77184"/>
    <m/>
    <s v="FORVIS MAZARS"/>
    <s v="Q2"/>
    <e v="#REF!"/>
    <e v="#REF!"/>
    <e v="#REF!"/>
  </r>
  <r>
    <s v="181000"/>
    <x v="6"/>
    <s v="COMPTE DE LIAISON DES ETABLISSEMENTS"/>
    <s v="OD"/>
    <n v="12000"/>
    <d v="2025-05-07T00:00:00"/>
    <s v="Liaison établissement 401000 MAZARS TO"/>
    <s v="Non"/>
    <s v="Non"/>
    <e v="#N/A"/>
    <n v="71792"/>
    <s v="COMMISSARIAT AUX COMPTES AU TITRE DE L'EXERCICE CLOS LE 31 DÉCEMBRE 2024"/>
    <s v="FORVIS MAZARS"/>
    <s v="Q2"/>
    <e v="#REF!"/>
    <e v="#REF!"/>
    <e v="#REF!"/>
  </r>
  <r>
    <s v="181000"/>
    <x v="6"/>
    <s v="COMPTE DE LIAISON DES ETABLISSEMENTS"/>
    <s v="OD"/>
    <n v="12129.4"/>
    <d v="2025-05-23T00:00:00"/>
    <s v="Liaison établissement 401000 OSIRIS TO"/>
    <s v="Non"/>
    <s v="Non"/>
    <e v="#N/A"/>
    <n v="74048"/>
    <s v="Invoice payment by Pili"/>
    <s v="OSIRIS"/>
    <s v="Q2"/>
    <e v="#REF!"/>
    <e v="#REF!"/>
    <e v="#REF!"/>
  </r>
  <r>
    <s v="181000"/>
    <x v="6"/>
    <s v="COMPTE DE LIAISON DES ETABLISSEMENTS"/>
    <s v="OD"/>
    <n v="12243.8"/>
    <d v="2025-03-31T00:00:00"/>
    <s v="Liaison inter-établissement vers TO "/>
    <m/>
    <e v="#N/A"/>
    <e v="#N/A"/>
    <n v="68520"/>
    <m/>
    <m/>
    <s v="Q1"/>
    <e v="#REF!"/>
    <e v="#REF!"/>
    <e v="#REF!"/>
  </r>
  <r>
    <s v="181000"/>
    <x v="6"/>
    <s v="COMPTE DE LIAISON DES ETABLISSEMENTS"/>
    <s v="OD"/>
    <n v="12441.21"/>
    <d v="2025-06-30T00:00:00"/>
    <s v="Liaison inter-établissement vers TO "/>
    <m/>
    <e v="#N/A"/>
    <e v="#N/A"/>
    <n v="78701"/>
    <m/>
    <m/>
    <s v="Q2"/>
    <e v="#REF!"/>
    <e v="#REF!"/>
    <e v="#REF!"/>
  </r>
  <r>
    <s v="181000"/>
    <x v="6"/>
    <s v="COMPTE DE LIAISON DES ETABLISSEMENTS"/>
    <s v="OD"/>
    <n v="12500"/>
    <d v="2025-03-07T00:00:00"/>
    <s v="Liaison inter-établissement"/>
    <s v="Non"/>
    <e v="#N/A"/>
    <e v="#N/A"/>
    <n v="63577"/>
    <m/>
    <s v="BIOTIKA"/>
    <s v="Q1"/>
    <e v="#REF!"/>
    <e v="#REF!"/>
    <e v="#REF!"/>
  </r>
  <r>
    <s v="181000"/>
    <x v="6"/>
    <s v="COMPTE DE LIAISON DES ETABLISSEMENTS"/>
    <s v="OD"/>
    <n v="12655.81"/>
    <d v="2025-03-31T00:00:00"/>
    <s v="Liaison inter-établissement vers TO "/>
    <m/>
    <e v="#N/A"/>
    <e v="#N/A"/>
    <n v="70252"/>
    <m/>
    <m/>
    <s v="Q1"/>
    <e v="#REF!"/>
    <e v="#REF!"/>
    <e v="#REF!"/>
  </r>
  <r>
    <s v="181000"/>
    <x v="6"/>
    <s v="COMPTE DE LIAISON DES ETABLISSEMENTS"/>
    <s v="OD"/>
    <n v="12910.19"/>
    <d v="2025-09-08T00:00:00"/>
    <s v="Liaison établissement 401000 MAZARS TO"/>
    <s v="Non"/>
    <s v="Non"/>
    <e v="#N/A"/>
    <n v="81731"/>
    <s v="COMMISSARIAT AUX COMPTES AU TITRE DE L'EXERCICE CLOS LE 31 DÉCEMBRE 2024 - SOLDE"/>
    <s v="FORVIS MAZARS"/>
    <s v="Q3"/>
    <e v="#REF!"/>
    <e v="#REF!"/>
    <e v="#REF!"/>
  </r>
  <r>
    <s v="181000"/>
    <x v="6"/>
    <s v="COMPTE DE LIAISON DES ETABLISSEMENTS"/>
    <s v="OD"/>
    <n v="13068"/>
    <d v="2025-02-28T00:00:00"/>
    <s v="Liaison inter-établissement"/>
    <m/>
    <s v="Non"/>
    <e v="#N/A"/>
    <n v="66546"/>
    <m/>
    <s v="AXE GESCOM"/>
    <s v="Q1"/>
    <e v="#REF!"/>
    <e v="#REF!"/>
    <e v="#REF!"/>
  </r>
  <r>
    <s v="181000"/>
    <x v="6"/>
    <s v="COMPTE DE LIAISON DES ETABLISSEMENTS"/>
    <s v="OD"/>
    <n v="13500"/>
    <d v="2025-08-18T00:00:00"/>
    <s v="Liaison établissement 401000 INSIDE TO"/>
    <s v="Non"/>
    <s v="Non"/>
    <e v="#N/A"/>
    <n v="81118"/>
    <s v="MISSION B. LAJUGIE - JUIN 2025"/>
    <s v="INSIDE MANAGEMENT"/>
    <s v="Q3"/>
    <e v="#REF!"/>
    <e v="#REF!"/>
    <e v="#REF!"/>
  </r>
  <r>
    <s v="181000"/>
    <x v="6"/>
    <s v="COMPTE DE LIAISON DES ETABLISSEMENTS"/>
    <s v="OD"/>
    <n v="13500"/>
    <d v="2025-11-14T00:00:00"/>
    <s v="Liaison inter-établissement"/>
    <s v="Non"/>
    <e v="#N/A"/>
    <e v="#N/A"/>
    <n v="90018"/>
    <m/>
    <s v="BIOTIKA"/>
    <s v="Q4"/>
    <e v="#REF!"/>
    <e v="#REF!"/>
    <e v="#REF!"/>
  </r>
  <r>
    <s v="181000"/>
    <x v="6"/>
    <s v="COMPTE DE LIAISON DES ETABLISSEMENTS"/>
    <s v="OD"/>
    <n v="13800"/>
    <d v="2025-08-22T00:00:00"/>
    <s v="Liaison établissement 401000 EUROLYSINE TO"/>
    <m/>
    <e v="#N/A"/>
    <e v="#N/A"/>
    <n v="81623"/>
    <s v="MP POUR FERMENTATION VBIO"/>
    <s v="Eurolysine"/>
    <s v="Q3"/>
    <e v="#REF!"/>
    <e v="#REF!"/>
    <e v="#REF!"/>
  </r>
  <r>
    <s v="181000"/>
    <x v="6"/>
    <s v="COMPTE DE LIAISON DES ETABLISSEMENTS"/>
    <s v="OD"/>
    <n v="13914.31"/>
    <d v="2025-01-31T00:00:00"/>
    <s v="Liaison inter-établissement"/>
    <s v="Non"/>
    <s v="Non"/>
    <e v="#N/A"/>
    <n v="63789"/>
    <m/>
    <s v="OSIRIS"/>
    <s v="Q1"/>
    <e v="#REF!"/>
    <e v="#REF!"/>
    <e v="#REF!"/>
  </r>
  <r>
    <s v="181000"/>
    <x v="6"/>
    <s v="COMPTE DE LIAISON DES ETABLISSEMENTS"/>
    <s v="OD"/>
    <n v="14205.23"/>
    <d v="2025-06-04T00:00:00"/>
    <s v="Liaison établissement 401000 BUSINOVE TO"/>
    <s v="Non"/>
    <s v="Non"/>
    <e v="#N/A"/>
    <n v="75513"/>
    <s v="Invoice payment by Pili"/>
    <s v="BUSINOVE"/>
    <s v="Q2"/>
    <e v="#REF!"/>
    <e v="#REF!"/>
    <e v="#REF!"/>
  </r>
  <r>
    <s v="181000"/>
    <x v="6"/>
    <s v="COMPTE DE LIAISON DES ETABLISSEMENTS"/>
    <s v="OD"/>
    <n v="15000"/>
    <d v="2025-06-26T00:00:00"/>
    <s v="Liaison établissement 401000 INSIDE TO"/>
    <s v="Non"/>
    <s v="Non"/>
    <e v="#N/A"/>
    <n v="76332"/>
    <s v="INVOICE PAYMENT BY PILI"/>
    <s v="INSIDE MANAGEMENT"/>
    <s v="Q2"/>
    <e v="#REF!"/>
    <e v="#REF!"/>
    <e v="#REF!"/>
  </r>
  <r>
    <s v="181000"/>
    <x v="6"/>
    <s v="COMPTE DE LIAISON DES ETABLISSEMENTS"/>
    <s v="OD"/>
    <n v="15840"/>
    <d v="2025-09-11T00:00:00"/>
    <s v="Liaison inter-établissement"/>
    <s v="Non"/>
    <e v="#N/A"/>
    <e v="#N/A"/>
    <n v="81969"/>
    <m/>
    <s v="KAPP"/>
    <s v="Q3"/>
    <e v="#REF!"/>
    <e v="#REF!"/>
    <e v="#REF!"/>
  </r>
  <r>
    <s v="181000"/>
    <x v="6"/>
    <s v="COMPTE DE LIAISON DES ETABLISSEMENTS"/>
    <s v="OD"/>
    <n v="15848.51"/>
    <d v="2025-06-30T00:00:00"/>
    <s v="Liaison établissement 401000 INTEROR TO"/>
    <s v="Non"/>
    <e v="#N/A"/>
    <n v="0"/>
    <n v="76867"/>
    <s v="BROYAGE  AMORTISSEUR DU BROYEUR"/>
    <s v="INTEROR"/>
    <s v="Q2"/>
    <e v="#REF!"/>
    <e v="#REF!"/>
    <e v="#REF!"/>
  </r>
  <r>
    <s v="181000"/>
    <x v="6"/>
    <s v="COMPTE DE LIAISON DES ETABLISSEMENTS"/>
    <s v="OD"/>
    <n v="16499"/>
    <d v="2025-01-01T00:00:00"/>
    <s v="Liaison inter-établissement vers TO "/>
    <m/>
    <e v="#N/A"/>
    <e v="#N/A"/>
    <n v="86526"/>
    <m/>
    <m/>
    <s v="Q1"/>
    <e v="#REF!"/>
    <e v="#REF!"/>
    <e v="#REF!"/>
  </r>
  <r>
    <s v="181000"/>
    <x v="6"/>
    <s v="COMPTE DE LIAISON DES ETABLISSEMENTS"/>
    <s v="OD"/>
    <n v="16577.439999999999"/>
    <d v="2025-05-14T00:00:00"/>
    <s v="Liaison établissement 401000 BIOTIKA TO"/>
    <s v="Non"/>
    <e v="#N/A"/>
    <e v="#N/A"/>
    <n v="72317"/>
    <m/>
    <s v="BIOTIKA"/>
    <s v="Q2"/>
    <e v="#REF!"/>
    <e v="#REF!"/>
    <e v="#REF!"/>
  </r>
  <r>
    <s v="181000"/>
    <x v="6"/>
    <s v="COMPTE DE LIAISON DES ETABLISSEMENTS"/>
    <s v="OD"/>
    <n v="16824"/>
    <d v="2025-06-02T00:00:00"/>
    <s v="Liaison établissement 401000 ACTIVATION TO"/>
    <m/>
    <e v="#N/A"/>
    <e v="#N/A"/>
    <n v="75218"/>
    <s v="Invoice Payment By Pili"/>
    <s v="ACTIVATION"/>
    <s v="Q2"/>
    <e v="#REF!"/>
    <e v="#REF!"/>
    <e v="#REF!"/>
  </r>
  <r>
    <s v="181000"/>
    <x v="6"/>
    <s v="COMPTE DE LIAISON DES ETABLISSEMENTS"/>
    <s v="OD"/>
    <n v="17218.97"/>
    <d v="2025-03-31T00:00:00"/>
    <s v="Liaison inter-établissement vers TO "/>
    <m/>
    <e v="#N/A"/>
    <e v="#N/A"/>
    <n v="70262"/>
    <m/>
    <m/>
    <s v="Q1"/>
    <e v="#REF!"/>
    <e v="#REF!"/>
    <e v="#REF!"/>
  </r>
  <r>
    <s v="181000"/>
    <x v="6"/>
    <s v="COMPTE DE LIAISON DES ETABLISSEMENTS"/>
    <s v="OD"/>
    <n v="17357"/>
    <d v="2025-12-15T00:00:00"/>
    <s v="Liaison inter-établissement vers TO "/>
    <m/>
    <e v="#N/A"/>
    <e v="#N/A"/>
    <n v="95664"/>
    <m/>
    <m/>
    <s v="Q4"/>
    <e v="#REF!"/>
    <e v="#REF!"/>
    <e v="#REF!"/>
  </r>
  <r>
    <s v="181000"/>
    <x v="6"/>
    <s v="COMPTE DE LIAISON DES ETABLISSEMENTS"/>
    <s v="OD"/>
    <n v="17443"/>
    <d v="2025-10-31T00:00:00"/>
    <s v="Liaison établissement 401000 TAROS TO"/>
    <m/>
    <e v="#N/A"/>
    <e v="#N/A"/>
    <n v="87566"/>
    <s v="INV/2025/00261"/>
    <s v="Taros Chemicals GmbH &amp; Co. KG"/>
    <s v="Q4"/>
    <e v="#REF!"/>
    <e v="#REF!"/>
    <e v="#REF!"/>
  </r>
  <r>
    <s v="181000"/>
    <x v="6"/>
    <s v="COMPTE DE LIAISON DES ETABLISSEMENTS"/>
    <s v="OD"/>
    <n v="17444"/>
    <d v="2025-09-22T00:00:00"/>
    <s v="Liaison établissement 401000 TAROS TO"/>
    <m/>
    <e v="#N/A"/>
    <e v="#N/A"/>
    <n v="82363"/>
    <s v="INV/2025/00193"/>
    <s v="Taros Chemicals GmbH &amp; Co. KG"/>
    <s v="Q3"/>
    <e v="#REF!"/>
    <e v="#REF!"/>
    <e v="#REF!"/>
  </r>
  <r>
    <s v="181000"/>
    <x v="6"/>
    <s v="COMPTE DE LIAISON DES ETABLISSEMENTS"/>
    <s v="OD"/>
    <n v="18000"/>
    <d v="2025-06-29T00:00:00"/>
    <s v="Liaison inter-établissement"/>
    <s v="Non"/>
    <s v="Non"/>
    <e v="#N/A"/>
    <n v="77191"/>
    <m/>
    <s v="FORVIS MAZARS"/>
    <s v="Q2"/>
    <e v="#REF!"/>
    <e v="#REF!"/>
    <e v="#REF!"/>
  </r>
  <r>
    <s v="181000"/>
    <x v="6"/>
    <s v="COMPTE DE LIAISON DES ETABLISSEMENTS"/>
    <s v="OD"/>
    <n v="18000"/>
    <d v="2025-12-22T00:00:00"/>
    <s v="Liaison inter-établissement"/>
    <m/>
    <e v="#N/A"/>
    <e v="#N/A"/>
    <n v="93722"/>
    <m/>
    <s v="VEG'EXTRA"/>
    <s v="Q4"/>
    <e v="#REF!"/>
    <e v="#REF!"/>
    <e v="#REF!"/>
  </r>
  <r>
    <s v="181000"/>
    <x v="6"/>
    <s v="COMPTE DE LIAISON DES ETABLISSEMENTS"/>
    <s v="OD"/>
    <n v="19543.52"/>
    <d v="2025-07-01T00:00:00"/>
    <s v="Liaison inter-établissement"/>
    <m/>
    <e v="#N/A"/>
    <e v="#N/A"/>
    <n v="77355"/>
    <m/>
    <s v="LIBERTY PM"/>
    <s v="Q3"/>
    <e v="#REF!"/>
    <e v="#REF!"/>
    <e v="#REF!"/>
  </r>
  <r>
    <s v="181000"/>
    <x v="6"/>
    <s v="COMPTE DE LIAISON DES ETABLISSEMENTS"/>
    <s v="OD"/>
    <n v="20000"/>
    <d v="2025-05-30T00:00:00"/>
    <s v="Liaison établissement 401000 BIOTIKA TO"/>
    <s v="Non"/>
    <e v="#N/A"/>
    <e v="#N/A"/>
    <n v="74897"/>
    <s v="Invoice Payment By Pili"/>
    <s v="BIOTIKA"/>
    <s v="Q2"/>
    <e v="#REF!"/>
    <e v="#REF!"/>
    <e v="#REF!"/>
  </r>
  <r>
    <s v="181000"/>
    <x v="6"/>
    <s v="COMPTE DE LIAISON DES ETABLISSEMENTS"/>
    <s v="OD"/>
    <n v="20700"/>
    <d v="2025-03-20T00:00:00"/>
    <s v="Liaison inter-établissement"/>
    <s v="Non"/>
    <s v="Non"/>
    <e v="#N/A"/>
    <n v="69983"/>
    <m/>
    <s v="INSIDE MANAGEMENT"/>
    <s v="Q1"/>
    <e v="#REF!"/>
    <e v="#REF!"/>
    <e v="#REF!"/>
  </r>
  <r>
    <s v="181000"/>
    <x v="6"/>
    <s v="COMPTE DE LIAISON DES ETABLISSEMENTS"/>
    <s v="OD"/>
    <n v="21272.06"/>
    <d v="2025-12-31T00:00:00"/>
    <s v="Liaison inter-établissement vers TO "/>
    <m/>
    <e v="#N/A"/>
    <e v="#N/A"/>
    <n v="96174"/>
    <m/>
    <m/>
    <s v="Q4"/>
    <e v="#REF!"/>
    <e v="#REF!"/>
    <e v="#REF!"/>
  </r>
  <r>
    <s v="181000"/>
    <x v="6"/>
    <s v="COMPTE DE LIAISON DES ETABLISSEMENTS"/>
    <s v="OD"/>
    <n v="22766.02"/>
    <d v="2025-06-02T00:00:00"/>
    <s v="Liaison établissement 401000 OSIRIS TO"/>
    <s v="Non"/>
    <s v="Non"/>
    <e v="#N/A"/>
    <n v="75274"/>
    <s v="Invoice Payment By Pili"/>
    <s v="OSIRIS"/>
    <s v="Q2"/>
    <e v="#REF!"/>
    <e v="#REF!"/>
    <e v="#REF!"/>
  </r>
  <r>
    <s v="181000"/>
    <x v="6"/>
    <s v="COMPTE DE LIAISON DES ETABLISSEMENTS"/>
    <s v="OD"/>
    <n v="23891"/>
    <d v="2025-02-17T00:00:00"/>
    <s v="Liaison inter-établissement vers TO "/>
    <s v="Non"/>
    <e v="#N/A"/>
    <e v="#N/A"/>
    <n v="95553"/>
    <m/>
    <s v="BIOTIKA"/>
    <s v="Q1"/>
    <e v="#REF!"/>
    <e v="#REF!"/>
    <e v="#REF!"/>
  </r>
  <r>
    <s v="181000"/>
    <x v="6"/>
    <s v="COMPTE DE LIAISON DES ETABLISSEMENTS"/>
    <s v="OD"/>
    <n v="24000"/>
    <d v="2025-09-26T00:00:00"/>
    <s v="Liaison inter-établissement"/>
    <s v="Non"/>
    <e v="#N/A"/>
    <n v="0"/>
    <n v="86868"/>
    <m/>
    <s v="INTEROR"/>
    <s v="Q3"/>
    <e v="#REF!"/>
    <e v="#REF!"/>
    <e v="#REF!"/>
  </r>
  <r>
    <s v="181000"/>
    <x v="6"/>
    <s v="COMPTE DE LIAISON DES ETABLISSEMENTS"/>
    <s v="OD"/>
    <n v="24391"/>
    <d v="2025-03-07T00:00:00"/>
    <s v="Liaison inter-établissement"/>
    <s v="Non"/>
    <e v="#N/A"/>
    <e v="#N/A"/>
    <n v="63581"/>
    <m/>
    <s v="BIOTIKA"/>
    <s v="Q1"/>
    <e v="#REF!"/>
    <e v="#REF!"/>
    <e v="#REF!"/>
  </r>
  <r>
    <s v="181000"/>
    <x v="6"/>
    <s v="COMPTE DE LIAISON DES ETABLISSEMENTS"/>
    <s v="OD"/>
    <n v="24562.880000000001"/>
    <d v="2025-02-18T00:00:00"/>
    <s v="Liaison inter-établissement"/>
    <s v="Non"/>
    <s v="Non"/>
    <e v="#N/A"/>
    <n v="63561"/>
    <m/>
    <s v="AURIGNAC FINANCE"/>
    <s v="Q1"/>
    <e v="#REF!"/>
    <e v="#REF!"/>
    <e v="#REF!"/>
  </r>
  <r>
    <s v="181000"/>
    <x v="6"/>
    <s v="COMPTE DE LIAISON DES ETABLISSEMENTS"/>
    <s v="OD"/>
    <n v="24772.68"/>
    <d v="2025-06-02T00:00:00"/>
    <s v="Liaison établissement 401000 OSIRIS TO"/>
    <s v="Non"/>
    <s v="Non"/>
    <e v="#N/A"/>
    <n v="75284"/>
    <s v="Invoice Payment By Pili"/>
    <s v="OSIRIS"/>
    <s v="Q2"/>
    <e v="#REF!"/>
    <e v="#REF!"/>
    <e v="#REF!"/>
  </r>
  <r>
    <s v="181000"/>
    <x v="6"/>
    <s v="COMPTE DE LIAISON DES ETABLISSEMENTS"/>
    <s v="OD"/>
    <n v="25742.25"/>
    <d v="2025-05-31T00:00:00"/>
    <s v="Liaison inter-établissement vers RO "/>
    <m/>
    <e v="#N/A"/>
    <e v="#N/A"/>
    <n v="79015"/>
    <m/>
    <m/>
    <s v="Q2"/>
    <e v="#REF!"/>
    <e v="#REF!"/>
    <e v="#REF!"/>
  </r>
  <r>
    <s v="181000"/>
    <x v="6"/>
    <s v="COMPTE DE LIAISON DES ETABLISSEMENTS"/>
    <s v="OD"/>
    <n v="26583.5"/>
    <d v="2025-09-30T00:00:00"/>
    <s v="Liaison inter-établissement vers TO "/>
    <m/>
    <e v="#N/A"/>
    <e v="#N/A"/>
    <n v="87207"/>
    <m/>
    <m/>
    <s v="Q3"/>
    <e v="#REF!"/>
    <e v="#REF!"/>
    <e v="#REF!"/>
  </r>
  <r>
    <s v="181000"/>
    <x v="6"/>
    <s v="COMPTE DE LIAISON DES ETABLISSEMENTS"/>
    <s v="OD"/>
    <n v="26907.46"/>
    <d v="2025-09-30T00:00:00"/>
    <s v="Liaison inter-établissement"/>
    <m/>
    <e v="#N/A"/>
    <e v="#N/A"/>
    <n v="87240"/>
    <m/>
    <m/>
    <s v="Q3"/>
    <e v="#REF!"/>
    <e v="#REF!"/>
    <e v="#REF!"/>
  </r>
  <r>
    <s v="181000"/>
    <x v="6"/>
    <s v="COMPTE DE LIAISON DES ETABLISSEMENTS"/>
    <s v="OD"/>
    <n v="26907.46"/>
    <d v="2025-09-30T00:00:00"/>
    <s v="Liaison inter-établissement vers TO "/>
    <m/>
    <e v="#N/A"/>
    <e v="#N/A"/>
    <n v="87248"/>
    <m/>
    <m/>
    <s v="Q3"/>
    <e v="#REF!"/>
    <e v="#REF!"/>
    <e v="#REF!"/>
  </r>
  <r>
    <s v="181000"/>
    <x v="6"/>
    <s v="COMPTE DE LIAISON DES ETABLISSEMENTS"/>
    <s v="OD"/>
    <n v="27782.3"/>
    <d v="2025-11-04T00:00:00"/>
    <s v="Liaison établissement 401000 AMERICAN CHEMICAL SOCIETY TO"/>
    <m/>
    <e v="#N/A"/>
    <e v="#N/A"/>
    <n v="88173"/>
    <s v="LICENCES SCIFINDER"/>
    <s v="AMERICAN CHEMICAL SOCIETY"/>
    <s v="Q4"/>
    <e v="#REF!"/>
    <e v="#REF!"/>
    <e v="#REF!"/>
  </r>
  <r>
    <s v="181000"/>
    <x v="6"/>
    <s v="COMPTE DE LIAISON DES ETABLISSEMENTS"/>
    <s v="OD"/>
    <n v="28000"/>
    <d v="2025-06-30T00:00:00"/>
    <s v="Liaison établissement 401000 BIOTIKA TO"/>
    <s v="Non"/>
    <e v="#N/A"/>
    <e v="#N/A"/>
    <n v="76852"/>
    <s v="INVOICING AFTER FINISHING OF 2TRIALS IN 30L FERMENTER  INVOICING AFTER 3RD TRIAL IN LABORATORY FERMENTER"/>
    <s v="BIOTIKA"/>
    <s v="Q2"/>
    <e v="#REF!"/>
    <e v="#REF!"/>
    <e v="#REF!"/>
  </r>
  <r>
    <s v="181000"/>
    <x v="6"/>
    <s v="COMPTE DE LIAISON DES ETABLISSEMENTS"/>
    <s v="OD"/>
    <n v="28329.759999999998"/>
    <d v="2025-06-30T00:00:00"/>
    <s v="Liaison inter-établissement vers TO "/>
    <m/>
    <e v="#N/A"/>
    <e v="#N/A"/>
    <n v="78711"/>
    <m/>
    <m/>
    <s v="Q2"/>
    <e v="#REF!"/>
    <e v="#REF!"/>
    <e v="#REF!"/>
  </r>
  <r>
    <s v="181000"/>
    <x v="6"/>
    <s v="COMPTE DE LIAISON DES ETABLISSEMENTS"/>
    <s v="OD"/>
    <n v="29000"/>
    <d v="2025-08-14T00:00:00"/>
    <s v="Liaison inter-établissement"/>
    <s v="Non"/>
    <e v="#N/A"/>
    <e v="#N/A"/>
    <n v="81357"/>
    <m/>
    <s v="BIOTIKA"/>
    <s v="Q3"/>
    <e v="#REF!"/>
    <e v="#REF!"/>
    <e v="#REF!"/>
  </r>
  <r>
    <s v="181000"/>
    <x v="6"/>
    <s v="COMPTE DE LIAISON DES ETABLISSEMENTS"/>
    <s v="OD"/>
    <n v="29005.98"/>
    <d v="2025-09-30T00:00:00"/>
    <s v="Liaison inter-établissement vers TO "/>
    <m/>
    <e v="#N/A"/>
    <e v="#N/A"/>
    <n v="87214"/>
    <m/>
    <m/>
    <s v="Q3"/>
    <e v="#REF!"/>
    <e v="#REF!"/>
    <e v="#REF!"/>
  </r>
  <r>
    <s v="181000"/>
    <x v="6"/>
    <s v="COMPTE DE LIAISON DES ETABLISSEMENTS"/>
    <s v="OD"/>
    <n v="30000"/>
    <d v="2025-05-23T00:00:00"/>
    <s v="Liaison inter-établissement"/>
    <s v="Non"/>
    <e v="#N/A"/>
    <e v="#N/A"/>
    <n v="78574"/>
    <m/>
    <s v="BIOTIKA"/>
    <s v="Q2"/>
    <e v="#REF!"/>
    <e v="#REF!"/>
    <e v="#REF!"/>
  </r>
  <r>
    <s v="181000"/>
    <x v="6"/>
    <s v="COMPTE DE LIAISON DES ETABLISSEMENTS"/>
    <s v="OD"/>
    <n v="30000"/>
    <d v="2025-05-30T00:00:00"/>
    <s v="Liaison inter-établissement"/>
    <s v="Non"/>
    <e v="#N/A"/>
    <e v="#N/A"/>
    <n v="78578"/>
    <m/>
    <s v="BIOTIKA"/>
    <s v="Q2"/>
    <e v="#REF!"/>
    <e v="#REF!"/>
    <e v="#REF!"/>
  </r>
  <r>
    <s v="181000"/>
    <x v="6"/>
    <s v="COMPTE DE LIAISON DES ETABLISSEMENTS"/>
    <s v="OD"/>
    <n v="30000"/>
    <d v="2025-06-06T00:00:00"/>
    <s v="Liaison inter-établissement"/>
    <s v="Non"/>
    <e v="#N/A"/>
    <e v="#N/A"/>
    <n v="78582"/>
    <m/>
    <s v="BIOTIKA"/>
    <s v="Q2"/>
    <e v="#REF!"/>
    <e v="#REF!"/>
    <e v="#REF!"/>
  </r>
  <r>
    <s v="181000"/>
    <x v="6"/>
    <s v="COMPTE DE LIAISON DES ETABLISSEMENTS"/>
    <s v="OD"/>
    <n v="30000"/>
    <d v="2025-06-13T00:00:00"/>
    <s v="Liaison inter-établissement"/>
    <s v="Non"/>
    <e v="#N/A"/>
    <e v="#N/A"/>
    <n v="78586"/>
    <m/>
    <s v="BIOTIKA"/>
    <s v="Q2"/>
    <e v="#REF!"/>
    <e v="#REF!"/>
    <e v="#REF!"/>
  </r>
  <r>
    <s v="181000"/>
    <x v="6"/>
    <s v="COMPTE DE LIAISON DES ETABLISSEMENTS"/>
    <s v="OD"/>
    <n v="30000"/>
    <d v="2025-06-19T00:00:00"/>
    <s v="Liaison inter-établissement"/>
    <s v="Non"/>
    <e v="#N/A"/>
    <e v="#N/A"/>
    <n v="78590"/>
    <m/>
    <s v="BIOTIKA"/>
    <s v="Q2"/>
    <e v="#REF!"/>
    <e v="#REF!"/>
    <e v="#REF!"/>
  </r>
  <r>
    <s v="181000"/>
    <x v="6"/>
    <s v="COMPTE DE LIAISON DES ETABLISSEMENTS"/>
    <s v="OD"/>
    <n v="30000"/>
    <d v="2025-06-26T00:00:00"/>
    <s v="Liaison inter-établissement"/>
    <s v="Non"/>
    <e v="#N/A"/>
    <e v="#N/A"/>
    <n v="78594"/>
    <m/>
    <s v="BIOTIKA"/>
    <s v="Q2"/>
    <e v="#REF!"/>
    <e v="#REF!"/>
    <e v="#REF!"/>
  </r>
  <r>
    <s v="181000"/>
    <x v="6"/>
    <s v="COMPTE DE LIAISON DES ETABLISSEMENTS"/>
    <s v="OD"/>
    <n v="30000"/>
    <d v="2025-06-26T00:00:00"/>
    <s v="Liaison établissement 401000 INSIDE TO"/>
    <s v="Non"/>
    <s v="Non"/>
    <e v="#N/A"/>
    <n v="76324"/>
    <s v="INVOICE PAYMENT BY PILI"/>
    <s v="INSIDE MANAGEMENT"/>
    <s v="Q2"/>
    <e v="#REF!"/>
    <e v="#REF!"/>
    <e v="#REF!"/>
  </r>
  <r>
    <s v="181000"/>
    <x v="6"/>
    <s v="COMPTE DE LIAISON DES ETABLISSEMENTS"/>
    <s v="OD"/>
    <n v="30000"/>
    <d v="2025-07-03T00:00:00"/>
    <s v="Liaison inter-établissement"/>
    <s v="Non"/>
    <e v="#N/A"/>
    <e v="#N/A"/>
    <n v="78598"/>
    <m/>
    <s v="BIOTIKA"/>
    <s v="Q3"/>
    <e v="#REF!"/>
    <e v="#REF!"/>
    <e v="#REF!"/>
  </r>
  <r>
    <s v="181000"/>
    <x v="6"/>
    <s v="COMPTE DE LIAISON DES ETABLISSEMENTS"/>
    <s v="OD"/>
    <n v="30000"/>
    <d v="2025-07-11T00:00:00"/>
    <s v="Liaison inter-établissement"/>
    <s v="Non"/>
    <e v="#N/A"/>
    <e v="#N/A"/>
    <n v="78602"/>
    <m/>
    <s v="BIOTIKA"/>
    <s v="Q3"/>
    <e v="#REF!"/>
    <e v="#REF!"/>
    <e v="#REF!"/>
  </r>
  <r>
    <s v="181000"/>
    <x v="6"/>
    <s v="COMPTE DE LIAISON DES ETABLISSEMENTS"/>
    <s v="OD"/>
    <n v="30000"/>
    <d v="2025-07-17T00:00:00"/>
    <s v="Liaison inter-établissement"/>
    <s v="Non"/>
    <e v="#N/A"/>
    <e v="#N/A"/>
    <n v="78606"/>
    <m/>
    <s v="BIOTIKA"/>
    <s v="Q3"/>
    <e v="#REF!"/>
    <e v="#REF!"/>
    <e v="#REF!"/>
  </r>
  <r>
    <s v="181000"/>
    <x v="6"/>
    <s v="COMPTE DE LIAISON DES ETABLISSEMENTS"/>
    <s v="OD"/>
    <n v="30000"/>
    <d v="2025-10-21T00:00:00"/>
    <s v="Liaison établissement 401000 CNAM TO"/>
    <m/>
    <e v="#N/A"/>
    <e v="#N/A"/>
    <n v="87205"/>
    <s v="Facture Convention n°240011005"/>
    <s v="CNAM"/>
    <s v="Q4"/>
    <e v="#REF!"/>
    <e v="#REF!"/>
    <e v="#REF!"/>
  </r>
  <r>
    <s v="181000"/>
    <x v="6"/>
    <s v="COMPTE DE LIAISON DES ETABLISSEMENTS"/>
    <s v="OD"/>
    <n v="30103.74"/>
    <d v="2025-03-31T00:00:00"/>
    <s v="Liaison inter-établissement vers TO "/>
    <m/>
    <e v="#N/A"/>
    <e v="#N/A"/>
    <n v="68501"/>
    <m/>
    <m/>
    <s v="Q1"/>
    <e v="#REF!"/>
    <e v="#REF!"/>
    <e v="#REF!"/>
  </r>
  <r>
    <s v="181000"/>
    <x v="6"/>
    <s v="COMPTE DE LIAISON DES ETABLISSEMENTS"/>
    <s v="OD"/>
    <n v="30840"/>
    <d v="2025-06-30T00:00:00"/>
    <s v="Liaison établissement 401000 DOTMATICS TO"/>
    <s v="Non"/>
    <e v="#N/A"/>
    <e v="#N/A"/>
    <n v="76893"/>
    <s v="LICENCES DOTMATICS 2026 - 1 READ ONLY - 21 CHEMISTRY - 7 BIOREGISTER"/>
    <s v="DOTMATICS LIMITED"/>
    <s v="Q2"/>
    <e v="#REF!"/>
    <e v="#REF!"/>
    <e v="#REF!"/>
  </r>
  <r>
    <s v="181000"/>
    <x v="6"/>
    <s v="COMPTE DE LIAISON DES ETABLISSEMENTS"/>
    <s v="OD"/>
    <n v="31200"/>
    <d v="2025-11-28T00:00:00"/>
    <s v="Liaison établissement 401000 LOPEZ PLOMBERIE ELECTRICITE TO"/>
    <s v="Non"/>
    <e v="#N/A"/>
    <e v="#N/A"/>
    <n v="91187"/>
    <s v="FC6781"/>
    <s v="LOPEZ PLOMBERIE ELECTRICITE"/>
    <s v="Q4"/>
    <e v="#REF!"/>
    <e v="#REF!"/>
    <e v="#REF!"/>
  </r>
  <r>
    <s v="181000"/>
    <x v="6"/>
    <s v="COMPTE DE LIAISON DES ETABLISSEMENTS"/>
    <s v="OD"/>
    <n v="31500"/>
    <d v="2025-11-14T00:00:00"/>
    <s v="Liaison établissement 401000 BIOTIKA TO"/>
    <s v="Non"/>
    <e v="#N/A"/>
    <e v="#N/A"/>
    <n v="90002"/>
    <s v="DEVELOPMENT AGREEMENT PHOENIX VI, 3.1."/>
    <s v="BIOTIKA"/>
    <s v="Q4"/>
    <e v="#REF!"/>
    <e v="#REF!"/>
    <e v="#REF!"/>
  </r>
  <r>
    <s v="181000"/>
    <x v="6"/>
    <s v="COMPTE DE LIAISON DES ETABLISSEMENTS"/>
    <s v="OD"/>
    <n v="33953.9"/>
    <d v="2025-09-01T00:00:00"/>
    <s v="Liaison inter-établissement"/>
    <m/>
    <e v="#N/A"/>
    <e v="#N/A"/>
    <n v="86694"/>
    <m/>
    <m/>
    <s v="Q3"/>
    <e v="#REF!"/>
    <e v="#REF!"/>
    <e v="#REF!"/>
  </r>
  <r>
    <s v="181000"/>
    <x v="6"/>
    <s v="COMPTE DE LIAISON DES ETABLISSEMENTS"/>
    <s v="OD"/>
    <n v="33953.9"/>
    <d v="2025-09-01T00:00:00"/>
    <s v="Liaison inter-établissement vers TO "/>
    <m/>
    <e v="#N/A"/>
    <e v="#N/A"/>
    <n v="86314"/>
    <m/>
    <m/>
    <s v="Q3"/>
    <e v="#REF!"/>
    <e v="#REF!"/>
    <e v="#REF!"/>
  </r>
  <r>
    <s v="181000"/>
    <x v="6"/>
    <s v="COMPTE DE LIAISON DES ETABLISSEMENTS"/>
    <s v="OD"/>
    <n v="34000"/>
    <d v="2025-08-08T00:00:00"/>
    <s v="Liaison établissement 401000 BIOTIKA TO"/>
    <s v="Non"/>
    <e v="#N/A"/>
    <e v="#N/A"/>
    <n v="80726"/>
    <s v="PHOENIX III REPORT"/>
    <s v="BIOTIKA"/>
    <s v="Q3"/>
    <e v="#REF!"/>
    <e v="#REF!"/>
    <e v="#REF!"/>
  </r>
  <r>
    <s v="181000"/>
    <x v="6"/>
    <s v="COMPTE DE LIAISON DES ETABLISSEMENTS"/>
    <s v="OD"/>
    <n v="36000"/>
    <d v="2025-03-12T00:00:00"/>
    <s v="Liaison inter-établissement"/>
    <s v="Non"/>
    <s v="Non"/>
    <e v="#N/A"/>
    <n v="63737"/>
    <m/>
    <s v="INSIDE MANAGEMENT"/>
    <s v="Q1"/>
    <e v="#REF!"/>
    <e v="#REF!"/>
    <e v="#REF!"/>
  </r>
  <r>
    <s v="181000"/>
    <x v="6"/>
    <s v="COMPTE DE LIAISON DES ETABLISSEMENTS"/>
    <s v="OD"/>
    <n v="36000"/>
    <d v="2025-03-13T00:00:00"/>
    <s v="Liaison inter-établissement"/>
    <s v="Non"/>
    <s v="Non"/>
    <e v="#N/A"/>
    <n v="63741"/>
    <m/>
    <s v="INSIDE MANAGEMENT"/>
    <s v="Q1"/>
    <e v="#REF!"/>
    <e v="#REF!"/>
    <e v="#REF!"/>
  </r>
  <r>
    <s v="181000"/>
    <x v="6"/>
    <s v="COMPTE DE LIAISON DES ETABLISSEMENTS"/>
    <s v="OD"/>
    <n v="37800"/>
    <d v="2025-04-25T00:00:00"/>
    <s v="Liaison inter-établissement"/>
    <s v="Non"/>
    <s v="Non"/>
    <e v="#N/A"/>
    <n v="70554"/>
    <m/>
    <s v="INSIDE MANAGEMENT"/>
    <s v="Q2"/>
    <e v="#REF!"/>
    <e v="#REF!"/>
    <e v="#REF!"/>
  </r>
  <r>
    <s v="181000"/>
    <x v="6"/>
    <s v="COMPTE DE LIAISON DES ETABLISSEMENTS"/>
    <s v="OD"/>
    <n v="41676"/>
    <d v="2025-02-05T00:00:00"/>
    <s v="Liaison inter-établissement"/>
    <m/>
    <e v="#N/A"/>
    <e v="#N/A"/>
    <n v="71664"/>
    <m/>
    <s v="AIGP INGENIERIE"/>
    <s v="Q1"/>
    <e v="#REF!"/>
    <e v="#REF!"/>
    <e v="#REF!"/>
  </r>
  <r>
    <s v="512100"/>
    <x v="6"/>
    <s v="BANQUE POPULAIRE RIVE DE PARIS"/>
    <s v="BPRI"/>
    <n v="-55"/>
    <d v="2025-12-09T00:00:00"/>
    <s v="/LIB/081225 CB    3583/LIB/SNCF-VOYAGEURS F/LIB/081225 CB    3583/LIB/SNCF-VOYAGEURS FR PARIS 10/LIB/55,00EUR 1 EURO   1,000000"/>
    <m/>
    <e v="#N/A"/>
    <e v="#N/A"/>
    <n v="91904"/>
    <m/>
    <s v="SNCF"/>
    <s v="Q4"/>
    <e v="#REF!"/>
    <e v="#REF!"/>
    <e v="#REF!"/>
  </r>
  <r>
    <s v="181000"/>
    <x v="6"/>
    <s v="COMPTE DE LIAISON DES ETABLISSEMENTS"/>
    <s v="OD"/>
    <n v="45360"/>
    <d v="2025-01-02T00:00:00"/>
    <s v="Liaison inter-établissement"/>
    <m/>
    <e v="#N/A"/>
    <e v="#N/A"/>
    <n v="63915"/>
    <m/>
    <s v="TECHNIP ENERGIES FRANCE"/>
    <s v="Q1"/>
    <e v="#REF!"/>
    <e v="#REF!"/>
    <e v="#REF!"/>
  </r>
  <r>
    <s v="181000"/>
    <x v="6"/>
    <s v="COMPTE DE LIAISON DES ETABLISSEMENTS"/>
    <s v="OD"/>
    <n v="46968"/>
    <d v="2025-01-01T00:00:00"/>
    <s v="Liaison inter-établissement vers TO "/>
    <m/>
    <e v="#N/A"/>
    <e v="#N/A"/>
    <n v="86489"/>
    <m/>
    <m/>
    <s v="Q1"/>
    <e v="#REF!"/>
    <e v="#REF!"/>
    <e v="#REF!"/>
  </r>
  <r>
    <s v="181000"/>
    <x v="6"/>
    <s v="COMPTE DE LIAISON DES ETABLISSEMENTS"/>
    <s v="OD"/>
    <n v="46968"/>
    <d v="2025-12-01T00:00:00"/>
    <s v="Liaison inter-établissement vers KB "/>
    <m/>
    <e v="#N/A"/>
    <e v="#N/A"/>
    <n v="94508"/>
    <m/>
    <s v="LIBERTY PM"/>
    <s v="Q4"/>
    <e v="#REF!"/>
    <e v="#REF!"/>
    <e v="#REF!"/>
  </r>
  <r>
    <s v="181000"/>
    <x v="6"/>
    <s v="COMPTE DE LIAISON DES ETABLISSEMENTS"/>
    <s v="OD"/>
    <n v="49912.08"/>
    <d v="2025-12-31T00:00:00"/>
    <s v="Liaison inter-établissement vers TO "/>
    <m/>
    <e v="#N/A"/>
    <e v="#N/A"/>
    <n v="96167"/>
    <m/>
    <m/>
    <s v="Q4"/>
    <e v="#REF!"/>
    <e v="#REF!"/>
    <e v="#REF!"/>
  </r>
  <r>
    <s v="181000"/>
    <x v="6"/>
    <s v="COMPTE DE LIAISON DES ETABLISSEMENTS"/>
    <s v="OD"/>
    <n v="56362.01"/>
    <d v="2025-01-07T00:00:00"/>
    <s v="Liaison inter-établissement"/>
    <m/>
    <e v="#N/A"/>
    <e v="#N/A"/>
    <n v="63745"/>
    <m/>
    <s v="LIBERTY PM"/>
    <s v="Q1"/>
    <e v="#REF!"/>
    <e v="#REF!"/>
    <e v="#REF!"/>
  </r>
  <r>
    <s v="181000"/>
    <x v="6"/>
    <s v="COMPTE DE LIAISON DES ETABLISSEMENTS"/>
    <s v="OD"/>
    <n v="64000"/>
    <d v="2025-07-18T00:00:00"/>
    <s v="Liaison inter-établissement"/>
    <s v="Non"/>
    <e v="#N/A"/>
    <e v="#N/A"/>
    <n v="78950"/>
    <m/>
    <s v="BIOTIKA"/>
    <s v="Q3"/>
    <e v="#REF!"/>
    <e v="#REF!"/>
    <e v="#REF!"/>
  </r>
  <r>
    <s v="181000"/>
    <x v="6"/>
    <s v="COMPTE DE LIAISON DES ETABLISSEMENTS"/>
    <s v="OD"/>
    <n v="64720.5"/>
    <d v="2025-03-12T00:00:00"/>
    <s v="Liaison inter-établissement"/>
    <m/>
    <e v="#N/A"/>
    <e v="#N/A"/>
    <n v="68034"/>
    <m/>
    <s v="LIBERTY PM"/>
    <s v="Q1"/>
    <e v="#REF!"/>
    <e v="#REF!"/>
    <e v="#REF!"/>
  </r>
  <r>
    <s v="181000"/>
    <x v="6"/>
    <s v="COMPTE DE LIAISON DES ETABLISSEMENTS"/>
    <s v="OD"/>
    <n v="81415.91"/>
    <d v="2025-06-30T00:00:00"/>
    <s v="Liaison inter-établissement"/>
    <m/>
    <e v="#N/A"/>
    <e v="#N/A"/>
    <n v="78468"/>
    <m/>
    <m/>
    <s v="Q2"/>
    <e v="#REF!"/>
    <e v="#REF!"/>
    <e v="#REF!"/>
  </r>
  <r>
    <s v="181000"/>
    <x v="6"/>
    <s v="COMPTE DE LIAISON DES ETABLISSEMENTS"/>
    <s v="OD"/>
    <n v="81415.91"/>
    <d v="2025-06-30T00:00:00"/>
    <s v="Liaison inter-établissement vers TO "/>
    <m/>
    <e v="#N/A"/>
    <e v="#N/A"/>
    <n v="78476"/>
    <m/>
    <m/>
    <s v="Q2"/>
    <e v="#REF!"/>
    <e v="#REF!"/>
    <e v="#REF!"/>
  </r>
  <r>
    <s v="181000"/>
    <x v="6"/>
    <s v="COMPTE DE LIAISON DES ETABLISSEMENTS"/>
    <s v="OD"/>
    <n v="99000"/>
    <d v="2025-03-31T00:00:00"/>
    <s v="Liaison inter-établissement"/>
    <s v="Non"/>
    <e v="#N/A"/>
    <e v="#N/A"/>
    <n v="78570"/>
    <m/>
    <s v="BIOTIKA"/>
    <s v="Q1"/>
    <e v="#REF!"/>
    <e v="#REF!"/>
    <e v="#REF!"/>
  </r>
  <r>
    <s v="181000"/>
    <x v="6"/>
    <s v="COMPTE DE LIAISON DES ETABLISSEMENTS"/>
    <s v="OD"/>
    <n v="124761.05"/>
    <d v="2025-03-31T00:00:00"/>
    <s v="Liaison inter-établissement vers TO "/>
    <m/>
    <e v="#N/A"/>
    <e v="#N/A"/>
    <n v="70269"/>
    <m/>
    <m/>
    <s v="Q1"/>
    <e v="#REF!"/>
    <e v="#REF!"/>
    <e v="#REF!"/>
  </r>
  <r>
    <s v="181000"/>
    <x v="6"/>
    <s v="COMPTE DE LIAISON DES ETABLISSEMENTS"/>
    <s v="OD"/>
    <n v="177590.39999999999"/>
    <d v="2025-06-30T00:00:00"/>
    <s v="Liaison établissement 401000 INTEROR TO"/>
    <s v="Non"/>
    <e v="#N/A"/>
    <n v="0"/>
    <n v="76877"/>
    <s v="COMMANDE 4-240154 DU 19/09/2024"/>
    <s v="INTEROR"/>
    <s v="Q2"/>
    <e v="#REF!"/>
    <e v="#REF!"/>
    <e v="#REF!"/>
  </r>
  <r>
    <s v="181000"/>
    <x v="6"/>
    <s v="COMPTE DE LIAISON DES ETABLISSEMENTS"/>
    <s v="OD"/>
    <n v="194000"/>
    <d v="2025-02-05T00:00:00"/>
    <s v="Liaison inter-établissement"/>
    <m/>
    <e v="#N/A"/>
    <e v="#N/A"/>
    <n v="63645"/>
    <m/>
    <s v="GL FILTRATION"/>
    <s v="Q1"/>
    <e v="#REF!"/>
    <e v="#REF!"/>
    <e v="#REF!"/>
  </r>
  <r>
    <s v="181000"/>
    <x v="6"/>
    <s v="COMPTE DE LIAISON DES ETABLISSEMENTS"/>
    <s v="OD"/>
    <n v="532771.19999999995"/>
    <d v="2025-09-26T00:00:00"/>
    <s v="Liaison inter-établissement"/>
    <s v="Non"/>
    <e v="#N/A"/>
    <n v="0"/>
    <n v="86864"/>
    <m/>
    <s v="INTEROR"/>
    <s v="Q3"/>
    <e v="#REF!"/>
    <e v="#REF!"/>
    <e v="#REF!"/>
  </r>
  <r>
    <s v="201000"/>
    <x v="6"/>
    <s v="FRAIS AUGMENTATION DE CAPITAL"/>
    <s v="AN"/>
    <n v="48374.99"/>
    <d v="2025-01-01T00:00:00"/>
    <s v="Report à nouveau Exercice 2025"/>
    <m/>
    <e v="#N/A"/>
    <e v="#N/A"/>
    <n v="84590"/>
    <m/>
    <m/>
    <s v="Q1"/>
    <e v="#REF!"/>
    <e v="#REF!"/>
    <e v="#REF!"/>
  </r>
  <r>
    <s v="203000"/>
    <x v="6"/>
    <s v="FRAIS DE RECHERCHE ET DÉVELOPPEMENT"/>
    <s v="AN"/>
    <n v="827917"/>
    <d v="2025-01-01T00:00:00"/>
    <s v="Report à nouveau Exercice 2025"/>
    <m/>
    <e v="#N/A"/>
    <e v="#N/A"/>
    <n v="84878"/>
    <m/>
    <m/>
    <s v="Q1"/>
    <e v="#REF!"/>
    <e v="#REF!"/>
    <e v="#REF!"/>
  </r>
  <r>
    <s v="203000"/>
    <x v="6"/>
    <s v="FRAIS DE RECHERCHE ET DÉVELOPPEMENT"/>
    <s v="AN"/>
    <n v="4991882"/>
    <d v="2025-01-01T00:00:00"/>
    <s v="Report à nouveau Exercice 2025"/>
    <m/>
    <e v="#N/A"/>
    <e v="#N/A"/>
    <n v="84591"/>
    <m/>
    <m/>
    <s v="Q1"/>
    <e v="#REF!"/>
    <e v="#REF!"/>
    <e v="#REF!"/>
  </r>
  <r>
    <s v="205000"/>
    <x v="6"/>
    <s v="CONCESSIONS ET DROITS SIMILAIRES"/>
    <s v="AN"/>
    <n v="17547.46"/>
    <d v="2025-01-01T00:00:00"/>
    <s v="Report à nouveau Exercice 2025"/>
    <m/>
    <e v="#N/A"/>
    <e v="#N/A"/>
    <n v="84592"/>
    <m/>
    <m/>
    <s v="Q1"/>
    <e v="#REF!"/>
    <e v="#REF!"/>
    <e v="#REF!"/>
  </r>
  <r>
    <s v="205000"/>
    <x v="6"/>
    <s v="CONCESSIONS ET DROITS SIMILAIRES"/>
    <s v="IM"/>
    <n v="100826.5"/>
    <d v="2025-06-01T00:00:00"/>
    <s v="Acquisition - ERP Finance Sage FRP1000"/>
    <m/>
    <e v="#N/A"/>
    <e v="#N/A"/>
    <n v="90192"/>
    <m/>
    <m/>
    <s v="Q2"/>
    <e v="#REF!"/>
    <e v="#REF!"/>
    <e v="#REF!"/>
  </r>
  <r>
    <s v="215400"/>
    <x v="6"/>
    <s v="MATÉRIEL INDUSTRIEL"/>
    <s v="AN"/>
    <n v="9502"/>
    <d v="2025-01-01T00:00:00"/>
    <s v="Report à nouveau Exercice 2025"/>
    <m/>
    <e v="#N/A"/>
    <e v="#N/A"/>
    <n v="84879"/>
    <m/>
    <m/>
    <s v="Q1"/>
    <e v="#REF!"/>
    <e v="#REF!"/>
    <e v="#REF!"/>
  </r>
  <r>
    <s v="215400"/>
    <x v="6"/>
    <s v="MATÉRIEL INDUSTRIEL"/>
    <s v="AN"/>
    <n v="1280865.76"/>
    <d v="2025-01-01T00:00:00"/>
    <s v="Report à nouveau Exercice 2025"/>
    <m/>
    <e v="#N/A"/>
    <e v="#N/A"/>
    <n v="84593"/>
    <m/>
    <m/>
    <s v="Q1"/>
    <e v="#REF!"/>
    <e v="#REF!"/>
    <e v="#REF!"/>
  </r>
  <r>
    <s v="215400"/>
    <x v="6"/>
    <s v="MATÉRIEL INDUSTRIEL"/>
    <s v="IM"/>
    <n v="1900"/>
    <d v="2025-08-01T00:00:00"/>
    <s v="Acquisition - APIE - BACS DE RÉTENTION ACIER GALVANISÉ 2 IBC OU 3 PALETTES EUROPES (COMPATIBLE RACKS)"/>
    <m/>
    <e v="#N/A"/>
    <e v="#N/A"/>
    <n v="90262"/>
    <m/>
    <m/>
    <s v="Q3"/>
    <e v="#REF!"/>
    <e v="#REF!"/>
    <e v="#REF!"/>
  </r>
  <r>
    <s v="215400"/>
    <x v="6"/>
    <s v="MATÉRIEL INDUSTRIEL"/>
    <s v="IM"/>
    <n v="2042.28"/>
    <d v="2025-04-01T00:00:00"/>
    <s v="Acquisition - Denios - Détecteur HCN"/>
    <m/>
    <e v="#N/A"/>
    <e v="#N/A"/>
    <n v="90194"/>
    <m/>
    <m/>
    <s v="Q2"/>
    <e v="#REF!"/>
    <e v="#REF!"/>
    <e v="#REF!"/>
  </r>
  <r>
    <s v="215400"/>
    <x v="6"/>
    <s v="MATÉRIEL INDUSTRIEL"/>
    <s v="IM"/>
    <n v="4512.6000000000004"/>
    <d v="2025-04-01T00:00:00"/>
    <s v="Acquisition - FISHER SCIENTIFIC - SPECTROMÈTRE UV LABO ROUSSILLON"/>
    <m/>
    <e v="#N/A"/>
    <e v="#N/A"/>
    <n v="90260"/>
    <m/>
    <m/>
    <s v="Q2"/>
    <e v="#REF!"/>
    <e v="#REF!"/>
    <e v="#REF!"/>
  </r>
  <r>
    <s v="218100"/>
    <x v="6"/>
    <s v="INSTALLATIONS ET AGENCEMENT"/>
    <s v="AN"/>
    <n v="20672.11"/>
    <d v="2025-01-01T00:00:00"/>
    <s v="Report à nouveau Exercice 2025"/>
    <m/>
    <e v="#N/A"/>
    <e v="#N/A"/>
    <n v="84880"/>
    <m/>
    <m/>
    <s v="Q1"/>
    <e v="#REF!"/>
    <e v="#REF!"/>
    <e v="#REF!"/>
  </r>
  <r>
    <s v="218100"/>
    <x v="6"/>
    <s v="INSTALLATIONS ET AGENCEMENT"/>
    <s v="AN"/>
    <n v="93116.03"/>
    <d v="2025-01-01T00:00:00"/>
    <s v="Report à nouveau Exercice 2025"/>
    <m/>
    <e v="#N/A"/>
    <e v="#N/A"/>
    <n v="84594"/>
    <m/>
    <m/>
    <s v="Q1"/>
    <e v="#REF!"/>
    <e v="#REF!"/>
    <e v="#REF!"/>
  </r>
  <r>
    <s v="218100"/>
    <x v="6"/>
    <s v="INSTALLATIONS ET AGENCEMENT"/>
    <s v="AN"/>
    <n v="532826.97"/>
    <d v="2025-01-01T00:00:00"/>
    <s v="Report à nouveau Exercice 2025"/>
    <m/>
    <e v="#N/A"/>
    <e v="#N/A"/>
    <n v="84833"/>
    <m/>
    <m/>
    <s v="Q1"/>
    <e v="#REF!"/>
    <e v="#REF!"/>
    <e v="#REF!"/>
  </r>
  <r>
    <s v="218100"/>
    <x v="6"/>
    <s v="INSTALLATIONS ET AGENCEMENT"/>
    <s v="IM"/>
    <n v="2427.5500000000002"/>
    <d v="2025-02-01T00:00:00"/>
    <s v="Acquisition - PROMINENT - Pompe Addition KL"/>
    <m/>
    <e v="#N/A"/>
    <e v="#N/A"/>
    <n v="90245"/>
    <m/>
    <m/>
    <s v="Q1"/>
    <e v="#REF!"/>
    <e v="#REF!"/>
    <e v="#REF!"/>
  </r>
  <r>
    <s v="218100"/>
    <x v="6"/>
    <s v="INSTALLATIONS ET AGENCEMENT"/>
    <s v="IM"/>
    <n v="3620"/>
    <d v="2025-08-01T00:00:00"/>
    <s v="Acquisition - LOPEZ PLOMBERIE ELECTRICITE - RACCORDEMENT ASPIRATION LABORATOIRE"/>
    <m/>
    <e v="#N/A"/>
    <e v="#N/A"/>
    <n v="90254"/>
    <m/>
    <m/>
    <s v="Q3"/>
    <e v="#REF!"/>
    <e v="#REF!"/>
    <e v="#REF!"/>
  </r>
  <r>
    <s v="218100"/>
    <x v="6"/>
    <s v="INSTALLATIONS ET AGENCEMENT"/>
    <s v="IM"/>
    <n v="4149.82"/>
    <d v="2025-08-01T00:00:00"/>
    <s v="Acquisition - COTE - PRISES LABORATOIRE, PRISES ATEX, ALIMENTATION CLIM + AIR, PLANS"/>
    <m/>
    <e v="#N/A"/>
    <e v="#N/A"/>
    <n v="90256"/>
    <m/>
    <m/>
    <s v="Q3"/>
    <e v="#REF!"/>
    <e v="#REF!"/>
    <e v="#REF!"/>
  </r>
  <r>
    <s v="218100"/>
    <x v="6"/>
    <s v="INSTALLATIONS ET AGENCEMENT"/>
    <s v="IM"/>
    <n v="4510"/>
    <d v="2025-09-01T00:00:00"/>
    <s v="Acquisition - SCMI - Double porte atelier"/>
    <m/>
    <e v="#N/A"/>
    <e v="#N/A"/>
    <n v="90190"/>
    <m/>
    <m/>
    <s v="Q3"/>
    <e v="#REF!"/>
    <e v="#REF!"/>
    <e v="#REF!"/>
  </r>
  <r>
    <s v="218100"/>
    <x v="6"/>
    <s v="INSTALLATIONS ET AGENCEMENT"/>
    <s v="IM"/>
    <n v="26000"/>
    <d v="2025-08-01T00:00:00"/>
    <s v="Acquisition - LOPEZ PLOMBERIE ELECTRICITE - CHAUFFAGE / CLIMATISATION LABORATOIRE + APPORT D'AIR LABORATOIRE"/>
    <m/>
    <e v="#N/A"/>
    <e v="#N/A"/>
    <n v="90258"/>
    <m/>
    <m/>
    <s v="Q3"/>
    <e v="#REF!"/>
    <e v="#REF!"/>
    <e v="#REF!"/>
  </r>
  <r>
    <s v="218300"/>
    <x v="6"/>
    <s v="MATÉRIEL DE BUREAU &amp; INFORMATIQUE"/>
    <s v="AN"/>
    <n v="1322.8"/>
    <d v="2025-01-01T00:00:00"/>
    <s v="Report à nouveau Exercice 2025"/>
    <m/>
    <e v="#N/A"/>
    <e v="#N/A"/>
    <n v="84834"/>
    <m/>
    <m/>
    <s v="Q1"/>
    <e v="#REF!"/>
    <e v="#REF!"/>
    <e v="#REF!"/>
  </r>
  <r>
    <s v="218300"/>
    <x v="6"/>
    <s v="MATÉRIEL DE BUREAU &amp; INFORMATIQUE"/>
    <s v="AN"/>
    <n v="18033.84"/>
    <d v="2025-01-01T00:00:00"/>
    <s v="Report à nouveau Exercice 2025"/>
    <m/>
    <e v="#N/A"/>
    <e v="#N/A"/>
    <n v="84595"/>
    <m/>
    <m/>
    <s v="Q1"/>
    <e v="#REF!"/>
    <e v="#REF!"/>
    <e v="#REF!"/>
  </r>
  <r>
    <s v="218400"/>
    <x v="6"/>
    <s v="MOBILIER"/>
    <s v="AN"/>
    <n v="18187.189999999999"/>
    <d v="2025-01-01T00:00:00"/>
    <s v="Report à nouveau Exercice 2025"/>
    <m/>
    <e v="#N/A"/>
    <e v="#N/A"/>
    <n v="84596"/>
    <m/>
    <m/>
    <s v="Q1"/>
    <e v="#REF!"/>
    <e v="#REF!"/>
    <e v="#REF!"/>
  </r>
  <r>
    <s v="218400"/>
    <x v="6"/>
    <s v="MOBILIER"/>
    <s v="AN"/>
    <n v="25400"/>
    <d v="2025-01-01T00:00:00"/>
    <s v="Report à nouveau Exercice 2025"/>
    <m/>
    <e v="#N/A"/>
    <e v="#N/A"/>
    <n v="84881"/>
    <m/>
    <m/>
    <s v="Q1"/>
    <e v="#REF!"/>
    <e v="#REF!"/>
    <e v="#REF!"/>
  </r>
  <r>
    <s v="231000"/>
    <x v="6"/>
    <s v="Immos Spendesk à affecter"/>
    <s v="AC"/>
    <n v="-1718.89"/>
    <d v="2025-02-24T00:00:00"/>
    <s v="RACCORDEMENT ÉLECTRIQUE ALGECOS ROUSSILLON (MAIN D'ŒUVRE + MATÉRIEL) + POSE BAES (BLOC AUTONOME D'ÉCLAIRAGE DE SÉCURITÉ) AU NIVE"/>
    <m/>
    <e v="#N/A"/>
    <e v="#N/A"/>
    <n v="90204"/>
    <s v="FCA21250276"/>
    <s v="COTE"/>
    <s v="Q1"/>
    <e v="#REF!"/>
    <e v="#REF!"/>
    <e v="#REF!"/>
  </r>
  <r>
    <s v="231000"/>
    <x v="6"/>
    <s v="Immos Spendesk à affecter"/>
    <s v="AC"/>
    <n v="-544.78"/>
    <d v="2025-01-01T00:00:00"/>
    <s v="COMPLEMENT COTECOTE TRAVAUX D'ÉLECTRICITÉ DANS LE LABO + RACCORDEMENT AÉROTHERME"/>
    <m/>
    <e v="#N/A"/>
    <e v="#N/A"/>
    <n v="90196"/>
    <m/>
    <s v="COTE"/>
    <s v="Q1"/>
    <e v="#REF!"/>
    <e v="#REF!"/>
    <e v="#REF!"/>
  </r>
  <r>
    <s v="231000"/>
    <x v="6"/>
    <s v="Immos Spendesk à affecter"/>
    <s v="AC"/>
    <n v="544.78"/>
    <d v="2025-01-01T00:00:00"/>
    <s v="COMPLEMENT COTECOTE TRAVAUX D'ÉLECTRICITÉ DANS LE LABO + RACCORDEMENT AÉROTHERME"/>
    <m/>
    <e v="#N/A"/>
    <e v="#N/A"/>
    <n v="71965"/>
    <m/>
    <s v="COTE"/>
    <s v="Q1"/>
    <e v="#REF!"/>
    <e v="#REF!"/>
    <e v="#REF!"/>
  </r>
  <r>
    <s v="231000"/>
    <x v="6"/>
    <s v="Immos Spendesk à affecter"/>
    <s v="AC"/>
    <n v="1260"/>
    <d v="2025-01-16T00:00:00"/>
    <s v="NOTE DE CALCULS FONDATIONS POTEAUX EXISTANTS"/>
    <m/>
    <e v="#N/A"/>
    <e v="#N/A"/>
    <n v="61268"/>
    <s v="FC250013"/>
    <s v="CIMEO"/>
    <s v="Q1"/>
    <e v="#REF!"/>
    <e v="#REF!"/>
    <e v="#REF!"/>
  </r>
  <r>
    <s v="231000"/>
    <x v="6"/>
    <s v="Immos Spendesk à affecter"/>
    <s v="AC"/>
    <n v="1510"/>
    <d v="2025-02-28T00:00:00"/>
    <s v="GESTION DE PROJET SÉCURISATION BÂTIMENT DÉMO"/>
    <m/>
    <e v="#N/A"/>
    <e v="#N/A"/>
    <n v="61571"/>
    <s v="2023-122-564-1-N1538"/>
    <s v="AIGP INGENIERIE"/>
    <s v="Q1"/>
    <e v="#REF!"/>
    <e v="#REF!"/>
    <e v="#REF!"/>
  </r>
  <r>
    <s v="231000"/>
    <x v="6"/>
    <s v="Immos Spendesk à affecter"/>
    <s v="AC"/>
    <n v="1510"/>
    <d v="2025-05-07T00:00:00"/>
    <s v="GESTION DE PROJET SÉCURISATION BÂTIMENT DÉMO"/>
    <m/>
    <e v="#N/A"/>
    <e v="#N/A"/>
    <n v="73775"/>
    <s v="2023-122-564-1-N1593"/>
    <s v="AIGP INGENIERIE"/>
    <s v="Q2"/>
    <e v="#REF!"/>
    <e v="#REF!"/>
    <e v="#REF!"/>
  </r>
  <r>
    <s v="231000"/>
    <x v="6"/>
    <s v="Immos Spendesk à affecter"/>
    <s v="AC"/>
    <n v="1521.51"/>
    <d v="2025-05-19T00:00:00"/>
    <s v="R1000 - VANNE À BOISSEAU SPHÉRIQUE KK/F DN40"/>
    <m/>
    <e v="#N/A"/>
    <e v="#N/A"/>
    <n v="74438"/>
    <s v="ACI20250724"/>
    <s v="ACI"/>
    <s v="Q2"/>
    <e v="#REF!"/>
    <e v="#REF!"/>
    <e v="#REF!"/>
  </r>
  <r>
    <s v="231000"/>
    <x v="6"/>
    <s v="Immos Spendesk à affecter"/>
    <s v="AC"/>
    <n v="1718.89"/>
    <d v="2025-02-24T00:00:00"/>
    <s v="RACCORDEMENT ÉLECTRIQUE ALGECOS ROUSSILLON (MAIN D'ŒUVRE + MATÉRIEL) + POSE BAES (BLOC AUTONOME D'ÉCLAIRAGE DE SÉCURITÉ) AU NIVE"/>
    <m/>
    <e v="#N/A"/>
    <e v="#N/A"/>
    <n v="61555"/>
    <s v="FCA21250276"/>
    <s v="COTE"/>
    <s v="Q1"/>
    <e v="#REF!"/>
    <e v="#REF!"/>
    <e v="#REF!"/>
  </r>
  <r>
    <s v="231000"/>
    <x v="6"/>
    <s v="Immos Spendesk à affecter"/>
    <s v="AC"/>
    <n v="1900"/>
    <d v="2025-07-07T00:00:00"/>
    <s v="BACS DE RÉTENTION ACIER GALVANISÉ 2 IBC OU 3 PALETTES EUROPES (COMPATIBLE RACKS)"/>
    <m/>
    <e v="#N/A"/>
    <e v="#N/A"/>
    <n v="77100"/>
    <s v="FA19414"/>
    <s v="APIE"/>
    <s v="Q3"/>
    <e v="#REF!"/>
    <e v="#REF!"/>
    <e v="#REF!"/>
  </r>
  <r>
    <s v="231000"/>
    <x v="6"/>
    <s v="Immos Spendesk à affecter"/>
    <s v="AC"/>
    <n v="1938.5"/>
    <d v="2025-05-31T00:00:00"/>
    <s v="DEMO : SÉCURISATION ZONE DÉMONSTRATEUR : - FONDATION POTEAUX EXISTANTS - TERRASSEMENT"/>
    <m/>
    <e v="#N/A"/>
    <e v="#N/A"/>
    <n v="77264"/>
    <s v="00010449"/>
    <s v="RIBIERE"/>
    <s v="Q2"/>
    <e v="#REF!"/>
    <e v="#REF!"/>
    <e v="#REF!"/>
  </r>
  <r>
    <s v="231000"/>
    <x v="6"/>
    <s v="Immos Spendesk à affecter"/>
    <s v="AC"/>
    <n v="2427.5500000000002"/>
    <d v="2025-01-17T00:00:00"/>
    <s v="POMPE ADDITION KL"/>
    <m/>
    <e v="#N/A"/>
    <e v="#N/A"/>
    <n v="59893"/>
    <s v="FR-5125300495"/>
    <s v="PROMINENT"/>
    <s v="Q1"/>
    <e v="#REF!"/>
    <e v="#REF!"/>
    <e v="#REF!"/>
  </r>
  <r>
    <s v="231000"/>
    <x v="6"/>
    <s v="Immos Spendesk à affecter"/>
    <s v="AC"/>
    <n v="3620"/>
    <d v="2025-01-27T00:00:00"/>
    <s v="RACCORDEMENT ASPIRATION LABORATOIRE"/>
    <s v="Non"/>
    <e v="#N/A"/>
    <e v="#N/A"/>
    <n v="61325"/>
    <s v="FC6491"/>
    <s v="LOPEZ PLOMBERIE ELECTRICITE"/>
    <s v="Q1"/>
    <e v="#REF!"/>
    <e v="#REF!"/>
    <e v="#REF!"/>
  </r>
  <r>
    <s v="231000"/>
    <x v="6"/>
    <s v="Immos Spendesk à affecter"/>
    <s v="AC"/>
    <n v="4512.6000000000004"/>
    <d v="2025-03-03T00:00:00"/>
    <s v="SPECTROMÈTRE UV LABO ROUSSILLON"/>
    <m/>
    <e v="#N/A"/>
    <e v="#N/A"/>
    <n v="67824"/>
    <s v="4174878933"/>
    <s v="FISHER SCIENTIFIC"/>
    <s v="Q1"/>
    <e v="#REF!"/>
    <e v="#REF!"/>
    <e v="#REF!"/>
  </r>
  <r>
    <s v="231000"/>
    <x v="6"/>
    <s v="Immos Spendesk à affecter"/>
    <s v="AC"/>
    <n v="4517.25"/>
    <d v="2025-01-01T00:00:00"/>
    <s v="Immos en cours AIGP"/>
    <m/>
    <e v="#N/A"/>
    <e v="#N/A"/>
    <n v="74885"/>
    <m/>
    <s v="AIGP INGENIERIE"/>
    <s v="Q1"/>
    <e v="#REF!"/>
    <e v="#REF!"/>
    <e v="#REF!"/>
  </r>
  <r>
    <s v="231000"/>
    <x v="6"/>
    <s v="Immos Spendesk à affecter"/>
    <s v="AC"/>
    <n v="8411.5"/>
    <d v="2025-04-01T00:00:00"/>
    <s v="RIBIERE - DEMO : SÉCURISATION ZONE DÉMONSTRATEUR : - FONDATION POTEAUX EXISTANTS - TERRASSEMENT"/>
    <m/>
    <e v="#N/A"/>
    <e v="#N/A"/>
    <n v="68986"/>
    <s v="10300"/>
    <s v="RIBIERE"/>
    <s v="Q2"/>
    <e v="#REF!"/>
    <e v="#REF!"/>
    <e v="#REF!"/>
  </r>
  <r>
    <s v="231000"/>
    <x v="6"/>
    <s v="Immos Spendesk à affecter"/>
    <s v="AC"/>
    <n v="21225"/>
    <d v="2025-01-01T00:00:00"/>
    <s v="Immos en cours AIGP"/>
    <m/>
    <e v="#N/A"/>
    <e v="#N/A"/>
    <n v="74881"/>
    <m/>
    <s v="AIGP INGENIERIE"/>
    <s v="Q1"/>
    <e v="#REF!"/>
    <e v="#REF!"/>
    <e v="#REF!"/>
  </r>
  <r>
    <s v="231000"/>
    <x v="6"/>
    <s v="Immos Spendesk à affecter"/>
    <s v="OD"/>
    <n v="-25742.25"/>
    <d v="2025-05-31T00:00:00"/>
    <s v="Liaison inter-établissement vers RO "/>
    <m/>
    <e v="#N/A"/>
    <e v="#N/A"/>
    <n v="79016"/>
    <m/>
    <m/>
    <s v="Q2"/>
    <e v="#REF!"/>
    <e v="#REF!"/>
    <e v="#REF!"/>
  </r>
  <r>
    <s v="231000"/>
    <x v="6"/>
    <s v="Immos Spendesk à affecter"/>
    <s v="OD"/>
    <n v="-21225"/>
    <d v="2025-01-01T00:00:00"/>
    <s v="Immos en cours AIGP"/>
    <m/>
    <e v="#N/A"/>
    <e v="#N/A"/>
    <n v="79011"/>
    <m/>
    <m/>
    <s v="Q1"/>
    <e v="#REF!"/>
    <e v="#REF!"/>
    <e v="#REF!"/>
  </r>
  <r>
    <s v="231000"/>
    <x v="6"/>
    <s v="Immos Spendesk à affecter"/>
    <s v="OD"/>
    <n v="-8411.5"/>
    <d v="2025-04-01T00:00:00"/>
    <s v="RIBIERE - DEMO : SÉCURISATION ZONE DÉMONSTRATEUR : - FONDATION POTEAUX EXISTANTS - TERRASSEMENT"/>
    <m/>
    <e v="#N/A"/>
    <e v="#N/A"/>
    <n v="78998"/>
    <m/>
    <m/>
    <s v="Q2"/>
    <e v="#REF!"/>
    <e v="#REF!"/>
    <e v="#REF!"/>
  </r>
  <r>
    <s v="231000"/>
    <x v="6"/>
    <s v="Immos Spendesk à affecter"/>
    <s v="OD"/>
    <n v="-4517.25"/>
    <d v="2025-01-01T00:00:00"/>
    <s v="Immos en cours AIGP"/>
    <m/>
    <e v="#N/A"/>
    <e v="#N/A"/>
    <n v="79013"/>
    <m/>
    <m/>
    <s v="Q1"/>
    <e v="#REF!"/>
    <e v="#REF!"/>
    <e v="#REF!"/>
  </r>
  <r>
    <s v="231000"/>
    <x v="6"/>
    <s v="Immos Spendesk à affecter"/>
    <s v="OD"/>
    <n v="-4512.6000000000004"/>
    <d v="2025-03-03T00:00:00"/>
    <s v="SPECTROMÈTRE UV LABO ROUSSILLON"/>
    <m/>
    <e v="#N/A"/>
    <e v="#N/A"/>
    <n v="79034"/>
    <m/>
    <m/>
    <s v="Q1"/>
    <e v="#REF!"/>
    <e v="#REF!"/>
    <e v="#REF!"/>
  </r>
  <r>
    <s v="231000"/>
    <x v="6"/>
    <s v="Immos Spendesk à affecter"/>
    <s v="OD"/>
    <n v="-3620"/>
    <d v="2025-01-27T00:00:00"/>
    <s v="RACCORDEMENT ASPIRATION LABORATOIRE"/>
    <m/>
    <e v="#N/A"/>
    <e v="#N/A"/>
    <n v="79036"/>
    <m/>
    <m/>
    <s v="Q1"/>
    <e v="#REF!"/>
    <e v="#REF!"/>
    <e v="#REF!"/>
  </r>
  <r>
    <s v="231000"/>
    <x v="6"/>
    <s v="Immos Spendesk à affecter"/>
    <s v="OD"/>
    <n v="-2427.5500000000002"/>
    <d v="2025-01-17T00:00:00"/>
    <s v="POMPE ADDITION KL"/>
    <m/>
    <e v="#N/A"/>
    <e v="#N/A"/>
    <n v="79032"/>
    <m/>
    <m/>
    <s v="Q1"/>
    <e v="#REF!"/>
    <e v="#REF!"/>
    <e v="#REF!"/>
  </r>
  <r>
    <s v="231000"/>
    <x v="6"/>
    <s v="Immos Spendesk à affecter"/>
    <s v="OD"/>
    <n v="-1938.5"/>
    <d v="2025-05-31T00:00:00"/>
    <s v="DEMO : SÉCURISATION ZONE DÉMONSTRATEUR : - FONDATION POTEAUX EXISTANTS - TERRASSEMENT"/>
    <m/>
    <e v="#N/A"/>
    <e v="#N/A"/>
    <n v="79005"/>
    <m/>
    <m/>
    <s v="Q2"/>
    <e v="#REF!"/>
    <e v="#REF!"/>
    <e v="#REF!"/>
  </r>
  <r>
    <s v="231000"/>
    <x v="6"/>
    <s v="Immos Spendesk à affecter"/>
    <s v="OD"/>
    <n v="-1900"/>
    <d v="2025-07-07T00:00:00"/>
    <s v="BACS DE RÉTENTION ACIER GALVANISÉ 2 IBC OU 3 PALETTES EUROPES (COMPATIBLE RACKS)"/>
    <m/>
    <e v="#N/A"/>
    <e v="#N/A"/>
    <n v="79215"/>
    <m/>
    <m/>
    <s v="Q3"/>
    <e v="#REF!"/>
    <e v="#REF!"/>
    <e v="#REF!"/>
  </r>
  <r>
    <s v="231000"/>
    <x v="6"/>
    <s v="Immos Spendesk à affecter"/>
    <s v="OD"/>
    <n v="-1521.51"/>
    <d v="2025-05-19T00:00:00"/>
    <s v="R1000 - VANNE À BOISSEAU SPHÉRIQUE KK/F DN40"/>
    <m/>
    <e v="#N/A"/>
    <e v="#N/A"/>
    <n v="79024"/>
    <m/>
    <m/>
    <s v="Q2"/>
    <e v="#REF!"/>
    <e v="#REF!"/>
    <e v="#REF!"/>
  </r>
  <r>
    <s v="231000"/>
    <x v="6"/>
    <s v="Immos Spendesk à affecter"/>
    <s v="OD"/>
    <n v="-1510"/>
    <d v="2025-02-28T00:00:00"/>
    <s v="GESTION DE PROJET SÉCURISATION BÂTIMENT DÉMO"/>
    <m/>
    <e v="#N/A"/>
    <e v="#N/A"/>
    <n v="79009"/>
    <m/>
    <m/>
    <s v="Q1"/>
    <e v="#REF!"/>
    <e v="#REF!"/>
    <e v="#REF!"/>
  </r>
  <r>
    <s v="231000"/>
    <x v="6"/>
    <s v="Immos Spendesk à affecter"/>
    <s v="OD"/>
    <n v="-1510"/>
    <d v="2025-05-07T00:00:00"/>
    <s v="GESTION DE PROJET SÉCURISATION BÂTIMENT DÉMO"/>
    <m/>
    <e v="#N/A"/>
    <e v="#N/A"/>
    <n v="79007"/>
    <m/>
    <m/>
    <s v="Q2"/>
    <e v="#REF!"/>
    <e v="#REF!"/>
    <e v="#REF!"/>
  </r>
  <r>
    <s v="231000"/>
    <x v="6"/>
    <s v="Immos Spendesk à affecter"/>
    <s v="OD"/>
    <n v="-1260"/>
    <d v="2025-01-16T00:00:00"/>
    <s v="CIMEO - NOTE DE CALCULS FONDATIONS POTEAUX EXISTANTS"/>
    <m/>
    <e v="#N/A"/>
    <e v="#N/A"/>
    <n v="79044"/>
    <m/>
    <m/>
    <s v="Q1"/>
    <e v="#REF!"/>
    <e v="#REF!"/>
    <e v="#REF!"/>
  </r>
  <r>
    <s v="231000"/>
    <x v="6"/>
    <s v="Immos Spendesk à affecter"/>
    <s v="OD"/>
    <n v="-544.78"/>
    <d v="2025-01-01T00:00:00"/>
    <s v="Liaison inter-établissement"/>
    <m/>
    <e v="#N/A"/>
    <e v="#N/A"/>
    <n v="90201"/>
    <m/>
    <m/>
    <s v="Q1"/>
    <e v="#REF!"/>
    <e v="#REF!"/>
    <e v="#REF!"/>
  </r>
  <r>
    <s v="231000"/>
    <x v="6"/>
    <s v="Immos Spendesk à affecter"/>
    <s v="OD"/>
    <n v="-544.78"/>
    <d v="2025-01-01T00:00:00"/>
    <s v="Liaison inter-établissement vers RO "/>
    <m/>
    <e v="#N/A"/>
    <e v="#N/A"/>
    <n v="79047"/>
    <m/>
    <m/>
    <s v="Q1"/>
    <e v="#REF!"/>
    <e v="#REF!"/>
    <e v="#REF!"/>
  </r>
  <r>
    <s v="231000"/>
    <x v="6"/>
    <s v="Immos Spendesk à affecter"/>
    <s v="OD"/>
    <n v="544.78"/>
    <d v="2025-01-01T00:00:00"/>
    <s v="Liaison inter-établissement"/>
    <m/>
    <e v="#N/A"/>
    <e v="#N/A"/>
    <n v="79048"/>
    <m/>
    <m/>
    <s v="Q1"/>
    <e v="#REF!"/>
    <e v="#REF!"/>
    <e v="#REF!"/>
  </r>
  <r>
    <s v="231000"/>
    <x v="6"/>
    <s v="Immos Spendesk à affecter"/>
    <s v="OD"/>
    <n v="544.78"/>
    <d v="2025-01-01T00:00:00"/>
    <s v="Liaison inter-établissement vers RO "/>
    <m/>
    <e v="#N/A"/>
    <e v="#N/A"/>
    <n v="90200"/>
    <m/>
    <m/>
    <s v="Q1"/>
    <e v="#REF!"/>
    <e v="#REF!"/>
    <e v="#REF!"/>
  </r>
  <r>
    <s v="231000"/>
    <x v="6"/>
    <s v="Immos Spendesk à affecter"/>
    <s v="OD"/>
    <n v="25742.25"/>
    <d v="2025-05-31T00:00:00"/>
    <s v="Liaison inter-établissement"/>
    <m/>
    <e v="#N/A"/>
    <e v="#N/A"/>
    <n v="79017"/>
    <m/>
    <m/>
    <s v="Q2"/>
    <e v="#REF!"/>
    <e v="#REF!"/>
    <e v="#REF!"/>
  </r>
  <r>
    <s v="231006"/>
    <x v="6"/>
    <s v="Immos en cours - Usine"/>
    <s v="AN"/>
    <n v="112200"/>
    <d v="2025-01-01T00:00:00"/>
    <s v="Report à nouveau Exercice 2025"/>
    <m/>
    <e v="#N/A"/>
    <e v="#N/A"/>
    <n v="84882"/>
    <m/>
    <m/>
    <s v="Q1"/>
    <e v="#REF!"/>
    <e v="#REF!"/>
    <e v="#REF!"/>
  </r>
  <r>
    <s v="231007"/>
    <x v="6"/>
    <s v="Immos en cours - Pilote Roussilon"/>
    <s v="AC"/>
    <n v="4510"/>
    <d v="2025-08-29T00:00:00"/>
    <s v="CHANGEMENT PORTE ATELIER"/>
    <m/>
    <e v="#N/A"/>
    <e v="#N/A"/>
    <n v="89369"/>
    <s v="FA25-08-15222"/>
    <s v="SCMI"/>
    <s v="Q3"/>
    <e v="#REF!"/>
    <e v="#REF!"/>
    <e v="#REF!"/>
  </r>
  <r>
    <s v="231007"/>
    <x v="6"/>
    <s v="Immos en cours - Pilote Roussilon"/>
    <s v="IM"/>
    <n v="-4510"/>
    <d v="2025-09-01T00:00:00"/>
    <s v="CHANGEMENT PORTE ATELIER"/>
    <m/>
    <e v="#N/A"/>
    <e v="#N/A"/>
    <n v="90189"/>
    <m/>
    <m/>
    <s v="Q3"/>
    <e v="#REF!"/>
    <e v="#REF!"/>
    <e v="#REF!"/>
  </r>
  <r>
    <s v="231008"/>
    <x v="6"/>
    <s v="Immos en cours - Labo Roussilon"/>
    <s v="AC"/>
    <n v="4149.82"/>
    <d v="2025-07-31T00:00:00"/>
    <s v="PRISES LABORATOIRE : 1775.13€ PRISES ATEX : 4130.91€ ALIMENTATION CLIM + AIR : 1501.94€ PLANS : 872.75€"/>
    <m/>
    <e v="#N/A"/>
    <e v="#N/A"/>
    <n v="89362"/>
    <s v="FCA21251507"/>
    <s v="COTE"/>
    <s v="Q3"/>
    <e v="#REF!"/>
    <e v="#REF!"/>
    <e v="#REF!"/>
  </r>
  <r>
    <s v="231008"/>
    <x v="6"/>
    <s v="Immos en cours - Labo Roussilon"/>
    <s v="AC"/>
    <n v="26000"/>
    <d v="2025-07-17T00:00:00"/>
    <s v="CHAUFFAGE / CLIMATISATION LABORATOIRE + APPORT D'AIR LABORATOIRE"/>
    <s v="Non"/>
    <e v="#N/A"/>
    <e v="#N/A"/>
    <n v="89359"/>
    <s v="FC6781"/>
    <s v="LOPEZ PLOMBERIE ELECTRICITE"/>
    <s v="Q3"/>
    <e v="#REF!"/>
    <e v="#REF!"/>
    <e v="#REF!"/>
  </r>
  <r>
    <s v="231008"/>
    <x v="6"/>
    <s v="Immos en cours - Labo Roussilon"/>
    <s v="IM"/>
    <n v="-26000"/>
    <d v="2025-08-01T00:00:00"/>
    <s v="Acquisition - LOPEZ PLOMBERIE ELECTRICITE - CHAUFFAGE / CLIMATISATION LABORATOIRE + APPORT D'AIR LABORATOIRE"/>
    <m/>
    <e v="#N/A"/>
    <e v="#N/A"/>
    <n v="90257"/>
    <m/>
    <m/>
    <s v="Q3"/>
    <e v="#REF!"/>
    <e v="#REF!"/>
    <e v="#REF!"/>
  </r>
  <r>
    <s v="231008"/>
    <x v="6"/>
    <s v="Immos en cours - Labo Roussilon"/>
    <s v="IM"/>
    <n v="-4512.6000000000004"/>
    <d v="2025-04-01T00:00:00"/>
    <s v="Acquisition - FISHER SCIENTIFIC - SPECTROMÈTRE UV LABO ROUSSILLON"/>
    <m/>
    <e v="#N/A"/>
    <e v="#N/A"/>
    <n v="90259"/>
    <m/>
    <m/>
    <s v="Q2"/>
    <e v="#REF!"/>
    <e v="#REF!"/>
    <e v="#REF!"/>
  </r>
  <r>
    <s v="231008"/>
    <x v="6"/>
    <s v="Immos en cours - Labo Roussilon"/>
    <s v="IM"/>
    <n v="-4149.82"/>
    <d v="2025-08-01T00:00:00"/>
    <s v="Acquisition - COTE - PRISES LABORATOIRE, PRISES ATEX, ALIMENTATION CLIM + AIR, PLANS"/>
    <m/>
    <e v="#N/A"/>
    <e v="#N/A"/>
    <n v="90255"/>
    <m/>
    <m/>
    <s v="Q3"/>
    <e v="#REF!"/>
    <e v="#REF!"/>
    <e v="#REF!"/>
  </r>
  <r>
    <s v="231008"/>
    <x v="6"/>
    <s v="Immos en cours - Labo Roussilon"/>
    <s v="IM"/>
    <n v="-3620"/>
    <d v="2025-08-01T00:00:00"/>
    <s v="Acquisition - LOPEZ PLOMBERIE ELECTRICITE - RACCORDEMENT ASPIRATION LABORATOIRE"/>
    <m/>
    <e v="#N/A"/>
    <e v="#N/A"/>
    <n v="90253"/>
    <m/>
    <m/>
    <s v="Q3"/>
    <e v="#REF!"/>
    <e v="#REF!"/>
    <e v="#REF!"/>
  </r>
  <r>
    <s v="231008"/>
    <x v="6"/>
    <s v="Immos en cours - Labo Roussilon"/>
    <s v="IM"/>
    <n v="-1900"/>
    <d v="2025-08-01T00:00:00"/>
    <s v="Acquisition - APIE - BACS DE RÉTENTION ACIER GALVANISÉ 2 IBC OU 3 PALETTES EUROPES (COMPATIBLE RACKS)"/>
    <m/>
    <e v="#N/A"/>
    <e v="#N/A"/>
    <n v="90261"/>
    <m/>
    <m/>
    <s v="Q3"/>
    <e v="#REF!"/>
    <e v="#REF!"/>
    <e v="#REF!"/>
  </r>
  <r>
    <s v="231008"/>
    <x v="6"/>
    <s v="Immos en cours - Labo Roussilon"/>
    <s v="OD"/>
    <n v="1900"/>
    <d v="2025-07-07T00:00:00"/>
    <s v="BACS DE RÉTENTION ACIER GALVANISÉ 2 IBC OU 3 PALETTES EUROPES (COMPATIBLE RACKS)"/>
    <m/>
    <e v="#N/A"/>
    <e v="#N/A"/>
    <n v="79216"/>
    <m/>
    <m/>
    <s v="Q3"/>
    <e v="#REF!"/>
    <e v="#REF!"/>
    <e v="#REF!"/>
  </r>
  <r>
    <s v="231008"/>
    <x v="6"/>
    <s v="Immos en cours - Labo Roussilon"/>
    <s v="OD"/>
    <n v="3620"/>
    <d v="2025-01-27T00:00:00"/>
    <s v="RACCORDEMENT ASPIRATION LABORATOIRE"/>
    <m/>
    <e v="#N/A"/>
    <e v="#N/A"/>
    <n v="79037"/>
    <m/>
    <m/>
    <s v="Q1"/>
    <e v="#REF!"/>
    <e v="#REF!"/>
    <e v="#REF!"/>
  </r>
  <r>
    <s v="231008"/>
    <x v="6"/>
    <s v="Immos en cours - Labo Roussilon"/>
    <s v="OD"/>
    <n v="4512.6000000000004"/>
    <d v="2025-03-03T00:00:00"/>
    <s v="SPECTROMÈTRE UV LABO ROUSSILLON"/>
    <m/>
    <e v="#N/A"/>
    <e v="#N/A"/>
    <n v="79035"/>
    <m/>
    <m/>
    <s v="Q1"/>
    <e v="#REF!"/>
    <e v="#REF!"/>
    <e v="#REF!"/>
  </r>
  <r>
    <s v="231100"/>
    <x v="6"/>
    <s v="Immos en cours - ERP Finance"/>
    <s v="AC"/>
    <n v="495"/>
    <d v="2025-03-05T00:00:00"/>
    <s v="PRESTATION SAGE"/>
    <m/>
    <s v="Non"/>
    <e v="#N/A"/>
    <n v="67836"/>
    <s v="FAP10718"/>
    <s v="AXE GESCOM"/>
    <s v="Q1"/>
    <e v="#REF!"/>
    <e v="#REF!"/>
    <e v="#REF!"/>
  </r>
  <r>
    <s v="231100"/>
    <x v="6"/>
    <s v="Immos en cours - ERP Finance"/>
    <s v="AC"/>
    <n v="495"/>
    <d v="2025-03-18T00:00:00"/>
    <s v="PRESTATION RÉALISÉE À DISTANCE PAR UN CONSULTANT L1K, LA JOURNÉE"/>
    <m/>
    <s v="Non"/>
    <e v="#N/A"/>
    <n v="67848"/>
    <s v="FAP10744"/>
    <s v="AXE GESCOM"/>
    <s v="Q1"/>
    <e v="#REF!"/>
    <e v="#REF!"/>
    <e v="#REF!"/>
  </r>
  <r>
    <s v="231100"/>
    <x v="6"/>
    <s v="Immos en cours - ERP Finance"/>
    <s v="AC"/>
    <n v="990"/>
    <d v="2025-01-31T00:00:00"/>
    <s v="PRESTATION RÉALISÉE À DISTANCE PAR UN CONSULTANT  L1K"/>
    <m/>
    <s v="Non"/>
    <e v="#N/A"/>
    <n v="61353"/>
    <s v="FAP10564"/>
    <s v="AXE GESCOM"/>
    <s v="Q1"/>
    <e v="#REF!"/>
    <e v="#REF!"/>
    <e v="#REF!"/>
  </r>
  <r>
    <s v="231100"/>
    <x v="6"/>
    <s v="Immos en cours - ERP Finance"/>
    <s v="AC"/>
    <n v="990"/>
    <d v="2025-05-06T00:00:00"/>
    <s v="PRESTATION RÉALISÉE À DISTANCE PAR UN CONSULTANT 1,00 L1K, LA JOURNÉE"/>
    <m/>
    <s v="Non"/>
    <e v="#N/A"/>
    <n v="73769"/>
    <s v="FAP10896"/>
    <s v="AXE GESCOM"/>
    <s v="Q2"/>
    <e v="#REF!"/>
    <e v="#REF!"/>
    <e v="#REF!"/>
  </r>
  <r>
    <s v="231100"/>
    <x v="6"/>
    <s v="Immos en cours - ERP Finance"/>
    <s v="AC"/>
    <n v="3960"/>
    <d v="2025-03-10T00:00:00"/>
    <s v="PRESTATION RÉALISÉE À DISTANCE PAR UN CONSULTANT 4,00 L1K, LA JOURNÉE"/>
    <m/>
    <s v="Non"/>
    <e v="#N/A"/>
    <n v="66006"/>
    <s v="FAP10672"/>
    <s v="AXE GESCOM"/>
    <s v="Q1"/>
    <e v="#REF!"/>
    <e v="#REF!"/>
    <e v="#REF!"/>
  </r>
  <r>
    <s v="231100"/>
    <x v="6"/>
    <s v="Immos en cours - ERP Finance"/>
    <s v="AC"/>
    <n v="5000"/>
    <d v="2025-01-17T00:00:00"/>
    <s v="ACCOMPAGNEMENT BPI - CONSULTATION ERP - Y. FEILLENS"/>
    <m/>
    <e v="#N/A"/>
    <e v="#N/A"/>
    <n v="59896"/>
    <s v="UE250005 - PILI II"/>
    <s v="UBIQUITIZ CONSULTING"/>
    <s v="Q1"/>
    <e v="#REF!"/>
    <e v="#REF!"/>
    <e v="#REF!"/>
  </r>
  <r>
    <s v="231100"/>
    <x v="6"/>
    <s v="Immos en cours - ERP Finance"/>
    <s v="AC"/>
    <n v="10890"/>
    <d v="2025-02-20T00:00:00"/>
    <s v="PRESTATION RÉALISÉE À DISTANCE PAR UN CONSULTANT  L1K, LA JOURNÉE FI FICHE D'INTERVENTION DU 03 AU 19/02/25 SOIT 70H  PAR M. CAS"/>
    <m/>
    <s v="Non"/>
    <e v="#N/A"/>
    <n v="61535"/>
    <s v="FAP10625"/>
    <s v="AXE GESCOM"/>
    <s v="Q1"/>
    <e v="#REF!"/>
    <e v="#REF!"/>
    <e v="#REF!"/>
  </r>
  <r>
    <s v="231100"/>
    <x v="6"/>
    <s v="Immos en cours - ERP Finance"/>
    <s v="AC"/>
    <n v="14256.5"/>
    <d v="2025-02-28T00:00:00"/>
    <s v="AXE MAINTENANCE ÉVOLUTIVE ET CORRECTIVE SAGE L1K (PATCHES...) ASSISTANCE PLATINIUM (SERVICE DÉDIÉ, TÉLÉMAINTENANCE)"/>
    <m/>
    <s v="Non"/>
    <e v="#N/A"/>
    <n v="61582"/>
    <s v="FAP10636"/>
    <s v="AXE GESCOM"/>
    <s v="Q1"/>
    <e v="#REF!"/>
    <e v="#REF!"/>
    <e v="#REF!"/>
  </r>
  <r>
    <s v="231100"/>
    <x v="6"/>
    <s v="Immos en cours - ERP Finance"/>
    <s v="AC"/>
    <n v="15000"/>
    <d v="2025-01-31T00:00:00"/>
    <s v="MISSION B. LAJUGIE - JANVIER 2025"/>
    <s v="Non"/>
    <s v="Non"/>
    <e v="#N/A"/>
    <n v="85103"/>
    <s v="8743-1516-3"/>
    <s v="INSIDE MANAGEMENT"/>
    <s v="Q1"/>
    <e v="#REF!"/>
    <e v="#REF!"/>
    <e v="#REF!"/>
  </r>
  <r>
    <s v="231100"/>
    <x v="6"/>
    <s v="Immos en cours - ERP Finance"/>
    <s v="AC"/>
    <n v="15000"/>
    <d v="2025-04-30T00:00:00"/>
    <s v="INSIDE AVRIL 2025"/>
    <s v="Non"/>
    <s v="Non"/>
    <e v="#N/A"/>
    <n v="85107"/>
    <s v="8743-1561-6"/>
    <s v="INSIDE MANAGEMENT"/>
    <s v="Q2"/>
    <e v="#REF!"/>
    <e v="#REF!"/>
    <e v="#REF!"/>
  </r>
  <r>
    <s v="231100"/>
    <x v="6"/>
    <s v="Immos en cours - ERP Finance"/>
    <s v="AC"/>
    <n v="15750"/>
    <d v="2025-03-31T00:00:00"/>
    <s v="MARS-25"/>
    <s v="Non"/>
    <s v="Non"/>
    <e v="#N/A"/>
    <n v="85111"/>
    <s v="8743-1545-5"/>
    <s v="INSIDE MANAGEMENT"/>
    <s v="Q1"/>
    <e v="#REF!"/>
    <e v="#REF!"/>
    <e v="#REF!"/>
  </r>
  <r>
    <s v="231100"/>
    <x v="6"/>
    <s v="Immos en cours - ERP Finance"/>
    <s v="AC"/>
    <n v="18000"/>
    <d v="2025-02-28T00:00:00"/>
    <s v="MISSION B. LAJUGIE - FEVRIER 2025"/>
    <s v="Non"/>
    <s v="Non"/>
    <e v="#N/A"/>
    <n v="85115"/>
    <s v="8743-1534-4"/>
    <s v="INSIDE MANAGEMENT"/>
    <s v="Q1"/>
    <e v="#REF!"/>
    <e v="#REF!"/>
    <e v="#REF!"/>
  </r>
  <r>
    <s v="231100"/>
    <x v="6"/>
    <s v="Immos en cours - ERP Finance"/>
    <s v="IM"/>
    <n v="-100826.5"/>
    <d v="2025-06-01T00:00:00"/>
    <s v="Acquisition - ERP Finance Sage FRP1000"/>
    <m/>
    <e v="#N/A"/>
    <e v="#N/A"/>
    <n v="90191"/>
    <m/>
    <m/>
    <s v="Q2"/>
    <e v="#REF!"/>
    <e v="#REF!"/>
    <e v="#REF!"/>
  </r>
  <r>
    <s v="231990"/>
    <x v="6"/>
    <s v="Immos en cours - Labo KB"/>
    <s v="AC"/>
    <n v="2042.28"/>
    <d v="2025-03-26T00:00:00"/>
    <s v="COMMANDE DÉTECTEUR HCN POUR KEENB. FACTURE PAYÉE D'AVANCE."/>
    <m/>
    <e v="#N/A"/>
    <e v="#N/A"/>
    <n v="67886"/>
    <s v="922049545"/>
    <s v="DENIOS"/>
    <s v="Q1"/>
    <e v="#REF!"/>
    <e v="#REF!"/>
    <e v="#REF!"/>
  </r>
  <r>
    <s v="231990"/>
    <x v="6"/>
    <s v="Immos en cours - Labo KB"/>
    <s v="AC"/>
    <n v="18971.68"/>
    <d v="2025-01-29T00:00:00"/>
    <s v="ETUDES ÉLECTRICITÉ / UTILITÉS TRAVAUX DÉMONSTRATEUR"/>
    <s v="Non"/>
    <s v="Non"/>
    <e v="#N/A"/>
    <n v="61331"/>
    <s v="1800003237"/>
    <s v="OSIRIS"/>
    <s v="Q1"/>
    <e v="#REF!"/>
    <e v="#REF!"/>
    <e v="#REF!"/>
  </r>
  <r>
    <s v="231990"/>
    <x v="6"/>
    <s v="Immos en cours - Labo KB"/>
    <s v="AN"/>
    <n v="-527625.37"/>
    <d v="2025-01-01T00:00:00"/>
    <s v="Report à nouveau Exercice 2025"/>
    <m/>
    <e v="#N/A"/>
    <e v="#N/A"/>
    <n v="84835"/>
    <m/>
    <m/>
    <s v="Q1"/>
    <e v="#REF!"/>
    <e v="#REF!"/>
    <e v="#REF!"/>
  </r>
  <r>
    <s v="231990"/>
    <x v="6"/>
    <s v="Immos en cours - Labo KB"/>
    <s v="AN"/>
    <n v="0"/>
    <d v="2025-01-01T00:00:00"/>
    <s v="Report à nouveau Exercice 2025"/>
    <m/>
    <e v="#N/A"/>
    <e v="#N/A"/>
    <n v="84883"/>
    <m/>
    <m/>
    <s v="Q1"/>
    <e v="#REF!"/>
    <e v="#REF!"/>
    <e v="#REF!"/>
  </r>
  <r>
    <s v="231990"/>
    <x v="6"/>
    <s v="Immos en cours - Labo KB"/>
    <s v="AN"/>
    <n v="527625.37"/>
    <d v="2025-01-01T00:00:00"/>
    <s v="Report à nouveau Exercice 2025"/>
    <m/>
    <e v="#N/A"/>
    <e v="#N/A"/>
    <n v="84597"/>
    <m/>
    <m/>
    <s v="Q1"/>
    <e v="#REF!"/>
    <e v="#REF!"/>
    <e v="#REF!"/>
  </r>
  <r>
    <s v="231990"/>
    <x v="6"/>
    <s v="Immos en cours - Labo KB"/>
    <s v="IM"/>
    <n v="-2042.28"/>
    <d v="2025-04-01T00:00:00"/>
    <s v="Acquisition - Denios - Détecteur HCN"/>
    <m/>
    <e v="#N/A"/>
    <e v="#N/A"/>
    <n v="90193"/>
    <m/>
    <m/>
    <s v="Q2"/>
    <e v="#REF!"/>
    <e v="#REF!"/>
    <e v="#REF!"/>
  </r>
  <r>
    <s v="231990"/>
    <x v="6"/>
    <s v="Immos en cours - Labo KB"/>
    <s v="OD"/>
    <n v="-18971.68"/>
    <d v="2025-01-29T00:00:00"/>
    <s v="ETUDES ÉLECTRICITÉ / UTILITÉS TRAVAUX DÉMONSTRATEUR"/>
    <m/>
    <e v="#N/A"/>
    <e v="#N/A"/>
    <n v="79022"/>
    <m/>
    <m/>
    <s v="Q1"/>
    <e v="#REF!"/>
    <e v="#REF!"/>
    <e v="#REF!"/>
  </r>
  <r>
    <s v="231991"/>
    <x v="6"/>
    <s v="Immos en cours - Démo Roussillon"/>
    <s v="AC"/>
    <n v="-39645"/>
    <d v="2025-08-29T00:00:00"/>
    <s v="AVOIR SUR ACOMPTE KAPP"/>
    <s v="Non"/>
    <e v="#N/A"/>
    <e v="#N/A"/>
    <n v="89353"/>
    <s v="AVE000000"/>
    <s v="KAPP"/>
    <s v="Q3"/>
    <e v="#REF!"/>
    <e v="#REF!"/>
    <e v="#REF!"/>
  </r>
  <r>
    <s v="231991"/>
    <x v="6"/>
    <s v="Immos en cours - Démo Roussillon"/>
    <s v="AN"/>
    <n v="1232284.1499999999"/>
    <d v="2025-01-01T00:00:00"/>
    <s v="Report à nouveau Exercice 2025"/>
    <m/>
    <e v="#N/A"/>
    <e v="#N/A"/>
    <n v="84884"/>
    <m/>
    <m/>
    <s v="Q1"/>
    <e v="#REF!"/>
    <e v="#REF!"/>
    <e v="#REF!"/>
  </r>
  <r>
    <s v="231991"/>
    <x v="6"/>
    <s v="Immos en cours - Démo Roussillon"/>
    <s v="OD"/>
    <n v="-5095.8900000000003"/>
    <d v="2025-01-31T00:00:00"/>
    <s v="OPTIMUS - VANNE DE FOND HWS TYPE  T ARBRE D'AGITATION INOX/PTFE ADAPTATEUR DN15/M1"/>
    <m/>
    <e v="#N/A"/>
    <e v="#N/A"/>
    <n v="90532"/>
    <m/>
    <s v="OPTIMUS"/>
    <s v="Q1"/>
    <e v="#REF!"/>
    <e v="#REF!"/>
    <e v="#REF!"/>
  </r>
  <r>
    <s v="231991"/>
    <x v="6"/>
    <s v="Immos en cours - Démo Roussillon"/>
    <s v="OD"/>
    <n v="-3960"/>
    <d v="2025-01-31T00:00:00"/>
    <s v="CHILWORTH FRANCE SAS - ANALYSES TEMPÉRATURE MINIMALE D'INFLAMMATION (INDIGO + AA)"/>
    <m/>
    <e v="#N/A"/>
    <e v="#N/A"/>
    <n v="90512"/>
    <m/>
    <s v="CHILWORTH FRANCE SAS"/>
    <s v="Q1"/>
    <e v="#REF!"/>
    <e v="#REF!"/>
    <e v="#REF!"/>
  </r>
  <r>
    <s v="231991"/>
    <x v="6"/>
    <s v="Immos en cours - Démo Roussillon"/>
    <s v="OD"/>
    <n v="-2850"/>
    <d v="2025-01-31T00:00:00"/>
    <s v="CHILWORTH FRANCE SAS - ANALYSES ÉNERGIE MINIMALE D'INFLAMMATION (AA + INDIGO)"/>
    <m/>
    <e v="#N/A"/>
    <e v="#N/A"/>
    <n v="90508"/>
    <m/>
    <s v="CHILWORTH FRANCE SAS"/>
    <s v="Q1"/>
    <e v="#REF!"/>
    <e v="#REF!"/>
    <e v="#REF!"/>
  </r>
  <r>
    <s v="231991"/>
    <x v="6"/>
    <s v="Immos en cours - Démo Roussillon"/>
    <s v="OD"/>
    <n v="-1800"/>
    <d v="2025-01-31T00:00:00"/>
    <s v="FREWITT - ESSAIS BROYAGE À SEC"/>
    <m/>
    <e v="#N/A"/>
    <e v="#N/A"/>
    <n v="90528"/>
    <m/>
    <s v="FREWITT"/>
    <s v="Q1"/>
    <e v="#REF!"/>
    <e v="#REF!"/>
    <e v="#REF!"/>
  </r>
  <r>
    <s v="231991"/>
    <x v="6"/>
    <s v="Immos en cours - Démo Roussillon"/>
    <s v="OD"/>
    <n v="-1271.1600000000001"/>
    <d v="2025-01-31T00:00:00"/>
    <s v="COTE - TRAVAUX D'ÉLECTRICITÉ DANS LE LABO + RACCORDEMENT AÉROTHERME"/>
    <m/>
    <e v="#N/A"/>
    <e v="#N/A"/>
    <n v="90504"/>
    <m/>
    <s v="COTE"/>
    <s v="Q1"/>
    <e v="#REF!"/>
    <e v="#REF!"/>
    <e v="#REF!"/>
  </r>
  <r>
    <s v="231991"/>
    <x v="6"/>
    <s v="Immos en cours - Démo Roussillon"/>
    <s v="OD"/>
    <n v="-803"/>
    <d v="2025-01-31T00:00:00"/>
    <s v="ACI SOMAGEP - VANNE DE FOND QUART DE TOUR R1000 - VARIANTE 2 - PLATEFORME CHIMIQUE DE ROUSSILLON"/>
    <m/>
    <e v="#N/A"/>
    <e v="#N/A"/>
    <n v="90516"/>
    <m/>
    <s v="ACI"/>
    <s v="Q1"/>
    <e v="#REF!"/>
    <e v="#REF!"/>
    <e v="#REF!"/>
  </r>
  <r>
    <s v="231991"/>
    <x v="6"/>
    <s v="Immos en cours - Démo Roussillon"/>
    <s v="OD"/>
    <n v="1260"/>
    <d v="2025-01-16T00:00:00"/>
    <s v="CIMEO - NOTE DE CALCULS FONDATIONS POTEAUX EXISTANTS"/>
    <m/>
    <e v="#N/A"/>
    <e v="#N/A"/>
    <n v="79045"/>
    <m/>
    <m/>
    <s v="Q1"/>
    <e v="#REF!"/>
    <e v="#REF!"/>
    <e v="#REF!"/>
  </r>
  <r>
    <s v="231991"/>
    <x v="6"/>
    <s v="Immos en cours - Démo Roussillon"/>
    <s v="OD"/>
    <n v="1510"/>
    <d v="2025-02-28T00:00:00"/>
    <s v="GESTION DE PROJET SÉCURISATION BÂTIMENT DÉMO"/>
    <m/>
    <e v="#N/A"/>
    <e v="#N/A"/>
    <n v="79010"/>
    <m/>
    <m/>
    <s v="Q1"/>
    <e v="#REF!"/>
    <e v="#REF!"/>
    <e v="#REF!"/>
  </r>
  <r>
    <s v="231991"/>
    <x v="6"/>
    <s v="Immos en cours - Démo Roussillon"/>
    <s v="OD"/>
    <n v="1510"/>
    <d v="2025-05-07T00:00:00"/>
    <s v="GESTION DE PROJET SÉCURISATION BÂTIMENT DÉMO"/>
    <m/>
    <e v="#N/A"/>
    <e v="#N/A"/>
    <n v="79008"/>
    <m/>
    <m/>
    <s v="Q2"/>
    <e v="#REF!"/>
    <e v="#REF!"/>
    <e v="#REF!"/>
  </r>
  <r>
    <s v="231991"/>
    <x v="6"/>
    <s v="Immos en cours - Démo Roussillon"/>
    <s v="OD"/>
    <n v="1938.5"/>
    <d v="2025-05-31T00:00:00"/>
    <s v="DEMO : SÉCURISATION ZONE DÉMONSTRATEUR : - FONDATION POTEAUX EXISTANTS - TERRASSEMENT"/>
    <m/>
    <e v="#N/A"/>
    <e v="#N/A"/>
    <n v="79006"/>
    <m/>
    <m/>
    <s v="Q2"/>
    <e v="#REF!"/>
    <e v="#REF!"/>
    <e v="#REF!"/>
  </r>
  <r>
    <s v="231991"/>
    <x v="6"/>
    <s v="Immos en cours - Démo Roussillon"/>
    <s v="OD"/>
    <n v="4517.25"/>
    <d v="2025-01-01T00:00:00"/>
    <s v="Immos en cours AIGP"/>
    <m/>
    <e v="#N/A"/>
    <e v="#N/A"/>
    <n v="79014"/>
    <m/>
    <m/>
    <s v="Q1"/>
    <e v="#REF!"/>
    <e v="#REF!"/>
    <e v="#REF!"/>
  </r>
  <r>
    <s v="231991"/>
    <x v="6"/>
    <s v="Immos en cours - Démo Roussillon"/>
    <s v="OD"/>
    <n v="8411.5"/>
    <d v="2025-04-01T00:00:00"/>
    <s v="RIBIERE - DEMO : SÉCURISATION ZONE DÉMONSTRATEUR : - FONDATION POTEAUX EXISTANTS - TERRASSEMENT"/>
    <m/>
    <e v="#N/A"/>
    <e v="#N/A"/>
    <n v="78999"/>
    <m/>
    <m/>
    <s v="Q2"/>
    <e v="#REF!"/>
    <e v="#REF!"/>
    <e v="#REF!"/>
  </r>
  <r>
    <s v="231991"/>
    <x v="6"/>
    <s v="Immos en cours - Démo Roussillon"/>
    <s v="OD"/>
    <n v="18971.68"/>
    <d v="2025-01-29T00:00:00"/>
    <s v="ETUDES ÉLECTRICITÉ / UTILITÉS TRAVAUX DÉMONSTRATEUR"/>
    <m/>
    <e v="#N/A"/>
    <e v="#N/A"/>
    <n v="79023"/>
    <m/>
    <m/>
    <s v="Q1"/>
    <e v="#REF!"/>
    <e v="#REF!"/>
    <e v="#REF!"/>
  </r>
  <r>
    <s v="231991"/>
    <x v="6"/>
    <s v="Immos en cours - Démo Roussillon"/>
    <s v="OD"/>
    <n v="21225"/>
    <d v="2025-01-01T00:00:00"/>
    <s v="Immos en cours AIGP"/>
    <m/>
    <e v="#N/A"/>
    <e v="#N/A"/>
    <n v="79012"/>
    <m/>
    <m/>
    <s v="Q1"/>
    <e v="#REF!"/>
    <e v="#REF!"/>
    <e v="#REF!"/>
  </r>
  <r>
    <s v="231995"/>
    <x v="6"/>
    <s v="Immos en cours - Kilolab Roussilon"/>
    <s v="IM"/>
    <n v="-2427.5500000000002"/>
    <d v="2025-02-01T00:00:00"/>
    <s v="Acquisition - PROMINENT - Pompe Addition KL"/>
    <m/>
    <e v="#N/A"/>
    <e v="#N/A"/>
    <n v="90244"/>
    <m/>
    <m/>
    <s v="Q1"/>
    <e v="#REF!"/>
    <e v="#REF!"/>
    <e v="#REF!"/>
  </r>
  <r>
    <s v="231995"/>
    <x v="6"/>
    <s v="Immos en cours - Kilolab Roussilon"/>
    <s v="OD"/>
    <n v="2427.5500000000002"/>
    <d v="2025-01-17T00:00:00"/>
    <s v="POMPE ADDITION KL"/>
    <m/>
    <e v="#N/A"/>
    <e v="#N/A"/>
    <n v="79033"/>
    <m/>
    <m/>
    <s v="Q1"/>
    <e v="#REF!"/>
    <e v="#REF!"/>
    <e v="#REF!"/>
  </r>
  <r>
    <s v="232100"/>
    <x v="6"/>
    <s v="Immos en cours - R&amp;D"/>
    <s v="AC"/>
    <n v="-23891"/>
    <d v="2025-02-17T00:00:00"/>
    <s v="ADJUSTMENT OF PART OF FERMENTATION LINE"/>
    <s v="Non"/>
    <e v="#N/A"/>
    <e v="#N/A"/>
    <n v="95548"/>
    <s v="91250007"/>
    <s v="BIOTIKA"/>
    <s v="Q1"/>
    <e v="#REF!"/>
    <e v="#REF!"/>
    <e v="#REF!"/>
  </r>
  <r>
    <s v="232100"/>
    <x v="6"/>
    <s v="Immos en cours - R&amp;D"/>
    <s v="AC"/>
    <n v="-13000"/>
    <d v="2025-02-18T00:00:00"/>
    <s v="2ND INSTALLMENT AFTER FINISHING OF 3 LABORATORY TRIAL"/>
    <s v="Non"/>
    <e v="#N/A"/>
    <e v="#N/A"/>
    <n v="95546"/>
    <s v="91250008"/>
    <s v="BIOTIKA"/>
    <s v="Q1"/>
    <e v="#REF!"/>
    <e v="#REF!"/>
    <e v="#REF!"/>
  </r>
  <r>
    <s v="232100"/>
    <x v="6"/>
    <s v="Immos en cours - R&amp;D"/>
    <s v="AC"/>
    <n v="-5000"/>
    <d v="2025-05-30T00:00:00"/>
    <s v="SUMMARY REPORT - AGREEMENT"/>
    <s v="Non"/>
    <e v="#N/A"/>
    <e v="#N/A"/>
    <n v="95540"/>
    <s v="91250074"/>
    <s v="BIOTIKA"/>
    <s v="Q2"/>
    <e v="#REF!"/>
    <e v="#REF!"/>
    <e v="#REF!"/>
  </r>
  <r>
    <s v="232100"/>
    <x v="6"/>
    <s v="Immos en cours - R&amp;D"/>
    <s v="AC"/>
    <n v="1840"/>
    <d v="2025-06-03T00:00:00"/>
    <s v="TRANSPORT OF MATERIAL TO ALFA  LAVAL ITALY (MEDICAL LOGISTICS),"/>
    <s v="Non"/>
    <e v="#N/A"/>
    <e v="#N/A"/>
    <n v="76557"/>
    <s v="91250077"/>
    <s v="BIOTIKA"/>
    <s v="Q2"/>
    <e v="#REF!"/>
    <e v="#REF!"/>
    <e v="#REF!"/>
  </r>
  <r>
    <s v="232100"/>
    <x v="6"/>
    <s v="Immos en cours - R&amp;D"/>
    <s v="AC"/>
    <n v="2000"/>
    <d v="2025-08-21T00:00:00"/>
    <s v="PHOENIX VBIO - ESSAI DECANTEUR - CENTRIGUGE / MARINER"/>
    <s v="Non"/>
    <e v="#N/A"/>
    <e v="#N/A"/>
    <n v="81814"/>
    <s v="91250136"/>
    <s v="BIOTIKA"/>
    <s v="Q3"/>
    <e v="#REF!"/>
    <e v="#REF!"/>
    <e v="#REF!"/>
  </r>
  <r>
    <s v="232100"/>
    <x v="6"/>
    <s v="Immos en cours - R&amp;D"/>
    <s v="AC"/>
    <n v="2590"/>
    <d v="2025-05-19T00:00:00"/>
    <s v="TRANSPORTATION COSTS"/>
    <s v="Non"/>
    <e v="#N/A"/>
    <e v="#N/A"/>
    <n v="77093"/>
    <s v="91250058"/>
    <s v="BIOTIKA"/>
    <s v="Q2"/>
    <e v="#REF!"/>
    <e v="#REF!"/>
    <e v="#REF!"/>
  </r>
  <r>
    <s v="232100"/>
    <x v="6"/>
    <s v="Immos en cours - R&amp;D"/>
    <s v="AC"/>
    <n v="3574.97"/>
    <d v="2025-11-13T00:00:00"/>
    <s v="RM - AGREEMENT VII"/>
    <s v="Non"/>
    <e v="#N/A"/>
    <e v="#N/A"/>
    <n v="91118"/>
    <s v="91250196"/>
    <s v="BIOTIKA"/>
    <s v="Q4"/>
    <e v="#REF!"/>
    <e v="#REF!"/>
    <e v="#REF!"/>
  </r>
  <r>
    <s v="232100"/>
    <x v="6"/>
    <s v="Immos en cours - R&amp;D"/>
    <s v="AC"/>
    <n v="3875"/>
    <d v="2025-05-19T00:00:00"/>
    <s v="TRANSPORT COSTS"/>
    <s v="Non"/>
    <e v="#N/A"/>
    <e v="#N/A"/>
    <n v="73810"/>
    <s v="91250055"/>
    <s v="BIOTIKA"/>
    <s v="Q2"/>
    <e v="#REF!"/>
    <e v="#REF!"/>
    <e v="#REF!"/>
  </r>
  <r>
    <s v="232100"/>
    <x v="6"/>
    <s v="Immos en cours - R&amp;D"/>
    <s v="AC"/>
    <n v="4072"/>
    <d v="2025-08-21T00:00:00"/>
    <s v="LOCATION EQUIPEMENT FLOTWEG"/>
    <s v="Non"/>
    <e v="#N/A"/>
    <e v="#N/A"/>
    <n v="81963"/>
    <s v="91250137"/>
    <s v="BIOTIKA"/>
    <s v="Q3"/>
    <e v="#REF!"/>
    <e v="#REF!"/>
    <e v="#REF!"/>
  </r>
  <r>
    <s v="232100"/>
    <x v="6"/>
    <s v="Immos en cours - R&amp;D"/>
    <s v="AC"/>
    <n v="5000"/>
    <d v="2025-05-30T00:00:00"/>
    <s v="AGREEMENT  PHOENIX I - FACTURE FINALE - RAPPORT"/>
    <s v="Non"/>
    <e v="#N/A"/>
    <e v="#N/A"/>
    <n v="77097"/>
    <s v="91250075"/>
    <s v="BIOTIKA"/>
    <s v="Q2"/>
    <e v="#REF!"/>
    <e v="#REF!"/>
    <e v="#REF!"/>
  </r>
  <r>
    <s v="232100"/>
    <x v="6"/>
    <s v="Immos en cours - R&amp;D"/>
    <s v="AC"/>
    <n v="5000"/>
    <d v="2025-05-30T00:00:00"/>
    <s v="SUMMARY REPORT - AGREEMENT"/>
    <s v="Non"/>
    <e v="#N/A"/>
    <e v="#N/A"/>
    <n v="75981"/>
    <s v="91250074"/>
    <s v="BIOTIKA"/>
    <s v="Q2"/>
    <e v="#REF!"/>
    <e v="#REF!"/>
    <e v="#REF!"/>
  </r>
  <r>
    <s v="232100"/>
    <x v="6"/>
    <s v="Immos en cours - R&amp;D"/>
    <s v="AC"/>
    <n v="5000"/>
    <d v="2025-05-30T00:00:00"/>
    <s v="SUMMARY REPORT - AGREEMENT"/>
    <s v="Non"/>
    <e v="#N/A"/>
    <e v="#N/A"/>
    <n v="95535"/>
    <s v="91250074"/>
    <s v="BIOTIKA"/>
    <s v="Q2"/>
    <e v="#REF!"/>
    <e v="#REF!"/>
    <e v="#REF!"/>
  </r>
  <r>
    <s v="232100"/>
    <x v="6"/>
    <s v="Immos en cours - R&amp;D"/>
    <s v="AC"/>
    <n v="5217.95"/>
    <d v="2025-10-08T00:00:00"/>
    <s v="RM COSTS (4 TRIALS)"/>
    <s v="Non"/>
    <e v="#N/A"/>
    <e v="#N/A"/>
    <n v="89863"/>
    <s v="91250161"/>
    <s v="BIOTIKA"/>
    <s v="Q4"/>
    <e v="#REF!"/>
    <e v="#REF!"/>
    <e v="#REF!"/>
  </r>
  <r>
    <s v="232100"/>
    <x v="6"/>
    <s v="Immos en cours - R&amp;D"/>
    <s v="AC"/>
    <n v="5328.4"/>
    <d v="2025-10-20T00:00:00"/>
    <s v="EQUIPMENT FLOTWEG"/>
    <s v="Non"/>
    <e v="#N/A"/>
    <e v="#N/A"/>
    <n v="89867"/>
    <s v="91250170"/>
    <s v="BIOTIKA"/>
    <s v="Q4"/>
    <e v="#REF!"/>
    <e v="#REF!"/>
    <e v="#REF!"/>
  </r>
  <r>
    <s v="232100"/>
    <x v="6"/>
    <s v="Immos en cours - R&amp;D"/>
    <s v="AC"/>
    <n v="9900"/>
    <d v="2025-01-20T00:00:00"/>
    <s v="MP POUR PRODUCTION CDMO BIOTECHNOLOGIE"/>
    <m/>
    <e v="#N/A"/>
    <e v="#N/A"/>
    <n v="61283"/>
    <s v="910001754"/>
    <s v="Eurolysine"/>
    <s v="Q1"/>
    <e v="#REF!"/>
    <e v="#REF!"/>
    <e v="#REF!"/>
  </r>
  <r>
    <s v="232100"/>
    <x v="6"/>
    <s v="Immos en cours - R&amp;D"/>
    <s v="AC"/>
    <n v="11500"/>
    <d v="2025-07-09T00:00:00"/>
    <s v="MP POUR FERMENTATION VBIO"/>
    <m/>
    <e v="#N/A"/>
    <e v="#N/A"/>
    <n v="81322"/>
    <s v="910004128"/>
    <s v="Eurolysine"/>
    <s v="Q3"/>
    <e v="#REF!"/>
    <e v="#REF!"/>
    <e v="#REF!"/>
  </r>
  <r>
    <s v="232100"/>
    <x v="6"/>
    <s v="Immos en cours - R&amp;D"/>
    <s v="AC"/>
    <n v="13000"/>
    <d v="2025-02-18T00:00:00"/>
    <s v="2ND INSTALLMENT AFTER FINISHING OF 3 LABORATORY TRIAL"/>
    <s v="Non"/>
    <e v="#N/A"/>
    <e v="#N/A"/>
    <n v="61520"/>
    <s v="91250008"/>
    <s v="BIOTIKA"/>
    <s v="Q1"/>
    <e v="#REF!"/>
    <e v="#REF!"/>
    <e v="#REF!"/>
  </r>
  <r>
    <s v="232100"/>
    <x v="6"/>
    <s v="Immos en cours - R&amp;D"/>
    <s v="AC"/>
    <n v="13000"/>
    <d v="2025-02-18T00:00:00"/>
    <s v="2ND INSTALLMENT AFTER FINISHING OF 3 LABORATORY TRIAL"/>
    <s v="Non"/>
    <e v="#N/A"/>
    <e v="#N/A"/>
    <n v="95542"/>
    <s v="91250008"/>
    <s v="BIOTIKA"/>
    <s v="Q1"/>
    <e v="#REF!"/>
    <e v="#REF!"/>
    <e v="#REF!"/>
  </r>
  <r>
    <s v="232100"/>
    <x v="6"/>
    <s v="Immos en cours - R&amp;D"/>
    <s v="AC"/>
    <n v="15000"/>
    <d v="2025-12-22T00:00:00"/>
    <s v="FABRICATION LOTS PILOTES PHOENIX VBIO"/>
    <m/>
    <e v="#N/A"/>
    <e v="#N/A"/>
    <n v="93653"/>
    <s v="2512021"/>
    <s v="VEG'EXTRA"/>
    <s v="Q4"/>
    <e v="#REF!"/>
    <e v="#REF!"/>
    <e v="#REF!"/>
  </r>
  <r>
    <s v="232100"/>
    <x v="6"/>
    <s v="Immos en cours - R&amp;D"/>
    <s v="AC"/>
    <n v="20000"/>
    <d v="2025-04-14T00:00:00"/>
    <s v="1ST INSTALLMENT AFTER SIGN OF AGREEMENT"/>
    <s v="Non"/>
    <e v="#N/A"/>
    <e v="#N/A"/>
    <n v="69795"/>
    <s v="91250037"/>
    <s v="BIOTIKA"/>
    <s v="Q2"/>
    <e v="#REF!"/>
    <e v="#REF!"/>
    <e v="#REF!"/>
  </r>
  <r>
    <s v="232100"/>
    <x v="6"/>
    <s v="Immos en cours - R&amp;D"/>
    <s v="AC"/>
    <n v="23891"/>
    <d v="2025-02-17T00:00:00"/>
    <s v="ADJUSTMENT OF PART OF FERMENTATION LINE"/>
    <s v="Non"/>
    <e v="#N/A"/>
    <e v="#N/A"/>
    <n v="61509"/>
    <s v="91250007"/>
    <s v="BIOTIKA"/>
    <s v="Q1"/>
    <e v="#REF!"/>
    <e v="#REF!"/>
    <e v="#REF!"/>
  </r>
  <r>
    <s v="232100"/>
    <x v="6"/>
    <s v="Immos en cours - R&amp;D"/>
    <s v="AC"/>
    <n v="23891"/>
    <d v="2025-02-17T00:00:00"/>
    <s v="ADJUSTMENT OF PART OF FERMENTATION LINE"/>
    <s v="Non"/>
    <e v="#N/A"/>
    <e v="#N/A"/>
    <n v="95550"/>
    <s v="91250007"/>
    <s v="BIOTIKA"/>
    <s v="Q1"/>
    <e v="#REF!"/>
    <e v="#REF!"/>
    <e v="#REF!"/>
  </r>
  <r>
    <s v="232100"/>
    <x v="6"/>
    <s v="Immos en cours - R&amp;D"/>
    <s v="AC"/>
    <n v="27788.69"/>
    <d v="2025-04-01T00:00:00"/>
    <s v="FIRST TRIAL OF INDIGO PRODUCTION ACTUAL CONSUMPTION OF RAW MATERIAL"/>
    <s v="Non"/>
    <e v="#N/A"/>
    <e v="#N/A"/>
    <n v="68983"/>
    <s v="91250029"/>
    <s v="BIOTIKA"/>
    <s v="Q2"/>
    <e v="#REF!"/>
    <e v="#REF!"/>
    <e v="#REF!"/>
  </r>
  <r>
    <s v="232100"/>
    <x v="6"/>
    <s v="Immos en cours - R&amp;D"/>
    <s v="AC"/>
    <n v="28000"/>
    <d v="2025-05-26T00:00:00"/>
    <s v="INVOICING AFTER FINISHING OF 2TRIALS IN 30L FERMENTER  INVOICING AFTER 3RD TRIAL IN LABORATORY FERMENTER"/>
    <s v="Non"/>
    <e v="#N/A"/>
    <e v="#N/A"/>
    <n v="75166"/>
    <s v="91250072"/>
    <s v="BIOTIKA"/>
    <s v="Q2"/>
    <e v="#REF!"/>
    <e v="#REF!"/>
    <e v="#REF!"/>
  </r>
  <r>
    <s v="232100"/>
    <x v="6"/>
    <s v="Immos en cours - R&amp;D"/>
    <s v="AC"/>
    <n v="29000"/>
    <d v="2025-08-14T00:00:00"/>
    <s v="DEVELOPMENT AGREEMENT PHOENIX V"/>
    <s v="Non"/>
    <e v="#N/A"/>
    <e v="#N/A"/>
    <n v="81347"/>
    <s v="91250131"/>
    <s v="BIOTIKA"/>
    <s v="Q3"/>
    <e v="#REF!"/>
    <e v="#REF!"/>
    <e v="#REF!"/>
  </r>
  <r>
    <s v="232100"/>
    <x v="6"/>
    <s v="Immos en cours - R&amp;D"/>
    <s v="AC"/>
    <n v="34000"/>
    <d v="2025-06-30T00:00:00"/>
    <s v="PHOENIX III REPORT"/>
    <s v="Non"/>
    <e v="#N/A"/>
    <e v="#N/A"/>
    <n v="78884"/>
    <s v="91250094"/>
    <s v="BIOTIKA"/>
    <s v="Q2"/>
    <e v="#REF!"/>
    <e v="#REF!"/>
    <e v="#REF!"/>
  </r>
  <r>
    <s v="232100"/>
    <x v="6"/>
    <s v="Immos en cours - R&amp;D"/>
    <s v="AC"/>
    <n v="36000"/>
    <d v="2025-11-07T00:00:00"/>
    <s v="AGREEMENT VII - VBIO 15M3 + 35L"/>
    <s v="Non"/>
    <e v="#N/A"/>
    <e v="#N/A"/>
    <n v="91108"/>
    <s v="91250190"/>
    <s v="BIOTIKA"/>
    <s v="Q4"/>
    <e v="#REF!"/>
    <e v="#REF!"/>
    <e v="#REF!"/>
  </r>
  <r>
    <s v="232100"/>
    <x v="6"/>
    <s v="Immos en cours - R&amp;D"/>
    <s v="AC"/>
    <n v="45000"/>
    <d v="2025-09-16T00:00:00"/>
    <s v="DEVELOPMENT AGREEMENT PHOENIX VI, 3.1."/>
    <s v="Non"/>
    <e v="#N/A"/>
    <e v="#N/A"/>
    <n v="89964"/>
    <s v="91250146"/>
    <s v="BIOTIKA"/>
    <s v="Q3"/>
    <e v="#REF!"/>
    <e v="#REF!"/>
    <e v="#REF!"/>
  </r>
  <r>
    <s v="232100"/>
    <x v="6"/>
    <s v="Immos en cours - R&amp;D"/>
    <s v="AC"/>
    <n v="64000"/>
    <d v="2025-07-18T00:00:00"/>
    <s v="AGREEMENT IV -  4 TRIALS IN THE 30L LABORATORY FERMENTER"/>
    <s v="Non"/>
    <e v="#N/A"/>
    <e v="#N/A"/>
    <n v="78805"/>
    <s v="91250101"/>
    <s v="BIOTIKA"/>
    <s v="Q3"/>
    <e v="#REF!"/>
    <e v="#REF!"/>
    <e v="#REF!"/>
  </r>
  <r>
    <s v="232100"/>
    <x v="6"/>
    <s v="Immos en cours - R&amp;D"/>
    <s v="AC"/>
    <n v="133467.09"/>
    <d v="2025-11-28T00:00:00"/>
    <s v="PHOENIX VBIO - PRÉ-PILOTE &amp; PILOTE"/>
    <m/>
    <e v="#N/A"/>
    <e v="#N/A"/>
    <n v="94886"/>
    <s v="325000353"/>
    <s v="WACKER LEON"/>
    <s v="Q4"/>
    <e v="#REF!"/>
    <e v="#REF!"/>
    <e v="#REF!"/>
  </r>
  <r>
    <s v="232100"/>
    <x v="6"/>
    <s v="Immos en cours - R&amp;D"/>
    <s v="JC"/>
    <n v="34934.94"/>
    <d v="2025-02-28T00:00:00"/>
    <s v="Production immobilisée - Phoenix vBIO"/>
    <m/>
    <e v="#N/A"/>
    <e v="#N/A"/>
    <n v="90542"/>
    <m/>
    <m/>
    <s v="Q1"/>
    <e v="#REF!"/>
    <e v="#REF!"/>
    <e v="#REF!"/>
  </r>
  <r>
    <s v="232100"/>
    <x v="6"/>
    <s v="Immos en cours - R&amp;D"/>
    <s v="JC"/>
    <n v="36313.99"/>
    <d v="2025-01-31T00:00:00"/>
    <s v="Production immobilisée - Phoenix vBIO"/>
    <m/>
    <e v="#N/A"/>
    <e v="#N/A"/>
    <n v="90536"/>
    <m/>
    <m/>
    <s v="Q1"/>
    <e v="#REF!"/>
    <e v="#REF!"/>
    <e v="#REF!"/>
  </r>
  <r>
    <s v="232100"/>
    <x v="6"/>
    <s v="Immos en cours - R&amp;D"/>
    <s v="JC"/>
    <n v="44947.72"/>
    <d v="2025-04-30T00:00:00"/>
    <s v="Production immobilisée - Phoenix vBIO"/>
    <m/>
    <e v="#N/A"/>
    <e v="#N/A"/>
    <n v="90547"/>
    <m/>
    <m/>
    <s v="Q2"/>
    <e v="#REF!"/>
    <e v="#REF!"/>
    <e v="#REF!"/>
  </r>
  <r>
    <s v="232100"/>
    <x v="6"/>
    <s v="Immos en cours - R&amp;D"/>
    <s v="JC"/>
    <n v="45564.14"/>
    <d v="2025-03-31T00:00:00"/>
    <s v="Production immobilisée - Phoenix vBIO"/>
    <m/>
    <e v="#N/A"/>
    <e v="#N/A"/>
    <n v="90544"/>
    <m/>
    <m/>
    <s v="Q1"/>
    <e v="#REF!"/>
    <e v="#REF!"/>
    <e v="#REF!"/>
  </r>
  <r>
    <s v="232100"/>
    <x v="6"/>
    <s v="Immos en cours - R&amp;D"/>
    <s v="JC"/>
    <n v="48994.83"/>
    <d v="2025-05-31T00:00:00"/>
    <s v="Production immobilisée - Phoenix vBIO"/>
    <m/>
    <e v="#N/A"/>
    <e v="#N/A"/>
    <n v="90548"/>
    <m/>
    <m/>
    <s v="Q2"/>
    <e v="#REF!"/>
    <e v="#REF!"/>
    <e v="#REF!"/>
  </r>
  <r>
    <s v="232100"/>
    <x v="6"/>
    <s v="Immos en cours - R&amp;D"/>
    <s v="JC"/>
    <n v="50873.17"/>
    <d v="2025-12-31T00:00:00"/>
    <s v="Production immobilisée - Phoenix vBIO"/>
    <m/>
    <e v="#N/A"/>
    <e v="#N/A"/>
    <n v="96139"/>
    <m/>
    <m/>
    <s v="Q4"/>
    <e v="#REF!"/>
    <e v="#REF!"/>
    <e v="#REF!"/>
  </r>
  <r>
    <s v="232100"/>
    <x v="6"/>
    <s v="Immos en cours - R&amp;D"/>
    <s v="JC"/>
    <n v="59617.5"/>
    <d v="2025-08-31T00:00:00"/>
    <s v="Production immobilisée - Phoenix vBIO"/>
    <m/>
    <e v="#N/A"/>
    <e v="#N/A"/>
    <n v="90554"/>
    <m/>
    <m/>
    <s v="Q3"/>
    <e v="#REF!"/>
    <e v="#REF!"/>
    <e v="#REF!"/>
  </r>
  <r>
    <s v="232100"/>
    <x v="6"/>
    <s v="Immos en cours - R&amp;D"/>
    <s v="JC"/>
    <n v="67611.77"/>
    <d v="2025-11-30T00:00:00"/>
    <s v="Production immobilisée - Phoenix vBIO"/>
    <m/>
    <e v="#N/A"/>
    <e v="#N/A"/>
    <n v="96137"/>
    <m/>
    <m/>
    <s v="Q4"/>
    <e v="#REF!"/>
    <e v="#REF!"/>
    <e v="#REF!"/>
  </r>
  <r>
    <s v="232100"/>
    <x v="6"/>
    <s v="Immos en cours - R&amp;D"/>
    <s v="JC"/>
    <n v="70776.3"/>
    <d v="2025-07-31T00:00:00"/>
    <s v="Production immobilisée - Phoenix vBIO"/>
    <m/>
    <e v="#N/A"/>
    <e v="#N/A"/>
    <n v="90552"/>
    <m/>
    <m/>
    <s v="Q3"/>
    <e v="#REF!"/>
    <e v="#REF!"/>
    <e v="#REF!"/>
  </r>
  <r>
    <s v="232100"/>
    <x v="6"/>
    <s v="Immos en cours - R&amp;D"/>
    <s v="JC"/>
    <n v="73984.75"/>
    <d v="2025-06-30T00:00:00"/>
    <s v="Production immobilisée - Phoenix vBIO"/>
    <m/>
    <e v="#N/A"/>
    <e v="#N/A"/>
    <n v="90551"/>
    <m/>
    <m/>
    <s v="Q2"/>
    <e v="#REF!"/>
    <e v="#REF!"/>
    <e v="#REF!"/>
  </r>
  <r>
    <s v="232100"/>
    <x v="6"/>
    <s v="Immos en cours - R&amp;D"/>
    <s v="JC"/>
    <n v="88152.88"/>
    <d v="2025-09-30T00:00:00"/>
    <s v="Production immobilisée - Phoenix vBIO"/>
    <m/>
    <e v="#N/A"/>
    <e v="#N/A"/>
    <n v="86182"/>
    <m/>
    <m/>
    <s v="Q3"/>
    <e v="#REF!"/>
    <e v="#REF!"/>
    <e v="#REF!"/>
  </r>
  <r>
    <s v="232100"/>
    <x v="6"/>
    <s v="Immos en cours - R&amp;D"/>
    <s v="JC"/>
    <n v="92885.36"/>
    <d v="2025-10-31T00:00:00"/>
    <s v="Production immobilisée - Phoenix vBIO"/>
    <m/>
    <e v="#N/A"/>
    <e v="#N/A"/>
    <n v="90539"/>
    <m/>
    <m/>
    <s v="Q4"/>
    <e v="#REF!"/>
    <e v="#REF!"/>
    <e v="#REF!"/>
  </r>
  <r>
    <s v="232500"/>
    <x v="6"/>
    <s v="Immos en cours - Vidéo"/>
    <s v="AC"/>
    <n v="190"/>
    <d v="2025-11-24T00:00:00"/>
    <s v="PROJET VIDÉO - INSTALLATION FOND NOIR EN STUDIO"/>
    <m/>
    <e v="#N/A"/>
    <e v="#N/A"/>
    <n v="91959"/>
    <s v="2025 / 177"/>
    <s v="HIPOLITO"/>
    <s v="Q4"/>
    <e v="#REF!"/>
    <e v="#REF!"/>
    <e v="#REF!"/>
  </r>
  <r>
    <s v="232500"/>
    <x v="6"/>
    <s v="Immos en cours - Vidéo"/>
    <s v="AC"/>
    <n v="1940"/>
    <d v="2025-10-17T00:00:00"/>
    <s v="BUDGET SUPPLÉMENTAIRE POUR MODIFICATION DE PROJET"/>
    <m/>
    <e v="#N/A"/>
    <e v="#N/A"/>
    <n v="87445"/>
    <s v="2025/156"/>
    <s v="HIPOLITO"/>
    <s v="Q4"/>
    <e v="#REF!"/>
    <e v="#REF!"/>
    <e v="#REF!"/>
  </r>
  <r>
    <s v="232500"/>
    <x v="6"/>
    <s v="Immos en cours - Vidéo"/>
    <s v="AC"/>
    <n v="1995"/>
    <d v="2025-12-04T00:00:00"/>
    <s v="ACHAT BANQUE D'IMAGES"/>
    <m/>
    <e v="#N/A"/>
    <e v="#N/A"/>
    <n v="93601"/>
    <s v="2025 / 187"/>
    <s v="HIPOLITO"/>
    <s v="Q4"/>
    <e v="#REF!"/>
    <e v="#REF!"/>
    <e v="#REF!"/>
  </r>
  <r>
    <s v="232500"/>
    <x v="6"/>
    <s v="Immos en cours - Vidéo"/>
    <s v="AC"/>
    <n v="3500"/>
    <d v="2025-10-23T00:00:00"/>
    <s v="PROJET VIDÉO PILI"/>
    <m/>
    <e v="#N/A"/>
    <e v="#N/A"/>
    <n v="87466"/>
    <s v="2025/161"/>
    <s v="HIPOLITO"/>
    <s v="Q4"/>
    <e v="#REF!"/>
    <e v="#REF!"/>
    <e v="#REF!"/>
  </r>
  <r>
    <s v="232500"/>
    <x v="6"/>
    <s v="Immos en cours - Vidéo"/>
    <s v="AC"/>
    <n v="3726.3"/>
    <d v="2025-03-25T00:00:00"/>
    <s v="PROJET VIDÉO PILI"/>
    <m/>
    <e v="#N/A"/>
    <e v="#N/A"/>
    <n v="67882"/>
    <s v="2025 / 49"/>
    <s v="HIPOLITO"/>
    <s v="Q1"/>
    <e v="#REF!"/>
    <e v="#REF!"/>
    <e v="#REF!"/>
  </r>
  <r>
    <s v="232500"/>
    <x v="6"/>
    <s v="Immos en cours - Vidéo"/>
    <s v="AC"/>
    <n v="3726.3"/>
    <d v="2025-03-25T00:00:00"/>
    <s v="PROJET VIDÉO PILI"/>
    <m/>
    <e v="#N/A"/>
    <e v="#N/A"/>
    <n v="82264"/>
    <s v="2025 / 49 (v2)"/>
    <s v="HIPOLITO"/>
    <s v="Q1"/>
    <e v="#REF!"/>
    <e v="#REF!"/>
    <e v="#REF!"/>
  </r>
  <r>
    <s v="232500"/>
    <x v="6"/>
    <s v="Immos en cours - Vidéo"/>
    <s v="AC"/>
    <n v="4528.75"/>
    <d v="2025-11-24T00:00:00"/>
    <s v="BUDGET SUPPLÉMENTAIRE POUR MODIFICATION DE PROJET"/>
    <m/>
    <e v="#N/A"/>
    <e v="#N/A"/>
    <n v="91956"/>
    <s v="2025/178"/>
    <s v="HIPOLITO"/>
    <s v="Q4"/>
    <e v="#REF!"/>
    <e v="#REF!"/>
    <e v="#REF!"/>
  </r>
  <r>
    <s v="232500"/>
    <x v="6"/>
    <s v="Immos en cours - Vidéo"/>
    <s v="AC"/>
    <n v="9976.5"/>
    <d v="2025-07-08T00:00:00"/>
    <s v="Projet vidéo Pili"/>
    <m/>
    <e v="#N/A"/>
    <e v="#N/A"/>
    <n v="81273"/>
    <s v="2025 / 96"/>
    <s v="HIPOLITO"/>
    <s v="Q3"/>
    <e v="#REF!"/>
    <e v="#REF!"/>
    <e v="#REF!"/>
  </r>
  <r>
    <s v="271100"/>
    <x v="6"/>
    <s v="Titres immobilisés - Actions"/>
    <s v="AN"/>
    <n v="3250"/>
    <d v="2025-01-01T00:00:00"/>
    <s v="Report à nouveau Exercice 2025"/>
    <m/>
    <e v="#N/A"/>
    <e v="#N/A"/>
    <n v="84598"/>
    <m/>
    <m/>
    <s v="Q1"/>
    <e v="#REF!"/>
    <e v="#REF!"/>
    <e v="#REF!"/>
  </r>
  <r>
    <s v="275000"/>
    <x v="6"/>
    <s v="DÉPÔTS ET CAUTIONNEMENTS DIVERS"/>
    <s v="AC"/>
    <n v="1012.41"/>
    <d v="2025-06-03T00:00:00"/>
    <s v="LOYER KB (AVEC FRANCHISE) - AJUSTEMENT 2025 DU DEPOT DE GARANTIE"/>
    <m/>
    <e v="#N/A"/>
    <e v="#N/A"/>
    <n v="77267"/>
    <s v="0049020250021"/>
    <s v="LIBERTY PM"/>
    <s v="Q2"/>
    <e v="#REF!"/>
    <e v="#REF!"/>
    <e v="#REF!"/>
  </r>
  <r>
    <s v="275000"/>
    <x v="6"/>
    <s v="DÉPÔTS ET CAUTIONNEMENTS DIVERS"/>
    <s v="AN"/>
    <n v="492.8"/>
    <d v="2025-01-01T00:00:00"/>
    <s v="Report à nouveau Exercice 2025"/>
    <m/>
    <e v="#N/A"/>
    <e v="#N/A"/>
    <n v="84885"/>
    <m/>
    <m/>
    <s v="Q1"/>
    <e v="#REF!"/>
    <e v="#REF!"/>
    <e v="#REF!"/>
  </r>
  <r>
    <s v="275000"/>
    <x v="6"/>
    <s v="DÉPÔTS ET CAUTIONNEMENTS DIVERS"/>
    <s v="AN"/>
    <n v="1977.01"/>
    <d v="2025-01-01T00:00:00"/>
    <s v="Report à nouveau Exercice 2025"/>
    <m/>
    <e v="#N/A"/>
    <e v="#N/A"/>
    <n v="84836"/>
    <m/>
    <m/>
    <s v="Q1"/>
    <e v="#REF!"/>
    <e v="#REF!"/>
    <e v="#REF!"/>
  </r>
  <r>
    <s v="275000"/>
    <x v="6"/>
    <s v="DÉPÔTS ET CAUTIONNEMENTS DIVERS"/>
    <s v="AN"/>
    <n v="51971.34"/>
    <d v="2025-01-01T00:00:00"/>
    <s v="Report à nouveau Exercice 2025"/>
    <m/>
    <e v="#N/A"/>
    <e v="#N/A"/>
    <n v="84599"/>
    <m/>
    <m/>
    <s v="Q1"/>
    <e v="#REF!"/>
    <e v="#REF!"/>
    <e v="#REF!"/>
  </r>
  <r>
    <s v="275500"/>
    <x v="6"/>
    <s v="DÉPÔTS ET CAUTIONNEMENTS BPI"/>
    <s v="AN"/>
    <n v="2500"/>
    <d v="2025-01-01T00:00:00"/>
    <s v="Report à nouveau Exercice 2025"/>
    <m/>
    <e v="#N/A"/>
    <e v="#N/A"/>
    <n v="84600"/>
    <m/>
    <m/>
    <s v="Q1"/>
    <e v="#REF!"/>
    <e v="#REF!"/>
    <e v="#REF!"/>
  </r>
  <r>
    <s v="275500"/>
    <x v="6"/>
    <s v="DÉPÔTS ET CAUTIONNEMENTS BPI"/>
    <s v="OD"/>
    <n v="-2500"/>
    <d v="2025-05-08T00:00:00"/>
    <m/>
    <m/>
    <e v="#N/A"/>
    <e v="#N/A"/>
    <n v="84976"/>
    <m/>
    <s v="BPI FRANCE"/>
    <s v="Q2"/>
    <e v="#REF!"/>
    <e v="#REF!"/>
    <e v="#REF!"/>
  </r>
  <r>
    <s v="280100"/>
    <x v="6"/>
    <s v="AMORT.FRAIS D'ETABLISSEM."/>
    <s v="AN"/>
    <n v="-36308.120000000003"/>
    <d v="2025-01-01T00:00:00"/>
    <s v="Report à nouveau Exercice 2025"/>
    <m/>
    <e v="#N/A"/>
    <e v="#N/A"/>
    <n v="84601"/>
    <m/>
    <m/>
    <s v="Q1"/>
    <e v="#REF!"/>
    <e v="#REF!"/>
    <e v="#REF!"/>
  </r>
  <r>
    <s v="280100"/>
    <x v="6"/>
    <s v="AMORT.FRAIS D'ETABLISSEM."/>
    <s v="IM"/>
    <n v="-806.25"/>
    <d v="2025-01-31T00:00:00"/>
    <s v="Amortissement Manuel - 2025"/>
    <m/>
    <e v="#N/A"/>
    <e v="#N/A"/>
    <n v="85990"/>
    <m/>
    <m/>
    <s v="Q1"/>
    <e v="#REF!"/>
    <e v="#REF!"/>
    <e v="#REF!"/>
  </r>
  <r>
    <s v="280100"/>
    <x v="6"/>
    <s v="AMORT.FRAIS D'ETABLISSEM."/>
    <s v="IM"/>
    <n v="-806.25"/>
    <d v="2025-02-28T00:00:00"/>
    <s v="Amortissement Manuel - 2025"/>
    <m/>
    <e v="#N/A"/>
    <e v="#N/A"/>
    <n v="86028"/>
    <m/>
    <m/>
    <s v="Q1"/>
    <e v="#REF!"/>
    <e v="#REF!"/>
    <e v="#REF!"/>
  </r>
  <r>
    <s v="280100"/>
    <x v="6"/>
    <s v="AMORT.FRAIS D'ETABLISSEM."/>
    <s v="IM"/>
    <n v="-806.25"/>
    <d v="2025-03-31T00:00:00"/>
    <s v="Amortissement Manuel - 2025"/>
    <m/>
    <e v="#N/A"/>
    <e v="#N/A"/>
    <n v="86047"/>
    <m/>
    <m/>
    <s v="Q1"/>
    <e v="#REF!"/>
    <e v="#REF!"/>
    <e v="#REF!"/>
  </r>
  <r>
    <s v="280100"/>
    <x v="6"/>
    <s v="AMORT.FRAIS D'ETABLISSEM."/>
    <s v="IM"/>
    <n v="-806.25"/>
    <d v="2025-04-30T00:00:00"/>
    <s v="Amortissement Manuel - 2025"/>
    <m/>
    <e v="#N/A"/>
    <e v="#N/A"/>
    <n v="86066"/>
    <m/>
    <m/>
    <s v="Q2"/>
    <e v="#REF!"/>
    <e v="#REF!"/>
    <e v="#REF!"/>
  </r>
  <r>
    <s v="280100"/>
    <x v="6"/>
    <s v="AMORT.FRAIS D'ETABLISSEM."/>
    <s v="IM"/>
    <n v="-806.25"/>
    <d v="2025-05-31T00:00:00"/>
    <s v="Amortissement Manuel - 2025"/>
    <m/>
    <e v="#N/A"/>
    <e v="#N/A"/>
    <n v="86085"/>
    <m/>
    <m/>
    <s v="Q2"/>
    <e v="#REF!"/>
    <e v="#REF!"/>
    <e v="#REF!"/>
  </r>
  <r>
    <s v="280100"/>
    <x v="6"/>
    <s v="AMORT.FRAIS D'ETABLISSEM."/>
    <s v="IM"/>
    <n v="-806.25"/>
    <d v="2025-06-30T00:00:00"/>
    <s v="Amortissement Manuel - 2025"/>
    <m/>
    <e v="#N/A"/>
    <e v="#N/A"/>
    <n v="86104"/>
    <m/>
    <m/>
    <s v="Q2"/>
    <e v="#REF!"/>
    <e v="#REF!"/>
    <e v="#REF!"/>
  </r>
  <r>
    <s v="280100"/>
    <x v="6"/>
    <s v="AMORT.FRAIS D'ETABLISSEM."/>
    <s v="IM"/>
    <n v="-806.25"/>
    <d v="2025-07-31T00:00:00"/>
    <s v="Amortissement Manuel - 2025"/>
    <m/>
    <e v="#N/A"/>
    <e v="#N/A"/>
    <n v="86123"/>
    <m/>
    <m/>
    <s v="Q3"/>
    <e v="#REF!"/>
    <e v="#REF!"/>
    <e v="#REF!"/>
  </r>
  <r>
    <s v="280100"/>
    <x v="6"/>
    <s v="AMORT.FRAIS D'ETABLISSEM."/>
    <s v="IM"/>
    <n v="-806.25"/>
    <d v="2025-08-31T00:00:00"/>
    <s v="Amortissement Manuel - 2025"/>
    <m/>
    <e v="#N/A"/>
    <e v="#N/A"/>
    <n v="86142"/>
    <m/>
    <m/>
    <s v="Q3"/>
    <e v="#REF!"/>
    <e v="#REF!"/>
    <e v="#REF!"/>
  </r>
  <r>
    <s v="280100"/>
    <x v="6"/>
    <s v="AMORT.FRAIS D'ETABLISSEM."/>
    <s v="IM"/>
    <n v="-806.25"/>
    <d v="2025-09-30T00:00:00"/>
    <s v="Amortissement Manuel - 2025"/>
    <m/>
    <e v="#N/A"/>
    <e v="#N/A"/>
    <n v="86161"/>
    <m/>
    <m/>
    <s v="Q3"/>
    <e v="#REF!"/>
    <e v="#REF!"/>
    <e v="#REF!"/>
  </r>
  <r>
    <s v="280100"/>
    <x v="6"/>
    <s v="AMORT.FRAIS D'ETABLISSEM."/>
    <s v="IM"/>
    <n v="-806.25"/>
    <d v="2025-10-31T00:00:00"/>
    <s v="Amortissement Manuel - 2025"/>
    <m/>
    <e v="#N/A"/>
    <e v="#N/A"/>
    <n v="90291"/>
    <m/>
    <m/>
    <s v="Q4"/>
    <e v="#REF!"/>
    <e v="#REF!"/>
    <e v="#REF!"/>
  </r>
  <r>
    <s v="280100"/>
    <x v="6"/>
    <s v="AMORT.FRAIS D'ETABLISSEM."/>
    <s v="IM"/>
    <n v="-806.25"/>
    <d v="2025-11-30T00:00:00"/>
    <s v="Amortissement Manuel - 2025"/>
    <m/>
    <e v="#N/A"/>
    <e v="#N/A"/>
    <n v="90310"/>
    <m/>
    <m/>
    <s v="Q4"/>
    <e v="#REF!"/>
    <e v="#REF!"/>
    <e v="#REF!"/>
  </r>
  <r>
    <s v="280100"/>
    <x v="6"/>
    <s v="AMORT.FRAIS D'ETABLISSEM."/>
    <s v="IM"/>
    <n v="-806.25"/>
    <d v="2025-12-31T00:00:00"/>
    <s v="Amortissement Manuel - 2025"/>
    <m/>
    <e v="#N/A"/>
    <e v="#N/A"/>
    <n v="90331"/>
    <m/>
    <m/>
    <s v="Q4"/>
    <e v="#REF!"/>
    <e v="#REF!"/>
    <e v="#REF!"/>
  </r>
  <r>
    <s v="280300"/>
    <x v="6"/>
    <s v="AMORTIS. FRAIS RECHERCHE &amp; DÉVELOP."/>
    <s v="AN"/>
    <n v="-1354570.59"/>
    <d v="2025-01-01T00:00:00"/>
    <s v="Report à nouveau Exercice 2025"/>
    <m/>
    <e v="#N/A"/>
    <e v="#N/A"/>
    <n v="84602"/>
    <m/>
    <m/>
    <s v="Q1"/>
    <e v="#REF!"/>
    <e v="#REF!"/>
    <e v="#REF!"/>
  </r>
  <r>
    <s v="280300"/>
    <x v="6"/>
    <s v="AMORTIS. FRAIS RECHERCHE &amp; DÉVELOP."/>
    <s v="IM"/>
    <n v="-56743.95"/>
    <d v="2025-01-31T00:00:00"/>
    <s v="Amortissement Manuel - 2025"/>
    <m/>
    <e v="#N/A"/>
    <e v="#N/A"/>
    <n v="85992"/>
    <m/>
    <m/>
    <s v="Q1"/>
    <e v="#REF!"/>
    <e v="#REF!"/>
    <e v="#REF!"/>
  </r>
  <r>
    <s v="280300"/>
    <x v="6"/>
    <s v="AMORTIS. FRAIS RECHERCHE &amp; DÉVELOP."/>
    <s v="IM"/>
    <n v="-56743.95"/>
    <d v="2025-02-28T00:00:00"/>
    <s v="Amortissement Manuel - 2025"/>
    <m/>
    <e v="#N/A"/>
    <e v="#N/A"/>
    <n v="86030"/>
    <m/>
    <m/>
    <s v="Q1"/>
    <e v="#REF!"/>
    <e v="#REF!"/>
    <e v="#REF!"/>
  </r>
  <r>
    <s v="280300"/>
    <x v="6"/>
    <s v="AMORTIS. FRAIS RECHERCHE &amp; DÉVELOP."/>
    <s v="IM"/>
    <n v="-56743.95"/>
    <d v="2025-03-31T00:00:00"/>
    <s v="Amortissement Manuel - 2025"/>
    <m/>
    <e v="#N/A"/>
    <e v="#N/A"/>
    <n v="86049"/>
    <m/>
    <m/>
    <s v="Q1"/>
    <e v="#REF!"/>
    <e v="#REF!"/>
    <e v="#REF!"/>
  </r>
  <r>
    <s v="280300"/>
    <x v="6"/>
    <s v="AMORTIS. FRAIS RECHERCHE &amp; DÉVELOP."/>
    <s v="IM"/>
    <n v="-56743.95"/>
    <d v="2025-04-30T00:00:00"/>
    <s v="Amortissement Manuel - 2025"/>
    <m/>
    <e v="#N/A"/>
    <e v="#N/A"/>
    <n v="86068"/>
    <m/>
    <m/>
    <s v="Q2"/>
    <e v="#REF!"/>
    <e v="#REF!"/>
    <e v="#REF!"/>
  </r>
  <r>
    <s v="280300"/>
    <x v="6"/>
    <s v="AMORTIS. FRAIS RECHERCHE &amp; DÉVELOP."/>
    <s v="IM"/>
    <n v="-56743.95"/>
    <d v="2025-05-31T00:00:00"/>
    <s v="Amortissement Manuel - 2025"/>
    <m/>
    <e v="#N/A"/>
    <e v="#N/A"/>
    <n v="86087"/>
    <m/>
    <m/>
    <s v="Q2"/>
    <e v="#REF!"/>
    <e v="#REF!"/>
    <e v="#REF!"/>
  </r>
  <r>
    <s v="280300"/>
    <x v="6"/>
    <s v="AMORTIS. FRAIS RECHERCHE &amp; DÉVELOP."/>
    <s v="IM"/>
    <n v="-56743.95"/>
    <d v="2025-06-30T00:00:00"/>
    <s v="Amortissement Manuel - 2025"/>
    <m/>
    <e v="#N/A"/>
    <e v="#N/A"/>
    <n v="86106"/>
    <m/>
    <m/>
    <s v="Q2"/>
    <e v="#REF!"/>
    <e v="#REF!"/>
    <e v="#REF!"/>
  </r>
  <r>
    <s v="280300"/>
    <x v="6"/>
    <s v="AMORTIS. FRAIS RECHERCHE &amp; DÉVELOP."/>
    <s v="IM"/>
    <n v="-56743.95"/>
    <d v="2025-07-31T00:00:00"/>
    <s v="Amortissement Manuel - 2025"/>
    <m/>
    <e v="#N/A"/>
    <e v="#N/A"/>
    <n v="86125"/>
    <m/>
    <m/>
    <s v="Q3"/>
    <e v="#REF!"/>
    <e v="#REF!"/>
    <e v="#REF!"/>
  </r>
  <r>
    <s v="280300"/>
    <x v="6"/>
    <s v="AMORTIS. FRAIS RECHERCHE &amp; DÉVELOP."/>
    <s v="IM"/>
    <n v="-56743.95"/>
    <d v="2025-08-31T00:00:00"/>
    <s v="Amortissement Manuel - 2025"/>
    <m/>
    <e v="#N/A"/>
    <e v="#N/A"/>
    <n v="86144"/>
    <m/>
    <m/>
    <s v="Q3"/>
    <e v="#REF!"/>
    <e v="#REF!"/>
    <e v="#REF!"/>
  </r>
  <r>
    <s v="280300"/>
    <x v="6"/>
    <s v="AMORTIS. FRAIS RECHERCHE &amp; DÉVELOP."/>
    <s v="IM"/>
    <n v="-56743.95"/>
    <d v="2025-09-30T00:00:00"/>
    <s v="Amortissement Manuel - 2025"/>
    <m/>
    <e v="#N/A"/>
    <e v="#N/A"/>
    <n v="86163"/>
    <m/>
    <m/>
    <s v="Q3"/>
    <e v="#REF!"/>
    <e v="#REF!"/>
    <e v="#REF!"/>
  </r>
  <r>
    <s v="280300"/>
    <x v="6"/>
    <s v="AMORTIS. FRAIS RECHERCHE &amp; DÉVELOP."/>
    <s v="IM"/>
    <n v="-56743.95"/>
    <d v="2025-10-31T00:00:00"/>
    <s v="Amortissement Manuel - 2025"/>
    <m/>
    <e v="#N/A"/>
    <e v="#N/A"/>
    <n v="90293"/>
    <m/>
    <m/>
    <s v="Q4"/>
    <e v="#REF!"/>
    <e v="#REF!"/>
    <e v="#REF!"/>
  </r>
  <r>
    <s v="280300"/>
    <x v="6"/>
    <s v="AMORTIS. FRAIS RECHERCHE &amp; DÉVELOP."/>
    <s v="IM"/>
    <n v="-56743.95"/>
    <d v="2025-11-30T00:00:00"/>
    <s v="Amortissement Manuel - 2025"/>
    <m/>
    <e v="#N/A"/>
    <e v="#N/A"/>
    <n v="90312"/>
    <m/>
    <m/>
    <s v="Q4"/>
    <e v="#REF!"/>
    <e v="#REF!"/>
    <e v="#REF!"/>
  </r>
  <r>
    <s v="280300"/>
    <x v="6"/>
    <s v="AMORTIS. FRAIS RECHERCHE &amp; DÉVELOP."/>
    <s v="IM"/>
    <n v="-56743.95"/>
    <d v="2025-12-31T00:00:00"/>
    <s v="Amortissement Manuel - 2025"/>
    <m/>
    <e v="#N/A"/>
    <e v="#N/A"/>
    <n v="90333"/>
    <m/>
    <m/>
    <s v="Q4"/>
    <e v="#REF!"/>
    <e v="#REF!"/>
    <e v="#REF!"/>
  </r>
  <r>
    <s v="280500"/>
    <x v="6"/>
    <s v="AMORTIS. BREVETS LOGICIELS"/>
    <s v="AN"/>
    <n v="-4880.76"/>
    <d v="2025-01-01T00:00:00"/>
    <s v="Report à nouveau Exercice 2025"/>
    <m/>
    <e v="#N/A"/>
    <e v="#N/A"/>
    <n v="84603"/>
    <m/>
    <m/>
    <s v="Q1"/>
    <e v="#REF!"/>
    <e v="#REF!"/>
    <e v="#REF!"/>
  </r>
  <r>
    <s v="280500"/>
    <x v="6"/>
    <s v="AMORTIS. BREVETS LOGICIELS"/>
    <s v="IM"/>
    <n v="-1680.44"/>
    <d v="2025-06-01T00:00:00"/>
    <s v="AMT MENSUEL - ERP FINANCE SAGE FRP1000"/>
    <m/>
    <e v="#N/A"/>
    <e v="#N/A"/>
    <n v="90460"/>
    <s v="DOT.AMT.INCORP.202506"/>
    <m/>
    <s v="Q2"/>
    <e v="#REF!"/>
    <e v="#REF!"/>
    <e v="#REF!"/>
  </r>
  <r>
    <s v="280500"/>
    <x v="6"/>
    <s v="AMORTIS. BREVETS LOGICIELS"/>
    <s v="IM"/>
    <n v="-1680.44"/>
    <d v="2025-07-01T00:00:00"/>
    <s v="AMT MENSUEL - ERP FINANCE SAGE FRP1000"/>
    <m/>
    <e v="#N/A"/>
    <e v="#N/A"/>
    <n v="90462"/>
    <s v="DOT.AMT.INCORP.202507"/>
    <m/>
    <s v="Q3"/>
    <e v="#REF!"/>
    <e v="#REF!"/>
    <e v="#REF!"/>
  </r>
  <r>
    <s v="280500"/>
    <x v="6"/>
    <s v="AMORTIS. BREVETS LOGICIELS"/>
    <s v="IM"/>
    <n v="-1680.44"/>
    <d v="2025-08-01T00:00:00"/>
    <s v="AMT MENSUEL - ERP FINANCE SAGE FRP1000"/>
    <m/>
    <e v="#N/A"/>
    <e v="#N/A"/>
    <n v="90464"/>
    <s v="DOT.AMT.INCORP.202508"/>
    <m/>
    <s v="Q3"/>
    <e v="#REF!"/>
    <e v="#REF!"/>
    <e v="#REF!"/>
  </r>
  <r>
    <s v="280500"/>
    <x v="6"/>
    <s v="AMORTIS. BREVETS LOGICIELS"/>
    <s v="IM"/>
    <n v="-1680.44"/>
    <d v="2025-09-01T00:00:00"/>
    <s v="AMT MENSUEL - ERP FINANCE SAGE FRP1000"/>
    <m/>
    <e v="#N/A"/>
    <e v="#N/A"/>
    <n v="90466"/>
    <s v="DOT.AMT.INCORP.202509"/>
    <m/>
    <s v="Q3"/>
    <e v="#REF!"/>
    <e v="#REF!"/>
    <e v="#REF!"/>
  </r>
  <r>
    <s v="280500"/>
    <x v="6"/>
    <s v="AMORTIS. BREVETS LOGICIELS"/>
    <s v="IM"/>
    <n v="-1680.44"/>
    <d v="2025-10-01T00:00:00"/>
    <s v="AMT MENSUEL - ERP FINANCE SAGE FRP1000"/>
    <m/>
    <e v="#N/A"/>
    <e v="#N/A"/>
    <n v="90468"/>
    <s v="DOT.AMT.INCORP.202510"/>
    <m/>
    <s v="Q4"/>
    <e v="#REF!"/>
    <e v="#REF!"/>
    <e v="#REF!"/>
  </r>
  <r>
    <s v="280500"/>
    <x v="6"/>
    <s v="AMORTIS. BREVETS LOGICIELS"/>
    <s v="IM"/>
    <n v="-1680.44"/>
    <d v="2025-11-01T00:00:00"/>
    <s v="AMT MENSUEL - ERP FINANCE SAGE FRP1000"/>
    <m/>
    <e v="#N/A"/>
    <e v="#N/A"/>
    <n v="90470"/>
    <s v="DOT.AMT.INCORP.202511"/>
    <m/>
    <s v="Q4"/>
    <e v="#REF!"/>
    <e v="#REF!"/>
    <e v="#REF!"/>
  </r>
  <r>
    <s v="280500"/>
    <x v="6"/>
    <s v="AMORTIS. BREVETS LOGICIELS"/>
    <s v="IM"/>
    <n v="-1680.44"/>
    <d v="2025-12-01T00:00:00"/>
    <s v="AMT MENSUEL - ERP FINANCE SAGE FRP1000"/>
    <m/>
    <e v="#N/A"/>
    <e v="#N/A"/>
    <n v="90472"/>
    <s v="DOT.AMT.INCORP.202512"/>
    <m/>
    <s v="Q4"/>
    <e v="#REF!"/>
    <e v="#REF!"/>
    <e v="#REF!"/>
  </r>
  <r>
    <s v="280500"/>
    <x v="6"/>
    <s v="AMORTIS. BREVETS LOGICIELS"/>
    <s v="IM"/>
    <n v="-302.08"/>
    <d v="2025-01-31T00:00:00"/>
    <s v="Amortissement Manuel - 2025"/>
    <m/>
    <e v="#N/A"/>
    <e v="#N/A"/>
    <n v="85994"/>
    <m/>
    <m/>
    <s v="Q1"/>
    <e v="#REF!"/>
    <e v="#REF!"/>
    <e v="#REF!"/>
  </r>
  <r>
    <s v="280500"/>
    <x v="6"/>
    <s v="AMORTIS. BREVETS LOGICIELS"/>
    <s v="IM"/>
    <n v="-302.08"/>
    <d v="2025-02-28T00:00:00"/>
    <s v="Amortissement Manuel - 2025"/>
    <m/>
    <e v="#N/A"/>
    <e v="#N/A"/>
    <n v="86032"/>
    <m/>
    <m/>
    <s v="Q1"/>
    <e v="#REF!"/>
    <e v="#REF!"/>
    <e v="#REF!"/>
  </r>
  <r>
    <s v="280500"/>
    <x v="6"/>
    <s v="AMORTIS. BREVETS LOGICIELS"/>
    <s v="IM"/>
    <n v="-302.08"/>
    <d v="2025-03-31T00:00:00"/>
    <s v="Amortissement Manuel - 2025"/>
    <m/>
    <e v="#N/A"/>
    <e v="#N/A"/>
    <n v="86051"/>
    <m/>
    <m/>
    <s v="Q1"/>
    <e v="#REF!"/>
    <e v="#REF!"/>
    <e v="#REF!"/>
  </r>
  <r>
    <s v="280500"/>
    <x v="6"/>
    <s v="AMORTIS. BREVETS LOGICIELS"/>
    <s v="IM"/>
    <n v="-302.08"/>
    <d v="2025-04-30T00:00:00"/>
    <s v="Amortissement Manuel - 2025"/>
    <m/>
    <e v="#N/A"/>
    <e v="#N/A"/>
    <n v="86070"/>
    <m/>
    <m/>
    <s v="Q2"/>
    <e v="#REF!"/>
    <e v="#REF!"/>
    <e v="#REF!"/>
  </r>
  <r>
    <s v="280500"/>
    <x v="6"/>
    <s v="AMORTIS. BREVETS LOGICIELS"/>
    <s v="IM"/>
    <n v="-302.08"/>
    <d v="2025-05-31T00:00:00"/>
    <s v="Amortissement Manuel - 2025"/>
    <m/>
    <e v="#N/A"/>
    <e v="#N/A"/>
    <n v="86089"/>
    <m/>
    <m/>
    <s v="Q2"/>
    <e v="#REF!"/>
    <e v="#REF!"/>
    <e v="#REF!"/>
  </r>
  <r>
    <s v="280500"/>
    <x v="6"/>
    <s v="AMORTIS. BREVETS LOGICIELS"/>
    <s v="IM"/>
    <n v="-302.08"/>
    <d v="2025-06-30T00:00:00"/>
    <s v="Amortissement Manuel - 2025"/>
    <m/>
    <e v="#N/A"/>
    <e v="#N/A"/>
    <n v="86108"/>
    <m/>
    <m/>
    <s v="Q2"/>
    <e v="#REF!"/>
    <e v="#REF!"/>
    <e v="#REF!"/>
  </r>
  <r>
    <s v="280500"/>
    <x v="6"/>
    <s v="AMORTIS. BREVETS LOGICIELS"/>
    <s v="IM"/>
    <n v="-302.08"/>
    <d v="2025-07-31T00:00:00"/>
    <s v="Amortissement Manuel - 2025"/>
    <m/>
    <e v="#N/A"/>
    <e v="#N/A"/>
    <n v="86127"/>
    <m/>
    <m/>
    <s v="Q3"/>
    <e v="#REF!"/>
    <e v="#REF!"/>
    <e v="#REF!"/>
  </r>
  <r>
    <s v="280500"/>
    <x v="6"/>
    <s v="AMORTIS. BREVETS LOGICIELS"/>
    <s v="IM"/>
    <n v="-302.08"/>
    <d v="2025-08-31T00:00:00"/>
    <s v="Amortissement Manuel - 2025"/>
    <m/>
    <e v="#N/A"/>
    <e v="#N/A"/>
    <n v="86146"/>
    <m/>
    <m/>
    <s v="Q3"/>
    <e v="#REF!"/>
    <e v="#REF!"/>
    <e v="#REF!"/>
  </r>
  <r>
    <s v="280500"/>
    <x v="6"/>
    <s v="AMORTIS. BREVETS LOGICIELS"/>
    <s v="IM"/>
    <n v="-302.08"/>
    <d v="2025-09-30T00:00:00"/>
    <s v="Amortissement Manuel - 2025"/>
    <m/>
    <e v="#N/A"/>
    <e v="#N/A"/>
    <n v="86165"/>
    <m/>
    <m/>
    <s v="Q3"/>
    <e v="#REF!"/>
    <e v="#REF!"/>
    <e v="#REF!"/>
  </r>
  <r>
    <s v="280500"/>
    <x v="6"/>
    <s v="AMORTIS. BREVETS LOGICIELS"/>
    <s v="IM"/>
    <n v="-302.08"/>
    <d v="2025-10-31T00:00:00"/>
    <s v="Amortissement Manuel - 2025"/>
    <m/>
    <e v="#N/A"/>
    <e v="#N/A"/>
    <n v="90295"/>
    <m/>
    <m/>
    <s v="Q4"/>
    <e v="#REF!"/>
    <e v="#REF!"/>
    <e v="#REF!"/>
  </r>
  <r>
    <s v="280500"/>
    <x v="6"/>
    <s v="AMORTIS. BREVETS LOGICIELS"/>
    <s v="IM"/>
    <n v="-302.08"/>
    <d v="2025-11-30T00:00:00"/>
    <s v="Amortissement Manuel - 2025"/>
    <m/>
    <e v="#N/A"/>
    <e v="#N/A"/>
    <n v="90314"/>
    <m/>
    <m/>
    <s v="Q4"/>
    <e v="#REF!"/>
    <e v="#REF!"/>
    <e v="#REF!"/>
  </r>
  <r>
    <s v="280500"/>
    <x v="6"/>
    <s v="AMORTIS. BREVETS LOGICIELS"/>
    <s v="IM"/>
    <n v="-302.08"/>
    <d v="2025-12-31T00:00:00"/>
    <s v="Amortissement Manuel - 2025"/>
    <m/>
    <e v="#N/A"/>
    <e v="#N/A"/>
    <n v="90335"/>
    <m/>
    <m/>
    <s v="Q4"/>
    <e v="#REF!"/>
    <e v="#REF!"/>
    <e v="#REF!"/>
  </r>
  <r>
    <s v="281540"/>
    <x v="6"/>
    <s v="AMORTIS. INSTALL.MAT.INDUSTRIEL"/>
    <s v="AN"/>
    <n v="-206305.28"/>
    <d v="2025-01-01T00:00:00"/>
    <s v="Report à nouveau Exercice 2025"/>
    <m/>
    <e v="#N/A"/>
    <e v="#N/A"/>
    <n v="84604"/>
    <m/>
    <m/>
    <s v="Q1"/>
    <e v="#REF!"/>
    <e v="#REF!"/>
    <e v="#REF!"/>
  </r>
  <r>
    <s v="281540"/>
    <x v="6"/>
    <s v="AMORTIS. INSTALL.MAT.INDUSTRIEL"/>
    <s v="IM"/>
    <n v="-11477.07"/>
    <d v="2025-01-31T00:00:00"/>
    <s v="Amortissement Manuel - 2025"/>
    <m/>
    <e v="#N/A"/>
    <e v="#N/A"/>
    <n v="85997"/>
    <m/>
    <m/>
    <s v="Q1"/>
    <e v="#REF!"/>
    <e v="#REF!"/>
    <e v="#REF!"/>
  </r>
  <r>
    <s v="281540"/>
    <x v="6"/>
    <s v="AMORTIS. INSTALL.MAT.INDUSTRIEL"/>
    <s v="IM"/>
    <n v="-11477.07"/>
    <d v="2025-02-28T00:00:00"/>
    <s v="Amortissement Manuel - 2025"/>
    <m/>
    <e v="#N/A"/>
    <e v="#N/A"/>
    <n v="86035"/>
    <m/>
    <m/>
    <s v="Q1"/>
    <e v="#REF!"/>
    <e v="#REF!"/>
    <e v="#REF!"/>
  </r>
  <r>
    <s v="281540"/>
    <x v="6"/>
    <s v="AMORTIS. INSTALL.MAT.INDUSTRIEL"/>
    <s v="IM"/>
    <n v="-11477.07"/>
    <d v="2025-03-31T00:00:00"/>
    <s v="Amortissement Manuel - 2025"/>
    <m/>
    <e v="#N/A"/>
    <e v="#N/A"/>
    <n v="86054"/>
    <m/>
    <m/>
    <s v="Q1"/>
    <e v="#REF!"/>
    <e v="#REF!"/>
    <e v="#REF!"/>
  </r>
  <r>
    <s v="281540"/>
    <x v="6"/>
    <s v="AMORTIS. INSTALL.MAT.INDUSTRIEL"/>
    <s v="IM"/>
    <n v="-11477.07"/>
    <d v="2025-04-30T00:00:00"/>
    <s v="Amortissement Manuel - 2025"/>
    <m/>
    <e v="#N/A"/>
    <e v="#N/A"/>
    <n v="86073"/>
    <m/>
    <m/>
    <s v="Q2"/>
    <e v="#REF!"/>
    <e v="#REF!"/>
    <e v="#REF!"/>
  </r>
  <r>
    <s v="281540"/>
    <x v="6"/>
    <s v="AMORTIS. INSTALL.MAT.INDUSTRIEL"/>
    <s v="IM"/>
    <n v="-11477.07"/>
    <d v="2025-05-31T00:00:00"/>
    <s v="Amortissement Manuel - 2025"/>
    <m/>
    <e v="#N/A"/>
    <e v="#N/A"/>
    <n v="86092"/>
    <m/>
    <m/>
    <s v="Q2"/>
    <e v="#REF!"/>
    <e v="#REF!"/>
    <e v="#REF!"/>
  </r>
  <r>
    <s v="281540"/>
    <x v="6"/>
    <s v="AMORTIS. INSTALL.MAT.INDUSTRIEL"/>
    <s v="IM"/>
    <n v="-11477.07"/>
    <d v="2025-06-30T00:00:00"/>
    <s v="Amortissement Manuel - 2025"/>
    <m/>
    <e v="#N/A"/>
    <e v="#N/A"/>
    <n v="86111"/>
    <m/>
    <m/>
    <s v="Q2"/>
    <e v="#REF!"/>
    <e v="#REF!"/>
    <e v="#REF!"/>
  </r>
  <r>
    <s v="281540"/>
    <x v="6"/>
    <s v="AMORTIS. INSTALL.MAT.INDUSTRIEL"/>
    <s v="IM"/>
    <n v="-11477.07"/>
    <d v="2025-07-31T00:00:00"/>
    <s v="Amortissement Manuel - 2025"/>
    <m/>
    <e v="#N/A"/>
    <e v="#N/A"/>
    <n v="86130"/>
    <m/>
    <m/>
    <s v="Q3"/>
    <e v="#REF!"/>
    <e v="#REF!"/>
    <e v="#REF!"/>
  </r>
  <r>
    <s v="281540"/>
    <x v="6"/>
    <s v="AMORTIS. INSTALL.MAT.INDUSTRIEL"/>
    <s v="IM"/>
    <n v="-11477.07"/>
    <d v="2025-08-31T00:00:00"/>
    <s v="Amortissement Manuel - 2025"/>
    <m/>
    <e v="#N/A"/>
    <e v="#N/A"/>
    <n v="86149"/>
    <m/>
    <m/>
    <s v="Q3"/>
    <e v="#REF!"/>
    <e v="#REF!"/>
    <e v="#REF!"/>
  </r>
  <r>
    <s v="281540"/>
    <x v="6"/>
    <s v="AMORTIS. INSTALL.MAT.INDUSTRIEL"/>
    <s v="IM"/>
    <n v="-11477.07"/>
    <d v="2025-09-30T00:00:00"/>
    <s v="Amortissement Manuel - 2025"/>
    <m/>
    <e v="#N/A"/>
    <e v="#N/A"/>
    <n v="86168"/>
    <m/>
    <m/>
    <s v="Q3"/>
    <e v="#REF!"/>
    <e v="#REF!"/>
    <e v="#REF!"/>
  </r>
  <r>
    <s v="281540"/>
    <x v="6"/>
    <s v="AMORTIS. INSTALL.MAT.INDUSTRIEL"/>
    <s v="IM"/>
    <n v="-11477.07"/>
    <d v="2025-10-31T00:00:00"/>
    <s v="Amortissement Manuel - 2025"/>
    <m/>
    <e v="#N/A"/>
    <e v="#N/A"/>
    <n v="90298"/>
    <m/>
    <m/>
    <s v="Q4"/>
    <e v="#REF!"/>
    <e v="#REF!"/>
    <e v="#REF!"/>
  </r>
  <r>
    <s v="281540"/>
    <x v="6"/>
    <s v="AMORTIS. INSTALL.MAT.INDUSTRIEL"/>
    <s v="IM"/>
    <n v="-11477.07"/>
    <d v="2025-11-30T00:00:00"/>
    <s v="Amortissement Manuel - 2025"/>
    <m/>
    <e v="#N/A"/>
    <e v="#N/A"/>
    <n v="90317"/>
    <m/>
    <m/>
    <s v="Q4"/>
    <e v="#REF!"/>
    <e v="#REF!"/>
    <e v="#REF!"/>
  </r>
  <r>
    <s v="281540"/>
    <x v="6"/>
    <s v="AMORTIS. INSTALL.MAT.INDUSTRIEL"/>
    <s v="IM"/>
    <n v="-11477.07"/>
    <d v="2025-12-31T00:00:00"/>
    <s v="Amortissement Manuel - 2025"/>
    <m/>
    <e v="#N/A"/>
    <e v="#N/A"/>
    <n v="90338"/>
    <m/>
    <m/>
    <s v="Q4"/>
    <e v="#REF!"/>
    <e v="#REF!"/>
    <e v="#REF!"/>
  </r>
  <r>
    <s v="281540"/>
    <x v="6"/>
    <s v="AMORTIS. INSTALL.MAT.INDUSTRIEL"/>
    <s v="IM"/>
    <n v="-75.209999999999994"/>
    <d v="2025-02-01T00:00:00"/>
    <s v="AMT MENSUEL - FISHER SCIENTIFIC - SPECTROMÈTRE UV LABO ROUSSILLON"/>
    <m/>
    <e v="#N/A"/>
    <e v="#N/A"/>
    <n v="90350"/>
    <s v="DOT.AMT.CORP.202502"/>
    <m/>
    <s v="Q1"/>
    <e v="#REF!"/>
    <e v="#REF!"/>
    <e v="#REF!"/>
  </r>
  <r>
    <s v="281540"/>
    <x v="6"/>
    <s v="AMORTIS. INSTALL.MAT.INDUSTRIEL"/>
    <s v="IM"/>
    <n v="-75.209999999999994"/>
    <d v="2025-03-01T00:00:00"/>
    <s v="AMT MENSUEL - FISHER SCIENTIFIC - SPECTROMÈTRE UV LABO ROUSSILLON"/>
    <m/>
    <e v="#N/A"/>
    <e v="#N/A"/>
    <n v="90354"/>
    <s v="DOT.AMT.CORP.202503"/>
    <m/>
    <s v="Q1"/>
    <e v="#REF!"/>
    <e v="#REF!"/>
    <e v="#REF!"/>
  </r>
  <r>
    <s v="281540"/>
    <x v="6"/>
    <s v="AMORTIS. INSTALL.MAT.INDUSTRIEL"/>
    <s v="IM"/>
    <n v="-75.209999999999994"/>
    <d v="2025-04-01T00:00:00"/>
    <s v="AMT MENSUEL - FISHER SCIENTIFIC - SPECTROMÈTRE UV LABO ROUSSILLON"/>
    <m/>
    <e v="#N/A"/>
    <e v="#N/A"/>
    <n v="90358"/>
    <s v="DOT.AMT.CORP.202504"/>
    <m/>
    <s v="Q2"/>
    <e v="#REF!"/>
    <e v="#REF!"/>
    <e v="#REF!"/>
  </r>
  <r>
    <s v="281540"/>
    <x v="6"/>
    <s v="AMORTIS. INSTALL.MAT.INDUSTRIEL"/>
    <s v="IM"/>
    <n v="-75.209999999999994"/>
    <d v="2025-05-01T00:00:00"/>
    <s v="AMT MENSUEL - FISHER SCIENTIFIC - SPECTROMÈTRE UV LABO ROUSSILLON"/>
    <m/>
    <e v="#N/A"/>
    <e v="#N/A"/>
    <n v="90364"/>
    <s v="DOT.AMT.CORP.202505"/>
    <m/>
    <s v="Q2"/>
    <e v="#REF!"/>
    <e v="#REF!"/>
    <e v="#REF!"/>
  </r>
  <r>
    <s v="281540"/>
    <x v="6"/>
    <s v="AMORTIS. INSTALL.MAT.INDUSTRIEL"/>
    <s v="IM"/>
    <n v="-75.209999999999994"/>
    <d v="2025-06-01T00:00:00"/>
    <s v="AMT MENSUEL - FISHER SCIENTIFIC - SPECTROMÈTRE UV LABO ROUSSILLON"/>
    <m/>
    <e v="#N/A"/>
    <e v="#N/A"/>
    <n v="90370"/>
    <s v="DOT.AMT.CORP.202506"/>
    <m/>
    <s v="Q2"/>
    <e v="#REF!"/>
    <e v="#REF!"/>
    <e v="#REF!"/>
  </r>
  <r>
    <s v="281540"/>
    <x v="6"/>
    <s v="AMORTIS. INSTALL.MAT.INDUSTRIEL"/>
    <s v="IM"/>
    <n v="-75.209999999999994"/>
    <d v="2025-07-01T00:00:00"/>
    <s v="AMT MENSUEL - FISHER SCIENTIFIC - SPECTROMÈTRE UV LABO ROUSSILLON"/>
    <m/>
    <e v="#N/A"/>
    <e v="#N/A"/>
    <n v="90376"/>
    <s v="DOT.AMT.CORP.202507"/>
    <m/>
    <s v="Q3"/>
    <e v="#REF!"/>
    <e v="#REF!"/>
    <e v="#REF!"/>
  </r>
  <r>
    <s v="281540"/>
    <x v="6"/>
    <s v="AMORTIS. INSTALL.MAT.INDUSTRIEL"/>
    <s v="IM"/>
    <n v="-75.209999999999994"/>
    <d v="2025-08-01T00:00:00"/>
    <s v="AMT MENSUEL - FISHER SCIENTIFIC - SPECTROMÈTRE UV LABO ROUSSILLON"/>
    <m/>
    <e v="#N/A"/>
    <e v="#N/A"/>
    <n v="90382"/>
    <s v="DOT.AMT.CORP.202508"/>
    <m/>
    <s v="Q3"/>
    <e v="#REF!"/>
    <e v="#REF!"/>
    <e v="#REF!"/>
  </r>
  <r>
    <s v="281540"/>
    <x v="6"/>
    <s v="AMORTIS. INSTALL.MAT.INDUSTRIEL"/>
    <s v="IM"/>
    <n v="-75.209999999999994"/>
    <d v="2025-09-01T00:00:00"/>
    <s v="AMT MENSUEL - FISHER SCIENTIFIC - SPECTROMÈTRE UV LABO ROUSSILLON"/>
    <m/>
    <e v="#N/A"/>
    <e v="#N/A"/>
    <n v="90396"/>
    <s v="DOT.AMT.CORP.202509"/>
    <m/>
    <s v="Q3"/>
    <e v="#REF!"/>
    <e v="#REF!"/>
    <e v="#REF!"/>
  </r>
  <r>
    <s v="281540"/>
    <x v="6"/>
    <s v="AMORTIS. INSTALL.MAT.INDUSTRIEL"/>
    <s v="IM"/>
    <n v="-75.209999999999994"/>
    <d v="2025-10-01T00:00:00"/>
    <s v="AMT MENSUEL - FISHER SCIENTIFIC - SPECTROMÈTRE UV LABO ROUSSILLON"/>
    <m/>
    <e v="#N/A"/>
    <e v="#N/A"/>
    <n v="90412"/>
    <s v="DOT.AMT.CORP.202510"/>
    <m/>
    <s v="Q4"/>
    <e v="#REF!"/>
    <e v="#REF!"/>
    <e v="#REF!"/>
  </r>
  <r>
    <s v="281540"/>
    <x v="6"/>
    <s v="AMORTIS. INSTALL.MAT.INDUSTRIEL"/>
    <s v="IM"/>
    <n v="-75.209999999999994"/>
    <d v="2025-11-01T00:00:00"/>
    <s v="AMT MENSUEL - FISHER SCIENTIFIC - SPECTROMÈTRE UV LABO ROUSSILLON"/>
    <m/>
    <e v="#N/A"/>
    <e v="#N/A"/>
    <n v="90428"/>
    <s v="DOT.AMT.CORP.202511"/>
    <m/>
    <s v="Q4"/>
    <e v="#REF!"/>
    <e v="#REF!"/>
    <e v="#REF!"/>
  </r>
  <r>
    <s v="281540"/>
    <x v="6"/>
    <s v="AMORTIS. INSTALL.MAT.INDUSTRIEL"/>
    <s v="IM"/>
    <n v="-75.209999999999994"/>
    <d v="2025-12-01T00:00:00"/>
    <s v="AMT MENSUEL - FISHER SCIENTIFIC - SPECTROMÈTRE UV LABO ROUSSILLON"/>
    <m/>
    <e v="#N/A"/>
    <e v="#N/A"/>
    <n v="90444"/>
    <s v="DOT.AMT.CORP.202512"/>
    <m/>
    <s v="Q4"/>
    <e v="#REF!"/>
    <e v="#REF!"/>
    <e v="#REF!"/>
  </r>
  <r>
    <s v="281540"/>
    <x v="6"/>
    <s v="AMORTIS. INSTALL.MAT.INDUSTRIEL"/>
    <s v="IM"/>
    <n v="-40.46"/>
    <d v="2025-02-01T00:00:00"/>
    <s v="AMT MENSUEL - PROMINENT - POMPE ADDITION KL"/>
    <m/>
    <e v="#N/A"/>
    <e v="#N/A"/>
    <n v="90352"/>
    <s v="DOT.AMT.CORP.202502"/>
    <m/>
    <s v="Q1"/>
    <e v="#REF!"/>
    <e v="#REF!"/>
    <e v="#REF!"/>
  </r>
  <r>
    <s v="281540"/>
    <x v="6"/>
    <s v="AMORTIS. INSTALL.MAT.INDUSTRIEL"/>
    <s v="IM"/>
    <n v="-40.46"/>
    <d v="2025-03-01T00:00:00"/>
    <s v="AMT MENSUEL - PROMINENT - POMPE ADDITION KL"/>
    <m/>
    <e v="#N/A"/>
    <e v="#N/A"/>
    <n v="90356"/>
    <s v="DOT.AMT.CORP.202503"/>
    <m/>
    <s v="Q1"/>
    <e v="#REF!"/>
    <e v="#REF!"/>
    <e v="#REF!"/>
  </r>
  <r>
    <s v="281540"/>
    <x v="6"/>
    <s v="AMORTIS. INSTALL.MAT.INDUSTRIEL"/>
    <s v="IM"/>
    <n v="-40.46"/>
    <d v="2025-04-01T00:00:00"/>
    <s v="AMT MENSUEL - PROMINENT - POMPE ADDITION KL"/>
    <m/>
    <e v="#N/A"/>
    <e v="#N/A"/>
    <n v="90360"/>
    <s v="DOT.AMT.CORP.202504"/>
    <m/>
    <s v="Q2"/>
    <e v="#REF!"/>
    <e v="#REF!"/>
    <e v="#REF!"/>
  </r>
  <r>
    <s v="281540"/>
    <x v="6"/>
    <s v="AMORTIS. INSTALL.MAT.INDUSTRIEL"/>
    <s v="IM"/>
    <n v="-40.46"/>
    <d v="2025-05-01T00:00:00"/>
    <s v="AMT MENSUEL - PROMINENT - POMPE ADDITION KL"/>
    <m/>
    <e v="#N/A"/>
    <e v="#N/A"/>
    <n v="90366"/>
    <s v="DOT.AMT.CORP.202505"/>
    <m/>
    <s v="Q2"/>
    <e v="#REF!"/>
    <e v="#REF!"/>
    <e v="#REF!"/>
  </r>
  <r>
    <s v="281540"/>
    <x v="6"/>
    <s v="AMORTIS. INSTALL.MAT.INDUSTRIEL"/>
    <s v="IM"/>
    <n v="-40.46"/>
    <d v="2025-06-01T00:00:00"/>
    <s v="AMT MENSUEL - PROMINENT - POMPE ADDITION KL"/>
    <m/>
    <e v="#N/A"/>
    <e v="#N/A"/>
    <n v="90372"/>
    <s v="DOT.AMT.CORP.202506"/>
    <m/>
    <s v="Q2"/>
    <e v="#REF!"/>
    <e v="#REF!"/>
    <e v="#REF!"/>
  </r>
  <r>
    <s v="281540"/>
    <x v="6"/>
    <s v="AMORTIS. INSTALL.MAT.INDUSTRIEL"/>
    <s v="IM"/>
    <n v="-40.46"/>
    <d v="2025-07-01T00:00:00"/>
    <s v="AMT MENSUEL - PROMINENT - POMPE ADDITION KL"/>
    <m/>
    <e v="#N/A"/>
    <e v="#N/A"/>
    <n v="90378"/>
    <s v="DOT.AMT.CORP.202507"/>
    <m/>
    <s v="Q3"/>
    <e v="#REF!"/>
    <e v="#REF!"/>
    <e v="#REF!"/>
  </r>
  <r>
    <s v="281540"/>
    <x v="6"/>
    <s v="AMORTIS. INSTALL.MAT.INDUSTRIEL"/>
    <s v="IM"/>
    <n v="-40.46"/>
    <d v="2025-08-01T00:00:00"/>
    <s v="AMT MENSUEL - PROMINENT - POMPE ADDITION KL"/>
    <m/>
    <e v="#N/A"/>
    <e v="#N/A"/>
    <n v="90384"/>
    <s v="DOT.AMT.CORP.202508"/>
    <m/>
    <s v="Q3"/>
    <e v="#REF!"/>
    <e v="#REF!"/>
    <e v="#REF!"/>
  </r>
  <r>
    <s v="281540"/>
    <x v="6"/>
    <s v="AMORTIS. INSTALL.MAT.INDUSTRIEL"/>
    <s v="IM"/>
    <n v="-40.46"/>
    <d v="2025-09-01T00:00:00"/>
    <s v="AMT MENSUEL - PROMINENT - POMPE ADDITION KL"/>
    <m/>
    <e v="#N/A"/>
    <e v="#N/A"/>
    <n v="90398"/>
    <s v="DOT.AMT.CORP.202509"/>
    <m/>
    <s v="Q3"/>
    <e v="#REF!"/>
    <e v="#REF!"/>
    <e v="#REF!"/>
  </r>
  <r>
    <s v="281540"/>
    <x v="6"/>
    <s v="AMORTIS. INSTALL.MAT.INDUSTRIEL"/>
    <s v="IM"/>
    <n v="-40.46"/>
    <d v="2025-10-01T00:00:00"/>
    <s v="AMT MENSUEL - PROMINENT - POMPE ADDITION KL"/>
    <m/>
    <e v="#N/A"/>
    <e v="#N/A"/>
    <n v="90414"/>
    <s v="DOT.AMT.CORP.202510"/>
    <m/>
    <s v="Q4"/>
    <e v="#REF!"/>
    <e v="#REF!"/>
    <e v="#REF!"/>
  </r>
  <r>
    <s v="281540"/>
    <x v="6"/>
    <s v="AMORTIS. INSTALL.MAT.INDUSTRIEL"/>
    <s v="IM"/>
    <n v="-40.46"/>
    <d v="2025-11-01T00:00:00"/>
    <s v="AMT MENSUEL - PROMINENT - POMPE ADDITION KL"/>
    <m/>
    <e v="#N/A"/>
    <e v="#N/A"/>
    <n v="90430"/>
    <s v="DOT.AMT.CORP.202511"/>
    <m/>
    <s v="Q4"/>
    <e v="#REF!"/>
    <e v="#REF!"/>
    <e v="#REF!"/>
  </r>
  <r>
    <s v="281540"/>
    <x v="6"/>
    <s v="AMORTIS. INSTALL.MAT.INDUSTRIEL"/>
    <s v="IM"/>
    <n v="-40.46"/>
    <d v="2025-12-01T00:00:00"/>
    <s v="AMT MENSUEL - PROMINENT - POMPE ADDITION KL"/>
    <m/>
    <e v="#N/A"/>
    <e v="#N/A"/>
    <n v="90446"/>
    <s v="DOT.AMT.CORP.202512"/>
    <m/>
    <s v="Q4"/>
    <e v="#REF!"/>
    <e v="#REF!"/>
    <e v="#REF!"/>
  </r>
  <r>
    <s v="281540"/>
    <x v="6"/>
    <s v="AMORTIS. INSTALL.MAT.INDUSTRIEL"/>
    <s v="IM"/>
    <n v="-34.04"/>
    <d v="2025-04-01T00:00:00"/>
    <s v="AMT MENSUEL - DENIOS - DÉTECTEUR HCN POUR KEENB"/>
    <m/>
    <e v="#N/A"/>
    <e v="#N/A"/>
    <n v="90362"/>
    <s v="DOT.AMT.CORP.202504"/>
    <m/>
    <s v="Q2"/>
    <e v="#REF!"/>
    <e v="#REF!"/>
    <e v="#REF!"/>
  </r>
  <r>
    <s v="281540"/>
    <x v="6"/>
    <s v="AMORTIS. INSTALL.MAT.INDUSTRIEL"/>
    <s v="IM"/>
    <n v="-34.04"/>
    <d v="2025-05-01T00:00:00"/>
    <s v="AMT MENSUEL - DENIOS - DÉTECTEUR HCN POUR KEENB"/>
    <m/>
    <e v="#N/A"/>
    <e v="#N/A"/>
    <n v="90368"/>
    <s v="DOT.AMT.CORP.202505"/>
    <m/>
    <s v="Q2"/>
    <e v="#REF!"/>
    <e v="#REF!"/>
    <e v="#REF!"/>
  </r>
  <r>
    <s v="281540"/>
    <x v="6"/>
    <s v="AMORTIS. INSTALL.MAT.INDUSTRIEL"/>
    <s v="IM"/>
    <n v="-34.04"/>
    <d v="2025-06-01T00:00:00"/>
    <s v="AMT MENSUEL - DENIOS - DÉTECTEUR HCN POUR KEENB"/>
    <m/>
    <e v="#N/A"/>
    <e v="#N/A"/>
    <n v="90374"/>
    <s v="DOT.AMT.CORP.202506"/>
    <m/>
    <s v="Q2"/>
    <e v="#REF!"/>
    <e v="#REF!"/>
    <e v="#REF!"/>
  </r>
  <r>
    <s v="281540"/>
    <x v="6"/>
    <s v="AMORTIS. INSTALL.MAT.INDUSTRIEL"/>
    <s v="IM"/>
    <n v="-34.04"/>
    <d v="2025-07-01T00:00:00"/>
    <s v="AMT MENSUEL - DENIOS - DÉTECTEUR HCN POUR KEENB"/>
    <m/>
    <e v="#N/A"/>
    <e v="#N/A"/>
    <n v="90380"/>
    <s v="DOT.AMT.CORP.202507"/>
    <m/>
    <s v="Q3"/>
    <e v="#REF!"/>
    <e v="#REF!"/>
    <e v="#REF!"/>
  </r>
  <r>
    <s v="281540"/>
    <x v="6"/>
    <s v="AMORTIS. INSTALL.MAT.INDUSTRIEL"/>
    <s v="IM"/>
    <n v="-34.04"/>
    <d v="2025-08-01T00:00:00"/>
    <s v="AMT MENSUEL - DENIOS - DÉTECTEUR HCN POUR KEENB"/>
    <m/>
    <e v="#N/A"/>
    <e v="#N/A"/>
    <n v="90386"/>
    <s v="DOT.AMT.CORP.202508"/>
    <m/>
    <s v="Q3"/>
    <e v="#REF!"/>
    <e v="#REF!"/>
    <e v="#REF!"/>
  </r>
  <r>
    <s v="281540"/>
    <x v="6"/>
    <s v="AMORTIS. INSTALL.MAT.INDUSTRIEL"/>
    <s v="IM"/>
    <n v="-34.04"/>
    <d v="2025-09-01T00:00:00"/>
    <s v="AMT MENSUEL - DENIOS - DÉTECTEUR HCN POUR KEENB"/>
    <m/>
    <e v="#N/A"/>
    <e v="#N/A"/>
    <n v="90400"/>
    <s v="DOT.AMT.CORP.202509"/>
    <m/>
    <s v="Q3"/>
    <e v="#REF!"/>
    <e v="#REF!"/>
    <e v="#REF!"/>
  </r>
  <r>
    <s v="281540"/>
    <x v="6"/>
    <s v="AMORTIS. INSTALL.MAT.INDUSTRIEL"/>
    <s v="IM"/>
    <n v="-34.04"/>
    <d v="2025-10-01T00:00:00"/>
    <s v="AMT MENSUEL - DENIOS - DÉTECTEUR HCN POUR KEENB"/>
    <m/>
    <e v="#N/A"/>
    <e v="#N/A"/>
    <n v="90416"/>
    <s v="DOT.AMT.CORP.202510"/>
    <m/>
    <s v="Q4"/>
    <e v="#REF!"/>
    <e v="#REF!"/>
    <e v="#REF!"/>
  </r>
  <r>
    <s v="281540"/>
    <x v="6"/>
    <s v="AMORTIS. INSTALL.MAT.INDUSTRIEL"/>
    <s v="IM"/>
    <n v="-34.04"/>
    <d v="2025-11-01T00:00:00"/>
    <s v="AMT MENSUEL - DENIOS - DÉTECTEUR HCN POUR KEENB"/>
    <m/>
    <e v="#N/A"/>
    <e v="#N/A"/>
    <n v="90432"/>
    <s v="DOT.AMT.CORP.202511"/>
    <m/>
    <s v="Q4"/>
    <e v="#REF!"/>
    <e v="#REF!"/>
    <e v="#REF!"/>
  </r>
  <r>
    <s v="281540"/>
    <x v="6"/>
    <s v="AMORTIS. INSTALL.MAT.INDUSTRIEL"/>
    <s v="IM"/>
    <n v="-34.04"/>
    <d v="2025-12-01T00:00:00"/>
    <s v="AMT MENSUEL - DENIOS - DÉTECTEUR HCN POUR KEENB"/>
    <m/>
    <e v="#N/A"/>
    <e v="#N/A"/>
    <n v="90448"/>
    <s v="DOT.AMT.CORP.202512"/>
    <m/>
    <s v="Q4"/>
    <e v="#REF!"/>
    <e v="#REF!"/>
    <e v="#REF!"/>
  </r>
  <r>
    <s v="281540"/>
    <x v="6"/>
    <s v="AMORTIS. INSTALL.MAT.INDUSTRIEL"/>
    <s v="IM"/>
    <n v="-31.67"/>
    <d v="2025-08-01T00:00:00"/>
    <s v="AMT MENSUEL - APIE - BACS DE RÉTENTION ACIER GALVANISÉ 2 IBC OU 3 PALETTES EUROPES (COMPATIBLE RACKS)"/>
    <m/>
    <e v="#N/A"/>
    <e v="#N/A"/>
    <n v="90388"/>
    <s v="DOT.AMT.CORP.202508"/>
    <m/>
    <s v="Q3"/>
    <e v="#REF!"/>
    <e v="#REF!"/>
    <e v="#REF!"/>
  </r>
  <r>
    <s v="281540"/>
    <x v="6"/>
    <s v="AMORTIS. INSTALL.MAT.INDUSTRIEL"/>
    <s v="IM"/>
    <n v="-31.67"/>
    <d v="2025-09-01T00:00:00"/>
    <s v="AMT MENSUEL - APIE - BACS DE RÉTENTION ACIER GALVANISÉ 2 IBC OU 3 PALETTES EUROPES (COMPATIBLE RACKS)"/>
    <m/>
    <e v="#N/A"/>
    <e v="#N/A"/>
    <n v="90402"/>
    <s v="DOT.AMT.CORP.202509"/>
    <m/>
    <s v="Q3"/>
    <e v="#REF!"/>
    <e v="#REF!"/>
    <e v="#REF!"/>
  </r>
  <r>
    <s v="281540"/>
    <x v="6"/>
    <s v="AMORTIS. INSTALL.MAT.INDUSTRIEL"/>
    <s v="IM"/>
    <n v="-31.67"/>
    <d v="2025-10-01T00:00:00"/>
    <s v="AMT MENSUEL - APIE - BACS DE RÉTENTION ACIER GALVANISÉ 2 IBC OU 3 PALETTES EUROPES (COMPATIBLE RACKS)"/>
    <m/>
    <e v="#N/A"/>
    <e v="#N/A"/>
    <n v="90418"/>
    <s v="DOT.AMT.CORP.202510"/>
    <m/>
    <s v="Q4"/>
    <e v="#REF!"/>
    <e v="#REF!"/>
    <e v="#REF!"/>
  </r>
  <r>
    <s v="281540"/>
    <x v="6"/>
    <s v="AMORTIS. INSTALL.MAT.INDUSTRIEL"/>
    <s v="IM"/>
    <n v="-31.67"/>
    <d v="2025-11-01T00:00:00"/>
    <s v="AMT MENSUEL - APIE - BACS DE RÉTENTION ACIER GALVANISÉ 2 IBC OU 3 PALETTES EUROPES (COMPATIBLE RACKS)"/>
    <m/>
    <e v="#N/A"/>
    <e v="#N/A"/>
    <n v="90434"/>
    <s v="DOT.AMT.CORP.202511"/>
    <m/>
    <s v="Q4"/>
    <e v="#REF!"/>
    <e v="#REF!"/>
    <e v="#REF!"/>
  </r>
  <r>
    <s v="281540"/>
    <x v="6"/>
    <s v="AMORTIS. INSTALL.MAT.INDUSTRIEL"/>
    <s v="IM"/>
    <n v="-31.67"/>
    <d v="2025-12-01T00:00:00"/>
    <s v="AMT MENSUEL - APIE - BACS DE RÉTENTION ACIER GALVANISÉ 2 IBC OU 3 PALETTES EUROPES (COMPATIBLE RACKS)"/>
    <m/>
    <e v="#N/A"/>
    <e v="#N/A"/>
    <n v="90450"/>
    <s v="DOT.AMT.CORP.202512"/>
    <m/>
    <s v="Q4"/>
    <e v="#REF!"/>
    <e v="#REF!"/>
    <e v="#REF!"/>
  </r>
  <r>
    <s v="281810"/>
    <x v="6"/>
    <s v="Amortissements Agencements"/>
    <s v="AN"/>
    <n v="-62724.11"/>
    <d v="2025-01-01T00:00:00"/>
    <s v="Report à nouveau Exercice 2025"/>
    <m/>
    <e v="#N/A"/>
    <e v="#N/A"/>
    <n v="84605"/>
    <m/>
    <m/>
    <s v="Q1"/>
    <e v="#REF!"/>
    <e v="#REF!"/>
    <e v="#REF!"/>
  </r>
  <r>
    <s v="281810"/>
    <x v="6"/>
    <s v="Amortissements Agencements"/>
    <s v="IM"/>
    <n v="-5388.47"/>
    <d v="2025-01-31T00:00:00"/>
    <s v="Amortissement Manuel - 2025"/>
    <m/>
    <e v="#N/A"/>
    <e v="#N/A"/>
    <n v="86000"/>
    <m/>
    <m/>
    <s v="Q1"/>
    <e v="#REF!"/>
    <e v="#REF!"/>
    <e v="#REF!"/>
  </r>
  <r>
    <s v="281810"/>
    <x v="6"/>
    <s v="Amortissements Agencements"/>
    <s v="IM"/>
    <n v="-5388.47"/>
    <d v="2025-02-28T00:00:00"/>
    <s v="Amortissement Manuel - 2025"/>
    <m/>
    <e v="#N/A"/>
    <e v="#N/A"/>
    <n v="86038"/>
    <m/>
    <m/>
    <s v="Q1"/>
    <e v="#REF!"/>
    <e v="#REF!"/>
    <e v="#REF!"/>
  </r>
  <r>
    <s v="281810"/>
    <x v="6"/>
    <s v="Amortissements Agencements"/>
    <s v="IM"/>
    <n v="-5388.47"/>
    <d v="2025-03-31T00:00:00"/>
    <s v="Amortissement Manuel - 2025"/>
    <m/>
    <e v="#N/A"/>
    <e v="#N/A"/>
    <n v="86057"/>
    <m/>
    <m/>
    <s v="Q1"/>
    <e v="#REF!"/>
    <e v="#REF!"/>
    <e v="#REF!"/>
  </r>
  <r>
    <s v="281810"/>
    <x v="6"/>
    <s v="Amortissements Agencements"/>
    <s v="IM"/>
    <n v="-5388.47"/>
    <d v="2025-04-30T00:00:00"/>
    <s v="Amortissement Manuel - 2025"/>
    <m/>
    <e v="#N/A"/>
    <e v="#N/A"/>
    <n v="86076"/>
    <m/>
    <m/>
    <s v="Q2"/>
    <e v="#REF!"/>
    <e v="#REF!"/>
    <e v="#REF!"/>
  </r>
  <r>
    <s v="281810"/>
    <x v="6"/>
    <s v="Amortissements Agencements"/>
    <s v="IM"/>
    <n v="-5388.47"/>
    <d v="2025-05-31T00:00:00"/>
    <s v="Amortissement Manuel - 2025"/>
    <m/>
    <e v="#N/A"/>
    <e v="#N/A"/>
    <n v="86095"/>
    <m/>
    <m/>
    <s v="Q2"/>
    <e v="#REF!"/>
    <e v="#REF!"/>
    <e v="#REF!"/>
  </r>
  <r>
    <s v="281810"/>
    <x v="6"/>
    <s v="Amortissements Agencements"/>
    <s v="IM"/>
    <n v="-5388.47"/>
    <d v="2025-06-30T00:00:00"/>
    <s v="Amortissement Manuel - 2025"/>
    <m/>
    <e v="#N/A"/>
    <e v="#N/A"/>
    <n v="86114"/>
    <m/>
    <m/>
    <s v="Q2"/>
    <e v="#REF!"/>
    <e v="#REF!"/>
    <e v="#REF!"/>
  </r>
  <r>
    <s v="281810"/>
    <x v="6"/>
    <s v="Amortissements Agencements"/>
    <s v="IM"/>
    <n v="-5388.47"/>
    <d v="2025-07-31T00:00:00"/>
    <s v="Amortissement Manuel - 2025"/>
    <m/>
    <e v="#N/A"/>
    <e v="#N/A"/>
    <n v="86133"/>
    <m/>
    <m/>
    <s v="Q3"/>
    <e v="#REF!"/>
    <e v="#REF!"/>
    <e v="#REF!"/>
  </r>
  <r>
    <s v="281810"/>
    <x v="6"/>
    <s v="Amortissements Agencements"/>
    <s v="IM"/>
    <n v="-5388.47"/>
    <d v="2025-08-31T00:00:00"/>
    <s v="Amortissement Manuel - 2025"/>
    <m/>
    <e v="#N/A"/>
    <e v="#N/A"/>
    <n v="86152"/>
    <m/>
    <m/>
    <s v="Q3"/>
    <e v="#REF!"/>
    <e v="#REF!"/>
    <e v="#REF!"/>
  </r>
  <r>
    <s v="281810"/>
    <x v="6"/>
    <s v="Amortissements Agencements"/>
    <s v="IM"/>
    <n v="-5388.47"/>
    <d v="2025-09-30T00:00:00"/>
    <s v="Amortissement Manuel - 2025"/>
    <m/>
    <e v="#N/A"/>
    <e v="#N/A"/>
    <n v="86171"/>
    <m/>
    <m/>
    <s v="Q3"/>
    <e v="#REF!"/>
    <e v="#REF!"/>
    <e v="#REF!"/>
  </r>
  <r>
    <s v="281810"/>
    <x v="6"/>
    <s v="Amortissements Agencements"/>
    <s v="IM"/>
    <n v="-5388.47"/>
    <d v="2025-10-31T00:00:00"/>
    <s v="Amortissement Manuel - 2025"/>
    <m/>
    <e v="#N/A"/>
    <e v="#N/A"/>
    <n v="90301"/>
    <m/>
    <m/>
    <s v="Q4"/>
    <e v="#REF!"/>
    <e v="#REF!"/>
    <e v="#REF!"/>
  </r>
  <r>
    <s v="281810"/>
    <x v="6"/>
    <s v="Amortissements Agencements"/>
    <s v="IM"/>
    <n v="-5388.47"/>
    <d v="2025-11-30T00:00:00"/>
    <s v="Amortissement Manuel - 2025"/>
    <m/>
    <e v="#N/A"/>
    <e v="#N/A"/>
    <n v="90320"/>
    <m/>
    <m/>
    <s v="Q4"/>
    <e v="#REF!"/>
    <e v="#REF!"/>
    <e v="#REF!"/>
  </r>
  <r>
    <s v="281810"/>
    <x v="6"/>
    <s v="Amortissements Agencements"/>
    <s v="IM"/>
    <n v="-5388.47"/>
    <d v="2025-12-31T00:00:00"/>
    <s v="Amortissement Manuel - 2025"/>
    <m/>
    <e v="#N/A"/>
    <e v="#N/A"/>
    <n v="90341"/>
    <m/>
    <m/>
    <s v="Q4"/>
    <e v="#REF!"/>
    <e v="#REF!"/>
    <e v="#REF!"/>
  </r>
  <r>
    <s v="281810"/>
    <x v="6"/>
    <s v="Amortissements Agencements"/>
    <s v="IM"/>
    <n v="-216.67"/>
    <d v="2025-08-01T00:00:00"/>
    <s v="AMT MENSUEL - LOPEZ PLOMBERIE ELECTRICITE - CHAUFFAGE / CLIMATISATION LABORATOIRE + APPORT D'AIR LABORATOIRE"/>
    <m/>
    <e v="#N/A"/>
    <e v="#N/A"/>
    <n v="90392"/>
    <s v="DOT.AMT.CORP.202508"/>
    <m/>
    <s v="Q3"/>
    <e v="#REF!"/>
    <e v="#REF!"/>
    <e v="#REF!"/>
  </r>
  <r>
    <s v="281810"/>
    <x v="6"/>
    <s v="Amortissements Agencements"/>
    <s v="IM"/>
    <n v="-216.67"/>
    <d v="2025-09-01T00:00:00"/>
    <s v="AMT MENSUEL - LOPEZ PLOMBERIE ELECTRICITE - CHAUFFAGE / CLIMATISATION LABORATOIRE + APPORT D'AIR LABORATOIRE"/>
    <m/>
    <e v="#N/A"/>
    <e v="#N/A"/>
    <n v="90406"/>
    <s v="DOT.AMT.CORP.202509"/>
    <m/>
    <s v="Q3"/>
    <e v="#REF!"/>
    <e v="#REF!"/>
    <e v="#REF!"/>
  </r>
  <r>
    <s v="281810"/>
    <x v="6"/>
    <s v="Amortissements Agencements"/>
    <s v="IM"/>
    <n v="-216.67"/>
    <d v="2025-10-01T00:00:00"/>
    <s v="AMT MENSUEL - LOPEZ PLOMBERIE ELECTRICITE - CHAUFFAGE / CLIMATISATION LABORATOIRE + APPORT D'AIR LABORATOIRE"/>
    <m/>
    <e v="#N/A"/>
    <e v="#N/A"/>
    <n v="90422"/>
    <s v="DOT.AMT.CORP.202510"/>
    <m/>
    <s v="Q4"/>
    <e v="#REF!"/>
    <e v="#REF!"/>
    <e v="#REF!"/>
  </r>
  <r>
    <s v="281810"/>
    <x v="6"/>
    <s v="Amortissements Agencements"/>
    <s v="IM"/>
    <n v="-216.67"/>
    <d v="2025-11-01T00:00:00"/>
    <s v="AMT MENSUEL - LOPEZ PLOMBERIE ELECTRICITE - CHAUFFAGE / CLIMATISATION LABORATOIRE + APPORT D'AIR LABORATOIRE"/>
    <m/>
    <e v="#N/A"/>
    <e v="#N/A"/>
    <n v="90438"/>
    <s v="DOT.AMT.CORP.202511"/>
    <m/>
    <s v="Q4"/>
    <e v="#REF!"/>
    <e v="#REF!"/>
    <e v="#REF!"/>
  </r>
  <r>
    <s v="281810"/>
    <x v="6"/>
    <s v="Amortissements Agencements"/>
    <s v="IM"/>
    <n v="-216.67"/>
    <d v="2025-12-01T00:00:00"/>
    <s v="AMT MENSUEL - LOPEZ PLOMBERIE ELECTRICITE - CHAUFFAGE / CLIMATISATION LABORATOIRE + APPORT D'AIR LABORATOIRE"/>
    <m/>
    <e v="#N/A"/>
    <e v="#N/A"/>
    <n v="90454"/>
    <s v="DOT.AMT.CORP.202512"/>
    <m/>
    <s v="Q4"/>
    <e v="#REF!"/>
    <e v="#REF!"/>
    <e v="#REF!"/>
  </r>
  <r>
    <s v="281810"/>
    <x v="6"/>
    <s v="Amortissements Agencements"/>
    <s v="IM"/>
    <n v="-37.58"/>
    <d v="2025-09-01T00:00:00"/>
    <s v="AMT MENSUEL - SCMI - DOUBLE PORTE ATELIER"/>
    <m/>
    <e v="#N/A"/>
    <e v="#N/A"/>
    <n v="90410"/>
    <s v="DOT.AMT.CORP.202509"/>
    <m/>
    <s v="Q3"/>
    <e v="#REF!"/>
    <e v="#REF!"/>
    <e v="#REF!"/>
  </r>
  <r>
    <s v="281810"/>
    <x v="6"/>
    <s v="Amortissements Agencements"/>
    <s v="IM"/>
    <n v="-37.58"/>
    <d v="2025-10-01T00:00:00"/>
    <s v="AMT MENSUEL - SCMI - DOUBLE PORTE ATELIER"/>
    <m/>
    <e v="#N/A"/>
    <e v="#N/A"/>
    <n v="90426"/>
    <s v="DOT.AMT.CORP.202510"/>
    <m/>
    <s v="Q4"/>
    <e v="#REF!"/>
    <e v="#REF!"/>
    <e v="#REF!"/>
  </r>
  <r>
    <s v="281810"/>
    <x v="6"/>
    <s v="Amortissements Agencements"/>
    <s v="IM"/>
    <n v="-37.58"/>
    <d v="2025-11-01T00:00:00"/>
    <s v="AMT MENSUEL - SCMI - DOUBLE PORTE ATELIER"/>
    <m/>
    <e v="#N/A"/>
    <e v="#N/A"/>
    <n v="90442"/>
    <s v="DOT.AMT.CORP.202511"/>
    <m/>
    <s v="Q4"/>
    <e v="#REF!"/>
    <e v="#REF!"/>
    <e v="#REF!"/>
  </r>
  <r>
    <s v="281810"/>
    <x v="6"/>
    <s v="Amortissements Agencements"/>
    <s v="IM"/>
    <n v="-37.58"/>
    <d v="2025-12-01T00:00:00"/>
    <s v="AMT MENSUEL - SCMI - DOUBLE PORTE ATELIER"/>
    <m/>
    <e v="#N/A"/>
    <e v="#N/A"/>
    <n v="90458"/>
    <s v="DOT.AMT.CORP.202512"/>
    <m/>
    <s v="Q4"/>
    <e v="#REF!"/>
    <e v="#REF!"/>
    <e v="#REF!"/>
  </r>
  <r>
    <s v="281810"/>
    <x v="6"/>
    <s v="Amortissements Agencements"/>
    <s v="IM"/>
    <n v="-34.58"/>
    <d v="2025-08-01T00:00:00"/>
    <s v="AMT MENSUEL - COTE - PRISES LABORATOIRE, PRISES ATEX, ALIMENTATION CLIM + AIR, PLANS"/>
    <m/>
    <e v="#N/A"/>
    <e v="#N/A"/>
    <n v="90390"/>
    <s v="DOT.AMT.CORP.202508"/>
    <m/>
    <s v="Q3"/>
    <e v="#REF!"/>
    <e v="#REF!"/>
    <e v="#REF!"/>
  </r>
  <r>
    <s v="281810"/>
    <x v="6"/>
    <s v="Amortissements Agencements"/>
    <s v="IM"/>
    <n v="-34.58"/>
    <d v="2025-09-01T00:00:00"/>
    <s v="AMT MENSUEL - COTE - PRISES LABORATOIRE, PRISES ATEX, ALIMENTATION CLIM + AIR, PLANS"/>
    <m/>
    <e v="#N/A"/>
    <e v="#N/A"/>
    <n v="90404"/>
    <s v="DOT.AMT.CORP.202509"/>
    <m/>
    <s v="Q3"/>
    <e v="#REF!"/>
    <e v="#REF!"/>
    <e v="#REF!"/>
  </r>
  <r>
    <s v="281810"/>
    <x v="6"/>
    <s v="Amortissements Agencements"/>
    <s v="IM"/>
    <n v="-34.58"/>
    <d v="2025-10-01T00:00:00"/>
    <s v="AMT MENSUEL - COTE - PRISES LABORATOIRE, PRISES ATEX, ALIMENTATION CLIM + AIR, PLANS"/>
    <m/>
    <e v="#N/A"/>
    <e v="#N/A"/>
    <n v="90420"/>
    <s v="DOT.AMT.CORP.202510"/>
    <m/>
    <s v="Q4"/>
    <e v="#REF!"/>
    <e v="#REF!"/>
    <e v="#REF!"/>
  </r>
  <r>
    <s v="281810"/>
    <x v="6"/>
    <s v="Amortissements Agencements"/>
    <s v="IM"/>
    <n v="-34.58"/>
    <d v="2025-11-01T00:00:00"/>
    <s v="AMT MENSUEL - COTE - PRISES LABORATOIRE, PRISES ATEX, ALIMENTATION CLIM + AIR, PLANS"/>
    <m/>
    <e v="#N/A"/>
    <e v="#N/A"/>
    <n v="90436"/>
    <s v="DOT.AMT.CORP.202511"/>
    <m/>
    <s v="Q4"/>
    <e v="#REF!"/>
    <e v="#REF!"/>
    <e v="#REF!"/>
  </r>
  <r>
    <s v="281810"/>
    <x v="6"/>
    <s v="Amortissements Agencements"/>
    <s v="IM"/>
    <n v="-34.58"/>
    <d v="2025-12-01T00:00:00"/>
    <s v="AMT MENSUEL - COTE - PRISES LABORATOIRE, PRISES ATEX, ALIMENTATION CLIM + AIR, PLANS"/>
    <m/>
    <e v="#N/A"/>
    <e v="#N/A"/>
    <n v="90452"/>
    <s v="DOT.AMT.CORP.202512"/>
    <m/>
    <s v="Q4"/>
    <e v="#REF!"/>
    <e v="#REF!"/>
    <e v="#REF!"/>
  </r>
  <r>
    <s v="281810"/>
    <x v="6"/>
    <s v="Amortissements Agencements"/>
    <s v="IM"/>
    <n v="-30.17"/>
    <d v="2025-08-01T00:00:00"/>
    <s v="AMT MENSUEL - LOPEZ PLOMBERIE ELECTRICITE - RACCORDEMENT ASPIRATION LABORATOIRE"/>
    <m/>
    <e v="#N/A"/>
    <e v="#N/A"/>
    <n v="90394"/>
    <s v="DOT.AMT.CORP.202508"/>
    <m/>
    <s v="Q3"/>
    <e v="#REF!"/>
    <e v="#REF!"/>
    <e v="#REF!"/>
  </r>
  <r>
    <s v="281810"/>
    <x v="6"/>
    <s v="Amortissements Agencements"/>
    <s v="IM"/>
    <n v="-30.17"/>
    <d v="2025-09-01T00:00:00"/>
    <s v="AMT MENSUEL - LOPEZ PLOMBERIE ELECTRICITE - RACCORDEMENT ASPIRATION LABORATOIRE"/>
    <m/>
    <e v="#N/A"/>
    <e v="#N/A"/>
    <n v="90408"/>
    <s v="DOT.AMT.CORP.202509"/>
    <m/>
    <s v="Q3"/>
    <e v="#REF!"/>
    <e v="#REF!"/>
    <e v="#REF!"/>
  </r>
  <r>
    <s v="281810"/>
    <x v="6"/>
    <s v="Amortissements Agencements"/>
    <s v="IM"/>
    <n v="-30.17"/>
    <d v="2025-10-01T00:00:00"/>
    <s v="AMT MENSUEL - LOPEZ PLOMBERIE ELECTRICITE - RACCORDEMENT ASPIRATION LABORATOIRE"/>
    <m/>
    <e v="#N/A"/>
    <e v="#N/A"/>
    <n v="90424"/>
    <s v="DOT.AMT.CORP.202510"/>
    <m/>
    <s v="Q4"/>
    <e v="#REF!"/>
    <e v="#REF!"/>
    <e v="#REF!"/>
  </r>
  <r>
    <s v="281810"/>
    <x v="6"/>
    <s v="Amortissements Agencements"/>
    <s v="IM"/>
    <n v="-30.17"/>
    <d v="2025-11-01T00:00:00"/>
    <s v="AMT MENSUEL - LOPEZ PLOMBERIE ELECTRICITE - RACCORDEMENT ASPIRATION LABORATOIRE"/>
    <m/>
    <e v="#N/A"/>
    <e v="#N/A"/>
    <n v="90440"/>
    <s v="DOT.AMT.CORP.202511"/>
    <m/>
    <s v="Q4"/>
    <e v="#REF!"/>
    <e v="#REF!"/>
    <e v="#REF!"/>
  </r>
  <r>
    <s v="281810"/>
    <x v="6"/>
    <s v="Amortissements Agencements"/>
    <s v="IM"/>
    <n v="-30.17"/>
    <d v="2025-12-01T00:00:00"/>
    <s v="AMT MENSUEL - LOPEZ PLOMBERIE ELECTRICITE - RACCORDEMENT ASPIRATION LABORATOIRE"/>
    <m/>
    <e v="#N/A"/>
    <e v="#N/A"/>
    <n v="90456"/>
    <s v="DOT.AMT.CORP.202512"/>
    <m/>
    <s v="Q4"/>
    <e v="#REF!"/>
    <e v="#REF!"/>
    <e v="#REF!"/>
  </r>
  <r>
    <s v="281830"/>
    <x v="6"/>
    <s v="AMORTIS. MATÉR.BUREAU ET INFORMAT."/>
    <s v="AN"/>
    <n v="-12831.21"/>
    <d v="2025-01-01T00:00:00"/>
    <s v="Report à nouveau Exercice 2025"/>
    <m/>
    <e v="#N/A"/>
    <e v="#N/A"/>
    <n v="84606"/>
    <m/>
    <m/>
    <s v="Q1"/>
    <e v="#REF!"/>
    <e v="#REF!"/>
    <e v="#REF!"/>
  </r>
  <r>
    <s v="281830"/>
    <x v="6"/>
    <s v="AMORTIS. MATÉR.BUREAU ET INFORMAT."/>
    <s v="IM"/>
    <n v="-236.57"/>
    <d v="2025-01-31T00:00:00"/>
    <s v="Amortissement Manuel - 2025"/>
    <m/>
    <e v="#N/A"/>
    <e v="#N/A"/>
    <n v="86003"/>
    <m/>
    <m/>
    <s v="Q1"/>
    <e v="#REF!"/>
    <e v="#REF!"/>
    <e v="#REF!"/>
  </r>
  <r>
    <s v="281830"/>
    <x v="6"/>
    <s v="AMORTIS. MATÉR.BUREAU ET INFORMAT."/>
    <s v="IM"/>
    <n v="-236.57"/>
    <d v="2025-02-28T00:00:00"/>
    <s v="Amortissement Manuel - 2025"/>
    <m/>
    <e v="#N/A"/>
    <e v="#N/A"/>
    <n v="86041"/>
    <m/>
    <m/>
    <s v="Q1"/>
    <e v="#REF!"/>
    <e v="#REF!"/>
    <e v="#REF!"/>
  </r>
  <r>
    <s v="281830"/>
    <x v="6"/>
    <s v="AMORTIS. MATÉR.BUREAU ET INFORMAT."/>
    <s v="IM"/>
    <n v="-236.57"/>
    <d v="2025-03-31T00:00:00"/>
    <s v="Amortissement Manuel - 2025"/>
    <m/>
    <e v="#N/A"/>
    <e v="#N/A"/>
    <n v="86060"/>
    <m/>
    <m/>
    <s v="Q1"/>
    <e v="#REF!"/>
    <e v="#REF!"/>
    <e v="#REF!"/>
  </r>
  <r>
    <s v="281830"/>
    <x v="6"/>
    <s v="AMORTIS. MATÉR.BUREAU ET INFORMAT."/>
    <s v="IM"/>
    <n v="-236.57"/>
    <d v="2025-04-30T00:00:00"/>
    <s v="Amortissement Manuel - 2025"/>
    <m/>
    <e v="#N/A"/>
    <e v="#N/A"/>
    <n v="86079"/>
    <m/>
    <m/>
    <s v="Q2"/>
    <e v="#REF!"/>
    <e v="#REF!"/>
    <e v="#REF!"/>
  </r>
  <r>
    <s v="281830"/>
    <x v="6"/>
    <s v="AMORTIS. MATÉR.BUREAU ET INFORMAT."/>
    <s v="IM"/>
    <n v="-236.57"/>
    <d v="2025-05-31T00:00:00"/>
    <s v="Amortissement Manuel - 2025"/>
    <m/>
    <e v="#N/A"/>
    <e v="#N/A"/>
    <n v="86098"/>
    <m/>
    <m/>
    <s v="Q2"/>
    <e v="#REF!"/>
    <e v="#REF!"/>
    <e v="#REF!"/>
  </r>
  <r>
    <s v="281830"/>
    <x v="6"/>
    <s v="AMORTIS. MATÉR.BUREAU ET INFORMAT."/>
    <s v="IM"/>
    <n v="-236.57"/>
    <d v="2025-06-30T00:00:00"/>
    <s v="Amortissement Manuel - 2025"/>
    <m/>
    <e v="#N/A"/>
    <e v="#N/A"/>
    <n v="86117"/>
    <m/>
    <m/>
    <s v="Q2"/>
    <e v="#REF!"/>
    <e v="#REF!"/>
    <e v="#REF!"/>
  </r>
  <r>
    <s v="281830"/>
    <x v="6"/>
    <s v="AMORTIS. MATÉR.BUREAU ET INFORMAT."/>
    <s v="IM"/>
    <n v="-236.57"/>
    <d v="2025-07-31T00:00:00"/>
    <s v="Amortissement Manuel - 2025"/>
    <m/>
    <e v="#N/A"/>
    <e v="#N/A"/>
    <n v="86136"/>
    <m/>
    <m/>
    <s v="Q3"/>
    <e v="#REF!"/>
    <e v="#REF!"/>
    <e v="#REF!"/>
  </r>
  <r>
    <s v="281830"/>
    <x v="6"/>
    <s v="AMORTIS. MATÉR.BUREAU ET INFORMAT."/>
    <s v="IM"/>
    <n v="-236.57"/>
    <d v="2025-08-31T00:00:00"/>
    <s v="Amortissement Manuel - 2025"/>
    <m/>
    <e v="#N/A"/>
    <e v="#N/A"/>
    <n v="86155"/>
    <m/>
    <m/>
    <s v="Q3"/>
    <e v="#REF!"/>
    <e v="#REF!"/>
    <e v="#REF!"/>
  </r>
  <r>
    <s v="281830"/>
    <x v="6"/>
    <s v="AMORTIS. MATÉR.BUREAU ET INFORMAT."/>
    <s v="IM"/>
    <n v="-236.57"/>
    <d v="2025-09-30T00:00:00"/>
    <s v="Amortissement Manuel - 2025"/>
    <m/>
    <e v="#N/A"/>
    <e v="#N/A"/>
    <n v="86174"/>
    <m/>
    <m/>
    <s v="Q3"/>
    <e v="#REF!"/>
    <e v="#REF!"/>
    <e v="#REF!"/>
  </r>
  <r>
    <s v="281830"/>
    <x v="6"/>
    <s v="AMORTIS. MATÉR.BUREAU ET INFORMAT."/>
    <s v="IM"/>
    <n v="-236.57"/>
    <d v="2025-10-31T00:00:00"/>
    <s v="Amortissement Manuel - 2025"/>
    <m/>
    <e v="#N/A"/>
    <e v="#N/A"/>
    <n v="90304"/>
    <m/>
    <m/>
    <s v="Q4"/>
    <e v="#REF!"/>
    <e v="#REF!"/>
    <e v="#REF!"/>
  </r>
  <r>
    <s v="281830"/>
    <x v="6"/>
    <s v="AMORTIS. MATÉR.BUREAU ET INFORMAT."/>
    <s v="IM"/>
    <n v="-236.57"/>
    <d v="2025-11-30T00:00:00"/>
    <s v="Amortissement Manuel - 2025"/>
    <m/>
    <e v="#N/A"/>
    <e v="#N/A"/>
    <n v="90323"/>
    <m/>
    <m/>
    <s v="Q4"/>
    <e v="#REF!"/>
    <e v="#REF!"/>
    <e v="#REF!"/>
  </r>
  <r>
    <s v="281830"/>
    <x v="6"/>
    <s v="AMORTIS. MATÉR.BUREAU ET INFORMAT."/>
    <s v="IM"/>
    <n v="-236.57"/>
    <d v="2025-12-31T00:00:00"/>
    <s v="Amortissement Manuel - 2025"/>
    <m/>
    <e v="#N/A"/>
    <e v="#N/A"/>
    <n v="90344"/>
    <m/>
    <m/>
    <s v="Q4"/>
    <e v="#REF!"/>
    <e v="#REF!"/>
    <e v="#REF!"/>
  </r>
  <r>
    <s v="281840"/>
    <x v="6"/>
    <s v="AMORT.MOBILIER"/>
    <s v="AN"/>
    <n v="-4330.6400000000003"/>
    <d v="2025-01-01T00:00:00"/>
    <s v="Report à nouveau Exercice 2025"/>
    <m/>
    <e v="#N/A"/>
    <e v="#N/A"/>
    <n v="84607"/>
    <m/>
    <m/>
    <s v="Q1"/>
    <e v="#REF!"/>
    <e v="#REF!"/>
    <e v="#REF!"/>
  </r>
  <r>
    <s v="281840"/>
    <x v="6"/>
    <s v="AMORT.MOBILIER"/>
    <s v="IM"/>
    <n v="-726.45"/>
    <d v="2025-01-31T00:00:00"/>
    <s v="Amortissement Manuel - 2025"/>
    <m/>
    <e v="#N/A"/>
    <e v="#N/A"/>
    <n v="86006"/>
    <m/>
    <m/>
    <s v="Q1"/>
    <e v="#REF!"/>
    <e v="#REF!"/>
    <e v="#REF!"/>
  </r>
  <r>
    <s v="281840"/>
    <x v="6"/>
    <s v="AMORT.MOBILIER"/>
    <s v="IM"/>
    <n v="-726.45"/>
    <d v="2025-02-28T00:00:00"/>
    <s v="Amortissement Manuel - 2025"/>
    <m/>
    <e v="#N/A"/>
    <e v="#N/A"/>
    <n v="86044"/>
    <m/>
    <m/>
    <s v="Q1"/>
    <e v="#REF!"/>
    <e v="#REF!"/>
    <e v="#REF!"/>
  </r>
  <r>
    <s v="281840"/>
    <x v="6"/>
    <s v="AMORT.MOBILIER"/>
    <s v="IM"/>
    <n v="-726.45"/>
    <d v="2025-03-31T00:00:00"/>
    <s v="Amortissement Manuel - 2025"/>
    <m/>
    <e v="#N/A"/>
    <e v="#N/A"/>
    <n v="86063"/>
    <m/>
    <m/>
    <s v="Q1"/>
    <e v="#REF!"/>
    <e v="#REF!"/>
    <e v="#REF!"/>
  </r>
  <r>
    <s v="281840"/>
    <x v="6"/>
    <s v="AMORT.MOBILIER"/>
    <s v="IM"/>
    <n v="-726.45"/>
    <d v="2025-04-30T00:00:00"/>
    <s v="Amortissement Manuel - 2025"/>
    <m/>
    <e v="#N/A"/>
    <e v="#N/A"/>
    <n v="86082"/>
    <m/>
    <m/>
    <s v="Q2"/>
    <e v="#REF!"/>
    <e v="#REF!"/>
    <e v="#REF!"/>
  </r>
  <r>
    <s v="281840"/>
    <x v="6"/>
    <s v="AMORT.MOBILIER"/>
    <s v="IM"/>
    <n v="-726.45"/>
    <d v="2025-05-31T00:00:00"/>
    <s v="Amortissement Manuel - 2025"/>
    <m/>
    <e v="#N/A"/>
    <e v="#N/A"/>
    <n v="86101"/>
    <m/>
    <m/>
    <s v="Q2"/>
    <e v="#REF!"/>
    <e v="#REF!"/>
    <e v="#REF!"/>
  </r>
  <r>
    <s v="281840"/>
    <x v="6"/>
    <s v="AMORT.MOBILIER"/>
    <s v="IM"/>
    <n v="-726.45"/>
    <d v="2025-06-30T00:00:00"/>
    <s v="Amortissement Manuel - 2025"/>
    <m/>
    <e v="#N/A"/>
    <e v="#N/A"/>
    <n v="86120"/>
    <m/>
    <m/>
    <s v="Q2"/>
    <e v="#REF!"/>
    <e v="#REF!"/>
    <e v="#REF!"/>
  </r>
  <r>
    <s v="281840"/>
    <x v="6"/>
    <s v="AMORT.MOBILIER"/>
    <s v="IM"/>
    <n v="-726.45"/>
    <d v="2025-07-31T00:00:00"/>
    <s v="Amortissement Manuel - 2025"/>
    <m/>
    <e v="#N/A"/>
    <e v="#N/A"/>
    <n v="86139"/>
    <m/>
    <m/>
    <s v="Q3"/>
    <e v="#REF!"/>
    <e v="#REF!"/>
    <e v="#REF!"/>
  </r>
  <r>
    <s v="281840"/>
    <x v="6"/>
    <s v="AMORT.MOBILIER"/>
    <s v="IM"/>
    <n v="-726.45"/>
    <d v="2025-08-31T00:00:00"/>
    <s v="Amortissement Manuel - 2025"/>
    <m/>
    <e v="#N/A"/>
    <e v="#N/A"/>
    <n v="86158"/>
    <m/>
    <m/>
    <s v="Q3"/>
    <e v="#REF!"/>
    <e v="#REF!"/>
    <e v="#REF!"/>
  </r>
  <r>
    <s v="281840"/>
    <x v="6"/>
    <s v="AMORT.MOBILIER"/>
    <s v="IM"/>
    <n v="-726.45"/>
    <d v="2025-09-30T00:00:00"/>
    <s v="Amortissement Manuel - 2025"/>
    <m/>
    <e v="#N/A"/>
    <e v="#N/A"/>
    <n v="86177"/>
    <m/>
    <m/>
    <s v="Q3"/>
    <e v="#REF!"/>
    <e v="#REF!"/>
    <e v="#REF!"/>
  </r>
  <r>
    <s v="281840"/>
    <x v="6"/>
    <s v="AMORT.MOBILIER"/>
    <s v="IM"/>
    <n v="-726.45"/>
    <d v="2025-10-31T00:00:00"/>
    <s v="Amortissement Manuel - 2025"/>
    <m/>
    <e v="#N/A"/>
    <e v="#N/A"/>
    <n v="90307"/>
    <m/>
    <m/>
    <s v="Q4"/>
    <e v="#REF!"/>
    <e v="#REF!"/>
    <e v="#REF!"/>
  </r>
  <r>
    <s v="281840"/>
    <x v="6"/>
    <s v="AMORT.MOBILIER"/>
    <s v="IM"/>
    <n v="-726.45"/>
    <d v="2025-11-30T00:00:00"/>
    <s v="Amortissement Manuel - 2025"/>
    <m/>
    <e v="#N/A"/>
    <e v="#N/A"/>
    <n v="90326"/>
    <m/>
    <m/>
    <s v="Q4"/>
    <e v="#REF!"/>
    <e v="#REF!"/>
    <e v="#REF!"/>
  </r>
  <r>
    <s v="281840"/>
    <x v="6"/>
    <s v="AMORT.MOBILIER"/>
    <s v="IM"/>
    <n v="-726.45"/>
    <d v="2025-12-31T00:00:00"/>
    <s v="Amortissement Manuel - 2025"/>
    <m/>
    <e v="#N/A"/>
    <e v="#N/A"/>
    <n v="90347"/>
    <m/>
    <m/>
    <s v="Q4"/>
    <e v="#REF!"/>
    <e v="#REF!"/>
    <e v="#REF!"/>
  </r>
  <r>
    <s v="401000"/>
    <x v="6"/>
    <s v="FOURNISSEURS"/>
    <s v="AC"/>
    <n v="-710361.59999999998"/>
    <d v="2025-02-06T00:00:00"/>
    <s v="COMMANDE 4-240154 DU 19/09/2024"/>
    <s v="Non"/>
    <e v="#N/A"/>
    <n v="0"/>
    <n v="66158"/>
    <s v="FC250025"/>
    <s v="INTEROR"/>
    <s v="Q1"/>
    <e v="#REF!"/>
    <e v="#REF!"/>
    <e v="#REF!"/>
  </r>
  <r>
    <s v="401000"/>
    <x v="6"/>
    <s v="FOURNISSEURS"/>
    <s v="AC"/>
    <n v="-504000"/>
    <d v="2025-09-30T00:00:00"/>
    <s v=" Indigo (A00743) - 1t"/>
    <s v="Non"/>
    <e v="#N/A"/>
    <n v="0"/>
    <n v="87159"/>
    <s v="FC250191"/>
    <s v="INTEROR"/>
    <s v="Q3"/>
    <e v="#REF!"/>
    <e v="#REF!"/>
    <e v="#REF!"/>
  </r>
  <r>
    <s v="401000"/>
    <x v="6"/>
    <s v="FOURNISSEURS"/>
    <s v="AC"/>
    <n v="-435706.8"/>
    <d v="2025-12-03T00:00:00"/>
    <s v="AVENANT 11 CONTRAT RECHERCHE TWB - 2E ET 3E VERSEMENTS"/>
    <m/>
    <s v="Non"/>
    <e v="#N/A"/>
    <n v="91998"/>
    <s v="2110011866"/>
    <s v="INRAE TOULOUSE"/>
    <s v="Q4"/>
    <e v="#REF!"/>
    <e v="#REF!"/>
    <e v="#REF!"/>
  </r>
  <r>
    <s v="401000"/>
    <x v="6"/>
    <s v="FOURNISSEURS"/>
    <s v="AC"/>
    <n v="-377967.9"/>
    <d v="2025-03-31T00:00:00"/>
    <s v="9 BATCHES PRODUCED DURING CAMPAIGN  ACTUAL CONSUMPTION OF RAW MATERIAL"/>
    <s v="Non"/>
    <e v="#N/A"/>
    <e v="#N/A"/>
    <n v="73731"/>
    <s v="91250028"/>
    <s v="BIOTIKA"/>
    <s v="Q1"/>
    <e v="#REF!"/>
    <e v="#REF!"/>
    <e v="#REF!"/>
  </r>
  <r>
    <s v="401000"/>
    <x v="6"/>
    <s v="FOURNISSEURS"/>
    <s v="AC"/>
    <n v="-217854"/>
    <d v="2025-04-29T00:00:00"/>
    <s v="AVENANT 11 AU CONTRAT DE RECHERCHE TWB SIGNÉ LE 30/01/2018 1ER VERSEMENT AU 01/05/2025"/>
    <m/>
    <s v="Non"/>
    <e v="#N/A"/>
    <n v="71361"/>
    <s v="2110002592"/>
    <s v="INRAE TOULOUSE"/>
    <s v="Q2"/>
    <e v="#REF!"/>
    <e v="#REF!"/>
    <e v="#REF!"/>
  </r>
  <r>
    <s v="401000"/>
    <x v="6"/>
    <s v="FOURNISSEURS"/>
    <s v="AC"/>
    <n v="-133467.09"/>
    <d v="2025-11-28T00:00:00"/>
    <s v="PHOENIX VBIO - PRÉ-PILOTE &amp; PILOTE"/>
    <m/>
    <e v="#N/A"/>
    <e v="#N/A"/>
    <n v="94883"/>
    <s v="325000353"/>
    <s v="WACKER LEON"/>
    <s v="Q4"/>
    <e v="#REF!"/>
    <e v="#REF!"/>
    <e v="#REF!"/>
  </r>
  <r>
    <s v="401000"/>
    <x v="6"/>
    <s v="FOURNISSEURS"/>
    <s v="AC"/>
    <n v="-91296"/>
    <d v="2025-11-06T00:00:00"/>
    <s v="ETUDE DE FAISABILITÉ DE L’HYDROGÉNATION DU PABA EN TOLUIDINE"/>
    <m/>
    <e v="#N/A"/>
    <e v="#N/A"/>
    <n v="91927"/>
    <s v="25/11/070/581"/>
    <s v="ACTIVATION"/>
    <s v="Q4"/>
    <e v="#REF!"/>
    <e v="#REF!"/>
    <e v="#REF!"/>
  </r>
  <r>
    <s v="401000"/>
    <x v="6"/>
    <s v="FOURNISSEURS"/>
    <s v="AC"/>
    <n v="-64720.5"/>
    <d v="2025-03-05T00:00:00"/>
    <s v="LOYER KB 2025_Q2"/>
    <m/>
    <e v="#N/A"/>
    <e v="#N/A"/>
    <n v="66058"/>
    <s v="49020250011"/>
    <s v="LIBERTY PM"/>
    <s v="Q1"/>
    <e v="#REF!"/>
    <e v="#REF!"/>
    <e v="#REF!"/>
  </r>
  <r>
    <s v="401000"/>
    <x v="6"/>
    <s v="FOURNISSEURS"/>
    <s v="AC"/>
    <n v="-60874.6"/>
    <d v="2025-12-05T00:00:00"/>
    <s v="LOYER Q1 2026 KB"/>
    <m/>
    <e v="#N/A"/>
    <e v="#N/A"/>
    <n v="92004"/>
    <s v="0049020260006"/>
    <s v="LIBERTY PM"/>
    <s v="Q4"/>
    <e v="#REF!"/>
    <e v="#REF!"/>
    <e v="#REF!"/>
  </r>
  <r>
    <s v="401000"/>
    <x v="6"/>
    <s v="FOURNISSEURS"/>
    <s v="AC"/>
    <n v="-45000"/>
    <d v="2025-09-16T00:00:00"/>
    <s v="DEVELOPMENT AGREEMENT PHOENIX VI, 3.1."/>
    <s v="Non"/>
    <e v="#N/A"/>
    <e v="#N/A"/>
    <n v="89961"/>
    <s v="91250146"/>
    <s v="BIOTIKA"/>
    <s v="Q3"/>
    <e v="#REF!"/>
    <e v="#REF!"/>
    <e v="#REF!"/>
  </r>
  <r>
    <s v="401000"/>
    <x v="6"/>
    <s v="FOURNISSEURS"/>
    <s v="AC"/>
    <n v="-41843.51"/>
    <d v="2025-09-01T00:00:00"/>
    <s v="LOYER Q4 2025"/>
    <m/>
    <e v="#N/A"/>
    <e v="#N/A"/>
    <n v="87271"/>
    <s v="0049020250041"/>
    <s v="LIBERTY PM"/>
    <s v="Q3"/>
    <e v="#REF!"/>
    <e v="#REF!"/>
    <e v="#REF!"/>
  </r>
  <r>
    <s v="401000"/>
    <x v="6"/>
    <s v="FOURNISSEURS"/>
    <s v="AC"/>
    <n v="-39147.360000000001"/>
    <d v="2025-08-13T00:00:00"/>
    <s v="APUREMENT CHARGES 2024"/>
    <m/>
    <e v="#N/A"/>
    <e v="#N/A"/>
    <n v="81799"/>
    <s v="023381"/>
    <s v="LIBERTY PM"/>
    <s v="Q3"/>
    <e v="#REF!"/>
    <e v="#REF!"/>
    <e v="#REF!"/>
  </r>
  <r>
    <s v="401000"/>
    <x v="6"/>
    <s v="FOURNISSEURS"/>
    <s v="AC"/>
    <n v="-37800"/>
    <d v="2025-03-31T00:00:00"/>
    <s v="MARS-25"/>
    <s v="Non"/>
    <s v="Non"/>
    <e v="#N/A"/>
    <n v="68990"/>
    <s v="8743-1545-5"/>
    <s v="INSIDE MANAGEMENT"/>
    <s v="Q1"/>
    <e v="#REF!"/>
    <e v="#REF!"/>
    <e v="#REF!"/>
  </r>
  <r>
    <s v="401000"/>
    <x v="6"/>
    <s v="FOURNISSEURS"/>
    <s v="AC"/>
    <n v="-36000"/>
    <d v="2025-01-31T00:00:00"/>
    <s v="MISSION B. LAJUGIE - JANVIER 2025"/>
    <s v="Non"/>
    <s v="Non"/>
    <e v="#N/A"/>
    <n v="61368"/>
    <s v="8743-1516-3"/>
    <s v="INSIDE MANAGEMENT"/>
    <s v="Q1"/>
    <e v="#REF!"/>
    <e v="#REF!"/>
    <e v="#REF!"/>
  </r>
  <r>
    <s v="401000"/>
    <x v="6"/>
    <s v="FOURNISSEURS"/>
    <s v="AC"/>
    <n v="-36000"/>
    <d v="2025-02-28T00:00:00"/>
    <s v="MISSION B. LAJUGIE - FEVRIER 2025"/>
    <s v="Non"/>
    <s v="Non"/>
    <e v="#N/A"/>
    <n v="61568"/>
    <s v="8743-1534-4"/>
    <s v="INSIDE MANAGEMENT"/>
    <s v="Q1"/>
    <e v="#REF!"/>
    <e v="#REF!"/>
    <e v="#REF!"/>
  </r>
  <r>
    <s v="401000"/>
    <x v="6"/>
    <s v="FOURNISSEURS"/>
    <s v="AC"/>
    <n v="-36000"/>
    <d v="2025-04-30T00:00:00"/>
    <s v="INSIDE AVRIL 2025"/>
    <s v="Non"/>
    <s v="Non"/>
    <e v="#N/A"/>
    <n v="73749"/>
    <s v="8743-1561-6"/>
    <s v="INSIDE MANAGEMENT"/>
    <s v="Q2"/>
    <e v="#REF!"/>
    <e v="#REF!"/>
    <e v="#REF!"/>
  </r>
  <r>
    <s v="401000"/>
    <x v="6"/>
    <s v="FOURNISSEURS"/>
    <s v="AC"/>
    <n v="-36000"/>
    <d v="2025-11-07T00:00:00"/>
    <s v="AGREEMENT VII - VBIO 15M3 + 35L"/>
    <s v="Non"/>
    <e v="#N/A"/>
    <e v="#N/A"/>
    <n v="91105"/>
    <s v="91250190"/>
    <s v="BIOTIKA"/>
    <s v="Q4"/>
    <e v="#REF!"/>
    <e v="#REF!"/>
    <e v="#REF!"/>
  </r>
  <r>
    <s v="401000"/>
    <x v="6"/>
    <s v="FOURNISSEURS"/>
    <s v="AC"/>
    <n v="-34000"/>
    <d v="2025-06-30T00:00:00"/>
    <s v="PHOENIX III REPORT"/>
    <s v="Non"/>
    <e v="#N/A"/>
    <e v="#N/A"/>
    <n v="78881"/>
    <s v="91250094"/>
    <s v="BIOTIKA"/>
    <s v="Q2"/>
    <e v="#REF!"/>
    <e v="#REF!"/>
    <e v="#REF!"/>
  </r>
  <r>
    <s v="401000"/>
    <x v="6"/>
    <s v="FOURNISSEURS"/>
    <s v="AC"/>
    <n v="-31200"/>
    <d v="2025-07-17T00:00:00"/>
    <s v="CHAUFFAGE / CLIMATISATION LABORATOIRE + APPORT D'AIR LABORATOIRE"/>
    <s v="Non"/>
    <e v="#N/A"/>
    <e v="#N/A"/>
    <n v="81326"/>
    <s v="FC6781"/>
    <s v="LOPEZ PLOMBERIE ELECTRICITE"/>
    <s v="Q3"/>
    <e v="#REF!"/>
    <e v="#REF!"/>
    <e v="#REF!"/>
  </r>
  <r>
    <s v="401000"/>
    <x v="6"/>
    <s v="FOURNISSEURS"/>
    <s v="AC"/>
    <n v="-30840"/>
    <d v="2025-05-31T00:00:00"/>
    <s v="LICENCES DOTMATICS 2026 - 1 READ ONLY - 21 CHEMISTRY - 7 BIOREGISTER"/>
    <s v="Non"/>
    <e v="#N/A"/>
    <e v="#N/A"/>
    <n v="75186"/>
    <s v="INV24946"/>
    <s v="DOTMATICS LIMITED"/>
    <s v="Q2"/>
    <e v="#REF!"/>
    <e v="#REF!"/>
    <e v="#REF!"/>
  </r>
  <r>
    <s v="401000"/>
    <x v="6"/>
    <s v="FOURNISSEURS"/>
    <s v="AC"/>
    <n v="-30000"/>
    <d v="2025-01-01T00:00:00"/>
    <s v="PRESTATION CIFRE N° 2021/1540 CNAM P ZIMBERLIN 2024 #3/3"/>
    <m/>
    <e v="#N/A"/>
    <e v="#N/A"/>
    <n v="73607"/>
    <s v="240011005"/>
    <s v="CNAM"/>
    <s v="Q1"/>
    <e v="#REF!"/>
    <e v="#REF!"/>
    <e v="#REF!"/>
  </r>
  <r>
    <s v="401000"/>
    <x v="6"/>
    <s v="FOURNISSEURS"/>
    <s v="AC"/>
    <n v="-29224.03"/>
    <d v="2025-09-16T00:00:00"/>
    <s v="TAXE FONCIERE"/>
    <m/>
    <e v="#N/A"/>
    <e v="#N/A"/>
    <n v="82720"/>
    <s v="023692"/>
    <s v="LIBERTY PM"/>
    <s v="Q3"/>
    <e v="#REF!"/>
    <e v="#REF!"/>
    <e v="#REF!"/>
  </r>
  <r>
    <s v="401000"/>
    <x v="6"/>
    <s v="FOURNISSEURS"/>
    <s v="AC"/>
    <n v="-29000"/>
    <d v="2025-08-14T00:00:00"/>
    <s v="DEVELOPMENT AGREEMENT PHOENIX V"/>
    <s v="Non"/>
    <e v="#N/A"/>
    <e v="#N/A"/>
    <n v="81344"/>
    <s v="91250131"/>
    <s v="BIOTIKA"/>
    <s v="Q3"/>
    <e v="#REF!"/>
    <e v="#REF!"/>
    <e v="#REF!"/>
  </r>
  <r>
    <s v="401000"/>
    <x v="6"/>
    <s v="FOURNISSEURS"/>
    <s v="AC"/>
    <n v="-28198.799999999999"/>
    <d v="2025-11-18T00:00:00"/>
    <s v="PRODUCTION CAMPAGNE 2025 - LOT RÉSIDUEL"/>
    <s v="Non"/>
    <e v="#N/A"/>
    <n v="0"/>
    <n v="94880"/>
    <s v="FC250231"/>
    <s v="INTEROR"/>
    <s v="Q4"/>
    <e v="#REF!"/>
    <e v="#REF!"/>
    <e v="#REF!"/>
  </r>
  <r>
    <s v="401000"/>
    <x v="6"/>
    <s v="FOURNISSEURS"/>
    <s v="AC"/>
    <n v="-28000"/>
    <d v="2025-05-26T00:00:00"/>
    <s v="INVOICING AFTER FINISHING OF 2TRIALS IN 30L FERMENTER  INVOICING AFTER 3RD TRIAL IN LABORATORY FERMENTER"/>
    <s v="Non"/>
    <e v="#N/A"/>
    <e v="#N/A"/>
    <n v="75163"/>
    <s v="91250072"/>
    <s v="BIOTIKA"/>
    <s v="Q2"/>
    <e v="#REF!"/>
    <e v="#REF!"/>
    <e v="#REF!"/>
  </r>
  <r>
    <s v="401000"/>
    <x v="6"/>
    <s v="FOURNISSEURS"/>
    <s v="AC"/>
    <n v="-27788.69"/>
    <d v="2025-04-01T00:00:00"/>
    <s v="FIRST TRIAL OF INDIGO PRODUCTION ACTUAL CONSUMPTION OF RAW MATERIAL"/>
    <s v="Non"/>
    <e v="#N/A"/>
    <e v="#N/A"/>
    <n v="68980"/>
    <s v="91250029"/>
    <s v="BIOTIKA"/>
    <s v="Q2"/>
    <e v="#REF!"/>
    <e v="#REF!"/>
    <e v="#REF!"/>
  </r>
  <r>
    <s v="401000"/>
    <x v="6"/>
    <s v="FOURNISSEURS"/>
    <s v="AC"/>
    <n v="-27782.3"/>
    <d v="2025-07-10T00:00:00"/>
    <s v="LICENCES SCIFINDER"/>
    <m/>
    <e v="#N/A"/>
    <e v="#N/A"/>
    <n v="81210"/>
    <s v="91148976"/>
    <s v="AMERICAN CHEMICAL SOCIETY"/>
    <s v="Q3"/>
    <e v="#REF!"/>
    <e v="#REF!"/>
    <e v="#REF!"/>
  </r>
  <r>
    <s v="401000"/>
    <x v="6"/>
    <s v="FOURNISSEURS"/>
    <s v="AC"/>
    <n v="-25470"/>
    <d v="2025-01-01T00:00:00"/>
    <s v="Immos en cours AIGP"/>
    <m/>
    <e v="#N/A"/>
    <e v="#N/A"/>
    <n v="74880"/>
    <m/>
    <s v="AIGP INGENIERIE"/>
    <s v="Q1"/>
    <e v="#REF!"/>
    <e v="#REF!"/>
    <e v="#REF!"/>
  </r>
  <r>
    <s v="401000"/>
    <x v="6"/>
    <s v="FOURNISSEURS"/>
    <s v="AC"/>
    <n v="-24876"/>
    <d v="2025-05-26T00:00:00"/>
    <s v="COMMISSION D'ARRANGEMENT CIR 2024 + LEYTON FRAIS D'AUDIT CIR 2024"/>
    <s v="Non"/>
    <s v="Non"/>
    <e v="#N/A"/>
    <n v="87262"/>
    <s v="202505-4176"/>
    <s v="NEFTYS"/>
    <s v="Q2"/>
    <e v="#REF!"/>
    <e v="#REF!"/>
    <e v="#REF!"/>
  </r>
  <r>
    <s v="401000"/>
    <x v="6"/>
    <s v="FOURNISSEURS"/>
    <s v="AC"/>
    <n v="-24772.68"/>
    <d v="2025-01-31T00:00:00"/>
    <s v="FACTURE OSIRIS JANVIER 25"/>
    <s v="Non"/>
    <s v="Non"/>
    <e v="#N/A"/>
    <n v="61369"/>
    <s v="93812200"/>
    <s v="OSIRIS"/>
    <s v="Q1"/>
    <e v="#REF!"/>
    <e v="#REF!"/>
    <e v="#REF!"/>
  </r>
  <r>
    <s v="401000"/>
    <x v="6"/>
    <s v="FOURNISSEURS"/>
    <s v="AC"/>
    <n v="-24562.880000000001"/>
    <d v="2025-02-12T00:00:00"/>
    <s v="HONORAIRES DUS À LA REMISE DU MÉMORANDUM"/>
    <s v="Non"/>
    <s v="Non"/>
    <e v="#N/A"/>
    <n v="61466"/>
    <s v="2502-04"/>
    <s v="AURIGNAC FINANCE"/>
    <s v="Q1"/>
    <e v="#REF!"/>
    <e v="#REF!"/>
    <e v="#REF!"/>
  </r>
  <r>
    <s v="401000"/>
    <x v="6"/>
    <s v="FOURNISSEURS"/>
    <s v="AC"/>
    <n v="-24000"/>
    <d v="2025-08-12T00:00:00"/>
    <s v="POENIX V2020 - LOCATION FILTRE PRESSE 2024"/>
    <s v="Non"/>
    <e v="#N/A"/>
    <n v="0"/>
    <n v="81796"/>
    <s v="FC250147"/>
    <s v="INTEROR"/>
    <s v="Q3"/>
    <e v="#REF!"/>
    <e v="#REF!"/>
    <e v="#REF!"/>
  </r>
  <r>
    <s v="401000"/>
    <x v="6"/>
    <s v="FOURNISSEURS"/>
    <s v="AC"/>
    <n v="-23891"/>
    <d v="2025-02-17T00:00:00"/>
    <s v="ADJUSTMENT OF PART OF FERMENTATION LINE"/>
    <s v="Non"/>
    <e v="#N/A"/>
    <e v="#N/A"/>
    <n v="61508"/>
    <s v="91250007"/>
    <s v="BIOTIKA"/>
    <s v="Q1"/>
    <e v="#REF!"/>
    <e v="#REF!"/>
    <e v="#REF!"/>
  </r>
  <r>
    <s v="401000"/>
    <x v="6"/>
    <s v="FOURNISSEURS"/>
    <s v="AC"/>
    <n v="-23891"/>
    <d v="2025-02-17T00:00:00"/>
    <s v="ADJUSTMENT OF PART OF FERMENTATION LINE"/>
    <s v="Non"/>
    <e v="#N/A"/>
    <e v="#N/A"/>
    <n v="95549"/>
    <s v="91250007"/>
    <s v="BIOTIKA"/>
    <s v="Q1"/>
    <e v="#REF!"/>
    <e v="#REF!"/>
    <e v="#REF!"/>
  </r>
  <r>
    <s v="401000"/>
    <x v="6"/>
    <s v="FOURNISSEURS"/>
    <s v="AC"/>
    <n v="-23458.41"/>
    <d v="2025-03-07T00:00:00"/>
    <s v="LOYER INSA TWB - 2024"/>
    <m/>
    <e v="#N/A"/>
    <e v="#N/A"/>
    <n v="68970"/>
    <s v="FAR-2025-000149"/>
    <m/>
    <s v="Q1"/>
    <e v="#REF!"/>
    <e v="#REF!"/>
    <e v="#REF!"/>
  </r>
  <r>
    <s v="401000"/>
    <x v="6"/>
    <s v="FOURNISSEURS"/>
    <s v="AC"/>
    <n v="-23400"/>
    <d v="2025-05-31T00:00:00"/>
    <s v="MISSION B. LAJUGIE - mai 2025"/>
    <s v="Non"/>
    <s v="Non"/>
    <e v="#N/A"/>
    <n v="75471"/>
    <s v="8743-1579-7"/>
    <s v="INSIDE MANAGEMENT"/>
    <s v="Q2"/>
    <e v="#REF!"/>
    <e v="#REF!"/>
    <e v="#REF!"/>
  </r>
  <r>
    <s v="401000"/>
    <x v="6"/>
    <s v="FOURNISSEURS"/>
    <s v="AC"/>
    <n v="-22766.02"/>
    <d v="2025-01-29T00:00:00"/>
    <s v="ETUDES ÉLECTRICITÉ / UTILITÉS TRAVAUX DÉMONSTRATEUR"/>
    <s v="Non"/>
    <s v="Non"/>
    <e v="#N/A"/>
    <n v="61329"/>
    <s v="1800003237"/>
    <s v="OSIRIS"/>
    <s v="Q1"/>
    <e v="#REF!"/>
    <e v="#REF!"/>
    <e v="#REF!"/>
  </r>
  <r>
    <s v="401000"/>
    <x v="6"/>
    <s v="FOURNISSEURS"/>
    <s v="AC"/>
    <n v="-22050"/>
    <d v="2025-04-30T00:00:00"/>
    <s v="PRESTATION DE SERVICES, AVRIL 2025"/>
    <s v="Non"/>
    <s v="Non"/>
    <e v="#N/A"/>
    <n v="81311"/>
    <s v="F2025040078"/>
    <s v="QWINCY"/>
    <s v="Q2"/>
    <e v="#REF!"/>
    <e v="#REF!"/>
    <e v="#REF!"/>
  </r>
  <r>
    <s v="401000"/>
    <x v="6"/>
    <s v="FOURNISSEURS"/>
    <s v="AC"/>
    <n v="-20700"/>
    <d v="2025-01-01T00:00:00"/>
    <s v="INSIDE DÉCEMBRE"/>
    <s v="Non"/>
    <s v="Non"/>
    <e v="#N/A"/>
    <n v="68950"/>
    <s v="8743-1513-2"/>
    <s v="INSIDE MANAGEMENT"/>
    <s v="Q1"/>
    <e v="#REF!"/>
    <e v="#REF!"/>
    <e v="#REF!"/>
  </r>
  <r>
    <s v="401000"/>
    <x v="6"/>
    <s v="FOURNISSEURS"/>
    <s v="AC"/>
    <n v="-20000"/>
    <d v="2025-04-14T00:00:00"/>
    <s v="1ST INSTALLMENT AFTER SIGN OF AGREEMENT"/>
    <s v="Non"/>
    <e v="#N/A"/>
    <e v="#N/A"/>
    <n v="69792"/>
    <s v="91250037"/>
    <s v="BIOTIKA"/>
    <s v="Q2"/>
    <e v="#REF!"/>
    <e v="#REF!"/>
    <e v="#REF!"/>
  </r>
  <r>
    <s v="401000"/>
    <x v="6"/>
    <s v="FOURNISSEURS"/>
    <s v="AC"/>
    <n v="-18865.419999999998"/>
    <d v="2025-11-04T00:00:00"/>
    <s v="CONSEIL ET ASSISTANCE CONFORMÉMENT À LA LETTRE DE MISSION POUR LA PÉRIODE DU 1ER AU 31 OCTOBRE 2025"/>
    <s v="Non"/>
    <s v="Non"/>
    <e v="#N/A"/>
    <n v="89920"/>
    <s v="C20251003"/>
    <s v="ALTAIR AVOCATS"/>
    <s v="Q4"/>
    <e v="#REF!"/>
    <e v="#REF!"/>
    <e v="#REF!"/>
  </r>
  <r>
    <s v="401000"/>
    <x v="6"/>
    <s v="FOURNISSEURS"/>
    <s v="AC"/>
    <n v="-18000"/>
    <d v="2025-12-23T00:00:00"/>
    <s v="FRAIS DE MISE EN LIGNE"/>
    <s v="Non"/>
    <s v="Non"/>
    <e v="#N/A"/>
    <n v="93654"/>
    <s v="F-2025-445"/>
    <s v="SOWEFUND"/>
    <s v="Q4"/>
    <e v="#REF!"/>
    <e v="#REF!"/>
    <e v="#REF!"/>
  </r>
  <r>
    <s v="401000"/>
    <x v="6"/>
    <s v="FOURNISSEURS"/>
    <s v="AC"/>
    <n v="-17930.740000000002"/>
    <d v="2025-12-16T00:00:00"/>
    <s v="DROITS D'UTILISATION ANNUELS SAGE"/>
    <m/>
    <s v="Non"/>
    <e v="#N/A"/>
    <n v="93605"/>
    <s v="FAP11604"/>
    <s v="AXE GESCOM"/>
    <s v="Q4"/>
    <e v="#REF!"/>
    <e v="#REF!"/>
    <e v="#REF!"/>
  </r>
  <r>
    <s v="401000"/>
    <x v="6"/>
    <s v="FOURNISSEURS"/>
    <s v="AC"/>
    <n v="-17444"/>
    <d v="2025-07-16T00:00:00"/>
    <s v="SYNTHÈSE ET DÉVELOPPEMENT DE 1KG-V2 DE 2-CBA - KEENB"/>
    <m/>
    <e v="#N/A"/>
    <e v="#N/A"/>
    <n v="81751"/>
    <s v="INV/2025/00193"/>
    <s v="Taros Chemicals GmbH &amp; Co. KG"/>
    <s v="Q3"/>
    <e v="#REF!"/>
    <e v="#REF!"/>
    <e v="#REF!"/>
  </r>
  <r>
    <s v="401000"/>
    <x v="6"/>
    <s v="FOURNISSEURS"/>
    <s v="AC"/>
    <n v="-17444"/>
    <d v="2025-07-16T00:00:00"/>
    <s v="SYNTHÈSE ET DÉVELOPPEMENT DE 1KG-V2 DE 2-CBA - KEENB"/>
    <m/>
    <e v="#N/A"/>
    <e v="#N/A"/>
    <n v="87179"/>
    <s v="INV/2025/00193"/>
    <s v="Taros Chemicals GmbH &amp; Co. KG"/>
    <s v="Q3"/>
    <e v="#REF!"/>
    <e v="#REF!"/>
    <e v="#REF!"/>
  </r>
  <r>
    <s v="401000"/>
    <x v="6"/>
    <s v="FOURNISSEURS"/>
    <s v="AC"/>
    <n v="-17443"/>
    <d v="2025-09-16T00:00:00"/>
    <s v="DÉV ET SYNTHÈSE INTERMÉDIAIRE KEENB KG-SCALE - 2E PARTIE"/>
    <m/>
    <e v="#N/A"/>
    <e v="#N/A"/>
    <n v="85117"/>
    <s v="INV/2025/00261"/>
    <s v="Taros Chemicals GmbH &amp; Co. KG"/>
    <s v="Q3"/>
    <e v="#REF!"/>
    <e v="#REF!"/>
    <e v="#REF!"/>
  </r>
  <r>
    <s v="401000"/>
    <x v="6"/>
    <s v="FOURNISSEURS"/>
    <s v="AC"/>
    <n v="-17107.8"/>
    <d v="2025-02-28T00:00:00"/>
    <s v="AXE MAINTENANCE ÉVOLUTIVE ET CORRECTIVE SAGE L1K (PATCHES...) ASSISTANCE PLATINIUM (SERVICE DÉDIÉ, TÉLÉMAINTENANCE)"/>
    <m/>
    <s v="Non"/>
    <e v="#N/A"/>
    <n v="61580"/>
    <s v="FAP10636"/>
    <s v="AXE GESCOM"/>
    <s v="Q1"/>
    <e v="#REF!"/>
    <e v="#REF!"/>
    <e v="#REF!"/>
  </r>
  <r>
    <s v="401000"/>
    <x v="6"/>
    <s v="FOURNISSEURS"/>
    <s v="AC"/>
    <n v="-16824"/>
    <d v="2025-03-18T00:00:00"/>
    <s v="ETUDES R&amp;D FLUX CONTINU - PARTIE 1 - ACTIVATION"/>
    <m/>
    <e v="#N/A"/>
    <e v="#N/A"/>
    <n v="67854"/>
    <s v="25/03/123/142"/>
    <s v="ACTIVATION"/>
    <s v="Q1"/>
    <e v="#REF!"/>
    <e v="#REF!"/>
    <e v="#REF!"/>
  </r>
  <r>
    <s v="401000"/>
    <x v="6"/>
    <s v="FOURNISSEURS"/>
    <s v="AC"/>
    <n v="-15848.51"/>
    <d v="2025-02-28T00:00:00"/>
    <s v="BROYAGE  AMORTISSEUR DU BROYEUR"/>
    <s v="Non"/>
    <e v="#N/A"/>
    <n v="0"/>
    <n v="68967"/>
    <s v="FC250033"/>
    <s v="INTEROR"/>
    <s v="Q1"/>
    <e v="#REF!"/>
    <e v="#REF!"/>
    <e v="#REF!"/>
  </r>
  <r>
    <s v="401000"/>
    <x v="6"/>
    <s v="FOURNISSEURS"/>
    <s v="AC"/>
    <n v="-15840"/>
    <d v="2025-08-29T00:00:00"/>
    <s v="DEMO : ÉCHANGEURS VAPEUR / FLUIDE THERMIQUE (SKIDS THERMIQUES RÉACTEURS) + CONDENSEURS  PAIEMENT : 30% À LA COMMANDE (SEPTEMBRE)"/>
    <s v="Non"/>
    <e v="#N/A"/>
    <e v="#N/A"/>
    <n v="81877"/>
    <s v="VE000170"/>
    <s v="KAPP"/>
    <s v="Q3"/>
    <e v="#REF!"/>
    <e v="#REF!"/>
    <e v="#REF!"/>
  </r>
  <r>
    <s v="401000"/>
    <x v="6"/>
    <s v="FOURNISSEURS"/>
    <s v="AC"/>
    <n v="-14205.23"/>
    <d v="2025-05-05T00:00:00"/>
    <s v="MISSION CIR 2024"/>
    <s v="Non"/>
    <s v="Non"/>
    <e v="#N/A"/>
    <n v="72686"/>
    <s v="F-2025-4258"/>
    <s v="BUSINOVE"/>
    <s v="Q2"/>
    <e v="#REF!"/>
    <e v="#REF!"/>
    <e v="#REF!"/>
  </r>
  <r>
    <s v="401000"/>
    <x v="6"/>
    <s v="FOURNISSEURS"/>
    <s v="AC"/>
    <n v="-13800"/>
    <d v="2025-07-09T00:00:00"/>
    <s v="MP POUR FERMENTATION VBIO"/>
    <m/>
    <e v="#N/A"/>
    <e v="#N/A"/>
    <n v="81320"/>
    <s v="910004128"/>
    <s v="Eurolysine"/>
    <s v="Q3"/>
    <e v="#REF!"/>
    <e v="#REF!"/>
    <e v="#REF!"/>
  </r>
  <r>
    <s v="401000"/>
    <x v="6"/>
    <s v="FOURNISSEURS"/>
    <s v="AC"/>
    <n v="-13500"/>
    <d v="2025-06-30T00:00:00"/>
    <s v="MISSION B. LAJUGIE - JUIN 2025"/>
    <s v="Non"/>
    <s v="Non"/>
    <e v="#N/A"/>
    <n v="77311"/>
    <s v="8743-1591-8"/>
    <s v="INSIDE MANAGEMENT"/>
    <s v="Q2"/>
    <e v="#REF!"/>
    <e v="#REF!"/>
    <e v="#REF!"/>
  </r>
  <r>
    <s v="401000"/>
    <x v="6"/>
    <s v="FOURNISSEURS"/>
    <s v="AC"/>
    <n v="-13089.52"/>
    <d v="2025-10-31T00:00:00"/>
    <s v="DIVERS OSIRIS OCTOBRE 25"/>
    <s v="Non"/>
    <s v="Non"/>
    <e v="#N/A"/>
    <n v="89901"/>
    <s v="93814026"/>
    <s v="OSIRIS"/>
    <s v="Q4"/>
    <e v="#REF!"/>
    <e v="#REF!"/>
    <e v="#REF!"/>
  </r>
  <r>
    <s v="401000"/>
    <x v="6"/>
    <s v="FOURNISSEURS"/>
    <s v="AC"/>
    <n v="-13068"/>
    <d v="2025-02-20T00:00:00"/>
    <s v="PRESTATION RÉALISÉE À DISTANCE PAR UN CONSULTANT  L1K, LA JOURNÉE FI FICHE D'INTERVENTION DU 03 AU 19/02/25 SOIT 70H  PAR M. CAS"/>
    <m/>
    <s v="Non"/>
    <e v="#N/A"/>
    <n v="61533"/>
    <s v="FAP10625"/>
    <s v="AXE GESCOM"/>
    <s v="Q1"/>
    <e v="#REF!"/>
    <e v="#REF!"/>
    <e v="#REF!"/>
  </r>
  <r>
    <s v="401000"/>
    <x v="6"/>
    <s v="FOURNISSEURS"/>
    <s v="AC"/>
    <n v="-13000"/>
    <d v="2025-02-18T00:00:00"/>
    <s v="2ND INSTALLMENT AFTER FINISHING OF 3 LABORATORY TRIAL"/>
    <s v="Non"/>
    <e v="#N/A"/>
    <e v="#N/A"/>
    <n v="61519"/>
    <s v="91250008"/>
    <s v="BIOTIKA"/>
    <s v="Q1"/>
    <e v="#REF!"/>
    <e v="#REF!"/>
    <e v="#REF!"/>
  </r>
  <r>
    <s v="401000"/>
    <x v="6"/>
    <s v="FOURNISSEURS"/>
    <s v="AC"/>
    <n v="-13000"/>
    <d v="2025-02-18T00:00:00"/>
    <s v="2ND INSTALLMENT AFTER FINISHING OF 3 LABORATORY TRIAL"/>
    <s v="Non"/>
    <e v="#N/A"/>
    <e v="#N/A"/>
    <n v="95541"/>
    <s v="91250008"/>
    <s v="BIOTIKA"/>
    <s v="Q1"/>
    <e v="#REF!"/>
    <e v="#REF!"/>
    <e v="#REF!"/>
  </r>
  <r>
    <s v="401000"/>
    <x v="6"/>
    <s v="FOURNISSEURS"/>
    <s v="AC"/>
    <n v="-12910.19"/>
    <d v="2025-06-29T00:00:00"/>
    <s v="COMMISSARIAT AUX COMPTES AU TITRE DE L'EXERCICE CLOS LE 31 DÉCEMBRE 2024 - SOLDE"/>
    <m/>
    <e v="#N/A"/>
    <e v="#N/A"/>
    <n v="76753"/>
    <s v="E002VPR-25-06-2158"/>
    <m/>
    <s v="Q2"/>
    <e v="#REF!"/>
    <e v="#REF!"/>
    <e v="#REF!"/>
  </r>
  <r>
    <s v="401000"/>
    <x v="6"/>
    <s v="FOURNISSEURS"/>
    <s v="AC"/>
    <n v="-12129.4"/>
    <d v="2025-02-28T00:00:00"/>
    <s v="LABORATOIRE 02/2025 BTR 02/2025 FORFAIT 02/2025 SUITE SIGNATURE CONTRAT MOU"/>
    <s v="Non"/>
    <s v="Non"/>
    <e v="#N/A"/>
    <n v="64066"/>
    <s v="93812419"/>
    <s v="OSIRIS"/>
    <s v="Q1"/>
    <e v="#REF!"/>
    <e v="#REF!"/>
    <e v="#REF!"/>
  </r>
  <r>
    <s v="401000"/>
    <x v="6"/>
    <s v="FOURNISSEURS"/>
    <s v="AC"/>
    <n v="-12000"/>
    <d v="2025-04-09T00:00:00"/>
    <s v="COMMISSARIAT AUX COMPTES AU TITRE DE L'EXERCICE CLOS LE 31 DÉCEMBRE 2024"/>
    <m/>
    <e v="#N/A"/>
    <e v="#N/A"/>
    <n v="69760"/>
    <s v="E002VPR-25-04-0564"/>
    <m/>
    <s v="Q2"/>
    <e v="#REF!"/>
    <e v="#REF!"/>
    <e v="#REF!"/>
  </r>
  <r>
    <s v="401000"/>
    <x v="6"/>
    <s v="FOURNISSEURS"/>
    <s v="AC"/>
    <n v="-11971.8"/>
    <d v="2025-07-08T00:00:00"/>
    <s v="Projet vidéo Pili"/>
    <m/>
    <e v="#N/A"/>
    <e v="#N/A"/>
    <n v="81272"/>
    <s v="2025 / 96"/>
    <s v="HIPOLITO"/>
    <s v="Q3"/>
    <e v="#REF!"/>
    <e v="#REF!"/>
    <e v="#REF!"/>
  </r>
  <r>
    <s v="401000"/>
    <x v="6"/>
    <s v="FOURNISSEURS"/>
    <s v="AC"/>
    <n v="-11888.69"/>
    <d v="2025-11-30T00:00:00"/>
    <s v="DIVERS OSIRIS"/>
    <s v="Non"/>
    <s v="Non"/>
    <e v="#N/A"/>
    <n v="92189"/>
    <s v="93814241"/>
    <s v="OSIRIS"/>
    <s v="Q4"/>
    <e v="#REF!"/>
    <e v="#REF!"/>
    <e v="#REF!"/>
  </r>
  <r>
    <s v="401000"/>
    <x v="6"/>
    <s v="FOURNISSEURS"/>
    <s v="AC"/>
    <n v="-11880"/>
    <d v="2025-01-20T00:00:00"/>
    <s v="PAIEMENT ANTICIPÉ  MP POUR PRODUCTION CDMO BIOTECHNOLOGIE"/>
    <m/>
    <e v="#N/A"/>
    <e v="#N/A"/>
    <n v="61281"/>
    <s v="910001754"/>
    <s v="Eurolysine"/>
    <s v="Q1"/>
    <e v="#REF!"/>
    <e v="#REF!"/>
    <e v="#REF!"/>
  </r>
  <r>
    <s v="401000"/>
    <x v="6"/>
    <s v="FOURNISSEURS"/>
    <s v="AC"/>
    <n v="-11578.3"/>
    <d v="2025-09-03T00:00:00"/>
    <s v="ETUDE ET DÉPÔT BREVET PHOENIX VBIO"/>
    <s v="Non"/>
    <s v="Oui"/>
    <e v="#N/A"/>
    <n v="82315"/>
    <s v="254096"/>
    <s v="BECKER"/>
    <s v="Q3"/>
    <e v="#REF!"/>
    <e v="#REF!"/>
    <e v="#REF!"/>
  </r>
  <r>
    <s v="401000"/>
    <x v="6"/>
    <s v="FOURNISSEURS"/>
    <s v="AC"/>
    <n v="-11554.52"/>
    <d v="2025-09-30T00:00:00"/>
    <s v="DIVERS OSIRIS FACTURE MENSUELLE"/>
    <s v="Non"/>
    <s v="Non"/>
    <e v="#N/A"/>
    <n v="85139"/>
    <s v="93813825"/>
    <s v="OSIRIS"/>
    <s v="Q3"/>
    <e v="#REF!"/>
    <e v="#REF!"/>
    <e v="#REF!"/>
  </r>
  <r>
    <s v="401000"/>
    <x v="6"/>
    <s v="FOURNISSEURS"/>
    <s v="AC"/>
    <n v="-11448"/>
    <d v="2025-12-16T00:00:00"/>
    <s v="HÉBERGEMENT AXE CLOUD SERVEUR"/>
    <m/>
    <s v="Non"/>
    <e v="#N/A"/>
    <n v="93602"/>
    <s v="FAP11606"/>
    <s v="AXE GESCOM"/>
    <s v="Q4"/>
    <e v="#REF!"/>
    <e v="#REF!"/>
    <e v="#REF!"/>
  </r>
  <r>
    <s v="401000"/>
    <x v="6"/>
    <s v="FOURNISSEURS"/>
    <s v="AC"/>
    <n v="-11256"/>
    <d v="2025-03-18T00:00:00"/>
    <s v="ETUDES R&amp;D FLUX CONTINU - PARTIE 2 - ACTIVATION (HORS TEST SUR 48H)"/>
    <m/>
    <e v="#N/A"/>
    <e v="#N/A"/>
    <n v="67851"/>
    <s v="25/03/124/143"/>
    <s v="ACTIVATION"/>
    <s v="Q1"/>
    <e v="#REF!"/>
    <e v="#REF!"/>
    <e v="#REF!"/>
  </r>
  <r>
    <s v="401000"/>
    <x v="6"/>
    <s v="FOURNISSEURS"/>
    <s v="AC"/>
    <n v="-11140.7"/>
    <d v="2025-09-20T00:00:00"/>
    <s v="SIRH"/>
    <m/>
    <e v="#N/A"/>
    <e v="#N/A"/>
    <n v="82765"/>
    <s v="IN-20250920-010001-03806"/>
    <s v="EURECIA"/>
    <s v="Q3"/>
    <e v="#REF!"/>
    <e v="#REF!"/>
    <e v="#REF!"/>
  </r>
  <r>
    <s v="401000"/>
    <x v="6"/>
    <s v="FOURNISSEURS"/>
    <s v="AC"/>
    <n v="-11010.24"/>
    <d v="2025-12-31T00:00:00"/>
    <s v="DIVERS OSIRIS DÉCEMBRE 25"/>
    <s v="Non"/>
    <s v="Non"/>
    <e v="#N/A"/>
    <n v="96078"/>
    <s v="93814456"/>
    <s v="OSIRIS"/>
    <s v="Q4"/>
    <e v="#REF!"/>
    <e v="#REF!"/>
    <e v="#REF!"/>
  </r>
  <r>
    <s v="401000"/>
    <x v="6"/>
    <s v="FOURNISSEURS"/>
    <s v="AC"/>
    <n v="-10861.31"/>
    <d v="2025-07-31T00:00:00"/>
    <s v="DIVERS OSIRIS JUILLET 25"/>
    <s v="Non"/>
    <s v="Non"/>
    <e v="#N/A"/>
    <n v="81764"/>
    <s v="93813439"/>
    <s v="OSIRIS"/>
    <s v="Q3"/>
    <e v="#REF!"/>
    <e v="#REF!"/>
    <e v="#REF!"/>
  </r>
  <r>
    <s v="401000"/>
    <x v="6"/>
    <s v="FOURNISSEURS"/>
    <s v="AC"/>
    <n v="-10715"/>
    <d v="2025-04-29T00:00:00"/>
    <s v="FIN DE LA SYNTHÈSE ET DÉVELOPPEMENT DE 1KG CYANOBENZOIC ACID - KEENB"/>
    <m/>
    <e v="#N/A"/>
    <e v="#N/A"/>
    <n v="76096"/>
    <s v="INV/2025/00106"/>
    <s v="Taros Chemicals GmbH &amp; Co. KG"/>
    <s v="Q2"/>
    <e v="#REF!"/>
    <e v="#REF!"/>
    <e v="#REF!"/>
  </r>
  <r>
    <s v="401000"/>
    <x v="6"/>
    <s v="FOURNISSEURS"/>
    <s v="AC"/>
    <n v="-10714"/>
    <d v="2025-02-26T00:00:00"/>
    <s v="SYNTHÈSE ET DÉVELOPPEMENT DE 1KG CYANOBENZOIC ACID - KEENB"/>
    <m/>
    <e v="#N/A"/>
    <e v="#N/A"/>
    <n v="64123"/>
    <s v="INV/2025/00046"/>
    <s v="Taros Chemicals GmbH &amp; Co. KG"/>
    <s v="Q1"/>
    <e v="#REF!"/>
    <e v="#REF!"/>
    <e v="#REF!"/>
  </r>
  <r>
    <s v="401000"/>
    <x v="6"/>
    <s v="FOURNISSEURS"/>
    <s v="AC"/>
    <n v="-10677.6"/>
    <d v="2025-02-28T00:00:00"/>
    <s v="INDIGO STADE 2"/>
    <s v="Non"/>
    <e v="#N/A"/>
    <n v="0"/>
    <n v="67821"/>
    <s v="FC250032"/>
    <s v="INTEROR"/>
    <s v="Q1"/>
    <e v="#REF!"/>
    <e v="#REF!"/>
    <e v="#REF!"/>
  </r>
  <r>
    <s v="401000"/>
    <x v="6"/>
    <s v="FOURNISSEURS"/>
    <s v="AC"/>
    <n v="-10518.86"/>
    <d v="2025-08-31T00:00:00"/>
    <s v="DIVERS OSIRIS AOUT"/>
    <s v="Non"/>
    <s v="Non"/>
    <e v="#N/A"/>
    <n v="81835"/>
    <s v="93813582"/>
    <s v="OSIRIS"/>
    <s v="Q3"/>
    <e v="#REF!"/>
    <e v="#REF!"/>
    <e v="#REF!"/>
  </r>
  <r>
    <s v="401000"/>
    <x v="6"/>
    <s v="FOURNISSEURS"/>
    <s v="AC"/>
    <n v="-10380"/>
    <d v="2025-11-03T00:00:00"/>
    <s v="SOIRÉE DES 10 ANS PILI"/>
    <m/>
    <e v="#N/A"/>
    <e v="#N/A"/>
    <n v="89917"/>
    <s v="FACT-20251103-23126"/>
    <s v="Kymono"/>
    <s v="Q4"/>
    <e v="#REF!"/>
    <e v="#REF!"/>
    <e v="#REF!"/>
  </r>
  <r>
    <s v="401000"/>
    <x v="6"/>
    <s v="FOURNISSEURS"/>
    <s v="AC"/>
    <n v="-10200"/>
    <d v="2025-01-20T00:00:00"/>
    <s v="ANALYSE MACHINE LEARNING DU STEP 1 DE PHOENIX V2020"/>
    <s v="Non"/>
    <e v="#N/A"/>
    <e v="#N/A"/>
    <n v="61286"/>
    <s v="F-2025-01-20-01"/>
    <s v="MAMA DATA"/>
    <s v="Q1"/>
    <e v="#REF!"/>
    <e v="#REF!"/>
    <e v="#REF!"/>
  </r>
  <r>
    <s v="401000"/>
    <x v="6"/>
    <s v="FOURNISSEURS"/>
    <s v="AC"/>
    <n v="-10093.799999999999"/>
    <d v="2025-04-01T00:00:00"/>
    <s v="RIBIERE - DEMO : SÉCURISATION ZONE DÉMONSTRATEUR : - FONDATION POTEAUX EXISTANTS - TERRASSEMENT"/>
    <m/>
    <e v="#N/A"/>
    <e v="#N/A"/>
    <n v="68984"/>
    <s v="10300"/>
    <s v="RIBIERE"/>
    <s v="Q2"/>
    <e v="#REF!"/>
    <e v="#REF!"/>
    <e v="#REF!"/>
  </r>
  <r>
    <s v="401000"/>
    <x v="6"/>
    <s v="FOURNISSEURS"/>
    <s v="AC"/>
    <n v="-9793"/>
    <d v="2025-01-23T00:00:00"/>
    <s v="SYNTHÈSE ET DÉVELOPPEMENT DE 1KG CYANOBENZOIC ACID - KEENB"/>
    <m/>
    <e v="#N/A"/>
    <e v="#N/A"/>
    <n v="61298"/>
    <s v="RE250012"/>
    <s v="Taros Chemicals GmbH &amp; Co. KG"/>
    <s v="Q1"/>
    <e v="#REF!"/>
    <e v="#REF!"/>
    <e v="#REF!"/>
  </r>
  <r>
    <s v="401000"/>
    <x v="6"/>
    <s v="FOURNISSEURS"/>
    <s v="AC"/>
    <n v="-9720"/>
    <d v="2025-05-06T00:00:00"/>
    <s v="ACTIVITÉ DE CONSEIL RÉALISÉE SOUS LA DIRECTION DE MONSIEUR GUILLAUME BOISSONNAT"/>
    <s v="Oui"/>
    <s v="Non"/>
    <e v="#N/A"/>
    <n v="73764"/>
    <s v="FAC0261"/>
    <s v="CONSEIL CPP"/>
    <s v="Q2"/>
    <e v="#REF!"/>
    <e v="#REF!"/>
    <e v="#REF!"/>
  </r>
  <r>
    <s v="401000"/>
    <x v="6"/>
    <s v="FOURNISSEURS"/>
    <s v="AC"/>
    <n v="-9450"/>
    <d v="2025-05-31T00:00:00"/>
    <s v="FACTURATION MAI RÉGIS - QWINCY"/>
    <s v="Non"/>
    <s v="Non"/>
    <e v="#N/A"/>
    <n v="75474"/>
    <s v="F2025050087"/>
    <s v="QWINCY"/>
    <s v="Q2"/>
    <e v="#REF!"/>
    <e v="#REF!"/>
    <e v="#REF!"/>
  </r>
  <r>
    <s v="401000"/>
    <x v="6"/>
    <s v="FOURNISSEURS"/>
    <s v="AC"/>
    <n v="-9444.6"/>
    <d v="2025-04-30T00:00:00"/>
    <s v="FACTURE MENSUELLE OSIRIS"/>
    <s v="Non"/>
    <s v="Non"/>
    <e v="#N/A"/>
    <n v="73752"/>
    <s v="93812813"/>
    <s v="OSIRIS"/>
    <s v="Q2"/>
    <e v="#REF!"/>
    <e v="#REF!"/>
    <e v="#REF!"/>
  </r>
  <r>
    <s v="401000"/>
    <x v="6"/>
    <s v="FOURNISSEURS"/>
    <s v="AC"/>
    <n v="-9000"/>
    <d v="2025-01-08T00:00:00"/>
    <s v="CONSEIL ET ASSISTANCE DANS LE CADRE DE LA MISSION 1 DE NOTRE  AVENANT DU 20 JANVIER 2021 À LA LETTRE DE MISSION."/>
    <s v="Non"/>
    <s v="Non"/>
    <e v="#N/A"/>
    <n v="59872"/>
    <s v="C2025106"/>
    <s v="ALTAIR AVOCATS"/>
    <s v="Q1"/>
    <e v="#REF!"/>
    <e v="#REF!"/>
    <e v="#REF!"/>
  </r>
  <r>
    <s v="401000"/>
    <x v="6"/>
    <s v="FOURNISSEURS"/>
    <s v="AC"/>
    <n v="-9000"/>
    <d v="2025-05-07T00:00:00"/>
    <s v="CONTRAT DE COLLABORATION DE RECHERCHE"/>
    <m/>
    <e v="#N/A"/>
    <e v="#N/A"/>
    <n v="73770"/>
    <s v="2110000565"/>
    <s v="CNAM"/>
    <s v="Q2"/>
    <e v="#REF!"/>
    <e v="#REF!"/>
    <e v="#REF!"/>
  </r>
  <r>
    <s v="401000"/>
    <x v="6"/>
    <s v="FOURNISSEURS"/>
    <s v="AC"/>
    <n v="-9000"/>
    <d v="2025-05-19T00:00:00"/>
    <s v="PARTICIPATION BOARD MICHEL MANACH"/>
    <s v="Non"/>
    <s v="Non"/>
    <e v="#N/A"/>
    <n v="73797"/>
    <s v="202505"/>
    <s v="Michel Manach"/>
    <s v="Q2"/>
    <e v="#REF!"/>
    <e v="#REF!"/>
    <e v="#REF!"/>
  </r>
  <r>
    <s v="401000"/>
    <x v="6"/>
    <s v="FOURNISSEURS"/>
    <s v="AC"/>
    <n v="-8763.7000000000007"/>
    <d v="2025-06-10T00:00:00"/>
    <s v="SUITE ENTRÉE EN PHASE NATIONALE USA - BREVET PHOENIX"/>
    <s v="Non"/>
    <s v="Oui"/>
    <e v="#N/A"/>
    <n v="76115"/>
    <s v="252669"/>
    <s v="BECKER"/>
    <s v="Q2"/>
    <e v="#REF!"/>
    <e v="#REF!"/>
    <e v="#REF!"/>
  </r>
  <r>
    <s v="401000"/>
    <x v="6"/>
    <s v="FOURNISSEURS"/>
    <s v="AC"/>
    <n v="-8729.66"/>
    <d v="2025-03-31T00:00:00"/>
    <s v="FACTURE OSIRIS MARS 25"/>
    <s v="Non"/>
    <s v="Non"/>
    <e v="#N/A"/>
    <n v="68993"/>
    <s v="93812623"/>
    <s v="OSIRIS"/>
    <s v="Q1"/>
    <e v="#REF!"/>
    <e v="#REF!"/>
    <e v="#REF!"/>
  </r>
  <r>
    <s v="401000"/>
    <x v="6"/>
    <s v="FOURNISSEURS"/>
    <s v="AC"/>
    <n v="-8148"/>
    <d v="2025-04-03T00:00:00"/>
    <s v="MANAGER UNE ÉQUIPE NIVEAU 1"/>
    <m/>
    <s v="Non"/>
    <n v="0"/>
    <n v="71306"/>
    <s v="7000075208"/>
    <s v="CEGOS"/>
    <s v="Q2"/>
    <e v="#REF!"/>
    <e v="#REF!"/>
    <e v="#REF!"/>
  </r>
  <r>
    <s v="401000"/>
    <x v="6"/>
    <s v="FOURNISSEURS"/>
    <s v="AC"/>
    <n v="-7992"/>
    <d v="2025-11-01T00:00:00"/>
    <s v="CONSEIL SCIENTIFIQUE CPP S.RATTON  CS#17"/>
    <s v="Oui"/>
    <s v="Non"/>
    <e v="#N/A"/>
    <n v="91087"/>
    <s v="FAC0283"/>
    <s v="CONSEIL CPP"/>
    <s v="Q4"/>
    <e v="#REF!"/>
    <e v="#REF!"/>
    <e v="#REF!"/>
  </r>
  <r>
    <s v="401000"/>
    <x v="6"/>
    <s v="FOURNISSEURS"/>
    <s v="AC"/>
    <n v="-7800"/>
    <d v="2025-09-10T00:00:00"/>
    <s v="FORMATION PAULINE"/>
    <m/>
    <s v="Non"/>
    <e v="#N/A"/>
    <n v="82338"/>
    <s v="OP_202509_00068"/>
    <s v="OASYS PARIS"/>
    <s v="Q3"/>
    <e v="#REF!"/>
    <e v="#REF!"/>
    <e v="#REF!"/>
  </r>
  <r>
    <s v="401000"/>
    <x v="6"/>
    <s v="FOURNISSEURS"/>
    <s v="AC"/>
    <n v="-7781.48"/>
    <d v="2025-06-30T00:00:00"/>
    <s v="DIVERS OSIRIS : PRESTATIONS DE SERVICE, LABORATOIRE, STOCKAGE PALETTES"/>
    <s v="Non"/>
    <s v="Non"/>
    <e v="#N/A"/>
    <n v="78383"/>
    <s v="93813209"/>
    <s v="OSIRIS"/>
    <s v="Q2"/>
    <e v="#REF!"/>
    <e v="#REF!"/>
    <e v="#REF!"/>
  </r>
  <r>
    <s v="401000"/>
    <x v="6"/>
    <s v="FOURNISSEURS"/>
    <s v="AC"/>
    <n v="-7561"/>
    <d v="2025-11-27T00:00:00"/>
    <s v="DÉPÔT PCT BREVET BIOPIGMENT"/>
    <s v="Non"/>
    <s v="Oui"/>
    <e v="#N/A"/>
    <n v="91970"/>
    <s v="255341"/>
    <s v="BECKER"/>
    <s v="Q4"/>
    <e v="#REF!"/>
    <e v="#REF!"/>
    <e v="#REF!"/>
  </r>
  <r>
    <s v="401000"/>
    <x v="6"/>
    <s v="FOURNISSEURS"/>
    <s v="AC"/>
    <n v="-7437.6"/>
    <d v="2025-03-01T00:00:00"/>
    <s v="CONTRAT DE MAINTENANCE N°CT0662 - PÉRIODE DU 01/03/2025 AU 28/02/2026"/>
    <m/>
    <e v="#N/A"/>
    <e v="#N/A"/>
    <n v="66109"/>
    <s v="FA005214"/>
    <s v="3BCLIM"/>
    <s v="Q1"/>
    <e v="#REF!"/>
    <e v="#REF!"/>
    <e v="#REF!"/>
  </r>
  <r>
    <s v="401000"/>
    <x v="6"/>
    <s v="FOURNISSEURS"/>
    <s v="AC"/>
    <n v="-7129.09"/>
    <d v="2025-09-30T00:00:00"/>
    <s v="HONORAIRES BDO SOCIAL"/>
    <s v="Non"/>
    <s v="Non"/>
    <e v="#N/A"/>
    <n v="85143"/>
    <s v="FC-290-25-09-00710"/>
    <s v="BDO EXPERTISE"/>
    <s v="Q3"/>
    <e v="#REF!"/>
    <e v="#REF!"/>
    <e v="#REF!"/>
  </r>
  <r>
    <s v="401000"/>
    <x v="6"/>
    <s v="FOURNISSEURS"/>
    <s v="AC"/>
    <n v="-6952.17"/>
    <d v="2025-02-25T00:00:00"/>
    <s v="FACTURE T CARREY CONSULTANTE GO TO MARKET INDIGO - FACTURE INTERMÉDIAIRE"/>
    <s v="Non"/>
    <s v="Non"/>
    <e v="#N/A"/>
    <n v="61558"/>
    <s v="225"/>
    <s v="TRICIA CAREY"/>
    <s v="Q1"/>
    <e v="#REF!"/>
    <e v="#REF!"/>
    <e v="#REF!"/>
  </r>
  <r>
    <s v="401000"/>
    <x v="6"/>
    <s v="FOURNISSEURS"/>
    <s v="AC"/>
    <n v="-6736"/>
    <d v="2025-10-06T00:00:00"/>
    <s v="CONSEIL ET ASSISTANCE CONFORMÉMENT À LA LETTRE DE MISSION POUR LA PÉRIODE DU 1ER AU 30 SEPTEMBRE 2025"/>
    <s v="Non"/>
    <s v="Non"/>
    <e v="#N/A"/>
    <n v="84983"/>
    <s v="C2025902"/>
    <s v="ALTAIR AVOCATS"/>
    <s v="Q4"/>
    <e v="#REF!"/>
    <e v="#REF!"/>
    <e v="#REF!"/>
  </r>
  <r>
    <s v="401000"/>
    <x v="6"/>
    <s v="FOURNISSEURS"/>
    <s v="AC"/>
    <n v="-6623.52"/>
    <d v="2025-05-31T00:00:00"/>
    <s v="DIVERS OSIRIS"/>
    <s v="Non"/>
    <s v="Non"/>
    <e v="#N/A"/>
    <n v="75995"/>
    <s v="93813054"/>
    <s v="OSIRIS"/>
    <s v="Q2"/>
    <e v="#REF!"/>
    <e v="#REF!"/>
    <e v="#REF!"/>
  </r>
  <r>
    <s v="401000"/>
    <x v="6"/>
    <s v="FOURNISSEURS"/>
    <s v="AC"/>
    <n v="-6610"/>
    <d v="2025-05-31T00:00:00"/>
    <s v="LICENCES DOTMATICS 2025_06 À 2026_05 - 1 READ ONLY - 5 ADDITIONAL CHEMISTRY"/>
    <s v="Non"/>
    <e v="#N/A"/>
    <e v="#N/A"/>
    <n v="75188"/>
    <s v="INV24947"/>
    <s v="DOTMATICS LIMITED"/>
    <s v="Q2"/>
    <e v="#REF!"/>
    <e v="#REF!"/>
    <e v="#REF!"/>
  </r>
  <r>
    <s v="401000"/>
    <x v="6"/>
    <s v="FOURNISSEURS"/>
    <s v="AC"/>
    <n v="-6591.56"/>
    <d v="2025-05-30T00:00:00"/>
    <s v="FACTURE T CARREY CONSULTANTE GO TO MARKET INDIGO - FACTURE FINALE"/>
    <s v="Non"/>
    <s v="Non"/>
    <e v="#N/A"/>
    <n v="78945"/>
    <s v="0530"/>
    <s v="TRICIA CAREY"/>
    <s v="Q2"/>
    <e v="#REF!"/>
    <e v="#REF!"/>
    <e v="#REF!"/>
  </r>
  <r>
    <s v="401000"/>
    <x v="6"/>
    <s v="FOURNISSEURS"/>
    <s v="AC"/>
    <n v="-6485"/>
    <d v="2025-11-27T00:00:00"/>
    <s v="SALON TECHTEXTIL 2026"/>
    <m/>
    <e v="#N/A"/>
    <e v="#N/A"/>
    <n v="91976"/>
    <s v="1900667076"/>
    <s v="MESSE FRANKFURT EXHIBITION"/>
    <s v="Q4"/>
    <e v="#REF!"/>
    <e v="#REF!"/>
    <e v="#REF!"/>
  </r>
  <r>
    <s v="401000"/>
    <x v="6"/>
    <s v="FOURNISSEURS"/>
    <s v="AC"/>
    <n v="-6472.98"/>
    <d v="2025-06-30T00:00:00"/>
    <s v="HONORAIRES POUR LA MISSION D'EXPERTISE SOCIALE Q2 2025"/>
    <s v="Non"/>
    <s v="Non"/>
    <e v="#N/A"/>
    <n v="78408"/>
    <s v="FC-290-25-06-00764"/>
    <s v="BDO EXPERTISE"/>
    <s v="Q2"/>
    <e v="#REF!"/>
    <e v="#REF!"/>
    <e v="#REF!"/>
  </r>
  <r>
    <s v="401000"/>
    <x v="6"/>
    <s v="FOURNISSEURS"/>
    <s v="AC"/>
    <n v="-6389.4"/>
    <d v="2025-07-28T00:00:00"/>
    <s v="ETUDE PI, FTO ET PRÉPARATION AU DÉPÔT D'EXTENSION PCT PALOMA CHIMIE"/>
    <s v="Non"/>
    <s v="Oui"/>
    <e v="#N/A"/>
    <n v="82277"/>
    <s v="253528"/>
    <s v="BECKER"/>
    <s v="Q3"/>
    <e v="#REF!"/>
    <e v="#REF!"/>
    <e v="#REF!"/>
  </r>
  <r>
    <s v="401000"/>
    <x v="6"/>
    <s v="FOURNISSEURS"/>
    <s v="AC"/>
    <n v="-6171.17"/>
    <d v="2025-03-31T00:00:00"/>
    <s v="HONORAIRES POUR LA MISSION D'EXPERTISE SOCIALE Q1 - 2025"/>
    <s v="Non"/>
    <s v="Non"/>
    <e v="#N/A"/>
    <n v="67940"/>
    <s v="FC-290-25-03-01022"/>
    <s v="BDO EXPERTISE"/>
    <s v="Q1"/>
    <e v="#REF!"/>
    <e v="#REF!"/>
    <e v="#REF!"/>
  </r>
  <r>
    <s v="401000"/>
    <x v="6"/>
    <s v="FOURNISSEURS"/>
    <s v="AC"/>
    <n v="-6161.81"/>
    <d v="2025-12-31T00:00:00"/>
    <s v="HONORAIRES POUR LA MISSION D'EXPERTISE SOCIALE Q4 2025"/>
    <s v="Non"/>
    <s v="Non"/>
    <e v="#N/A"/>
    <n v="95741"/>
    <s v="FC-290-26-12-00764"/>
    <s v="BDO EXPERTISE"/>
    <s v="Q4"/>
    <e v="#REF!"/>
    <e v="#REF!"/>
    <e v="#REF!"/>
  </r>
  <r>
    <s v="401000"/>
    <x v="6"/>
    <s v="FOURNISSEURS"/>
    <s v="AC"/>
    <n v="-6120"/>
    <d v="2025-12-31T00:00:00"/>
    <s v="TEST HYDROGÉNATION AMINATION RÉDUCTRICE (V23) EN FLUX CONTINU AU CNAM"/>
    <m/>
    <e v="#N/A"/>
    <e v="#N/A"/>
    <n v="96590"/>
    <s v="240010195"/>
    <s v="CNAM"/>
    <s v="Q4"/>
    <e v="#REF!"/>
    <e v="#REF!"/>
    <e v="#REF!"/>
  </r>
  <r>
    <s v="401000"/>
    <x v="6"/>
    <s v="FOURNISSEURS"/>
    <s v="AC"/>
    <n v="-6000"/>
    <d v="2025-01-17T00:00:00"/>
    <s v="ACCOMPAGNEMENT BPI - CONSULTATION ERP - Y. FEILLENS"/>
    <m/>
    <e v="#N/A"/>
    <e v="#N/A"/>
    <n v="59894"/>
    <s v="UE250005 - PILI II"/>
    <s v="UBIQUITIZ CONSULTING"/>
    <s v="Q1"/>
    <e v="#REF!"/>
    <e v="#REF!"/>
    <e v="#REF!"/>
  </r>
  <r>
    <s v="401000"/>
    <x v="6"/>
    <s v="FOURNISSEURS"/>
    <s v="AC"/>
    <n v="-5940"/>
    <d v="2025-03-05T00:00:00"/>
    <s v="SOIRÉE DES 10 ANS PILI"/>
    <m/>
    <e v="#N/A"/>
    <e v="#N/A"/>
    <n v="66148"/>
    <s v="FACT-20250305-21553"/>
    <s v="Kymono"/>
    <s v="Q1"/>
    <e v="#REF!"/>
    <e v="#REF!"/>
    <e v="#REF!"/>
  </r>
  <r>
    <s v="401000"/>
    <x v="6"/>
    <s v="FOURNISSEURS"/>
    <s v="AC"/>
    <n v="-5900.76"/>
    <d v="2025-01-31T00:00:00"/>
    <s v="HONORAIRES POUR LA MISSION D'EXPERTISE SOCIALE 2024 BULLETIN DE PAIE POUR LE MOIS DE 10-11-12 2024"/>
    <s v="Non"/>
    <s v="Non"/>
    <e v="#N/A"/>
    <n v="61346"/>
    <s v="FC-290-25-01-00176"/>
    <s v="BDO EXPERTISE"/>
    <s v="Q1"/>
    <e v="#REF!"/>
    <e v="#REF!"/>
    <e v="#REF!"/>
  </r>
  <r>
    <s v="401000"/>
    <x v="6"/>
    <s v="FOURNISSEURS"/>
    <s v="AC"/>
    <n v="-5892.68"/>
    <d v="2025-09-01T00:00:00"/>
    <s v="DEMANDE PCT BREVET PALOMA BIO"/>
    <s v="Non"/>
    <s v="Oui"/>
    <e v="#N/A"/>
    <n v="82305"/>
    <s v="254045"/>
    <s v="BECKER"/>
    <s v="Q3"/>
    <e v="#REF!"/>
    <e v="#REF!"/>
    <e v="#REF!"/>
  </r>
  <r>
    <s v="401000"/>
    <x v="6"/>
    <s v="FOURNISSEURS"/>
    <s v="AC"/>
    <n v="-5792.09"/>
    <d v="2025-09-23T00:00:00"/>
    <s v="PRESTATION TRAITEUR SÉMINAIRE PILI"/>
    <m/>
    <e v="#N/A"/>
    <e v="#N/A"/>
    <n v="87048"/>
    <s v="TG34/3888"/>
    <s v="TRAITEUR GRAND"/>
    <s v="Q3"/>
    <e v="#REF!"/>
    <e v="#REF!"/>
    <e v="#REF!"/>
  </r>
  <r>
    <s v="401000"/>
    <x v="6"/>
    <s v="FOURNISSEURS"/>
    <s v="AC"/>
    <n v="-5720.71"/>
    <d v="2025-06-30T00:00:00"/>
    <s v="ENLÈVEMENT DÉCHETS"/>
    <m/>
    <s v="Non"/>
    <n v="0"/>
    <n v="78377"/>
    <s v="F061352698"/>
    <s v="CHIMIREC CENTRE EST"/>
    <s v="Q2"/>
    <e v="#REF!"/>
    <e v="#REF!"/>
    <e v="#REF!"/>
  </r>
  <r>
    <s v="401000"/>
    <x v="6"/>
    <s v="FOURNISSEURS"/>
    <s v="AC"/>
    <n v="-5686.19"/>
    <d v="2025-10-16T00:00:00"/>
    <s v="MISSION PILI CS"/>
    <s v="Non"/>
    <s v="Non"/>
    <e v="#N/A"/>
    <n v="87086"/>
    <s v="F2025-013-PILI"/>
    <s v="BIOADVICE"/>
    <s v="Q4"/>
    <e v="#REF!"/>
    <e v="#REF!"/>
    <e v="#REF!"/>
  </r>
  <r>
    <s v="401000"/>
    <x v="6"/>
    <s v="FOURNISSEURS"/>
    <s v="AC"/>
    <n v="-5521.58"/>
    <d v="2025-02-18T00:00:00"/>
    <s v="DEMANDE ENTRÉE EN PHASE NATIONALE JAPON - BREVET PHOENIX"/>
    <s v="Non"/>
    <s v="Oui"/>
    <e v="#N/A"/>
    <n v="61521"/>
    <s v="250672"/>
    <s v="BECKER"/>
    <s v="Q1"/>
    <e v="#REF!"/>
    <e v="#REF!"/>
    <e v="#REF!"/>
  </r>
  <r>
    <s v="401000"/>
    <x v="6"/>
    <s v="FOURNISSEURS"/>
    <s v="AC"/>
    <n v="-5434.5"/>
    <d v="2025-11-24T00:00:00"/>
    <s v="BUDGET SUPPLÉMENTAIRE POUR MODIFICATION DE PROJET"/>
    <m/>
    <e v="#N/A"/>
    <e v="#N/A"/>
    <n v="91954"/>
    <s v="2025/178"/>
    <s v="HIPOLITO"/>
    <s v="Q4"/>
    <e v="#REF!"/>
    <e v="#REF!"/>
    <e v="#REF!"/>
  </r>
  <r>
    <s v="401000"/>
    <x v="6"/>
    <s v="FOURNISSEURS"/>
    <s v="AC"/>
    <n v="-5420.7"/>
    <d v="2025-01-01T00:00:00"/>
    <s v="Immos en cours AIGP"/>
    <m/>
    <e v="#N/A"/>
    <e v="#N/A"/>
    <n v="74884"/>
    <m/>
    <s v="AIGP INGENIERIE"/>
    <s v="Q1"/>
    <e v="#REF!"/>
    <e v="#REF!"/>
    <e v="#REF!"/>
  </r>
  <r>
    <s v="401000"/>
    <x v="6"/>
    <s v="FOURNISSEURS"/>
    <s v="AC"/>
    <n v="-5415.12"/>
    <d v="2025-03-03T00:00:00"/>
    <s v="SPECTROMÈTRE UV LABO ROUSSILLON"/>
    <m/>
    <e v="#N/A"/>
    <e v="#N/A"/>
    <n v="67825"/>
    <s v="4174878933"/>
    <s v="FISHER SCIENTIFIC"/>
    <s v="Q1"/>
    <e v="#REF!"/>
    <e v="#REF!"/>
    <e v="#REF!"/>
  </r>
  <r>
    <s v="401000"/>
    <x v="6"/>
    <s v="FOURNISSEURS"/>
    <s v="AC"/>
    <n v="-5412"/>
    <d v="2025-08-29T00:00:00"/>
    <s v="CHANGEMENT PORTE ATELIER"/>
    <m/>
    <e v="#N/A"/>
    <e v="#N/A"/>
    <n v="82287"/>
    <s v="FA25-08-15222"/>
    <s v="SCMI"/>
    <s v="Q3"/>
    <e v="#REF!"/>
    <e v="#REF!"/>
    <e v="#REF!"/>
  </r>
  <r>
    <s v="401000"/>
    <x v="6"/>
    <s v="FOURNISSEURS"/>
    <s v="AC"/>
    <n v="-5400"/>
    <d v="2025-01-31T00:00:00"/>
    <s v="CONTRAT DE PRESTATIONS R&amp;D"/>
    <s v="Oui"/>
    <s v="Non"/>
    <e v="#N/A"/>
    <n v="64027"/>
    <s v="FAC0253"/>
    <s v="CONSEIL CPP"/>
    <s v="Q1"/>
    <e v="#REF!"/>
    <e v="#REF!"/>
    <e v="#REF!"/>
  </r>
  <r>
    <s v="401000"/>
    <x v="6"/>
    <s v="FOURNISSEURS"/>
    <s v="AC"/>
    <n v="-5328.4"/>
    <d v="2025-10-20T00:00:00"/>
    <s v="EQUIPMENT FLOTWEG"/>
    <s v="Non"/>
    <e v="#N/A"/>
    <e v="#N/A"/>
    <n v="89864"/>
    <s v="91250170"/>
    <s v="BIOTIKA"/>
    <s v="Q4"/>
    <e v="#REF!"/>
    <e v="#REF!"/>
    <e v="#REF!"/>
  </r>
  <r>
    <s v="401000"/>
    <x v="6"/>
    <s v="FOURNISSEURS"/>
    <s v="AC"/>
    <n v="-5217.95"/>
    <d v="2025-10-08T00:00:00"/>
    <s v="RM COSTS (4 TRIALS)"/>
    <s v="Non"/>
    <e v="#N/A"/>
    <e v="#N/A"/>
    <n v="89860"/>
    <s v="91250161"/>
    <s v="BIOTIKA"/>
    <s v="Q4"/>
    <e v="#REF!"/>
    <e v="#REF!"/>
    <e v="#REF!"/>
  </r>
  <r>
    <s v="401000"/>
    <x v="6"/>
    <s v="FOURNISSEURS"/>
    <s v="AC"/>
    <n v="-5127.03"/>
    <d v="2025-12-11T00:00:00"/>
    <s v="STARTUP PREMIUM PLAN DEC 11, 2025 – JAN 11, 2026"/>
    <s v="Non"/>
    <s v="Non"/>
    <e v="#N/A"/>
    <n v="92164"/>
    <s v="1PZECRJE-0001"/>
    <s v="FLOWLIE"/>
    <s v="Q4"/>
    <e v="#REF!"/>
    <e v="#REF!"/>
    <e v="#REF!"/>
  </r>
  <r>
    <s v="401000"/>
    <x v="6"/>
    <s v="FOURNISSEURS"/>
    <s v="AC"/>
    <n v="-5050.0200000000004"/>
    <d v="2025-10-06T00:00:00"/>
    <s v="HOTLINE POUR LA PÉRIODE DU 1ER AU 30 SEPTEMBRE 2025"/>
    <s v="Non"/>
    <s v="Non"/>
    <e v="#N/A"/>
    <n v="84986"/>
    <s v="C2025905"/>
    <s v="ALTAIR AVOCATS"/>
    <s v="Q4"/>
    <e v="#REF!"/>
    <e v="#REF!"/>
    <e v="#REF!"/>
  </r>
  <r>
    <s v="401000"/>
    <x v="6"/>
    <s v="FOURNISSEURS"/>
    <s v="AC"/>
    <n v="-5040"/>
    <d v="2025-07-02T00:00:00"/>
    <s v="REMONTAGE DÔME RÉACTEUR VERRE + TESTS ÉTANCHÉITÉ FOURNITURE JOINTS"/>
    <m/>
    <e v="#N/A"/>
    <e v="#N/A"/>
    <n v="78885"/>
    <s v="FACT1903"/>
    <s v="DMI"/>
    <s v="Q3"/>
    <e v="#REF!"/>
    <e v="#REF!"/>
    <e v="#REF!"/>
  </r>
  <r>
    <s v="401000"/>
    <x v="6"/>
    <s v="FOURNISSEURS"/>
    <s v="AC"/>
    <n v="-5000"/>
    <d v="2025-05-30T00:00:00"/>
    <s v="AGREEMENT  PHOENIX I - FACTURE FINALE - RAPPORT"/>
    <s v="Non"/>
    <e v="#N/A"/>
    <e v="#N/A"/>
    <n v="77094"/>
    <s v="91250075"/>
    <s v="BIOTIKA"/>
    <s v="Q2"/>
    <e v="#REF!"/>
    <e v="#REF!"/>
    <e v="#REF!"/>
  </r>
  <r>
    <s v="401000"/>
    <x v="6"/>
    <s v="FOURNISSEURS"/>
    <s v="AC"/>
    <n v="-5000"/>
    <d v="2025-05-30T00:00:00"/>
    <s v="SUMMARY REPORT - AGREEMENT"/>
    <s v="Non"/>
    <e v="#N/A"/>
    <e v="#N/A"/>
    <n v="75980"/>
    <s v="91250074"/>
    <s v="BIOTIKA"/>
    <s v="Q2"/>
    <e v="#REF!"/>
    <e v="#REF!"/>
    <e v="#REF!"/>
  </r>
  <r>
    <s v="401000"/>
    <x v="6"/>
    <s v="FOURNISSEURS"/>
    <s v="AC"/>
    <n v="-5000"/>
    <d v="2025-05-30T00:00:00"/>
    <s v="SUMMARY REPORT - AGREEMENT"/>
    <s v="Non"/>
    <e v="#N/A"/>
    <e v="#N/A"/>
    <n v="95534"/>
    <s v="91250074"/>
    <s v="BIOTIKA"/>
    <s v="Q2"/>
    <e v="#REF!"/>
    <e v="#REF!"/>
    <e v="#REF!"/>
  </r>
  <r>
    <s v="401000"/>
    <x v="6"/>
    <s v="FOURNISSEURS"/>
    <s v="AC"/>
    <n v="-5000"/>
    <d v="2025-09-18T00:00:00"/>
    <s v="COTISATION TWB 2025"/>
    <m/>
    <s v="Non"/>
    <e v="#N/A"/>
    <n v="82730"/>
    <s v="2110007191"/>
    <s v="INRAE TOULOUSE"/>
    <s v="Q3"/>
    <e v="#REF!"/>
    <e v="#REF!"/>
    <e v="#REF!"/>
  </r>
  <r>
    <s v="401000"/>
    <x v="6"/>
    <s v="FOURNISSEURS"/>
    <s v="AC"/>
    <n v="-4979.78"/>
    <d v="2025-07-31T00:00:00"/>
    <s v="PRISES LABORATOIRE : 1775.13€ PRISES ATEX : 4130.91€ ALIMENTATION CLIM + AIR : 1501.94€ PLANS : 872.75€"/>
    <m/>
    <e v="#N/A"/>
    <e v="#N/A"/>
    <n v="81341"/>
    <s v="FCA21251507"/>
    <s v="COTE"/>
    <s v="Q3"/>
    <e v="#REF!"/>
    <e v="#REF!"/>
    <e v="#REF!"/>
  </r>
  <r>
    <s v="401000"/>
    <x v="6"/>
    <s v="FOURNISSEURS"/>
    <s v="AC"/>
    <n v="-4931.26"/>
    <d v="2025-08-27T00:00:00"/>
    <s v="HOTLINE SUR LA PÉRIODE DU 1ER AU 31 JUILLET 2025"/>
    <s v="Non"/>
    <s v="Non"/>
    <e v="#N/A"/>
    <n v="81826"/>
    <s v="C2025797"/>
    <s v="ALTAIR AVOCATS"/>
    <s v="Q3"/>
    <e v="#REF!"/>
    <e v="#REF!"/>
    <e v="#REF!"/>
  </r>
  <r>
    <s v="401000"/>
    <x v="6"/>
    <s v="FOURNISSEURS"/>
    <s v="AC"/>
    <n v="-4800"/>
    <d v="2025-03-13T00:00:00"/>
    <s v="FRAIS DE GESTION WICAP - ATTENTE AVOIR 50%"/>
    <s v="Non"/>
    <s v="Non"/>
    <e v="#N/A"/>
    <n v="77256"/>
    <s v="FW-2025040"/>
    <s v="WiSEED"/>
    <s v="Q1"/>
    <e v="#REF!"/>
    <e v="#REF!"/>
    <e v="#REF!"/>
  </r>
  <r>
    <s v="401000"/>
    <x v="6"/>
    <s v="FOURNISSEURS"/>
    <s v="AC"/>
    <n v="-4752"/>
    <d v="2025-03-10T00:00:00"/>
    <s v="PRESTATION RÉALISÉE À DISTANCE PAR UN CONSULTANT 4,00 L1K, LA JOURNÉE"/>
    <m/>
    <s v="Non"/>
    <e v="#N/A"/>
    <n v="66004"/>
    <s v="FAP10672"/>
    <s v="AXE GESCOM"/>
    <s v="Q1"/>
    <e v="#REF!"/>
    <e v="#REF!"/>
    <e v="#REF!"/>
  </r>
  <r>
    <s v="401000"/>
    <x v="6"/>
    <s v="FOURNISSEURS"/>
    <s v="AC"/>
    <n v="-4632.59"/>
    <d v="2025-03-31T00:00:00"/>
    <s v="MISSION PILI CS"/>
    <s v="Non"/>
    <s v="Non"/>
    <e v="#N/A"/>
    <n v="67928"/>
    <s v="F2025-05-PILI"/>
    <s v="BIOADVICE"/>
    <s v="Q1"/>
    <e v="#REF!"/>
    <e v="#REF!"/>
    <e v="#REF!"/>
  </r>
  <r>
    <s v="401000"/>
    <x v="6"/>
    <s v="FOURNISSEURS"/>
    <s v="AC"/>
    <n v="-4560"/>
    <d v="2025-02-10T00:00:00"/>
    <s v="FORFAIT POUR PAGES TÉLÉCHARGÉES"/>
    <m/>
    <e v="#N/A"/>
    <e v="#N/A"/>
    <n v="61446"/>
    <s v="1459019-FR"/>
    <s v="DROOMS"/>
    <s v="Q1"/>
    <e v="#REF!"/>
    <e v="#REF!"/>
    <e v="#REF!"/>
  </r>
  <r>
    <s v="401000"/>
    <x v="6"/>
    <s v="FOURNISSEURS"/>
    <s v="AC"/>
    <n v="-4471.5600000000004"/>
    <d v="2025-03-25T00:00:00"/>
    <s v="PROJET VIDÉO PILI"/>
    <m/>
    <e v="#N/A"/>
    <e v="#N/A"/>
    <n v="67880"/>
    <s v="2025 / 49"/>
    <s v="HIPOLITO"/>
    <s v="Q1"/>
    <e v="#REF!"/>
    <e v="#REF!"/>
    <e v="#REF!"/>
  </r>
  <r>
    <s v="401000"/>
    <x v="6"/>
    <s v="FOURNISSEURS"/>
    <s v="AC"/>
    <n v="-4471.5600000000004"/>
    <d v="2025-03-25T00:00:00"/>
    <s v="PROJET VIDÉO PILI"/>
    <m/>
    <e v="#N/A"/>
    <e v="#N/A"/>
    <n v="82263"/>
    <s v="2025 / 49 (v2)"/>
    <s v="HIPOLITO"/>
    <s v="Q1"/>
    <e v="#REF!"/>
    <e v="#REF!"/>
    <e v="#REF!"/>
  </r>
  <r>
    <s v="401000"/>
    <x v="6"/>
    <s v="FOURNISSEURS"/>
    <s v="AC"/>
    <n v="-4418.75"/>
    <d v="2025-01-17T00:00:00"/>
    <s v="SOW (5 DAYS ) FOR DSP PROTOCOL"/>
    <s v="Non"/>
    <e v="#N/A"/>
    <e v="#N/A"/>
    <n v="59897"/>
    <s v="7230"/>
    <s v="DOTMATICS LIMITED"/>
    <s v="Q1"/>
    <e v="#REF!"/>
    <e v="#REF!"/>
    <e v="#REF!"/>
  </r>
  <r>
    <s v="401000"/>
    <x v="6"/>
    <s v="FOURNISSEURS"/>
    <s v="AC"/>
    <n v="-4344"/>
    <d v="2025-01-27T00:00:00"/>
    <s v="RACCORDEMENT ASPIRATION LABORATOIRE"/>
    <s v="Non"/>
    <e v="#N/A"/>
    <e v="#N/A"/>
    <n v="61323"/>
    <s v="FC6491"/>
    <s v="LOPEZ PLOMBERIE ELECTRICITE"/>
    <s v="Q1"/>
    <e v="#REF!"/>
    <e v="#REF!"/>
    <e v="#REF!"/>
  </r>
  <r>
    <s v="401000"/>
    <x v="6"/>
    <s v="FOURNISSEURS"/>
    <s v="AC"/>
    <n v="-4217.22"/>
    <d v="2025-05-14T00:00:00"/>
    <s v="AUDIT ERD BPI INOV"/>
    <s v="Non"/>
    <s v="Non"/>
    <e v="#N/A"/>
    <n v="72713"/>
    <s v="E002VPR-25-05-0721"/>
    <s v="FORVIS MAZARS"/>
    <s v="Q2"/>
    <e v="#REF!"/>
    <e v="#REF!"/>
    <e v="#REF!"/>
  </r>
  <r>
    <s v="401000"/>
    <x v="6"/>
    <s v="FOURNISSEURS"/>
    <s v="AC"/>
    <n v="-4200"/>
    <d v="2025-10-23T00:00:00"/>
    <s v="PROJET VIDÉO PILI"/>
    <m/>
    <e v="#N/A"/>
    <e v="#N/A"/>
    <n v="87464"/>
    <s v="2025/161"/>
    <s v="HIPOLITO"/>
    <s v="Q4"/>
    <e v="#REF!"/>
    <e v="#REF!"/>
    <e v="#REF!"/>
  </r>
  <r>
    <s v="401000"/>
    <x v="6"/>
    <s v="FOURNISSEURS"/>
    <s v="AC"/>
    <n v="-4072"/>
    <d v="2025-08-21T00:00:00"/>
    <s v="LOCATION EQUIPEMENT FLOTWEG"/>
    <s v="Non"/>
    <e v="#N/A"/>
    <e v="#N/A"/>
    <n v="81960"/>
    <s v="91250137"/>
    <s v="BIOTIKA"/>
    <s v="Q3"/>
    <e v="#REF!"/>
    <e v="#REF!"/>
    <e v="#REF!"/>
  </r>
  <r>
    <s v="401000"/>
    <x v="6"/>
    <s v="FOURNISSEURS"/>
    <s v="AC"/>
    <n v="-3875"/>
    <d v="2025-05-19T00:00:00"/>
    <s v="TRANSPORT COSTS"/>
    <s v="Non"/>
    <e v="#N/A"/>
    <e v="#N/A"/>
    <n v="73807"/>
    <s v="91250055"/>
    <s v="BIOTIKA"/>
    <s v="Q2"/>
    <e v="#REF!"/>
    <e v="#REF!"/>
    <e v="#REF!"/>
  </r>
  <r>
    <s v="401000"/>
    <x v="6"/>
    <s v="FOURNISSEURS"/>
    <s v="AC"/>
    <n v="-3840"/>
    <d v="2025-02-28T00:00:00"/>
    <s v="HÉBERGEMENT AXE CLOUD SERVEUR, LE MOIS ENGAGEMENT SUR 12 MOIS MINIMUM FRAIS DE MISE EN SERVICE MACHINE VIRTUELLE"/>
    <m/>
    <s v="Non"/>
    <e v="#N/A"/>
    <n v="61572"/>
    <s v="FAP10637"/>
    <s v="AXE GESCOM"/>
    <s v="Q1"/>
    <e v="#REF!"/>
    <e v="#REF!"/>
    <e v="#REF!"/>
  </r>
  <r>
    <s v="401000"/>
    <x v="6"/>
    <s v="FOURNISSEURS"/>
    <s v="AC"/>
    <n v="-3744"/>
    <d v="2025-11-28T00:00:00"/>
    <s v="DMSO SPEICHIM POUR PROD VEG EXTRA"/>
    <m/>
    <e v="#N/A"/>
    <e v="#N/A"/>
    <n v="92979"/>
    <s v="CD970003490"/>
    <s v="SPEICHIM PROCESSING"/>
    <s v="Q4"/>
    <e v="#REF!"/>
    <e v="#REF!"/>
    <e v="#REF!"/>
  </r>
  <r>
    <s v="401000"/>
    <x v="6"/>
    <s v="FOURNISSEURS"/>
    <s v="AC"/>
    <n v="-3684"/>
    <d v="2025-08-29T00:00:00"/>
    <s v="LOCATION ESSOREUSE LABORATOIRE PENDANT 2MOIS AVEC DEUX PANIERS (300ML ET 1,2L) POUR ESSAIS DE SCREENING DE SOLVANTS POUR FINISHI"/>
    <s v="Non"/>
    <e v="#N/A"/>
    <e v="#N/A"/>
    <n v="82290"/>
    <s v="FA006465"/>
    <s v="ROUSSELET CENTRIFUGATION"/>
    <s v="Q3"/>
    <e v="#REF!"/>
    <e v="#REF!"/>
    <e v="#REF!"/>
  </r>
  <r>
    <s v="401000"/>
    <x v="6"/>
    <s v="FOURNISSEURS"/>
    <s v="AC"/>
    <n v="-3600"/>
    <d v="2025-12-15T00:00:00"/>
    <s v="ADVISORY PILI#1"/>
    <s v="Non"/>
    <s v="Non"/>
    <e v="#N/A"/>
    <n v="92196"/>
    <s v="F-2025-12467"/>
    <s v="BEEMYDESK"/>
    <s v="Q4"/>
    <e v="#REF!"/>
    <e v="#REF!"/>
    <e v="#REF!"/>
  </r>
  <r>
    <s v="401000"/>
    <x v="6"/>
    <s v="FOURNISSEURS"/>
    <s v="AC"/>
    <n v="-3588"/>
    <d v="2025-03-24T00:00:00"/>
    <s v="PACK ON-LINE POSTE: RESPONSABLE ADMINSITRATIF ET FINANCIER H/F"/>
    <m/>
    <s v="Non"/>
    <e v="#N/A"/>
    <n v="67868"/>
    <s v="FH-0046379"/>
    <s v="HAYS"/>
    <s v="Q1"/>
    <e v="#REF!"/>
    <e v="#REF!"/>
    <e v="#REF!"/>
  </r>
  <r>
    <s v="401000"/>
    <x v="6"/>
    <s v="FOURNISSEURS"/>
    <s v="AC"/>
    <n v="-3574.97"/>
    <d v="2025-11-13T00:00:00"/>
    <s v="RM - AGREEMENT VII"/>
    <s v="Non"/>
    <e v="#N/A"/>
    <e v="#N/A"/>
    <n v="91115"/>
    <s v="91250196"/>
    <s v="BIOTIKA"/>
    <s v="Q4"/>
    <e v="#REF!"/>
    <e v="#REF!"/>
    <e v="#REF!"/>
  </r>
  <r>
    <s v="401000"/>
    <x v="6"/>
    <s v="FOURNISSEURS"/>
    <s v="AC"/>
    <n v="-3568.48"/>
    <d v="2025-09-16T00:00:00"/>
    <s v="ENLÈVEMENT DE DÉCHETS"/>
    <m/>
    <s v="Non"/>
    <n v="0"/>
    <n v="82725"/>
    <s v="F061358047"/>
    <s v="CHIMIREC CENTRE EST"/>
    <s v="Q3"/>
    <e v="#REF!"/>
    <e v="#REF!"/>
    <e v="#REF!"/>
  </r>
  <r>
    <s v="401000"/>
    <x v="6"/>
    <s v="FOURNISSEURS"/>
    <s v="AC"/>
    <n v="-3547.5"/>
    <d v="2025-02-10T00:00:00"/>
    <s v="CONSEIL ET ASSISTANCE PHASE B DE LA LETTRE DE MISSION DU 24 JANVIER 2025"/>
    <s v="Non"/>
    <s v="Non"/>
    <e v="#N/A"/>
    <n v="61449"/>
    <s v="C2025293"/>
    <s v="ALTAIR AVOCATS"/>
    <s v="Q1"/>
    <e v="#REF!"/>
    <e v="#REF!"/>
    <e v="#REF!"/>
  </r>
  <r>
    <s v="401000"/>
    <x v="6"/>
    <s v="FOURNISSEURS"/>
    <s v="AC"/>
    <n v="-3516.48"/>
    <d v="2025-03-13T00:00:00"/>
    <s v="TRAITEMENT DÉCHETS"/>
    <m/>
    <s v="Non"/>
    <n v="0"/>
    <n v="65982"/>
    <s v="F061345232"/>
    <s v="CHIMIREC CENTRE EST"/>
    <s v="Q1"/>
    <e v="#REF!"/>
    <e v="#REF!"/>
    <e v="#REF!"/>
  </r>
  <r>
    <s v="401000"/>
    <x v="6"/>
    <s v="FOURNISSEURS"/>
    <s v="AC"/>
    <n v="-3499.2"/>
    <d v="2025-01-07T00:00:00"/>
    <s v="FACTURE ANNUELLE MAINTENANCE SITE WEB PILI 2025"/>
    <m/>
    <e v="#N/A"/>
    <e v="#N/A"/>
    <n v="59861"/>
    <s v="F255148"/>
    <s v="ADVERIS"/>
    <s v="Q1"/>
    <e v="#REF!"/>
    <e v="#REF!"/>
    <e v="#REF!"/>
  </r>
  <r>
    <s v="401000"/>
    <x v="6"/>
    <s v="FOURNISSEURS"/>
    <s v="AC"/>
    <n v="-3462.75"/>
    <d v="2025-02-25T00:00:00"/>
    <s v="PAIEMENT EN AVANCE 100% FORFAIT CAISSE AMERICAINE + DIBOND 2MM +"/>
    <m/>
    <e v="#N/A"/>
    <e v="#N/A"/>
    <n v="72535"/>
    <s v="FA608976"/>
    <s v="NEGATIF -"/>
    <s v="Q1"/>
    <e v="#REF!"/>
    <e v="#REF!"/>
    <e v="#REF!"/>
  </r>
  <r>
    <s v="401000"/>
    <x v="6"/>
    <s v="FOURNISSEURS"/>
    <s v="AC"/>
    <n v="-3406.48"/>
    <d v="2025-12-18T00:00:00"/>
    <s v="CONSEIL LEVÉE DE FONDS US - SAM KASSAHUN"/>
    <s v="Non"/>
    <s v="Non"/>
    <e v="#N/A"/>
    <n v="93015"/>
    <s v="1"/>
    <s v="KASSAHUN CAPITAL"/>
    <s v="Q4"/>
    <e v="#REF!"/>
    <e v="#REF!"/>
    <e v="#REF!"/>
  </r>
  <r>
    <s v="401000"/>
    <x v="6"/>
    <s v="FOURNISSEURS"/>
    <s v="AC"/>
    <n v="-3316.8"/>
    <d v="2025-01-31T00:00:00"/>
    <s v="Loyer Mensuel Actea"/>
    <m/>
    <e v="#N/A"/>
    <e v="#N/A"/>
    <n v="63944"/>
    <m/>
    <s v="ACTEA"/>
    <s v="Q1"/>
    <e v="#REF!"/>
    <e v="#REF!"/>
    <e v="#REF!"/>
  </r>
  <r>
    <s v="401000"/>
    <x v="6"/>
    <s v="FOURNISSEURS"/>
    <s v="AC"/>
    <n v="-3316.8"/>
    <d v="2025-02-28T00:00:00"/>
    <s v="Loyer Mensuel Actea"/>
    <m/>
    <e v="#N/A"/>
    <e v="#N/A"/>
    <n v="63948"/>
    <m/>
    <s v="ACTEA"/>
    <s v="Q1"/>
    <e v="#REF!"/>
    <e v="#REF!"/>
    <e v="#REF!"/>
  </r>
  <r>
    <s v="401000"/>
    <x v="6"/>
    <s v="FOURNISSEURS"/>
    <s v="AC"/>
    <n v="-3316.8"/>
    <d v="2025-03-31T00:00:00"/>
    <s v="Loyer Mensuel Actea"/>
    <m/>
    <e v="#N/A"/>
    <e v="#N/A"/>
    <n v="63952"/>
    <m/>
    <s v="ACTEA"/>
    <s v="Q1"/>
    <e v="#REF!"/>
    <e v="#REF!"/>
    <e v="#REF!"/>
  </r>
  <r>
    <s v="401000"/>
    <x v="6"/>
    <s v="FOURNISSEURS"/>
    <s v="AC"/>
    <n v="-3316.8"/>
    <d v="2025-04-30T00:00:00"/>
    <s v="Loyer Mensuel Actea"/>
    <m/>
    <e v="#N/A"/>
    <e v="#N/A"/>
    <n v="63956"/>
    <m/>
    <s v="ACTEA"/>
    <s v="Q2"/>
    <e v="#REF!"/>
    <e v="#REF!"/>
    <e v="#REF!"/>
  </r>
  <r>
    <s v="401000"/>
    <x v="6"/>
    <s v="FOURNISSEURS"/>
    <s v="AC"/>
    <n v="-3316.8"/>
    <d v="2025-05-31T00:00:00"/>
    <s v="Loyer Mensuel Actea"/>
    <m/>
    <e v="#N/A"/>
    <e v="#N/A"/>
    <n v="63960"/>
    <m/>
    <s v="ACTEA"/>
    <s v="Q2"/>
    <e v="#REF!"/>
    <e v="#REF!"/>
    <e v="#REF!"/>
  </r>
  <r>
    <s v="401000"/>
    <x v="6"/>
    <s v="FOURNISSEURS"/>
    <s v="AC"/>
    <n v="-3316.8"/>
    <d v="2025-06-30T00:00:00"/>
    <s v="Loyer Mensuel Actea"/>
    <m/>
    <e v="#N/A"/>
    <e v="#N/A"/>
    <n v="63964"/>
    <m/>
    <s v="ACTEA"/>
    <s v="Q2"/>
    <e v="#REF!"/>
    <e v="#REF!"/>
    <e v="#REF!"/>
  </r>
  <r>
    <s v="401000"/>
    <x v="6"/>
    <s v="FOURNISSEURS"/>
    <s v="AC"/>
    <n v="-3316.8"/>
    <d v="2025-07-01T00:00:00"/>
    <s v="Loyer Mensuel Actea"/>
    <m/>
    <e v="#N/A"/>
    <e v="#N/A"/>
    <n v="63968"/>
    <m/>
    <s v="ACTEA"/>
    <s v="Q3"/>
    <e v="#REF!"/>
    <e v="#REF!"/>
    <e v="#REF!"/>
  </r>
  <r>
    <s v="401000"/>
    <x v="6"/>
    <s v="FOURNISSEURS"/>
    <s v="AC"/>
    <n v="-3316.8"/>
    <d v="2025-08-01T00:00:00"/>
    <s v="Loyer Mensuel Actea"/>
    <m/>
    <e v="#N/A"/>
    <e v="#N/A"/>
    <n v="63972"/>
    <m/>
    <s v="ACTEA"/>
    <s v="Q3"/>
    <e v="#REF!"/>
    <e v="#REF!"/>
    <e v="#REF!"/>
  </r>
  <r>
    <s v="401000"/>
    <x v="6"/>
    <s v="FOURNISSEURS"/>
    <s v="AC"/>
    <n v="-3316.8"/>
    <d v="2025-09-01T00:00:00"/>
    <s v="Loyer Mensuel Actea"/>
    <m/>
    <e v="#N/A"/>
    <e v="#N/A"/>
    <n v="63976"/>
    <m/>
    <s v="ACTEA"/>
    <s v="Q3"/>
    <e v="#REF!"/>
    <e v="#REF!"/>
    <e v="#REF!"/>
  </r>
  <r>
    <s v="401000"/>
    <x v="6"/>
    <s v="FOURNISSEURS"/>
    <s v="AC"/>
    <n v="-3316.8"/>
    <d v="2025-10-01T00:00:00"/>
    <s v="Loyer Mensuel Actea"/>
    <m/>
    <e v="#N/A"/>
    <e v="#N/A"/>
    <n v="63980"/>
    <m/>
    <s v="ACTEA"/>
    <s v="Q4"/>
    <e v="#REF!"/>
    <e v="#REF!"/>
    <e v="#REF!"/>
  </r>
  <r>
    <s v="401000"/>
    <x v="6"/>
    <s v="FOURNISSEURS"/>
    <s v="AC"/>
    <n v="-3316.8"/>
    <d v="2025-11-01T00:00:00"/>
    <s v="Loyer Mensuel Actea"/>
    <m/>
    <e v="#N/A"/>
    <e v="#N/A"/>
    <n v="63984"/>
    <m/>
    <s v="ACTEA"/>
    <s v="Q4"/>
    <e v="#REF!"/>
    <e v="#REF!"/>
    <e v="#REF!"/>
  </r>
  <r>
    <s v="401000"/>
    <x v="6"/>
    <s v="FOURNISSEURS"/>
    <s v="AC"/>
    <n v="-3316.8"/>
    <d v="2025-12-01T00:00:00"/>
    <s v="Loyer Mensuel Actea"/>
    <m/>
    <e v="#N/A"/>
    <e v="#N/A"/>
    <n v="63988"/>
    <m/>
    <s v="ACTEA"/>
    <s v="Q4"/>
    <e v="#REF!"/>
    <e v="#REF!"/>
    <e v="#REF!"/>
  </r>
  <r>
    <s v="401000"/>
    <x v="6"/>
    <s v="FOURNISSEURS"/>
    <s v="AC"/>
    <n v="-3120"/>
    <d v="2025-04-11T00:00:00"/>
    <s v="PACK EXPERT PLUSMP"/>
    <s v="Non"/>
    <s v="Non"/>
    <e v="#N/A"/>
    <n v="69777"/>
    <s v="INMI00008326"/>
    <s v="MICHAEL PAGE"/>
    <s v="Q2"/>
    <e v="#REF!"/>
    <e v="#REF!"/>
    <e v="#REF!"/>
  </r>
  <r>
    <s v="401000"/>
    <x v="6"/>
    <s v="FOURNISSEURS"/>
    <s v="AC"/>
    <n v="-3027.91"/>
    <d v="2025-03-31T00:00:00"/>
    <s v="ARRÊTÉ ANNUEL DES COMPTES 2024 : ACOMPTE FORFAIT CONSULTATION FULLL MARS 2025"/>
    <s v="Non"/>
    <s v="Non"/>
    <e v="#N/A"/>
    <n v="67934"/>
    <s v="EXP0007618"/>
    <s v="F2P AUDIT &amp; CONSEIL"/>
    <s v="Q1"/>
    <e v="#REF!"/>
    <e v="#REF!"/>
    <e v="#REF!"/>
  </r>
  <r>
    <s v="401000"/>
    <x v="6"/>
    <s v="FOURNISSEURS"/>
    <s v="AC"/>
    <n v="-3000"/>
    <d v="2025-01-31T00:00:00"/>
    <s v="PRESTATIONS JANVIER"/>
    <s v="Non"/>
    <s v="Non"/>
    <e v="#N/A"/>
    <n v="61363"/>
    <s v="BOLD-027295"/>
    <s v="WE ARE BOLD"/>
    <s v="Q1"/>
    <e v="#REF!"/>
    <e v="#REF!"/>
    <e v="#REF!"/>
  </r>
  <r>
    <s v="401000"/>
    <x v="6"/>
    <s v="FOURNISSEURS"/>
    <s v="AC"/>
    <n v="-3000"/>
    <d v="2025-02-28T00:00:00"/>
    <s v="PRESTATION FÉVRIER"/>
    <s v="Non"/>
    <s v="Non"/>
    <e v="#N/A"/>
    <n v="61563"/>
    <s v="BOLD-027553"/>
    <s v="WE ARE BOLD"/>
    <s v="Q1"/>
    <e v="#REF!"/>
    <e v="#REF!"/>
    <e v="#REF!"/>
  </r>
  <r>
    <s v="401000"/>
    <x v="6"/>
    <s v="FOURNISSEURS"/>
    <s v="AC"/>
    <n v="-3000"/>
    <d v="2025-03-31T00:00:00"/>
    <s v="HONORAIRES JURIDIQUES FORFAITISÉS"/>
    <s v="Non"/>
    <s v="Non"/>
    <e v="#N/A"/>
    <n v="67931"/>
    <s v="BOLD-028083"/>
    <s v="WE ARE BOLD"/>
    <s v="Q1"/>
    <e v="#REF!"/>
    <e v="#REF!"/>
    <e v="#REF!"/>
  </r>
  <r>
    <s v="401000"/>
    <x v="6"/>
    <s v="FOURNISSEURS"/>
    <s v="AC"/>
    <n v="-3000"/>
    <d v="2025-04-30T00:00:00"/>
    <s v="PRESTATION BOLD 2025_04"/>
    <s v="Non"/>
    <s v="Non"/>
    <e v="#N/A"/>
    <n v="72650"/>
    <s v="PLDJWFFPGHJYZZ"/>
    <s v="WE ARE BOLD"/>
    <s v="Q2"/>
    <e v="#REF!"/>
    <e v="#REF!"/>
    <e v="#REF!"/>
  </r>
  <r>
    <s v="401000"/>
    <x v="6"/>
    <s v="FOURNISSEURS"/>
    <s v="AC"/>
    <n v="-3000"/>
    <d v="2025-05-31T00:00:00"/>
    <s v="FORFAIT JURIDIQUE 2025_05"/>
    <s v="Non"/>
    <s v="Non"/>
    <e v="#N/A"/>
    <n v="75171"/>
    <s v="BOLD-029240"/>
    <s v="WE ARE BOLD"/>
    <s v="Q2"/>
    <e v="#REF!"/>
    <e v="#REF!"/>
    <e v="#REF!"/>
  </r>
  <r>
    <s v="401000"/>
    <x v="6"/>
    <s v="FOURNISSEURS"/>
    <s v="AC"/>
    <n v="-3000"/>
    <d v="2025-06-30T00:00:00"/>
    <s v="PRESTATION BOLD"/>
    <s v="Non"/>
    <s v="Non"/>
    <e v="#N/A"/>
    <n v="77317"/>
    <s v="BOLD-029728"/>
    <s v="WE ARE BOLD"/>
    <s v="Q2"/>
    <e v="#REF!"/>
    <e v="#REF!"/>
    <e v="#REF!"/>
  </r>
  <r>
    <s v="401000"/>
    <x v="6"/>
    <s v="FOURNISSEURS"/>
    <s v="AC"/>
    <n v="-3000"/>
    <d v="2025-07-31T00:00:00"/>
    <s v="FORFAIT JURIDIQUE"/>
    <s v="Non"/>
    <s v="Non"/>
    <e v="#N/A"/>
    <n v="81234"/>
    <s v="BOLD-030331"/>
    <s v="WE ARE BOLD"/>
    <s v="Q3"/>
    <e v="#REF!"/>
    <e v="#REF!"/>
    <e v="#REF!"/>
  </r>
  <r>
    <s v="401000"/>
    <x v="6"/>
    <s v="FOURNISSEURS"/>
    <s v="AC"/>
    <n v="-3000"/>
    <d v="2025-08-31T00:00:00"/>
    <s v="UNLIMITED EXPANSION"/>
    <s v="Non"/>
    <s v="Non"/>
    <e v="#N/A"/>
    <n v="81838"/>
    <s v="BOLD-030872"/>
    <s v="WE ARE BOLD"/>
    <s v="Q3"/>
    <e v="#REF!"/>
    <e v="#REF!"/>
    <e v="#REF!"/>
  </r>
  <r>
    <s v="401000"/>
    <x v="6"/>
    <s v="FOURNISSEURS"/>
    <s v="AC"/>
    <n v="-3000"/>
    <d v="2025-09-30T00:00:00"/>
    <s v="UNLIMITED EXPANSION"/>
    <s v="Non"/>
    <s v="Non"/>
    <e v="#N/A"/>
    <n v="82753"/>
    <s v="BOLD-031513"/>
    <s v="WE ARE BOLD"/>
    <s v="Q3"/>
    <e v="#REF!"/>
    <e v="#REF!"/>
    <e v="#REF!"/>
  </r>
  <r>
    <s v="401000"/>
    <x v="6"/>
    <s v="FOURNISSEURS"/>
    <s v="AC"/>
    <n v="-3000"/>
    <d v="2025-10-31T00:00:00"/>
    <s v="UNLIMITED EXPANSION"/>
    <s v="Non"/>
    <s v="Non"/>
    <e v="#N/A"/>
    <n v="89889"/>
    <s v="BOLD-031909"/>
    <s v="WE ARE BOLD"/>
    <s v="Q4"/>
    <e v="#REF!"/>
    <e v="#REF!"/>
    <e v="#REF!"/>
  </r>
  <r>
    <s v="401000"/>
    <x v="6"/>
    <s v="FOURNISSEURS"/>
    <s v="AC"/>
    <n v="-3000"/>
    <d v="2025-11-30T00:00:00"/>
    <s v="UNLIMITED EXPANSION"/>
    <s v="Non"/>
    <s v="Non"/>
    <e v="#N/A"/>
    <n v="91992"/>
    <s v="BOLD-032519"/>
    <s v="WE ARE BOLD"/>
    <s v="Q4"/>
    <e v="#REF!"/>
    <e v="#REF!"/>
    <e v="#REF!"/>
  </r>
  <r>
    <s v="401000"/>
    <x v="6"/>
    <s v="FOURNISSEURS"/>
    <s v="AC"/>
    <n v="-3000"/>
    <d v="2025-12-31T00:00:00"/>
    <s v="UNLIMITED EXPANSION"/>
    <s v="Non"/>
    <s v="Non"/>
    <e v="#N/A"/>
    <n v="94303"/>
    <s v="BOLD-033050"/>
    <s v="WE ARE BOLD"/>
    <s v="Q4"/>
    <e v="#REF!"/>
    <e v="#REF!"/>
    <e v="#REF!"/>
  </r>
  <r>
    <s v="401000"/>
    <x v="6"/>
    <s v="FOURNISSEURS"/>
    <s v="AC"/>
    <n v="-2940"/>
    <d v="2025-11-25T00:00:00"/>
    <s v="CONVERSION DES OC PILI"/>
    <s v="Non"/>
    <s v="Non"/>
    <e v="#N/A"/>
    <n v="91964"/>
    <s v="F-2025111030"/>
    <s v="AETHER"/>
    <s v="Q4"/>
    <e v="#REF!"/>
    <e v="#REF!"/>
    <e v="#REF!"/>
  </r>
  <r>
    <s v="401000"/>
    <x v="6"/>
    <s v="FOURNISSEURS"/>
    <s v="AC"/>
    <n v="-2913.06"/>
    <d v="2025-01-17T00:00:00"/>
    <s v="POMPE ADDITION KL - MERCI DE PAYER PAR ANTICIPATION ET DE ME TRANSMETTRE LA PREUVE DE VIREMENT - URGENT"/>
    <m/>
    <e v="#N/A"/>
    <e v="#N/A"/>
    <n v="59891"/>
    <s v="FR-5125300495"/>
    <s v="PROMINENT"/>
    <s v="Q1"/>
    <e v="#REF!"/>
    <e v="#REF!"/>
    <e v="#REF!"/>
  </r>
  <r>
    <s v="401000"/>
    <x v="6"/>
    <s v="FOURNISSEURS"/>
    <s v="AC"/>
    <n v="-2907.91"/>
    <d v="2025-02-28T00:00:00"/>
    <s v="ARRÊTÉ ANNUEL DES COMPTES 2024 : ACOMPTE  FORFAIT CONSULTATION FULLL FÉVRIER 2025"/>
    <s v="Non"/>
    <s v="Non"/>
    <e v="#N/A"/>
    <n v="64128"/>
    <s v="EXP0007594"/>
    <s v="F2P AUDIT &amp; CONSEIL"/>
    <s v="Q1"/>
    <e v="#REF!"/>
    <e v="#REF!"/>
    <e v="#REF!"/>
  </r>
  <r>
    <s v="401000"/>
    <x v="6"/>
    <s v="FOURNISSEURS"/>
    <s v="AC"/>
    <n v="-2904"/>
    <d v="2025-04-01T00:00:00"/>
    <s v="RC1 ET DSC"/>
    <m/>
    <e v="#N/A"/>
    <e v="#N/A"/>
    <n v="69680"/>
    <s v="FAR-2025-000189"/>
    <s v="INSA ROUEN"/>
    <s v="Q2"/>
    <e v="#REF!"/>
    <e v="#REF!"/>
    <e v="#REF!"/>
  </r>
  <r>
    <s v="401000"/>
    <x v="6"/>
    <s v="FOURNISSEURS"/>
    <s v="AC"/>
    <n v="-2904"/>
    <d v="2025-07-07T00:00:00"/>
    <s v="RC1 - DSC KEEN Y STEP 2"/>
    <m/>
    <e v="#N/A"/>
    <e v="#N/A"/>
    <n v="81748"/>
    <s v="FAR-2025-000562"/>
    <s v="INSA ROUEN"/>
    <s v="Q3"/>
    <e v="#REF!"/>
    <e v="#REF!"/>
    <e v="#REF!"/>
  </r>
  <r>
    <s v="401000"/>
    <x v="6"/>
    <s v="FOURNISSEURS"/>
    <s v="AC"/>
    <n v="-2904"/>
    <d v="2025-10-13T00:00:00"/>
    <s v="DCS ET RC 1 KEEN Y STEP 3"/>
    <m/>
    <e v="#N/A"/>
    <e v="#N/A"/>
    <n v="87073"/>
    <s v="FAR-2025-000749"/>
    <s v="INSA ROUEN"/>
    <s v="Q4"/>
    <e v="#REF!"/>
    <e v="#REF!"/>
    <e v="#REF!"/>
  </r>
  <r>
    <s v="401000"/>
    <x v="6"/>
    <s v="FOURNISSEURS"/>
    <s v="AC"/>
    <n v="-2886.24"/>
    <d v="2025-07-22T00:00:00"/>
    <s v="ETALONNAGE :  - BALANCE (4) - SONDE DE TEMPÉRATURE (7 - CAPTEURS DE PRESSION (5) - MANOMÈTRE (7)"/>
    <m/>
    <e v="#N/A"/>
    <e v="#N/A"/>
    <n v="78928"/>
    <s v="LSE-049745"/>
    <s v="LABSERVICES"/>
    <s v="Q3"/>
    <e v="#REF!"/>
    <e v="#REF!"/>
    <e v="#REF!"/>
  </r>
  <r>
    <s v="401000"/>
    <x v="6"/>
    <s v="FOURNISSEURS"/>
    <s v="AC"/>
    <n v="-2880"/>
    <d v="2025-06-30T00:00:00"/>
    <s v="DÉMONTAGE DÔME RÉACTEUR"/>
    <m/>
    <e v="#N/A"/>
    <e v="#N/A"/>
    <n v="77303"/>
    <s v="FACT1901"/>
    <s v="DMI"/>
    <s v="Q2"/>
    <e v="#REF!"/>
    <e v="#REF!"/>
    <e v="#REF!"/>
  </r>
  <r>
    <s v="401000"/>
    <x v="6"/>
    <s v="FOURNISSEURS"/>
    <s v="AC"/>
    <n v="-2875"/>
    <d v="2025-02-18T00:00:00"/>
    <s v="COTISATION 2025"/>
    <m/>
    <s v="Non"/>
    <s v="Oui"/>
    <n v="61517"/>
    <s v="FA250036"/>
    <s v="ASSOCIATION CHIMIE DU VEGETAL"/>
    <s v="Q1"/>
    <e v="#REF!"/>
    <e v="#REF!"/>
    <e v="#REF!"/>
  </r>
  <r>
    <s v="401000"/>
    <x v="6"/>
    <s v="FOURNISSEURS"/>
    <s v="AC"/>
    <n v="-2806.51"/>
    <d v="2025-01-31T00:00:00"/>
    <s v="SUIVI COMPTABLE ET FISCAL : DÉCEMBRE 2024 ARRÊTÉ ANNUEL DES COMPTES 2024 : ACOMPTE"/>
    <s v="Non"/>
    <s v="Non"/>
    <e v="#N/A"/>
    <n v="61381"/>
    <s v="EXP0007523"/>
    <s v="F2P AUDIT &amp; CONSEIL"/>
    <s v="Q1"/>
    <e v="#REF!"/>
    <e v="#REF!"/>
    <e v="#REF!"/>
  </r>
  <r>
    <s v="401000"/>
    <x v="6"/>
    <s v="FOURNISSEURS"/>
    <s v="AC"/>
    <n v="-2700"/>
    <d v="2025-02-28T00:00:00"/>
    <s v="HÉBERGEMENT AXE CLOUD SERVEUR, LE MOIS ENGAGEMENT SUR 12 MOIS MINIMUM FRAIS DE MISE EN SERVICE MACHINE VIRTUELLE"/>
    <m/>
    <s v="Non"/>
    <e v="#N/A"/>
    <n v="66551"/>
    <s v="FAP10637"/>
    <s v="AXE GESCOM"/>
    <s v="Q1"/>
    <e v="#REF!"/>
    <e v="#REF!"/>
    <e v="#REF!"/>
  </r>
  <r>
    <s v="401000"/>
    <x v="6"/>
    <s v="FOURNISSEURS"/>
    <s v="AC"/>
    <n v="-2700"/>
    <d v="2025-02-28T00:00:00"/>
    <s v="HÉBERGEMENT AXE CLOUD SERVEUR, LE MOIS ENGAGEMENT SUR 12 MOIS MINIMUM FRAIS DE MISE EN SERVICE MACHINE VIRTUELLE"/>
    <m/>
    <s v="Non"/>
    <e v="#N/A"/>
    <n v="66552"/>
    <s v="FAP10637"/>
    <s v="AXE GESCOM"/>
    <s v="Q1"/>
    <e v="#REF!"/>
    <e v="#REF!"/>
    <e v="#REF!"/>
  </r>
  <r>
    <s v="401000"/>
    <x v="6"/>
    <s v="FOURNISSEURS"/>
    <s v="AC"/>
    <n v="-2700"/>
    <d v="2025-02-28T00:00:00"/>
    <s v="HÉBERGEMENT AXE CLOUD SERVEUR, LE MOIS ENGAGEMENT SUR 12 MOIS MINIMUM FRAIS DE MISE EN SERVICE MACHINE VIRTUELLE"/>
    <m/>
    <s v="Non"/>
    <e v="#N/A"/>
    <n v="66553"/>
    <s v="FAP10637"/>
    <s v="AXE GESCOM"/>
    <s v="Q1"/>
    <e v="#REF!"/>
    <e v="#REF!"/>
    <e v="#REF!"/>
  </r>
  <r>
    <s v="401000"/>
    <x v="6"/>
    <s v="FOURNISSEURS"/>
    <s v="AC"/>
    <n v="-2684.62"/>
    <d v="2025-07-31T00:00:00"/>
    <s v="VERRERIE POUR LABORATOIRE R. ET DIVERS PETIT MATÉRIEL POUR PILOT / KL"/>
    <m/>
    <e v="#N/A"/>
    <e v="#N/A"/>
    <n v="81767"/>
    <s v="0189108"/>
    <s v="CLOUP"/>
    <s v="Q3"/>
    <e v="#REF!"/>
    <e v="#REF!"/>
    <e v="#REF!"/>
  </r>
  <r>
    <s v="401000"/>
    <x v="6"/>
    <s v="FOURNISSEURS"/>
    <s v="AC"/>
    <n v="-2657.84"/>
    <d v="2025-02-15T00:00:00"/>
    <s v="AMÉNAGEMENT NOUVEAUX BUNGALOW :  10 TABLES DE RÉUNION PLIANTES (5 PAR BUNGALOW) : 209.35€HT/TABLE JABRA : 121.37€HT"/>
    <m/>
    <s v="Non"/>
    <e v="#N/A"/>
    <n v="61502"/>
    <s v="134"/>
    <s v="DIVERS"/>
    <s v="Q1"/>
    <e v="#REF!"/>
    <e v="#REF!"/>
    <e v="#REF!"/>
  </r>
  <r>
    <s v="401000"/>
    <x v="6"/>
    <s v="FOURNISSEURS"/>
    <s v="AC"/>
    <n v="-2628"/>
    <d v="2025-02-14T00:00:00"/>
    <s v="FORMATION MAUD SANCHEZ  MANAGER UNE ÉQUIPE DU 12/02 AU 14/02 - 21H LYON"/>
    <m/>
    <s v="Non"/>
    <n v="0"/>
    <n v="64091"/>
    <s v="9000647819"/>
    <s v="CEGOS"/>
    <s v="Q1"/>
    <e v="#REF!"/>
    <e v="#REF!"/>
    <e v="#REF!"/>
  </r>
  <r>
    <s v="401000"/>
    <x v="6"/>
    <s v="FOURNISSEURS"/>
    <s v="AC"/>
    <n v="-2590"/>
    <d v="2025-05-19T00:00:00"/>
    <s v="TRANSPORTATION COSTS"/>
    <s v="Non"/>
    <e v="#N/A"/>
    <e v="#N/A"/>
    <n v="77090"/>
    <s v="91250058"/>
    <s v="BIOTIKA"/>
    <s v="Q2"/>
    <e v="#REF!"/>
    <e v="#REF!"/>
    <e v="#REF!"/>
  </r>
  <r>
    <s v="401000"/>
    <x v="6"/>
    <s v="FOURNISSEURS"/>
    <s v="AC"/>
    <n v="-2560.1"/>
    <d v="2025-08-06T00:00:00"/>
    <s v="DÉTECTEUR DE GAZ DRÄGER"/>
    <m/>
    <e v="#N/A"/>
    <e v="#N/A"/>
    <n v="81909"/>
    <s v="922057887"/>
    <s v="DENIOS"/>
    <s v="Q3"/>
    <e v="#REF!"/>
    <e v="#REF!"/>
    <e v="#REF!"/>
  </r>
  <r>
    <s v="401000"/>
    <x v="6"/>
    <s v="FOURNISSEURS"/>
    <s v="AC"/>
    <n v="-2450.7399999999998"/>
    <d v="2025-03-26T00:00:00"/>
    <s v="COMMANDE DÉTECTEUR HCN POUR KEENB. FACTURE PAYÉE D'AVANCE."/>
    <m/>
    <e v="#N/A"/>
    <e v="#N/A"/>
    <n v="67887"/>
    <s v="922049545"/>
    <s v="DENIOS"/>
    <s v="Q1"/>
    <e v="#REF!"/>
    <e v="#REF!"/>
    <e v="#REF!"/>
  </r>
  <r>
    <s v="401000"/>
    <x v="6"/>
    <s v="FOURNISSEURS"/>
    <s v="AC"/>
    <n v="-2412.63"/>
    <d v="2025-02-01T00:00:00"/>
    <s v="MONTHLY CONSULTANCY SERVICES 2025_02"/>
    <s v="Non"/>
    <s v="Non"/>
    <e v="#N/A"/>
    <n v="75148"/>
    <s v="7"/>
    <s v="NEIL BELL"/>
    <s v="Q1"/>
    <e v="#REF!"/>
    <e v="#REF!"/>
    <e v="#REF!"/>
  </r>
  <r>
    <s v="401000"/>
    <x v="6"/>
    <s v="FOURNISSEURS"/>
    <s v="AC"/>
    <n v="-2408.88"/>
    <d v="2025-03-01T00:00:00"/>
    <s v="MONTHLY CONSULTANCE SERVICES 2025_03"/>
    <s v="Non"/>
    <s v="Non"/>
    <e v="#N/A"/>
    <n v="75150"/>
    <s v="8"/>
    <s v="NEIL BELL"/>
    <s v="Q1"/>
    <e v="#REF!"/>
    <e v="#REF!"/>
    <e v="#REF!"/>
  </r>
  <r>
    <s v="401000"/>
    <x v="6"/>
    <s v="FOURNISSEURS"/>
    <s v="AC"/>
    <n v="-2402.54"/>
    <d v="2025-01-01T00:00:00"/>
    <s v="MONTHLY CONSULTANCY SERVICES 2025_01"/>
    <s v="Non"/>
    <s v="Non"/>
    <e v="#N/A"/>
    <n v="75146"/>
    <s v="6"/>
    <s v="NEIL BELL"/>
    <s v="Q1"/>
    <e v="#REF!"/>
    <e v="#REF!"/>
    <e v="#REF!"/>
  </r>
  <r>
    <s v="401000"/>
    <x v="6"/>
    <s v="FOURNISSEURS"/>
    <s v="AC"/>
    <n v="-2400"/>
    <d v="2025-03-31T00:00:00"/>
    <s v="MISSION CIR"/>
    <s v="Non"/>
    <s v="Non"/>
    <e v="#N/A"/>
    <n v="67919"/>
    <s v="F-2025-4164"/>
    <s v="BUSINOVE"/>
    <s v="Q1"/>
    <e v="#REF!"/>
    <e v="#REF!"/>
    <e v="#REF!"/>
  </r>
  <r>
    <s v="401000"/>
    <x v="6"/>
    <s v="FOURNISSEURS"/>
    <s v="AC"/>
    <n v="-2400"/>
    <d v="2025-11-03T00:00:00"/>
    <s v="ACOMPTE MISSION CIR 2025"/>
    <s v="Non"/>
    <s v="Non"/>
    <e v="#N/A"/>
    <n v="92152"/>
    <s v="F-2025-4578"/>
    <s v="BUSINOVE"/>
    <s v="Q4"/>
    <e v="#REF!"/>
    <e v="#REF!"/>
    <e v="#REF!"/>
  </r>
  <r>
    <s v="401000"/>
    <x v="6"/>
    <s v="FOURNISSEURS"/>
    <s v="AC"/>
    <n v="-2394"/>
    <d v="2025-12-04T00:00:00"/>
    <s v="ACHAT BANQUE D'IMAGES"/>
    <m/>
    <e v="#N/A"/>
    <e v="#N/A"/>
    <n v="93599"/>
    <s v="2025 / 187"/>
    <s v="HIPOLITO"/>
    <s v="Q4"/>
    <e v="#REF!"/>
    <e v="#REF!"/>
    <e v="#REF!"/>
  </r>
  <r>
    <s v="401000"/>
    <x v="6"/>
    <s v="FOURNISSEURS"/>
    <s v="AC"/>
    <n v="-2375.4"/>
    <d v="2025-11-01T00:00:00"/>
    <s v="INSTALLATION RÉACTEURS PILOTE"/>
    <m/>
    <e v="#N/A"/>
    <e v="#N/A"/>
    <n v="91072"/>
    <s v="202201976"/>
    <s v="MANUTENTION LEVAGE"/>
    <s v="Q4"/>
    <e v="#REF!"/>
    <e v="#REF!"/>
    <e v="#REF!"/>
  </r>
  <r>
    <s v="401000"/>
    <x v="6"/>
    <s v="FOURNISSEURS"/>
    <s v="AC"/>
    <n v="-2350.5"/>
    <d v="2025-01-24T00:00:00"/>
    <s v="FACTURE FINALE ZDHC LEVEL 1 INDIGO"/>
    <m/>
    <e v="#N/A"/>
    <e v="#N/A"/>
    <n v="61307"/>
    <s v="INV-0177"/>
    <s v="Eurofins BLC Leather Technology Centre Limited"/>
    <s v="Q1"/>
    <e v="#REF!"/>
    <e v="#REF!"/>
    <e v="#REF!"/>
  </r>
  <r>
    <s v="401000"/>
    <x v="6"/>
    <s v="FOURNISSEURS"/>
    <s v="AC"/>
    <n v="-2340"/>
    <d v="2025-01-18T00:00:00"/>
    <s v="DÉCLARATION D'EFFECTIF"/>
    <m/>
    <e v="#N/A"/>
    <e v="#N/A"/>
    <n v="61272"/>
    <s v="2512909"/>
    <s v="CIAMT"/>
    <s v="Q1"/>
    <e v="#REF!"/>
    <e v="#REF!"/>
    <e v="#REF!"/>
  </r>
  <r>
    <s v="401000"/>
    <x v="6"/>
    <s v="FOURNISSEURS"/>
    <s v="AC"/>
    <n v="-2335.12"/>
    <d v="2025-10-31T00:00:00"/>
    <s v="COMMANDE DE VERRERIE POUR LE LABORATOIRE DU KB"/>
    <m/>
    <e v="#N/A"/>
    <e v="#N/A"/>
    <n v="89892"/>
    <s v="0190171"/>
    <s v="CLOUP"/>
    <s v="Q4"/>
    <e v="#REF!"/>
    <e v="#REF!"/>
    <e v="#REF!"/>
  </r>
  <r>
    <s v="401000"/>
    <x v="6"/>
    <s v="FOURNISSEURS"/>
    <s v="AC"/>
    <n v="-2328"/>
    <d v="2025-10-17T00:00:00"/>
    <s v="BUDGET SUPPLÉMENTAIRE POUR MODIFICATION DE PROJET"/>
    <m/>
    <e v="#N/A"/>
    <e v="#N/A"/>
    <n v="87443"/>
    <s v="2025/156"/>
    <s v="HIPOLITO"/>
    <s v="Q4"/>
    <e v="#REF!"/>
    <e v="#REF!"/>
    <e v="#REF!"/>
  </r>
  <r>
    <s v="401000"/>
    <x v="6"/>
    <s v="FOURNISSEURS"/>
    <s v="AC"/>
    <n v="-2326.1999999999998"/>
    <d v="2025-05-31T00:00:00"/>
    <s v="DEMO : SÉCURISATION ZONE DÉMONSTRATEUR : - FONDATION POTEAUX EXISTANTS - TERRASSEMENT"/>
    <m/>
    <e v="#N/A"/>
    <e v="#N/A"/>
    <n v="77262"/>
    <s v="00010449"/>
    <s v="RIBIERE"/>
    <s v="Q2"/>
    <e v="#REF!"/>
    <e v="#REF!"/>
    <e v="#REF!"/>
  </r>
  <r>
    <s v="401000"/>
    <x v="6"/>
    <s v="FOURNISSEURS"/>
    <s v="AC"/>
    <n v="-2320"/>
    <d v="2025-05-31T00:00:00"/>
    <s v="LICENCES DOTMATICS 2026 - 2 ADDITIONAL CHEMISTRY"/>
    <s v="Non"/>
    <e v="#N/A"/>
    <e v="#N/A"/>
    <n v="75184"/>
    <s v="INV24949"/>
    <s v="DOTMATICS LIMITED"/>
    <s v="Q2"/>
    <e v="#REF!"/>
    <e v="#REF!"/>
    <e v="#REF!"/>
  </r>
  <r>
    <s v="401000"/>
    <x v="6"/>
    <s v="FOURNISSEURS"/>
    <s v="AC"/>
    <n v="-2310.9899999999998"/>
    <d v="2025-04-01T00:00:00"/>
    <s v="MONTHLY CONSULTANCY SERVICES 2025_04"/>
    <s v="Non"/>
    <s v="Non"/>
    <e v="#N/A"/>
    <n v="75155"/>
    <s v="9"/>
    <s v="NEIL BELL"/>
    <s v="Q2"/>
    <e v="#REF!"/>
    <e v="#REF!"/>
    <e v="#REF!"/>
  </r>
  <r>
    <s v="401000"/>
    <x v="6"/>
    <s v="FOURNISSEURS"/>
    <s v="AC"/>
    <n v="-2308.36"/>
    <d v="2025-07-01T00:00:00"/>
    <s v="INTERVENTION SUR HPLC ROUSSILLON"/>
    <m/>
    <e v="#N/A"/>
    <e v="#N/A"/>
    <n v="77326"/>
    <s v="FACT-20250701-171"/>
    <s v="C.J. LAB"/>
    <s v="Q3"/>
    <e v="#REF!"/>
    <e v="#REF!"/>
    <e v="#REF!"/>
  </r>
  <r>
    <s v="401000"/>
    <x v="6"/>
    <s v="FOURNISSEURS"/>
    <s v="AC"/>
    <n v="-2250"/>
    <d v="2025-06-13T00:00:00"/>
    <s v="PRESTATION CONSEIL DISTRIBUTION E. CHARRIERE"/>
    <s v="Non"/>
    <s v="Non"/>
    <e v="#N/A"/>
    <n v="76598"/>
    <s v="250644719"/>
    <s v="CHARRIERE Eugenie"/>
    <s v="Q2"/>
    <e v="#REF!"/>
    <e v="#REF!"/>
    <e v="#REF!"/>
  </r>
  <r>
    <s v="401000"/>
    <x v="6"/>
    <s v="FOURNISSEURS"/>
    <s v="AC"/>
    <n v="-2220"/>
    <d v="2025-07-17T00:00:00"/>
    <s v="RÉPARATION DOME REACTEUR VERRE + MANCHETTE TROU DE POING"/>
    <m/>
    <e v="#N/A"/>
    <e v="#N/A"/>
    <n v="78911"/>
    <s v="0017360"/>
    <s v="PIGNAT"/>
    <s v="Q3"/>
    <e v="#REF!"/>
    <e v="#REF!"/>
    <e v="#REF!"/>
  </r>
  <r>
    <s v="401000"/>
    <x v="6"/>
    <s v="FOURNISSEURS"/>
    <s v="AC"/>
    <n v="-2214"/>
    <d v="2025-03-14T00:00:00"/>
    <s v="1 M3 D'ETHANOL"/>
    <m/>
    <e v="#N/A"/>
    <e v="#N/A"/>
    <n v="66140"/>
    <s v="52"/>
    <s v="ARCANE INDUSTRIE"/>
    <s v="Q1"/>
    <e v="#REF!"/>
    <e v="#REF!"/>
    <e v="#REF!"/>
  </r>
  <r>
    <s v="401000"/>
    <x v="6"/>
    <s v="FOURNISSEURS"/>
    <s v="AC"/>
    <n v="-2208.4299999999998"/>
    <d v="2025-09-19T00:00:00"/>
    <s v="EXTENSION CHIC CANADA"/>
    <s v="Non"/>
    <s v="Oui"/>
    <e v="#N/A"/>
    <n v="82732"/>
    <s v="254270"/>
    <s v="BECKER"/>
    <s v="Q3"/>
    <e v="#REF!"/>
    <e v="#REF!"/>
    <e v="#REF!"/>
  </r>
  <r>
    <s v="401000"/>
    <x v="6"/>
    <s v="FOURNISSEURS"/>
    <s v="AC"/>
    <n v="-2191.1999999999998"/>
    <d v="2025-03-03T00:00:00"/>
    <s v="TECHPROTECT PANTALON GENOUILLERES TECHPROTECT VESTE-BLOUSON CHEMISE KENDAL"/>
    <m/>
    <e v="#N/A"/>
    <e v="#N/A"/>
    <n v="65977"/>
    <s v="F12114"/>
    <s v="LE CURIEUX PROMOTION"/>
    <s v="Q1"/>
    <e v="#REF!"/>
    <e v="#REF!"/>
    <e v="#REF!"/>
  </r>
  <r>
    <s v="401000"/>
    <x v="6"/>
    <s v="FOURNISSEURS"/>
    <s v="AC"/>
    <n v="-2175.37"/>
    <d v="2025-05-01T00:00:00"/>
    <s v="MONTHLY CONSULTANCY SERVICES 2025_05"/>
    <s v="Non"/>
    <s v="Non"/>
    <e v="#N/A"/>
    <n v="75161"/>
    <s v="10"/>
    <s v="NEIL BELL"/>
    <s v="Q2"/>
    <e v="#REF!"/>
    <e v="#REF!"/>
    <e v="#REF!"/>
  </r>
  <r>
    <s v="401000"/>
    <x v="6"/>
    <s v="FOURNISSEURS"/>
    <s v="AC"/>
    <n v="-2160"/>
    <d v="2025-04-30T00:00:00"/>
    <s v="LIVRAISON ET INSTALLATION DE DEUX NOUVEAUX ALGECOS -_x0009_LOCATION DES 4 ALGECOS ACTUELS + 2 NOUVEAUX PENDANT 1 AN _x0009_DÉMONTAGE DES"/>
    <m/>
    <e v="#N/A"/>
    <e v="#N/A"/>
    <n v="71367"/>
    <s v="F2504/1780"/>
    <s v="COFICIEL"/>
    <s v="Q2"/>
    <e v="#REF!"/>
    <e v="#REF!"/>
    <e v="#REF!"/>
  </r>
  <r>
    <s v="401000"/>
    <x v="6"/>
    <s v="FOURNISSEURS"/>
    <s v="AC"/>
    <n v="-2160"/>
    <d v="2025-09-30T00:00:00"/>
    <s v="LOCATION ESSOREUSE LABORATOIRE PENDANT 2MOIS AVEC DEUX PANIERS (300ML ET 1,2L) POUR ESSAIS DE SCREENING DE SOLVANTS POUR FINISHI"/>
    <s v="Non"/>
    <e v="#N/A"/>
    <e v="#N/A"/>
    <n v="87440"/>
    <s v="FA006538"/>
    <s v="ROUSSELET CENTRIFUGATION"/>
    <s v="Q3"/>
    <e v="#REF!"/>
    <e v="#REF!"/>
    <e v="#REF!"/>
  </r>
  <r>
    <s v="401000"/>
    <x v="6"/>
    <s v="FOURNISSEURS"/>
    <s v="AC"/>
    <n v="-2160"/>
    <d v="2025-10-31T00:00:00"/>
    <s v="DÉPASSEMENT DU MONTANT DE LA COMMANDE CAR ALLONGEMENT DE LA DURÉE DE LOCATION  LOCATION ESSOREUSE LABORATOIRE PENDANT 2MOIS AVEC"/>
    <s v="Non"/>
    <e v="#N/A"/>
    <e v="#N/A"/>
    <n v="89898"/>
    <s v="FA006635"/>
    <s v="ROUSSELET CENTRIFUGATION"/>
    <s v="Q4"/>
    <e v="#REF!"/>
    <e v="#REF!"/>
    <e v="#REF!"/>
  </r>
  <r>
    <s v="401000"/>
    <x v="6"/>
    <s v="FOURNISSEURS"/>
    <s v="AC"/>
    <n v="-2142.5"/>
    <d v="2025-01-15T00:00:00"/>
    <s v="INSCRIPTION SUR LE SITE DE ZDHC - ENREGISTREMENT INDIGO"/>
    <s v="Non"/>
    <e v="#N/A"/>
    <e v="#N/A"/>
    <n v="59883"/>
    <s v="147037"/>
    <s v="ZDHC Gateway B.V."/>
    <s v="Q1"/>
    <e v="#REF!"/>
    <e v="#REF!"/>
    <e v="#REF!"/>
  </r>
  <r>
    <s v="401000"/>
    <x v="6"/>
    <s v="FOURNISSEURS"/>
    <s v="AC"/>
    <n v="-2106.7600000000002"/>
    <d v="2025-08-01T00:00:00"/>
    <s v="LICENCES OFFICE 365"/>
    <m/>
    <e v="#N/A"/>
    <e v="#N/A"/>
    <n v="81245"/>
    <s v="143651"/>
    <s v="ARESCOM"/>
    <s v="Q3"/>
    <e v="#REF!"/>
    <e v="#REF!"/>
    <e v="#REF!"/>
  </r>
  <r>
    <s v="401000"/>
    <x v="6"/>
    <s v="FOURNISSEURS"/>
    <s v="AC"/>
    <n v="-2086.4299999999998"/>
    <d v="2025-04-01T00:00:00"/>
    <s v="Solde Orange"/>
    <m/>
    <e v="#N/A"/>
    <e v="#N/A"/>
    <n v="74975"/>
    <m/>
    <s v="ORANGE"/>
    <s v="Q2"/>
    <e v="#REF!"/>
    <e v="#REF!"/>
    <e v="#REF!"/>
  </r>
  <r>
    <s v="401000"/>
    <x v="6"/>
    <s v="FOURNISSEURS"/>
    <s v="AC"/>
    <n v="-2062.67"/>
    <d v="2025-02-24T00:00:00"/>
    <s v="RACCORDEMENT ÉLECTRIQUE ALGECOS ROUSSILLON (MAIN D'ŒUVRE + MATÉRIEL) + POSE BAES (BLOC AUTONOME D'ÉCLAIRAGE DE SÉCURITÉ) AU NIVE"/>
    <m/>
    <e v="#N/A"/>
    <e v="#N/A"/>
    <n v="61553"/>
    <s v="FCA21250276"/>
    <s v="COTE"/>
    <s v="Q1"/>
    <e v="#REF!"/>
    <e v="#REF!"/>
    <e v="#REF!"/>
  </r>
  <r>
    <s v="401000"/>
    <x v="6"/>
    <s v="FOURNISSEURS"/>
    <s v="AC"/>
    <n v="-2052"/>
    <d v="2025-09-30T00:00:00"/>
    <s v="VÉRIFICATION + RÉGLAGE SOUPAPES ET DÉTENDEURS"/>
    <m/>
    <e v="#N/A"/>
    <e v="#N/A"/>
    <n v="87437"/>
    <s v="F00034250900143"/>
    <s v="EIFFAGE ENERGIE SYSTEMES"/>
    <s v="Q3"/>
    <e v="#REF!"/>
    <e v="#REF!"/>
    <e v="#REF!"/>
  </r>
  <r>
    <s v="401000"/>
    <x v="6"/>
    <s v="FOURNISSEURS"/>
    <s v="AC"/>
    <n v="-2000"/>
    <d v="2025-05-28T00:00:00"/>
    <s v="REVUE DE LITT SCIENTIFIQUE INDIGO ET COLORANTS/PIGMENTS"/>
    <s v="Non"/>
    <s v="Non"/>
    <e v="#N/A"/>
    <n v="75975"/>
    <s v="2025-04-001"/>
    <s v="WATIER Marie"/>
    <s v="Q2"/>
    <e v="#REF!"/>
    <e v="#REF!"/>
    <e v="#REF!"/>
  </r>
  <r>
    <s v="401000"/>
    <x v="6"/>
    <s v="FOURNISSEURS"/>
    <s v="AC"/>
    <n v="-2000"/>
    <d v="2025-08-21T00:00:00"/>
    <s v="PHOENIX VBIO - ESSAI DECANTEUR - CENTRIGUGE / MARINER"/>
    <s v="Non"/>
    <e v="#N/A"/>
    <e v="#N/A"/>
    <n v="81811"/>
    <s v="91250136"/>
    <s v="BIOTIKA"/>
    <s v="Q3"/>
    <e v="#REF!"/>
    <e v="#REF!"/>
    <e v="#REF!"/>
  </r>
  <r>
    <s v="401000"/>
    <x v="6"/>
    <s v="FOURNISSEURS"/>
    <s v="AC"/>
    <n v="-1981.1"/>
    <d v="2025-09-02T00:00:00"/>
    <s v="LICENCES OFFICE 365"/>
    <m/>
    <e v="#N/A"/>
    <e v="#N/A"/>
    <n v="82309"/>
    <s v="144119"/>
    <s v="ARESCOM"/>
    <s v="Q3"/>
    <e v="#REF!"/>
    <e v="#REF!"/>
    <e v="#REF!"/>
  </r>
  <r>
    <s v="401000"/>
    <x v="6"/>
    <s v="FOURNISSEURS"/>
    <s v="AC"/>
    <n v="-1981.1"/>
    <d v="2025-10-03T00:00:00"/>
    <s v="LICENCES OFFICE 365"/>
    <m/>
    <e v="#N/A"/>
    <e v="#N/A"/>
    <n v="84980"/>
    <s v="144642"/>
    <s v="ARESCOM"/>
    <s v="Q4"/>
    <e v="#REF!"/>
    <e v="#REF!"/>
    <e v="#REF!"/>
  </r>
  <r>
    <s v="401000"/>
    <x v="6"/>
    <s v="FOURNISSEURS"/>
    <s v="AC"/>
    <n v="-1981.1"/>
    <d v="2025-11-03T00:00:00"/>
    <s v="LICENCES OFFICE 365"/>
    <m/>
    <e v="#N/A"/>
    <e v="#N/A"/>
    <n v="89911"/>
    <s v="145166"/>
    <s v="ARESCOM"/>
    <s v="Q4"/>
    <e v="#REF!"/>
    <e v="#REF!"/>
    <e v="#REF!"/>
  </r>
  <r>
    <s v="401000"/>
    <x v="6"/>
    <s v="FOURNISSEURS"/>
    <s v="AC"/>
    <n v="-1981.1"/>
    <d v="2025-12-02T00:00:00"/>
    <s v="LICENCES OFFICE 365"/>
    <m/>
    <e v="#N/A"/>
    <e v="#N/A"/>
    <n v="92155"/>
    <s v="145679"/>
    <s v="ARESCOM"/>
    <s v="Q4"/>
    <e v="#REF!"/>
    <e v="#REF!"/>
    <e v="#REF!"/>
  </r>
  <r>
    <s v="401000"/>
    <x v="6"/>
    <s v="FOURNISSEURS"/>
    <s v="AC"/>
    <n v="-1969.73"/>
    <d v="2025-02-28T00:00:00"/>
    <s v="LIVRAISON ET INSTALLATION DE DEUX NOUVEAUX ALGECOS _x0009_LOCATION DES 4 ALGECOS ACTUELS + 2 NOUVEAUX PENDANT 1 AN _x0009_DÉMONTAGE DES"/>
    <m/>
    <e v="#N/A"/>
    <e v="#N/A"/>
    <n v="61586"/>
    <s v="F2502/1041"/>
    <s v="COFICIEL"/>
    <s v="Q1"/>
    <e v="#REF!"/>
    <e v="#REF!"/>
    <e v="#REF!"/>
  </r>
  <r>
    <s v="401000"/>
    <x v="6"/>
    <s v="FOURNISSEURS"/>
    <s v="AC"/>
    <n v="-1957.16"/>
    <d v="2025-03-03T00:00:00"/>
    <s v="ELECTRICITE"/>
    <m/>
    <e v="#N/A"/>
    <e v="#N/A"/>
    <n v="72553"/>
    <s v="40017294811"/>
    <s v="ENGIE"/>
    <s v="Q1"/>
    <e v="#REF!"/>
    <e v="#REF!"/>
    <e v="#REF!"/>
  </r>
  <r>
    <s v="401000"/>
    <x v="6"/>
    <s v="FOURNISSEURS"/>
    <s v="AC"/>
    <n v="-1946.6"/>
    <d v="2025-05-16T00:00:00"/>
    <s v="AXA (BRANCHE RISQUES FINANCIERS) POLICE N°21656350604 PÉRIODE D'ASSURANCE DU 01/06/2025 AU 31/05/2026"/>
    <m/>
    <e v="#N/A"/>
    <e v="#N/A"/>
    <n v="73788"/>
    <s v="2025-Q100272"/>
    <s v="INITIATIVE &amp; RISK PARTNERS"/>
    <s v="Q2"/>
    <e v="#REF!"/>
    <e v="#REF!"/>
    <e v="#REF!"/>
  </r>
  <r>
    <s v="401000"/>
    <x v="6"/>
    <s v="FOURNISSEURS"/>
    <s v="AC"/>
    <n v="-1945.3"/>
    <d v="2025-05-14T00:00:00"/>
    <s v="HONORAIRES DE PROGRESSION SUR LA PÉRIODE DU 1ER AU 30 AVRIL 2025"/>
    <s v="Non"/>
    <s v="Non"/>
    <e v="#N/A"/>
    <n v="73785"/>
    <s v="C2025520"/>
    <s v="ALTAIR AVOCATS"/>
    <s v="Q2"/>
    <e v="#REF!"/>
    <e v="#REF!"/>
    <e v="#REF!"/>
  </r>
  <r>
    <s v="401000"/>
    <x v="6"/>
    <s v="FOURNISSEURS"/>
    <s v="AC"/>
    <n v="-1854.48"/>
    <d v="2025-12-31T00:00:00"/>
    <s v="ELECTRICITÉ KB 7E ÉTAGE"/>
    <m/>
    <e v="#N/A"/>
    <e v="#N/A"/>
    <n v="94852"/>
    <s v="8,50005E+11"/>
    <s v="ENGIE"/>
    <s v="Q4"/>
    <e v="#REF!"/>
    <e v="#REF!"/>
    <e v="#REF!"/>
  </r>
  <r>
    <s v="401000"/>
    <x v="6"/>
    <s v="FOURNISSEURS"/>
    <s v="AC"/>
    <n v="-1840"/>
    <d v="2025-06-03T00:00:00"/>
    <s v="TRANSPORT OF MATERIAL TO ALFA  LAVAL ITALY (MEDICAL LOGISTICS),"/>
    <s v="Non"/>
    <e v="#N/A"/>
    <e v="#N/A"/>
    <n v="76554"/>
    <s v="91250077"/>
    <s v="BIOTIKA"/>
    <s v="Q2"/>
    <e v="#REF!"/>
    <e v="#REF!"/>
    <e v="#REF!"/>
  </r>
  <r>
    <s v="401000"/>
    <x v="6"/>
    <s v="FOURNISSEURS"/>
    <s v="AC"/>
    <n v="-1828.97"/>
    <d v="2025-05-02T00:00:00"/>
    <s v="LICENCES OFFICE 365LICENCES OFFICE 365 1 EXCHANGE ONLINE P1 / 3 MICROSOFT 365 APPS FOR ENTREPRISE / 50 MICROSOFT 365 BUSINESS PR"/>
    <m/>
    <e v="#N/A"/>
    <e v="#N/A"/>
    <n v="72671"/>
    <s v="142087"/>
    <s v="ARESCOM"/>
    <s v="Q2"/>
    <e v="#REF!"/>
    <e v="#REF!"/>
    <e v="#REF!"/>
  </r>
  <r>
    <s v="401000"/>
    <x v="6"/>
    <s v="FOURNISSEURS"/>
    <s v="AC"/>
    <n v="-1825.81"/>
    <d v="2025-05-19T00:00:00"/>
    <s v="R1000 - VANNE À BOISSEAU SPHÉRIQUE KK/F DN40"/>
    <m/>
    <e v="#N/A"/>
    <e v="#N/A"/>
    <n v="74436"/>
    <s v="ACI20250724"/>
    <s v="ACI"/>
    <s v="Q2"/>
    <e v="#REF!"/>
    <e v="#REF!"/>
    <e v="#REF!"/>
  </r>
  <r>
    <s v="401000"/>
    <x v="6"/>
    <s v="FOURNISSEURS"/>
    <s v="AC"/>
    <n v="-1812"/>
    <d v="2025-02-28T00:00:00"/>
    <s v="GESTION DE PROJET SÉCURISATION BÂTIMENT DÉMO"/>
    <m/>
    <e v="#N/A"/>
    <e v="#N/A"/>
    <n v="61569"/>
    <s v="2023-122-564-1-N1538"/>
    <s v="AIGP INGENIERIE"/>
    <s v="Q1"/>
    <e v="#REF!"/>
    <e v="#REF!"/>
    <e v="#REF!"/>
  </r>
  <r>
    <s v="401000"/>
    <x v="6"/>
    <s v="FOURNISSEURS"/>
    <s v="AC"/>
    <n v="-1812"/>
    <d v="2025-05-07T00:00:00"/>
    <s v="GESTION DE PROJET SÉCURISATION BÂTIMENT DÉMO"/>
    <m/>
    <e v="#N/A"/>
    <e v="#N/A"/>
    <n v="73773"/>
    <s v="2023-122-564-1-N1593"/>
    <s v="AIGP INGENIERIE"/>
    <s v="Q2"/>
    <e v="#REF!"/>
    <e v="#REF!"/>
    <e v="#REF!"/>
  </r>
  <r>
    <s v="401000"/>
    <x v="6"/>
    <s v="FOURNISSEURS"/>
    <s v="AC"/>
    <n v="-1807.38"/>
    <d v="2025-10-10T00:00:00"/>
    <s v="RAPPORT DU COMMISSAIRE AUX COMPTES SUR LE CONTRAT D'ÉMISSION"/>
    <s v="Non"/>
    <s v="Non"/>
    <e v="#N/A"/>
    <n v="87070"/>
    <s v="E002VPR-26-10-0731"/>
    <s v="FORVIS MAZARS"/>
    <s v="Q4"/>
    <e v="#REF!"/>
    <e v="#REF!"/>
    <e v="#REF!"/>
  </r>
  <r>
    <s v="401000"/>
    <x v="6"/>
    <s v="FOURNISSEURS"/>
    <s v="AC"/>
    <n v="-1804.04"/>
    <d v="2025-06-02T00:00:00"/>
    <s v="LICENCES OFFICE365"/>
    <m/>
    <e v="#N/A"/>
    <e v="#N/A"/>
    <n v="75485"/>
    <s v="142594"/>
    <s v="ARESCOM"/>
    <s v="Q2"/>
    <e v="#REF!"/>
    <e v="#REF!"/>
    <e v="#REF!"/>
  </r>
  <r>
    <s v="401000"/>
    <x v="6"/>
    <s v="FOURNISSEURS"/>
    <s v="AC"/>
    <n v="-1804.04"/>
    <d v="2025-07-02T00:00:00"/>
    <s v="LICENCES OFFICE 365"/>
    <m/>
    <e v="#N/A"/>
    <e v="#N/A"/>
    <n v="77329"/>
    <s v="143106"/>
    <s v="ARESCOM"/>
    <s v="Q3"/>
    <e v="#REF!"/>
    <e v="#REF!"/>
    <e v="#REF!"/>
  </r>
  <r>
    <s v="401000"/>
    <x v="6"/>
    <s v="FOURNISSEURS"/>
    <s v="AC"/>
    <n v="-1800"/>
    <d v="2025-01-31T00:00:00"/>
    <s v="HONORAIRES JURIDIQUES MI FÉVRIER"/>
    <s v="Non"/>
    <s v="Non"/>
    <e v="#N/A"/>
    <n v="61378"/>
    <s v="BOLD-027358"/>
    <s v="WE ARE BOLD"/>
    <s v="Q1"/>
    <e v="#REF!"/>
    <e v="#REF!"/>
    <e v="#REF!"/>
  </r>
  <r>
    <s v="401000"/>
    <x v="6"/>
    <s v="FOURNISSEURS"/>
    <s v="AC"/>
    <n v="-1800"/>
    <d v="2025-02-28T00:00:00"/>
    <s v="PRESTATION FÉVRIER"/>
    <s v="Non"/>
    <s v="Non"/>
    <e v="#N/A"/>
    <n v="61577"/>
    <s v="BOLD-027562"/>
    <s v="WE ARE BOLD"/>
    <s v="Q1"/>
    <e v="#REF!"/>
    <e v="#REF!"/>
    <e v="#REF!"/>
  </r>
  <r>
    <s v="401000"/>
    <x v="6"/>
    <s v="FOURNISSEURS"/>
    <s v="AC"/>
    <n v="-1800"/>
    <d v="2025-04-18T00:00:00"/>
    <s v="BILAN CARBONE EXPRESS PILI"/>
    <s v="Non"/>
    <s v="Non"/>
    <e v="#N/A"/>
    <n v="72607"/>
    <s v="F_452"/>
    <s v="MAGELAN"/>
    <s v="Q2"/>
    <e v="#REF!"/>
    <e v="#REF!"/>
    <e v="#REF!"/>
  </r>
  <r>
    <s v="401000"/>
    <x v="6"/>
    <s v="FOURNISSEURS"/>
    <s v="AC"/>
    <n v="-1785.6"/>
    <d v="2025-01-17T00:00:00"/>
    <s v="COTISATION ANNUELLE"/>
    <m/>
    <e v="#N/A"/>
    <e v="#N/A"/>
    <n v="72515"/>
    <s v="25009518"/>
    <s v="PREVALY"/>
    <s v="Q1"/>
    <e v="#REF!"/>
    <e v="#REF!"/>
    <e v="#REF!"/>
  </r>
  <r>
    <s v="401000"/>
    <x v="6"/>
    <s v="FOURNISSEURS"/>
    <s v="AC"/>
    <n v="-1766.65"/>
    <d v="2025-02-11T00:00:00"/>
    <s v="ENLÈVEMENT DÉCHETS SOLIDES TOXIQUES"/>
    <m/>
    <s v="Non"/>
    <n v="0"/>
    <n v="61455"/>
    <s v="F061342800"/>
    <s v="CHIMIREC CENTRE EST"/>
    <s v="Q1"/>
    <e v="#REF!"/>
    <e v="#REF!"/>
    <e v="#REF!"/>
  </r>
  <r>
    <s v="401000"/>
    <x v="6"/>
    <s v="FOURNISSEURS"/>
    <s v="AC"/>
    <n v="-1761.79"/>
    <d v="2025-07-16T00:00:00"/>
    <s v="TICKET CONFÉRENCE RMC GBW"/>
    <m/>
    <e v="#N/A"/>
    <e v="#N/A"/>
    <n v="81212"/>
    <s v="RMC25-0068"/>
    <s v="NOVA-INSTITUT"/>
    <s v="Q3"/>
    <e v="#REF!"/>
    <e v="#REF!"/>
    <e v="#REF!"/>
  </r>
  <r>
    <s v="401000"/>
    <x v="6"/>
    <s v="FOURNISSEURS"/>
    <s v="AC"/>
    <n v="-1752"/>
    <d v="2025-09-30T00:00:00"/>
    <s v="Divers billets SNCF JERBLA"/>
    <m/>
    <e v="#N/A"/>
    <e v="#N/A"/>
    <n v="85032"/>
    <m/>
    <s v="SNCF"/>
    <s v="Q3"/>
    <e v="#REF!"/>
    <e v="#REF!"/>
    <e v="#REF!"/>
  </r>
  <r>
    <s v="401000"/>
    <x v="6"/>
    <s v="FOURNISSEURS"/>
    <s v="AC"/>
    <n v="-1751.48"/>
    <d v="2025-04-02T00:00:00"/>
    <s v="LICENCES OFFICE 365 1 EXCHANGE ONLINE P1 / 1 MICROSOFT 365 APPS FOR ENTREPRISE / 50 MICROSOFT 365 BUSINESS PREMIUM / 3 POWER BI"/>
    <m/>
    <e v="#N/A"/>
    <e v="#N/A"/>
    <n v="69700"/>
    <s v="141572"/>
    <s v="ARESCOM"/>
    <s v="Q2"/>
    <e v="#REF!"/>
    <e v="#REF!"/>
    <e v="#REF!"/>
  </r>
  <r>
    <s v="401000"/>
    <x v="6"/>
    <s v="FOURNISSEURS"/>
    <s v="AC"/>
    <n v="-1730.3"/>
    <d v="2025-06-10T00:00:00"/>
    <s v="HONORAIRES DE PROGRESSION SUR LA PÉRIODE DU 1ER AU 31 MAI 2025"/>
    <s v="Non"/>
    <s v="Non"/>
    <e v="#N/A"/>
    <n v="76589"/>
    <s v="C2025585"/>
    <s v="ALTAIR AVOCATS"/>
    <s v="Q2"/>
    <e v="#REF!"/>
    <e v="#REF!"/>
    <e v="#REF!"/>
  </r>
  <r>
    <s v="401000"/>
    <x v="6"/>
    <s v="FOURNISSEURS"/>
    <s v="AC"/>
    <n v="-1707.36"/>
    <d v="2025-12-12T00:00:00"/>
    <s v="ABANDON DEMANDE TAIWAN CHIC"/>
    <s v="Non"/>
    <s v="Oui"/>
    <e v="#N/A"/>
    <n v="92178"/>
    <s v="255691"/>
    <s v="BECKER"/>
    <s v="Q4"/>
    <e v="#REF!"/>
    <e v="#REF!"/>
    <e v="#REF!"/>
  </r>
  <r>
    <s v="401000"/>
    <x v="6"/>
    <s v="FOURNISSEURS"/>
    <s v="AC"/>
    <n v="-1679.02"/>
    <d v="2025-12-01T00:00:00"/>
    <s v="ÉLECTRICITÉ KB 7E"/>
    <m/>
    <e v="#N/A"/>
    <e v="#N/A"/>
    <n v="91834"/>
    <s v="850005343737"/>
    <s v="ENGIE"/>
    <s v="Q4"/>
    <e v="#REF!"/>
    <e v="#REF!"/>
    <e v="#REF!"/>
  </r>
  <r>
    <s v="401000"/>
    <x v="6"/>
    <s v="FOURNISSEURS"/>
    <s v="AC"/>
    <n v="-1670.24"/>
    <d v="2025-01-29T00:00:00"/>
    <s v="COLLECTE EXCEPTIONNELLE DE DASRI DU 27/01/2025"/>
    <m/>
    <s v="Non"/>
    <n v="0"/>
    <n v="67803"/>
    <s v="FA2509484"/>
    <s v="SERVICE ACTION SANTE"/>
    <s v="Q1"/>
    <e v="#REF!"/>
    <e v="#REF!"/>
    <e v="#REF!"/>
  </r>
  <r>
    <s v="401000"/>
    <x v="6"/>
    <s v="FOURNISSEURS"/>
    <s v="AC"/>
    <n v="-1657.05"/>
    <d v="2025-02-04T00:00:00"/>
    <s v="LICENCES OFFICE 365"/>
    <m/>
    <e v="#N/A"/>
    <e v="#N/A"/>
    <n v="61402"/>
    <s v="140475"/>
    <s v="ARESCOM"/>
    <s v="Q1"/>
    <e v="#REF!"/>
    <e v="#REF!"/>
    <e v="#REF!"/>
  </r>
  <r>
    <s v="401000"/>
    <x v="6"/>
    <s v="FOURNISSEURS"/>
    <s v="AC"/>
    <n v="-1652.96"/>
    <d v="2025-06-10T00:00:00"/>
    <s v="GESTION DES ANNUITÉS"/>
    <s v="Non"/>
    <s v="Oui"/>
    <e v="#N/A"/>
    <n v="76118"/>
    <s v="252668"/>
    <s v="BECKER"/>
    <s v="Q2"/>
    <e v="#REF!"/>
    <e v="#REF!"/>
    <e v="#REF!"/>
  </r>
  <r>
    <s v="401000"/>
    <x v="6"/>
    <s v="FOURNISSEURS"/>
    <s v="AC"/>
    <n v="-1652.73"/>
    <d v="2025-02-04T00:00:00"/>
    <s v="CONTRAT DE MAINTENANCE PRO ANTIVIRUS ET FILTRAGE WEB MANAGÉ CLOUD SECURITY FOR MSP CHIFFREMENT DISQUES DURS MANAGÉ"/>
    <m/>
    <e v="#N/A"/>
    <e v="#N/A"/>
    <n v="61405"/>
    <s v="140346"/>
    <s v="ARESCOM"/>
    <s v="Q1"/>
    <e v="#REF!"/>
    <e v="#REF!"/>
    <e v="#REF!"/>
  </r>
  <r>
    <s v="401000"/>
    <x v="6"/>
    <s v="FOURNISSEURS"/>
    <s v="AC"/>
    <n v="-1648.56"/>
    <d v="2025-03-03T00:00:00"/>
    <s v="CONTRAT DE MAINTENANCE PRO ANTIVIRUS ET FILTRAGE WEB MANAGÉ CLOUD SECURITY FOR MSP CHIFFREMENT DISQUES DURS MANAGÉ - CLOUD SECUR"/>
    <m/>
    <e v="#N/A"/>
    <e v="#N/A"/>
    <n v="65987"/>
    <s v="140833"/>
    <s v="ARESCOM"/>
    <s v="Q1"/>
    <e v="#REF!"/>
    <e v="#REF!"/>
    <e v="#REF!"/>
  </r>
  <r>
    <s v="401000"/>
    <x v="6"/>
    <s v="FOURNISSEURS"/>
    <s v="AC"/>
    <n v="-1648.56"/>
    <d v="2025-04-02T00:00:00"/>
    <s v="CONTRAT DE MAINTENANCE PRO ANTIVIRUS ET FILTRAGE WEB MANAGÉ CLOUD SECURITY FOR MSP CHIFFREMENT DISQUES DURS MANAGÉ - CLOUD SECUR"/>
    <m/>
    <e v="#N/A"/>
    <e v="#N/A"/>
    <n v="69690"/>
    <s v="141448"/>
    <s v="ARESCOM"/>
    <s v="Q2"/>
    <e v="#REF!"/>
    <e v="#REF!"/>
    <e v="#REF!"/>
  </r>
  <r>
    <s v="401000"/>
    <x v="6"/>
    <s v="FOURNISSEURS"/>
    <s v="AC"/>
    <n v="-1648.56"/>
    <d v="2025-05-02T00:00:00"/>
    <s v="CONTRAT DE MAINTENANCE PRO ANTIVIRUS ET FILTRAGE WEB MANAGÉ CLOUD SECURITY FOR MSP CHIFFREMENT DISQUES DURS MANAGÉ - CLOUD SECUR"/>
    <m/>
    <e v="#N/A"/>
    <e v="#N/A"/>
    <n v="72681"/>
    <s v="141961"/>
    <s v="ARESCOM"/>
    <s v="Q2"/>
    <e v="#REF!"/>
    <e v="#REF!"/>
    <e v="#REF!"/>
  </r>
  <r>
    <s v="401000"/>
    <x v="6"/>
    <s v="FOURNISSEURS"/>
    <s v="AC"/>
    <n v="-1646.72"/>
    <d v="2025-12-02T00:00:00"/>
    <s v="CONTRAT DE MAINTENANCE PRO"/>
    <m/>
    <e v="#N/A"/>
    <e v="#N/A"/>
    <n v="92158"/>
    <s v="145557"/>
    <s v="ARESCOM"/>
    <s v="Q4"/>
    <e v="#REF!"/>
    <e v="#REF!"/>
    <e v="#REF!"/>
  </r>
  <r>
    <s v="401000"/>
    <x v="6"/>
    <s v="FOURNISSEURS"/>
    <s v="AC"/>
    <n v="-1637.52"/>
    <d v="2025-03-03T00:00:00"/>
    <s v="LICENCES OFFICE 365 1 EXCHANGE ONLINE P1 / 50 MICROSOFT 365 BUSINESS PREMIUM / 3 POWER BI PRO / 7 PROJECT PLAN 3 / 4 VISIO P2"/>
    <m/>
    <e v="#N/A"/>
    <e v="#N/A"/>
    <n v="65998"/>
    <s v="140962"/>
    <s v="ARESCOM"/>
    <s v="Q1"/>
    <e v="#REF!"/>
    <e v="#REF!"/>
    <e v="#REF!"/>
  </r>
  <r>
    <s v="401000"/>
    <x v="6"/>
    <s v="FOURNISSEURS"/>
    <s v="AC"/>
    <n v="-1636.05"/>
    <d v="2025-01-07T00:00:00"/>
    <s v="CONTRAT DE MAINTENANCE PRO ANTIVIRUS ET FILTRAGE WEB MANAGÉ CLOUD CHIFFREMENT DISQUES DURS MANAGÉ - CLOUD"/>
    <m/>
    <e v="#N/A"/>
    <e v="#N/A"/>
    <n v="59858"/>
    <s v="139834"/>
    <s v="ARESCOM"/>
    <s v="Q1"/>
    <e v="#REF!"/>
    <e v="#REF!"/>
    <e v="#REF!"/>
  </r>
  <r>
    <s v="401000"/>
    <x v="6"/>
    <s v="FOURNISSEURS"/>
    <s v="AC"/>
    <n v="-1632.14"/>
    <d v="2025-01-07T00:00:00"/>
    <s v="LICENCES OFFICE 365"/>
    <m/>
    <e v="#N/A"/>
    <e v="#N/A"/>
    <n v="59867"/>
    <s v="139963"/>
    <s v="ARESCOM"/>
    <s v="Q1"/>
    <e v="#REF!"/>
    <e v="#REF!"/>
    <e v="#REF!"/>
  </r>
  <r>
    <s v="401000"/>
    <x v="6"/>
    <s v="FOURNISSEURS"/>
    <s v="AC"/>
    <n v="-1619.08"/>
    <d v="2025-03-19T00:00:00"/>
    <s v="DÉPLACEMENT COH JÉRÉMIE"/>
    <m/>
    <e v="#N/A"/>
    <e v="#N/A"/>
    <n v="68975"/>
    <s v="9"/>
    <s v="AIR FRANCE"/>
    <s v="Q1"/>
    <e v="#REF!"/>
    <e v="#REF!"/>
    <e v="#REF!"/>
  </r>
  <r>
    <s v="401000"/>
    <x v="6"/>
    <s v="FOURNISSEURS"/>
    <s v="AC"/>
    <n v="-1610.66"/>
    <d v="2025-01-31T00:00:00"/>
    <s v="FRAIS BANCAIRES"/>
    <m/>
    <e v="#N/A"/>
    <e v="#N/A"/>
    <n v="72528"/>
    <s v="2,50E+19"/>
    <s v="Banque Populaire Rive de Paris"/>
    <s v="Q1"/>
    <e v="#REF!"/>
    <e v="#REF!"/>
    <e v="#REF!"/>
  </r>
  <r>
    <s v="401000"/>
    <x v="6"/>
    <s v="FOURNISSEURS"/>
    <s v="AC"/>
    <n v="-1608"/>
    <d v="2025-06-13T00:00:00"/>
    <s v="ESSAIS LABORATOIRE ESSOREUSE / DECANTEUSE À BOL POUR SÉPARATION INDIGO ET MOÛT DE FERMENTATION"/>
    <s v="Non"/>
    <e v="#N/A"/>
    <e v="#N/A"/>
    <n v="76595"/>
    <s v="FA006275"/>
    <s v="ROUSSELET CENTRIFUGATION"/>
    <s v="Q2"/>
    <e v="#REF!"/>
    <e v="#REF!"/>
    <e v="#REF!"/>
  </r>
  <r>
    <s v="401000"/>
    <x v="6"/>
    <s v="FOURNISSEURS"/>
    <s v="AC"/>
    <n v="-1605.6"/>
    <d v="2025-06-18T00:00:00"/>
    <s v="PRESTATION COACHING DE LUCIE CREPIN"/>
    <m/>
    <s v="Non"/>
    <e v="#N/A"/>
    <n v="77273"/>
    <s v="F2025-019"/>
    <s v="BERNARD SEMBEILLES CONSULTING"/>
    <s v="Q2"/>
    <e v="#REF!"/>
    <e v="#REF!"/>
    <e v="#REF!"/>
  </r>
  <r>
    <s v="401000"/>
    <x v="6"/>
    <s v="FOURNISSEURS"/>
    <s v="AC"/>
    <n v="-1600.56"/>
    <d v="2025-11-01T00:00:00"/>
    <s v="INTÉRIM ROUSSILLON"/>
    <m/>
    <e v="#N/A"/>
    <e v="#N/A"/>
    <n v="91084"/>
    <s v="N6171053-2025"/>
    <s v="CRIT"/>
    <s v="Q4"/>
    <e v="#REF!"/>
    <e v="#REF!"/>
    <e v="#REF!"/>
  </r>
  <r>
    <s v="401000"/>
    <x v="6"/>
    <s v="FOURNISSEURS"/>
    <s v="AC"/>
    <n v="-1600.56"/>
    <d v="2025-11-02T00:00:00"/>
    <s v="INTÉRIM ROUSSILLON"/>
    <m/>
    <e v="#N/A"/>
    <e v="#N/A"/>
    <n v="91095"/>
    <s v="N6171054-2025"/>
    <s v="CRIT"/>
    <s v="Q4"/>
    <e v="#REF!"/>
    <e v="#REF!"/>
    <e v="#REF!"/>
  </r>
  <r>
    <s v="401000"/>
    <x v="6"/>
    <s v="FOURNISSEURS"/>
    <s v="AC"/>
    <n v="-1600.56"/>
    <d v="2025-11-09T00:00:00"/>
    <s v="INTÉRIM SEPHORA ROUSSILLON"/>
    <m/>
    <e v="#N/A"/>
    <e v="#N/A"/>
    <n v="91930"/>
    <s v="N6171211-2025"/>
    <s v="CRIT"/>
    <s v="Q4"/>
    <e v="#REF!"/>
    <e v="#REF!"/>
    <e v="#REF!"/>
  </r>
  <r>
    <s v="401000"/>
    <x v="6"/>
    <s v="FOURNISSEURS"/>
    <s v="AC"/>
    <n v="-1600.56"/>
    <d v="2025-11-23T00:00:00"/>
    <s v="INTÉRIMAIRE GHALMI SEPHORA"/>
    <m/>
    <e v="#N/A"/>
    <e v="#N/A"/>
    <n v="94275"/>
    <s v="N6171213-2025"/>
    <s v="CRIT"/>
    <s v="Q4"/>
    <e v="#REF!"/>
    <e v="#REF!"/>
    <e v="#REF!"/>
  </r>
  <r>
    <s v="401000"/>
    <x v="6"/>
    <s v="FOURNISSEURS"/>
    <s v="AC"/>
    <n v="-1600.56"/>
    <d v="2025-11-30T00:00:00"/>
    <s v="INTÉRIMAIRE GHALMI SEPHORA"/>
    <m/>
    <e v="#N/A"/>
    <e v="#N/A"/>
    <n v="94282"/>
    <s v="N6171214-2025"/>
    <s v="CRIT"/>
    <s v="Q4"/>
    <e v="#REF!"/>
    <e v="#REF!"/>
    <e v="#REF!"/>
  </r>
  <r>
    <s v="401000"/>
    <x v="6"/>
    <s v="FOURNISSEURS"/>
    <s v="AC"/>
    <n v="-1600.56"/>
    <d v="2025-12-07T00:00:00"/>
    <s v="INTÉRIM SEPHORA"/>
    <m/>
    <e v="#N/A"/>
    <e v="#N/A"/>
    <n v="94948"/>
    <s v="N6171312-2025"/>
    <s v="CRIT"/>
    <s v="Q4"/>
    <e v="#REF!"/>
    <e v="#REF!"/>
    <e v="#REF!"/>
  </r>
  <r>
    <s v="401000"/>
    <x v="6"/>
    <s v="FOURNISSEURS"/>
    <s v="AC"/>
    <n v="-1600.56"/>
    <d v="2025-12-14T00:00:00"/>
    <s v="INTÉRIM SEPHORA"/>
    <m/>
    <e v="#N/A"/>
    <e v="#N/A"/>
    <n v="94951"/>
    <s v="N6171313-2025"/>
    <s v="CRIT"/>
    <s v="Q4"/>
    <e v="#REF!"/>
    <e v="#REF!"/>
    <e v="#REF!"/>
  </r>
  <r>
    <s v="401000"/>
    <x v="6"/>
    <s v="FOURNISSEURS"/>
    <s v="AC"/>
    <n v="-1600.56"/>
    <d v="2025-12-21T00:00:00"/>
    <s v="INTÉRIM SEPHORA"/>
    <m/>
    <e v="#N/A"/>
    <e v="#N/A"/>
    <n v="95138"/>
    <s v="N6171314-2025"/>
    <s v="CRIT"/>
    <s v="Q4"/>
    <e v="#REF!"/>
    <e v="#REF!"/>
    <e v="#REF!"/>
  </r>
  <r>
    <s v="401000"/>
    <x v="6"/>
    <s v="FOURNISSEURS"/>
    <s v="AC"/>
    <n v="-1597.9"/>
    <d v="2025-10-03T00:00:00"/>
    <s v="CONTRAT DE MAINTENANCE PRO"/>
    <m/>
    <e v="#N/A"/>
    <e v="#N/A"/>
    <n v="84977"/>
    <s v="144519"/>
    <s v="ARESCOM"/>
    <s v="Q4"/>
    <e v="#REF!"/>
    <e v="#REF!"/>
    <e v="#REF!"/>
  </r>
  <r>
    <s v="401000"/>
    <x v="6"/>
    <s v="FOURNISSEURS"/>
    <s v="AC"/>
    <n v="-1589.28"/>
    <d v="2025-11-03T00:00:00"/>
    <s v="CONTRAT DE MAINTENANCE PRO"/>
    <m/>
    <e v="#N/A"/>
    <e v="#N/A"/>
    <n v="89908"/>
    <s v="145044"/>
    <s v="ARESCOM"/>
    <s v="Q4"/>
    <e v="#REF!"/>
    <e v="#REF!"/>
    <e v="#REF!"/>
  </r>
  <r>
    <s v="401000"/>
    <x v="6"/>
    <s v="FOURNISSEURS"/>
    <s v="AC"/>
    <n v="-1584"/>
    <d v="2025-02-13T00:00:00"/>
    <s v="FORMATION SST INITIAL (SAUVETEUR SECOURISTE DU TRAVAIL) DATES : LES 10 ET 11 FÉVRIER 2025 (AMILLASTRE E, BONNAUD M, RAMOS N ET R"/>
    <m/>
    <s v="Non"/>
    <n v="0"/>
    <n v="61480"/>
    <s v="2643"/>
    <s v="APF SECURITE"/>
    <s v="Q1"/>
    <e v="#REF!"/>
    <e v="#REF!"/>
    <e v="#REF!"/>
  </r>
  <r>
    <s v="401000"/>
    <x v="6"/>
    <s v="FOURNISSEURS"/>
    <s v="AC"/>
    <n v="-1583.99"/>
    <d v="2025-09-01T00:00:00"/>
    <s v="CONSEIL ET ASSISTANCE CONFORMÉMENT À LA LETTRE DE MISSION POUR LA PÉRIODE DU 1ER JUIN AU 31 AOUT 2025"/>
    <s v="Non"/>
    <s v="Non"/>
    <e v="#N/A"/>
    <n v="81845"/>
    <s v="C2025829"/>
    <s v="ALTAIR AVOCATS"/>
    <s v="Q3"/>
    <e v="#REF!"/>
    <e v="#REF!"/>
    <e v="#REF!"/>
  </r>
  <r>
    <s v="401000"/>
    <x v="6"/>
    <s v="FOURNISSEURS"/>
    <s v="AC"/>
    <n v="-1582.5"/>
    <d v="2025-06-13T00:00:00"/>
    <s v="BASE DE DONNÉES ACV ECOINVENT 3.1"/>
    <m/>
    <e v="#N/A"/>
    <e v="#N/A"/>
    <n v="78020"/>
    <s v="23"/>
    <s v="GREENDELTA"/>
    <s v="Q2"/>
    <e v="#REF!"/>
    <e v="#REF!"/>
    <e v="#REF!"/>
  </r>
  <r>
    <s v="401000"/>
    <x v="6"/>
    <s v="FOURNISSEURS"/>
    <s v="AC"/>
    <n v="-1579.77"/>
    <d v="2025-04-09T00:00:00"/>
    <s v="VOYAGE À BOSTON POUR LE CIB"/>
    <m/>
    <e v="#N/A"/>
    <e v="#N/A"/>
    <n v="69756"/>
    <s v="AFFR0025759757"/>
    <s v="AIR FRANCE"/>
    <s v="Q2"/>
    <e v="#REF!"/>
    <e v="#REF!"/>
    <e v="#REF!"/>
  </r>
  <r>
    <s v="401000"/>
    <x v="6"/>
    <s v="FOURNISSEURS"/>
    <s v="AC"/>
    <n v="-1577.31"/>
    <d v="2025-04-22T00:00:00"/>
    <s v="Billet CB - Airfrance"/>
    <m/>
    <e v="#N/A"/>
    <e v="#N/A"/>
    <n v="85043"/>
    <m/>
    <s v="AIR FRANCE"/>
    <s v="Q2"/>
    <e v="#REF!"/>
    <e v="#REF!"/>
    <e v="#REF!"/>
  </r>
  <r>
    <s v="401000"/>
    <x v="6"/>
    <s v="FOURNISSEURS"/>
    <s v="AC"/>
    <n v="-1562.4"/>
    <d v="2025-06-02T00:00:00"/>
    <s v="MAINTENANCE ARESCOM"/>
    <m/>
    <e v="#N/A"/>
    <e v="#N/A"/>
    <n v="75488"/>
    <s v="142470"/>
    <s v="ARESCOM"/>
    <s v="Q2"/>
    <e v="#REF!"/>
    <e v="#REF!"/>
    <e v="#REF!"/>
  </r>
  <r>
    <s v="401000"/>
    <x v="6"/>
    <s v="FOURNISSEURS"/>
    <s v="AC"/>
    <n v="-1562.4"/>
    <d v="2025-07-02T00:00:00"/>
    <s v="CONTRAT DE MAINTENANCE PRO"/>
    <m/>
    <e v="#N/A"/>
    <e v="#N/A"/>
    <n v="77332"/>
    <s v="142982"/>
    <s v="ARESCOM"/>
    <s v="Q3"/>
    <e v="#REF!"/>
    <e v="#REF!"/>
    <e v="#REF!"/>
  </r>
  <r>
    <s v="401000"/>
    <x v="6"/>
    <s v="FOURNISSEURS"/>
    <s v="AC"/>
    <n v="-1562.4"/>
    <d v="2025-08-01T00:00:00"/>
    <s v="CONTRAT DE MAINTENANCE PRO"/>
    <m/>
    <e v="#N/A"/>
    <e v="#N/A"/>
    <n v="81239"/>
    <s v="143526"/>
    <s v="ARESCOM"/>
    <s v="Q3"/>
    <e v="#REF!"/>
    <e v="#REF!"/>
    <e v="#REF!"/>
  </r>
  <r>
    <s v="401000"/>
    <x v="6"/>
    <s v="FOURNISSEURS"/>
    <s v="AC"/>
    <n v="-1548.62"/>
    <d v="2025-03-19T00:00:00"/>
    <s v="DÉPLACEMENT COH NY TORONTO PYB"/>
    <m/>
    <e v="#N/A"/>
    <e v="#N/A"/>
    <n v="66130"/>
    <s v="AFFR0025307613"/>
    <s v="AIR FRANCE"/>
    <s v="Q1"/>
    <e v="#REF!"/>
    <e v="#REF!"/>
    <e v="#REF!"/>
  </r>
  <r>
    <s v="401000"/>
    <x v="6"/>
    <s v="FOURNISSEURS"/>
    <s v="AC"/>
    <n v="-1546.2"/>
    <d v="2025-09-02T00:00:00"/>
    <s v="CONTRAT DE MAINTENANCE PRO"/>
    <m/>
    <e v="#N/A"/>
    <e v="#N/A"/>
    <n v="82312"/>
    <s v="143995"/>
    <s v="ARESCOM"/>
    <s v="Q3"/>
    <e v="#REF!"/>
    <e v="#REF!"/>
    <e v="#REF!"/>
  </r>
  <r>
    <s v="401000"/>
    <x v="6"/>
    <s v="FOURNISSEURS"/>
    <s v="AC"/>
    <n v="-1536"/>
    <d v="2025-10-13T00:00:00"/>
    <s v="4 DSC"/>
    <m/>
    <e v="#N/A"/>
    <e v="#N/A"/>
    <n v="87081"/>
    <s v="FAR-2025-000748"/>
    <s v="INSA ROUEN"/>
    <s v="Q4"/>
    <e v="#REF!"/>
    <e v="#REF!"/>
    <e v="#REF!"/>
  </r>
  <r>
    <s v="401000"/>
    <x v="6"/>
    <s v="FOURNISSEURS"/>
    <s v="AC"/>
    <n v="-1525.62"/>
    <d v="2025-09-01T00:00:00"/>
    <s v="ÉLECTRICITÉ KB"/>
    <m/>
    <e v="#N/A"/>
    <e v="#N/A"/>
    <n v="81883"/>
    <s v="120010018681"/>
    <s v="ENGIE"/>
    <s v="Q3"/>
    <e v="#REF!"/>
    <e v="#REF!"/>
    <e v="#REF!"/>
  </r>
  <r>
    <s v="401000"/>
    <x v="6"/>
    <s v="FOURNISSEURS"/>
    <s v="AC"/>
    <n v="-1512"/>
    <d v="2025-01-16T00:00:00"/>
    <s v="NOTE DE CALCULS FONDATIONS POTEAUX EXISTANTS"/>
    <m/>
    <e v="#N/A"/>
    <e v="#N/A"/>
    <n v="61266"/>
    <s v="FC250013"/>
    <s v="CIMEO"/>
    <s v="Q1"/>
    <e v="#REF!"/>
    <e v="#REF!"/>
    <e v="#REF!"/>
  </r>
  <r>
    <s v="401000"/>
    <x v="6"/>
    <s v="FOURNISSEURS"/>
    <s v="AC"/>
    <n v="-1504.2"/>
    <d v="2025-07-24T00:00:00"/>
    <s v="MODIFICATION FILTRE À PLAQUES :  - AJOUT BAC DE RÉTENTION - AJOUT SUPPORT SEAU 30L"/>
    <m/>
    <e v="#N/A"/>
    <e v="#N/A"/>
    <n v="81335"/>
    <s v="RMG-020255"/>
    <s v="RIVOIRE"/>
    <s v="Q3"/>
    <e v="#REF!"/>
    <e v="#REF!"/>
    <e v="#REF!"/>
  </r>
  <r>
    <s v="401000"/>
    <x v="6"/>
    <s v="FOURNISSEURS"/>
    <s v="AC"/>
    <n v="-1502.09"/>
    <d v="2025-06-05T00:00:00"/>
    <s v="ENLÈVEMENT DÉCHETS LABO"/>
    <m/>
    <s v="Non"/>
    <n v="0"/>
    <n v="77270"/>
    <s v="FA2511788"/>
    <s v="SERVICE ACTION SANTE"/>
    <s v="Q2"/>
    <e v="#REF!"/>
    <e v="#REF!"/>
    <e v="#REF!"/>
  </r>
  <r>
    <s v="401000"/>
    <x v="6"/>
    <s v="FOURNISSEURS"/>
    <s v="AC"/>
    <n v="-1500"/>
    <d v="2025-03-19T00:00:00"/>
    <s v="MISSION SPOT SI ( AIDE RECRUTEMENT RSI)"/>
    <s v="Non"/>
    <s v="Non"/>
    <e v="#N/A"/>
    <n v="66127"/>
    <s v="378"/>
    <s v="LRC2"/>
    <s v="Q1"/>
    <e v="#REF!"/>
    <e v="#REF!"/>
    <e v="#REF!"/>
  </r>
  <r>
    <s v="401000"/>
    <x v="6"/>
    <s v="FOURNISSEURS"/>
    <s v="AC"/>
    <n v="-1500"/>
    <d v="2025-05-15T00:00:00"/>
    <s v="START INDUSTRIE – COTISATION MEMBRE ACTIF 2025/2026"/>
    <m/>
    <e v="#N/A"/>
    <e v="#N/A"/>
    <n v="75590"/>
    <s v="34-2025"/>
    <s v="STARTINDUSTRIE"/>
    <s v="Q2"/>
    <e v="#REF!"/>
    <e v="#REF!"/>
    <e v="#REF!"/>
  </r>
  <r>
    <s v="401000"/>
    <x v="6"/>
    <s v="FOURNISSEURS"/>
    <s v="AC"/>
    <n v="-1500"/>
    <d v="2025-07-17T00:00:00"/>
    <s v="PHASE 2 ET FACTURE FINALE M WATIER"/>
    <s v="Non"/>
    <s v="Non"/>
    <e v="#N/A"/>
    <n v="81214"/>
    <s v="2025-05-001"/>
    <s v="WATIER Marie"/>
    <s v="Q3"/>
    <e v="#REF!"/>
    <e v="#REF!"/>
    <e v="#REF!"/>
  </r>
  <r>
    <s v="401000"/>
    <x v="6"/>
    <s v="FOURNISSEURS"/>
    <s v="AC"/>
    <n v="-1488.95"/>
    <d v="2025-10-01T00:00:00"/>
    <s v="ELECTRICITÉ KB 7E"/>
    <m/>
    <e v="#N/A"/>
    <e v="#N/A"/>
    <n v="82792"/>
    <s v="850005285734"/>
    <s v="ENGIE"/>
    <s v="Q4"/>
    <e v="#REF!"/>
    <e v="#REF!"/>
    <e v="#REF!"/>
  </r>
  <r>
    <s v="401000"/>
    <x v="6"/>
    <s v="FOURNISSEURS"/>
    <s v="AC"/>
    <n v="-1486.97"/>
    <d v="2025-01-01T00:00:00"/>
    <s v="FRAIS BANCAIRES"/>
    <m/>
    <e v="#N/A"/>
    <e v="#N/A"/>
    <n v="72510"/>
    <s v="2024Q1-SoldeFrais"/>
    <s v="Banque Populaire Rive de Paris"/>
    <s v="Q1"/>
    <e v="#REF!"/>
    <e v="#REF!"/>
    <e v="#REF!"/>
  </r>
  <r>
    <s v="401000"/>
    <x v="6"/>
    <s v="FOURNISSEURS"/>
    <s v="AC"/>
    <n v="-1464.24"/>
    <d v="2025-04-15T00:00:00"/>
    <s v="SAB #16 - WANDA DISCHERT - MARS 2025"/>
    <s v="Non"/>
    <s v="Non"/>
    <e v="#N/A"/>
    <n v="69802"/>
    <s v="01/04/2025"/>
    <s v="IN MANAGEMENT"/>
    <s v="Q2"/>
    <e v="#REF!"/>
    <e v="#REF!"/>
    <e v="#REF!"/>
  </r>
  <r>
    <s v="401000"/>
    <x v="6"/>
    <s v="FOURNISSEURS"/>
    <s v="AC"/>
    <n v="-1440"/>
    <d v="2025-07-30T00:00:00"/>
    <s v="ETUDE ACV"/>
    <m/>
    <e v="#N/A"/>
    <e v="#N/A"/>
    <n v="78942"/>
    <s v="FT25-4209"/>
    <s v="EVEA"/>
    <s v="Q3"/>
    <e v="#REF!"/>
    <e v="#REF!"/>
    <e v="#REF!"/>
  </r>
  <r>
    <s v="401000"/>
    <x v="6"/>
    <s v="FOURNISSEURS"/>
    <s v="AC"/>
    <n v="-1440"/>
    <d v="2025-08-11T00:00:00"/>
    <s v="MONTANT MINIMUM LORS DE LA PROLONGATION (PAR MOIS)"/>
    <m/>
    <e v="#N/A"/>
    <e v="#N/A"/>
    <n v="81793"/>
    <s v="1459938-FR"/>
    <s v="DROOMS"/>
    <s v="Q3"/>
    <e v="#REF!"/>
    <e v="#REF!"/>
    <e v="#REF!"/>
  </r>
  <r>
    <s v="401000"/>
    <x v="6"/>
    <s v="FOURNISSEURS"/>
    <s v="AC"/>
    <n v="-1440"/>
    <d v="2025-09-09T00:00:00"/>
    <s v="MONTANT MINIMUM LORS DE LA PROLONGATION (PAR MOIS)"/>
    <m/>
    <e v="#N/A"/>
    <e v="#N/A"/>
    <n v="81866"/>
    <s v="1460091-FR"/>
    <s v="DROOMS"/>
    <s v="Q3"/>
    <e v="#REF!"/>
    <e v="#REF!"/>
    <e v="#REF!"/>
  </r>
  <r>
    <s v="401000"/>
    <x v="6"/>
    <s v="FOURNISSEURS"/>
    <s v="AC"/>
    <n v="-1440"/>
    <d v="2025-10-09T00:00:00"/>
    <s v="MONTANT MINIMUM LORS DE LA PROLONGATION (PAR MOIS)"/>
    <m/>
    <e v="#N/A"/>
    <e v="#N/A"/>
    <n v="85164"/>
    <s v="1460273-FR"/>
    <s v="DROOMS"/>
    <s v="Q4"/>
    <e v="#REF!"/>
    <e v="#REF!"/>
    <e v="#REF!"/>
  </r>
  <r>
    <s v="401000"/>
    <x v="6"/>
    <s v="FOURNISSEURS"/>
    <s v="AC"/>
    <n v="-1440"/>
    <d v="2025-11-10T00:00:00"/>
    <s v="MONTANT MINIMUM LORS DE LA PROLONGATION (PAR MOIS)"/>
    <m/>
    <e v="#N/A"/>
    <e v="#N/A"/>
    <n v="89930"/>
    <s v="1460452-FR"/>
    <s v="DROOMS"/>
    <s v="Q4"/>
    <e v="#REF!"/>
    <e v="#REF!"/>
    <e v="#REF!"/>
  </r>
  <r>
    <s v="401000"/>
    <x v="6"/>
    <s v="FOURNISSEURS"/>
    <s v="AC"/>
    <n v="-1440"/>
    <d v="2025-12-09T00:00:00"/>
    <s v="MONTANT MINIMUM LORS DE LA PROLONGATION (PAR MOIS)"/>
    <m/>
    <e v="#N/A"/>
    <e v="#N/A"/>
    <n v="92011"/>
    <s v="1460653-FR"/>
    <s v="DROOMS"/>
    <s v="Q4"/>
    <e v="#REF!"/>
    <e v="#REF!"/>
    <e v="#REF!"/>
  </r>
  <r>
    <s v="401000"/>
    <x v="6"/>
    <s v="FOURNISSEURS"/>
    <s v="AC"/>
    <n v="-1431.04"/>
    <d v="2025-12-01T00:00:00"/>
    <s v="LOYER DÉCEMBRE 2025 LYON"/>
    <m/>
    <e v="#N/A"/>
    <e v="#N/A"/>
    <n v="92143"/>
    <s v="DECEMBRE 2025"/>
    <s v="REGIE CONSEIL"/>
    <s v="Q4"/>
    <e v="#REF!"/>
    <e v="#REF!"/>
    <e v="#REF!"/>
  </r>
  <r>
    <s v="401000"/>
    <x v="6"/>
    <s v="FOURNISSEURS"/>
    <s v="AC"/>
    <n v="-1429.28"/>
    <d v="2025-11-14T00:00:00"/>
    <s v="VERRERIE POUR LABO"/>
    <m/>
    <e v="#N/A"/>
    <e v="#N/A"/>
    <n v="91933"/>
    <s v="0190376"/>
    <s v="CLOUP"/>
    <s v="Q4"/>
    <e v="#REF!"/>
    <e v="#REF!"/>
    <e v="#REF!"/>
  </r>
  <r>
    <s v="401000"/>
    <x v="6"/>
    <s v="FOURNISSEURS"/>
    <s v="AC"/>
    <n v="-1428"/>
    <d v="2025-03-05T00:00:00"/>
    <s v="RACCORD / FLEXIBLE TCU F3000"/>
    <m/>
    <e v="#N/A"/>
    <e v="#N/A"/>
    <n v="78353"/>
    <s v="878"/>
    <s v="ALGOCHEM"/>
    <s v="Q1"/>
    <e v="#REF!"/>
    <e v="#REF!"/>
    <e v="#REF!"/>
  </r>
  <r>
    <s v="401000"/>
    <x v="6"/>
    <s v="FOURNISSEURS"/>
    <s v="AC"/>
    <n v="-1426.11"/>
    <d v="2025-07-23T00:00:00"/>
    <s v="LOYER AOUT LYON"/>
    <m/>
    <e v="#N/A"/>
    <e v="#N/A"/>
    <n v="78809"/>
    <s v="000931000101 - AOUT 25"/>
    <s v="REGIE CONSEIL"/>
    <s v="Q3"/>
    <e v="#REF!"/>
    <e v="#REF!"/>
    <e v="#REF!"/>
  </r>
  <r>
    <s v="401000"/>
    <x v="6"/>
    <s v="FOURNISSEURS"/>
    <s v="AC"/>
    <n v="-1416"/>
    <d v="2025-05-20T00:00:00"/>
    <s v="CONTRÔLE AÉRAULIQUE D'ÉQUIPEMENTS DE PROTECTION COLLECTIVE VENTILÉS SUR SITE"/>
    <m/>
    <e v="#N/A"/>
    <e v="#N/A"/>
    <n v="73811"/>
    <s v="2025F016"/>
    <s v="CONTROL'AIR"/>
    <s v="Q2"/>
    <e v="#REF!"/>
    <e v="#REF!"/>
    <e v="#REF!"/>
  </r>
  <r>
    <s v="401000"/>
    <x v="6"/>
    <s v="FOURNISSEURS"/>
    <s v="AC"/>
    <n v="-1411.13"/>
    <d v="2025-07-31T00:00:00"/>
    <s v="ÉLECTRICITÉ KB"/>
    <m/>
    <e v="#N/A"/>
    <e v="#N/A"/>
    <n v="81770"/>
    <s v="720000616365"/>
    <s v="ENGIE"/>
    <s v="Q3"/>
    <e v="#REF!"/>
    <e v="#REF!"/>
    <e v="#REF!"/>
  </r>
  <r>
    <s v="401000"/>
    <x v="6"/>
    <s v="FOURNISSEURS"/>
    <s v="AC"/>
    <n v="-1408.56"/>
    <d v="2025-01-31T00:00:00"/>
    <s v="MAINTENANCE AGITATEUR R2000"/>
    <s v="Non"/>
    <s v="Non"/>
    <e v="#N/A"/>
    <n v="61354"/>
    <s v="93812122"/>
    <s v="OSIRIS"/>
    <s v="Q1"/>
    <e v="#REF!"/>
    <e v="#REF!"/>
    <e v="#REF!"/>
  </r>
  <r>
    <s v="401000"/>
    <x v="6"/>
    <s v="FOURNISSEURS"/>
    <s v="AC"/>
    <n v="-1408.06"/>
    <d v="2025-03-31T00:00:00"/>
    <s v="ELECTRICITE KB"/>
    <m/>
    <e v="#N/A"/>
    <e v="#N/A"/>
    <n v="72575"/>
    <s v="4,20E+11"/>
    <s v="ENGIE"/>
    <s v="Q1"/>
    <e v="#REF!"/>
    <e v="#REF!"/>
    <e v="#REF!"/>
  </r>
  <r>
    <s v="401000"/>
    <x v="6"/>
    <s v="FOURNISSEURS"/>
    <s v="AC"/>
    <n v="-1404"/>
    <d v="2025-06-26T00:00:00"/>
    <s v="ESSAI ROUSSELET (APRÈS LYSE SOUDE)"/>
    <s v="Non"/>
    <e v="#N/A"/>
    <e v="#N/A"/>
    <n v="77288"/>
    <s v="FA006303"/>
    <s v="ROUSSELET CENTRIFUGATION"/>
    <s v="Q2"/>
    <e v="#REF!"/>
    <e v="#REF!"/>
    <e v="#REF!"/>
  </r>
  <r>
    <s v="401000"/>
    <x v="6"/>
    <s v="FOURNISSEURS"/>
    <s v="AC"/>
    <n v="-1400"/>
    <d v="2025-02-04T00:00:00"/>
    <s v="SOW (5 DAYS ) FOR DSP PROTOCOL"/>
    <s v="Non"/>
    <e v="#N/A"/>
    <e v="#N/A"/>
    <n v="66156"/>
    <s v="7289"/>
    <s v="DOTMATICS LIMITED"/>
    <s v="Q1"/>
    <e v="#REF!"/>
    <e v="#REF!"/>
    <e v="#REF!"/>
  </r>
  <r>
    <s v="401000"/>
    <x v="6"/>
    <s v="FOURNISSEURS"/>
    <s v="AC"/>
    <n v="-1389.3"/>
    <d v="2025-10-01T00:00:00"/>
    <s v="LOYER LYON"/>
    <m/>
    <e v="#N/A"/>
    <e v="#N/A"/>
    <n v="82795"/>
    <s v="OCTOBRE 2025"/>
    <s v="REGIE CONSEIL"/>
    <s v="Q4"/>
    <e v="#REF!"/>
    <e v="#REF!"/>
    <e v="#REF!"/>
  </r>
  <r>
    <s v="401000"/>
    <x v="6"/>
    <s v="FOURNISSEURS"/>
    <s v="AC"/>
    <n v="-1374.9"/>
    <d v="2025-06-17T00:00:00"/>
    <s v="PRÉSENTATION DE LA REQUÊTE EN EXAMEN - PHASES NATIONALES CHINE - BREVET PHOENIX"/>
    <s v="Non"/>
    <s v="Oui"/>
    <e v="#N/A"/>
    <n v="76604"/>
    <s v="252819"/>
    <s v="BECKER"/>
    <s v="Q2"/>
    <e v="#REF!"/>
    <e v="#REF!"/>
    <e v="#REF!"/>
  </r>
  <r>
    <s v="401000"/>
    <x v="6"/>
    <s v="FOURNISSEURS"/>
    <s v="AC"/>
    <n v="-1370.76"/>
    <d v="2025-05-23T00:00:00"/>
    <s v="COUVERCLE DE RÉACTEUR 10L, EN REMPLACEMENT DU COUVERCLE CASSÉ QUI SERA ENVOYÉ EN RÉPARATION ET MIS EN STOCK MAINTENANCE"/>
    <m/>
    <e v="#N/A"/>
    <e v="#N/A"/>
    <n v="75959"/>
    <s v="14003415"/>
    <s v="OPTIMUS"/>
    <s v="Q2"/>
    <e v="#REF!"/>
    <e v="#REF!"/>
    <e v="#REF!"/>
  </r>
  <r>
    <s v="401000"/>
    <x v="6"/>
    <s v="FOURNISSEURS"/>
    <s v="AC"/>
    <n v="-1356.48"/>
    <d v="2025-02-15T00:00:00"/>
    <s v="ANNULE ET REMPLACE DEMANDE CB MANUTAN DE LA SEMAINE DERNIERE  VESTIAIRE + 20 CHAISES EMPILABLES (SALLE DE RÉUNION + SALLE DE PAU"/>
    <m/>
    <e v="#N/A"/>
    <e v="#N/A"/>
    <n v="61499"/>
    <s v="133"/>
    <s v="MANUTAN"/>
    <s v="Q1"/>
    <e v="#REF!"/>
    <e v="#REF!"/>
    <e v="#REF!"/>
  </r>
  <r>
    <s v="401000"/>
    <x v="6"/>
    <s v="FOURNISSEURS"/>
    <s v="AC"/>
    <n v="-1350"/>
    <d v="2025-12-04T00:00:00"/>
    <s v="HOTLINE POUR LA PÉRIODE DU 1ER AU 30 NOVEMBRE 2025"/>
    <s v="Non"/>
    <s v="Non"/>
    <e v="#N/A"/>
    <n v="92001"/>
    <s v="C20251070"/>
    <s v="ALTAIR AVOCATS"/>
    <s v="Q4"/>
    <e v="#REF!"/>
    <e v="#REF!"/>
    <e v="#REF!"/>
  </r>
  <r>
    <s v="401000"/>
    <x v="6"/>
    <s v="FOURNISSEURS"/>
    <s v="AC"/>
    <n v="-1348.8"/>
    <d v="2025-01-30T00:00:00"/>
    <s v="COTISATION 2025"/>
    <m/>
    <s v="Non"/>
    <s v="Oui"/>
    <n v="61340"/>
    <s v="F2025003322"/>
    <s v="AXELERA"/>
    <s v="Q1"/>
    <e v="#REF!"/>
    <e v="#REF!"/>
    <e v="#REF!"/>
  </r>
  <r>
    <s v="401000"/>
    <x v="6"/>
    <s v="FOURNISSEURS"/>
    <s v="AC"/>
    <n v="-1348.8"/>
    <d v="2025-12-09T00:00:00"/>
    <s v="COTISATION AXELERA"/>
    <m/>
    <s v="Non"/>
    <s v="Oui"/>
    <n v="92161"/>
    <s v="F2025003757"/>
    <s v="AXELERA"/>
    <s v="Q4"/>
    <e v="#REF!"/>
    <e v="#REF!"/>
    <e v="#REF!"/>
  </r>
  <r>
    <s v="401000"/>
    <x v="6"/>
    <s v="FOURNISSEURS"/>
    <s v="AC"/>
    <n v="-1346.64"/>
    <d v="2025-12-12T00:00:00"/>
    <s v="PHASE NATIONALE USA BREVET CHIC"/>
    <s v="Non"/>
    <s v="Oui"/>
    <e v="#N/A"/>
    <n v="92171"/>
    <s v="255685"/>
    <s v="BECKER"/>
    <s v="Q4"/>
    <e v="#REF!"/>
    <e v="#REF!"/>
    <e v="#REF!"/>
  </r>
  <r>
    <s v="401000"/>
    <x v="6"/>
    <s v="FOURNISSEURS"/>
    <s v="AC"/>
    <n v="-1341.96"/>
    <d v="2025-01-20T00:00:00"/>
    <s v="RAPPORT DE RECHERCHE - BREVET PALOMA BIO"/>
    <s v="Non"/>
    <s v="Oui"/>
    <e v="#N/A"/>
    <n v="61278"/>
    <s v="250156"/>
    <s v="BECKER"/>
    <s v="Q1"/>
    <e v="#REF!"/>
    <e v="#REF!"/>
    <e v="#REF!"/>
  </r>
  <r>
    <s v="401000"/>
    <x v="6"/>
    <s v="FOURNISSEURS"/>
    <s v="AC"/>
    <n v="-1340.96"/>
    <d v="2025-02-01T00:00:00"/>
    <s v="LOYER LYON -FÉVRIER"/>
    <m/>
    <e v="#N/A"/>
    <e v="#N/A"/>
    <n v="64062"/>
    <s v="5087"/>
    <s v="REGIE CONSEIL"/>
    <s v="Q1"/>
    <e v="#REF!"/>
    <e v="#REF!"/>
    <e v="#REF!"/>
  </r>
  <r>
    <s v="401000"/>
    <x v="6"/>
    <s v="FOURNISSEURS"/>
    <s v="AC"/>
    <n v="-1340.96"/>
    <d v="2025-03-05T00:00:00"/>
    <s v="LOYER LYON- MARS"/>
    <m/>
    <e v="#N/A"/>
    <e v="#N/A"/>
    <n v="66096"/>
    <s v="5087"/>
    <s v="REGIE CONSEIL"/>
    <s v="Q1"/>
    <e v="#REF!"/>
    <e v="#REF!"/>
    <e v="#REF!"/>
  </r>
  <r>
    <s v="401000"/>
    <x v="6"/>
    <s v="FOURNISSEURS"/>
    <s v="AC"/>
    <n v="-1340.96"/>
    <d v="2025-04-01T00:00:00"/>
    <s v="Location Lyon 202504"/>
    <m/>
    <e v="#N/A"/>
    <e v="#N/A"/>
    <n v="72917"/>
    <m/>
    <s v="REGIE CONSEIL"/>
    <s v="Q2"/>
    <e v="#REF!"/>
    <e v="#REF!"/>
    <e v="#REF!"/>
  </r>
  <r>
    <s v="401000"/>
    <x v="6"/>
    <s v="FOURNISSEURS"/>
    <s v="AC"/>
    <n v="-1340.96"/>
    <d v="2025-05-01T00:00:00"/>
    <s v="LOCATION LYON 202505"/>
    <m/>
    <e v="#N/A"/>
    <e v="#N/A"/>
    <n v="72622"/>
    <s v="202505"/>
    <s v="REGIE CONSEIL"/>
    <s v="Q2"/>
    <e v="#REF!"/>
    <e v="#REF!"/>
    <e v="#REF!"/>
  </r>
  <r>
    <s v="401000"/>
    <x v="6"/>
    <s v="FOURNISSEURS"/>
    <s v="AC"/>
    <n v="-1340.96"/>
    <d v="2025-06-01T00:00:00"/>
    <s v="LOYER LYON 2025_06"/>
    <m/>
    <e v="#N/A"/>
    <e v="#N/A"/>
    <n v="75167"/>
    <s v="202506"/>
    <s v="REGIE CONSEIL"/>
    <s v="Q2"/>
    <e v="#REF!"/>
    <e v="#REF!"/>
    <e v="#REF!"/>
  </r>
  <r>
    <s v="401000"/>
    <x v="6"/>
    <s v="FOURNISSEURS"/>
    <s v="AC"/>
    <n v="-1340.96"/>
    <d v="2025-06-23T00:00:00"/>
    <s v="LOYER JUILLET 2025"/>
    <m/>
    <e v="#N/A"/>
    <e v="#N/A"/>
    <n v="78054"/>
    <s v="36"/>
    <s v="REGIE CONSEIL"/>
    <s v="Q2"/>
    <e v="#REF!"/>
    <e v="#REF!"/>
    <e v="#REF!"/>
  </r>
  <r>
    <s v="401000"/>
    <x v="6"/>
    <s v="FOURNISSEURS"/>
    <s v="AC"/>
    <n v="-1335.78"/>
    <d v="2025-09-19T00:00:00"/>
    <s v="CONSOMMABLE LABO"/>
    <m/>
    <e v="#N/A"/>
    <e v="#N/A"/>
    <n v="85127"/>
    <s v="4067821369"/>
    <s v="VWR AVANTOR"/>
    <s v="Q3"/>
    <e v="#REF!"/>
    <e v="#REF!"/>
    <e v="#REF!"/>
  </r>
  <r>
    <s v="401000"/>
    <x v="6"/>
    <s v="FOURNISSEURS"/>
    <s v="AC"/>
    <n v="-1335.65"/>
    <d v="2025-10-29T00:00:00"/>
    <s v="ENLÈVEMENT DE DÉCHETS LABO KB"/>
    <m/>
    <s v="Non"/>
    <n v="0"/>
    <n v="87477"/>
    <s v="FA2513736"/>
    <s v="SERVICE ACTION SANTE"/>
    <s v="Q4"/>
    <e v="#REF!"/>
    <e v="#REF!"/>
    <e v="#REF!"/>
  </r>
  <r>
    <s v="401000"/>
    <x v="6"/>
    <s v="FOURNISSEURS"/>
    <s v="AC"/>
    <n v="-1328.88"/>
    <d v="2025-06-27T00:00:00"/>
    <s v="MAINTENANCE GERBEUR ÉLECTRIQUE : CHANGEMENT CARTE DE COMMANDE ÉLECTRONIQUE"/>
    <m/>
    <e v="#N/A"/>
    <e v="#N/A"/>
    <n v="81204"/>
    <s v="8802128819"/>
    <s v="FENWICK-LINDE"/>
    <s v="Q2"/>
    <e v="#REF!"/>
    <e v="#REF!"/>
    <e v="#REF!"/>
  </r>
  <r>
    <s v="401000"/>
    <x v="6"/>
    <s v="FOURNISSEURS"/>
    <s v="AC"/>
    <n v="-1320.72"/>
    <d v="2025-05-26T00:00:00"/>
    <s v="ACCESSOIRES MAINTENANCE KL"/>
    <m/>
    <e v="#N/A"/>
    <e v="#N/A"/>
    <n v="75970"/>
    <s v="14003423"/>
    <s v="OPTIMUS"/>
    <s v="Q2"/>
    <e v="#REF!"/>
    <e v="#REF!"/>
    <e v="#REF!"/>
  </r>
  <r>
    <s v="401000"/>
    <x v="6"/>
    <s v="FOURNISSEURS"/>
    <s v="AC"/>
    <n v="-1317.04"/>
    <d v="2025-07-01T00:00:00"/>
    <s v="ELECTRICITÉ"/>
    <m/>
    <e v="#N/A"/>
    <e v="#N/A"/>
    <n v="78788"/>
    <s v="420007146055"/>
    <s v="ENGIE"/>
    <s v="Q3"/>
    <e v="#REF!"/>
    <e v="#REF!"/>
    <e v="#REF!"/>
  </r>
  <r>
    <s v="401000"/>
    <x v="6"/>
    <s v="FOURNISSEURS"/>
    <s v="AC"/>
    <n v="-1305.24"/>
    <d v="2025-07-17T00:00:00"/>
    <s v="SOLVANTS DEUTÉRÉS POUR ANALYSE RMN"/>
    <m/>
    <e v="#N/A"/>
    <e v="#N/A"/>
    <n v="78908"/>
    <s v="FVE0725-235"/>
    <s v="EURISOTOP"/>
    <s v="Q3"/>
    <e v="#REF!"/>
    <e v="#REF!"/>
    <e v="#REF!"/>
  </r>
  <r>
    <s v="401000"/>
    <x v="6"/>
    <s v="FOURNISSEURS"/>
    <s v="AC"/>
    <n v="-1300"/>
    <d v="2025-05-11T00:00:00"/>
    <s v="ETUDE + CONSEIL SCIENTIFIQUE ZACHARIAS AMARA CS#16 - MARS 2025"/>
    <s v="Non"/>
    <s v="Non"/>
    <e v="#N/A"/>
    <n v="72708"/>
    <s v="2025/0327"/>
    <s v="CHEM"/>
    <s v="Q2"/>
    <e v="#REF!"/>
    <e v="#REF!"/>
    <e v="#REF!"/>
  </r>
  <r>
    <s v="401000"/>
    <x v="6"/>
    <s v="FOURNISSEURS"/>
    <s v="AC"/>
    <n v="-1300"/>
    <d v="2025-12-19T00:00:00"/>
    <s v="CONSEIL SCIENTIFIQUE ZACHARIAS AMARA (CS#17)"/>
    <s v="Non"/>
    <s v="Non"/>
    <e v="#N/A"/>
    <n v="93019"/>
    <s v="2025/1219"/>
    <s v="CHEM"/>
    <s v="Q4"/>
    <e v="#REF!"/>
    <e v="#REF!"/>
    <e v="#REF!"/>
  </r>
  <r>
    <s v="401000"/>
    <x v="6"/>
    <s v="FOURNISSEURS"/>
    <s v="AC"/>
    <n v="-1294.8"/>
    <d v="2025-12-23T00:00:00"/>
    <s v="LOYER LYON JANVIER 26"/>
    <m/>
    <e v="#N/A"/>
    <e v="#N/A"/>
    <n v="93610"/>
    <s v="JANVIER 2026"/>
    <s v="REGIE CONSEIL"/>
    <s v="Q4"/>
    <e v="#REF!"/>
    <e v="#REF!"/>
    <e v="#REF!"/>
  </r>
  <r>
    <s v="401000"/>
    <x v="6"/>
    <s v="FOURNISSEURS"/>
    <s v="AC"/>
    <n v="-1292.5"/>
    <d v="2025-07-23T00:00:00"/>
    <s v="ENTRETIEN MÉNAGER"/>
    <m/>
    <e v="#N/A"/>
    <e v="#N/A"/>
    <n v="78937"/>
    <s v="PILI-230725"/>
    <s v="ABEL CHRIST SOMPLEI"/>
    <s v="Q3"/>
    <e v="#REF!"/>
    <e v="#REF!"/>
    <e v="#REF!"/>
  </r>
  <r>
    <s v="401000"/>
    <x v="6"/>
    <s v="FOURNISSEURS"/>
    <s v="AC"/>
    <n v="-1288.3599999999999"/>
    <d v="2025-09-01T00:00:00"/>
    <s v="LOYER LYON"/>
    <m/>
    <e v="#N/A"/>
    <e v="#N/A"/>
    <n v="81893"/>
    <s v="000931000101"/>
    <s v="REGIE CONSEIL"/>
    <s v="Q3"/>
    <e v="#REF!"/>
    <e v="#REF!"/>
    <e v="#REF!"/>
  </r>
  <r>
    <s v="401000"/>
    <x v="6"/>
    <s v="FOURNISSEURS"/>
    <s v="AC"/>
    <n v="-1288.3599999999999"/>
    <d v="2025-11-01T00:00:00"/>
    <s v="LOYER LYON"/>
    <m/>
    <e v="#N/A"/>
    <e v="#N/A"/>
    <n v="87467"/>
    <s v="000931000101 - NOVEMBRE 2025"/>
    <s v="REGIE CONSEIL"/>
    <s v="Q4"/>
    <e v="#REF!"/>
    <e v="#REF!"/>
    <e v="#REF!"/>
  </r>
  <r>
    <s v="401000"/>
    <x v="6"/>
    <s v="FOURNISSEURS"/>
    <s v="AC"/>
    <n v="-1280.45"/>
    <d v="2025-11-16T00:00:00"/>
    <s v="INTÉRIMAIRE GHALMI SEPHORA"/>
    <m/>
    <e v="#N/A"/>
    <e v="#N/A"/>
    <n v="94272"/>
    <s v="N6171212-2025"/>
    <s v="CRIT"/>
    <s v="Q4"/>
    <e v="#REF!"/>
    <e v="#REF!"/>
    <e v="#REF!"/>
  </r>
  <r>
    <s v="401000"/>
    <x v="6"/>
    <s v="FOURNISSEURS"/>
    <s v="AC"/>
    <n v="-1280.45"/>
    <d v="2025-12-18T00:00:00"/>
    <s v="POSE TÉLÉPHONE LISA BÂTIMENT E46"/>
    <s v="Non"/>
    <s v="Non"/>
    <e v="#N/A"/>
    <n v="93645"/>
    <s v="93814306"/>
    <s v="OSIRIS"/>
    <s v="Q4"/>
    <e v="#REF!"/>
    <e v="#REF!"/>
    <e v="#REF!"/>
  </r>
  <r>
    <s v="401000"/>
    <x v="6"/>
    <s v="FOURNISSEURS"/>
    <s v="AC"/>
    <n v="-1268.52"/>
    <d v="2025-04-16T00:00:00"/>
    <s v="TURBINE RUSHTON - KL - PROJET KEENY ET AUTRES PROJETS"/>
    <m/>
    <e v="#N/A"/>
    <e v="#N/A"/>
    <n v="69818"/>
    <s v="14003367"/>
    <s v="OPTIMUS"/>
    <s v="Q2"/>
    <e v="#REF!"/>
    <e v="#REF!"/>
    <e v="#REF!"/>
  </r>
  <r>
    <s v="401000"/>
    <x v="6"/>
    <s v="FOURNISSEURS"/>
    <s v="AC"/>
    <n v="-1265.82"/>
    <d v="2025-03-12T00:00:00"/>
    <s v="DÉPLACEMENT CIB CAMBRIDGE 3 NUITS 2 PERSONNES"/>
    <m/>
    <s v="Non"/>
    <e v="#N/A"/>
    <n v="66074"/>
    <s v="4410817540"/>
    <s v="DIVERS"/>
    <s v="Q1"/>
    <e v="#REF!"/>
    <e v="#REF!"/>
    <e v="#REF!"/>
  </r>
  <r>
    <s v="401000"/>
    <x v="6"/>
    <s v="FOURNISSEURS"/>
    <s v="AC"/>
    <n v="-1249.19"/>
    <d v="2025-10-14T00:00:00"/>
    <s v="COUVERTURE RESPONSABILITÉ CIVILE GÉNÉRALE"/>
    <m/>
    <e v="#N/A"/>
    <e v="#N/A"/>
    <n v="87084"/>
    <s v="2025-Q100527"/>
    <s v="INITIATIVE &amp; RISK PARTNERS"/>
    <s v="Q4"/>
    <e v="#REF!"/>
    <e v="#REF!"/>
    <e v="#REF!"/>
  </r>
  <r>
    <s v="401000"/>
    <x v="6"/>
    <s v="FOURNISSEURS"/>
    <s v="AC"/>
    <n v="-1243.02"/>
    <d v="2025-03-03T00:00:00"/>
    <s v="PARIS NUREMBERG POUR L'ECS"/>
    <m/>
    <e v="#N/A"/>
    <e v="#N/A"/>
    <n v="66035"/>
    <s v="K8CY4H"/>
    <s v="AIR FRANCE"/>
    <s v="Q1"/>
    <e v="#REF!"/>
    <e v="#REF!"/>
    <e v="#REF!"/>
  </r>
  <r>
    <s v="401000"/>
    <x v="6"/>
    <s v="FOURNISSEURS"/>
    <s v="AC"/>
    <n v="-1236.8599999999999"/>
    <d v="2025-01-01T00:00:00"/>
    <s v="RÈGLEMENT 100% EN AVANCE MALLE OPEN ROAD SUR MESURE DIM.  760X520X H700 INT SERRURE AVEC 2 CLES POUR COUVERCLE  OPEN ROAD"/>
    <m/>
    <e v="#N/A"/>
    <e v="#N/A"/>
    <n v="61240"/>
    <s v="12401666"/>
    <s v="RYTHMES ET SONS"/>
    <s v="Q1"/>
    <e v="#REF!"/>
    <e v="#REF!"/>
    <e v="#REF!"/>
  </r>
  <r>
    <s v="401000"/>
    <x v="6"/>
    <s v="FOURNISSEURS"/>
    <s v="AC"/>
    <n v="-1229.72"/>
    <d v="2025-02-03T00:00:00"/>
    <s v="ELECTRICITÉ KB - 7E"/>
    <m/>
    <e v="#N/A"/>
    <e v="#N/A"/>
    <n v="73655"/>
    <s v="5,20E+11"/>
    <s v="ENGIE"/>
    <s v="Q1"/>
    <e v="#REF!"/>
    <e v="#REF!"/>
    <e v="#REF!"/>
  </r>
  <r>
    <s v="401000"/>
    <x v="6"/>
    <s v="FOURNISSEURS"/>
    <s v="AC"/>
    <n v="-1222"/>
    <d v="2025-04-22T00:00:00"/>
    <s v="MÉNAGE KB AVRIL"/>
    <m/>
    <e v="#N/A"/>
    <e v="#N/A"/>
    <n v="69831"/>
    <s v="PILI-220425"/>
    <s v="ABEL CHRIST SOMPLEI"/>
    <s v="Q2"/>
    <e v="#REF!"/>
    <e v="#REF!"/>
    <e v="#REF!"/>
  </r>
  <r>
    <s v="401000"/>
    <x v="6"/>
    <s v="FOURNISSEURS"/>
    <s v="AC"/>
    <n v="-1212.67"/>
    <d v="2025-09-30T00:00:00"/>
    <s v="LIVRAISON DE DEUX BOUTEILLES DE GAZ HÉLIUM ENLÈVEMENT DE DEUX BOUTEILLES DE GAZ"/>
    <m/>
    <e v="#N/A"/>
    <e v="#N/A"/>
    <n v="82777"/>
    <s v="5800906723"/>
    <s v="AIR LIQUIDE"/>
    <s v="Q3"/>
    <e v="#REF!"/>
    <e v="#REF!"/>
    <e v="#REF!"/>
  </r>
  <r>
    <s v="401000"/>
    <x v="6"/>
    <s v="FOURNISSEURS"/>
    <s v="AC"/>
    <n v="-1200"/>
    <d v="2025-02-20T00:00:00"/>
    <s v="FOFAIT 1 BOARD -18/02/2025 - BOARD SERIE B Q1 2025"/>
    <s v="Non"/>
    <s v="Non"/>
    <e v="#N/A"/>
    <n v="61536"/>
    <s v="20250220-0001"/>
    <s v="GARRIGUE CONSULTING"/>
    <s v="Q1"/>
    <e v="#REF!"/>
    <e v="#REF!"/>
    <e v="#REF!"/>
  </r>
  <r>
    <s v="401000"/>
    <x v="6"/>
    <s v="FOURNISSEURS"/>
    <s v="AC"/>
    <n v="-1200"/>
    <d v="2025-04-01T00:00:00"/>
    <s v="FOFAIT 1 BOARD -18/03/2025 - PILI BOARD Q1 2025"/>
    <s v="Non"/>
    <s v="Non"/>
    <e v="#N/A"/>
    <n v="69677"/>
    <s v="20250401-0001"/>
    <s v="GARRIGUE CONSULTING"/>
    <s v="Q2"/>
    <e v="#REF!"/>
    <e v="#REF!"/>
    <e v="#REF!"/>
  </r>
  <r>
    <s v="401000"/>
    <x v="6"/>
    <s v="FOURNISSEURS"/>
    <s v="AC"/>
    <n v="-1200"/>
    <d v="2025-05-26T00:00:00"/>
    <s v="FOFAIT 1 BOARD -13/05/2025 - PILI BOARD SERIE B"/>
    <s v="Non"/>
    <s v="Non"/>
    <e v="#N/A"/>
    <n v="74458"/>
    <s v="20250526-0001"/>
    <s v="GARRIGUE CONSULTING"/>
    <s v="Q2"/>
    <e v="#REF!"/>
    <e v="#REF!"/>
    <e v="#REF!"/>
  </r>
  <r>
    <s v="401000"/>
    <x v="6"/>
    <s v="FOURNISSEURS"/>
    <s v="AC"/>
    <n v="-1200"/>
    <d v="2025-06-18T00:00:00"/>
    <s v="FOFAIT 1 BOARD -10/06/2025 - PILI BOARD"/>
    <s v="Non"/>
    <s v="Non"/>
    <e v="#N/A"/>
    <n v="76607"/>
    <s v="20250618-0001"/>
    <s v="GARRIGUE CONSULTING"/>
    <s v="Q2"/>
    <e v="#REF!"/>
    <e v="#REF!"/>
    <e v="#REF!"/>
  </r>
  <r>
    <s v="401000"/>
    <x v="6"/>
    <s v="FOURNISSEURS"/>
    <s v="AC"/>
    <n v="-1200"/>
    <d v="2025-06-23T00:00:00"/>
    <s v="LOYER ANNUEL OSIRIS"/>
    <s v="Non"/>
    <s v="Non"/>
    <e v="#N/A"/>
    <n v="77279"/>
    <s v="93813093"/>
    <s v="OSIRIS"/>
    <s v="Q2"/>
    <e v="#REF!"/>
    <e v="#REF!"/>
    <e v="#REF!"/>
  </r>
  <r>
    <s v="401000"/>
    <x v="6"/>
    <s v="FOURNISSEURS"/>
    <s v="AC"/>
    <n v="-1200"/>
    <d v="2025-09-01T00:00:00"/>
    <s v="BUSINESS ADVISORY BOARD - E PETIOT."/>
    <s v="Non"/>
    <s v="Non"/>
    <e v="#N/A"/>
    <n v="81851"/>
    <s v="F2590001"/>
    <s v="HELLITAX"/>
    <s v="Q3"/>
    <e v="#REF!"/>
    <e v="#REF!"/>
    <e v="#REF!"/>
  </r>
  <r>
    <s v="401000"/>
    <x v="6"/>
    <s v="FOURNISSEURS"/>
    <s v="AC"/>
    <n v="-1200"/>
    <d v="2025-10-01T00:00:00"/>
    <s v="FOFAIT 1 BOARD -16/09/2025 - PILI BOARD"/>
    <s v="Non"/>
    <s v="Non"/>
    <e v="#N/A"/>
    <n v="82756"/>
    <s v="20251001-0001"/>
    <s v="GARRIGUE CONSULTING"/>
    <s v="Q4"/>
    <e v="#REF!"/>
    <e v="#REF!"/>
    <e v="#REF!"/>
  </r>
  <r>
    <s v="401000"/>
    <x v="6"/>
    <s v="FOURNISSEURS"/>
    <s v="AC"/>
    <n v="-1200"/>
    <d v="2025-10-17T00:00:00"/>
    <s v="CONSEIL EMMANUEL PETIOT, BUSINESS ADVISORY BOARD #2 131025"/>
    <s v="Non"/>
    <s v="Non"/>
    <e v="#N/A"/>
    <n v="87283"/>
    <s v="F25X0003"/>
    <s v="HELLITAX"/>
    <s v="Q4"/>
    <e v="#REF!"/>
    <e v="#REF!"/>
    <e v="#REF!"/>
  </r>
  <r>
    <s v="401000"/>
    <x v="6"/>
    <s v="FOURNISSEURS"/>
    <s v="AC"/>
    <n v="-1190.4000000000001"/>
    <d v="2025-09-18T00:00:00"/>
    <s v="ANIMATION SÉMINAIRE PILI 2025"/>
    <m/>
    <e v="#N/A"/>
    <e v="#N/A"/>
    <n v="94265"/>
    <s v="F20250908"/>
    <s v="MISTERAVENTURE"/>
    <s v="Q3"/>
    <e v="#REF!"/>
    <e v="#REF!"/>
    <e v="#REF!"/>
  </r>
  <r>
    <s v="401000"/>
    <x v="6"/>
    <s v="FOURNISSEURS"/>
    <s v="AC"/>
    <n v="-1188"/>
    <d v="2025-01-31T00:00:00"/>
    <s v="PRESTATION RÉALISÉE À DISTANCE PAR UN CONSULTANT  L1K"/>
    <m/>
    <s v="Non"/>
    <e v="#N/A"/>
    <n v="61351"/>
    <s v="FAP10564"/>
    <s v="AXE GESCOM"/>
    <s v="Q1"/>
    <e v="#REF!"/>
    <e v="#REF!"/>
    <e v="#REF!"/>
  </r>
  <r>
    <s v="401000"/>
    <x v="6"/>
    <s v="FOURNISSEURS"/>
    <s v="AC"/>
    <n v="-1188"/>
    <d v="2025-05-06T00:00:00"/>
    <s v="PRESTATION RÉALISÉE À DISTANCE PAR UN CONSULTANT 1,00 L1K, LA JOURNÉE"/>
    <m/>
    <s v="Non"/>
    <e v="#N/A"/>
    <n v="73767"/>
    <s v="FAP10896"/>
    <s v="AXE GESCOM"/>
    <s v="Q2"/>
    <e v="#REF!"/>
    <e v="#REF!"/>
    <e v="#REF!"/>
  </r>
  <r>
    <s v="401000"/>
    <x v="6"/>
    <s v="FOURNISSEURS"/>
    <s v="AC"/>
    <n v="-1188"/>
    <d v="2025-07-04T00:00:00"/>
    <s v="FORMATION À DISTANCE SAGE G. ZIANI"/>
    <m/>
    <s v="Non"/>
    <e v="#N/A"/>
    <n v="78894"/>
    <s v="FAP11094"/>
    <s v="AXE GESCOM"/>
    <s v="Q3"/>
    <e v="#REF!"/>
    <e v="#REF!"/>
    <e v="#REF!"/>
  </r>
  <r>
    <s v="401000"/>
    <x v="6"/>
    <s v="FOURNISSEURS"/>
    <s v="AC"/>
    <n v="-1188"/>
    <d v="2025-07-11T00:00:00"/>
    <s v="FORMATION À DISTANCE SAGE"/>
    <m/>
    <s v="Non"/>
    <e v="#N/A"/>
    <n v="78902"/>
    <s v="FAP11163"/>
    <s v="AXE GESCOM"/>
    <s v="Q3"/>
    <e v="#REF!"/>
    <e v="#REF!"/>
    <e v="#REF!"/>
  </r>
  <r>
    <s v="401000"/>
    <x v="6"/>
    <s v="FOURNISSEURS"/>
    <s v="AC"/>
    <n v="-1176"/>
    <d v="2025-04-29T00:00:00"/>
    <s v="FORMATION CCN GOUTIERRE-MASSEBOEUF"/>
    <m/>
    <s v="Non"/>
    <n v="0"/>
    <n v="72619"/>
    <s v="F2025/0308"/>
    <s v="ASS FORMATION CONTINUE INDUS CHIMIQUES"/>
    <s v="Q2"/>
    <e v="#REF!"/>
    <e v="#REF!"/>
    <e v="#REF!"/>
  </r>
  <r>
    <s v="401000"/>
    <x v="6"/>
    <s v="FOURNISSEURS"/>
    <s v="AC"/>
    <n v="-1173.5999999999999"/>
    <d v="2025-07-08T00:00:00"/>
    <s v="RÉPONSE À LA NOTIFICATION DE DEMANDE DE BREVET EUROPÉEN - BREVET PHOENIX"/>
    <s v="Non"/>
    <s v="Oui"/>
    <e v="#N/A"/>
    <n v="77338"/>
    <s v="253208"/>
    <s v="BECKER"/>
    <s v="Q3"/>
    <e v="#REF!"/>
    <e v="#REF!"/>
    <e v="#REF!"/>
  </r>
  <r>
    <s v="401000"/>
    <x v="6"/>
    <s v="FOURNISSEURS"/>
    <s v="AC"/>
    <n v="-1172.2"/>
    <d v="2025-11-14T00:00:00"/>
    <s v="CONSEIL SCIENTIFIQUE #17 WANDA DISCHERT"/>
    <s v="Non"/>
    <s v="Non"/>
    <e v="#N/A"/>
    <n v="90058"/>
    <s v="01/11/2025"/>
    <s v="SYNCLINAL"/>
    <s v="Q4"/>
    <e v="#REF!"/>
    <e v="#REF!"/>
    <e v="#REF!"/>
  </r>
  <r>
    <s v="401000"/>
    <x v="6"/>
    <s v="FOURNISSEURS"/>
    <s v="AC"/>
    <n v="-1170.1600000000001"/>
    <d v="2025-10-31T00:00:00"/>
    <s v="ELECTRICITÉ KB - 7E ÉTAGE"/>
    <m/>
    <e v="#N/A"/>
    <e v="#N/A"/>
    <n v="90075"/>
    <s v="980005457002"/>
    <s v="ENGIE"/>
    <s v="Q4"/>
    <e v="#REF!"/>
    <e v="#REF!"/>
    <e v="#REF!"/>
  </r>
  <r>
    <s v="401000"/>
    <x v="6"/>
    <s v="FOURNISSEURS"/>
    <s v="AC"/>
    <n v="-1158"/>
    <d v="2025-05-20T00:00:00"/>
    <s v="CONTRÔLE ANNUEL DES SORBONNES ET DES ARMOIRES"/>
    <m/>
    <e v="#N/A"/>
    <e v="#N/A"/>
    <n v="74445"/>
    <s v="2025F017"/>
    <s v="CONTROL'AIR"/>
    <s v="Q2"/>
    <e v="#REF!"/>
    <e v="#REF!"/>
    <e v="#REF!"/>
  </r>
  <r>
    <s v="401000"/>
    <x v="6"/>
    <s v="FOURNISSEURS"/>
    <s v="AC"/>
    <n v="-1131.31"/>
    <d v="2025-05-02T00:00:00"/>
    <s v="ELECTRICITÉ KB"/>
    <m/>
    <e v="#N/A"/>
    <e v="#N/A"/>
    <n v="78750"/>
    <s v="970005348106"/>
    <s v="ENGIE"/>
    <s v="Q2"/>
    <e v="#REF!"/>
    <e v="#REF!"/>
    <e v="#REF!"/>
  </r>
  <r>
    <s v="401000"/>
    <x v="6"/>
    <s v="FOURNISSEURS"/>
    <s v="AC"/>
    <n v="-1129.2"/>
    <d v="2025-03-03T00:00:00"/>
    <s v="A PAYER 100% À LA COMMANDE DÉTECTEUR NO2 AVEC OPTION MAINTENANCE"/>
    <m/>
    <e v="#N/A"/>
    <e v="#N/A"/>
    <n v="66046"/>
    <s v="FC94298"/>
    <s v="GAZ DETECT"/>
    <s v="Q1"/>
    <e v="#REF!"/>
    <e v="#REF!"/>
    <e v="#REF!"/>
  </r>
  <r>
    <s v="401000"/>
    <x v="6"/>
    <s v="FOURNISSEURS"/>
    <s v="AC"/>
    <n v="-1116"/>
    <d v="2025-01-31T00:00:00"/>
    <s v="PRESTATION POUR LA PÉRIODE JANVIER 2025 PRESTATION RÉCURRENTE"/>
    <m/>
    <e v="#N/A"/>
    <e v="#N/A"/>
    <n v="61372"/>
    <s v="F25020082"/>
    <s v="AGENCE DIVA"/>
    <s v="Q1"/>
    <e v="#REF!"/>
    <e v="#REF!"/>
    <e v="#REF!"/>
  </r>
  <r>
    <s v="401000"/>
    <x v="6"/>
    <s v="FOURNISSEURS"/>
    <s v="AC"/>
    <n v="-1116"/>
    <d v="2025-03-31T00:00:00"/>
    <s v="PRESTATION POUR LA PÉRIODE MARS 2025 PRESTATION RÉCURRENTE"/>
    <m/>
    <e v="#N/A"/>
    <e v="#N/A"/>
    <n v="67913"/>
    <s v="F25040221"/>
    <s v="AGENCE DIVA"/>
    <s v="Q1"/>
    <e v="#REF!"/>
    <e v="#REF!"/>
    <e v="#REF!"/>
  </r>
  <r>
    <s v="401000"/>
    <x v="6"/>
    <s v="FOURNISSEURS"/>
    <s v="AC"/>
    <n v="-1116"/>
    <d v="2025-04-30T00:00:00"/>
    <s v="PRESTATION POUR LA PÉRIODE AVRIL 2025 PRESTATION RÉCURRENTE - OFFICE MANAGEMENT"/>
    <m/>
    <e v="#N/A"/>
    <e v="#N/A"/>
    <n v="72629"/>
    <s v="F25050295"/>
    <s v="AGENCE DIVA"/>
    <s v="Q2"/>
    <e v="#REF!"/>
    <e v="#REF!"/>
    <e v="#REF!"/>
  </r>
  <r>
    <s v="401000"/>
    <x v="6"/>
    <s v="FOURNISSEURS"/>
    <s v="AC"/>
    <n v="-1116"/>
    <d v="2025-05-31T00:00:00"/>
    <s v="PRESTATION ASSISTANT(E) OFFICE MANAGER"/>
    <m/>
    <e v="#N/A"/>
    <e v="#N/A"/>
    <n v="75992"/>
    <s v="F-25060373"/>
    <s v="AGENCE DIVA"/>
    <s v="Q2"/>
    <e v="#REF!"/>
    <e v="#REF!"/>
    <e v="#REF!"/>
  </r>
  <r>
    <s v="401000"/>
    <x v="6"/>
    <s v="FOURNISSEURS"/>
    <s v="AC"/>
    <n v="-1116"/>
    <d v="2025-06-30T00:00:00"/>
    <s v="PRESTATION ASSISTANT(E) OFFICE MANAGER"/>
    <m/>
    <e v="#N/A"/>
    <e v="#N/A"/>
    <n v="77306"/>
    <s v="F-25070447"/>
    <s v="AGENCE DIVA"/>
    <s v="Q2"/>
    <e v="#REF!"/>
    <e v="#REF!"/>
    <e v="#REF!"/>
  </r>
  <r>
    <s v="401000"/>
    <x v="6"/>
    <s v="FOURNISSEURS"/>
    <s v="AC"/>
    <n v="-1116"/>
    <d v="2025-07-31T00:00:00"/>
    <s v="PRESTATION ASSISTANT(E) OFFICE MANAGER"/>
    <m/>
    <e v="#N/A"/>
    <e v="#N/A"/>
    <n v="81231"/>
    <s v="F-25070516"/>
    <s v="AGENCE DIVA"/>
    <s v="Q3"/>
    <e v="#REF!"/>
    <e v="#REF!"/>
    <e v="#REF!"/>
  </r>
  <r>
    <s v="401000"/>
    <x v="6"/>
    <s v="FOURNISSEURS"/>
    <s v="AC"/>
    <n v="-1116"/>
    <d v="2025-08-31T00:00:00"/>
    <s v="PRESTATION ASSISTANT(E) OFFICE MANAGER"/>
    <m/>
    <e v="#N/A"/>
    <e v="#N/A"/>
    <n v="82296"/>
    <s v="F-25090585"/>
    <s v="AGENCE DIVA"/>
    <s v="Q3"/>
    <e v="#REF!"/>
    <e v="#REF!"/>
    <e v="#REF!"/>
  </r>
  <r>
    <s v="401000"/>
    <x v="6"/>
    <s v="FOURNISSEURS"/>
    <s v="AC"/>
    <n v="-1116"/>
    <d v="2025-09-30T00:00:00"/>
    <s v="PRESTATION POUR LA PÉRIODE SEPTEMBRE 2025 PRESTATION RÉCURRENTE"/>
    <m/>
    <e v="#N/A"/>
    <e v="#N/A"/>
    <n v="87055"/>
    <s v="F-25100652"/>
    <s v="AGENCE DIVA"/>
    <s v="Q3"/>
    <e v="#REF!"/>
    <e v="#REF!"/>
    <e v="#REF!"/>
  </r>
  <r>
    <s v="401000"/>
    <x v="6"/>
    <s v="FOURNISSEURS"/>
    <s v="AC"/>
    <n v="-1116"/>
    <d v="2025-10-31T00:00:00"/>
    <s v="PRESTATION ASSISTANT(E) OFFICE MANAGER"/>
    <m/>
    <e v="#N/A"/>
    <e v="#N/A"/>
    <n v="89895"/>
    <s v="F-25110721"/>
    <s v="AGENCE DIVA"/>
    <s v="Q4"/>
    <e v="#REF!"/>
    <e v="#REF!"/>
    <e v="#REF!"/>
  </r>
  <r>
    <s v="401000"/>
    <x v="6"/>
    <s v="FOURNISSEURS"/>
    <s v="AC"/>
    <n v="-1116"/>
    <d v="2025-11-30T00:00:00"/>
    <s v="PRESTATION POUR LA PÉRIODE NOVEMBRE 2025 PRESTATION RÉCURRENTE"/>
    <m/>
    <e v="#N/A"/>
    <e v="#N/A"/>
    <n v="91983"/>
    <s v="F-25120794"/>
    <s v="AGENCE DIVA"/>
    <s v="Q4"/>
    <e v="#REF!"/>
    <e v="#REF!"/>
    <e v="#REF!"/>
  </r>
  <r>
    <s v="401000"/>
    <x v="6"/>
    <s v="FOURNISSEURS"/>
    <s v="AC"/>
    <n v="-1116"/>
    <d v="2025-12-31T00:00:00"/>
    <s v="PRESTATION POUR LA PÉRIODE DÉCEMBRE 2025 PRESTATION RÉCURRENTE"/>
    <m/>
    <e v="#N/A"/>
    <e v="#N/A"/>
    <n v="95156"/>
    <s v="F-26010025"/>
    <s v="AGENCE DIVA"/>
    <s v="Q4"/>
    <e v="#REF!"/>
    <e v="#REF!"/>
    <e v="#REF!"/>
  </r>
  <r>
    <s v="401000"/>
    <x v="6"/>
    <s v="FOURNISSEURS"/>
    <s v="AC"/>
    <n v="-1104.5"/>
    <d v="2025-01-13T00:00:00"/>
    <s v="MÉNAGE KB JANVIER 25"/>
    <m/>
    <e v="#N/A"/>
    <e v="#N/A"/>
    <n v="61249"/>
    <s v="PILI-130125"/>
    <s v="ABEL CHRIST SOMPLEI"/>
    <s v="Q1"/>
    <e v="#REF!"/>
    <e v="#REF!"/>
    <e v="#REF!"/>
  </r>
  <r>
    <s v="401000"/>
    <x v="6"/>
    <s v="FOURNISSEURS"/>
    <s v="AC"/>
    <n v="-1104.5"/>
    <d v="2025-05-21T00:00:00"/>
    <s v="KB MÉNAGE MAI"/>
    <m/>
    <e v="#N/A"/>
    <e v="#N/A"/>
    <n v="74451"/>
    <s v="PILI-210525"/>
    <s v="ABEL CHRIST SOMPLEI"/>
    <s v="Q2"/>
    <e v="#REF!"/>
    <e v="#REF!"/>
    <e v="#REF!"/>
  </r>
  <r>
    <s v="401000"/>
    <x v="6"/>
    <s v="FOURNISSEURS"/>
    <s v="AC"/>
    <n v="-1086"/>
    <d v="2025-04-30T00:00:00"/>
    <s v="FORMATION 04/2025 : HABILITATION ÉLECTRIQUE BR BC B1V B2V BE ESSAI H"/>
    <s v="Non"/>
    <s v="Non"/>
    <e v="#N/A"/>
    <n v="73746"/>
    <s v="93812814"/>
    <s v="OSIRIS"/>
    <s v="Q2"/>
    <e v="#REF!"/>
    <e v="#REF!"/>
    <e v="#REF!"/>
  </r>
  <r>
    <s v="401000"/>
    <x v="6"/>
    <s v="FOURNISSEURS"/>
    <s v="AC"/>
    <n v="-1083.5999999999999"/>
    <d v="2025-12-15T00:00:00"/>
    <s v="COLONNE LUNA + PRÉ-COLONNES"/>
    <m/>
    <e v="#N/A"/>
    <e v="#N/A"/>
    <n v="93003"/>
    <s v="CIFR-25005742"/>
    <s v="PHENOMENEX"/>
    <s v="Q4"/>
    <e v="#REF!"/>
    <e v="#REF!"/>
    <e v="#REF!"/>
  </r>
  <r>
    <s v="401000"/>
    <x v="6"/>
    <s v="FOURNISSEURS"/>
    <s v="AC"/>
    <n v="-1080"/>
    <d v="2025-04-18T00:00:00"/>
    <s v="COURS PARTICULIER D'ANGLAIS A.M"/>
    <m/>
    <s v="Non"/>
    <e v="#N/A"/>
    <n v="69821"/>
    <s v="F-2025-01108"/>
    <s v="WOOSPEAK"/>
    <s v="Q2"/>
    <e v="#REF!"/>
    <e v="#REF!"/>
    <e v="#REF!"/>
  </r>
  <r>
    <s v="401000"/>
    <x v="6"/>
    <s v="FOURNISSEURS"/>
    <s v="AC"/>
    <n v="-1080"/>
    <d v="2025-04-24T00:00:00"/>
    <s v="A.D COURS PARTICULIER D'ANGLAIS"/>
    <m/>
    <s v="Non"/>
    <e v="#N/A"/>
    <n v="71338"/>
    <s v="F-2025-01139"/>
    <s v="WOOSPEAK"/>
    <s v="Q2"/>
    <e v="#REF!"/>
    <e v="#REF!"/>
    <e v="#REF!"/>
  </r>
  <r>
    <s v="401000"/>
    <x v="6"/>
    <s v="FOURNISSEURS"/>
    <s v="AC"/>
    <n v="-1068.5999999999999"/>
    <d v="2025-05-27T00:00:00"/>
    <s v="TRANSMISSION ET ANALYSE DU RAPPORT DE RECHERCHE EUROPÉEN - BREVET BIOPIGMENTS"/>
    <s v="Non"/>
    <s v="Oui"/>
    <e v="#N/A"/>
    <n v="74463"/>
    <s v="252431"/>
    <s v="BECKER"/>
    <s v="Q2"/>
    <e v="#REF!"/>
    <e v="#REF!"/>
    <e v="#REF!"/>
  </r>
  <r>
    <s v="401000"/>
    <x v="6"/>
    <s v="FOURNISSEURS"/>
    <s v="AC"/>
    <n v="-1061.49"/>
    <d v="2025-03-31T00:00:00"/>
    <s v="FRAIS BANCAIRES"/>
    <m/>
    <e v="#N/A"/>
    <e v="#N/A"/>
    <n v="72587"/>
    <s v="Frais2025Q1"/>
    <s v="Banque Populaire Rive de Paris"/>
    <s v="Q1"/>
    <e v="#REF!"/>
    <e v="#REF!"/>
    <e v="#REF!"/>
  </r>
  <r>
    <s v="401000"/>
    <x v="6"/>
    <s v="FOURNISSEURS"/>
    <s v="AC"/>
    <n v="-1059.31"/>
    <d v="2025-01-28T00:00:00"/>
    <s v="RACCORD INOX DÉTENDEUR"/>
    <m/>
    <e v="#N/A"/>
    <e v="#N/A"/>
    <n v="76177"/>
    <s v="5800302424"/>
    <s v="AIR LIQUIDE"/>
    <s v="Q1"/>
    <e v="#REF!"/>
    <e v="#REF!"/>
    <e v="#REF!"/>
  </r>
  <r>
    <s v="401000"/>
    <x v="6"/>
    <s v="FOURNISSEURS"/>
    <s v="AC"/>
    <n v="-1056"/>
    <d v="2025-03-31T00:00:00"/>
    <s v="DEMO : SUPPRESSION ÉTAYAGE   2900€HT  POSE / DÉPOSE 240€ : LOCATION 16 SEMAINES"/>
    <m/>
    <e v="#N/A"/>
    <e v="#N/A"/>
    <n v="68999"/>
    <s v="FC0022485"/>
    <s v="ECHAFAUDAGE"/>
    <s v="Q1"/>
    <e v="#REF!"/>
    <e v="#REF!"/>
    <e v="#REF!"/>
  </r>
  <r>
    <s v="401000"/>
    <x v="6"/>
    <s v="FOURNISSEURS"/>
    <s v="AC"/>
    <n v="-1050"/>
    <d v="2025-02-12T00:00:00"/>
    <s v="TABLES/CHAISES/VIDÉOPROJ POUR CONSEIL SCIENTIFIQUE"/>
    <m/>
    <e v="#N/A"/>
    <n v="0"/>
    <n v="61472"/>
    <s v="225020109"/>
    <s v="LOCAPROD EVENEMENT"/>
    <s v="Q1"/>
    <e v="#REF!"/>
    <e v="#REF!"/>
    <e v="#REF!"/>
  </r>
  <r>
    <s v="401000"/>
    <x v="6"/>
    <s v="FOURNISSEURS"/>
    <s v="AC"/>
    <n v="-1050"/>
    <d v="2025-03-31T00:00:00"/>
    <s v="PRESTATION RÉGIS QWINCY"/>
    <s v="Non"/>
    <s v="Non"/>
    <e v="#N/A"/>
    <n v="75152"/>
    <s v="F 2025030058"/>
    <s v="QWINCY"/>
    <s v="Q1"/>
    <e v="#REF!"/>
    <e v="#REF!"/>
    <e v="#REF!"/>
  </r>
  <r>
    <s v="401000"/>
    <x v="6"/>
    <s v="FOURNISSEURS"/>
    <s v="AC"/>
    <n v="-1047.42"/>
    <d v="2025-10-31T00:00:00"/>
    <s v="COMMANDE 3SKEY JB"/>
    <m/>
    <e v="#N/A"/>
    <e v="#N/A"/>
    <n v="87156"/>
    <s v="25100000000000028544"/>
    <s v="Banque Populaire Rive de Paris"/>
    <s v="Q4"/>
    <e v="#REF!"/>
    <e v="#REF!"/>
    <e v="#REF!"/>
  </r>
  <r>
    <s v="401000"/>
    <x v="6"/>
    <s v="FOURNISSEURS"/>
    <s v="AC"/>
    <n v="-1044"/>
    <d v="2025-07-30T00:00:00"/>
    <s v="AR SÉMINAIRE PILISTES KB (8 PERS)"/>
    <m/>
    <e v="#N/A"/>
    <e v="#N/A"/>
    <n v="80903"/>
    <s v="3521332239-20250730"/>
    <s v="SNCF"/>
    <s v="Q3"/>
    <e v="#REF!"/>
    <e v="#REF!"/>
    <e v="#REF!"/>
  </r>
  <r>
    <s v="401000"/>
    <x v="6"/>
    <s v="FOURNISSEURS"/>
    <s v="AC"/>
    <n v="-1037.4000000000001"/>
    <d v="2025-02-03T00:00:00"/>
    <s v="BAC DE RÉTENTION DE FÛTS D'EFFLUENTS DANS L'ATELIER"/>
    <m/>
    <e v="#N/A"/>
    <e v="#N/A"/>
    <n v="68959"/>
    <s v="922045638"/>
    <s v="DENIOS"/>
    <s v="Q1"/>
    <e v="#REF!"/>
    <e v="#REF!"/>
    <e v="#REF!"/>
  </r>
  <r>
    <s v="401000"/>
    <x v="6"/>
    <s v="FOURNISSEURS"/>
    <s v="AC"/>
    <n v="-1034"/>
    <d v="2025-02-17T00:00:00"/>
    <s v="ENTRETIEN MÉNAGER FÉVRIER"/>
    <m/>
    <e v="#N/A"/>
    <e v="#N/A"/>
    <n v="61512"/>
    <s v="PILI-170225"/>
    <s v="ABEL CHRIST SOMPLEI"/>
    <s v="Q1"/>
    <e v="#REF!"/>
    <e v="#REF!"/>
    <e v="#REF!"/>
  </r>
  <r>
    <s v="401000"/>
    <x v="6"/>
    <s v="FOURNISSEURS"/>
    <s v="AC"/>
    <n v="-1034"/>
    <d v="2025-03-28T00:00:00"/>
    <s v="MÉNAGE KB"/>
    <m/>
    <e v="#N/A"/>
    <e v="#N/A"/>
    <n v="67900"/>
    <s v="280325"/>
    <s v="ABEL CHRIST SOMPLEI"/>
    <s v="Q1"/>
    <e v="#REF!"/>
    <e v="#REF!"/>
    <e v="#REF!"/>
  </r>
  <r>
    <s v="401000"/>
    <x v="6"/>
    <s v="FOURNISSEURS"/>
    <s v="AC"/>
    <n v="-1034"/>
    <d v="2025-06-25T00:00:00"/>
    <s v="ENTRETIEN MÉNAGER"/>
    <m/>
    <e v="#N/A"/>
    <e v="#N/A"/>
    <n v="76621"/>
    <s v="PILI-230625"/>
    <s v="ABEL CHRIST SOMPLEI"/>
    <s v="Q2"/>
    <e v="#REF!"/>
    <e v="#REF!"/>
    <e v="#REF!"/>
  </r>
  <r>
    <s v="401000"/>
    <x v="6"/>
    <s v="FOURNISSEURS"/>
    <s v="AC"/>
    <n v="-1026"/>
    <d v="2025-02-18T00:00:00"/>
    <s v="COLONNE HPLC LABO ROUSSILLON"/>
    <m/>
    <e v="#N/A"/>
    <e v="#N/A"/>
    <n v="61524"/>
    <s v="CIFR-25000698"/>
    <s v="PHENOMENEX"/>
    <s v="Q1"/>
    <e v="#REF!"/>
    <e v="#REF!"/>
    <e v="#REF!"/>
  </r>
  <r>
    <s v="401000"/>
    <x v="6"/>
    <s v="FOURNISSEURS"/>
    <s v="AC"/>
    <n v="-1022"/>
    <d v="2025-09-19T00:00:00"/>
    <s v="TRAITEUR SÉMINAIRE PILI (JEUDI 18 SEPT. SOIR)"/>
    <m/>
    <e v="#N/A"/>
    <e v="#N/A"/>
    <n v="82739"/>
    <s v="F-2025-1596"/>
    <s v="CANOVAS STEVE EI"/>
    <s v="Q3"/>
    <e v="#REF!"/>
    <e v="#REF!"/>
    <e v="#REF!"/>
  </r>
  <r>
    <s v="401000"/>
    <x v="6"/>
    <s v="FOURNISSEURS"/>
    <s v="AC"/>
    <n v="-1013.84"/>
    <d v="2025-10-03T00:00:00"/>
    <s v="PHASE NATIONALE USA - BREVET PHOENIX V20"/>
    <s v="Non"/>
    <s v="Oui"/>
    <e v="#N/A"/>
    <n v="82759"/>
    <s v="254432"/>
    <s v="BECKER"/>
    <s v="Q4"/>
    <e v="#REF!"/>
    <e v="#REF!"/>
    <e v="#REF!"/>
  </r>
  <r>
    <s v="401000"/>
    <x v="6"/>
    <s v="FOURNISSEURS"/>
    <s v="AC"/>
    <n v="-1010.82"/>
    <d v="2025-05-31T00:00:00"/>
    <s v="ELECTRICITÉ KB"/>
    <m/>
    <e v="#N/A"/>
    <e v="#N/A"/>
    <n v="78767"/>
    <s v="520001657013"/>
    <s v="ENGIE"/>
    <s v="Q2"/>
    <e v="#REF!"/>
    <e v="#REF!"/>
    <e v="#REF!"/>
  </r>
  <r>
    <s v="401000"/>
    <x v="6"/>
    <s v="FOURNISSEURS"/>
    <s v="AC"/>
    <n v="-1000"/>
    <d v="2025-07-07T00:00:00"/>
    <s v="PARTICIPATION AU BOARD BUSINESS"/>
    <s v="Non"/>
    <s v="Non"/>
    <e v="#N/A"/>
    <n v="77101"/>
    <s v="20250702"/>
    <s v="Michel Manach"/>
    <s v="Q3"/>
    <e v="#REF!"/>
    <e v="#REF!"/>
    <e v="#REF!"/>
  </r>
  <r>
    <s v="401000"/>
    <x v="6"/>
    <s v="FOURNISSEURS"/>
    <s v="AC"/>
    <n v="-1000"/>
    <d v="2025-11-01T00:00:00"/>
    <s v="PARTICIPATION BUSINESS BOARD"/>
    <s v="Non"/>
    <s v="Non"/>
    <e v="#N/A"/>
    <n v="91093"/>
    <s v="20251002"/>
    <s v="Michel Manach"/>
    <s v="Q4"/>
    <e v="#REF!"/>
    <e v="#REF!"/>
    <e v="#REF!"/>
  </r>
  <r>
    <s v="401000"/>
    <x v="6"/>
    <s v="FOURNISSEURS"/>
    <s v="AC"/>
    <n v="-992.72"/>
    <d v="2025-04-30T00:00:00"/>
    <s v="MÉTHANOL 2MIN. 99 % EAU 5 ROTISOLV HPLC GRADIENT GRADE MÉTHYLE-2-TÉTRAHYDROFURANE"/>
    <m/>
    <e v="#N/A"/>
    <e v="#N/A"/>
    <n v="72632"/>
    <s v="4177456"/>
    <s v="ROTH SOCHIEL"/>
    <s v="Q2"/>
    <e v="#REF!"/>
    <e v="#REF!"/>
    <e v="#REF!"/>
  </r>
  <r>
    <s v="401000"/>
    <x v="6"/>
    <s v="FOURNISSEURS"/>
    <s v="AC"/>
    <n v="-961.8"/>
    <d v="2025-03-31T00:00:00"/>
    <s v="Solde - Lavoix"/>
    <s v="Non"/>
    <s v="Oui"/>
    <e v="#N/A"/>
    <n v="73119"/>
    <m/>
    <s v="LAVOIX"/>
    <s v="Q1"/>
    <e v="#REF!"/>
    <e v="#REF!"/>
    <e v="#REF!"/>
  </r>
  <r>
    <s v="401000"/>
    <x v="6"/>
    <s v="FOURNISSEURS"/>
    <s v="AC"/>
    <n v="-960.34"/>
    <d v="2025-12-28T00:00:00"/>
    <s v="INTÉRIM SEPHORA"/>
    <m/>
    <e v="#N/A"/>
    <e v="#N/A"/>
    <n v="95144"/>
    <s v="N6171315-2025"/>
    <s v="CRIT"/>
    <s v="Q4"/>
    <e v="#REF!"/>
    <e v="#REF!"/>
    <e v="#REF!"/>
  </r>
  <r>
    <s v="401000"/>
    <x v="6"/>
    <s v="FOURNISSEURS"/>
    <s v="AC"/>
    <n v="-960"/>
    <d v="2025-02-12T00:00:00"/>
    <s v="FORMATION - LOÏC MASSEBOEUF  FORMATION - ANNE SOPHIE GOUTIERRE"/>
    <m/>
    <s v="Non"/>
    <n v="0"/>
    <n v="61463"/>
    <s v="F2025/0087"/>
    <s v="ASS FORMATION CONTINUE INDUS CHIMIQUES"/>
    <s v="Q1"/>
    <e v="#REF!"/>
    <e v="#REF!"/>
    <e v="#REF!"/>
  </r>
  <r>
    <s v="401000"/>
    <x v="6"/>
    <s v="FOURNISSEURS"/>
    <s v="AC"/>
    <n v="-960"/>
    <d v="2025-11-01T00:00:00"/>
    <s v="MARQUE US DÉPÔT"/>
    <s v="Non"/>
    <s v="Non"/>
    <e v="#N/A"/>
    <n v="91081"/>
    <s v="BOLD-031819"/>
    <s v="WE ARE BOLD"/>
    <s v="Q4"/>
    <e v="#REF!"/>
    <e v="#REF!"/>
    <e v="#REF!"/>
  </r>
  <r>
    <s v="401000"/>
    <x v="6"/>
    <s v="FOURNISSEURS"/>
    <s v="AC"/>
    <n v="-958.75"/>
    <d v="2025-12-12T00:00:00"/>
    <s v="SABOTS DE PESÉE / POIDS ÉTALONNAGE BALANCE ANALYTIQUE / FLACONS + BOUCHONS HPLC"/>
    <m/>
    <e v="#N/A"/>
    <e v="#N/A"/>
    <n v="93000"/>
    <s v="0190962"/>
    <s v="CLOUP"/>
    <s v="Q4"/>
    <e v="#REF!"/>
    <e v="#REF!"/>
    <e v="#REF!"/>
  </r>
  <r>
    <s v="401000"/>
    <x v="6"/>
    <s v="FOURNISSEURS"/>
    <s v="AC"/>
    <n v="-950"/>
    <d v="2025-11-27T00:00:00"/>
    <s v="FORMATION OBLIGATOIRE CSE ANTHONY"/>
    <m/>
    <s v="Non"/>
    <e v="#N/A"/>
    <n v="91974"/>
    <s v="01932531"/>
    <s v="ADN CSE"/>
    <s v="Q4"/>
    <e v="#REF!"/>
    <e v="#REF!"/>
    <e v="#REF!"/>
  </r>
  <r>
    <s v="401000"/>
    <x v="6"/>
    <s v="FOURNISSEURS"/>
    <s v="AC"/>
    <n v="-940"/>
    <d v="2025-10-22T00:00:00"/>
    <s v="ENTRETIEN MÉNAGER"/>
    <m/>
    <e v="#N/A"/>
    <e v="#N/A"/>
    <n v="87289"/>
    <s v="PILI-221025"/>
    <s v="ABEL CHRIST SOMPLEI"/>
    <s v="Q4"/>
    <e v="#REF!"/>
    <e v="#REF!"/>
    <e v="#REF!"/>
  </r>
  <r>
    <s v="401000"/>
    <x v="6"/>
    <s v="FOURNISSEURS"/>
    <s v="AC"/>
    <n v="-940"/>
    <d v="2025-12-23T00:00:00"/>
    <s v="ENTRETIEN MÉNAGER"/>
    <m/>
    <e v="#N/A"/>
    <e v="#N/A"/>
    <n v="93608"/>
    <s v="PILI-231225"/>
    <s v="ABEL CHRIST SOMPLEI"/>
    <s v="Q4"/>
    <e v="#REF!"/>
    <e v="#REF!"/>
    <e v="#REF!"/>
  </r>
  <r>
    <s v="401000"/>
    <x v="6"/>
    <s v="FOURNISSEURS"/>
    <s v="AC"/>
    <n v="-927.67"/>
    <d v="2025-11-20T00:00:00"/>
    <s v="ARBRE AGITATION KL + JOINTS +&gt; AJOUT D'UN 3ÈME ARBRE PAR RAPPORT À LA DEMANDE INITIALE"/>
    <m/>
    <e v="#N/A"/>
    <e v="#N/A"/>
    <n v="91948"/>
    <s v="14003762"/>
    <s v="OPTIMUS"/>
    <s v="Q4"/>
    <e v="#REF!"/>
    <e v="#REF!"/>
    <e v="#REF!"/>
  </r>
  <r>
    <s v="401000"/>
    <x v="6"/>
    <s v="FOURNISSEURS"/>
    <s v="AC"/>
    <n v="-918"/>
    <d v="2025-02-17T00:00:00"/>
    <s v="COLONNE HPLC LABO ROUSSILLON"/>
    <m/>
    <e v="#N/A"/>
    <e v="#N/A"/>
    <n v="61505"/>
    <s v="CIFR-25000680"/>
    <s v="PHENOMENEX"/>
    <s v="Q1"/>
    <e v="#REF!"/>
    <e v="#REF!"/>
    <e v="#REF!"/>
  </r>
  <r>
    <s v="401000"/>
    <x v="6"/>
    <s v="FOURNISSEURS"/>
    <s v="AC"/>
    <n v="-912"/>
    <d v="2025-01-31T00:00:00"/>
    <s v="CONTRAT DE LOCATION ALGECOS N° CT24/1025"/>
    <m/>
    <e v="#N/A"/>
    <e v="#N/A"/>
    <n v="96075"/>
    <s v="F2501/0298"/>
    <s v="COFICIEL"/>
    <s v="Q1"/>
    <e v="#REF!"/>
    <e v="#REF!"/>
    <e v="#REF!"/>
  </r>
  <r>
    <s v="401000"/>
    <x v="6"/>
    <s v="FOURNISSEURS"/>
    <s v="AC"/>
    <n v="-912"/>
    <d v="2025-02-28T00:00:00"/>
    <s v="LIVRAISON ET INSTALLATION DE DEUX NOUVEAUX ALGECOS _x0009_LOCATION DES 4 ALGECOS ACTUELS + 2 NOUVEAUX PENDANT 1 AN _x0009_DÉMONTAGE DES"/>
    <m/>
    <e v="#N/A"/>
    <e v="#N/A"/>
    <n v="61574"/>
    <s v="F2502/0987"/>
    <s v="COFICIEL"/>
    <s v="Q1"/>
    <e v="#REF!"/>
    <e v="#REF!"/>
    <e v="#REF!"/>
  </r>
  <r>
    <s v="401000"/>
    <x v="6"/>
    <s v="FOURNISSEURS"/>
    <s v="AC"/>
    <n v="-912"/>
    <d v="2025-03-31T00:00:00"/>
    <s v="LOCATION ALGECO ROUSSILLON (PÉRIODE TRAVAUX)"/>
    <m/>
    <e v="#N/A"/>
    <e v="#N/A"/>
    <n v="67910"/>
    <s v="F2503/1120"/>
    <s v="COFICIEL"/>
    <s v="Q1"/>
    <e v="#REF!"/>
    <e v="#REF!"/>
    <e v="#REF!"/>
  </r>
  <r>
    <s v="401000"/>
    <x v="6"/>
    <s v="FOURNISSEURS"/>
    <s v="AC"/>
    <n v="-912"/>
    <d v="2025-04-30T00:00:00"/>
    <s v="LIVRAISON ET INSTALLATION DE DEUX NOUVEAUX ALGECOS LOCATION DES 4 ALGECOS ACTUELS + 2 NOUVEAUX PENDANT 1 AN DÉMONTAGE DES"/>
    <m/>
    <e v="#N/A"/>
    <e v="#N/A"/>
    <n v="71373"/>
    <s v="F2504/0496"/>
    <s v="COFICIEL"/>
    <s v="Q2"/>
    <e v="#REF!"/>
    <e v="#REF!"/>
    <e v="#REF!"/>
  </r>
  <r>
    <s v="401000"/>
    <x v="6"/>
    <s v="FOURNISSEURS"/>
    <s v="AC"/>
    <n v="-912"/>
    <d v="2025-05-31T00:00:00"/>
    <s v="LOCATION ALGECO ROUSSILLON (PÉRIODE TRAVAUX)"/>
    <m/>
    <e v="#N/A"/>
    <e v="#N/A"/>
    <n v="75177"/>
    <s v="F2505/1514"/>
    <s v="COFICIEL"/>
    <s v="Q2"/>
    <e v="#REF!"/>
    <e v="#REF!"/>
    <e v="#REF!"/>
  </r>
  <r>
    <s v="401000"/>
    <x v="6"/>
    <s v="FOURNISSEURS"/>
    <s v="AC"/>
    <n v="-912"/>
    <d v="2025-06-30T00:00:00"/>
    <s v="LOCATION ALGECO ROUSSILLON (PÉRIODE TRAVAUX)"/>
    <m/>
    <e v="#N/A"/>
    <e v="#N/A"/>
    <n v="81314"/>
    <s v="F2506/0477"/>
    <s v="COFICIEL"/>
    <s v="Q2"/>
    <e v="#REF!"/>
    <e v="#REF!"/>
    <e v="#REF!"/>
  </r>
  <r>
    <s v="401000"/>
    <x v="6"/>
    <s v="FOURNISSEURS"/>
    <s v="AC"/>
    <n v="-912"/>
    <d v="2025-07-31T00:00:00"/>
    <s v="&quot;•_x0009_LIVRAISON ET INSTALLATION DE DEUX NOUVEAUX ALGECOS •_x0009_LOCATION DES 4 ALGECOS ACTUELS + 2 NOUVEAUX PENDANT 1 AN •_x0009_DÉMONTAGE DES"/>
    <m/>
    <e v="#N/A"/>
    <e v="#N/A"/>
    <n v="81761"/>
    <s v="F2507/0532"/>
    <s v="COFICIEL"/>
    <s v="Q3"/>
    <e v="#REF!"/>
    <e v="#REF!"/>
    <e v="#REF!"/>
  </r>
  <r>
    <s v="401000"/>
    <x v="6"/>
    <s v="FOURNISSEURS"/>
    <s v="AC"/>
    <n v="-912"/>
    <d v="2025-08-31T00:00:00"/>
    <s v="LOCATION ALGECO ROUSSILLON (PÉRIODE TRAVAUX)"/>
    <m/>
    <e v="#N/A"/>
    <e v="#N/A"/>
    <n v="82299"/>
    <s v="F2508/0404"/>
    <s v="COFICIEL"/>
    <s v="Q3"/>
    <e v="#REF!"/>
    <e v="#REF!"/>
    <e v="#REF!"/>
  </r>
  <r>
    <s v="401000"/>
    <x v="6"/>
    <s v="FOURNISSEURS"/>
    <s v="AC"/>
    <n v="-912"/>
    <d v="2025-09-30T00:00:00"/>
    <s v="LOCATION ALGECO ROUSSILLON (PÉRIODE TRAVAUX)"/>
    <m/>
    <e v="#N/A"/>
    <e v="#N/A"/>
    <n v="87067"/>
    <s v="F2509/0832"/>
    <s v="COFICIEL"/>
    <s v="Q3"/>
    <e v="#REF!"/>
    <e v="#REF!"/>
    <e v="#REF!"/>
  </r>
  <r>
    <s v="401000"/>
    <x v="6"/>
    <s v="FOURNISSEURS"/>
    <s v="AC"/>
    <n v="-912"/>
    <d v="2025-10-31T00:00:00"/>
    <s v="LOCATION ALGECO ROUSSILLON (PÉRIODE TRAVAUX)"/>
    <m/>
    <e v="#N/A"/>
    <e v="#N/A"/>
    <n v="89886"/>
    <s v="F2510/0735"/>
    <s v="COFICIEL"/>
    <s v="Q4"/>
    <e v="#REF!"/>
    <e v="#REF!"/>
    <e v="#REF!"/>
  </r>
  <r>
    <s v="401000"/>
    <x v="6"/>
    <s v="FOURNISSEURS"/>
    <s v="AC"/>
    <n v="-912"/>
    <d v="2025-11-30T00:00:00"/>
    <s v="LOCATION ALGECO ROUSSILLON (PÉRIODE TRAVAUX)"/>
    <m/>
    <e v="#N/A"/>
    <e v="#N/A"/>
    <n v="91986"/>
    <s v="F2511/1366"/>
    <s v="COFICIEL"/>
    <s v="Q4"/>
    <e v="#REF!"/>
    <e v="#REF!"/>
    <e v="#REF!"/>
  </r>
  <r>
    <s v="401000"/>
    <x v="6"/>
    <s v="FOURNISSEURS"/>
    <s v="AC"/>
    <n v="-912"/>
    <d v="2025-12-31T00:00:00"/>
    <s v="LOCATION ALGÉCO"/>
    <m/>
    <e v="#N/A"/>
    <e v="#N/A"/>
    <n v="95147"/>
    <s v="F2512/1221"/>
    <s v="COFICIEL"/>
    <s v="Q4"/>
    <e v="#REF!"/>
    <e v="#REF!"/>
    <e v="#REF!"/>
  </r>
  <r>
    <s v="401000"/>
    <x v="6"/>
    <s v="FOURNISSEURS"/>
    <s v="AC"/>
    <n v="-911.94"/>
    <d v="2025-06-02T00:00:00"/>
    <s v="COMMISSION DE STRUCTURATION CIR 2024"/>
    <s v="Non"/>
    <s v="Non"/>
    <e v="#N/A"/>
    <n v="87265"/>
    <s v="C2025-06-113"/>
    <s v="SIENNA AM FRANCE"/>
    <s v="Q2"/>
    <e v="#REF!"/>
    <e v="#REF!"/>
    <e v="#REF!"/>
  </r>
  <r>
    <s v="401000"/>
    <x v="6"/>
    <s v="FOURNISSEURS"/>
    <s v="AC"/>
    <n v="-908.56"/>
    <d v="2025-09-24T00:00:00"/>
    <s v="AVION A/R POUR VISITE BIOTIKA AVEC ASSURANCE ANNULATION"/>
    <m/>
    <e v="#N/A"/>
    <e v="#N/A"/>
    <n v="83019"/>
    <s v="2202233535731"/>
    <s v="AIRLINES"/>
    <s v="Q3"/>
    <e v="#REF!"/>
    <e v="#REF!"/>
    <e v="#REF!"/>
  </r>
  <r>
    <s v="401000"/>
    <x v="6"/>
    <s v="FOURNISSEURS"/>
    <s v="AC"/>
    <n v="-907.2"/>
    <d v="2025-01-02T00:00:00"/>
    <s v="FIBRE KB"/>
    <m/>
    <e v="#N/A"/>
    <e v="#N/A"/>
    <n v="73612"/>
    <s v="12501052746"/>
    <s v="ORANGE"/>
    <s v="Q1"/>
    <e v="#REF!"/>
    <e v="#REF!"/>
    <e v="#REF!"/>
  </r>
  <r>
    <s v="401000"/>
    <x v="6"/>
    <s v="FOURNISSEURS"/>
    <s v="AC"/>
    <n v="-907.2"/>
    <d v="2025-03-01T00:00:00"/>
    <s v="FIBRE INTERNET MARS &amp; AVRIL 2025"/>
    <m/>
    <e v="#N/A"/>
    <e v="#N/A"/>
    <n v="66137"/>
    <s v="12503051136"/>
    <s v="ORANGE"/>
    <s v="Q1"/>
    <e v="#REF!"/>
    <e v="#REF!"/>
    <e v="#REF!"/>
  </r>
  <r>
    <s v="401000"/>
    <x v="6"/>
    <s v="FOURNISSEURS"/>
    <s v="AC"/>
    <n v="-907.2"/>
    <d v="2025-05-01T00:00:00"/>
    <s v="ABONNEMENT"/>
    <m/>
    <e v="#N/A"/>
    <e v="#N/A"/>
    <n v="77259"/>
    <s v="12505050205"/>
    <s v="ORANGE"/>
    <s v="Q2"/>
    <e v="#REF!"/>
    <e v="#REF!"/>
    <e v="#REF!"/>
  </r>
  <r>
    <s v="401000"/>
    <x v="6"/>
    <s v="FOURNISSEURS"/>
    <s v="AC"/>
    <n v="-907.2"/>
    <d v="2025-07-02T00:00:00"/>
    <s v="BUSINESS INTERNET"/>
    <m/>
    <e v="#N/A"/>
    <e v="#N/A"/>
    <n v="78796"/>
    <s v="12507049386"/>
    <s v="ORANGE"/>
    <s v="Q3"/>
    <e v="#REF!"/>
    <e v="#REF!"/>
    <e v="#REF!"/>
  </r>
  <r>
    <s v="401000"/>
    <x v="6"/>
    <s v="FOURNISSEURS"/>
    <s v="AC"/>
    <n v="-907.2"/>
    <d v="2025-09-02T00:00:00"/>
    <s v="BUSINESS INTERNET"/>
    <m/>
    <e v="#N/A"/>
    <e v="#N/A"/>
    <n v="82254"/>
    <s v="12509048545"/>
    <s v="ORANGE"/>
    <s v="Q3"/>
    <e v="#REF!"/>
    <e v="#REF!"/>
    <e v="#REF!"/>
  </r>
  <r>
    <s v="401000"/>
    <x v="6"/>
    <s v="FOURNISSEURS"/>
    <s v="AC"/>
    <n v="-907.2"/>
    <d v="2025-11-03T00:00:00"/>
    <s v="BUSINESS INTERNET - 2 MOIS"/>
    <m/>
    <e v="#N/A"/>
    <e v="#N/A"/>
    <n v="90081"/>
    <s v="12511046008"/>
    <s v="ORANGE"/>
    <s v="Q4"/>
    <e v="#REF!"/>
    <e v="#REF!"/>
    <e v="#REF!"/>
  </r>
  <r>
    <s v="401000"/>
    <x v="6"/>
    <s v="FOURNISSEURS"/>
    <s v="AC"/>
    <n v="-900"/>
    <d v="2025-01-28T00:00:00"/>
    <s v="COMMISSION ANNUELLE REPRÉSENTANT MASSE PORTEURS OC"/>
    <s v="Non"/>
    <s v="Non"/>
    <e v="#N/A"/>
    <n v="78978"/>
    <s v="F-202501174"/>
    <s v="AETHER"/>
    <s v="Q1"/>
    <e v="#REF!"/>
    <e v="#REF!"/>
    <e v="#REF!"/>
  </r>
  <r>
    <s v="401000"/>
    <x v="6"/>
    <s v="FOURNISSEURS"/>
    <s v="AC"/>
    <n v="-900"/>
    <d v="2025-03-14T00:00:00"/>
    <s v="AGITATEUR MAGNÉTIQUE CHAUFFANT LABO R."/>
    <m/>
    <e v="#N/A"/>
    <e v="#N/A"/>
    <n v="66037"/>
    <s v="187096"/>
    <s v="CLOUP"/>
    <s v="Q1"/>
    <e v="#REF!"/>
    <e v="#REF!"/>
    <e v="#REF!"/>
  </r>
  <r>
    <s v="401000"/>
    <x v="6"/>
    <s v="FOURNISSEURS"/>
    <s v="AC"/>
    <n v="-900"/>
    <d v="2025-05-12T00:00:00"/>
    <s v="CONSULTANTE E CHARRIÈRE"/>
    <s v="Non"/>
    <s v="Non"/>
    <e v="#N/A"/>
    <n v="75950"/>
    <s v="250544439"/>
    <s v="CHARRIERE Eugenie"/>
    <s v="Q2"/>
    <e v="#REF!"/>
    <e v="#REF!"/>
    <e v="#REF!"/>
  </r>
  <r>
    <s v="401000"/>
    <x v="6"/>
    <s v="FOURNISSEURS"/>
    <s v="AC"/>
    <n v="-888"/>
    <d v="2025-01-03T00:00:00"/>
    <s v="COTISATION 2025 B4C"/>
    <m/>
    <s v="Non"/>
    <s v="Oui"/>
    <n v="68953"/>
    <s v="F2025/281"/>
    <s v="BIOECONOMY FOR CHANGE"/>
    <s v="Q1"/>
    <e v="#REF!"/>
    <e v="#REF!"/>
    <e v="#REF!"/>
  </r>
  <r>
    <s v="401000"/>
    <x v="6"/>
    <s v="FOURNISSEURS"/>
    <s v="AC"/>
    <n v="-885.18"/>
    <d v="2025-03-20T00:00:00"/>
    <s v="ENLÈVEMENT DÉCHETS CHIMIQUES LABO KB"/>
    <m/>
    <s v="Non"/>
    <n v="0"/>
    <n v="67859"/>
    <s v="FA2510473"/>
    <s v="SERVICE ACTION SANTE"/>
    <s v="Q1"/>
    <e v="#REF!"/>
    <e v="#REF!"/>
    <e v="#REF!"/>
  </r>
  <r>
    <s v="401000"/>
    <x v="6"/>
    <s v="FOURNISSEURS"/>
    <s v="AC"/>
    <n v="-885.01"/>
    <d v="2025-01-08T00:00:00"/>
    <s v="CONSEILS ET ASSISTANCE POUR LA PÉRIODE DU 1ER DÉCEMBRE 2024 AU 31 DÉCEMBRE 2024"/>
    <s v="Non"/>
    <s v="Non"/>
    <e v="#N/A"/>
    <n v="59875"/>
    <s v="C2025087"/>
    <s v="ALTAIR AVOCATS"/>
    <s v="Q1"/>
    <e v="#REF!"/>
    <e v="#REF!"/>
    <e v="#REF!"/>
  </r>
  <r>
    <s v="401000"/>
    <x v="6"/>
    <s v="FOURNISSEURS"/>
    <s v="AC"/>
    <n v="-859.07"/>
    <d v="2025-07-31T00:00:00"/>
    <s v="PETIT MATÉRIEL POUR MAINTENANCE ROUSSILLON : PERCEUSE, TOURNEVIS,..."/>
    <m/>
    <e v="#N/A"/>
    <e v="#N/A"/>
    <n v="80905"/>
    <s v="4 471 111"/>
    <s v="MAXOUTILS"/>
    <s v="Q3"/>
    <e v="#REF!"/>
    <e v="#REF!"/>
    <e v="#REF!"/>
  </r>
  <r>
    <s v="401000"/>
    <x v="6"/>
    <s v="FOURNISSEURS"/>
    <s v="AC"/>
    <n v="-858"/>
    <d v="2025-02-28T00:00:00"/>
    <s v="PRESTATION ASSISTANT(E) OFFICE MANAGER  FÉVRIER"/>
    <m/>
    <e v="#N/A"/>
    <e v="#N/A"/>
    <n v="61583"/>
    <s v="F25030152"/>
    <s v="AGENCE DIVA"/>
    <s v="Q1"/>
    <e v="#REF!"/>
    <e v="#REF!"/>
    <e v="#REF!"/>
  </r>
  <r>
    <s v="401000"/>
    <x v="6"/>
    <s v="FOURNISSEURS"/>
    <s v="AC"/>
    <n v="-852"/>
    <d v="2025-08-04T00:00:00"/>
    <s v="URGENT PIÈCES MAINTENANCE POMPE À VIDE PILOTE"/>
    <m/>
    <e v="#N/A"/>
    <e v="#N/A"/>
    <n v="81781"/>
    <s v="#910"/>
    <s v="ALGOCHEM"/>
    <s v="Q3"/>
    <e v="#REF!"/>
    <e v="#REF!"/>
    <e v="#REF!"/>
  </r>
  <r>
    <s v="401000"/>
    <x v="6"/>
    <s v="FOURNISSEURS"/>
    <s v="AC"/>
    <n v="-849.6"/>
    <d v="2025-02-06T00:00:00"/>
    <s v="PAIEMENT ANTICIPÉ  100%   PILI PF OSIRIS 06-02-2 SK-97613 SLOVENSKA LUPC"/>
    <m/>
    <e v="#N/A"/>
    <e v="#N/A"/>
    <n v="73665"/>
    <s v="25020842"/>
    <s v="BROSSIER TRANSPORTS"/>
    <s v="Q1"/>
    <e v="#REF!"/>
    <e v="#REF!"/>
    <e v="#REF!"/>
  </r>
  <r>
    <s v="401000"/>
    <x v="6"/>
    <s v="FOURNISSEURS"/>
    <s v="AC"/>
    <n v="-844.73"/>
    <d v="2025-07-28T00:00:00"/>
    <s v="COMMANDE CONSOMMABLES ET SOLVANTS POUR LABO"/>
    <m/>
    <e v="#N/A"/>
    <e v="#N/A"/>
    <n v="81216"/>
    <s v="4067781492"/>
    <s v="VWR AVANTOR"/>
    <s v="Q3"/>
    <e v="#REF!"/>
    <e v="#REF!"/>
    <e v="#REF!"/>
  </r>
  <r>
    <s v="401000"/>
    <x v="6"/>
    <s v="FOURNISSEURS"/>
    <s v="AC"/>
    <n v="-844.2"/>
    <d v="2025-12-08T00:00:00"/>
    <s v="COLONNE LUNA + PRÉ-COLONNES"/>
    <m/>
    <e v="#N/A"/>
    <e v="#N/A"/>
    <n v="92991"/>
    <s v="CIFR-25005568"/>
    <s v="PHENOMENEX"/>
    <s v="Q4"/>
    <e v="#REF!"/>
    <e v="#REF!"/>
    <e v="#REF!"/>
  </r>
  <r>
    <s v="401000"/>
    <x v="6"/>
    <s v="FOURNISSEURS"/>
    <s v="AC"/>
    <n v="-834"/>
    <d v="2025-10-08T00:00:00"/>
    <s v="RMN ESPCI"/>
    <m/>
    <e v="#N/A"/>
    <e v="#N/A"/>
    <n v="85161"/>
    <s v="92"/>
    <s v="SAESPCI"/>
    <s v="Q4"/>
    <e v="#REF!"/>
    <e v="#REF!"/>
    <e v="#REF!"/>
  </r>
  <r>
    <s v="401000"/>
    <x v="6"/>
    <s v="FOURNISSEURS"/>
    <s v="AC"/>
    <n v="-832.2"/>
    <d v="2025-04-10T00:00:00"/>
    <s v="ANALYSE RMN ESPCI"/>
    <m/>
    <e v="#N/A"/>
    <e v="#N/A"/>
    <n v="69765"/>
    <s v="25"/>
    <s v="SAESPCI"/>
    <s v="Q2"/>
    <e v="#REF!"/>
    <e v="#REF!"/>
    <e v="#REF!"/>
  </r>
  <r>
    <s v="401000"/>
    <x v="6"/>
    <s v="FOURNISSEURS"/>
    <s v="AC"/>
    <n v="-831.6"/>
    <d v="2025-03-31T00:00:00"/>
    <s v="Solde - Metrohm"/>
    <m/>
    <s v="Non"/>
    <e v="#N/A"/>
    <n v="73123"/>
    <m/>
    <s v="METROHM"/>
    <s v="Q1"/>
    <e v="#REF!"/>
    <e v="#REF!"/>
    <e v="#REF!"/>
  </r>
  <r>
    <s v="401000"/>
    <x v="6"/>
    <s v="FOURNISSEURS"/>
    <s v="AC"/>
    <n v="-828.34"/>
    <d v="2025-10-13T00:00:00"/>
    <s v="TRAITEUR CS"/>
    <m/>
    <e v="#N/A"/>
    <e v="#N/A"/>
    <n v="87076"/>
    <s v="F-1013-1766"/>
    <s v="LES BOUFFESQUETAIRES"/>
    <s v="Q4"/>
    <e v="#REF!"/>
    <e v="#REF!"/>
    <e v="#REF!"/>
  </r>
  <r>
    <s v="401000"/>
    <x v="6"/>
    <s v="FOURNISSEURS"/>
    <s v="AC"/>
    <n v="-828"/>
    <d v="2025-06-25T00:00:00"/>
    <s v="UTILISATION LOGICIEL CHROMOLEON - NIVEAU 2 - 1 JOURNÉE"/>
    <m/>
    <s v="Non"/>
    <e v="#N/A"/>
    <n v="77285"/>
    <s v="9131422299"/>
    <s v="THERMOELECTRON"/>
    <s v="Q2"/>
    <e v="#REF!"/>
    <e v="#REF!"/>
    <e v="#REF!"/>
  </r>
  <r>
    <s v="401000"/>
    <x v="6"/>
    <s v="FOURNISSEURS"/>
    <s v="AC"/>
    <n v="-818.4"/>
    <d v="2025-06-27T00:00:00"/>
    <s v="PAC 6500 SO2 0-100 PPM STANDARD"/>
    <m/>
    <e v="#N/A"/>
    <e v="#N/A"/>
    <n v="77294"/>
    <s v="FC96819"/>
    <s v="GAZ DETECT"/>
    <s v="Q2"/>
    <e v="#REF!"/>
    <e v="#REF!"/>
    <e v="#REF!"/>
  </r>
  <r>
    <s v="401000"/>
    <x v="6"/>
    <s v="FOURNISSEURS"/>
    <s v="AC"/>
    <n v="-809.8"/>
    <d v="2025-04-30T00:00:00"/>
    <s v="Divers billets SNCF JERBLA"/>
    <m/>
    <e v="#N/A"/>
    <e v="#N/A"/>
    <n v="78188"/>
    <m/>
    <s v="SNCF"/>
    <s v="Q2"/>
    <e v="#REF!"/>
    <e v="#REF!"/>
    <e v="#REF!"/>
  </r>
  <r>
    <s v="401000"/>
    <x v="6"/>
    <s v="FOURNISSEURS"/>
    <s v="AC"/>
    <n v="-801.31"/>
    <d v="2025-12-31T00:00:00"/>
    <s v="RMN ESPCI"/>
    <m/>
    <e v="#N/A"/>
    <e v="#N/A"/>
    <n v="95153"/>
    <s v="122"/>
    <s v="SAESPCI"/>
    <s v="Q4"/>
    <e v="#REF!"/>
    <e v="#REF!"/>
    <e v="#REF!"/>
  </r>
  <r>
    <s v="401000"/>
    <x v="6"/>
    <s v="FOURNISSEURS"/>
    <s v="AC"/>
    <n v="-800.84"/>
    <d v="2025-01-25T00:00:00"/>
    <s v="PARIS DÜSSELDORF POUR ALLER VOIR TAROS"/>
    <m/>
    <e v="#N/A"/>
    <e v="#N/A"/>
    <n v="61313"/>
    <s v="61"/>
    <s v="AIR FRANCE"/>
    <s v="Q1"/>
    <e v="#REF!"/>
    <e v="#REF!"/>
    <e v="#REF!"/>
  </r>
  <r>
    <s v="401000"/>
    <x v="6"/>
    <s v="FOURNISSEURS"/>
    <s v="AC"/>
    <n v="-800.84"/>
    <d v="2025-01-25T00:00:00"/>
    <s v="VOYAGE CHEZ SOUS-TRAITANT (TATIANA)"/>
    <m/>
    <e v="#N/A"/>
    <e v="#N/A"/>
    <n v="61315"/>
    <s v="62"/>
    <s v="AIR FRANCE"/>
    <s v="Q1"/>
    <e v="#REF!"/>
    <e v="#REF!"/>
    <e v="#REF!"/>
  </r>
  <r>
    <s v="401000"/>
    <x v="6"/>
    <s v="FOURNISSEURS"/>
    <s v="AC"/>
    <n v="-800"/>
    <d v="2025-06-30T00:00:00"/>
    <s v="FORMATION COMMUNICATION DE CRISE"/>
    <m/>
    <s v="Non"/>
    <e v="#N/A"/>
    <n v="77309"/>
    <s v="FC230-324-202425/06"/>
    <s v="IRCOM"/>
    <s v="Q2"/>
    <e v="#REF!"/>
    <e v="#REF!"/>
    <e v="#REF!"/>
  </r>
  <r>
    <s v="401000"/>
    <x v="6"/>
    <s v="FOURNISSEURS"/>
    <s v="AC"/>
    <n v="-798"/>
    <d v="2025-12-11T00:00:00"/>
    <s v="RESTAURANT GROUPE PS DEC 2025"/>
    <m/>
    <e v="#N/A"/>
    <e v="#N/A"/>
    <n v="94813"/>
    <s v="031"/>
    <s v="RJM LA ROSA NEGRA"/>
    <s v="Q4"/>
    <e v="#REF!"/>
    <e v="#REF!"/>
    <e v="#REF!"/>
  </r>
  <r>
    <s v="401000"/>
    <x v="6"/>
    <s v="FOURNISSEURS"/>
    <s v="AC"/>
    <n v="-796.3"/>
    <d v="2025-04-05T00:00:00"/>
    <s v="TRAITEUR DÉJEUNER CS 27 MARS 2025"/>
    <m/>
    <e v="#N/A"/>
    <e v="#N/A"/>
    <n v="69717"/>
    <s v="F-0405-1426"/>
    <s v="LES BOUFFESQUETAIRES"/>
    <s v="Q2"/>
    <e v="#REF!"/>
    <e v="#REF!"/>
    <e v="#REF!"/>
  </r>
  <r>
    <s v="401000"/>
    <x v="6"/>
    <s v="FOURNISSEURS"/>
    <s v="AC"/>
    <n v="-792"/>
    <d v="2025-05-07T00:00:00"/>
    <s v="ELECTIONS CSE PAR VOIE ÉLECTRONIQUE SUR LA BASE DE 40 ÉLECTEURS"/>
    <m/>
    <s v="Non"/>
    <e v="#N/A"/>
    <n v="72702"/>
    <s v="F2025-10241"/>
    <s v="AGRUME"/>
    <s v="Q2"/>
    <e v="#REF!"/>
    <e v="#REF!"/>
    <e v="#REF!"/>
  </r>
  <r>
    <s v="401000"/>
    <x v="6"/>
    <s v="FOURNISSEURS"/>
    <s v="AC"/>
    <n v="-792"/>
    <d v="2025-10-08T00:00:00"/>
    <s v="ELECTIONS CSE PAR VOIE ÉLECTRONIQUE"/>
    <m/>
    <s v="Non"/>
    <e v="#N/A"/>
    <n v="84995"/>
    <s v="F2025-11607"/>
    <s v="AGRUME"/>
    <s v="Q4"/>
    <e v="#REF!"/>
    <e v="#REF!"/>
    <e v="#REF!"/>
  </r>
  <r>
    <s v="401000"/>
    <x v="6"/>
    <s v="FOURNISSEURS"/>
    <s v="AC"/>
    <n v="-781.47"/>
    <d v="2025-07-31T00:00:00"/>
    <s v="Frais bancaires BPRI 07/2025"/>
    <m/>
    <e v="#N/A"/>
    <e v="#N/A"/>
    <n v="82853"/>
    <m/>
    <s v="Banque Populaire Rive de Paris"/>
    <s v="Q3"/>
    <e v="#REF!"/>
    <e v="#REF!"/>
    <e v="#REF!"/>
  </r>
  <r>
    <s v="401000"/>
    <x v="6"/>
    <s v="FOURNISSEURS"/>
    <s v="AC"/>
    <n v="-778.8"/>
    <d v="2025-01-01T00:00:00"/>
    <s v="SPENDESK INVOICE #CB-202501-2246"/>
    <m/>
    <e v="#N/A"/>
    <e v="#N/A"/>
    <n v="59839"/>
    <s v="3"/>
    <s v="SPENDESK"/>
    <s v="Q1"/>
    <e v="#REF!"/>
    <e v="#REF!"/>
    <e v="#REF!"/>
  </r>
  <r>
    <s v="401000"/>
    <x v="6"/>
    <s v="FOURNISSEURS"/>
    <s v="AC"/>
    <n v="-778.8"/>
    <d v="2025-02-01T00:00:00"/>
    <s v="SPENDESK INVOICE #CB-202502-6989"/>
    <m/>
    <e v="#N/A"/>
    <e v="#N/A"/>
    <n v="61386"/>
    <s v="88"/>
    <s v="SPENDESK"/>
    <s v="Q1"/>
    <e v="#REF!"/>
    <e v="#REF!"/>
    <e v="#REF!"/>
  </r>
  <r>
    <s v="401000"/>
    <x v="6"/>
    <s v="FOURNISSEURS"/>
    <s v="AC"/>
    <n v="-778.8"/>
    <d v="2025-03-01T00:00:00"/>
    <s v="SPENDESK INVOICE #CB-202503-11702"/>
    <m/>
    <e v="#N/A"/>
    <e v="#N/A"/>
    <n v="66016"/>
    <s v="2"/>
    <s v="SPENDESK"/>
    <s v="Q1"/>
    <e v="#REF!"/>
    <e v="#REF!"/>
    <e v="#REF!"/>
  </r>
  <r>
    <s v="401000"/>
    <x v="6"/>
    <s v="FOURNISSEURS"/>
    <s v="AC"/>
    <n v="-778.8"/>
    <d v="2025-04-01T00:00:00"/>
    <s v="SPENDESK INVOICE #CB-202504-16483"/>
    <m/>
    <e v="#N/A"/>
    <e v="#N/A"/>
    <n v="69654"/>
    <s v="17"/>
    <s v="SPENDESK"/>
    <s v="Q2"/>
    <e v="#REF!"/>
    <e v="#REF!"/>
    <e v="#REF!"/>
  </r>
  <r>
    <s v="401000"/>
    <x v="6"/>
    <s v="FOURNISSEURS"/>
    <s v="AC"/>
    <n v="-778.8"/>
    <d v="2025-05-01T00:00:00"/>
    <s v="SPENDESK INVOICE #CB-202505-20932"/>
    <m/>
    <e v="#N/A"/>
    <e v="#N/A"/>
    <n v="72663"/>
    <s v="202505-20932"/>
    <s v="SPENDESK"/>
    <s v="Q2"/>
    <e v="#REF!"/>
    <e v="#REF!"/>
    <e v="#REF!"/>
  </r>
  <r>
    <s v="401000"/>
    <x v="6"/>
    <s v="FOURNISSEURS"/>
    <s v="AC"/>
    <n v="-778.8"/>
    <d v="2025-06-01T00:00:00"/>
    <s v="SPENDESK INVOICE #CB-202506-25305"/>
    <m/>
    <e v="#N/A"/>
    <e v="#N/A"/>
    <n v="76541"/>
    <s v="CB-202506-25305"/>
    <s v="SPENDESK"/>
    <s v="Q2"/>
    <e v="#REF!"/>
    <e v="#REF!"/>
    <e v="#REF!"/>
  </r>
  <r>
    <s v="401000"/>
    <x v="6"/>
    <s v="FOURNISSEURS"/>
    <s v="AC"/>
    <n v="-778.8"/>
    <d v="2025-07-01T00:00:00"/>
    <s v="SPENDESK INVOICE #CB-202507-29783"/>
    <m/>
    <e v="#N/A"/>
    <e v="#N/A"/>
    <n v="78793"/>
    <s v="CB-202507-29783"/>
    <s v="SPENDESK"/>
    <s v="Q3"/>
    <e v="#REF!"/>
    <e v="#REF!"/>
    <e v="#REF!"/>
  </r>
  <r>
    <s v="401000"/>
    <x v="6"/>
    <s v="FOURNISSEURS"/>
    <s v="AC"/>
    <n v="-778.8"/>
    <d v="2025-08-01T00:00:00"/>
    <s v="SPENDESK INVOICE #CB-202508-34181"/>
    <m/>
    <e v="#N/A"/>
    <e v="#N/A"/>
    <n v="80667"/>
    <s v="CB-202508-34181"/>
    <s v="SPENDESK"/>
    <s v="Q3"/>
    <e v="#REF!"/>
    <e v="#REF!"/>
    <e v="#REF!"/>
  </r>
  <r>
    <s v="401000"/>
    <x v="6"/>
    <s v="FOURNISSEURS"/>
    <s v="AC"/>
    <n v="-778.8"/>
    <d v="2025-09-01T00:00:00"/>
    <s v="SPENDESK INVOICE #CB-202509-38674"/>
    <m/>
    <e v="#N/A"/>
    <e v="#N/A"/>
    <n v="81897"/>
    <s v="CB-202509-38674"/>
    <s v="SPENDESK"/>
    <s v="Q3"/>
    <e v="#REF!"/>
    <e v="#REF!"/>
    <e v="#REF!"/>
  </r>
  <r>
    <s v="401000"/>
    <x v="6"/>
    <s v="FOURNISSEURS"/>
    <s v="AC"/>
    <n v="-778.8"/>
    <d v="2025-10-01T00:00:00"/>
    <s v="SPENDESK INVOICE #CB-202510-42829"/>
    <m/>
    <e v="#N/A"/>
    <e v="#N/A"/>
    <n v="82786"/>
    <s v="CB-202510-42829"/>
    <s v="SPENDESK"/>
    <s v="Q4"/>
    <e v="#REF!"/>
    <e v="#REF!"/>
    <e v="#REF!"/>
  </r>
  <r>
    <s v="401000"/>
    <x v="6"/>
    <s v="FOURNISSEURS"/>
    <s v="AC"/>
    <n v="-778.8"/>
    <d v="2025-11-01T00:00:00"/>
    <s v="SPENDESK INVOICE #CB-202511-47184"/>
    <m/>
    <e v="#N/A"/>
    <e v="#N/A"/>
    <n v="89667"/>
    <s v="CB-202511-47184"/>
    <s v="SPENDESK"/>
    <s v="Q4"/>
    <e v="#REF!"/>
    <e v="#REF!"/>
    <e v="#REF!"/>
  </r>
  <r>
    <s v="401000"/>
    <x v="6"/>
    <s v="FOURNISSEURS"/>
    <s v="AC"/>
    <n v="-778.8"/>
    <d v="2025-12-01T00:00:00"/>
    <s v="SPENDESK INVOICE #CB-202512-51443"/>
    <m/>
    <e v="#N/A"/>
    <e v="#N/A"/>
    <n v="91829"/>
    <s v="CB-202512-51443"/>
    <s v="SPENDESK"/>
    <s v="Q4"/>
    <e v="#REF!"/>
    <e v="#REF!"/>
    <e v="#REF!"/>
  </r>
  <r>
    <s v="401000"/>
    <x v="6"/>
    <s v="FOURNISSEURS"/>
    <s v="AC"/>
    <n v="-770.24"/>
    <d v="2025-09-01T00:00:00"/>
    <s v="DÉPLACEMENT AVION BTK B.BARRY"/>
    <m/>
    <e v="#N/A"/>
    <e v="#N/A"/>
    <n v="82954"/>
    <s v="AFFR0028528997"/>
    <s v="AIR FRANCE"/>
    <s v="Q3"/>
    <e v="#REF!"/>
    <e v="#REF!"/>
    <e v="#REF!"/>
  </r>
  <r>
    <s v="401000"/>
    <x v="6"/>
    <s v="FOURNISSEURS"/>
    <s v="AC"/>
    <n v="-769.28"/>
    <d v="2025-02-10T00:00:00"/>
    <s v="BENZENESULFONIC ACID SODIUM SALT 98%"/>
    <m/>
    <e v="#N/A"/>
    <e v="#N/A"/>
    <n v="64088"/>
    <s v="4067634590"/>
    <s v="VWR AVANTOR"/>
    <s v="Q1"/>
    <e v="#REF!"/>
    <e v="#REF!"/>
    <e v="#REF!"/>
  </r>
  <r>
    <s v="401000"/>
    <x v="6"/>
    <s v="FOURNISSEURS"/>
    <s v="AC"/>
    <n v="-763.8"/>
    <d v="2025-07-31T00:00:00"/>
    <s v="ELECTRODE PH + PETIT MATÉRIEL LABO"/>
    <m/>
    <e v="#N/A"/>
    <e v="#N/A"/>
    <n v="92976"/>
    <s v="4181061"/>
    <s v="ROTH SOCHIEL"/>
    <s v="Q3"/>
    <e v="#REF!"/>
    <e v="#REF!"/>
    <e v="#REF!"/>
  </r>
  <r>
    <s v="401000"/>
    <x v="6"/>
    <s v="FOURNISSEURS"/>
    <s v="AC"/>
    <n v="-760.83"/>
    <d v="2025-01-07T00:00:00"/>
    <s v="COMMANDE PRODUIT PHOENIX"/>
    <m/>
    <e v="#N/A"/>
    <e v="#N/A"/>
    <n v="59864"/>
    <s v="4067605669"/>
    <s v="VWR AVANTOR"/>
    <s v="Q1"/>
    <e v="#REF!"/>
    <e v="#REF!"/>
    <e v="#REF!"/>
  </r>
  <r>
    <s v="401000"/>
    <x v="6"/>
    <s v="FOURNISSEURS"/>
    <s v="AC"/>
    <n v="-760.57"/>
    <d v="2025-03-04T00:00:00"/>
    <s v="ENTRÉE ATTENDEE JÉRÉMIE"/>
    <m/>
    <s v="Non"/>
    <e v="#N/A"/>
    <n v="65970"/>
    <s v="17"/>
    <s v="DIVERS"/>
    <s v="Q1"/>
    <e v="#REF!"/>
    <e v="#REF!"/>
    <e v="#REF!"/>
  </r>
  <r>
    <s v="401000"/>
    <x v="6"/>
    <s v="FOURNISSEURS"/>
    <s v="AC"/>
    <n v="-752"/>
    <d v="2025-09-17T00:00:00"/>
    <s v="ENTRETIEN MÉNAGER"/>
    <m/>
    <e v="#N/A"/>
    <e v="#N/A"/>
    <n v="82728"/>
    <s v="PILI-170925"/>
    <s v="ABEL CHRIST SOMPLEI"/>
    <s v="Q3"/>
    <e v="#REF!"/>
    <e v="#REF!"/>
    <e v="#REF!"/>
  </r>
  <r>
    <s v="401000"/>
    <x v="6"/>
    <s v="FOURNISSEURS"/>
    <s v="AC"/>
    <n v="-752"/>
    <d v="2025-11-17T00:00:00"/>
    <s v="ENTRETIEN MÉNAGER"/>
    <m/>
    <e v="#N/A"/>
    <e v="#N/A"/>
    <n v="91119"/>
    <s v="PILI-171125"/>
    <s v="ABEL CHRIST SOMPLEI"/>
    <s v="Q4"/>
    <e v="#REF!"/>
    <e v="#REF!"/>
    <e v="#REF!"/>
  </r>
  <r>
    <s v="401000"/>
    <x v="6"/>
    <s v="FOURNISSEURS"/>
    <s v="AC"/>
    <n v="-747.97"/>
    <d v="2025-01-22T00:00:00"/>
    <s v="TUYAUX PTFE 8X10 (50M) 10X12 (50M) 9X12 (25M)"/>
    <m/>
    <s v="Non"/>
    <e v="#N/A"/>
    <n v="61294"/>
    <s v="52"/>
    <s v="DIVERS"/>
    <s v="Q1"/>
    <e v="#REF!"/>
    <e v="#REF!"/>
    <e v="#REF!"/>
  </r>
  <r>
    <s v="401000"/>
    <x v="6"/>
    <s v="FOURNISSEURS"/>
    <s v="AC"/>
    <n v="-742.8"/>
    <d v="2025-05-27T00:00:00"/>
    <s v="DÉJEUNER CONSORTIUM C4C"/>
    <m/>
    <e v="#N/A"/>
    <e v="#N/A"/>
    <n v="74461"/>
    <s v="147"/>
    <s v="FANNY RAVIER"/>
    <s v="Q2"/>
    <e v="#REF!"/>
    <e v="#REF!"/>
    <e v="#REF!"/>
  </r>
  <r>
    <s v="401000"/>
    <x v="6"/>
    <s v="FOURNISSEURS"/>
    <s v="AC"/>
    <n v="-739.98"/>
    <d v="2025-07-11T00:00:00"/>
    <s v="APPEL DE SOLDE DE COTISATION"/>
    <m/>
    <s v="Non"/>
    <s v="Oui"/>
    <n v="78900"/>
    <s v="SD 106 - 072025"/>
    <s v="FRANCE CHIMIE"/>
    <s v="Q3"/>
    <e v="#REF!"/>
    <e v="#REF!"/>
    <e v="#REF!"/>
  </r>
  <r>
    <s v="401000"/>
    <x v="6"/>
    <s v="FOURNISSEURS"/>
    <s v="AC"/>
    <n v="-737.79"/>
    <d v="2025-11-17T00:00:00"/>
    <s v="FORMALITÉ LÉGALES CONVERSION OC"/>
    <s v="Non"/>
    <s v="Non"/>
    <e v="#N/A"/>
    <n v="91121"/>
    <s v="FACT 2025 - 1245"/>
    <s v="SERVICES PRESTATIONS FORMALITES LEGALES"/>
    <s v="Q4"/>
    <e v="#REF!"/>
    <e v="#REF!"/>
    <e v="#REF!"/>
  </r>
  <r>
    <s v="401000"/>
    <x v="6"/>
    <s v="FOURNISSEURS"/>
    <s v="AC"/>
    <n v="-736.02"/>
    <d v="2025-07-18T00:00:00"/>
    <s v="BENZENE SULFONYLE CHLORURE POUR KEENY STEP 3"/>
    <m/>
    <e v="#N/A"/>
    <e v="#N/A"/>
    <n v="78919"/>
    <s v="4175074046"/>
    <s v="FISHER SCIENTIFIC"/>
    <s v="Q3"/>
    <e v="#REF!"/>
    <e v="#REF!"/>
    <e v="#REF!"/>
  </r>
  <r>
    <s v="401000"/>
    <x v="6"/>
    <s v="FOURNISSEURS"/>
    <s v="AC"/>
    <n v="-723.6"/>
    <d v="2025-09-30T00:00:00"/>
    <s v="VÉRIFICATION + RÉGLAGE SOUPAPES ET DÉTENDEURS"/>
    <m/>
    <e v="#N/A"/>
    <e v="#N/A"/>
    <n v="87434"/>
    <s v="F00034250900145"/>
    <s v="EIFFAGE ENERGIE SYSTEMES"/>
    <s v="Q3"/>
    <e v="#REF!"/>
    <e v="#REF!"/>
    <e v="#REF!"/>
  </r>
  <r>
    <s v="401000"/>
    <x v="6"/>
    <s v="FOURNISSEURS"/>
    <s v="BPRI"/>
    <n v="7.96"/>
    <d v="2025-10-11T00:00:00"/>
    <s v="/LIB/101025 CB    6880/LIB/LAPOSTE L940430F/LIB/101025 CB    6880/LIB/LAPOSTE L940430FR KREMLIN BICE/LIB/7,96EUR 1 EURO   1,0000"/>
    <m/>
    <e v="#N/A"/>
    <e v="#N/A"/>
    <n v="86928"/>
    <m/>
    <s v="LA POSTE"/>
    <s v="Q4"/>
    <e v="#REF!"/>
    <e v="#REF!"/>
    <e v="#REF!"/>
  </r>
  <r>
    <s v="401000"/>
    <x v="6"/>
    <s v="FOURNISSEURS"/>
    <s v="AC"/>
    <n v="-721"/>
    <d v="2025-05-19T00:00:00"/>
    <s v="TRANSPORT COSTS"/>
    <s v="Non"/>
    <e v="#N/A"/>
    <e v="#N/A"/>
    <n v="73799"/>
    <s v="91250057"/>
    <s v="BIOTIKA"/>
    <s v="Q2"/>
    <e v="#REF!"/>
    <e v="#REF!"/>
    <e v="#REF!"/>
  </r>
  <r>
    <s v="401000"/>
    <x v="6"/>
    <s v="FOURNISSEURS"/>
    <s v="AC"/>
    <n v="-720"/>
    <d v="2025-03-05T00:00:00"/>
    <s v="STARTER - PACK 5 EMPLACEMENTS SUPPLÉMENTAIRES - 3 MOIS"/>
    <m/>
    <e v="#N/A"/>
    <e v="#N/A"/>
    <n v="72560"/>
    <s v="OD-20250305-172248-XX227"/>
    <s v="EURECIA"/>
    <s v="Q1"/>
    <e v="#REF!"/>
    <e v="#REF!"/>
    <e v="#REF!"/>
  </r>
  <r>
    <s v="401000"/>
    <x v="6"/>
    <s v="FOURNISSEURS"/>
    <s v="AC"/>
    <n v="-720"/>
    <d v="2025-12-17T00:00:00"/>
    <s v="FORMATION PERFECTIONNEMENT TVA DANS LA CHIMIE G ZIANI"/>
    <m/>
    <s v="Non"/>
    <e v="#N/A"/>
    <n v="94285"/>
    <s v="410741"/>
    <s v="MATHEZ CONSEIL FORMATION"/>
    <s v="Q4"/>
    <e v="#REF!"/>
    <e v="#REF!"/>
    <e v="#REF!"/>
  </r>
  <r>
    <s v="401000"/>
    <x v="6"/>
    <s v="FOURNISSEURS"/>
    <s v="AC"/>
    <n v="-716.7"/>
    <d v="2025-03-07T00:00:00"/>
    <s v="ELECTRODE PH POUR KL"/>
    <m/>
    <e v="#N/A"/>
    <e v="#N/A"/>
    <n v="68972"/>
    <s v="788139642"/>
    <s v="METTLER TOLEDO"/>
    <s v="Q1"/>
    <e v="#REF!"/>
    <e v="#REF!"/>
    <e v="#REF!"/>
  </r>
  <r>
    <s v="401000"/>
    <x v="6"/>
    <s v="FOURNISSEURS"/>
    <s v="AC"/>
    <n v="-709.8"/>
    <d v="2025-04-28T00:00:00"/>
    <s v="MODIFICATION BUTÉE MONORAIL RÉACTEUR INOX"/>
    <m/>
    <e v="#N/A"/>
    <e v="#N/A"/>
    <n v="71358"/>
    <s v="25040370"/>
    <s v="FOURE LAGADEC"/>
    <s v="Q2"/>
    <e v="#REF!"/>
    <e v="#REF!"/>
    <e v="#REF!"/>
  </r>
  <r>
    <s v="401000"/>
    <x v="6"/>
    <s v="FOURNISSEURS"/>
    <s v="AC"/>
    <n v="-696.42"/>
    <d v="2025-03-11T00:00:00"/>
    <s v="HÔTEL NYC 2 NUITS POUR 2 PERSONNES"/>
    <m/>
    <s v="Non"/>
    <e v="#N/A"/>
    <n v="66025"/>
    <s v="4402691829"/>
    <s v="DIVERS"/>
    <s v="Q1"/>
    <e v="#REF!"/>
    <e v="#REF!"/>
    <e v="#REF!"/>
  </r>
  <r>
    <s v="401000"/>
    <x v="6"/>
    <s v="FOURNISSEURS"/>
    <s v="AC"/>
    <n v="-690"/>
    <d v="2025-05-26T00:00:00"/>
    <s v="TRANSPORT COST"/>
    <s v="Non"/>
    <e v="#N/A"/>
    <e v="#N/A"/>
    <n v="75973"/>
    <s v="91250067"/>
    <s v="BIOTIKA"/>
    <s v="Q2"/>
    <e v="#REF!"/>
    <e v="#REF!"/>
    <e v="#REF!"/>
  </r>
  <r>
    <s v="401000"/>
    <x v="6"/>
    <s v="FOURNISSEURS"/>
    <s v="AC"/>
    <n v="-664.8"/>
    <d v="2025-02-28T00:00:00"/>
    <s v="CONTRAT DE NETTOYAGE DES ALGECOS - ROUSSILLON"/>
    <m/>
    <e v="#N/A"/>
    <e v="#N/A"/>
    <n v="64137"/>
    <s v="251P0144"/>
    <s v="GSF"/>
    <s v="Q1"/>
    <e v="#REF!"/>
    <e v="#REF!"/>
    <e v="#REF!"/>
  </r>
  <r>
    <s v="401000"/>
    <x v="6"/>
    <s v="FOURNISSEURS"/>
    <s v="AC"/>
    <n v="-661.69"/>
    <d v="2025-07-18T00:00:00"/>
    <s v="FILTRE DE PROTECTION POUR LA GC-MS (ARRIVÉ D'HÉLIUM + SORTIE DE LA POMPE)"/>
    <m/>
    <s v="Non"/>
    <e v="#N/A"/>
    <n v="82274"/>
    <s v="9131423883"/>
    <s v="THERMOELECTRON"/>
    <s v="Q3"/>
    <e v="#REF!"/>
    <e v="#REF!"/>
    <e v="#REF!"/>
  </r>
  <r>
    <s v="401000"/>
    <x v="6"/>
    <s v="FOURNISSEURS"/>
    <s v="AC"/>
    <n v="-660"/>
    <d v="2025-06-30T00:00:00"/>
    <s v="CONTRAT DE LOCATION N° CT25/0186 ALGECOS"/>
    <m/>
    <e v="#N/A"/>
    <e v="#N/A"/>
    <n v="78405"/>
    <s v="F2506/0476"/>
    <s v="COFICIEL"/>
    <s v="Q2"/>
    <e v="#REF!"/>
    <e v="#REF!"/>
    <e v="#REF!"/>
  </r>
  <r>
    <s v="401000"/>
    <x v="6"/>
    <s v="FOURNISSEURS"/>
    <s v="AC"/>
    <n v="-660"/>
    <d v="2025-10-02T00:00:00"/>
    <s v="BKG*BOOKING.COM HOTEL"/>
    <m/>
    <e v="#N/A"/>
    <e v="#N/A"/>
    <n v="89588"/>
    <s v="7"/>
    <s v="HOTELS"/>
    <s v="Q4"/>
    <e v="#REF!"/>
    <e v="#REF!"/>
    <e v="#REF!"/>
  </r>
  <r>
    <s v="401000"/>
    <x v="6"/>
    <s v="FOURNISSEURS"/>
    <s v="AC"/>
    <n v="-660"/>
    <d v="2025-11-30T00:00:00"/>
    <s v="FORMATION FDS MARIE"/>
    <m/>
    <s v="Non"/>
    <e v="#N/A"/>
    <n v="91989"/>
    <s v="2025-0189-FACTURE"/>
    <s v="SICADAE"/>
    <s v="Q4"/>
    <e v="#REF!"/>
    <e v="#REF!"/>
    <e v="#REF!"/>
  </r>
  <r>
    <s v="401000"/>
    <x v="6"/>
    <s v="FOURNISSEURS"/>
    <s v="AC"/>
    <n v="-656.5"/>
    <d v="2025-07-17T00:00:00"/>
    <s v="METHANOL 1 FÛT DE 200L KEENY A PAYER EN PROFORMA (FACTURE PROFORMA SERA ENVOYÉE PAR MAIL À GILLES)"/>
    <m/>
    <e v="#N/A"/>
    <e v="#N/A"/>
    <n v="81323"/>
    <s v="94474214"/>
    <s v="BRENNTAG"/>
    <s v="Q3"/>
    <e v="#REF!"/>
    <e v="#REF!"/>
    <e v="#REF!"/>
  </r>
  <r>
    <s v="401000"/>
    <x v="6"/>
    <s v="FOURNISSEURS"/>
    <s v="AC"/>
    <n v="-653.74"/>
    <d v="2025-01-01T00:00:00"/>
    <s v="COMPLEMENT COTECOTE TRAVAUX D'ÉLECTRICITÉ DANS LE LABO + RACCORDEMENT AÉROTHERME"/>
    <m/>
    <e v="#N/A"/>
    <e v="#N/A"/>
    <n v="71963"/>
    <m/>
    <s v="COTE"/>
    <s v="Q1"/>
    <e v="#REF!"/>
    <e v="#REF!"/>
    <e v="#REF!"/>
  </r>
  <r>
    <s v="401000"/>
    <x v="6"/>
    <s v="FOURNISSEURS"/>
    <s v="AC"/>
    <n v="-652.63"/>
    <d v="2025-09-02T00:00:00"/>
    <s v="PRODUITS KEENB"/>
    <m/>
    <e v="#N/A"/>
    <e v="#N/A"/>
    <n v="81854"/>
    <s v="4067808240"/>
    <s v="VWR AVANTOR"/>
    <s v="Q3"/>
    <e v="#REF!"/>
    <e v="#REF!"/>
    <e v="#REF!"/>
  </r>
  <r>
    <s v="401000"/>
    <x v="6"/>
    <s v="FOURNISSEURS"/>
    <s v="AC"/>
    <n v="-651.6"/>
    <d v="2025-01-24T00:00:00"/>
    <s v="FOURNITURE FILTRES A POCHE 287*592*25 F7"/>
    <m/>
    <e v="#N/A"/>
    <e v="#N/A"/>
    <n v="64013"/>
    <s v="FA005083"/>
    <s v="3BCLIM"/>
    <s v="Q1"/>
    <e v="#REF!"/>
    <e v="#REF!"/>
    <e v="#REF!"/>
  </r>
  <r>
    <s v="401000"/>
    <x v="6"/>
    <s v="FOURNISSEURS"/>
    <s v="AC"/>
    <n v="-649"/>
    <d v="2025-04-01T00:00:00"/>
    <s v="INFO CHIMIE MAGASINE MARS 25 À FÉVRIER 26"/>
    <m/>
    <e v="#N/A"/>
    <e v="#N/A"/>
    <n v="71297"/>
    <s v="FA1145047"/>
    <s v="ETAI"/>
    <s v="Q2"/>
    <e v="#REF!"/>
    <e v="#REF!"/>
    <e v="#REF!"/>
  </r>
  <r>
    <s v="401000"/>
    <x v="6"/>
    <s v="FOURNISSEURS"/>
    <s v="AC"/>
    <n v="-644.83000000000004"/>
    <d v="2025-01-09T00:00:00"/>
    <s v="ARMOIRE EPI ATELIER PILOTE / KL"/>
    <m/>
    <e v="#N/A"/>
    <e v="#N/A"/>
    <n v="59878"/>
    <s v="18"/>
    <s v="DENIOS"/>
    <s v="Q1"/>
    <e v="#REF!"/>
    <e v="#REF!"/>
    <e v="#REF!"/>
  </r>
  <r>
    <s v="401000"/>
    <x v="6"/>
    <s v="FOURNISSEURS"/>
    <s v="AC"/>
    <n v="-644.52"/>
    <d v="2025-02-19T00:00:00"/>
    <s v="COMMANDE SOLVANTS DEUTÉRÉS"/>
    <m/>
    <e v="#N/A"/>
    <e v="#N/A"/>
    <n v="61527"/>
    <s v="FVE0225-220"/>
    <s v="EURISOTOP"/>
    <s v="Q1"/>
    <e v="#REF!"/>
    <e v="#REF!"/>
    <e v="#REF!"/>
  </r>
  <r>
    <s v="401000"/>
    <x v="6"/>
    <s v="FOURNISSEURS"/>
    <s v="AC"/>
    <n v="-638"/>
    <d v="2025-04-08T00:00:00"/>
    <s v="FACTURE ÉCRAN ECS"/>
    <m/>
    <e v="#N/A"/>
    <e v="#N/A"/>
    <n v="69904"/>
    <s v="20852910"/>
    <s v="NURNBERG"/>
    <s v="Q2"/>
    <e v="#REF!"/>
    <e v="#REF!"/>
    <e v="#REF!"/>
  </r>
  <r>
    <s v="401000"/>
    <x v="6"/>
    <s v="FOURNISSEURS"/>
    <s v="AC"/>
    <n v="-637.20000000000005"/>
    <d v="2025-05-23T00:00:00"/>
    <s v="IMPRESSIONS EXPO PASTEUR"/>
    <m/>
    <e v="#N/A"/>
    <e v="#N/A"/>
    <n v="74455"/>
    <s v="FL256126"/>
    <s v="GROUPE CHAUMEIL"/>
    <s v="Q2"/>
    <e v="#REF!"/>
    <e v="#REF!"/>
    <e v="#REF!"/>
  </r>
  <r>
    <s v="401000"/>
    <x v="6"/>
    <s v="FOURNISSEURS"/>
    <s v="AC"/>
    <n v="-626.4"/>
    <d v="2025-11-10T00:00:00"/>
    <s v="HYDROXYLAMINE SULFATE POUR STEP 2 KEENY  MATIÈRE PREMIÈRE NON RÉCEPTIONNÉE. AVOIR ENVOYÉ PAR FISHER EN COMPLÉMENT."/>
    <m/>
    <e v="#N/A"/>
    <e v="#N/A"/>
    <n v="91044"/>
    <s v="4175054812"/>
    <s v="FISHER SCIENTIFIC"/>
    <s v="Q4"/>
    <e v="#REF!"/>
    <e v="#REF!"/>
    <e v="#REF!"/>
  </r>
  <r>
    <s v="401000"/>
    <x v="6"/>
    <s v="FOURNISSEURS"/>
    <s v="AC"/>
    <n v="-623.4"/>
    <d v="2025-03-27T00:00:00"/>
    <s v="ETUDE DE PRODUCTION D’UN INTERMÉDIAIRE DE COLORANT"/>
    <s v="Non"/>
    <s v="Oui"/>
    <e v="#N/A"/>
    <n v="67897"/>
    <s v="251388"/>
    <s v="BECKER"/>
    <s v="Q1"/>
    <e v="#REF!"/>
    <e v="#REF!"/>
    <e v="#REF!"/>
  </r>
  <r>
    <s v="401000"/>
    <x v="6"/>
    <s v="FOURNISSEURS"/>
    <s v="AC"/>
    <n v="-615"/>
    <d v="2025-06-06T00:00:00"/>
    <s v="RAPPORT DE RECHERCHE - BREVET PALOMA CHIMIE"/>
    <s v="Non"/>
    <s v="Oui"/>
    <e v="#N/A"/>
    <n v="76112"/>
    <s v="252594"/>
    <s v="BECKER"/>
    <s v="Q2"/>
    <e v="#REF!"/>
    <e v="#REF!"/>
    <e v="#REF!"/>
  </r>
  <r>
    <s v="401000"/>
    <x v="6"/>
    <s v="FOURNISSEURS"/>
    <s v="AC"/>
    <n v="-614.4"/>
    <d v="2025-02-08T00:00:00"/>
    <s v="200L ÉTHANOL"/>
    <m/>
    <e v="#N/A"/>
    <e v="#N/A"/>
    <n v="61435"/>
    <s v="109"/>
    <s v="ARCANE INDUSTRIE"/>
    <s v="Q1"/>
    <e v="#REF!"/>
    <e v="#REF!"/>
    <e v="#REF!"/>
  </r>
  <r>
    <s v="401000"/>
    <x v="6"/>
    <s v="FOURNISSEURS"/>
    <s v="AC"/>
    <n v="-609.24"/>
    <d v="2025-08-28T00:00:00"/>
    <s v="CONTRÔLE ANNUEL ÉLECTRIQUE + VGP GERBEUR ÉLECTRIQUE"/>
    <m/>
    <e v="#N/A"/>
    <e v="#N/A"/>
    <n v="82284"/>
    <s v="VE/2025/02804"/>
    <s v="ACRITEC"/>
    <s v="Q3"/>
    <e v="#REF!"/>
    <e v="#REF!"/>
    <e v="#REF!"/>
  </r>
  <r>
    <s v="401000"/>
    <x v="6"/>
    <s v="FOURNISSEURS"/>
    <s v="AC"/>
    <n v="-607.51"/>
    <d v="2025-02-05T00:00:00"/>
    <s v="2-METHYLTETRAHYDROFURAN"/>
    <m/>
    <e v="#N/A"/>
    <e v="#N/A"/>
    <n v="64075"/>
    <s v="4067631288"/>
    <s v="VWR AVANTOR"/>
    <s v="Q1"/>
    <e v="#REF!"/>
    <e v="#REF!"/>
    <e v="#REF!"/>
  </r>
  <r>
    <s v="401000"/>
    <x v="6"/>
    <s v="FOURNISSEURS"/>
    <s v="AC"/>
    <n v="-600"/>
    <d v="2025-06-10T00:00:00"/>
    <s v="&quot;HONORAIRE FORFAITAIRE &quot;&quot;ATTENDANCE TO THE BOARD &quot;&quot; 13/05/2025&quot;"/>
    <s v="Non"/>
    <s v="Non"/>
    <e v="#N/A"/>
    <n v="76583"/>
    <s v="C2025591"/>
    <s v="ALTAIR AVOCATS"/>
    <s v="Q2"/>
    <e v="#REF!"/>
    <e v="#REF!"/>
    <e v="#REF!"/>
  </r>
  <r>
    <s v="401000"/>
    <x v="6"/>
    <s v="FOURNISSEURS"/>
    <s v="AC"/>
    <n v="-600"/>
    <d v="2025-06-27T00:00:00"/>
    <s v="&quot;HONORAIRE FORFAITAIRE &quot;&quot;ATTENDANCE TO THE BOARD &quot;&quot; 10/06/2025&quot;"/>
    <s v="Non"/>
    <s v="Non"/>
    <e v="#N/A"/>
    <n v="77297"/>
    <s v="C2025613"/>
    <s v="ALTAIR AVOCATS"/>
    <s v="Q2"/>
    <e v="#REF!"/>
    <e v="#REF!"/>
    <e v="#REF!"/>
  </r>
  <r>
    <s v="401000"/>
    <x v="6"/>
    <s v="FOURNISSEURS"/>
    <s v="AC"/>
    <n v="-600"/>
    <d v="2025-07-17T00:00:00"/>
    <s v="ADHÉSION SFC"/>
    <m/>
    <s v="Non"/>
    <e v="#N/A"/>
    <n v="78917"/>
    <s v="95056"/>
    <s v="SOCIETE CHIMIQUE DE FRANCE"/>
    <s v="Q3"/>
    <e v="#REF!"/>
    <e v="#REF!"/>
    <e v="#REF!"/>
  </r>
  <r>
    <s v="401000"/>
    <x v="6"/>
    <s v="FOURNISSEURS"/>
    <s v="AC"/>
    <n v="-598.1"/>
    <d v="2025-04-09T00:00:00"/>
    <s v="DÉPLACEMENT BIOTIKA - NC ET EA"/>
    <m/>
    <e v="#N/A"/>
    <e v="#N/A"/>
    <n v="69751"/>
    <s v="2,20E+12"/>
    <s v="LUFTHANSA"/>
    <s v="Q2"/>
    <e v="#REF!"/>
    <e v="#REF!"/>
    <e v="#REF!"/>
  </r>
  <r>
    <s v="401000"/>
    <x v="6"/>
    <s v="FOURNISSEURS"/>
    <s v="AC"/>
    <n v="-598.1"/>
    <d v="2025-04-09T00:00:00"/>
    <s v="DÉPLACEMENT BIOTIKA - NC ET EA"/>
    <m/>
    <e v="#N/A"/>
    <e v="#N/A"/>
    <n v="69758"/>
    <s v="2,20E+12"/>
    <s v="LUFTHANSA"/>
    <s v="Q2"/>
    <e v="#REF!"/>
    <e v="#REF!"/>
    <e v="#REF!"/>
  </r>
  <r>
    <s v="401000"/>
    <x v="6"/>
    <s v="FOURNISSEURS"/>
    <s v="AC"/>
    <n v="-597.6"/>
    <d v="2025-09-16T00:00:00"/>
    <s v="DMSO POUR PURIF VBIO (2*20 KG)"/>
    <m/>
    <e v="#N/A"/>
    <e v="#N/A"/>
    <n v="83004"/>
    <s v="FA036462"/>
    <s v="ARCANE INDUSTRIE"/>
    <s v="Q3"/>
    <e v="#REF!"/>
    <e v="#REF!"/>
    <e v="#REF!"/>
  </r>
  <r>
    <s v="401000"/>
    <x v="6"/>
    <s v="FOURNISSEURS"/>
    <s v="AC"/>
    <n v="-594"/>
    <d v="2025-03-05T00:00:00"/>
    <s v="PRESTATION SAGE"/>
    <m/>
    <s v="Non"/>
    <e v="#N/A"/>
    <n v="67837"/>
    <s v="FAP10718"/>
    <s v="AXE GESCOM"/>
    <s v="Q1"/>
    <e v="#REF!"/>
    <e v="#REF!"/>
    <e v="#REF!"/>
  </r>
  <r>
    <s v="401000"/>
    <x v="6"/>
    <s v="FOURNISSEURS"/>
    <s v="AC"/>
    <n v="-594"/>
    <d v="2025-03-18T00:00:00"/>
    <s v="PRESTATION RÉALISÉE À DISTANCE PAR UN CONSULTANT L1K, LA JOURNÉE"/>
    <m/>
    <s v="Non"/>
    <e v="#N/A"/>
    <n v="67849"/>
    <s v="FAP10744"/>
    <s v="AXE GESCOM"/>
    <s v="Q1"/>
    <e v="#REF!"/>
    <e v="#REF!"/>
    <e v="#REF!"/>
  </r>
  <r>
    <s v="401000"/>
    <x v="6"/>
    <s v="FOURNISSEURS"/>
    <s v="AC"/>
    <n v="-585.19000000000005"/>
    <d v="2025-05-31T00:00:00"/>
    <s v="FORFAIT PERFORMANCE PRO"/>
    <m/>
    <e v="#N/A"/>
    <e v="#N/A"/>
    <n v="76194"/>
    <s v="90684696"/>
    <s v="ORANGE"/>
    <s v="Q2"/>
    <e v="#REF!"/>
    <e v="#REF!"/>
    <e v="#REF!"/>
  </r>
  <r>
    <s v="401000"/>
    <x v="6"/>
    <s v="FOURNISSEURS"/>
    <s v="AC"/>
    <n v="-585.01"/>
    <d v="2025-07-08T00:00:00"/>
    <s v="HOTLINE"/>
    <s v="Non"/>
    <s v="Non"/>
    <e v="#N/A"/>
    <n v="77341"/>
    <s v="C2025695"/>
    <s v="ALTAIR AVOCATS"/>
    <s v="Q3"/>
    <e v="#REF!"/>
    <e v="#REF!"/>
    <e v="#REF!"/>
  </r>
  <r>
    <s v="401000"/>
    <x v="6"/>
    <s v="FOURNISSEURS"/>
    <s v="AC"/>
    <n v="-582"/>
    <d v="2025-01-01T00:00:00"/>
    <s v="TRANSPORT"/>
    <m/>
    <e v="#N/A"/>
    <e v="#N/A"/>
    <n v="73594"/>
    <s v="24100913"/>
    <s v="BROSSIER TRANSPORTS"/>
    <s v="Q1"/>
    <e v="#REF!"/>
    <e v="#REF!"/>
    <e v="#REF!"/>
  </r>
  <r>
    <s v="401000"/>
    <x v="6"/>
    <s v="FOURNISSEURS"/>
    <s v="AC"/>
    <n v="-579.08000000000004"/>
    <d v="2025-04-09T00:00:00"/>
    <s v="PALETTES EUROPE * 10"/>
    <m/>
    <e v="#N/A"/>
    <e v="#N/A"/>
    <n v="69748"/>
    <s v="49"/>
    <s v="MANUTAN"/>
    <s v="Q2"/>
    <e v="#REF!"/>
    <e v="#REF!"/>
    <e v="#REF!"/>
  </r>
  <r>
    <s v="512100"/>
    <x v="6"/>
    <s v="BANQUE POPULAIRE RIVE DE PARIS"/>
    <s v="BPRI"/>
    <n v="-7.96"/>
    <d v="2025-10-11T00:00:00"/>
    <s v="/LIB/101025 CB    6880/LIB/LAPOSTE L940430F/LIB/101025 CB    6880/LIB/LAPOSTE L940430FR KREMLIN BICE/LIB/7,96EUR 1 EURO   1,0000"/>
    <m/>
    <e v="#N/A"/>
    <e v="#N/A"/>
    <n v="86927"/>
    <m/>
    <s v="LA POSTE"/>
    <s v="Q4"/>
    <e v="#REF!"/>
    <e v="#REF!"/>
    <e v="#REF!"/>
  </r>
  <r>
    <s v="401000"/>
    <x v="6"/>
    <s v="FOURNISSEURS"/>
    <s v="AC"/>
    <n v="-570"/>
    <d v="2025-04-01T00:00:00"/>
    <s v="HONORAIRES CONSULTANT FP&amp;A / CONTRÔLE DE GESTION INTERVENTION DU 17/01/2025"/>
    <s v="Non"/>
    <s v="Non"/>
    <e v="#N/A"/>
    <n v="69662"/>
    <s v="PaulTessier"/>
    <s v="TESSIER PAUL"/>
    <s v="Q2"/>
    <e v="#REF!"/>
    <e v="#REF!"/>
    <e v="#REF!"/>
  </r>
  <r>
    <s v="401000"/>
    <x v="6"/>
    <s v="FOURNISSEURS"/>
    <s v="AC"/>
    <n v="-570"/>
    <d v="2025-11-26T00:00:00"/>
    <s v="HONORAIRE PI PALOMA CHIMIE"/>
    <s v="Non"/>
    <s v="Oui"/>
    <e v="#N/A"/>
    <n v="91967"/>
    <s v="255303"/>
    <s v="BECKER"/>
    <s v="Q4"/>
    <e v="#REF!"/>
    <e v="#REF!"/>
    <e v="#REF!"/>
  </r>
  <r>
    <s v="401000"/>
    <x v="6"/>
    <s v="FOURNISSEURS"/>
    <s v="AC"/>
    <n v="-568.70000000000005"/>
    <d v="2025-01-16T00:00:00"/>
    <s v="CONGRÈS BIOKET"/>
    <m/>
    <s v="Non"/>
    <e v="#N/A"/>
    <n v="61264"/>
    <s v="234"/>
    <s v="DIVERS"/>
    <s v="Q1"/>
    <e v="#REF!"/>
    <e v="#REF!"/>
    <e v="#REF!"/>
  </r>
  <r>
    <s v="401000"/>
    <x v="6"/>
    <s v="FOURNISSEURS"/>
    <s v="AC"/>
    <n v="-567"/>
    <d v="2025-04-22T00:00:00"/>
    <s v="Hotel BTK"/>
    <m/>
    <e v="#N/A"/>
    <e v="#N/A"/>
    <n v="71446"/>
    <s v="F02402025"/>
    <s v="BOOKING"/>
    <s v="Q2"/>
    <e v="#REF!"/>
    <e v="#REF!"/>
    <e v="#REF!"/>
  </r>
  <r>
    <s v="401000"/>
    <x v="6"/>
    <s v="FOURNISSEURS"/>
    <s v="AC"/>
    <n v="-566.26"/>
    <d v="2025-11-26T00:00:00"/>
    <s v="LOGEMENT TOULOUSE (MAUD, SEPHORA, ANNE-SOPHIE, MARIE)"/>
    <m/>
    <e v="#N/A"/>
    <e v="#N/A"/>
    <n v="93918"/>
    <s v="1"/>
    <s v="AIRBNB"/>
    <s v="Q4"/>
    <e v="#REF!"/>
    <e v="#REF!"/>
    <e v="#REF!"/>
  </r>
  <r>
    <s v="401000"/>
    <x v="6"/>
    <s v="FOURNISSEURS"/>
    <s v="AC"/>
    <n v="-564"/>
    <d v="2025-08-15T00:00:00"/>
    <s v="ENTRETIEN MÉNAGER"/>
    <m/>
    <e v="#N/A"/>
    <e v="#N/A"/>
    <n v="81348"/>
    <s v="PILI-150825"/>
    <s v="ABEL CHRIST SOMPLEI"/>
    <s v="Q3"/>
    <e v="#REF!"/>
    <e v="#REF!"/>
    <e v="#REF!"/>
  </r>
  <r>
    <s v="401000"/>
    <x v="6"/>
    <s v="FOURNISSEURS"/>
    <s v="AC"/>
    <n v="-563.88"/>
    <d v="2025-06-27T00:00:00"/>
    <s v="LESSIVE DE SOUDE 30%, CARBONATE DE SODIUM, ACIDE SULFURIQUE"/>
    <m/>
    <e v="#N/A"/>
    <e v="#N/A"/>
    <n v="78060"/>
    <s v="38"/>
    <s v="ARCANE INDUSTRIE"/>
    <s v="Q2"/>
    <e v="#REF!"/>
    <e v="#REF!"/>
    <e v="#REF!"/>
  </r>
  <r>
    <s v="401000"/>
    <x v="6"/>
    <s v="FOURNISSEURS"/>
    <s v="AC"/>
    <n v="-563.17999999999995"/>
    <d v="2025-03-24T00:00:00"/>
    <s v="COMMANDE PRODUIT ET CONSOMMABLE LABO"/>
    <m/>
    <e v="#N/A"/>
    <e v="#N/A"/>
    <n v="67865"/>
    <s v="4067673846"/>
    <s v="VWR AVANTOR"/>
    <s v="Q1"/>
    <e v="#REF!"/>
    <e v="#REF!"/>
    <e v="#REF!"/>
  </r>
  <r>
    <s v="401000"/>
    <x v="6"/>
    <s v="FOURNISSEURS"/>
    <s v="AC"/>
    <n v="-561.89"/>
    <d v="2025-02-22T00:00:00"/>
    <s v="EQUIPEMENT CHIMISTE (SABLE, PELLES, BACS DE TRANSPORT SPÉCIFIQUES, ...)"/>
    <m/>
    <e v="#N/A"/>
    <e v="#N/A"/>
    <n v="67809"/>
    <s v="5"/>
    <s v="MANUTAN"/>
    <s v="Q1"/>
    <e v="#REF!"/>
    <e v="#REF!"/>
    <e v="#REF!"/>
  </r>
  <r>
    <s v="401000"/>
    <x v="6"/>
    <s v="FOURNISSEURS"/>
    <s v="AC"/>
    <n v="-556"/>
    <d v="2025-06-30T00:00:00"/>
    <s v="Divers billets SNCF JERBLA"/>
    <m/>
    <e v="#N/A"/>
    <e v="#N/A"/>
    <n v="78173"/>
    <m/>
    <s v="SNCF"/>
    <s v="Q2"/>
    <e v="#REF!"/>
    <e v="#REF!"/>
    <e v="#REF!"/>
  </r>
  <r>
    <s v="401000"/>
    <x v="6"/>
    <s v="FOURNISSEURS"/>
    <s v="AC"/>
    <n v="-543"/>
    <d v="2025-11-05T00:00:00"/>
    <s v="TRAIN PILI SCIENCE DÉC 2025 - ÉQUIPE KB"/>
    <m/>
    <e v="#N/A"/>
    <e v="#N/A"/>
    <n v="91417"/>
    <s v="190569854-20251105"/>
    <s v="SNCF"/>
    <s v="Q4"/>
    <e v="#REF!"/>
    <e v="#REF!"/>
    <e v="#REF!"/>
  </r>
  <r>
    <s v="401000"/>
    <x v="6"/>
    <s v="FOURNISSEURS"/>
    <s v="AC"/>
    <n v="-540"/>
    <d v="2025-07-07T00:00:00"/>
    <s v="FACTURE CONFÉRENCE PYB AFTPVA"/>
    <m/>
    <e v="#N/A"/>
    <e v="#N/A"/>
    <n v="78897"/>
    <s v="MED 2025/07/02"/>
    <s v="AFTPVA"/>
    <s v="Q3"/>
    <e v="#REF!"/>
    <e v="#REF!"/>
    <e v="#REF!"/>
  </r>
  <r>
    <s v="401000"/>
    <x v="6"/>
    <s v="FOURNISSEURS"/>
    <s v="AC"/>
    <n v="-540"/>
    <d v="2025-12-03T00:00:00"/>
    <s v="ADVISORY - MEETING 05/12"/>
    <s v="Non"/>
    <s v="Non"/>
    <e v="#N/A"/>
    <n v="92199"/>
    <s v="F-2025-12455"/>
    <s v="BEEMYDESK"/>
    <s v="Q4"/>
    <e v="#REF!"/>
    <e v="#REF!"/>
    <e v="#REF!"/>
  </r>
  <r>
    <s v="401000"/>
    <x v="6"/>
    <s v="FOURNISSEURS"/>
    <s v="AC"/>
    <n v="-535.20000000000005"/>
    <d v="2025-07-03T00:00:00"/>
    <s v="PRESTATION COACHING DE LUCIE CREPIN MANAGER SOCIÉTÉ PILI"/>
    <m/>
    <s v="Non"/>
    <e v="#N/A"/>
    <n v="77335"/>
    <s v="F2025-025"/>
    <s v="BERNARD SEMBEILLES CONSULTING"/>
    <s v="Q3"/>
    <e v="#REF!"/>
    <e v="#REF!"/>
    <e v="#REF!"/>
  </r>
  <r>
    <s v="401000"/>
    <x v="6"/>
    <s v="FOURNISSEURS"/>
    <s v="AC"/>
    <n v="-535.20000000000005"/>
    <d v="2025-08-27T00:00:00"/>
    <s v="PRESTATION COACHING DE LUCIE CREPIN MANAGER"/>
    <m/>
    <s v="Non"/>
    <e v="#N/A"/>
    <n v="81832"/>
    <s v="F2025-027"/>
    <s v="BERNARD SEMBEILLES CONSULTING"/>
    <s v="Q3"/>
    <e v="#REF!"/>
    <e v="#REF!"/>
    <e v="#REF!"/>
  </r>
  <r>
    <s v="401000"/>
    <x v="6"/>
    <s v="FOURNISSEURS"/>
    <s v="AC"/>
    <n v="-534"/>
    <d v="2025-11-14T00:00:00"/>
    <s v="IMPRESSIONS PANNEAUX PHOTOS POUR LE KB"/>
    <m/>
    <e v="#N/A"/>
    <e v="#N/A"/>
    <n v="90055"/>
    <s v="FL260970"/>
    <s v="GROUPE CHAUMEIL"/>
    <s v="Q4"/>
    <e v="#REF!"/>
    <e v="#REF!"/>
    <e v="#REF!"/>
  </r>
  <r>
    <s v="401000"/>
    <x v="6"/>
    <s v="FOURNISSEURS"/>
    <s v="AC"/>
    <n v="-530.49"/>
    <d v="2025-09-10T00:00:00"/>
    <s v="LOGEMENT CS"/>
    <m/>
    <e v="#N/A"/>
    <e v="#N/A"/>
    <n v="82985"/>
    <s v="RCMXYPT5ET"/>
    <s v="AIRBNB"/>
    <s v="Q3"/>
    <e v="#REF!"/>
    <e v="#REF!"/>
    <e v="#REF!"/>
  </r>
  <r>
    <s v="401000"/>
    <x v="6"/>
    <s v="FOURNISSEURS"/>
    <s v="AC"/>
    <n v="-530.46"/>
    <d v="2025-04-30T00:00:00"/>
    <s v="FACTURE D'AVRIL 2025"/>
    <m/>
    <e v="#N/A"/>
    <e v="#N/A"/>
    <n v="72653"/>
    <s v="90361034"/>
    <s v="ORANGE"/>
    <s v="Q2"/>
    <e v="#REF!"/>
    <e v="#REF!"/>
    <e v="#REF!"/>
  </r>
  <r>
    <s v="401000"/>
    <x v="6"/>
    <s v="FOURNISSEURS"/>
    <s v="AC"/>
    <n v="-529.20000000000005"/>
    <d v="2025-06-23T00:00:00"/>
    <s v="COMMANDE PRODUIT LABO"/>
    <m/>
    <e v="#N/A"/>
    <e v="#N/A"/>
    <n v="77276"/>
    <s v="4067751906"/>
    <s v="VWR AVANTOR"/>
    <s v="Q2"/>
    <e v="#REF!"/>
    <e v="#REF!"/>
    <e v="#REF!"/>
  </r>
  <r>
    <s v="401000"/>
    <x v="6"/>
    <s v="FOURNISSEURS"/>
    <s v="BPRI"/>
    <n v="75"/>
    <d v="2025-12-15T00:00:00"/>
    <s v="/LIB/121225 CB    6880/LIB/SNCF-VOYAGEURS F/LIB/121225 CB    6880/LIB/SNCF-VOYAGEURS FR PARIS 10/LIB/75,00EUR 1 EURO   1,000000"/>
    <m/>
    <e v="#N/A"/>
    <e v="#N/A"/>
    <n v="92203"/>
    <m/>
    <s v="SNCF"/>
    <s v="Q4"/>
    <e v="#REF!"/>
    <e v="#REF!"/>
    <e v="#REF!"/>
  </r>
  <r>
    <s v="401000"/>
    <x v="6"/>
    <s v="FOURNISSEURS"/>
    <s v="AC"/>
    <n v="-525"/>
    <d v="2025-09-03T00:00:00"/>
    <s v="ETUDE RAPPORT DE RECHERCHE OEB"/>
    <s v="Non"/>
    <s v="Oui"/>
    <e v="#N/A"/>
    <n v="81860"/>
    <s v="254099"/>
    <s v="BECKER"/>
    <s v="Q3"/>
    <e v="#REF!"/>
    <e v="#REF!"/>
    <e v="#REF!"/>
  </r>
  <r>
    <s v="401000"/>
    <x v="6"/>
    <s v="FOURNISSEURS"/>
    <s v="AC"/>
    <n v="-523.20000000000005"/>
    <d v="2025-08-01T00:00:00"/>
    <s v="HYDROXYLAMINE SULFATE POUR KEENY STEP 2"/>
    <m/>
    <e v="#N/A"/>
    <e v="#N/A"/>
    <n v="81778"/>
    <s v="8053519234"/>
    <s v="Sigma-Aldrich chimie"/>
    <s v="Q3"/>
    <e v="#REF!"/>
    <e v="#REF!"/>
    <e v="#REF!"/>
  </r>
  <r>
    <s v="401000"/>
    <x v="6"/>
    <s v="FOURNISSEURS"/>
    <s v="AC"/>
    <n v="-520"/>
    <d v="2025-08-31T00:00:00"/>
    <s v="Divers billets SNCF JERBLA"/>
    <m/>
    <e v="#N/A"/>
    <e v="#N/A"/>
    <n v="85028"/>
    <m/>
    <s v="SNCF"/>
    <s v="Q3"/>
    <e v="#REF!"/>
    <e v="#REF!"/>
    <e v="#REF!"/>
  </r>
  <r>
    <s v="512100"/>
    <x v="6"/>
    <s v="BANQUE POPULAIRE RIVE DE PARIS"/>
    <s v="BPRI"/>
    <n v="-75"/>
    <d v="2025-12-15T00:00:00"/>
    <s v="/LIB/121225 CB    6880/LIB/SNCF-VOYAGEURS F/LIB/121225 CB    6880/LIB/SNCF-VOYAGEURS FR PARIS 10/LIB/75,00EUR 1 EURO   1,000000"/>
    <m/>
    <e v="#N/A"/>
    <e v="#N/A"/>
    <n v="92202"/>
    <m/>
    <s v="SNCF"/>
    <s v="Q4"/>
    <e v="#REF!"/>
    <e v="#REF!"/>
    <e v="#REF!"/>
  </r>
  <r>
    <s v="401000"/>
    <x v="6"/>
    <s v="FOURNISSEURS"/>
    <s v="AC"/>
    <n v="-516.61"/>
    <d v="2025-12-31T00:00:00"/>
    <s v="ELECTRICITÉ KB 6E ÉTAGE"/>
    <m/>
    <e v="#N/A"/>
    <e v="#N/A"/>
    <n v="94855"/>
    <s v="8,50005E+11"/>
    <s v="ENGIE"/>
    <s v="Q4"/>
    <e v="#REF!"/>
    <e v="#REF!"/>
    <e v="#REF!"/>
  </r>
  <r>
    <s v="401000"/>
    <x v="6"/>
    <s v="FOURNISSEURS"/>
    <s v="AC"/>
    <n v="-516"/>
    <d v="2025-02-28T00:00:00"/>
    <s v="FORMATION  CLÉMENT ET MARIE"/>
    <s v="Non"/>
    <s v="Non"/>
    <e v="#N/A"/>
    <n v="64140"/>
    <s v="93812420"/>
    <s v="OSIRIS"/>
    <s v="Q1"/>
    <e v="#REF!"/>
    <e v="#REF!"/>
    <e v="#REF!"/>
  </r>
  <r>
    <s v="401000"/>
    <x v="6"/>
    <s v="FOURNISSEURS"/>
    <s v="AC"/>
    <n v="-515.69000000000005"/>
    <d v="2025-02-25T00:00:00"/>
    <s v="BALLONS GRAD. BLAUBRAND, CL.A, BOUCH. PP FIOLES À VIDE ROTILABO FIOLES À VIDE ROTILABO JEU GUKO, EPDM"/>
    <m/>
    <e v="#N/A"/>
    <e v="#N/A"/>
    <n v="64117"/>
    <s v="4174059"/>
    <s v="ROTH SOCHIEL"/>
    <s v="Q1"/>
    <e v="#REF!"/>
    <e v="#REF!"/>
    <e v="#REF!"/>
  </r>
  <r>
    <s v="401000"/>
    <x v="6"/>
    <s v="FOURNISSEURS"/>
    <s v="BPRI"/>
    <n v="50"/>
    <d v="2025-12-16T00:00:00"/>
    <s v="/LIB/151225 CB    3583/LIB/SNCF-VOYAGEURS F/LIB/151225 CB    3583/LIB/SNCF-VOYAGEURS FR PARIS 10/LIB/50,00EUR 1 EURO   1,000000"/>
    <m/>
    <e v="#N/A"/>
    <e v="#N/A"/>
    <n v="92211"/>
    <m/>
    <s v="SNCF"/>
    <s v="Q4"/>
    <e v="#REF!"/>
    <e v="#REF!"/>
    <e v="#REF!"/>
  </r>
  <r>
    <s v="512100"/>
    <x v="6"/>
    <s v="BANQUE POPULAIRE RIVE DE PARIS"/>
    <s v="BPRI"/>
    <n v="-50"/>
    <d v="2025-12-16T00:00:00"/>
    <s v="/LIB/151225 CB    3583/LIB/SNCF-VOYAGEURS F/LIB/151225 CB    3583/LIB/SNCF-VOYAGEURS FR PARIS 10/LIB/50,00EUR 1 EURO   1,000000"/>
    <m/>
    <e v="#N/A"/>
    <e v="#N/A"/>
    <n v="92210"/>
    <m/>
    <s v="SNCF"/>
    <s v="Q4"/>
    <e v="#REF!"/>
    <e v="#REF!"/>
    <e v="#REF!"/>
  </r>
  <r>
    <s v="401000"/>
    <x v="6"/>
    <s v="FOURNISSEURS"/>
    <s v="AC"/>
    <n v="-512.04"/>
    <d v="2025-11-06T00:00:00"/>
    <s v="(NCE) MICROSOFT COPILOT FOR MICROSOFT 365 PREPAID FOR 12 MONTH(S) PER UNIT"/>
    <m/>
    <e v="#N/A"/>
    <e v="#N/A"/>
    <n v="89927"/>
    <s v="145295"/>
    <s v="ARESCOM"/>
    <s v="Q4"/>
    <e v="#REF!"/>
    <e v="#REF!"/>
    <e v="#REF!"/>
  </r>
  <r>
    <s v="401000"/>
    <x v="6"/>
    <s v="FOURNISSEURS"/>
    <s v="AC"/>
    <n v="-510"/>
    <d v="2025-10-31T00:00:00"/>
    <s v="Divers billets SNCF JERBLA"/>
    <m/>
    <e v="#N/A"/>
    <e v="#N/A"/>
    <n v="87727"/>
    <m/>
    <s v="SNCF"/>
    <s v="Q4"/>
    <e v="#REF!"/>
    <e v="#REF!"/>
    <e v="#REF!"/>
  </r>
  <r>
    <s v="401000"/>
    <x v="6"/>
    <s v="FOURNISSEURS"/>
    <s v="AC"/>
    <n v="-509.96"/>
    <d v="2025-12-01T00:00:00"/>
    <s v="ÉLECTRICITÉ KB 6E"/>
    <m/>
    <e v="#N/A"/>
    <e v="#N/A"/>
    <n v="91837"/>
    <s v="850005343738"/>
    <s v="ENGIE"/>
    <s v="Q4"/>
    <e v="#REF!"/>
    <e v="#REF!"/>
    <e v="#REF!"/>
  </r>
  <r>
    <s v="401000"/>
    <x v="6"/>
    <s v="FOURNISSEURS"/>
    <s v="AC"/>
    <n v="-509.43"/>
    <d v="2025-01-24T00:00:00"/>
    <s v="DÉPLACEMENT VISITE TAROS"/>
    <m/>
    <s v="Non"/>
    <e v="#N/A"/>
    <n v="61311"/>
    <s v="60"/>
    <s v="DIVERS"/>
    <s v="Q1"/>
    <e v="#REF!"/>
    <e v="#REF!"/>
    <e v="#REF!"/>
  </r>
  <r>
    <s v="401000"/>
    <x v="6"/>
    <s v="FOURNISSEURS"/>
    <s v="BPRI"/>
    <n v="576"/>
    <d v="2025-12-16T00:00:00"/>
    <s v="/LIB/151225 CB    6880/LIB/YOUSIGN.COM    F/LIB/151225 CB    6880/LIB/YOUSIGN.COM    FR CAEN/LIB/576,00EUR 1 EURO   1,000000"/>
    <m/>
    <e v="#N/A"/>
    <e v="#N/A"/>
    <n v="92214"/>
    <m/>
    <s v="YOUSIGN"/>
    <s v="Q4"/>
    <e v="#REF!"/>
    <e v="#REF!"/>
    <e v="#REF!"/>
  </r>
  <r>
    <s v="401000"/>
    <x v="6"/>
    <s v="FOURNISSEURS"/>
    <s v="AC"/>
    <n v="-506.99"/>
    <d v="2025-05-23T00:00:00"/>
    <s v="ACHAT CB - BACKMARKET"/>
    <m/>
    <e v="#N/A"/>
    <e v="#N/A"/>
    <n v="85050"/>
    <m/>
    <s v="BACKMARKET"/>
    <s v="Q2"/>
    <e v="#REF!"/>
    <e v="#REF!"/>
    <e v="#REF!"/>
  </r>
  <r>
    <s v="401000"/>
    <x v="6"/>
    <s v="FOURNISSEURS"/>
    <s v="AC"/>
    <n v="-504"/>
    <d v="2025-11-01T00:00:00"/>
    <s v="ENTRETIEN ANNUEL POUR LA DÉTECTION DE GAZ AU LABO"/>
    <m/>
    <e v="#N/A"/>
    <e v="#N/A"/>
    <n v="91075"/>
    <s v="25-212"/>
    <s v="FMGE"/>
    <s v="Q4"/>
    <e v="#REF!"/>
    <e v="#REF!"/>
    <e v="#REF!"/>
  </r>
  <r>
    <s v="512100"/>
    <x v="6"/>
    <s v="BANQUE POPULAIRE RIVE DE PARIS"/>
    <s v="BPRI"/>
    <n v="-576"/>
    <d v="2025-12-16T00:00:00"/>
    <s v="/LIB/151225 CB    6880/LIB/YOUSIGN.COM    F/LIB/151225 CB    6880/LIB/YOUSIGN.COM    FR CAEN/LIB/576,00EUR 1 EURO   1,000000"/>
    <m/>
    <e v="#N/A"/>
    <e v="#N/A"/>
    <n v="92213"/>
    <m/>
    <s v="YOUSIGN"/>
    <s v="Q4"/>
    <e v="#REF!"/>
    <e v="#REF!"/>
    <e v="#REF!"/>
  </r>
  <r>
    <s v="401000"/>
    <x v="6"/>
    <s v="FOURNISSEURS"/>
    <s v="AC"/>
    <n v="-500"/>
    <d v="2025-05-30T00:00:00"/>
    <s v="TESTING OF MATERIAL BY MARINER"/>
    <s v="Non"/>
    <e v="#N/A"/>
    <e v="#N/A"/>
    <n v="75990"/>
    <s v="91250076"/>
    <s v="BIOTIKA"/>
    <s v="Q2"/>
    <e v="#REF!"/>
    <e v="#REF!"/>
    <e v="#REF!"/>
  </r>
  <r>
    <s v="401000"/>
    <x v="6"/>
    <s v="FOURNISSEURS"/>
    <s v="AC"/>
    <n v="-500"/>
    <d v="2025-06-23T00:00:00"/>
    <s v="TESTING OF MATERIAL BY MARINER"/>
    <s v="Non"/>
    <e v="#N/A"/>
    <e v="#N/A"/>
    <n v="76614"/>
    <s v="91250085"/>
    <s v="BIOTIKA"/>
    <s v="Q2"/>
    <e v="#REF!"/>
    <e v="#REF!"/>
    <e v="#REF!"/>
  </r>
  <r>
    <s v="401000"/>
    <x v="6"/>
    <s v="FOURNISSEURS"/>
    <s v="AC"/>
    <n v="-500"/>
    <d v="2025-09-01T00:00:00"/>
    <s v="RENOUVELLEMENT ADHÉSION À FRANCE DEEPTECH"/>
    <m/>
    <s v="Non"/>
    <e v="#N/A"/>
    <n v="81843"/>
    <s v="2025"/>
    <s v="FRANCE DEEPTECH"/>
    <s v="Q3"/>
    <e v="#REF!"/>
    <e v="#REF!"/>
    <e v="#REF!"/>
  </r>
  <r>
    <s v="401000"/>
    <x v="6"/>
    <s v="FOURNISSEURS"/>
    <s v="AC"/>
    <n v="-493"/>
    <d v="2025-08-26T00:00:00"/>
    <s v="PRODUIT LISA"/>
    <m/>
    <e v="#N/A"/>
    <e v="#N/A"/>
    <n v="81824"/>
    <s v="0092665305"/>
    <s v="TCI"/>
    <s v="Q3"/>
    <e v="#REF!"/>
    <e v="#REF!"/>
    <e v="#REF!"/>
  </r>
  <r>
    <s v="401000"/>
    <x v="6"/>
    <s v="FOURNISSEURS"/>
    <s v="AC"/>
    <n v="-491.92"/>
    <d v="2025-09-15T00:00:00"/>
    <s v="BOISSONS SÉMINAIRE"/>
    <m/>
    <e v="#N/A"/>
    <e v="#N/A"/>
    <n v="82993"/>
    <s v="945460859"/>
    <s v="INTERMARCHE"/>
    <s v="Q3"/>
    <e v="#REF!"/>
    <e v="#REF!"/>
    <e v="#REF!"/>
  </r>
  <r>
    <s v="401000"/>
    <x v="6"/>
    <s v="FOURNISSEURS"/>
    <s v="AC"/>
    <n v="-490.01"/>
    <d v="2025-04-08T00:00:00"/>
    <s v="SUIVI JURIDIQUE EN HOTLINE POUR LA PÉRIODE DU 1ER AU 31 MARS 2025"/>
    <s v="Non"/>
    <s v="Non"/>
    <e v="#N/A"/>
    <n v="69736"/>
    <s v="C2025446"/>
    <s v="ALTAIR AVOCATS"/>
    <s v="Q2"/>
    <e v="#REF!"/>
    <e v="#REF!"/>
    <e v="#REF!"/>
  </r>
  <r>
    <s v="401000"/>
    <x v="6"/>
    <s v="FOURNISSEURS"/>
    <s v="AC"/>
    <n v="-483.95"/>
    <d v="2025-09-17T00:00:00"/>
    <s v="VOL RETOUR BIOTIKA EMILIE"/>
    <m/>
    <e v="#N/A"/>
    <e v="#N/A"/>
    <n v="83007"/>
    <s v="31"/>
    <s v="AIR FRANCE"/>
    <s v="Q3"/>
    <e v="#REF!"/>
    <e v="#REF!"/>
    <e v="#REF!"/>
  </r>
  <r>
    <s v="401000"/>
    <x v="6"/>
    <s v="FOURNISSEURS"/>
    <s v="AC"/>
    <n v="-482.04"/>
    <d v="2025-01-01T00:00:00"/>
    <s v="PRESTATION : SPS"/>
    <m/>
    <e v="#N/A"/>
    <e v="#N/A"/>
    <n v="81305"/>
    <s v="202301269"/>
    <s v="EXELL SECURITE"/>
    <s v="Q1"/>
    <e v="#REF!"/>
    <e v="#REF!"/>
    <e v="#REF!"/>
  </r>
  <r>
    <s v="401000"/>
    <x v="6"/>
    <s v="FOURNISSEURS"/>
    <s v="AC"/>
    <n v="-480"/>
    <d v="2025-05-31T00:00:00"/>
    <s v="ARRÊTÉ ANNUEL DES COMPTES 2024 : SOLDE"/>
    <s v="Non"/>
    <s v="Non"/>
    <e v="#N/A"/>
    <n v="75937"/>
    <s v="EXP0007829"/>
    <s v="F2P AUDIT &amp; CONSEIL"/>
    <s v="Q2"/>
    <e v="#REF!"/>
    <e v="#REF!"/>
    <e v="#REF!"/>
  </r>
  <r>
    <s v="401000"/>
    <x v="6"/>
    <s v="FOURNISSEURS"/>
    <s v="AC"/>
    <n v="-476.52"/>
    <d v="2025-01-01T00:00:00"/>
    <s v="LOYER COPIEUR MULTIFONCTION"/>
    <m/>
    <e v="#N/A"/>
    <e v="#N/A"/>
    <n v="86985"/>
    <s v="FLG6G869125"/>
    <s v="BNP PARIBAS LEASE GROUP"/>
    <s v="Q1"/>
    <e v="#REF!"/>
    <e v="#REF!"/>
    <e v="#REF!"/>
  </r>
  <r>
    <s v="401000"/>
    <x v="6"/>
    <s v="FOURNISSEURS"/>
    <s v="AC"/>
    <n v="-476.52"/>
    <d v="2025-04-01T00:00:00"/>
    <s v="LOYER COPIEUR MULTIFONCTION"/>
    <m/>
    <e v="#N/A"/>
    <e v="#N/A"/>
    <n v="87012"/>
    <s v="FLG7G851903"/>
    <s v="BNP PARIBAS LEASE GROUP"/>
    <s v="Q2"/>
    <e v="#REF!"/>
    <e v="#REF!"/>
    <e v="#REF!"/>
  </r>
  <r>
    <s v="401000"/>
    <x v="6"/>
    <s v="FOURNISSEURS"/>
    <s v="AC"/>
    <n v="-476.52"/>
    <d v="2025-07-01T00:00:00"/>
    <s v="LOYER COPIEUR MULTIFONCTION"/>
    <m/>
    <e v="#N/A"/>
    <e v="#N/A"/>
    <n v="87021"/>
    <s v="FLG8G834291"/>
    <s v="BNP PARIBAS LEASE GROUP"/>
    <s v="Q3"/>
    <e v="#REF!"/>
    <e v="#REF!"/>
    <e v="#REF!"/>
  </r>
  <r>
    <s v="401000"/>
    <x v="6"/>
    <s v="FOURNISSEURS"/>
    <s v="AC"/>
    <n v="-476.52"/>
    <d v="2025-10-01T00:00:00"/>
    <s v="LOYER COPIEUR MULTIFONCTION"/>
    <m/>
    <e v="#N/A"/>
    <e v="#N/A"/>
    <n v="87045"/>
    <s v="FLG9G556178"/>
    <s v="BNP PARIBAS LEASE GROUP"/>
    <s v="Q4"/>
    <e v="#REF!"/>
    <e v="#REF!"/>
    <e v="#REF!"/>
  </r>
  <r>
    <s v="401000"/>
    <x v="6"/>
    <s v="FOURNISSEURS"/>
    <s v="AC"/>
    <n v="-475"/>
    <d v="2025-07-01T00:00:00"/>
    <s v="ENVOI 1 KG PABA DIC"/>
    <m/>
    <e v="#N/A"/>
    <e v="#N/A"/>
    <n v="76822"/>
    <s v="2"/>
    <s v="HERPORT"/>
    <s v="Q3"/>
    <e v="#REF!"/>
    <e v="#REF!"/>
    <e v="#REF!"/>
  </r>
  <r>
    <s v="401000"/>
    <x v="6"/>
    <s v="FOURNISSEURS"/>
    <s v="AC"/>
    <n v="-474.75"/>
    <d v="2025-09-24T00:00:00"/>
    <s v="AUSTRIAN.COM"/>
    <m/>
    <e v="#N/A"/>
    <e v="#N/A"/>
    <n v="91381"/>
    <s v="2"/>
    <s v="AIRLINES"/>
    <s v="Q3"/>
    <e v="#REF!"/>
    <e v="#REF!"/>
    <e v="#REF!"/>
  </r>
  <r>
    <s v="401000"/>
    <x v="6"/>
    <s v="FOURNISSEURS"/>
    <s v="AC"/>
    <n v="-474"/>
    <d v="2025-11-29T00:00:00"/>
    <s v="RÉPARATION DOME RÉACTEUR 10L"/>
    <m/>
    <e v="#N/A"/>
    <e v="#N/A"/>
    <n v="94887"/>
    <s v="0190629"/>
    <s v="CLOUP"/>
    <s v="Q4"/>
    <e v="#REF!"/>
    <e v="#REF!"/>
    <e v="#REF!"/>
  </r>
  <r>
    <s v="401000"/>
    <x v="6"/>
    <s v="FOURNISSEURS"/>
    <s v="AC"/>
    <n v="-473.47"/>
    <d v="2025-10-27T00:00:00"/>
    <s v="CONSOMMABLE ET PRODUITS LABO"/>
    <m/>
    <e v="#N/A"/>
    <e v="#N/A"/>
    <n v="89871"/>
    <s v="4067854697"/>
    <s v="VWR AVANTOR"/>
    <s v="Q4"/>
    <e v="#REF!"/>
    <e v="#REF!"/>
    <e v="#REF!"/>
  </r>
  <r>
    <s v="401000"/>
    <x v="6"/>
    <s v="FOURNISSEURS"/>
    <s v="AC"/>
    <n v="-473"/>
    <d v="2025-11-12T00:00:00"/>
    <s v="COMMANDE VIN SOIRÉE 10 ANS PILI"/>
    <m/>
    <e v="#N/A"/>
    <e v="#N/A"/>
    <n v="90052"/>
    <s v="260097"/>
    <s v="ROLAND GRANGIER"/>
    <s v="Q4"/>
    <e v="#REF!"/>
    <e v="#REF!"/>
    <e v="#REF!"/>
  </r>
  <r>
    <s v="401000"/>
    <x v="6"/>
    <s v="FOURNISSEURS"/>
    <s v="AC"/>
    <n v="-469.32"/>
    <d v="2025-10-23T00:00:00"/>
    <s v="VERRERIE POUR LABORATOIRE R. ET DIVERS PETIT MATÉRIEL POUR PILOT / KL"/>
    <m/>
    <e v="#N/A"/>
    <e v="#N/A"/>
    <n v="89868"/>
    <s v="0190028"/>
    <s v="CLOUP"/>
    <s v="Q4"/>
    <e v="#REF!"/>
    <e v="#REF!"/>
    <e v="#REF!"/>
  </r>
  <r>
    <s v="401000"/>
    <x v="6"/>
    <s v="FOURNISSEURS"/>
    <s v="AC"/>
    <n v="-468"/>
    <d v="2025-03-31T00:00:00"/>
    <s v="LIVRAISON ET INSTALLATION DE DEUX NOUVEAUX ALGECOS _x0009_LOCATION DES 4 ALGECOS ACTUELS + 2 NOUVEAUX PENDANT 1 AN _x0009_DÉMONTAGE DES"/>
    <m/>
    <e v="#N/A"/>
    <e v="#N/A"/>
    <n v="68987"/>
    <s v="F2503/1118"/>
    <s v="COFICIEL"/>
    <s v="Q1"/>
    <e v="#REF!"/>
    <e v="#REF!"/>
    <e v="#REF!"/>
  </r>
  <r>
    <s v="401000"/>
    <x v="6"/>
    <s v="FOURNISSEURS"/>
    <s v="AC"/>
    <n v="-468"/>
    <d v="2025-04-30T00:00:00"/>
    <s v="LIVRAISON ET INSTALLATION DE DEUX NOUVEAUX ALGECOS LOCATION DES 4 ALGECOS ACTUELS + 2 NOUVEAUX PENDANT 1 AN _x0009_DÉMONTAGE DES"/>
    <m/>
    <e v="#N/A"/>
    <e v="#N/A"/>
    <n v="71370"/>
    <s v="F2504/0497"/>
    <s v="COFICIEL"/>
    <s v="Q2"/>
    <e v="#REF!"/>
    <e v="#REF!"/>
    <e v="#REF!"/>
  </r>
  <r>
    <s v="401000"/>
    <x v="6"/>
    <s v="FOURNISSEURS"/>
    <s v="AC"/>
    <n v="-468"/>
    <d v="2025-05-31T00:00:00"/>
    <s v="LOCATION ALGECO ROUSSILLON (PÉRIODE TRAVAUX)"/>
    <m/>
    <e v="#N/A"/>
    <e v="#N/A"/>
    <n v="75174"/>
    <s v="F2505/1515"/>
    <s v="COFICIEL"/>
    <s v="Q2"/>
    <e v="#REF!"/>
    <e v="#REF!"/>
    <e v="#REF!"/>
  </r>
  <r>
    <s v="401000"/>
    <x v="6"/>
    <s v="FOURNISSEURS"/>
    <s v="AC"/>
    <n v="-468"/>
    <d v="2025-07-31T00:00:00"/>
    <s v="LOCATION ALGECO ROUSSILLON (PÉRIODE TRAVAUX)"/>
    <m/>
    <e v="#N/A"/>
    <e v="#N/A"/>
    <n v="81338"/>
    <s v="F2507/0533"/>
    <s v="COFICIEL"/>
    <s v="Q3"/>
    <e v="#REF!"/>
    <e v="#REF!"/>
    <e v="#REF!"/>
  </r>
  <r>
    <s v="401000"/>
    <x v="6"/>
    <s v="FOURNISSEURS"/>
    <s v="AC"/>
    <n v="-468"/>
    <d v="2025-08-31T00:00:00"/>
    <s v="MODIFICATION ALGECO"/>
    <m/>
    <e v="#N/A"/>
    <e v="#N/A"/>
    <n v="82302"/>
    <s v="F2508/0405"/>
    <s v="COFICIEL"/>
    <s v="Q3"/>
    <e v="#REF!"/>
    <e v="#REF!"/>
    <e v="#REF!"/>
  </r>
  <r>
    <s v="401000"/>
    <x v="6"/>
    <s v="FOURNISSEURS"/>
    <s v="AC"/>
    <n v="-468"/>
    <d v="2025-09-30T00:00:00"/>
    <s v="&quot;•_x0009_LIVRAISON ET INSTALLATION DE DEUX NOUVEAUX ALGECOS •_x0009_LOCATION DES 4 ALGECOS ACTUELS + 2 NOUVEAUX PENDANT 1 AN •_x0009_DÉMONTAGE DES"/>
    <m/>
    <e v="#N/A"/>
    <e v="#N/A"/>
    <n v="82750"/>
    <s v="F2509/0833"/>
    <s v="COFICIEL"/>
    <s v="Q3"/>
    <e v="#REF!"/>
    <e v="#REF!"/>
    <e v="#REF!"/>
  </r>
  <r>
    <s v="401000"/>
    <x v="6"/>
    <s v="FOURNISSEURS"/>
    <s v="AC"/>
    <n v="-468"/>
    <d v="2025-10-31T00:00:00"/>
    <s v="&quot;•_x0009_LIVRAISON ET INSTALLATION DE DEUX NOUVEAUX ALGECOS •_x0009_LOCATION DES 4 ALGECOS ACTUELS + 2 NOUVEAUX PENDANT 1 AN •_x0009_DÉMONTAGE DES"/>
    <m/>
    <e v="#N/A"/>
    <e v="#N/A"/>
    <n v="89905"/>
    <s v="F2510/0736"/>
    <s v="COFICIEL"/>
    <s v="Q4"/>
    <e v="#REF!"/>
    <e v="#REF!"/>
    <e v="#REF!"/>
  </r>
  <r>
    <s v="401000"/>
    <x v="6"/>
    <s v="FOURNISSEURS"/>
    <s v="AC"/>
    <n v="-468"/>
    <d v="2025-11-30T00:00:00"/>
    <s v="MODIFICATION ALGECO"/>
    <m/>
    <e v="#N/A"/>
    <e v="#N/A"/>
    <n v="91995"/>
    <s v="F2511/1367"/>
    <s v="COFICIEL"/>
    <s v="Q4"/>
    <e v="#REF!"/>
    <e v="#REF!"/>
    <e v="#REF!"/>
  </r>
  <r>
    <s v="401000"/>
    <x v="6"/>
    <s v="FOURNISSEURS"/>
    <s v="AC"/>
    <n v="-468"/>
    <d v="2025-12-31T00:00:00"/>
    <s v="ALGECO ROUSSILLON"/>
    <m/>
    <e v="#N/A"/>
    <e v="#N/A"/>
    <n v="95150"/>
    <s v="F2512/1222"/>
    <s v="COFICIEL"/>
    <s v="Q4"/>
    <e v="#REF!"/>
    <e v="#REF!"/>
    <e v="#REF!"/>
  </r>
  <r>
    <s v="401000"/>
    <x v="6"/>
    <s v="FOURNISSEURS"/>
    <s v="AC"/>
    <n v="-468"/>
    <d v="2025-12-31T00:00:00"/>
    <s v="VISITES MÉDICALES"/>
    <m/>
    <e v="#N/A"/>
    <e v="#N/A"/>
    <n v="95738"/>
    <s v="2545823"/>
    <s v="CIAMT"/>
    <s v="Q4"/>
    <e v="#REF!"/>
    <e v="#REF!"/>
    <e v="#REF!"/>
  </r>
  <r>
    <s v="401000"/>
    <x v="6"/>
    <s v="FOURNISSEURS"/>
    <s v="AC"/>
    <n v="-465.82"/>
    <d v="2025-11-05T00:00:00"/>
    <s v="LOGEMENT PILI SCIENCE DÉC 2025 - ÉQUIPE KB"/>
    <m/>
    <e v="#N/A"/>
    <e v="#N/A"/>
    <n v="91423"/>
    <s v="RC3XAE3FY3"/>
    <s v="AIRBNB"/>
    <s v="Q4"/>
    <e v="#REF!"/>
    <e v="#REF!"/>
    <e v="#REF!"/>
  </r>
  <r>
    <s v="401000"/>
    <x v="6"/>
    <s v="FOURNISSEURS"/>
    <s v="AC"/>
    <n v="-459.5"/>
    <d v="2025-03-31T00:00:00"/>
    <s v="Divers billets SNCF JERBLA"/>
    <m/>
    <e v="#N/A"/>
    <e v="#N/A"/>
    <n v="78191"/>
    <m/>
    <s v="SNCF"/>
    <s v="Q1"/>
    <e v="#REF!"/>
    <e v="#REF!"/>
    <e v="#REF!"/>
  </r>
  <r>
    <s v="401000"/>
    <x v="6"/>
    <s v="FOURNISSEURS"/>
    <s v="AC"/>
    <n v="-458.77"/>
    <d v="2025-02-06T00:00:00"/>
    <s v="ACOMPTE COTISATION SYNDICALE"/>
    <m/>
    <s v="Non"/>
    <s v="Oui"/>
    <n v="64078"/>
    <s v="ACPTE106-022025"/>
    <s v="FRANCE CHIMIE"/>
    <s v="Q1"/>
    <e v="#REF!"/>
    <e v="#REF!"/>
    <e v="#REF!"/>
  </r>
  <r>
    <s v="401000"/>
    <x v="6"/>
    <s v="FOURNISSEURS"/>
    <s v="AC"/>
    <n v="-457.2"/>
    <d v="2025-05-23T00:00:00"/>
    <s v="COMMANDE PRODUIT KEENB"/>
    <m/>
    <e v="#N/A"/>
    <e v="#N/A"/>
    <n v="75965"/>
    <s v="4067727728"/>
    <s v="VWR AVANTOR"/>
    <s v="Q2"/>
    <e v="#REF!"/>
    <e v="#REF!"/>
    <e v="#REF!"/>
  </r>
  <r>
    <s v="401000"/>
    <x v="6"/>
    <s v="FOURNISSEURS"/>
    <s v="AC"/>
    <n v="-456"/>
    <d v="2025-04-10T00:00:00"/>
    <s v="TRANSPORT DEVELOPPEMENT"/>
    <m/>
    <e v="#N/A"/>
    <e v="#N/A"/>
    <n v="69774"/>
    <s v="9096940"/>
    <s v="BROSSIER TRANSPORTS"/>
    <s v="Q2"/>
    <e v="#REF!"/>
    <e v="#REF!"/>
    <e v="#REF!"/>
  </r>
  <r>
    <s v="401000"/>
    <x v="6"/>
    <s v="FOURNISSEURS"/>
    <s v="AC"/>
    <n v="-452.02"/>
    <d v="2025-04-11T00:00:00"/>
    <s v="2-HYDROXYBENZIMIDAZOLE, 98 %, THERMO SCIENTIFIC CHEMICALS 2-HYDROXYBENZIMIDAZOLE, 98%,50G MÉTHANOL, CHROMASOLV™, POUR HPLC, ? 99"/>
    <m/>
    <e v="#N/A"/>
    <e v="#N/A"/>
    <n v="69783"/>
    <s v="4174941834"/>
    <s v="FISHER SCIENTIFIC"/>
    <s v="Q2"/>
    <e v="#REF!"/>
    <e v="#REF!"/>
    <e v="#REF!"/>
  </r>
  <r>
    <s v="401000"/>
    <x v="6"/>
    <s v="FOURNISSEURS"/>
    <s v="AC"/>
    <n v="-449.4"/>
    <d v="2025-06-30T00:00:00"/>
    <s v="FORFAIT PERFORMANCE PRO"/>
    <m/>
    <e v="#N/A"/>
    <e v="#N/A"/>
    <n v="78063"/>
    <s v="91008499"/>
    <s v="ORANGE"/>
    <s v="Q2"/>
    <e v="#REF!"/>
    <e v="#REF!"/>
    <e v="#REF!"/>
  </r>
  <r>
    <s v="401000"/>
    <x v="6"/>
    <s v="FOURNISSEURS"/>
    <s v="AC"/>
    <n v="-447"/>
    <d v="2025-02-06T00:00:00"/>
    <s v="ALLER RDV HC PARIS AMSTERDAM"/>
    <m/>
    <s v="Non"/>
    <e v="#N/A"/>
    <n v="61424"/>
    <s v="105"/>
    <s v="DIVERS"/>
    <s v="Q1"/>
    <e v="#REF!"/>
    <e v="#REF!"/>
    <e v="#REF!"/>
  </r>
  <r>
    <s v="401000"/>
    <x v="6"/>
    <s v="FOURNISSEURS"/>
    <s v="AC"/>
    <n v="-443.1"/>
    <d v="2025-04-24T00:00:00"/>
    <s v="CAFÉ DES TERROIRS"/>
    <m/>
    <e v="#N/A"/>
    <e v="#N/A"/>
    <n v="71335"/>
    <s v="I0000859"/>
    <s v="CAWATOES"/>
    <s v="Q2"/>
    <e v="#REF!"/>
    <e v="#REF!"/>
    <e v="#REF!"/>
  </r>
  <r>
    <s v="401000"/>
    <x v="6"/>
    <s v="FOURNISSEURS"/>
    <s v="AC"/>
    <n v="-431.94"/>
    <d v="2025-10-20T00:00:00"/>
    <s v="TRANSPORT COSTS"/>
    <s v="Non"/>
    <e v="#N/A"/>
    <e v="#N/A"/>
    <n v="87454"/>
    <s v="91250167"/>
    <s v="BIOTIKA"/>
    <s v="Q4"/>
    <e v="#REF!"/>
    <e v="#REF!"/>
    <e v="#REF!"/>
  </r>
  <r>
    <s v="401000"/>
    <x v="6"/>
    <s v="FOURNISSEURS"/>
    <s v="AC"/>
    <n v="-430.7"/>
    <d v="2025-09-10T00:00:00"/>
    <s v="LOCATION DE MINIBUS POUR LE SÉMINAIRE SUR GETAROUND  (LOCATION + ASSURANCE)"/>
    <m/>
    <e v="#N/A"/>
    <e v="#N/A"/>
    <n v="82987"/>
    <s v="23"/>
    <s v="GETAROUND"/>
    <s v="Q3"/>
    <e v="#REF!"/>
    <e v="#REF!"/>
    <e v="#REF!"/>
  </r>
  <r>
    <s v="401000"/>
    <x v="6"/>
    <s v="FOURNISSEURS"/>
    <s v="AC"/>
    <n v="-422.3"/>
    <d v="2025-05-19T00:00:00"/>
    <s v="TRANSPORT COSTS"/>
    <s v="Non"/>
    <e v="#N/A"/>
    <e v="#N/A"/>
    <n v="73790"/>
    <s v="91250056"/>
    <s v="BIOTIKA"/>
    <s v="Q2"/>
    <e v="#REF!"/>
    <e v="#REF!"/>
    <e v="#REF!"/>
  </r>
  <r>
    <s v="401000"/>
    <x v="6"/>
    <s v="FOURNISSEURS"/>
    <s v="AC"/>
    <n v="-421.6"/>
    <d v="2025-11-12T00:00:00"/>
    <s v="CHAMPAGNE SOIRÉE 10 ANS PILI"/>
    <m/>
    <e v="#N/A"/>
    <e v="#N/A"/>
    <n v="89965"/>
    <s v="20251089"/>
    <s v="GUERLET-DEGUERNE"/>
    <s v="Q4"/>
    <e v="#REF!"/>
    <e v="#REF!"/>
    <e v="#REF!"/>
  </r>
  <r>
    <s v="401000"/>
    <x v="6"/>
    <s v="FOURNISSEURS"/>
    <s v="AC"/>
    <n v="-419.05"/>
    <d v="2025-10-20T00:00:00"/>
    <s v="TRANSPORT COSTS"/>
    <s v="Non"/>
    <e v="#N/A"/>
    <e v="#N/A"/>
    <n v="87450"/>
    <s v="91250166"/>
    <s v="BIOTIKA"/>
    <s v="Q4"/>
    <e v="#REF!"/>
    <e v="#REF!"/>
    <e v="#REF!"/>
  </r>
  <r>
    <s v="401000"/>
    <x v="6"/>
    <s v="FOURNISSEURS"/>
    <s v="AC"/>
    <n v="-418.37"/>
    <d v="2025-12-01T00:00:00"/>
    <s v="DMSO POUR ROUSSILLON"/>
    <m/>
    <e v="#N/A"/>
    <e v="#N/A"/>
    <n v="93920"/>
    <s v="2"/>
    <s v="ARCANE INDUSTRIE"/>
    <s v="Q4"/>
    <e v="#REF!"/>
    <e v="#REF!"/>
    <e v="#REF!"/>
  </r>
  <r>
    <s v="401000"/>
    <x v="6"/>
    <s v="FOURNISSEURS"/>
    <s v="AC"/>
    <n v="-412.27"/>
    <d v="2025-05-26T00:00:00"/>
    <s v="TRANSPORT COSTS"/>
    <s v="Non"/>
    <e v="#N/A"/>
    <e v="#N/A"/>
    <n v="75968"/>
    <s v="91250063"/>
    <s v="BIOTIKA"/>
    <s v="Q2"/>
    <e v="#REF!"/>
    <e v="#REF!"/>
    <e v="#REF!"/>
  </r>
  <r>
    <s v="401000"/>
    <x v="6"/>
    <s v="FOURNISSEURS"/>
    <s v="AC"/>
    <n v="-411.22"/>
    <d v="2025-01-31T00:00:00"/>
    <s v="ALPHAGAZ AUTO IV AIR BOUTEILLE SMARTOP 50L 200 BAR"/>
    <m/>
    <e v="#N/A"/>
    <e v="#N/A"/>
    <n v="86994"/>
    <s v="5800327157"/>
    <s v="AIR LIQUIDE"/>
    <s v="Q1"/>
    <e v="#REF!"/>
    <e v="#REF!"/>
    <e v="#REF!"/>
  </r>
  <r>
    <s v="401000"/>
    <x v="6"/>
    <s v="FOURNISSEURS"/>
    <s v="AC"/>
    <n v="-409.81"/>
    <d v="2025-09-15T00:00:00"/>
    <s v="VERRERIE POUR LABORATOIRE R. ET DIVERS PETIT MATÉRIEL POUR PILOT / KL"/>
    <m/>
    <e v="#N/A"/>
    <e v="#N/A"/>
    <n v="82347"/>
    <s v="0189538"/>
    <s v="CLOUP"/>
    <s v="Q3"/>
    <e v="#REF!"/>
    <e v="#REF!"/>
    <e v="#REF!"/>
  </r>
  <r>
    <s v="401000"/>
    <x v="6"/>
    <s v="FOURNISSEURS"/>
    <s v="AC"/>
    <n v="-409.32"/>
    <d v="2025-12-19T00:00:00"/>
    <s v="COMMANDE DE VERRERIE POUR LE LABORATOIRE DU KB"/>
    <m/>
    <e v="#N/A"/>
    <e v="#N/A"/>
    <n v="95135"/>
    <s v="0191130"/>
    <s v="CLOUP"/>
    <s v="Q4"/>
    <e v="#REF!"/>
    <e v="#REF!"/>
    <e v="#REF!"/>
  </r>
  <r>
    <s v="401000"/>
    <x v="6"/>
    <s v="FOURNISSEURS"/>
    <s v="AC"/>
    <n v="-406.8"/>
    <d v="2025-08-30T00:00:00"/>
    <s v="COMMANDE FILTRE POUR ANALYSE"/>
    <m/>
    <e v="#N/A"/>
    <e v="#N/A"/>
    <n v="82293"/>
    <s v="0189297"/>
    <s v="CLOUP"/>
    <s v="Q3"/>
    <e v="#REF!"/>
    <e v="#REF!"/>
    <e v="#REF!"/>
  </r>
  <r>
    <s v="401000"/>
    <x v="6"/>
    <s v="FOURNISSEURS"/>
    <s v="AC"/>
    <n v="-406.07"/>
    <d v="2025-01-31T00:00:00"/>
    <s v="VWR ACCOUNT ADJUSTMENT"/>
    <m/>
    <e v="#N/A"/>
    <e v="#N/A"/>
    <n v="82088"/>
    <m/>
    <s v="VWR AVANTOR"/>
    <s v="Q1"/>
    <e v="#REF!"/>
    <e v="#REF!"/>
    <e v="#REF!"/>
  </r>
  <r>
    <s v="401000"/>
    <x v="6"/>
    <s v="FOURNISSEURS"/>
    <s v="AC"/>
    <n v="-406.01"/>
    <d v="2025-01-31T00:00:00"/>
    <s v="DÉBRANCHEMENT ET REBRANCHEMENT SONDES DE TEMPÉRATURE (1 SONDE R1000 ET 1 SONDE R2000)"/>
    <m/>
    <e v="#N/A"/>
    <e v="#N/A"/>
    <n v="61375"/>
    <s v="FCA21250182"/>
    <s v="COTE"/>
    <s v="Q1"/>
    <e v="#REF!"/>
    <e v="#REF!"/>
    <e v="#REF!"/>
  </r>
  <r>
    <s v="401000"/>
    <x v="6"/>
    <s v="FOURNISSEURS"/>
    <s v="AC"/>
    <n v="-404.71"/>
    <d v="2025-03-03T00:00:00"/>
    <s v="ELETRICITE KB"/>
    <m/>
    <e v="#N/A"/>
    <e v="#N/A"/>
    <n v="72548"/>
    <s v="40017294812"/>
    <s v="ENGIE"/>
    <s v="Q1"/>
    <e v="#REF!"/>
    <e v="#REF!"/>
    <e v="#REF!"/>
  </r>
  <r>
    <s v="401000"/>
    <x v="6"/>
    <s v="FOURNISSEURS"/>
    <s v="AC"/>
    <n v="-404.49"/>
    <d v="2025-10-29T00:00:00"/>
    <s v="PICO PROJECTEUR POUR L'ANNIVERSAIRE DES 10 ANS DE PILI ET POUR L'EXPO INDIGO AVEC C4C. A PRENDRE SUR LE BUDGET C4C"/>
    <m/>
    <e v="#N/A"/>
    <e v="#N/A"/>
    <n v="91782"/>
    <s v="FAC0107"/>
    <s v="BACKMARKET"/>
    <s v="Q4"/>
    <e v="#REF!"/>
    <e v="#REF!"/>
    <e v="#REF!"/>
  </r>
  <r>
    <s v="401000"/>
    <x v="6"/>
    <s v="FOURNISSEURS"/>
    <s v="AC"/>
    <n v="-402.8"/>
    <d v="2025-10-31T00:00:00"/>
    <s v="ELECTRICITÉ KB - 6E ÉTAGE"/>
    <m/>
    <e v="#N/A"/>
    <e v="#N/A"/>
    <n v="90078"/>
    <s v="980005457003"/>
    <s v="ENGIE"/>
    <s v="Q4"/>
    <e v="#REF!"/>
    <e v="#REF!"/>
    <e v="#REF!"/>
  </r>
  <r>
    <s v="401000"/>
    <x v="6"/>
    <s v="FOURNISSEURS"/>
    <s v="AC"/>
    <n v="-401.4"/>
    <d v="2025-11-01T00:00:00"/>
    <s v="FORMATION LUCIE"/>
    <m/>
    <s v="Non"/>
    <e v="#N/A"/>
    <n v="91078"/>
    <s v="F2025-034"/>
    <s v="BERNARD SEMBEILLES CONSULTING"/>
    <s v="Q4"/>
    <e v="#REF!"/>
    <e v="#REF!"/>
    <e v="#REF!"/>
  </r>
  <r>
    <s v="401000"/>
    <x v="6"/>
    <s v="FOURNISSEURS"/>
    <s v="AC"/>
    <n v="-401.4"/>
    <d v="2025-11-07T00:00:00"/>
    <s v="FORMATION LUCIE"/>
    <m/>
    <s v="Non"/>
    <e v="#N/A"/>
    <n v="91102"/>
    <s v="F2025-040"/>
    <s v="BERNARD SEMBEILLES CONSULTING"/>
    <s v="Q4"/>
    <e v="#REF!"/>
    <e v="#REF!"/>
    <e v="#REF!"/>
  </r>
  <r>
    <s v="401000"/>
    <x v="6"/>
    <s v="FOURNISSEURS"/>
    <s v="AC"/>
    <n v="-396.6"/>
    <d v="2025-03-26T00:00:00"/>
    <s v="GAINE D'ASPIRATION POUR ÉTUVES REF: 136-9517"/>
    <m/>
    <e v="#N/A"/>
    <e v="#N/A"/>
    <n v="66066"/>
    <s v="3010224843"/>
    <s v="RS COMPONENT"/>
    <s v="Q1"/>
    <e v="#REF!"/>
    <e v="#REF!"/>
    <e v="#REF!"/>
  </r>
  <r>
    <s v="401000"/>
    <x v="6"/>
    <s v="FOURNISSEURS"/>
    <s v="AC"/>
    <n v="-393.92"/>
    <d v="2025-10-22T00:00:00"/>
    <s v="VERRERIE DE DISTILLATION"/>
    <m/>
    <e v="#N/A"/>
    <e v="#N/A"/>
    <n v="87461"/>
    <s v="4184079"/>
    <s v="ROTH SOCHIEL"/>
    <s v="Q4"/>
    <e v="#REF!"/>
    <e v="#REF!"/>
    <e v="#REF!"/>
  </r>
  <r>
    <s v="401000"/>
    <x v="6"/>
    <s v="FOURNISSEURS"/>
    <s v="AC"/>
    <n v="-392.44"/>
    <d v="2025-09-01T00:00:00"/>
    <s v="ÉLECTRICITÉ KB"/>
    <m/>
    <e v="#N/A"/>
    <e v="#N/A"/>
    <n v="81888"/>
    <s v="120010018682"/>
    <s v="ENGIE"/>
    <s v="Q3"/>
    <e v="#REF!"/>
    <e v="#REF!"/>
    <e v="#REF!"/>
  </r>
  <r>
    <s v="401000"/>
    <x v="6"/>
    <s v="FOURNISSEURS"/>
    <s v="AC"/>
    <n v="-391.51"/>
    <d v="2025-10-29T00:00:00"/>
    <s v="INSCRIPTION AU CPHI"/>
    <m/>
    <e v="#N/A"/>
    <e v="#N/A"/>
    <n v="89650"/>
    <s v="35"/>
    <s v="INFORMA MARKETS"/>
    <s v="Q4"/>
    <e v="#REF!"/>
    <e v="#REF!"/>
    <e v="#REF!"/>
  </r>
  <r>
    <s v="401000"/>
    <x v="6"/>
    <s v="FOURNISSEURS"/>
    <s v="AC"/>
    <n v="-386.4"/>
    <d v="2025-06-24T00:00:00"/>
    <s v="FRAIS PI LISA EN AMONT BREVET PALOMA CHIMIE"/>
    <s v="Non"/>
    <s v="Oui"/>
    <e v="#N/A"/>
    <n v="76618"/>
    <s v="252930"/>
    <s v="BECKER"/>
    <s v="Q2"/>
    <e v="#REF!"/>
    <e v="#REF!"/>
    <e v="#REF!"/>
  </r>
  <r>
    <s v="401000"/>
    <x v="6"/>
    <s v="FOURNISSEURS"/>
    <s v="AC"/>
    <n v="-384"/>
    <d v="2025-10-27T00:00:00"/>
    <s v="FORMATION MAINTIEN DES ACQUIS ET DES CONNAISSANCES DU SST"/>
    <m/>
    <s v="Non"/>
    <n v="0"/>
    <n v="87471"/>
    <s v="0002942"/>
    <s v="APF SECURITE"/>
    <s v="Q4"/>
    <e v="#REF!"/>
    <e v="#REF!"/>
    <e v="#REF!"/>
  </r>
  <r>
    <s v="401000"/>
    <x v="6"/>
    <s v="FOURNISSEURS"/>
    <s v="AC"/>
    <n v="-380.53"/>
    <d v="2025-03-11T00:00:00"/>
    <s v="HÔTEL TORONTO HOLT RENFREW PANEL"/>
    <m/>
    <s v="Non"/>
    <e v="#N/A"/>
    <n v="66049"/>
    <s v="4337599079"/>
    <s v="DIVERS"/>
    <s v="Q1"/>
    <e v="#REF!"/>
    <e v="#REF!"/>
    <e v="#REF!"/>
  </r>
  <r>
    <s v="401000"/>
    <x v="6"/>
    <s v="FOURNISSEURS"/>
    <s v="AC"/>
    <n v="-380"/>
    <d v="2025-04-15T00:00:00"/>
    <s v="TRANSPORT COSTS"/>
    <s v="Non"/>
    <e v="#N/A"/>
    <e v="#N/A"/>
    <n v="69805"/>
    <s v="91250039"/>
    <s v="BIOTIKA"/>
    <s v="Q2"/>
    <e v="#REF!"/>
    <e v="#REF!"/>
    <e v="#REF!"/>
  </r>
  <r>
    <s v="401000"/>
    <x v="6"/>
    <s v="FOURNISSEURS"/>
    <s v="AC"/>
    <n v="-380"/>
    <d v="2025-09-25T00:00:00"/>
    <s v="AR KINGPINS"/>
    <m/>
    <e v="#N/A"/>
    <e v="#N/A"/>
    <n v="89581"/>
    <s v="4"/>
    <s v="SNCF"/>
    <s v="Q3"/>
    <e v="#REF!"/>
    <e v="#REF!"/>
    <e v="#REF!"/>
  </r>
  <r>
    <s v="401000"/>
    <x v="6"/>
    <s v="FOURNISSEURS"/>
    <s v="AC"/>
    <n v="-378"/>
    <d v="2025-02-06T00:00:00"/>
    <s v="RMN ESPCI NOV-DÉC 2024"/>
    <m/>
    <e v="#N/A"/>
    <e v="#N/A"/>
    <n v="61429"/>
    <s v="8"/>
    <s v="SAESPCI"/>
    <s v="Q1"/>
    <e v="#REF!"/>
    <e v="#REF!"/>
    <e v="#REF!"/>
  </r>
  <r>
    <s v="401000"/>
    <x v="6"/>
    <s v="FOURNISSEURS"/>
    <s v="AC"/>
    <n v="-378"/>
    <d v="2025-09-24T00:00:00"/>
    <s v="SÉJOUR EMILIE &amp; ALAIN - SLOVAQUIE BIOTIKA"/>
    <m/>
    <e v="#N/A"/>
    <e v="#N/A"/>
    <n v="91383"/>
    <s v="3"/>
    <s v="HOTELS"/>
    <s v="Q3"/>
    <e v="#REF!"/>
    <e v="#REF!"/>
    <e v="#REF!"/>
  </r>
  <r>
    <s v="401000"/>
    <x v="6"/>
    <s v="FOURNISSEURS"/>
    <s v="AC"/>
    <n v="-376.96"/>
    <d v="2025-09-29T00:00:00"/>
    <s v="LOCATION VOITURE POUR DÉPLACEMENT BIOTIKA AGREEMENT VII"/>
    <m/>
    <e v="#N/A"/>
    <e v="#N/A"/>
    <n v="89586"/>
    <s v="6"/>
    <s v="AVIS"/>
    <s v="Q3"/>
    <e v="#REF!"/>
    <e v="#REF!"/>
    <e v="#REF!"/>
  </r>
  <r>
    <s v="401000"/>
    <x v="6"/>
    <s v="FOURNISSEURS"/>
    <s v="AC"/>
    <n v="-373.2"/>
    <d v="2025-03-01T00:00:00"/>
    <s v="CONTRAT DE NETTOYAGE DES ALGECOS - ROUSSILLON"/>
    <m/>
    <e v="#N/A"/>
    <e v="#N/A"/>
    <n v="66001"/>
    <s v="251P0438"/>
    <s v="GSF"/>
    <s v="Q1"/>
    <e v="#REF!"/>
    <e v="#REF!"/>
    <e v="#REF!"/>
  </r>
  <r>
    <s v="401000"/>
    <x v="6"/>
    <s v="FOURNISSEURS"/>
    <s v="AC"/>
    <n v="-373.2"/>
    <d v="2025-04-01T00:00:00"/>
    <s v="ENTRETIEN DES LOCAUX ROUSSILLON AVRIL 2025"/>
    <m/>
    <e v="#N/A"/>
    <e v="#N/A"/>
    <n v="69657"/>
    <s v="251P0617"/>
    <s v="GSF"/>
    <s v="Q2"/>
    <e v="#REF!"/>
    <e v="#REF!"/>
    <e v="#REF!"/>
  </r>
  <r>
    <s v="401000"/>
    <x v="6"/>
    <s v="FOURNISSEURS"/>
    <s v="AC"/>
    <n v="-373.2"/>
    <d v="2025-05-01T00:00:00"/>
    <s v="ENTRETIEN LOCAUX ROUSSILLON"/>
    <m/>
    <e v="#N/A"/>
    <e v="#N/A"/>
    <n v="73758"/>
    <s v="251P0757"/>
    <s v="GSF"/>
    <s v="Q2"/>
    <e v="#REF!"/>
    <e v="#REF!"/>
    <e v="#REF!"/>
  </r>
  <r>
    <s v="401000"/>
    <x v="6"/>
    <s v="FOURNISSEURS"/>
    <s v="AC"/>
    <n v="-373.2"/>
    <d v="2025-06-01T00:00:00"/>
    <s v="CONTRAT DE NETTOYAGE DES ALGECOS - ROUSSILLON"/>
    <m/>
    <e v="#N/A"/>
    <e v="#N/A"/>
    <n v="76549"/>
    <s v="251P0951"/>
    <s v="GSF"/>
    <s v="Q2"/>
    <e v="#REF!"/>
    <e v="#REF!"/>
    <e v="#REF!"/>
  </r>
  <r>
    <s v="401000"/>
    <x v="6"/>
    <s v="FOURNISSEURS"/>
    <s v="AC"/>
    <n v="-373.2"/>
    <d v="2025-07-01T00:00:00"/>
    <s v="PRESTATION DE NETTOYAGE - SITE ROUSSILLON"/>
    <m/>
    <e v="#N/A"/>
    <e v="#N/A"/>
    <n v="81207"/>
    <s v="251P1156"/>
    <s v="GSF"/>
    <s v="Q3"/>
    <e v="#REF!"/>
    <e v="#REF!"/>
    <e v="#REF!"/>
  </r>
  <r>
    <s v="401000"/>
    <x v="6"/>
    <s v="FOURNISSEURS"/>
    <s v="AC"/>
    <n v="-373.2"/>
    <d v="2025-08-08T00:00:00"/>
    <s v="ENTRETIEN DES ALGÉCOS"/>
    <m/>
    <e v="#N/A"/>
    <e v="#N/A"/>
    <n v="81248"/>
    <s v="251P1302"/>
    <s v="GSF"/>
    <s v="Q3"/>
    <e v="#REF!"/>
    <e v="#REF!"/>
    <e v="#REF!"/>
  </r>
  <r>
    <s v="401000"/>
    <x v="6"/>
    <s v="FOURNISSEURS"/>
    <s v="AC"/>
    <n v="-373.2"/>
    <d v="2025-09-09T00:00:00"/>
    <s v="MÉNAGE ROUSSILLON"/>
    <m/>
    <e v="#N/A"/>
    <e v="#N/A"/>
    <n v="82335"/>
    <s v="251P1464"/>
    <s v="GSF"/>
    <s v="Q3"/>
    <e v="#REF!"/>
    <e v="#REF!"/>
    <e v="#REF!"/>
  </r>
  <r>
    <s v="401000"/>
    <x v="6"/>
    <s v="FOURNISSEURS"/>
    <s v="AC"/>
    <n v="-373.2"/>
    <d v="2025-10-01T00:00:00"/>
    <s v="OCTOBRE 2025 PRESTATION D'ENTRETIEN HEBDOMADAIRE DES LOCAUX BÂTIMENT 37: MODULES BUREAUX, RÉFECTOIRE, VESTIAIRE"/>
    <m/>
    <e v="#N/A"/>
    <e v="#N/A"/>
    <n v="89857"/>
    <s v="251P1661"/>
    <s v="GSF"/>
    <s v="Q4"/>
    <e v="#REF!"/>
    <e v="#REF!"/>
    <e v="#REF!"/>
  </r>
  <r>
    <s v="401000"/>
    <x v="6"/>
    <s v="FOURNISSEURS"/>
    <s v="AC"/>
    <n v="-373.2"/>
    <d v="2025-11-01T00:00:00"/>
    <s v="ENTRETIEN ALGÉCOS ROUSSILLON"/>
    <m/>
    <e v="#N/A"/>
    <e v="#N/A"/>
    <n v="90049"/>
    <s v="251P1830"/>
    <s v="GSF"/>
    <s v="Q4"/>
    <e v="#REF!"/>
    <e v="#REF!"/>
    <e v="#REF!"/>
  </r>
  <r>
    <s v="401000"/>
    <x v="6"/>
    <s v="FOURNISSEURS"/>
    <s v="AC"/>
    <n v="-373.2"/>
    <d v="2025-12-23T00:00:00"/>
    <s v="ENTRETIEN ALGÉCO ROUSSILLON"/>
    <m/>
    <e v="#N/A"/>
    <e v="#N/A"/>
    <n v="95141"/>
    <s v="251P2013"/>
    <s v="GSF"/>
    <s v="Q4"/>
    <e v="#REF!"/>
    <e v="#REF!"/>
    <e v="#REF!"/>
  </r>
  <r>
    <s v="401000"/>
    <x v="6"/>
    <s v="FOURNISSEURS"/>
    <s v="AC"/>
    <n v="-373.14"/>
    <d v="2025-01-15T00:00:00"/>
    <s v="TRANSPORT COSTS"/>
    <s v="Non"/>
    <e v="#N/A"/>
    <e v="#N/A"/>
    <n v="61259"/>
    <s v="91250001"/>
    <s v="BIOTIKA"/>
    <s v="Q1"/>
    <e v="#REF!"/>
    <e v="#REF!"/>
    <e v="#REF!"/>
  </r>
  <r>
    <s v="401000"/>
    <x v="6"/>
    <s v="FOURNISSEURS"/>
    <s v="AC"/>
    <n v="-371.26"/>
    <d v="2025-04-02T00:00:00"/>
    <s v="TRANSPORT COSTS"/>
    <s v="Non"/>
    <e v="#N/A"/>
    <e v="#N/A"/>
    <n v="69696"/>
    <s v="91250024"/>
    <s v="BIOTIKA"/>
    <s v="Q2"/>
    <e v="#REF!"/>
    <e v="#REF!"/>
    <e v="#REF!"/>
  </r>
  <r>
    <s v="401000"/>
    <x v="6"/>
    <s v="FOURNISSEURS"/>
    <s v="AC"/>
    <n v="-364.78"/>
    <d v="2025-01-01T00:00:00"/>
    <s v="LUNETTES DE SÉCURITÉ MAUD ET ANNE-SOPHIE"/>
    <m/>
    <e v="#N/A"/>
    <e v="#N/A"/>
    <n v="63992"/>
    <s v="FRFP57903"/>
    <s v="COTRAL LAB"/>
    <s v="Q1"/>
    <e v="#REF!"/>
    <e v="#REF!"/>
    <e v="#REF!"/>
  </r>
  <r>
    <s v="401000"/>
    <x v="6"/>
    <s v="FOURNISSEURS"/>
    <s v="AC"/>
    <n v="-362.31"/>
    <d v="2025-03-14T00:00:00"/>
    <s v="CONGRÈS CIB"/>
    <m/>
    <s v="Non"/>
    <e v="#N/A"/>
    <n v="66123"/>
    <s v="1005088944"/>
    <s v="DIVERS"/>
    <s v="Q1"/>
    <e v="#REF!"/>
    <e v="#REF!"/>
    <e v="#REF!"/>
  </r>
  <r>
    <s v="401000"/>
    <x v="6"/>
    <s v="FOURNISSEURS"/>
    <s v="AC"/>
    <n v="-360.46"/>
    <d v="2025-04-11T00:00:00"/>
    <s v="LOCATION VOITURE TRAJET BIOTIKA"/>
    <m/>
    <e v="#N/A"/>
    <e v="#N/A"/>
    <n v="72605"/>
    <s v="I09010500184733"/>
    <s v="AVIS"/>
    <s v="Q2"/>
    <e v="#REF!"/>
    <e v="#REF!"/>
    <e v="#REF!"/>
  </r>
  <r>
    <s v="401000"/>
    <x v="6"/>
    <s v="FOURNISSEURS"/>
    <s v="AC"/>
    <n v="-360.2"/>
    <d v="2025-09-16T00:00:00"/>
    <s v="COUVERTURE MULTIRISQUE PROFESSIONNELLE AV DE SULLY LYON"/>
    <m/>
    <e v="#N/A"/>
    <e v="#N/A"/>
    <n v="82723"/>
    <s v="2025-Q100485"/>
    <s v="INITIATIVE &amp; RISK PARTNERS"/>
    <s v="Q3"/>
    <e v="#REF!"/>
    <e v="#REF!"/>
    <e v="#REF!"/>
  </r>
  <r>
    <s v="401000"/>
    <x v="6"/>
    <s v="FOURNISSEURS"/>
    <s v="AC"/>
    <n v="-360"/>
    <d v="2025-06-06T00:00:00"/>
    <s v="SURVEILLANCE BREVET"/>
    <s v="Non"/>
    <s v="Oui"/>
    <e v="#N/A"/>
    <n v="76109"/>
    <s v="252600"/>
    <s v="BECKER"/>
    <s v="Q2"/>
    <e v="#REF!"/>
    <e v="#REF!"/>
    <e v="#REF!"/>
  </r>
  <r>
    <s v="401000"/>
    <x v="6"/>
    <s v="FOURNISSEURS"/>
    <s v="AC"/>
    <n v="-360"/>
    <d v="2025-06-16T00:00:00"/>
    <s v="PARTICIPATION TECH DAY"/>
    <m/>
    <s v="Non"/>
    <s v="Oui"/>
    <n v="78037"/>
    <s v="28"/>
    <s v="BIOECONOMY FOR CHANGE"/>
    <s v="Q2"/>
    <e v="#REF!"/>
    <e v="#REF!"/>
    <e v="#REF!"/>
  </r>
  <r>
    <s v="401000"/>
    <x v="6"/>
    <s v="FOURNISSEURS"/>
    <s v="AC"/>
    <n v="-360"/>
    <d v="2025-09-24T00:00:00"/>
    <s v="INSCRIPTION TECHDAY POUR FILIPE ET VINCENT"/>
    <m/>
    <e v="#N/A"/>
    <e v="#N/A"/>
    <n v="83016"/>
    <s v="F12491419"/>
    <s v="BILLETWEB"/>
    <s v="Q3"/>
    <e v="#REF!"/>
    <e v="#REF!"/>
    <e v="#REF!"/>
  </r>
  <r>
    <s v="401000"/>
    <x v="6"/>
    <s v="FOURNISSEURS"/>
    <s v="AC"/>
    <n v="-360"/>
    <d v="2025-11-03T00:00:00"/>
    <s v="ABONNEMENT YOUSIGN"/>
    <m/>
    <e v="#N/A"/>
    <e v="#N/A"/>
    <n v="91408"/>
    <s v="430521"/>
    <s v="YOUSIGN"/>
    <s v="Q4"/>
    <e v="#REF!"/>
    <e v="#REF!"/>
    <e v="#REF!"/>
  </r>
  <r>
    <s v="401000"/>
    <x v="6"/>
    <s v="FOURNISSEURS"/>
    <s v="AC"/>
    <n v="-360"/>
    <d v="2025-12-30T00:00:00"/>
    <s v="LOCATION ESSOREUSE PILOTE +&gt; BUDGET POUR 2 MOIS DE LOCATION + LIVRAISON"/>
    <s v="Non"/>
    <e v="#N/A"/>
    <e v="#N/A"/>
    <n v="94896"/>
    <s v="FA006796"/>
    <s v="ROUSSELET CENTRIFUGATION"/>
    <s v="Q4"/>
    <e v="#REF!"/>
    <e v="#REF!"/>
    <e v="#REF!"/>
  </r>
  <r>
    <s v="401000"/>
    <x v="6"/>
    <s v="FOURNISSEURS"/>
    <s v="AC"/>
    <n v="-359.69"/>
    <d v="2025-03-25T00:00:00"/>
    <s v="CONSOMMABLES LABO R."/>
    <m/>
    <e v="#N/A"/>
    <e v="#N/A"/>
    <n v="67877"/>
    <s v="4175654"/>
    <s v="ROTH SOCHIEL"/>
    <s v="Q1"/>
    <e v="#REF!"/>
    <e v="#REF!"/>
    <e v="#REF!"/>
  </r>
  <r>
    <s v="401000"/>
    <x v="6"/>
    <s v="FOURNISSEURS"/>
    <s v="AC"/>
    <n v="-356.4"/>
    <d v="2025-07-28T00:00:00"/>
    <s v="ANALYSE RMN ESPCI - AVR-JUIN 2025"/>
    <m/>
    <e v="#N/A"/>
    <e v="#N/A"/>
    <n v="78939"/>
    <s v="78"/>
    <s v="SAESPCI"/>
    <s v="Q3"/>
    <e v="#REF!"/>
    <e v="#REF!"/>
    <e v="#REF!"/>
  </r>
  <r>
    <s v="401000"/>
    <x v="6"/>
    <s v="FOURNISSEURS"/>
    <s v="AC"/>
    <n v="-356.12"/>
    <d v="2025-11-10T00:00:00"/>
    <s v="COSTS OF TRANSPORT TO PILI VIA DACHSER - 23.10.2025"/>
    <s v="Non"/>
    <e v="#N/A"/>
    <e v="#N/A"/>
    <n v="91109"/>
    <s v="91250194"/>
    <s v="BIOTIKA"/>
    <s v="Q4"/>
    <e v="#REF!"/>
    <e v="#REF!"/>
    <e v="#REF!"/>
  </r>
  <r>
    <s v="401000"/>
    <x v="6"/>
    <s v="FOURNISSEURS"/>
    <s v="AC"/>
    <n v="-354.95"/>
    <d v="2025-03-06T00:00:00"/>
    <s v="POST-IT SANYTOL SPRAY SANYTOL LINGETTES PILES AA PILES AAA BOÎTES DE MOUCHOIRS CISEAUX BOÎTE DE THÉ VERT MENTHE BOUTEILLES DE LA"/>
    <m/>
    <e v="#N/A"/>
    <e v="#N/A"/>
    <n v="66116"/>
    <s v="25.790.561"/>
    <s v="BRUNEAU"/>
    <s v="Q1"/>
    <e v="#REF!"/>
    <e v="#REF!"/>
    <e v="#REF!"/>
  </r>
  <r>
    <s v="401000"/>
    <x v="6"/>
    <s v="FOURNISSEURS"/>
    <s v="AC"/>
    <n v="-351.7"/>
    <d v="2025-09-10T00:00:00"/>
    <s v="DÉPLACEMENT SÉMINAIRE"/>
    <m/>
    <e v="#N/A"/>
    <e v="#N/A"/>
    <n v="82983"/>
    <s v="21"/>
    <s v="GETAROUND"/>
    <s v="Q3"/>
    <e v="#REF!"/>
    <e v="#REF!"/>
    <e v="#REF!"/>
  </r>
  <r>
    <s v="401000"/>
    <x v="6"/>
    <s v="FOURNISSEURS"/>
    <s v="AC"/>
    <n v="-350.44"/>
    <d v="2025-10-07T00:00:00"/>
    <s v="PALETTES EUROPE, ORGANISEURS POUR RANGER RACCORDS, BAC RÉTENTION LABO"/>
    <m/>
    <e v="#N/A"/>
    <e v="#N/A"/>
    <n v="89594"/>
    <s v="11"/>
    <s v="MANUTAN"/>
    <s v="Q4"/>
    <e v="#REF!"/>
    <e v="#REF!"/>
    <e v="#REF!"/>
  </r>
  <r>
    <s v="401000"/>
    <x v="6"/>
    <s v="FOURNISSEURS"/>
    <s v="BPRI"/>
    <n v="40"/>
    <d v="2025-11-17T00:00:00"/>
    <s v="/LIB/161125 CB    3583/LIB/SNCF-VOYAGEURS F/LIB/161125 CB    3583/LIB/SNCF-VOYAGEURS FR PARIS 10/LIB/40,00EUR 1 EURO   1,000000"/>
    <m/>
    <e v="#N/A"/>
    <e v="#N/A"/>
    <n v="90159"/>
    <m/>
    <s v="SNCF"/>
    <s v="Q4"/>
    <e v="#REF!"/>
    <e v="#REF!"/>
    <e v="#REF!"/>
  </r>
  <r>
    <s v="512100"/>
    <x v="6"/>
    <s v="BANQUE POPULAIRE RIVE DE PARIS"/>
    <s v="BPRI"/>
    <n v="-40"/>
    <d v="2025-11-17T00:00:00"/>
    <s v="/LIB/161125 CB    3583/LIB/SNCF-VOYAGEURS F/LIB/161125 CB    3583/LIB/SNCF-VOYAGEURS FR PARIS 10/LIB/40,00EUR 1 EURO   1,000000"/>
    <m/>
    <e v="#N/A"/>
    <e v="#N/A"/>
    <n v="90158"/>
    <m/>
    <s v="SNCF"/>
    <s v="Q4"/>
    <e v="#REF!"/>
    <e v="#REF!"/>
    <e v="#REF!"/>
  </r>
  <r>
    <s v="401000"/>
    <x v="6"/>
    <s v="FOURNISSEURS"/>
    <s v="BPRI"/>
    <n v="55"/>
    <d v="2025-11-17T00:00:00"/>
    <s v="/LIB/161125 CB    3583/LIB/SNCF-VOYAGEURS F/LIB/161125 CB    3583/LIB/SNCF-VOYAGEURS FR PARIS 10/LIB/55,00EUR 1 EURO   1,000000"/>
    <m/>
    <e v="#N/A"/>
    <e v="#N/A"/>
    <n v="90162"/>
    <m/>
    <s v="SNCF"/>
    <s v="Q4"/>
    <e v="#REF!"/>
    <e v="#REF!"/>
    <e v="#REF!"/>
  </r>
  <r>
    <s v="401000"/>
    <x v="6"/>
    <s v="FOURNISSEURS"/>
    <s v="AC"/>
    <n v="-348.34"/>
    <d v="2025-03-19T00:00:00"/>
    <s v="EAU AVEC 0,1 % D'ACIDE FORMIQUE"/>
    <m/>
    <e v="#N/A"/>
    <e v="#N/A"/>
    <n v="66100"/>
    <s v="4175368"/>
    <s v="ROTH SOCHIEL"/>
    <s v="Q1"/>
    <e v="#REF!"/>
    <e v="#REF!"/>
    <e v="#REF!"/>
  </r>
  <r>
    <s v="401000"/>
    <x v="6"/>
    <s v="FOURNISSEURS"/>
    <s v="AC"/>
    <n v="-346.55"/>
    <d v="2025-04-22T00:00:00"/>
    <s v="COMMANDE PRODUITS ET CONSOMMABLES LABO"/>
    <m/>
    <e v="#N/A"/>
    <e v="#N/A"/>
    <n v="71326"/>
    <s v="4067701173"/>
    <s v="VWR AVANTOR"/>
    <s v="Q2"/>
    <e v="#REF!"/>
    <e v="#REF!"/>
    <e v="#REF!"/>
  </r>
  <r>
    <s v="401000"/>
    <x v="6"/>
    <s v="FOURNISSEURS"/>
    <s v="AC"/>
    <n v="-344.4"/>
    <d v="2025-06-23T00:00:00"/>
    <s v="TRANSPORT OF ADR MATERIAL TO MILANO ITALY"/>
    <s v="Non"/>
    <e v="#N/A"/>
    <e v="#N/A"/>
    <n v="76818"/>
    <s v="91250083"/>
    <s v="BIOTIKA"/>
    <s v="Q2"/>
    <e v="#REF!"/>
    <e v="#REF!"/>
    <e v="#REF!"/>
  </r>
  <r>
    <s v="401000"/>
    <x v="6"/>
    <s v="FOURNISSEURS"/>
    <s v="AC"/>
    <n v="-339.44"/>
    <d v="2025-03-31T00:00:00"/>
    <s v="FRAIS BANCAIRES"/>
    <m/>
    <e v="#N/A"/>
    <e v="#N/A"/>
    <n v="72583"/>
    <s v="2,50E+19"/>
    <s v="Banque Populaire Rive de Paris"/>
    <s v="Q1"/>
    <e v="#REF!"/>
    <e v="#REF!"/>
    <e v="#REF!"/>
  </r>
  <r>
    <s v="401000"/>
    <x v="6"/>
    <s v="FOURNISSEURS"/>
    <s v="AC"/>
    <n v="-336.86"/>
    <d v="2025-02-12T00:00:00"/>
    <s v="ACCESSOIRES LABO &amp; KL"/>
    <m/>
    <e v="#N/A"/>
    <e v="#N/A"/>
    <n v="61475"/>
    <s v="M009726521du"/>
    <s v="MANUTAN"/>
    <s v="Q1"/>
    <e v="#REF!"/>
    <e v="#REF!"/>
    <e v="#REF!"/>
  </r>
  <r>
    <s v="401000"/>
    <x v="6"/>
    <s v="FOURNISSEURS"/>
    <s v="AC"/>
    <n v="-336"/>
    <d v="2025-09-11T00:00:00"/>
    <s v="RETRAIT DEMANDE INITIALE EP AVANT PCT DE PALOMA CHIMIE"/>
    <s v="Non"/>
    <s v="Oui"/>
    <e v="#N/A"/>
    <n v="82341"/>
    <s v="254192"/>
    <s v="BECKER"/>
    <s v="Q3"/>
    <e v="#REF!"/>
    <e v="#REF!"/>
    <e v="#REF!"/>
  </r>
  <r>
    <s v="401000"/>
    <x v="6"/>
    <s v="FOURNISSEURS"/>
    <s v="AC"/>
    <n v="-336"/>
    <d v="2025-09-26T00:00:00"/>
    <s v="RETRAIT DEMANDE INITIAL AVANT PCT - BREVET PALOMA BIO"/>
    <s v="Non"/>
    <s v="Oui"/>
    <e v="#N/A"/>
    <n v="82747"/>
    <s v="254356"/>
    <s v="BECKER"/>
    <s v="Q3"/>
    <e v="#REF!"/>
    <e v="#REF!"/>
    <e v="#REF!"/>
  </r>
  <r>
    <s v="401000"/>
    <x v="6"/>
    <s v="FOURNISSEURS"/>
    <s v="AC"/>
    <n v="-336"/>
    <d v="2025-12-12T00:00:00"/>
    <s v="RETRAIT DEMANDE OEB BREVET BIOPIGMENT"/>
    <s v="Non"/>
    <s v="Oui"/>
    <e v="#N/A"/>
    <n v="92175"/>
    <s v="255673"/>
    <s v="BECKER"/>
    <s v="Q4"/>
    <e v="#REF!"/>
    <e v="#REF!"/>
    <e v="#REF!"/>
  </r>
  <r>
    <s v="401000"/>
    <x v="6"/>
    <s v="FOURNISSEURS"/>
    <s v="AC"/>
    <n v="-335.56"/>
    <d v="2025-03-27T00:00:00"/>
    <s v="DEMANDE DE BREVET EN INDE N° 202417089145"/>
    <s v="Non"/>
    <s v="Oui"/>
    <e v="#N/A"/>
    <n v="66051"/>
    <s v="251394"/>
    <s v="BECKER"/>
    <s v="Q1"/>
    <e v="#REF!"/>
    <e v="#REF!"/>
    <e v="#REF!"/>
  </r>
  <r>
    <s v="401000"/>
    <x v="6"/>
    <s v="FOURNISSEURS"/>
    <s v="AC"/>
    <n v="-334.19"/>
    <d v="2025-09-26T00:00:00"/>
    <s v="PACK TRANQUILLITÉ AVANTAGE POUR LA PÉRIODE DU 01-SEP-2025 AU 30-NOV-2025"/>
    <m/>
    <e v="#N/A"/>
    <e v="#N/A"/>
    <n v="94840"/>
    <s v="927279859"/>
    <s v="RICOH"/>
    <s v="Q3"/>
    <e v="#REF!"/>
    <e v="#REF!"/>
    <e v="#REF!"/>
  </r>
  <r>
    <s v="401000"/>
    <x v="6"/>
    <s v="FOURNISSEURS"/>
    <s v="AC"/>
    <n v="-333.2"/>
    <d v="2025-01-01T00:00:00"/>
    <s v="EXPÉ AA À FERRANIA -"/>
    <m/>
    <e v="#N/A"/>
    <e v="#N/A"/>
    <n v="73597"/>
    <s v="24120113"/>
    <s v="BROSSIER TRANSPORTS"/>
    <s v="Q1"/>
    <e v="#REF!"/>
    <e v="#REF!"/>
    <e v="#REF!"/>
  </r>
  <r>
    <s v="401000"/>
    <x v="6"/>
    <s v="FOURNISSEURS"/>
    <s v="AC"/>
    <n v="-331.45"/>
    <d v="2025-12-04T00:00:00"/>
    <s v="GARNITURE EN VERRE KL"/>
    <m/>
    <e v="#N/A"/>
    <e v="#N/A"/>
    <n v="92985"/>
    <s v="14003797"/>
    <s v="OPTIMUS"/>
    <s v="Q4"/>
    <e v="#REF!"/>
    <e v="#REF!"/>
    <e v="#REF!"/>
  </r>
  <r>
    <s v="401000"/>
    <x v="6"/>
    <s v="FOURNISSEURS"/>
    <s v="AC"/>
    <n v="-331.25"/>
    <d v="2025-12-12T00:00:00"/>
    <s v="FACTURE MINIBUS POUR DÉPLACEMENT ROUSSILLON À TOULOUSE (PS)"/>
    <m/>
    <e v="#N/A"/>
    <e v="#N/A"/>
    <n v="92997"/>
    <s v="FC05250830"/>
    <s v="GINE-LOG"/>
    <s v="Q4"/>
    <e v="#REF!"/>
    <e v="#REF!"/>
    <e v="#REF!"/>
  </r>
  <r>
    <s v="401000"/>
    <x v="6"/>
    <s v="FOURNISSEURS"/>
    <s v="AC"/>
    <n v="-330.2"/>
    <d v="2025-03-20T00:00:00"/>
    <s v="COMMANDE SUITE À REMBOURSEMENT OFFICE DÉPÔT (PORTE-DOCUMENTS, PLASTIFIEUSE, POCHETTES POUR PLASTIFIEUSE) + BESOINS EN CONSOMABLE"/>
    <m/>
    <e v="#N/A"/>
    <e v="#N/A"/>
    <n v="66153"/>
    <s v="25.842.920"/>
    <s v="BRUNEAU"/>
    <s v="Q1"/>
    <e v="#REF!"/>
    <e v="#REF!"/>
    <e v="#REF!"/>
  </r>
  <r>
    <s v="401000"/>
    <x v="6"/>
    <s v="FOURNISSEURS"/>
    <s v="AC"/>
    <n v="-329.7"/>
    <d v="2025-09-10T00:00:00"/>
    <s v="DÉPLACEMENT VÉHICULE TOULOUSE SÉMINAIRE"/>
    <m/>
    <e v="#N/A"/>
    <e v="#N/A"/>
    <n v="82981"/>
    <s v="20"/>
    <s v="GETAROUND"/>
    <s v="Q3"/>
    <e v="#REF!"/>
    <e v="#REF!"/>
    <e v="#REF!"/>
  </r>
  <r>
    <s v="401000"/>
    <x v="6"/>
    <s v="FOURNISSEURS"/>
    <s v="AC"/>
    <n v="-329.19"/>
    <d v="2025-07-31T00:00:00"/>
    <s v="ÉLECTRICITÉ KB"/>
    <m/>
    <e v="#N/A"/>
    <e v="#N/A"/>
    <n v="81753"/>
    <s v="720000616366"/>
    <s v="ENGIE"/>
    <s v="Q3"/>
    <e v="#REF!"/>
    <e v="#REF!"/>
    <e v="#REF!"/>
  </r>
  <r>
    <s v="401000"/>
    <x v="6"/>
    <s v="FOURNISSEURS"/>
    <s v="AC"/>
    <n v="-328.09"/>
    <d v="2025-08-21T00:00:00"/>
    <s v="CDE 20L DMSO"/>
    <m/>
    <e v="#N/A"/>
    <e v="#N/A"/>
    <n v="82204"/>
    <s v="FA035721"/>
    <s v="ARCANE INDUSTRIE"/>
    <s v="Q3"/>
    <e v="#REF!"/>
    <e v="#REF!"/>
    <e v="#REF!"/>
  </r>
  <r>
    <s v="401000"/>
    <x v="6"/>
    <s v="FOURNISSEURS"/>
    <s v="AC"/>
    <n v="-328.09"/>
    <d v="2025-11-04T00:00:00"/>
    <s v="DMSO POUR ROUSSILLON"/>
    <m/>
    <e v="#N/A"/>
    <e v="#N/A"/>
    <n v="91414"/>
    <s v="FA037938"/>
    <s v="ARCANE INDUSTRIE"/>
    <s v="Q4"/>
    <e v="#REF!"/>
    <e v="#REF!"/>
    <e v="#REF!"/>
  </r>
  <r>
    <s v="401000"/>
    <x v="6"/>
    <s v="FOURNISSEURS"/>
    <s v="AC"/>
    <n v="-325.93"/>
    <d v="2025-09-16T00:00:00"/>
    <s v="TRANSPORT COSTS"/>
    <s v="Non"/>
    <e v="#N/A"/>
    <e v="#N/A"/>
    <n v="87430"/>
    <s v="91250148"/>
    <s v="BIOTIKA"/>
    <s v="Q3"/>
    <e v="#REF!"/>
    <e v="#REF!"/>
    <e v="#REF!"/>
  </r>
  <r>
    <s v="401000"/>
    <x v="6"/>
    <s v="FOURNISSEURS"/>
    <s v="AC"/>
    <n v="-321.18"/>
    <d v="2025-11-17T00:00:00"/>
    <s v="CONSOMMABLE LABO"/>
    <m/>
    <e v="#N/A"/>
    <e v="#N/A"/>
    <n v="91936"/>
    <s v="4067873149"/>
    <s v="VWR AVANTOR"/>
    <s v="Q4"/>
    <e v="#REF!"/>
    <e v="#REF!"/>
    <e v="#REF!"/>
  </r>
  <r>
    <s v="401000"/>
    <x v="6"/>
    <s v="FOURNISSEURS"/>
    <s v="AC"/>
    <n v="-319.43"/>
    <d v="2025-08-04T00:00:00"/>
    <s v="CONSOMMABLES LABO"/>
    <m/>
    <e v="#N/A"/>
    <e v="#N/A"/>
    <n v="81787"/>
    <s v="4067788329"/>
    <s v="VWR AVANTOR"/>
    <s v="Q3"/>
    <e v="#REF!"/>
    <e v="#REF!"/>
    <e v="#REF!"/>
  </r>
  <r>
    <s v="401000"/>
    <x v="6"/>
    <s v="FOURNISSEURS"/>
    <s v="AC"/>
    <n v="-318"/>
    <d v="2025-04-16T00:00:00"/>
    <s v="ACOMPTE DÉJEUNER CONSORTIUM C4C TOULOUSE - COLOU4CRAFT"/>
    <m/>
    <e v="#N/A"/>
    <e v="#N/A"/>
    <n v="69812"/>
    <s v=" bxru06ns"/>
    <s v="FANNY RAVIER"/>
    <s v="Q2"/>
    <e v="#REF!"/>
    <e v="#REF!"/>
    <e v="#REF!"/>
  </r>
  <r>
    <s v="401000"/>
    <x v="6"/>
    <s v="FOURNISSEURS"/>
    <s v="AC"/>
    <n v="-318"/>
    <d v="2025-04-29T00:00:00"/>
    <s v="CARTOUCHE AX POUR MASQUE À GAZ"/>
    <m/>
    <e v="#N/A"/>
    <e v="#N/A"/>
    <n v="71364"/>
    <s v="FC95492"/>
    <s v="GAZ DETECT"/>
    <s v="Q2"/>
    <e v="#REF!"/>
    <e v="#REF!"/>
    <e v="#REF!"/>
  </r>
  <r>
    <s v="401000"/>
    <x v="6"/>
    <s v="FOURNISSEURS"/>
    <s v="AC"/>
    <n v="-316.7"/>
    <d v="2025-01-31T00:00:00"/>
    <s v="ALPHAGAZ 1 AZOTE BOUTEILLE SMARTOP 50L 200 BAR"/>
    <m/>
    <e v="#N/A"/>
    <e v="#N/A"/>
    <n v="86991"/>
    <s v="5800327183"/>
    <s v="AIR LIQUIDE"/>
    <s v="Q1"/>
    <e v="#REF!"/>
    <e v="#REF!"/>
    <e v="#REF!"/>
  </r>
  <r>
    <s v="401000"/>
    <x v="6"/>
    <s v="FOURNISSEURS"/>
    <s v="AC"/>
    <n v="-316.7"/>
    <d v="2025-03-21T00:00:00"/>
    <s v="BOUCHON REMPLISSAGE IBC DÉCHETS AVEC RACCORDS POMPE"/>
    <m/>
    <s v="Non"/>
    <e v="#N/A"/>
    <n v="66083"/>
    <s v="69"/>
    <s v="DIVERS"/>
    <s v="Q1"/>
    <e v="#REF!"/>
    <e v="#REF!"/>
    <e v="#REF!"/>
  </r>
  <r>
    <s v="401000"/>
    <x v="6"/>
    <s v="FOURNISSEURS"/>
    <s v="AC"/>
    <n v="-314.57"/>
    <d v="2025-11-30T00:00:00"/>
    <s v="TRANSPORT INDIGO VERS SD TECH POUR HOMOGENEISATION"/>
    <m/>
    <e v="#N/A"/>
    <e v="#N/A"/>
    <n v="94890"/>
    <s v="25110453"/>
    <s v="BROSSIER TRANSPORTS"/>
    <s v="Q4"/>
    <e v="#REF!"/>
    <e v="#REF!"/>
    <e v="#REF!"/>
  </r>
  <r>
    <s v="401000"/>
    <x v="6"/>
    <s v="FOURNISSEURS"/>
    <s v="AC"/>
    <n v="-313.2"/>
    <d v="2025-04-01T00:00:00"/>
    <s v="TUBE BRUN RAJA D60 LONG500"/>
    <m/>
    <e v="#N/A"/>
    <e v="#N/A"/>
    <n v="71300"/>
    <s v="25F075847"/>
    <s v="RAJA"/>
    <s v="Q2"/>
    <e v="#REF!"/>
    <e v="#REF!"/>
    <e v="#REF!"/>
  </r>
  <r>
    <s v="401000"/>
    <x v="6"/>
    <s v="FOURNISSEURS"/>
    <s v="AC"/>
    <n v="-313.2"/>
    <d v="2025-07-23T00:00:00"/>
    <s v="HYDROXYLAMINE SULFATE POUR STEP 2 KEENY"/>
    <m/>
    <e v="#N/A"/>
    <e v="#N/A"/>
    <n v="81332"/>
    <s v="4175079697"/>
    <s v="FISHER SCIENTIFIC"/>
    <s v="Q3"/>
    <e v="#REF!"/>
    <e v="#REF!"/>
    <e v="#REF!"/>
  </r>
  <r>
    <s v="401000"/>
    <x v="6"/>
    <s v="FOURNISSEURS"/>
    <s v="AC"/>
    <n v="-313.2"/>
    <d v="2025-09-05T00:00:00"/>
    <s v="HYDROXYLAMINE SULFATE POUR STEP 2 KEENY"/>
    <m/>
    <e v="#N/A"/>
    <e v="#N/A"/>
    <n v="82322"/>
    <s v="4175131442"/>
    <s v="FISHER SCIENTIFIC"/>
    <s v="Q3"/>
    <e v="#REF!"/>
    <e v="#REF!"/>
    <e v="#REF!"/>
  </r>
  <r>
    <s v="401000"/>
    <x v="6"/>
    <s v="FOURNISSEURS"/>
    <s v="AC"/>
    <n v="-309.12"/>
    <d v="2025-02-28T00:00:00"/>
    <s v="100 FEUILLES ABSORBANTES POUR PRODUITS CHIMIQUES THERMOMÈTRE À LIQUIDE ROUGE"/>
    <m/>
    <e v="#N/A"/>
    <e v="#N/A"/>
    <n v="64134"/>
    <s v="186913"/>
    <s v="CLOUP"/>
    <s v="Q1"/>
    <e v="#REF!"/>
    <e v="#REF!"/>
    <e v="#REF!"/>
  </r>
  <r>
    <s v="401000"/>
    <x v="6"/>
    <s v="FOURNISSEURS"/>
    <s v="AC"/>
    <n v="-308.41000000000003"/>
    <d v="2025-10-06T00:00:00"/>
    <s v="CONSOMMABLE LABO"/>
    <m/>
    <e v="#N/A"/>
    <e v="#N/A"/>
    <n v="85158"/>
    <s v="4067836549"/>
    <s v="VWR AVANTOR"/>
    <s v="Q4"/>
    <e v="#REF!"/>
    <e v="#REF!"/>
    <e v="#REF!"/>
  </r>
  <r>
    <s v="401000"/>
    <x v="6"/>
    <s v="FOURNISSEURS"/>
    <s v="AC"/>
    <n v="-308.27"/>
    <d v="2025-03-31T00:00:00"/>
    <s v="ELECTRICITE KB"/>
    <m/>
    <e v="#N/A"/>
    <e v="#N/A"/>
    <n v="72592"/>
    <s v="4,20E+11"/>
    <s v="ENGIE"/>
    <s v="Q1"/>
    <e v="#REF!"/>
    <e v="#REF!"/>
    <e v="#REF!"/>
  </r>
  <r>
    <s v="401000"/>
    <x v="6"/>
    <s v="FOURNISSEURS"/>
    <s v="AC"/>
    <n v="-308"/>
    <d v="2025-05-31T00:00:00"/>
    <s v="Divers billets SNCF JERBLA"/>
    <m/>
    <e v="#N/A"/>
    <e v="#N/A"/>
    <n v="78181"/>
    <m/>
    <s v="SNCF"/>
    <s v="Q2"/>
    <e v="#REF!"/>
    <e v="#REF!"/>
    <e v="#REF!"/>
  </r>
  <r>
    <s v="401000"/>
    <x v="6"/>
    <s v="FOURNISSEURS"/>
    <s v="AC"/>
    <n v="-305.92"/>
    <d v="2025-10-01T00:00:00"/>
    <s v="ELECTRICITÉ KB 6E"/>
    <m/>
    <e v="#N/A"/>
    <e v="#N/A"/>
    <n v="82783"/>
    <s v="850005285735"/>
    <s v="ENGIE"/>
    <s v="Q4"/>
    <e v="#REF!"/>
    <e v="#REF!"/>
    <e v="#REF!"/>
  </r>
  <r>
    <s v="401000"/>
    <x v="6"/>
    <s v="FOURNISSEURS"/>
    <s v="AC"/>
    <n v="-304"/>
    <d v="2025-09-16T00:00:00"/>
    <s v="SNCF-VOYAGEURS"/>
    <m/>
    <e v="#N/A"/>
    <e v="#N/A"/>
    <n v="82998"/>
    <s v="523842053-20250916"/>
    <s v="SNCF"/>
    <s v="Q3"/>
    <e v="#REF!"/>
    <e v="#REF!"/>
    <e v="#REF!"/>
  </r>
  <r>
    <s v="401000"/>
    <x v="6"/>
    <s v="FOURNISSEURS"/>
    <s v="AC"/>
    <n v="-303.47000000000003"/>
    <d v="2025-12-08T00:00:00"/>
    <s v="AIRBNB TOULOUSE PS JBL/API/GBW"/>
    <m/>
    <e v="#N/A"/>
    <e v="#N/A"/>
    <n v="97053"/>
    <s v="3"/>
    <s v="AIRBNB"/>
    <s v="Q4"/>
    <e v="#REF!"/>
    <e v="#REF!"/>
    <e v="#REF!"/>
  </r>
  <r>
    <s v="401000"/>
    <x v="6"/>
    <s v="FOURNISSEURS"/>
    <s v="AC"/>
    <n v="-303.10000000000002"/>
    <d v="2025-07-01T00:00:00"/>
    <s v="ELECTRICITÉ"/>
    <m/>
    <e v="#N/A"/>
    <e v="#N/A"/>
    <n v="78780"/>
    <s v="420007146056"/>
    <s v="ENGIE"/>
    <s v="Q3"/>
    <e v="#REF!"/>
    <e v="#REF!"/>
    <e v="#REF!"/>
  </r>
  <r>
    <s v="401000"/>
    <x v="6"/>
    <s v="FOURNISSEURS"/>
    <s v="AC"/>
    <n v="-302.39999999999998"/>
    <d v="2025-07-31T00:00:00"/>
    <s v="CONSOMMABLES LABO"/>
    <m/>
    <e v="#N/A"/>
    <e v="#N/A"/>
    <n v="81775"/>
    <s v="4067785384"/>
    <s v="VWR AVANTOR"/>
    <s v="Q3"/>
    <e v="#REF!"/>
    <e v="#REF!"/>
    <e v="#REF!"/>
  </r>
  <r>
    <s v="401000"/>
    <x v="6"/>
    <s v="FOURNISSEURS"/>
    <s v="AC"/>
    <n v="-300"/>
    <d v="2025-06-25T00:00:00"/>
    <s v="PRESTATION PHOTOGRAPHIQUE COMPRENANT LA PRISE DE VUES ET LA POST-PRODUCTION"/>
    <s v="Non"/>
    <s v="Non"/>
    <e v="#N/A"/>
    <n v="76751"/>
    <s v="2025-003"/>
    <s v="GONZALEZ VICTOR"/>
    <s v="Q2"/>
    <e v="#REF!"/>
    <e v="#REF!"/>
    <e v="#REF!"/>
  </r>
  <r>
    <s v="401000"/>
    <x v="6"/>
    <s v="FOURNISSEURS"/>
    <s v="AC"/>
    <n v="-299.88"/>
    <d v="2025-06-03T00:00:00"/>
    <s v="RMN UPS"/>
    <m/>
    <e v="#N/A"/>
    <e v="#N/A"/>
    <n v="81743"/>
    <s v="210121995"/>
    <s v="UNIVERSITE DE TOULOUSE"/>
    <s v="Q2"/>
    <e v="#REF!"/>
    <e v="#REF!"/>
    <e v="#REF!"/>
  </r>
  <r>
    <s v="401000"/>
    <x v="6"/>
    <s v="FOURNISSEURS"/>
    <s v="AC"/>
    <n v="-299.51"/>
    <d v="2025-11-12T00:00:00"/>
    <s v="DÉPÔT MARQUE US, RÉPONSE DEMANDES OFFICE ACTION"/>
    <s v="Non"/>
    <s v="Non"/>
    <e v="#N/A"/>
    <n v="91113"/>
    <s v="2473501"/>
    <s v="WARNER NORCROSS JUDD"/>
    <s v="Q4"/>
    <e v="#REF!"/>
    <e v="#REF!"/>
    <e v="#REF!"/>
  </r>
  <r>
    <s v="401000"/>
    <x v="6"/>
    <s v="FOURNISSEURS"/>
    <s v="AC"/>
    <n v="-299"/>
    <d v="2025-12-31T00:00:00"/>
    <s v="Divers billets SNCF JERBLA"/>
    <m/>
    <e v="#N/A"/>
    <e v="#N/A"/>
    <n v="94164"/>
    <m/>
    <s v="SNCF"/>
    <s v="Q4"/>
    <e v="#REF!"/>
    <e v="#REF!"/>
    <e v="#REF!"/>
  </r>
  <r>
    <s v="401000"/>
    <x v="6"/>
    <s v="FOURNISSEURS"/>
    <s v="AC"/>
    <n v="-298.8"/>
    <d v="2025-01-31T00:00:00"/>
    <s v="COMMANDE D'ÉQUIPEMENTS KB"/>
    <m/>
    <e v="#N/A"/>
    <e v="#N/A"/>
    <n v="61348"/>
    <s v="186495"/>
    <s v="CLOUP"/>
    <s v="Q1"/>
    <e v="#REF!"/>
    <e v="#REF!"/>
    <e v="#REF!"/>
  </r>
  <r>
    <s v="401000"/>
    <x v="6"/>
    <s v="FOURNISSEURS"/>
    <s v="AC"/>
    <n v="-298"/>
    <d v="2025-02-06T00:00:00"/>
    <s v="RETOUR RDV HC AMSTERDAM PARIS"/>
    <m/>
    <s v="Non"/>
    <e v="#N/A"/>
    <n v="61422"/>
    <s v="104"/>
    <s v="DIVERS"/>
    <s v="Q1"/>
    <e v="#REF!"/>
    <e v="#REF!"/>
    <e v="#REF!"/>
  </r>
  <r>
    <s v="401000"/>
    <x v="6"/>
    <s v="FOURNISSEURS"/>
    <s v="AC"/>
    <n v="-294.95999999999998"/>
    <d v="2025-10-24T00:00:00"/>
    <s v="RETOUR TRIALS BERTO ITALIE"/>
    <m/>
    <e v="#N/A"/>
    <e v="#N/A"/>
    <n v="91393"/>
    <s v="8"/>
    <s v="AIRLINES"/>
    <s v="Q4"/>
    <e v="#REF!"/>
    <e v="#REF!"/>
    <e v="#REF!"/>
  </r>
  <r>
    <s v="401000"/>
    <x v="6"/>
    <s v="FOURNISSEURS"/>
    <s v="AC"/>
    <n v="-294.81"/>
    <d v="2025-04-01T00:00:00"/>
    <s v="transport DHL"/>
    <m/>
    <e v="#N/A"/>
    <e v="#N/A"/>
    <n v="74948"/>
    <m/>
    <s v="DHL"/>
    <s v="Q2"/>
    <e v="#REF!"/>
    <e v="#REF!"/>
    <e v="#REF!"/>
  </r>
  <r>
    <s v="401000"/>
    <x v="6"/>
    <s v="FOURNISSEURS"/>
    <s v="AC"/>
    <n v="-293.54000000000002"/>
    <d v="2025-01-17T00:00:00"/>
    <s v="ACCESSOIRES SITE ROUSSILLON"/>
    <m/>
    <e v="#N/A"/>
    <e v="#N/A"/>
    <n v="59888"/>
    <s v="M009631483du"/>
    <s v="MANUTAN"/>
    <s v="Q1"/>
    <e v="#REF!"/>
    <e v="#REF!"/>
    <e v="#REF!"/>
  </r>
  <r>
    <s v="401000"/>
    <x v="6"/>
    <s v="FOURNISSEURS"/>
    <s v="AC"/>
    <n v="-292"/>
    <d v="2025-10-06T00:00:00"/>
    <s v="COMMANDE PRODUIT KEENB"/>
    <m/>
    <e v="#N/A"/>
    <e v="#N/A"/>
    <n v="85153"/>
    <s v="INGM238822"/>
    <s v="BLD PHARMATECH"/>
    <s v="Q4"/>
    <e v="#REF!"/>
    <e v="#REF!"/>
    <e v="#REF!"/>
  </r>
  <r>
    <s v="401000"/>
    <x v="6"/>
    <s v="FOURNISSEURS"/>
    <s v="AC"/>
    <n v="-290"/>
    <d v="2025-10-28T00:00:00"/>
    <s v="RENCONTRE PILI - BIOTIKA À FRANCFORT"/>
    <m/>
    <e v="#N/A"/>
    <e v="#N/A"/>
    <n v="89646"/>
    <s v="33"/>
    <s v="SNCF"/>
    <s v="Q4"/>
    <e v="#REF!"/>
    <e v="#REF!"/>
    <e v="#REF!"/>
  </r>
  <r>
    <s v="401000"/>
    <x v="6"/>
    <s v="FOURNISSEURS"/>
    <s v="AC"/>
    <n v="-288.27"/>
    <d v="2025-10-13T00:00:00"/>
    <s v="PRODUITS LISA"/>
    <m/>
    <e v="#N/A"/>
    <e v="#N/A"/>
    <n v="87277"/>
    <s v="4067842722"/>
    <s v="VWR AVANTOR"/>
    <s v="Q4"/>
    <e v="#REF!"/>
    <e v="#REF!"/>
    <e v="#REF!"/>
  </r>
  <r>
    <s v="401000"/>
    <x v="6"/>
    <s v="FOURNISSEURS"/>
    <s v="AC"/>
    <n v="-288"/>
    <d v="2025-01-23T00:00:00"/>
    <s v="PRISE EN MAIN MOTS DE PASSES FINANCE, CDG ET OFFICE MANAGEMENT DANS COFFRE FORT CRYPTÉ"/>
    <m/>
    <s v="Non"/>
    <e v="#N/A"/>
    <n v="61300"/>
    <s v="55"/>
    <s v="DIVERS"/>
    <s v="Q1"/>
    <e v="#REF!"/>
    <e v="#REF!"/>
    <e v="#REF!"/>
  </r>
  <r>
    <s v="401000"/>
    <x v="6"/>
    <s v="FOURNISSEURS"/>
    <s v="AC"/>
    <n v="-288"/>
    <d v="2025-07-31T00:00:00"/>
    <s v="JUILLET DÉCAPAGE DES SOLS"/>
    <m/>
    <e v="#N/A"/>
    <e v="#N/A"/>
    <n v="81758"/>
    <s v="251P1197"/>
    <s v="GSF"/>
    <s v="Q3"/>
    <e v="#REF!"/>
    <e v="#REF!"/>
    <e v="#REF!"/>
  </r>
  <r>
    <s v="401000"/>
    <x v="6"/>
    <s v="FOURNISSEURS"/>
    <s v="AC"/>
    <n v="-287.83999999999997"/>
    <d v="2025-12-12T00:00:00"/>
    <s v="ÉTIQUETTES CLP POUR ÉCHANTILLONS ROUSSILLON"/>
    <m/>
    <e v="#N/A"/>
    <e v="#N/A"/>
    <n v="93967"/>
    <s v="9302081956"/>
    <s v="BRADY GROUPE"/>
    <s v="Q4"/>
    <e v="#REF!"/>
    <e v="#REF!"/>
    <e v="#REF!"/>
  </r>
  <r>
    <s v="401000"/>
    <x v="6"/>
    <s v="FOURNISSEURS"/>
    <s v="AC"/>
    <n v="-286.08"/>
    <d v="2025-06-30T00:00:00"/>
    <s v="COMMANDE PRODUIT POUR LABO"/>
    <m/>
    <e v="#N/A"/>
    <e v="#N/A"/>
    <n v="77314"/>
    <s v="4067758783"/>
    <s v="VWR AVANTOR"/>
    <s v="Q2"/>
    <e v="#REF!"/>
    <e v="#REF!"/>
    <e v="#REF!"/>
  </r>
  <r>
    <s v="401000"/>
    <x v="6"/>
    <s v="FOURNISSEURS"/>
    <s v="AC"/>
    <n v="-283.39"/>
    <d v="2025-06-24T00:00:00"/>
    <s v="COMMANDE CONSOMMABLE LABO"/>
    <m/>
    <e v="#N/A"/>
    <e v="#N/A"/>
    <n v="77282"/>
    <s v="4067753049"/>
    <s v="VWR AVANTOR"/>
    <s v="Q2"/>
    <e v="#REF!"/>
    <e v="#REF!"/>
    <e v="#REF!"/>
  </r>
  <r>
    <s v="401000"/>
    <x v="6"/>
    <s v="FOURNISSEURS"/>
    <s v="AC"/>
    <n v="-279.74"/>
    <d v="2025-07-17T00:00:00"/>
    <s v="JOINTS ÉTANCHÉITÉ KL POUR MAINTENANCE JUILLET - URGENT"/>
    <m/>
    <e v="#N/A"/>
    <e v="#N/A"/>
    <n v="82271"/>
    <s v="14003548"/>
    <s v="OPTIMUS"/>
    <s v="Q3"/>
    <e v="#REF!"/>
    <e v="#REF!"/>
    <e v="#REF!"/>
  </r>
  <r>
    <s v="401000"/>
    <x v="6"/>
    <s v="FOURNISSEURS"/>
    <s v="AC"/>
    <n v="-279.01"/>
    <d v="2025-06-25T00:00:00"/>
    <s v="LIVRE INDUSTRIAL ORGANIC PIGMENTS"/>
    <m/>
    <e v="#N/A"/>
    <e v="#N/A"/>
    <n v="82163"/>
    <s v="2"/>
    <s v="FNAC"/>
    <s v="Q2"/>
    <e v="#REF!"/>
    <e v="#REF!"/>
    <e v="#REF!"/>
  </r>
  <r>
    <s v="401000"/>
    <x v="6"/>
    <s v="FOURNISSEURS"/>
    <s v="AC"/>
    <n v="-276.61"/>
    <d v="2025-05-31T00:00:00"/>
    <s v="ELECTRICITÉ KB"/>
    <m/>
    <e v="#N/A"/>
    <e v="#N/A"/>
    <n v="78772"/>
    <s v="520001657014"/>
    <s v="ENGIE"/>
    <s v="Q2"/>
    <e v="#REF!"/>
    <e v="#REF!"/>
    <e v="#REF!"/>
  </r>
  <r>
    <s v="401000"/>
    <x v="6"/>
    <s v="FOURNISSEURS"/>
    <s v="AC"/>
    <n v="-276.45999999999998"/>
    <d v="2025-09-16T00:00:00"/>
    <s v="TRANSPORT COSTS"/>
    <s v="Non"/>
    <e v="#N/A"/>
    <e v="#N/A"/>
    <n v="87426"/>
    <s v="91250147"/>
    <s v="BIOTIKA"/>
    <s v="Q3"/>
    <e v="#REF!"/>
    <e v="#REF!"/>
    <e v="#REF!"/>
  </r>
  <r>
    <s v="401000"/>
    <x v="6"/>
    <s v="FOURNISSEURS"/>
    <s v="AC"/>
    <n v="-275.89"/>
    <d v="2025-04-08T00:00:00"/>
    <s v="TRANSPORT COSTS"/>
    <s v="Non"/>
    <e v="#N/A"/>
    <e v="#N/A"/>
    <n v="69732"/>
    <s v="91250032"/>
    <s v="BIOTIKA"/>
    <s v="Q2"/>
    <e v="#REF!"/>
    <e v="#REF!"/>
    <e v="#REF!"/>
  </r>
  <r>
    <s v="401000"/>
    <x v="6"/>
    <s v="FOURNISSEURS"/>
    <s v="AC"/>
    <n v="-274.56"/>
    <d v="2025-10-31T00:00:00"/>
    <s v="MAINTENANCE OSIRIS CARDANS KL"/>
    <s v="Non"/>
    <s v="Non"/>
    <e v="#N/A"/>
    <n v="89883"/>
    <s v="93813939"/>
    <s v="OSIRIS"/>
    <s v="Q4"/>
    <e v="#REF!"/>
    <e v="#REF!"/>
    <e v="#REF!"/>
  </r>
  <r>
    <s v="401000"/>
    <x v="6"/>
    <s v="FOURNISSEURS"/>
    <s v="AC"/>
    <n v="-267.60000000000002"/>
    <d v="2025-09-24T00:00:00"/>
    <s v="PRESTATION COACHING DE LUCIE CREPIN MANAGER"/>
    <m/>
    <s v="Non"/>
    <e v="#N/A"/>
    <n v="82744"/>
    <s v="F2025-028"/>
    <s v="BERNARD SEMBEILLES CONSULTING"/>
    <s v="Q3"/>
    <e v="#REF!"/>
    <e v="#REF!"/>
    <e v="#REF!"/>
  </r>
  <r>
    <s v="401000"/>
    <x v="6"/>
    <s v="FOURNISSEURS"/>
    <s v="AC"/>
    <n v="-267.60000000000002"/>
    <d v="2025-12-17T00:00:00"/>
    <s v="PRESTATION COACHING MANAGER"/>
    <m/>
    <s v="Non"/>
    <e v="#N/A"/>
    <n v="93006"/>
    <s v="F2025-048"/>
    <s v="BERNARD SEMBEILLES CONSULTING"/>
    <s v="Q4"/>
    <e v="#REF!"/>
    <e v="#REF!"/>
    <e v="#REF!"/>
  </r>
  <r>
    <s v="401000"/>
    <x v="6"/>
    <s v="FOURNISSEURS"/>
    <s v="AC"/>
    <n v="-266.8"/>
    <d v="2025-11-07T00:00:00"/>
    <s v="NUITS ASG ET PYB À PADOUE - TRIALS CHEZ BERTO"/>
    <m/>
    <e v="#N/A"/>
    <e v="#N/A"/>
    <n v="91430"/>
    <s v="24"/>
    <s v="BOOKING"/>
    <s v="Q4"/>
    <e v="#REF!"/>
    <e v="#REF!"/>
    <e v="#REF!"/>
  </r>
  <r>
    <s v="401000"/>
    <x v="6"/>
    <s v="FOURNISSEURS"/>
    <s v="AC"/>
    <n v="-266.10000000000002"/>
    <d v="2025-05-31T00:00:00"/>
    <s v="Frais bancaires BPRI 05/2025"/>
    <m/>
    <e v="#N/A"/>
    <e v="#N/A"/>
    <n v="82838"/>
    <m/>
    <s v="Banque Populaire Rive de Paris"/>
    <s v="Q2"/>
    <e v="#REF!"/>
    <e v="#REF!"/>
    <e v="#REF!"/>
  </r>
  <r>
    <s v="401000"/>
    <x v="6"/>
    <s v="FOURNISSEURS"/>
    <s v="AC"/>
    <n v="-265.18"/>
    <d v="2025-05-21T00:00:00"/>
    <s v="BOUCHONS MOULÉS"/>
    <m/>
    <e v="#N/A"/>
    <e v="#N/A"/>
    <n v="94877"/>
    <s v="FRFQ24183"/>
    <s v="COTRAL LAB"/>
    <s v="Q2"/>
    <e v="#REF!"/>
    <e v="#REF!"/>
    <e v="#REF!"/>
  </r>
  <r>
    <s v="401000"/>
    <x v="6"/>
    <s v="FOURNISSEURS"/>
    <s v="AC"/>
    <n v="-264.89999999999998"/>
    <d v="2025-11-05T00:00:00"/>
    <s v="NUITÉE HÔTEL SOIRÉE 10 ANS PILI X 2 PERSONNES (PYB ET JLA)"/>
    <m/>
    <e v="#N/A"/>
    <e v="#N/A"/>
    <n v="91425"/>
    <s v="22"/>
    <s v="HOTELS"/>
    <s v="Q4"/>
    <e v="#REF!"/>
    <e v="#REF!"/>
    <e v="#REF!"/>
  </r>
  <r>
    <s v="401000"/>
    <x v="6"/>
    <s v="FOURNISSEURS"/>
    <s v="AC"/>
    <n v="-264.88"/>
    <d v="2025-03-06T00:00:00"/>
    <s v="MAINTENANCE GERBEUR : RÉPARATION BOUTON MONTÉE-BAISSE"/>
    <m/>
    <e v="#N/A"/>
    <e v="#N/A"/>
    <n v="81308"/>
    <s v="8802089097"/>
    <s v="FENWICK-LINDE"/>
    <s v="Q1"/>
    <e v="#REF!"/>
    <e v="#REF!"/>
    <e v="#REF!"/>
  </r>
  <r>
    <s v="401000"/>
    <x v="6"/>
    <s v="FOURNISSEURS"/>
    <s v="AC"/>
    <n v="-264.23"/>
    <d v="2025-12-08T00:00:00"/>
    <s v="COSTS OF TRANSPORT VIA FEDEX, AWB 886002140588, 13.11.2025, FEDEX INVOICE 208025262"/>
    <s v="Non"/>
    <e v="#N/A"/>
    <e v="#N/A"/>
    <n v="95731"/>
    <s v="91250202"/>
    <s v="BIOTIKA"/>
    <s v="Q4"/>
    <e v="#REF!"/>
    <e v="#REF!"/>
    <e v="#REF!"/>
  </r>
  <r>
    <s v="401000"/>
    <x v="6"/>
    <s v="FOURNISSEURS"/>
    <s v="AC"/>
    <n v="-263.63"/>
    <d v="2025-12-22T00:00:00"/>
    <s v="DIVERS CONSOMMABLES LABO ROUSSILLON"/>
    <m/>
    <e v="#N/A"/>
    <e v="#N/A"/>
    <n v="94893"/>
    <s v="4186592"/>
    <s v="ROTH SOCHIEL"/>
    <s v="Q4"/>
    <e v="#REF!"/>
    <e v="#REF!"/>
    <e v="#REF!"/>
  </r>
  <r>
    <s v="401000"/>
    <x v="6"/>
    <s v="FOURNISSEURS"/>
    <s v="AC"/>
    <n v="-262.58999999999997"/>
    <d v="2025-07-21T00:00:00"/>
    <s v="COÛTS DE TRANSPORT - ECHANTILLONS"/>
    <s v="Non"/>
    <e v="#N/A"/>
    <e v="#N/A"/>
    <n v="81936"/>
    <s v="91250108"/>
    <s v="BIOTIKA"/>
    <s v="Q3"/>
    <e v="#REF!"/>
    <e v="#REF!"/>
    <e v="#REF!"/>
  </r>
  <r>
    <s v="401000"/>
    <x v="6"/>
    <s v="FOURNISSEURS"/>
    <s v="AC"/>
    <n v="-262.58999999999997"/>
    <d v="2025-07-30T00:00:00"/>
    <s v="COUTS DE TRANSPORT"/>
    <s v="Non"/>
    <e v="#N/A"/>
    <e v="#N/A"/>
    <n v="81940"/>
    <s v="91250118"/>
    <s v="BIOTIKA"/>
    <s v="Q3"/>
    <e v="#REF!"/>
    <e v="#REF!"/>
    <e v="#REF!"/>
  </r>
  <r>
    <s v="401000"/>
    <x v="6"/>
    <s v="FOURNISSEURS"/>
    <s v="AC"/>
    <n v="-259.2"/>
    <d v="2025-01-01T00:00:00"/>
    <s v="KIT 3 JOINTS PTFE POUR GUIDE D'AGITATION"/>
    <m/>
    <e v="#N/A"/>
    <e v="#N/A"/>
    <n v="67797"/>
    <s v="742"/>
    <s v="ALGOCHEM"/>
    <s v="Q1"/>
    <e v="#REF!"/>
    <e v="#REF!"/>
    <e v="#REF!"/>
  </r>
  <r>
    <s v="401000"/>
    <x v="6"/>
    <s v="FOURNISSEURS"/>
    <s v="AC"/>
    <n v="-258.72000000000003"/>
    <d v="2025-01-29T00:00:00"/>
    <s v="DIMETHYL SULFOXIDE 99%"/>
    <m/>
    <e v="#N/A"/>
    <e v="#N/A"/>
    <n v="64019"/>
    <s v="VRGG25-002237"/>
    <s v="ABCR"/>
    <s v="Q1"/>
    <e v="#REF!"/>
    <e v="#REF!"/>
    <e v="#REF!"/>
  </r>
  <r>
    <s v="401000"/>
    <x v="6"/>
    <s v="FOURNISSEURS"/>
    <s v="AC"/>
    <n v="-258.27999999999997"/>
    <d v="2025-07-29T00:00:00"/>
    <s v="TUYAU EN PTFE 10X12MM 50M"/>
    <m/>
    <e v="#N/A"/>
    <e v="#N/A"/>
    <n v="80901"/>
    <s v="10991"/>
    <s v="PTFE TUBE SHOP"/>
    <s v="Q3"/>
    <e v="#REF!"/>
    <e v="#REF!"/>
    <e v="#REF!"/>
  </r>
  <r>
    <s v="401000"/>
    <x v="6"/>
    <s v="FOURNISSEURS"/>
    <s v="AC"/>
    <n v="-258"/>
    <d v="2025-09-09T00:00:00"/>
    <s v="PARIS-COLOGNE POUR LE RENEWABLE CHEMICALS"/>
    <m/>
    <e v="#N/A"/>
    <e v="#N/A"/>
    <n v="82979"/>
    <s v="19"/>
    <s v="SNCF"/>
    <s v="Q3"/>
    <e v="#REF!"/>
    <e v="#REF!"/>
    <e v="#REF!"/>
  </r>
  <r>
    <s v="401000"/>
    <x v="6"/>
    <s v="FOURNISSEURS"/>
    <s v="AC"/>
    <n v="-257.47000000000003"/>
    <d v="2025-04-30T00:00:00"/>
    <s v="MANCHETTES A956359 X100"/>
    <m/>
    <e v="#N/A"/>
    <e v="#N/A"/>
    <n v="72644"/>
    <s v="M010022895"/>
    <s v="MANUTAN"/>
    <s v="Q2"/>
    <e v="#REF!"/>
    <e v="#REF!"/>
    <e v="#REF!"/>
  </r>
  <r>
    <s v="401000"/>
    <x v="6"/>
    <s v="FOURNISSEURS"/>
    <s v="AC"/>
    <n v="-257.41000000000003"/>
    <d v="2025-05-02T00:00:00"/>
    <s v="ELECTRICITÉ KB"/>
    <m/>
    <e v="#N/A"/>
    <e v="#N/A"/>
    <n v="78745"/>
    <s v="970005348107"/>
    <s v="ENGIE"/>
    <s v="Q2"/>
    <e v="#REF!"/>
    <e v="#REF!"/>
    <e v="#REF!"/>
  </r>
  <r>
    <s v="401000"/>
    <x v="6"/>
    <s v="FOURNISSEURS"/>
    <s v="AC"/>
    <n v="-254.99"/>
    <d v="2025-02-20T00:00:00"/>
    <s v="GANT NITRILE ÉPAIS MANCHE LONGUE"/>
    <m/>
    <s v="Non"/>
    <e v="#N/A"/>
    <n v="61539"/>
    <s v="148"/>
    <s v="DIVERS"/>
    <s v="Q1"/>
    <e v="#REF!"/>
    <e v="#REF!"/>
    <e v="#REF!"/>
  </r>
  <r>
    <s v="401000"/>
    <x v="6"/>
    <s v="FOURNISSEURS"/>
    <s v="AC"/>
    <n v="-250.8"/>
    <d v="2025-04-01T00:00:00"/>
    <s v="ROULEAU ABSORBANT ET SURCHAUSSURE"/>
    <m/>
    <e v="#N/A"/>
    <e v="#N/A"/>
    <n v="69683"/>
    <s v="922049943"/>
    <s v="DENIOS"/>
    <s v="Q2"/>
    <e v="#REF!"/>
    <e v="#REF!"/>
    <e v="#REF!"/>
  </r>
  <r>
    <s v="401000"/>
    <x v="6"/>
    <s v="FOURNISSEURS"/>
    <s v="AC"/>
    <n v="-250.63"/>
    <d v="2025-03-17T00:00:00"/>
    <s v="SEAU TRANSPARENT"/>
    <m/>
    <e v="#N/A"/>
    <e v="#N/A"/>
    <n v="67843"/>
    <s v="16"/>
    <s v="MANUTAN"/>
    <s v="Q1"/>
    <e v="#REF!"/>
    <e v="#REF!"/>
    <e v="#REF!"/>
  </r>
  <r>
    <s v="401000"/>
    <x v="6"/>
    <s v="FOURNISSEURS"/>
    <s v="AC"/>
    <n v="-250.63"/>
    <d v="2025-07-24T00:00:00"/>
    <s v="SEAUX 5L"/>
    <m/>
    <e v="#N/A"/>
    <e v="#N/A"/>
    <n v="80888"/>
    <s v="M010330293"/>
    <s v="MANUTAN"/>
    <s v="Q3"/>
    <e v="#REF!"/>
    <e v="#REF!"/>
    <e v="#REF!"/>
  </r>
  <r>
    <s v="401000"/>
    <x v="6"/>
    <s v="FOURNISSEURS"/>
    <s v="AC"/>
    <n v="-250.44"/>
    <d v="2025-11-12T00:00:00"/>
    <s v="PRODUIT KEENY"/>
    <m/>
    <e v="#N/A"/>
    <e v="#N/A"/>
    <n v="89968"/>
    <s v="VRGG25-025479"/>
    <s v="ABCR"/>
    <s v="Q4"/>
    <e v="#REF!"/>
    <e v="#REF!"/>
    <e v="#REF!"/>
  </r>
  <r>
    <s v="401000"/>
    <x v="6"/>
    <s v="FOURNISSEURS"/>
    <s v="AC"/>
    <n v="-249.6"/>
    <d v="2025-01-30T00:00:00"/>
    <s v="RÉACTIFS DEV"/>
    <m/>
    <e v="#N/A"/>
    <e v="#N/A"/>
    <n v="64024"/>
    <s v="8053416259"/>
    <s v="Sigma-Aldrich chimie"/>
    <s v="Q1"/>
    <e v="#REF!"/>
    <e v="#REF!"/>
    <e v="#REF!"/>
  </r>
  <r>
    <s v="401000"/>
    <x v="6"/>
    <s v="FOURNISSEURS"/>
    <s v="AC"/>
    <n v="-249.6"/>
    <d v="2025-07-07T00:00:00"/>
    <s v="MAINTENANCE/RÉPARATION DES 4 DÉTECTEURS HCN DU LABO"/>
    <m/>
    <e v="#N/A"/>
    <e v="#N/A"/>
    <n v="78981"/>
    <s v="FC96970"/>
    <s v="GAZ DETECT"/>
    <s v="Q3"/>
    <e v="#REF!"/>
    <e v="#REF!"/>
    <e v="#REF!"/>
  </r>
  <r>
    <s v="401000"/>
    <x v="6"/>
    <s v="FOURNISSEURS"/>
    <s v="AC"/>
    <n v="-248.34"/>
    <d v="2025-12-22T00:00:00"/>
    <s v="PACK TRANQUILLITÉ AVANTAGE COPIEURS"/>
    <m/>
    <e v="#N/A"/>
    <e v="#N/A"/>
    <n v="97055"/>
    <s v="927401445"/>
    <s v="RICOH"/>
    <s v="Q4"/>
    <e v="#REF!"/>
    <e v="#REF!"/>
    <e v="#REF!"/>
  </r>
  <r>
    <s v="401000"/>
    <x v="6"/>
    <s v="FOURNISSEURS"/>
    <s v="AC"/>
    <n v="-247.74"/>
    <d v="2025-08-07T00:00:00"/>
    <s v="COÛT TRANSPORT"/>
    <s v="Non"/>
    <e v="#N/A"/>
    <e v="#N/A"/>
    <n v="81944"/>
    <s v="91250121"/>
    <s v="BIOTIKA"/>
    <s v="Q3"/>
    <e v="#REF!"/>
    <e v="#REF!"/>
    <e v="#REF!"/>
  </r>
  <r>
    <s v="401000"/>
    <x v="6"/>
    <s v="FOURNISSEURS"/>
    <s v="AC"/>
    <n v="-246.96"/>
    <d v="2025-02-15T00:00:00"/>
    <s v="Facture Ricoh DEC 2024 - FEV 25"/>
    <m/>
    <e v="#N/A"/>
    <e v="#N/A"/>
    <n v="80812"/>
    <m/>
    <s v="RICOH"/>
    <s v="Q1"/>
    <e v="#REF!"/>
    <e v="#REF!"/>
    <e v="#REF!"/>
  </r>
  <r>
    <s v="401000"/>
    <x v="6"/>
    <s v="FOURNISSEURS"/>
    <s v="AC"/>
    <n v="-246"/>
    <d v="2025-10-23T00:00:00"/>
    <s v="PARIS - FRANCFORT 251029"/>
    <m/>
    <e v="#N/A"/>
    <e v="#N/A"/>
    <n v="89635"/>
    <s v="29"/>
    <s v="SNCF"/>
    <s v="Q4"/>
    <e v="#REF!"/>
    <e v="#REF!"/>
    <e v="#REF!"/>
  </r>
  <r>
    <s v="401000"/>
    <x v="6"/>
    <s v="FOURNISSEURS"/>
    <s v="AC"/>
    <n v="-244.12"/>
    <d v="2025-10-14T00:00:00"/>
    <s v="BOOST POSTS LINKEDIN"/>
    <s v="Non"/>
    <s v="Non"/>
    <e v="#N/A"/>
    <n v="89615"/>
    <s v="20"/>
    <s v="LINKEDIN"/>
    <s v="Q4"/>
    <e v="#REF!"/>
    <e v="#REF!"/>
    <e v="#REF!"/>
  </r>
  <r>
    <s v="401000"/>
    <x v="6"/>
    <s v="FOURNISSEURS"/>
    <s v="AC"/>
    <n v="-243.98"/>
    <d v="2025-03-04T00:00:00"/>
    <s v="ACHAT TABLETTE POUR LE SERVICE SALES (+ HOUSSE DE PROTECTION)"/>
    <m/>
    <s v="Non"/>
    <e v="#N/A"/>
    <n v="66089"/>
    <s v="20"/>
    <s v="DIVERS"/>
    <s v="Q1"/>
    <e v="#REF!"/>
    <e v="#REF!"/>
    <e v="#REF!"/>
  </r>
  <r>
    <s v="401000"/>
    <x v="6"/>
    <s v="FOURNISSEURS"/>
    <s v="AC"/>
    <n v="-243.6"/>
    <d v="2025-07-22T00:00:00"/>
    <s v="COMMANDE CONSOMMABLE LABO"/>
    <m/>
    <e v="#N/A"/>
    <e v="#N/A"/>
    <n v="78931"/>
    <s v="4067777337"/>
    <s v="VWR AVANTOR"/>
    <s v="Q3"/>
    <e v="#REF!"/>
    <e v="#REF!"/>
    <e v="#REF!"/>
  </r>
  <r>
    <s v="401000"/>
    <x v="6"/>
    <s v="FOURNISSEURS"/>
    <s v="AC"/>
    <n v="-242.94"/>
    <d v="2025-12-31T00:00:00"/>
    <s v="FRAIS ET COMMISSIONS PRÉLEVÉS DU 29/11/2025 AU 31/12/2025"/>
    <m/>
    <e v="#N/A"/>
    <e v="#N/A"/>
    <n v="94309"/>
    <s v="25120000000000029134"/>
    <s v="Banque Populaire Rive de Paris"/>
    <s v="Q4"/>
    <e v="#REF!"/>
    <e v="#REF!"/>
    <e v="#REF!"/>
  </r>
  <r>
    <s v="401000"/>
    <x v="6"/>
    <s v="FOURNISSEURS"/>
    <s v="AC"/>
    <n v="-242.52"/>
    <d v="2025-03-31T00:00:00"/>
    <s v="FACTURE DE MARS 2025"/>
    <m/>
    <e v="#N/A"/>
    <e v="#N/A"/>
    <n v="67916"/>
    <s v="90034605"/>
    <s v="ORANGE"/>
    <s v="Q1"/>
    <e v="#REF!"/>
    <e v="#REF!"/>
    <e v="#REF!"/>
  </r>
  <r>
    <s v="401000"/>
    <x v="6"/>
    <s v="FOURNISSEURS"/>
    <s v="AC"/>
    <n v="-242.14"/>
    <d v="2025-02-04T00:00:00"/>
    <s v="ACCESSOIRE KL - FLACONS LAVEURS -  VERRERIE VILLERUBANNE"/>
    <m/>
    <s v="Non"/>
    <e v="#N/A"/>
    <n v="64540"/>
    <s v="10000516"/>
    <s v="DIVERS"/>
    <s v="Q1"/>
    <e v="#REF!"/>
    <e v="#REF!"/>
    <e v="#REF!"/>
  </r>
  <r>
    <s v="512100"/>
    <x v="6"/>
    <s v="BANQUE POPULAIRE RIVE DE PARIS"/>
    <s v="BPRI"/>
    <n v="-55"/>
    <d v="2025-11-17T00:00:00"/>
    <s v="/LIB/161125 CB    3583/LIB/SNCF-VOYAGEURS F/LIB/161125 CB    3583/LIB/SNCF-VOYAGEURS FR PARIS 10/LIB/55,00EUR 1 EURO   1,000000"/>
    <m/>
    <e v="#N/A"/>
    <e v="#N/A"/>
    <n v="90161"/>
    <m/>
    <s v="SNCF"/>
    <s v="Q4"/>
    <e v="#REF!"/>
    <e v="#REF!"/>
    <e v="#REF!"/>
  </r>
  <r>
    <s v="401000"/>
    <x v="6"/>
    <s v="FOURNISSEURS"/>
    <s v="AC"/>
    <n v="-241.33"/>
    <d v="2025-06-25T00:00:00"/>
    <s v="COPIEURS"/>
    <m/>
    <e v="#N/A"/>
    <e v="#N/A"/>
    <n v="78777"/>
    <s v="927157818"/>
    <s v="RICOH"/>
    <s v="Q2"/>
    <e v="#REF!"/>
    <e v="#REF!"/>
    <e v="#REF!"/>
  </r>
  <r>
    <s v="401000"/>
    <x v="6"/>
    <s v="FOURNISSEURS"/>
    <s v="AC"/>
    <n v="-241.08"/>
    <d v="2025-01-01T00:00:00"/>
    <s v="FACTURE  DÉCEMBRE 2024"/>
    <m/>
    <e v="#N/A"/>
    <e v="#N/A"/>
    <n v="76174"/>
    <s v="89030478"/>
    <s v="ORANGE"/>
    <s v="Q1"/>
    <e v="#REF!"/>
    <e v="#REF!"/>
    <e v="#REF!"/>
  </r>
  <r>
    <s v="401000"/>
    <x v="6"/>
    <s v="FOURNISSEURS"/>
    <s v="AC"/>
    <n v="-241.08"/>
    <d v="2025-01-31T00:00:00"/>
    <s v="FACTURE  JANVIER 2025"/>
    <m/>
    <e v="#N/A"/>
    <e v="#N/A"/>
    <n v="76180"/>
    <s v="89370326"/>
    <s v="ORANGE"/>
    <s v="Q1"/>
    <e v="#REF!"/>
    <e v="#REF!"/>
    <e v="#REF!"/>
  </r>
  <r>
    <s v="401000"/>
    <x v="6"/>
    <s v="FOURNISSEURS"/>
    <s v="AC"/>
    <n v="-240"/>
    <d v="2025-01-22T00:00:00"/>
    <s v="RECYCLAGE SST M.A.C.  31/01/2025 AU 31/01/2025"/>
    <m/>
    <s v="Non"/>
    <n v="0"/>
    <n v="61296"/>
    <s v="FA16211-20250122"/>
    <s v="CNFSE RECYCLAGE"/>
    <s v="Q1"/>
    <e v="#REF!"/>
    <e v="#REF!"/>
    <e v="#REF!"/>
  </r>
  <r>
    <s v="401000"/>
    <x v="6"/>
    <s v="FOURNISSEURS"/>
    <s v="AC"/>
    <n v="-240"/>
    <d v="2025-06-23T00:00:00"/>
    <s v="TRANSPORT OF MATERIAL FROM GBELY SK TO SLOVENSKÁ"/>
    <s v="Non"/>
    <e v="#N/A"/>
    <e v="#N/A"/>
    <n v="76610"/>
    <s v="91250084"/>
    <s v="BIOTIKA"/>
    <s v="Q2"/>
    <e v="#REF!"/>
    <e v="#REF!"/>
    <e v="#REF!"/>
  </r>
  <r>
    <s v="401000"/>
    <x v="6"/>
    <s v="FOURNISSEURS"/>
    <s v="AC"/>
    <n v="-240"/>
    <d v="2025-11-01T00:00:00"/>
    <s v="RÉDACTION FDS INDIGO EN FRANÇAIS ET ANGLAIS"/>
    <m/>
    <e v="#N/A"/>
    <e v="#N/A"/>
    <n v="91090"/>
    <s v="FA000262"/>
    <s v="LEGICHEM SERVICES"/>
    <s v="Q4"/>
    <e v="#REF!"/>
    <e v="#REF!"/>
    <e v="#REF!"/>
  </r>
  <r>
    <s v="401000"/>
    <x v="6"/>
    <s v="FOURNISSEURS"/>
    <s v="AC"/>
    <n v="-239.8"/>
    <d v="2025-02-05T00:00:00"/>
    <s v="DÉPLACEMENT À ROUSSILLON POUR BENOÎT ET ANTHONY POUR KEENY"/>
    <m/>
    <e v="#N/A"/>
    <e v="#N/A"/>
    <n v="61415"/>
    <s v="101"/>
    <s v="SNCF"/>
    <s v="Q1"/>
    <e v="#REF!"/>
    <e v="#REF!"/>
    <e v="#REF!"/>
  </r>
  <r>
    <s v="401000"/>
    <x v="6"/>
    <s v="FOURNISSEURS"/>
    <s v="AC"/>
    <n v="-239.14"/>
    <d v="2025-05-19T00:00:00"/>
    <s v="COMMANDE PRODUIT LABO"/>
    <m/>
    <e v="#N/A"/>
    <e v="#N/A"/>
    <n v="74439"/>
    <s v="4067723324"/>
    <s v="VWR AVANTOR"/>
    <s v="Q2"/>
    <e v="#REF!"/>
    <e v="#REF!"/>
    <e v="#REF!"/>
  </r>
  <r>
    <s v="401000"/>
    <x v="6"/>
    <s v="FOURNISSEURS"/>
    <s v="AC"/>
    <n v="-237.13"/>
    <d v="2025-02-03T00:00:00"/>
    <s v="ELECTRICITÉ KB"/>
    <m/>
    <e v="#N/A"/>
    <e v="#N/A"/>
    <n v="73660"/>
    <s v="5,20E+11"/>
    <s v="ENGIE"/>
    <s v="Q1"/>
    <e v="#REF!"/>
    <e v="#REF!"/>
    <e v="#REF!"/>
  </r>
  <r>
    <s v="401000"/>
    <x v="6"/>
    <s v="FOURNISSEURS"/>
    <s v="AC"/>
    <n v="-236.4"/>
    <d v="2025-09-26T00:00:00"/>
    <s v="COMMANDE PRODUIT KEENB"/>
    <m/>
    <e v="#N/A"/>
    <e v="#N/A"/>
    <n v="85136"/>
    <s v="4067827511"/>
    <s v="VWR AVANTOR"/>
    <s v="Q3"/>
    <e v="#REF!"/>
    <e v="#REF!"/>
    <e v="#REF!"/>
  </r>
  <r>
    <s v="401000"/>
    <x v="6"/>
    <s v="FOURNISSEURS"/>
    <s v="AC"/>
    <n v="-235.32"/>
    <d v="2025-02-25T00:00:00"/>
    <s v="RÉACTIFS DEV"/>
    <m/>
    <e v="#N/A"/>
    <e v="#N/A"/>
    <n v="64120"/>
    <s v="8053430930"/>
    <s v="Sigma-Aldrich chimie"/>
    <s v="Q1"/>
    <e v="#REF!"/>
    <e v="#REF!"/>
    <e v="#REF!"/>
  </r>
  <r>
    <s v="401000"/>
    <x v="6"/>
    <s v="FOURNISSEURS"/>
    <s v="AC"/>
    <n v="-235"/>
    <d v="2025-02-06T00:00:00"/>
    <s v="PHMÈTRE REF: 701012"/>
    <m/>
    <s v="Non"/>
    <e v="#N/A"/>
    <n v="61432"/>
    <s v="108"/>
    <s v="DIVERS"/>
    <s v="Q1"/>
    <e v="#REF!"/>
    <e v="#REF!"/>
    <e v="#REF!"/>
  </r>
  <r>
    <s v="401000"/>
    <x v="6"/>
    <s v="FOURNISSEURS"/>
    <s v="AC"/>
    <n v="-233.68"/>
    <d v="2025-06-20T00:00:00"/>
    <s v="COMMANDE DE ROUSSILLON : BESOIN DE MATÉRIEL SUPPLÉMENTAIRE (CAHIERS, CARTOUCHES, RUBAN, CLÉ USB) - CONTACT MARIE REZEAU - TEAMS"/>
    <m/>
    <e v="#N/A"/>
    <e v="#N/A"/>
    <n v="78048"/>
    <s v="31"/>
    <s v="BRUNEAU"/>
    <s v="Q2"/>
    <e v="#REF!"/>
    <e v="#REF!"/>
    <e v="#REF!"/>
  </r>
  <r>
    <s v="401000"/>
    <x v="6"/>
    <s v="FOURNISSEURS"/>
    <s v="AC"/>
    <n v="-233.11"/>
    <d v="2025-01-31T00:00:00"/>
    <s v="PAPIER TOILETTE, ESSUIE TOUT, LIQUIDE VAISSELLE, ETC."/>
    <m/>
    <e v="#N/A"/>
    <e v="#N/A"/>
    <n v="61357"/>
    <s v="77"/>
    <s v="BRUNEAU"/>
    <s v="Q1"/>
    <e v="#REF!"/>
    <e v="#REF!"/>
    <e v="#REF!"/>
  </r>
  <r>
    <s v="401000"/>
    <x v="6"/>
    <s v="FOURNISSEURS"/>
    <s v="AC"/>
    <n v="-231.65"/>
    <d v="2025-03-21T00:00:00"/>
    <s v="COPIEURS"/>
    <m/>
    <e v="#N/A"/>
    <e v="#N/A"/>
    <n v="81197"/>
    <s v="927033166"/>
    <s v="RICOH"/>
    <s v="Q1"/>
    <e v="#REF!"/>
    <e v="#REF!"/>
    <e v="#REF!"/>
  </r>
  <r>
    <s v="401000"/>
    <x v="6"/>
    <s v="FOURNISSEURS"/>
    <s v="AC"/>
    <n v="-230.89"/>
    <d v="2025-07-11T00:00:00"/>
    <s v="RACCORDS"/>
    <m/>
    <e v="#N/A"/>
    <e v="#N/A"/>
    <n v="80880"/>
    <s v="487047790"/>
    <s v="RS COMPONENT"/>
    <s v="Q3"/>
    <e v="#REF!"/>
    <e v="#REF!"/>
    <e v="#REF!"/>
  </r>
  <r>
    <s v="401000"/>
    <x v="6"/>
    <s v="FOURNISSEURS"/>
    <s v="AC"/>
    <n v="-230.49"/>
    <d v="2025-11-25T00:00:00"/>
    <s v="AIRBNB POUR CLÉMENT, LIONEL ET PIERRE À TOULOUSE POUR LE PS"/>
    <m/>
    <e v="#N/A"/>
    <e v="#N/A"/>
    <n v="91468"/>
    <s v="41"/>
    <s v="AIRBNB"/>
    <s v="Q4"/>
    <e v="#REF!"/>
    <e v="#REF!"/>
    <e v="#REF!"/>
  </r>
  <r>
    <s v="401000"/>
    <x v="6"/>
    <s v="FOURNISSEURS"/>
    <s v="AC"/>
    <n v="-229.06"/>
    <d v="2025-08-22T00:00:00"/>
    <s v="RACCORD DÉTENDEUR"/>
    <m/>
    <e v="#N/A"/>
    <e v="#N/A"/>
    <n v="81869"/>
    <s v="5800795390"/>
    <s v="AIR LIQUIDE"/>
    <s v="Q3"/>
    <e v="#REF!"/>
    <e v="#REF!"/>
    <e v="#REF!"/>
  </r>
  <r>
    <s v="401000"/>
    <x v="6"/>
    <s v="FOURNISSEURS"/>
    <s v="AC"/>
    <n v="-228.1"/>
    <d v="2025-02-28T00:00:00"/>
    <s v="ALPHAGAZ 1 AZOTE BOUTEILLE SMARTOP 50L 200 BAR"/>
    <m/>
    <e v="#N/A"/>
    <e v="#N/A"/>
    <n v="87006"/>
    <s v="5800405597"/>
    <s v="AIR LIQUIDE"/>
    <s v="Q1"/>
    <e v="#REF!"/>
    <e v="#REF!"/>
    <e v="#REF!"/>
  </r>
  <r>
    <s v="401000"/>
    <x v="6"/>
    <s v="FOURNISSEURS"/>
    <s v="AC"/>
    <n v="-228.1"/>
    <d v="2025-03-31T00:00:00"/>
    <s v="ALPHAGAZ 1 AZOTE BOUTEILLE SMARTOP 50L 200 BAR"/>
    <m/>
    <e v="#N/A"/>
    <e v="#N/A"/>
    <n v="67922"/>
    <s v="5800479122"/>
    <s v="AIR LIQUIDE"/>
    <s v="Q1"/>
    <e v="#REF!"/>
    <e v="#REF!"/>
    <e v="#REF!"/>
  </r>
  <r>
    <s v="401000"/>
    <x v="6"/>
    <s v="FOURNISSEURS"/>
    <s v="AC"/>
    <n v="-228.1"/>
    <d v="2025-03-31T00:00:00"/>
    <s v="ALPHAGAZ 1 AZOTE BOUTEILLE SMARTOP 50L 200 BAR"/>
    <m/>
    <e v="#N/A"/>
    <e v="#N/A"/>
    <n v="87018"/>
    <s v="5800479131"/>
    <s v="AIR LIQUIDE"/>
    <s v="Q1"/>
    <e v="#REF!"/>
    <e v="#REF!"/>
    <e v="#REF!"/>
  </r>
  <r>
    <s v="401000"/>
    <x v="6"/>
    <s v="FOURNISSEURS"/>
    <s v="AC"/>
    <n v="-228.1"/>
    <d v="2025-04-30T00:00:00"/>
    <s v="ALPHAGAZ 1 AZOTE BOUTEILLE SMARTOP 50L 200 BAR LIVRAISON INCLUSE JUSQU'À 8 EMBALLAGES"/>
    <m/>
    <e v="#N/A"/>
    <e v="#N/A"/>
    <n v="72657"/>
    <s v="5800552826"/>
    <s v="AIR LIQUIDE"/>
    <s v="Q2"/>
    <e v="#REF!"/>
    <e v="#REF!"/>
    <e v="#REF!"/>
  </r>
  <r>
    <s v="401000"/>
    <x v="6"/>
    <s v="FOURNISSEURS"/>
    <s v="AC"/>
    <n v="-228"/>
    <d v="2025-10-21T00:00:00"/>
    <s v="MIGRATION WINDOWS 11"/>
    <m/>
    <e v="#N/A"/>
    <e v="#N/A"/>
    <n v="87286"/>
    <s v="144835"/>
    <s v="ARESCOM"/>
    <s v="Q4"/>
    <e v="#REF!"/>
    <e v="#REF!"/>
    <e v="#REF!"/>
  </r>
  <r>
    <s v="401000"/>
    <x v="6"/>
    <s v="FOURNISSEURS"/>
    <s v="AC"/>
    <n v="-228"/>
    <d v="2025-11-24T00:00:00"/>
    <s v="PROJET VIDÉO - INSTALLATION FOND NOIR EN STUDIO"/>
    <m/>
    <e v="#N/A"/>
    <e v="#N/A"/>
    <n v="91957"/>
    <s v="2025 / 177"/>
    <s v="HIPOLITO"/>
    <s v="Q4"/>
    <e v="#REF!"/>
    <e v="#REF!"/>
    <e v="#REF!"/>
  </r>
  <r>
    <s v="401000"/>
    <x v="6"/>
    <s v="FOURNISSEURS"/>
    <s v="AC"/>
    <n v="-226.8"/>
    <d v="2025-06-30T00:00:00"/>
    <s v="CARTOUCHES POUR L'EAU DÉMINÉRALISÉE"/>
    <m/>
    <e v="#N/A"/>
    <e v="#N/A"/>
    <n v="78399"/>
    <s v="0188670"/>
    <s v="CLOUP"/>
    <s v="Q2"/>
    <e v="#REF!"/>
    <e v="#REF!"/>
    <e v="#REF!"/>
  </r>
  <r>
    <s v="401000"/>
    <x v="6"/>
    <s v="FOURNISSEURS"/>
    <s v="AC"/>
    <n v="-225.6"/>
    <d v="2025-11-24T00:00:00"/>
    <s v="IMPRESSION KAKÉMONO ROUSSILLON, PAYEMENT 50% À LA COMMANDE"/>
    <m/>
    <e v="#N/A"/>
    <e v="#N/A"/>
    <n v="95130"/>
    <s v="FACT-20251124-00849"/>
    <s v="LE DISPLAY FRANCAIS"/>
    <s v="Q4"/>
    <e v="#REF!"/>
    <e v="#REF!"/>
    <e v="#REF!"/>
  </r>
  <r>
    <s v="401000"/>
    <x v="6"/>
    <s v="FOURNISSEURS"/>
    <s v="AC"/>
    <n v="-223.02"/>
    <d v="2025-02-28T00:00:00"/>
    <s v="FACTURE COMPTE 63 36 37 23 (ROUSSILLON) LIGNES ANNE-SOPHIE, MAUD, YVES, THIBAULT"/>
    <m/>
    <e v="#N/A"/>
    <e v="#N/A"/>
    <n v="67817"/>
    <s v="7"/>
    <s v="ORANGE"/>
    <s v="Q1"/>
    <e v="#REF!"/>
    <e v="#REF!"/>
    <e v="#REF!"/>
  </r>
  <r>
    <s v="401000"/>
    <x v="6"/>
    <s v="FOURNISSEURS"/>
    <s v="AC"/>
    <n v="-222.48"/>
    <d v="2025-04-23T00:00:00"/>
    <s v="MAINTENANCE GERBEUR : RÉPARATION BOUTON MONTÉE-BAISSE"/>
    <m/>
    <e v="#N/A"/>
    <e v="#N/A"/>
    <n v="82268"/>
    <s v="8802106422"/>
    <s v="FENWICK-LINDE"/>
    <s v="Q2"/>
    <e v="#REF!"/>
    <e v="#REF!"/>
    <e v="#REF!"/>
  </r>
  <r>
    <s v="401000"/>
    <x v="6"/>
    <s v="FOURNISSEURS"/>
    <s v="AC"/>
    <n v="-220.4"/>
    <d v="2025-09-12T00:00:00"/>
    <s v="EXTENSION BREVET PHOENIX V20 AUX US"/>
    <s v="Non"/>
    <s v="Oui"/>
    <e v="#N/A"/>
    <n v="82344"/>
    <s v="254202"/>
    <s v="BECKER"/>
    <s v="Q3"/>
    <e v="#REF!"/>
    <e v="#REF!"/>
    <e v="#REF!"/>
  </r>
  <r>
    <s v="401000"/>
    <x v="6"/>
    <s v="FOURNISSEURS"/>
    <s v="AC"/>
    <n v="-220.32"/>
    <d v="2025-02-10T00:00:00"/>
    <s v="DIMETHYL SULFOXIDE 99%"/>
    <m/>
    <e v="#N/A"/>
    <e v="#N/A"/>
    <n v="64082"/>
    <s v="VRGG25-003327"/>
    <s v="ABCR"/>
    <s v="Q1"/>
    <e v="#REF!"/>
    <e v="#REF!"/>
    <e v="#REF!"/>
  </r>
  <r>
    <s v="401000"/>
    <x v="6"/>
    <s v="FOURNISSEURS"/>
    <s v="AC"/>
    <n v="-219.94"/>
    <d v="2025-08-07T00:00:00"/>
    <s v="COÛTS DE TRANSPORT ECHANTILLONS"/>
    <s v="Non"/>
    <e v="#N/A"/>
    <e v="#N/A"/>
    <n v="81952"/>
    <s v="91250123"/>
    <s v="BIOTIKA"/>
    <s v="Q3"/>
    <e v="#REF!"/>
    <e v="#REF!"/>
    <e v="#REF!"/>
  </r>
  <r>
    <s v="401000"/>
    <x v="6"/>
    <s v="FOURNISSEURS"/>
    <s v="AC"/>
    <n v="-218.75"/>
    <d v="2025-03-04T00:00:00"/>
    <s v="SOW (5 DAYS ) FOR DSP PROTOCOL"/>
    <s v="Non"/>
    <e v="#N/A"/>
    <e v="#N/A"/>
    <n v="72558"/>
    <s v="7348"/>
    <s v="DOTMATICS LIMITED"/>
    <s v="Q1"/>
    <e v="#REF!"/>
    <e v="#REF!"/>
    <e v="#REF!"/>
  </r>
  <r>
    <s v="401000"/>
    <x v="6"/>
    <s v="FOURNISSEURS"/>
    <s v="AC"/>
    <n v="-217.68"/>
    <d v="2025-11-21T00:00:00"/>
    <s v="METHYLATE DE SODIUM POUR KEENY STEP 1 + CUVES UV"/>
    <m/>
    <e v="#N/A"/>
    <e v="#N/A"/>
    <n v="91951"/>
    <s v="4175244732"/>
    <s v="FISHER SCIENTIFIC"/>
    <s v="Q4"/>
    <e v="#REF!"/>
    <e v="#REF!"/>
    <e v="#REF!"/>
  </r>
  <r>
    <s v="401000"/>
    <x v="6"/>
    <s v="FOURNISSEURS"/>
    <s v="AC"/>
    <n v="-216.24"/>
    <d v="2025-01-27T00:00:00"/>
    <s v="BARYUM HYDROXIYE OCTAHYDRATÉ  MIN. 98 %, EXTRA-PUR NAPHTHOL-1  MIN. 99 %"/>
    <m/>
    <e v="#N/A"/>
    <e v="#N/A"/>
    <n v="64016"/>
    <s v="4172396"/>
    <s v="ROTH SOCHIEL"/>
    <s v="Q1"/>
    <e v="#REF!"/>
    <e v="#REF!"/>
    <e v="#REF!"/>
  </r>
  <r>
    <s v="401000"/>
    <x v="6"/>
    <s v="FOURNISSEURS"/>
    <s v="AC"/>
    <n v="-215.2"/>
    <d v="2025-03-17T00:00:00"/>
    <s v="BILLETS ALLER-RETOUR POUR ROUSSILLON, VISITE HSE"/>
    <m/>
    <e v="#N/A"/>
    <e v="#N/A"/>
    <n v="65985"/>
    <s v="54"/>
    <s v="SNCF"/>
    <s v="Q1"/>
    <e v="#REF!"/>
    <e v="#REF!"/>
    <e v="#REF!"/>
  </r>
  <r>
    <s v="401000"/>
    <x v="6"/>
    <s v="FOURNISSEURS"/>
    <s v="AC"/>
    <n v="-214.03"/>
    <d v="2025-09-08T00:00:00"/>
    <s v="PORTANT POUR VÊTEMENTS"/>
    <m/>
    <e v="#N/A"/>
    <e v="#N/A"/>
    <n v="89579"/>
    <s v="3"/>
    <s v="LITFAD"/>
    <s v="Q3"/>
    <e v="#REF!"/>
    <e v="#REF!"/>
    <e v="#REF!"/>
  </r>
  <r>
    <s v="401000"/>
    <x v="6"/>
    <s v="FOURNISSEURS"/>
    <s v="AC"/>
    <n v="-213.71"/>
    <d v="2025-05-31T00:00:00"/>
    <s v="DHL EXPRESS"/>
    <m/>
    <e v="#N/A"/>
    <e v="#N/A"/>
    <n v="75180"/>
    <s v="TLSR003823467"/>
    <s v="DHL"/>
    <s v="Q2"/>
    <e v="#REF!"/>
    <e v="#REF!"/>
    <e v="#REF!"/>
  </r>
  <r>
    <s v="401000"/>
    <x v="6"/>
    <s v="FOURNISSEURS"/>
    <s v="AC"/>
    <n v="-213.45"/>
    <d v="2025-07-02T00:00:00"/>
    <s v="FLEXIBLE 10-12MM EVENTS POMPE À VIDE KL + CONSOMMABLE PILOTE"/>
    <m/>
    <e v="#N/A"/>
    <e v="#N/A"/>
    <n v="80850"/>
    <s v="10762"/>
    <s v="PTFE TUBE SHOP"/>
    <s v="Q3"/>
    <e v="#REF!"/>
    <e v="#REF!"/>
    <e v="#REF!"/>
  </r>
  <r>
    <s v="401000"/>
    <x v="6"/>
    <s v="FOURNISSEURS"/>
    <s v="AC"/>
    <n v="-212.8"/>
    <d v="2025-05-28T00:00:00"/>
    <s v="DÉPLACEMENT CHEMSPEC"/>
    <m/>
    <e v="#N/A"/>
    <e v="#N/A"/>
    <n v="77982"/>
    <s v="9"/>
    <s v="EUROPCAR"/>
    <s v="Q2"/>
    <e v="#REF!"/>
    <e v="#REF!"/>
    <e v="#REF!"/>
  </r>
  <r>
    <s v="401000"/>
    <x v="6"/>
    <s v="FOURNISSEURS"/>
    <s v="AC"/>
    <n v="-211.5"/>
    <d v="2025-04-09T00:00:00"/>
    <s v="PARIS TOULOUSE 250417"/>
    <m/>
    <e v="#N/A"/>
    <e v="#N/A"/>
    <n v="69763"/>
    <s v="2UC8H3, PRDLZM"/>
    <s v="SNCF"/>
    <s v="Q2"/>
    <e v="#REF!"/>
    <e v="#REF!"/>
    <e v="#REF!"/>
  </r>
  <r>
    <s v="401000"/>
    <x v="6"/>
    <s v="FOURNISSEURS"/>
    <s v="AC"/>
    <n v="-210.7"/>
    <d v="2025-01-01T00:00:00"/>
    <s v="BOUTEILLE GAZ SPÉCIAUX"/>
    <m/>
    <e v="#N/A"/>
    <e v="#N/A"/>
    <n v="76171"/>
    <s v="5800265918"/>
    <s v="AIR LIQUIDE"/>
    <s v="Q1"/>
    <e v="#REF!"/>
    <e v="#REF!"/>
    <e v="#REF!"/>
  </r>
  <r>
    <s v="401000"/>
    <x v="6"/>
    <s v="FOURNISSEURS"/>
    <s v="AC"/>
    <n v="-210"/>
    <d v="2025-02-05T00:00:00"/>
    <s v="COLONNE HPLC LABO ROUSSILLON"/>
    <m/>
    <e v="#N/A"/>
    <e v="#N/A"/>
    <n v="61410"/>
    <s v="CIFR-25000477"/>
    <s v="PHENOMENEX"/>
    <s v="Q1"/>
    <e v="#REF!"/>
    <e v="#REF!"/>
    <e v="#REF!"/>
  </r>
  <r>
    <s v="401000"/>
    <x v="6"/>
    <s v="FOURNISSEURS"/>
    <s v="AC"/>
    <n v="-210"/>
    <d v="2025-02-28T00:00:00"/>
    <s v="CHARIOT À PLATEAUX ROTILABO ACIER INOX. 18/0, AVEC 2 PLATEAUX"/>
    <m/>
    <e v="#N/A"/>
    <e v="#N/A"/>
    <n v="64131"/>
    <s v="4174305"/>
    <s v="ROTH SOCHIEL"/>
    <s v="Q1"/>
    <e v="#REF!"/>
    <e v="#REF!"/>
    <e v="#REF!"/>
  </r>
  <r>
    <s v="401000"/>
    <x v="6"/>
    <s v="FOURNISSEURS"/>
    <s v="AC"/>
    <n v="-209.16"/>
    <d v="2025-07-31T00:00:00"/>
    <s v="FOURNITURES DE BUREAU ET PETIT CONSOMMABLE"/>
    <m/>
    <e v="#N/A"/>
    <e v="#N/A"/>
    <n v="82181"/>
    <s v="26.282.179"/>
    <s v="BRUNEAU"/>
    <s v="Q3"/>
    <e v="#REF!"/>
    <e v="#REF!"/>
    <e v="#REF!"/>
  </r>
  <r>
    <s v="401000"/>
    <x v="6"/>
    <s v="FOURNISSEURS"/>
    <s v="AC"/>
    <n v="-206.28"/>
    <d v="2025-01-09T00:00:00"/>
    <s v="MONARCH DNA CLEANUP COLUMNS ( SITE DE TOULOUSE)"/>
    <m/>
    <e v="#N/A"/>
    <e v="#N/A"/>
    <n v="61243"/>
    <s v="5138554"/>
    <s v="BIOLABS"/>
    <s v="Q1"/>
    <e v="#REF!"/>
    <e v="#REF!"/>
    <e v="#REF!"/>
  </r>
  <r>
    <s v="401000"/>
    <x v="6"/>
    <s v="FOURNISSEURS"/>
    <s v="AC"/>
    <n v="-204.67"/>
    <d v="2025-04-04T00:00:00"/>
    <s v="KIT SULFITE (11741014) ET RACCORD (10430464)"/>
    <m/>
    <e v="#N/A"/>
    <e v="#N/A"/>
    <n v="69709"/>
    <s v="36"/>
    <s v="FISHER SCIENTIFIC"/>
    <s v="Q2"/>
    <e v="#REF!"/>
    <e v="#REF!"/>
    <e v="#REF!"/>
  </r>
  <r>
    <s v="401000"/>
    <x v="6"/>
    <s v="FOURNISSEURS"/>
    <s v="AC"/>
    <n v="-202.68"/>
    <d v="2025-02-28T00:00:00"/>
    <s v="VÉRIFICATION PÉRIODIQUE GERBEUR ÉLECTRIQUE"/>
    <m/>
    <e v="#N/A"/>
    <e v="#N/A"/>
    <n v="61560"/>
    <s v="VE/2025/00637"/>
    <s v="ACRITEC"/>
    <s v="Q1"/>
    <e v="#REF!"/>
    <e v="#REF!"/>
    <e v="#REF!"/>
  </r>
  <r>
    <s v="401000"/>
    <x v="6"/>
    <s v="FOURNISSEURS"/>
    <s v="AC"/>
    <n v="-201.24"/>
    <d v="2025-01-29T00:00:00"/>
    <s v="COMMANDE AUTOMATIQUE CAFÉ ET ACCESSOIRES"/>
    <m/>
    <e v="#N/A"/>
    <e v="#N/A"/>
    <n v="61332"/>
    <s v="I0000418"/>
    <s v="CAWATOES"/>
    <s v="Q1"/>
    <e v="#REF!"/>
    <e v="#REF!"/>
    <e v="#REF!"/>
  </r>
  <r>
    <s v="401000"/>
    <x v="6"/>
    <s v="FOURNISSEURS"/>
    <s v="AC"/>
    <n v="-201.24"/>
    <d v="2025-02-24T00:00:00"/>
    <s v="ABONNEMENT CAFÉ"/>
    <m/>
    <e v="#N/A"/>
    <e v="#N/A"/>
    <n v="68962"/>
    <s v="I0000575"/>
    <s v="CAWATOES"/>
    <s v="Q1"/>
    <e v="#REF!"/>
    <e v="#REF!"/>
    <e v="#REF!"/>
  </r>
  <r>
    <s v="401000"/>
    <x v="6"/>
    <s v="FOURNISSEURS"/>
    <s v="AC"/>
    <n v="-200.94"/>
    <d v="2025-06-30T00:00:00"/>
    <s v="TRANSPORT PRODUITS POUR ESSAIS 2 CHEZ ROUSSELET"/>
    <m/>
    <e v="#N/A"/>
    <e v="#N/A"/>
    <n v="78380"/>
    <s v="2506225"/>
    <s v="FILHOL"/>
    <s v="Q2"/>
    <e v="#REF!"/>
    <e v="#REF!"/>
    <e v="#REF!"/>
  </r>
  <r>
    <s v="401000"/>
    <x v="6"/>
    <s v="FOURNISSEURS"/>
    <s v="AC"/>
    <n v="-199.9"/>
    <d v="2025-09-26T00:00:00"/>
    <s v="PARIS ROUSSILLON 29/09/2025"/>
    <m/>
    <e v="#N/A"/>
    <e v="#N/A"/>
    <n v="91385"/>
    <s v="4"/>
    <s v="SNCF"/>
    <s v="Q3"/>
    <e v="#REF!"/>
    <e v="#REF!"/>
    <e v="#REF!"/>
  </r>
  <r>
    <s v="401000"/>
    <x v="6"/>
    <s v="FOURNISSEURS"/>
    <s v="AC"/>
    <n v="-199.33"/>
    <d v="2025-02-14T00:00:00"/>
    <s v="FOURNITURES ET CONSOMMABLES (ESSUIE-TOUT, PAPIER TOILETTE, PILES, CISEAUX, ...)"/>
    <m/>
    <e v="#N/A"/>
    <e v="#N/A"/>
    <n v="61493"/>
    <s v="131"/>
    <s v="BRUNEAU"/>
    <s v="Q1"/>
    <e v="#REF!"/>
    <e v="#REF!"/>
    <e v="#REF!"/>
  </r>
  <r>
    <s v="401000"/>
    <x v="6"/>
    <s v="FOURNISSEURS"/>
    <s v="AC"/>
    <n v="-198.28"/>
    <d v="2025-02-19T00:00:00"/>
    <s v="2.5LT METHANOL CHROMASOLV, GRADIENT GRADE, FOR HPL"/>
    <m/>
    <e v="#N/A"/>
    <e v="#N/A"/>
    <n v="64103"/>
    <s v="4174862464"/>
    <s v="FISHER SCIENTIFIC"/>
    <s v="Q1"/>
    <e v="#REF!"/>
    <e v="#REF!"/>
    <e v="#REF!"/>
  </r>
  <r>
    <s v="401000"/>
    <x v="6"/>
    <s v="FOURNISSEURS"/>
    <s v="AC"/>
    <n v="-198"/>
    <d v="2025-02-21T00:00:00"/>
    <s v="PARIS BXL"/>
    <m/>
    <s v="Non"/>
    <e v="#N/A"/>
    <n v="64551"/>
    <s v="6"/>
    <s v="DIVERS"/>
    <s v="Q1"/>
    <e v="#REF!"/>
    <e v="#REF!"/>
    <e v="#REF!"/>
  </r>
  <r>
    <s v="401000"/>
    <x v="6"/>
    <s v="FOURNISSEURS"/>
    <s v="AC"/>
    <n v="-198"/>
    <d v="2025-07-29T00:00:00"/>
    <s v="ENTRÉE ÉVÉNEMENT CHEMDAY"/>
    <m/>
    <e v="#N/A"/>
    <e v="#N/A"/>
    <n v="80898"/>
    <s v="22"/>
    <s v="CHIMIE PROMOTION"/>
    <s v="Q3"/>
    <e v="#REF!"/>
    <e v="#REF!"/>
    <e v="#REF!"/>
  </r>
  <r>
    <s v="401000"/>
    <x v="6"/>
    <s v="FOURNISSEURS"/>
    <s v="AC"/>
    <n v="-198"/>
    <d v="2025-07-31T00:00:00"/>
    <s v="ATTESTATION BPI JUILLET 2025"/>
    <s v="Non"/>
    <s v="Non"/>
    <e v="#N/A"/>
    <n v="82712"/>
    <s v="EXP0007955"/>
    <s v="F2P AUDIT &amp; CONSEIL"/>
    <s v="Q3"/>
    <e v="#REF!"/>
    <e v="#REF!"/>
    <e v="#REF!"/>
  </r>
  <r>
    <s v="401000"/>
    <x v="6"/>
    <s v="FOURNISSEURS"/>
    <s v="AC"/>
    <n v="-195.54"/>
    <d v="2025-10-23T00:00:00"/>
    <s v="RÉAPPROVISIONNEMENT DES STOCKS DE PETIT CONSOMMABLE  GANTS DE MÉNAGE (POUR NOTRE TECHNICIEN ABEL) PRODUIT WC  RECHARGES SWIFFER"/>
    <m/>
    <e v="#N/A"/>
    <e v="#N/A"/>
    <n v="89637"/>
    <s v="30"/>
    <s v="BRUNEAU"/>
    <s v="Q4"/>
    <e v="#REF!"/>
    <e v="#REF!"/>
    <e v="#REF!"/>
  </r>
  <r>
    <s v="401000"/>
    <x v="6"/>
    <s v="FOURNISSEURS"/>
    <s v="AC"/>
    <n v="-195.36"/>
    <d v="2025-03-06T00:00:00"/>
    <s v="COMMANDE PRODUIT KEENB"/>
    <m/>
    <e v="#N/A"/>
    <e v="#N/A"/>
    <n v="65972"/>
    <s v="8053436660"/>
    <s v="Sigma-Aldrich chimie"/>
    <s v="Q1"/>
    <e v="#REF!"/>
    <e v="#REF!"/>
    <e v="#REF!"/>
  </r>
  <r>
    <s v="401000"/>
    <x v="6"/>
    <s v="FOURNISSEURS"/>
    <s v="AC"/>
    <n v="-194.88"/>
    <d v="2025-10-28T00:00:00"/>
    <s v="CONSOMMABLES LABO"/>
    <m/>
    <e v="#N/A"/>
    <e v="#N/A"/>
    <n v="89877"/>
    <s v="4067855750"/>
    <s v="VWR AVANTOR"/>
    <s v="Q4"/>
    <e v="#REF!"/>
    <e v="#REF!"/>
    <e v="#REF!"/>
  </r>
  <r>
    <s v="401000"/>
    <x v="6"/>
    <s v="FOURNISSEURS"/>
    <s v="AC"/>
    <n v="-194.2"/>
    <d v="2025-06-16T00:00:00"/>
    <s v="ACHAT BILLET TRAIN + LOGEMENT"/>
    <m/>
    <e v="#N/A"/>
    <e v="#N/A"/>
    <n v="78031"/>
    <s v="26"/>
    <s v="SNCF"/>
    <s v="Q2"/>
    <e v="#REF!"/>
    <e v="#REF!"/>
    <e v="#REF!"/>
  </r>
  <r>
    <s v="401000"/>
    <x v="6"/>
    <s v="FOURNISSEURS"/>
    <s v="AC"/>
    <n v="-194.04"/>
    <d v="2025-07-01T00:00:00"/>
    <s v="COMMANDE CONSOMMABLE LABO"/>
    <m/>
    <e v="#N/A"/>
    <e v="#N/A"/>
    <n v="77320"/>
    <s v="4067761026"/>
    <s v="VWR AVANTOR"/>
    <s v="Q3"/>
    <e v="#REF!"/>
    <e v="#REF!"/>
    <e v="#REF!"/>
  </r>
  <r>
    <s v="401000"/>
    <x v="6"/>
    <s v="FOURNISSEURS"/>
    <s v="AC"/>
    <n v="-194"/>
    <d v="2025-10-21T00:00:00"/>
    <s v="PARIS TOULOUSE 251029"/>
    <m/>
    <e v="#N/A"/>
    <e v="#N/A"/>
    <n v="89625"/>
    <s v="25"/>
    <s v="SNCF"/>
    <s v="Q4"/>
    <e v="#REF!"/>
    <e v="#REF!"/>
    <e v="#REF!"/>
  </r>
  <r>
    <s v="401000"/>
    <x v="6"/>
    <s v="FOURNISSEURS"/>
    <s v="AC"/>
    <n v="-193.69"/>
    <d v="2025-01-31T00:00:00"/>
    <s v="Frais bancaires BPRI 01/2025"/>
    <m/>
    <e v="#N/A"/>
    <e v="#N/A"/>
    <n v="82835"/>
    <m/>
    <s v="Banque Populaire Rive de Paris"/>
    <s v="Q1"/>
    <e v="#REF!"/>
    <e v="#REF!"/>
    <e v="#REF!"/>
  </r>
  <r>
    <s v="401000"/>
    <x v="6"/>
    <s v="FOURNISSEURS"/>
    <s v="AC"/>
    <n v="-191"/>
    <d v="2025-12-02T00:00:00"/>
    <s v="PARIS TOULOUSE 2451211"/>
    <m/>
    <e v="#N/A"/>
    <e v="#N/A"/>
    <n v="93923"/>
    <s v="3"/>
    <s v="SNCF"/>
    <s v="Q4"/>
    <e v="#REF!"/>
    <e v="#REF!"/>
    <e v="#REF!"/>
  </r>
  <r>
    <s v="401000"/>
    <x v="6"/>
    <s v="FOURNISSEURS"/>
    <s v="AC"/>
    <n v="-189.6"/>
    <d v="2025-11-28T00:00:00"/>
    <s v="SOLVANTS POUR TESTS DÉCOLO CHIC + KEENY"/>
    <m/>
    <e v="#N/A"/>
    <e v="#N/A"/>
    <n v="91980"/>
    <s v="4185754"/>
    <s v="ROTH SOCHIEL"/>
    <s v="Q4"/>
    <e v="#REF!"/>
    <e v="#REF!"/>
    <e v="#REF!"/>
  </r>
  <r>
    <s v="401000"/>
    <x v="6"/>
    <s v="FOURNISSEURS"/>
    <s v="AC"/>
    <n v="-188.62"/>
    <d v="2025-03-31T00:00:00"/>
    <s v="FACTURE - CONCERNE LES 4 DERNIÈRES LIGNES ROUSSILLON  COMPTE 633 63 723 - MANDAT SEPA EN TRAITEMENT CHEZ ORANGE POUR PRÉLÈVEMENT"/>
    <m/>
    <e v="#N/A"/>
    <e v="#N/A"/>
    <n v="72589"/>
    <s v="89927071"/>
    <s v="ORANGE"/>
    <s v="Q1"/>
    <e v="#REF!"/>
    <e v="#REF!"/>
    <e v="#REF!"/>
  </r>
  <r>
    <s v="401000"/>
    <x v="6"/>
    <s v="FOURNISSEURS"/>
    <s v="AC"/>
    <n v="-188.58"/>
    <d v="2025-01-01T00:00:00"/>
    <s v="COMMANDE RÉCURRENTE CAFÉ"/>
    <m/>
    <e v="#N/A"/>
    <e v="#N/A"/>
    <n v="59833"/>
    <s v="I0000105"/>
    <s v="CAWATOES"/>
    <s v="Q1"/>
    <e v="#REF!"/>
    <e v="#REF!"/>
    <e v="#REF!"/>
  </r>
  <r>
    <s v="401000"/>
    <x v="6"/>
    <s v="FOURNISSEURS"/>
    <s v="AC"/>
    <n v="-188.55"/>
    <d v="2025-03-11T00:00:00"/>
    <s v="TRANSPORT COSTS"/>
    <s v="Non"/>
    <e v="#N/A"/>
    <e v="#N/A"/>
    <n v="66091"/>
    <s v="91250018"/>
    <s v="BIOTIKA"/>
    <s v="Q1"/>
    <e v="#REF!"/>
    <e v="#REF!"/>
    <e v="#REF!"/>
  </r>
  <r>
    <s v="401000"/>
    <x v="6"/>
    <s v="FOURNISSEURS"/>
    <s v="AC"/>
    <n v="-188.52"/>
    <d v="2025-02-10T00:00:00"/>
    <s v="SODIUM CARBONATE, 98%"/>
    <m/>
    <e v="#N/A"/>
    <e v="#N/A"/>
    <n v="64085"/>
    <s v="4067634589"/>
    <s v="VWR AVANTOR"/>
    <s v="Q1"/>
    <e v="#REF!"/>
    <e v="#REF!"/>
    <e v="#REF!"/>
  </r>
  <r>
    <s v="401000"/>
    <x v="6"/>
    <s v="FOURNISSEURS"/>
    <s v="AC"/>
    <n v="-188.4"/>
    <d v="2025-01-29T00:00:00"/>
    <s v="INSTALLATION DU NOUVEAU POSTE À DISTANCE INSTALLATION DE L'AGENT DE SUPERVISIONS INSTALLATION DE L' ANTIVIRUS ENREGISTREMENT DAN"/>
    <m/>
    <e v="#N/A"/>
    <e v="#N/A"/>
    <n v="61335"/>
    <s v="140136"/>
    <s v="ARESCOM"/>
    <s v="Q1"/>
    <e v="#REF!"/>
    <e v="#REF!"/>
    <e v="#REF!"/>
  </r>
  <r>
    <s v="401000"/>
    <x v="6"/>
    <s v="FOURNISSEURS"/>
    <s v="AC"/>
    <n v="-188"/>
    <d v="2025-11-14T00:00:00"/>
    <s v="PARIS-TOULOUSE 251118"/>
    <m/>
    <e v="#N/A"/>
    <e v="#N/A"/>
    <n v="91440"/>
    <s v="28"/>
    <s v="SNCF"/>
    <s v="Q4"/>
    <e v="#REF!"/>
    <e v="#REF!"/>
    <e v="#REF!"/>
  </r>
  <r>
    <s v="401000"/>
    <x v="6"/>
    <s v="FOURNISSEURS"/>
    <s v="AC"/>
    <n v="-187.65"/>
    <d v="2025-12-02T00:00:00"/>
    <s v="DÉPLACEMENT TOULOUSE"/>
    <m/>
    <e v="#N/A"/>
    <e v="#N/A"/>
    <n v="95133"/>
    <s v="2"/>
    <s v="AIRBNB"/>
    <s v="Q4"/>
    <e v="#REF!"/>
    <e v="#REF!"/>
    <e v="#REF!"/>
  </r>
  <r>
    <s v="401000"/>
    <x v="6"/>
    <s v="FOURNISSEURS"/>
    <s v="AC"/>
    <n v="-187.05"/>
    <d v="2025-06-06T00:00:00"/>
    <s v="CONSOMMABLE ET ENTRETIEN"/>
    <m/>
    <e v="#N/A"/>
    <e v="#N/A"/>
    <n v="78005"/>
    <s v="17"/>
    <s v="LA FOURCHE"/>
    <s v="Q2"/>
    <e v="#REF!"/>
    <e v="#REF!"/>
    <e v="#REF!"/>
  </r>
  <r>
    <s v="401000"/>
    <x v="6"/>
    <s v="FOURNISSEURS"/>
    <s v="AC"/>
    <n v="-186.42"/>
    <d v="2025-05-06T00:00:00"/>
    <s v="DODÉCYLSULFATE SEL DE SODIUM LAB"/>
    <m/>
    <e v="#N/A"/>
    <e v="#N/A"/>
    <n v="72694"/>
    <s v="4067713927"/>
    <s v="VWR AVANTOR"/>
    <s v="Q2"/>
    <e v="#REF!"/>
    <e v="#REF!"/>
    <e v="#REF!"/>
  </r>
  <r>
    <s v="401000"/>
    <x v="6"/>
    <s v="FOURNISSEURS"/>
    <s v="AC"/>
    <n v="-186.02"/>
    <d v="2025-10-13T00:00:00"/>
    <s v="FLEXIBLE PU ANTISTATIQUE POUR RACCORDEMENT EN AIR DES VANNES TOR CADENAS DISJONCTEUR"/>
    <m/>
    <e v="#N/A"/>
    <e v="#N/A"/>
    <n v="89607"/>
    <s v="17"/>
    <s v="RS COMPONENT"/>
    <s v="Q4"/>
    <e v="#REF!"/>
    <e v="#REF!"/>
    <e v="#REF!"/>
  </r>
  <r>
    <s v="401000"/>
    <x v="6"/>
    <s v="FOURNISSEURS"/>
    <s v="AC"/>
    <n v="-186"/>
    <d v="2025-05-17T00:00:00"/>
    <s v="PARIS TOULOUSE"/>
    <m/>
    <e v="#N/A"/>
    <e v="#N/A"/>
    <n v="77976"/>
    <s v="6"/>
    <s v="SNCF"/>
    <s v="Q2"/>
    <e v="#REF!"/>
    <e v="#REF!"/>
    <e v="#REF!"/>
  </r>
  <r>
    <s v="401000"/>
    <x v="6"/>
    <s v="FOURNISSEURS"/>
    <s v="AC"/>
    <n v="-184.75"/>
    <d v="2025-04-10T00:00:00"/>
    <s v="CONSOMMABLES LABO R."/>
    <m/>
    <e v="#N/A"/>
    <e v="#N/A"/>
    <n v="69768"/>
    <s v="4176538"/>
    <s v="ROTH SOCHIEL"/>
    <s v="Q2"/>
    <e v="#REF!"/>
    <e v="#REF!"/>
    <e v="#REF!"/>
  </r>
  <r>
    <s v="401000"/>
    <x v="6"/>
    <s v="FOURNISSEURS"/>
    <s v="AC"/>
    <n v="-184.32"/>
    <d v="2025-07-31T00:00:00"/>
    <s v="CLARINETTE POUR KL"/>
    <m/>
    <e v="#N/A"/>
    <e v="#N/A"/>
    <n v="82281"/>
    <s v="14003587"/>
    <s v="OPTIMUS"/>
    <s v="Q3"/>
    <e v="#REF!"/>
    <e v="#REF!"/>
    <e v="#REF!"/>
  </r>
  <r>
    <s v="401000"/>
    <x v="6"/>
    <s v="FOURNISSEURS"/>
    <s v="AC"/>
    <n v="-183.02"/>
    <d v="2025-01-31T00:00:00"/>
    <s v="ORANGE ROUSSILLON"/>
    <m/>
    <e v="#N/A"/>
    <e v="#N/A"/>
    <n v="73645"/>
    <s v="89376299"/>
    <s v="ORANGE"/>
    <s v="Q1"/>
    <e v="#REF!"/>
    <e v="#REF!"/>
    <e v="#REF!"/>
  </r>
  <r>
    <s v="401000"/>
    <x v="6"/>
    <s v="FOURNISSEURS"/>
    <s v="AC"/>
    <n v="-182.93"/>
    <d v="2025-02-14T00:00:00"/>
    <s v="VOYAGE À TOULOUSE"/>
    <m/>
    <e v="#N/A"/>
    <e v="#N/A"/>
    <n v="64545"/>
    <s v="3"/>
    <s v="AIRBNB"/>
    <s v="Q1"/>
    <e v="#REF!"/>
    <e v="#REF!"/>
    <e v="#REF!"/>
  </r>
  <r>
    <s v="401000"/>
    <x v="6"/>
    <s v="FOURNISSEURS"/>
    <s v="AC"/>
    <n v="-182.88"/>
    <d v="2025-11-20T00:00:00"/>
    <s v="ISOPROPYLACETATE POUR TESTS DÉCOLORATION CHIC"/>
    <m/>
    <e v="#N/A"/>
    <e v="#N/A"/>
    <n v="91945"/>
    <s v="8053576312"/>
    <s v="Sigma-Aldrich chimie"/>
    <s v="Q4"/>
    <e v="#REF!"/>
    <e v="#REF!"/>
    <e v="#REF!"/>
  </r>
  <r>
    <s v="401000"/>
    <x v="6"/>
    <s v="FOURNISSEURS"/>
    <s v="AC"/>
    <n v="-182.39"/>
    <d v="2025-10-15T00:00:00"/>
    <s v="BOOST POSTS LINKEDIN"/>
    <s v="Non"/>
    <s v="Non"/>
    <e v="#N/A"/>
    <n v="89619"/>
    <s v="22"/>
    <s v="LINKEDIN"/>
    <s v="Q4"/>
    <e v="#REF!"/>
    <e v="#REF!"/>
    <e v="#REF!"/>
  </r>
  <r>
    <s v="401000"/>
    <x v="6"/>
    <s v="FOURNISSEURS"/>
    <s v="AC"/>
    <n v="-181.86"/>
    <d v="2025-06-30T00:00:00"/>
    <s v="IMMOBILISATION BOUTEILLE GAZ SPÉCIAUX LOCATION BOUTEILLE GAZ SPÉCIAUX"/>
    <m/>
    <e v="#N/A"/>
    <e v="#N/A"/>
    <n v="78411"/>
    <s v="5800692918"/>
    <s v="AIR LIQUIDE"/>
    <s v="Q2"/>
    <e v="#REF!"/>
    <e v="#REF!"/>
    <e v="#REF!"/>
  </r>
  <r>
    <s v="401000"/>
    <x v="6"/>
    <s v="FOURNISSEURS"/>
    <s v="AC"/>
    <n v="-181.54"/>
    <d v="2025-09-17T00:00:00"/>
    <s v="ALLER BIOTIKA AP"/>
    <m/>
    <s v="Non"/>
    <e v="#N/A"/>
    <n v="83009"/>
    <s v="32"/>
    <s v="DIVERS"/>
    <s v="Q3"/>
    <e v="#REF!"/>
    <e v="#REF!"/>
    <e v="#REF!"/>
  </r>
  <r>
    <s v="401000"/>
    <x v="6"/>
    <s v="FOURNISSEURS"/>
    <s v="AC"/>
    <n v="-181.54"/>
    <d v="2025-09-17T00:00:00"/>
    <s v="BIOTIKA AGREEMENT VI - VOL ALLER EMILIE"/>
    <m/>
    <e v="#N/A"/>
    <e v="#N/A"/>
    <n v="83011"/>
    <s v="225004331685"/>
    <s v="AIRLINES"/>
    <s v="Q3"/>
    <e v="#REF!"/>
    <e v="#REF!"/>
    <e v="#REF!"/>
  </r>
  <r>
    <s v="401000"/>
    <x v="6"/>
    <s v="FOURNISSEURS"/>
    <s v="AC"/>
    <n v="-181.2"/>
    <d v="2025-03-14T00:00:00"/>
    <s v="ENTONNOIR SECURITE PEHD"/>
    <m/>
    <e v="#N/A"/>
    <e v="#N/A"/>
    <n v="66103"/>
    <s v="187095"/>
    <s v="CLOUP"/>
    <s v="Q1"/>
    <e v="#REF!"/>
    <e v="#REF!"/>
    <e v="#REF!"/>
  </r>
  <r>
    <s v="401000"/>
    <x v="6"/>
    <s v="FOURNISSEURS"/>
    <s v="AC"/>
    <n v="-180"/>
    <d v="2025-06-04T00:00:00"/>
    <s v="DEMANDE DE BREVET EN INDE (ÉTAT DE LA FAMILLE) - BREVET PHOENIX"/>
    <s v="Non"/>
    <s v="Oui"/>
    <e v="#N/A"/>
    <n v="76106"/>
    <s v="252550"/>
    <s v="BECKER"/>
    <s v="Q2"/>
    <e v="#REF!"/>
    <e v="#REF!"/>
    <e v="#REF!"/>
  </r>
  <r>
    <s v="401000"/>
    <x v="6"/>
    <s v="FOURNISSEURS"/>
    <s v="AC"/>
    <n v="-179.93"/>
    <d v="2025-01-15T00:00:00"/>
    <s v="Facture Ricoh SEP 2024 - NOV 24"/>
    <m/>
    <e v="#N/A"/>
    <e v="#N/A"/>
    <n v="80816"/>
    <m/>
    <s v="RICOH"/>
    <s v="Q1"/>
    <e v="#REF!"/>
    <e v="#REF!"/>
    <e v="#REF!"/>
  </r>
  <r>
    <s v="401000"/>
    <x v="6"/>
    <s v="FOURNISSEURS"/>
    <s v="AC"/>
    <n v="-178.8"/>
    <d v="2025-05-24T00:00:00"/>
    <s v="PRODUITS POUR VBIO ET V2020 AMINOIMINOMETHANESULFINIC ACID IRON II SULFATE HEPTAHYDRATE"/>
    <m/>
    <e v="#N/A"/>
    <e v="#N/A"/>
    <n v="78364"/>
    <s v="4"/>
    <s v="Sigma-Aldrich chimie"/>
    <s v="Q2"/>
    <e v="#REF!"/>
    <e v="#REF!"/>
    <e v="#REF!"/>
  </r>
  <r>
    <s v="401000"/>
    <x v="6"/>
    <s v="FOURNISSEURS"/>
    <s v="AC"/>
    <n v="-178.61"/>
    <d v="2025-02-28T00:00:00"/>
    <s v="BOUTEILLE GAZ SPÉCIAUX"/>
    <m/>
    <e v="#N/A"/>
    <e v="#N/A"/>
    <n v="76183"/>
    <s v="5800408744"/>
    <s v="AIR LIQUIDE"/>
    <s v="Q1"/>
    <e v="#REF!"/>
    <e v="#REF!"/>
    <e v="#REF!"/>
  </r>
  <r>
    <s v="401000"/>
    <x v="6"/>
    <s v="FOURNISSEURS"/>
    <s v="AC"/>
    <n v="-178.61"/>
    <d v="2025-04-30T00:00:00"/>
    <s v="IMMOBILISATION BOUTEILLE GAZ SPÉCIAUX  LOCATION BOUTEILLE GAZ SPÉCIAUX"/>
    <m/>
    <e v="#N/A"/>
    <e v="#N/A"/>
    <n v="72635"/>
    <s v="5800549781"/>
    <s v="AIR LIQUIDE"/>
    <s v="Q2"/>
    <e v="#REF!"/>
    <e v="#REF!"/>
    <e v="#REF!"/>
  </r>
  <r>
    <s v="401000"/>
    <x v="6"/>
    <s v="FOURNISSEURS"/>
    <s v="AC"/>
    <n v="-178.61"/>
    <d v="2025-06-30T00:00:00"/>
    <s v="LOCATION BOUTEILLE GAZ SPÉCIAUX SMART"/>
    <m/>
    <e v="#N/A"/>
    <e v="#N/A"/>
    <n v="78390"/>
    <s v="5800692163"/>
    <s v="AIR LIQUIDE"/>
    <s v="Q2"/>
    <e v="#REF!"/>
    <e v="#REF!"/>
    <e v="#REF!"/>
  </r>
  <r>
    <s v="401000"/>
    <x v="6"/>
    <s v="FOURNISSEURS"/>
    <s v="AC"/>
    <n v="-178.61"/>
    <d v="2025-08-31T00:00:00"/>
    <s v="LOCATION BOUTEILLE GAZ SPÉCIAUX SMART"/>
    <m/>
    <e v="#N/A"/>
    <e v="#N/A"/>
    <n v="81880"/>
    <s v="5800831067"/>
    <s v="AIR LIQUIDE"/>
    <s v="Q3"/>
    <e v="#REF!"/>
    <e v="#REF!"/>
    <e v="#REF!"/>
  </r>
  <r>
    <s v="401000"/>
    <x v="6"/>
    <s v="FOURNISSEURS"/>
    <s v="AC"/>
    <n v="-178.61"/>
    <d v="2025-11-30T00:00:00"/>
    <s v="LOCATION BOUTEILLE GAZ SPÉCIAUX SMART"/>
    <m/>
    <e v="#N/A"/>
    <e v="#N/A"/>
    <n v="94945"/>
    <s v="5801057271"/>
    <s v="AIR LIQUIDE"/>
    <s v="Q4"/>
    <e v="#REF!"/>
    <e v="#REF!"/>
    <e v="#REF!"/>
  </r>
  <r>
    <s v="401000"/>
    <x v="6"/>
    <s v="FOURNISSEURS"/>
    <s v="AC"/>
    <n v="-178.36"/>
    <d v="2025-07-10T00:00:00"/>
    <s v="CRÉATION ARRIVÉE D'AIR ENTRÉE BÂTIMENT (POMPE DÉCHETS + KL + LABORATOIRE) + CHANGEMENT FILTRE ARRIVÉE PILOTE"/>
    <m/>
    <e v="#N/A"/>
    <e v="#N/A"/>
    <n v="80877"/>
    <s v="487019486"/>
    <s v="RS COMPONENT"/>
    <s v="Q3"/>
    <e v="#REF!"/>
    <e v="#REF!"/>
    <e v="#REF!"/>
  </r>
  <r>
    <s v="401000"/>
    <x v="6"/>
    <s v="FOURNISSEURS"/>
    <s v="AC"/>
    <n v="-177"/>
    <d v="2025-09-19T00:00:00"/>
    <s v="LOCATION MINIBUS ÉQUIPE ROUSSILLON DÉPLACEMENT SÉMINAIRE PILI"/>
    <m/>
    <e v="#N/A"/>
    <e v="#N/A"/>
    <n v="82736"/>
    <s v="FC05250614"/>
    <s v="GINE-LOG"/>
    <s v="Q3"/>
    <e v="#REF!"/>
    <e v="#REF!"/>
    <e v="#REF!"/>
  </r>
  <r>
    <s v="401000"/>
    <x v="6"/>
    <s v="FOURNISSEURS"/>
    <s v="AC"/>
    <n v="-176.6"/>
    <d v="2025-01-31T00:00:00"/>
    <s v="ENVOI SOFFEIERIA SESTERSE"/>
    <m/>
    <e v="#N/A"/>
    <e v="#N/A"/>
    <n v="74184"/>
    <s v="TLSIR01132497"/>
    <s v="DHL"/>
    <s v="Q1"/>
    <e v="#REF!"/>
    <e v="#REF!"/>
    <e v="#REF!"/>
  </r>
  <r>
    <s v="401000"/>
    <x v="6"/>
    <s v="FOURNISSEURS"/>
    <s v="AC"/>
    <n v="-176"/>
    <d v="2025-01-23T00:00:00"/>
    <s v="PARIS-LYON 250128"/>
    <m/>
    <e v="#N/A"/>
    <e v="#N/A"/>
    <n v="61303"/>
    <s v="56"/>
    <s v="SNCF"/>
    <s v="Q1"/>
    <e v="#REF!"/>
    <e v="#REF!"/>
    <e v="#REF!"/>
  </r>
  <r>
    <s v="401000"/>
    <x v="6"/>
    <s v="FOURNISSEURS"/>
    <s v="AC"/>
    <n v="-176"/>
    <d v="2025-02-12T00:00:00"/>
    <s v="A/R PARIS - LYON - ATTENTION BILLET RETOUR A ÉTÉ ANNULÉ"/>
    <m/>
    <e v="#N/A"/>
    <e v="#N/A"/>
    <n v="61478"/>
    <s v="125"/>
    <s v="SNCF"/>
    <s v="Q1"/>
    <e v="#REF!"/>
    <e v="#REF!"/>
    <e v="#REF!"/>
  </r>
  <r>
    <s v="401000"/>
    <x v="6"/>
    <s v="FOURNISSEURS"/>
    <s v="AC"/>
    <n v="-176"/>
    <d v="2025-05-22T00:00:00"/>
    <s v="A/R PARIS - LYON // AP DÉPLACEMENT À ROUSSILLO"/>
    <m/>
    <e v="#N/A"/>
    <e v="#N/A"/>
    <n v="77978"/>
    <s v="7"/>
    <s v="SNCF"/>
    <s v="Q2"/>
    <e v="#REF!"/>
    <e v="#REF!"/>
    <e v="#REF!"/>
  </r>
  <r>
    <s v="401000"/>
    <x v="6"/>
    <s v="FOURNISSEURS"/>
    <s v="AC"/>
    <n v="-176"/>
    <d v="2025-05-26T00:00:00"/>
    <s v="PARIS LYON 250526"/>
    <m/>
    <e v="#N/A"/>
    <e v="#N/A"/>
    <n v="77980"/>
    <s v="8"/>
    <s v="SNCF"/>
    <s v="Q2"/>
    <e v="#REF!"/>
    <e v="#REF!"/>
    <e v="#REF!"/>
  </r>
  <r>
    <s v="401000"/>
    <x v="6"/>
    <s v="FOURNISSEURS"/>
    <s v="AC"/>
    <n v="-176"/>
    <d v="2025-09-14T00:00:00"/>
    <s v="A/R PARIS - LYON"/>
    <m/>
    <e v="#N/A"/>
    <e v="#N/A"/>
    <n v="82989"/>
    <s v="24"/>
    <s v="SNCF"/>
    <s v="Q3"/>
    <e v="#REF!"/>
    <e v="#REF!"/>
    <e v="#REF!"/>
  </r>
  <r>
    <s v="401000"/>
    <x v="6"/>
    <s v="FOURNISSEURS"/>
    <s v="AC"/>
    <n v="-176"/>
    <d v="2025-10-20T00:00:00"/>
    <s v="PARIS LYON 251024"/>
    <m/>
    <e v="#N/A"/>
    <e v="#N/A"/>
    <n v="89623"/>
    <s v="24"/>
    <s v="SNCF"/>
    <s v="Q4"/>
    <e v="#REF!"/>
    <e v="#REF!"/>
    <e v="#REF!"/>
  </r>
  <r>
    <s v="401000"/>
    <x v="6"/>
    <s v="FOURNISSEURS"/>
    <s v="AC"/>
    <n v="-174.99"/>
    <d v="2025-06-11T00:00:00"/>
    <s v="MEMBERSHIP AICHEMICAL ENGINEERING - VEILLE ET NETWORKING US"/>
    <m/>
    <e v="#N/A"/>
    <e v="#N/A"/>
    <n v="78014"/>
    <s v="20"/>
    <s v="AIChE"/>
    <s v="Q2"/>
    <e v="#REF!"/>
    <e v="#REF!"/>
    <e v="#REF!"/>
  </r>
  <r>
    <s v="401000"/>
    <x v="6"/>
    <s v="FOURNISSEURS"/>
    <s v="AC"/>
    <n v="-174.96"/>
    <d v="2025-02-15T00:00:00"/>
    <s v="PARKAS THIBAULT + ANNE-SOPHIE"/>
    <m/>
    <e v="#N/A"/>
    <e v="#N/A"/>
    <n v="61496"/>
    <s v="132"/>
    <s v="PROLIANS"/>
    <s v="Q1"/>
    <e v="#REF!"/>
    <e v="#REF!"/>
    <e v="#REF!"/>
  </r>
  <r>
    <s v="401000"/>
    <x v="6"/>
    <s v="FOURNISSEURS"/>
    <s v="AC"/>
    <n v="-174"/>
    <d v="2025-01-08T00:00:00"/>
    <s v="TRAIN MARS PAULINE -KB"/>
    <m/>
    <e v="#N/A"/>
    <e v="#N/A"/>
    <n v="59870"/>
    <s v="15"/>
    <s v="SNCF"/>
    <s v="Q1"/>
    <e v="#REF!"/>
    <e v="#REF!"/>
    <e v="#REF!"/>
  </r>
  <r>
    <s v="401000"/>
    <x v="6"/>
    <s v="FOURNISSEURS"/>
    <s v="AC"/>
    <n v="-173.54"/>
    <d v="2025-12-19T00:00:00"/>
    <s v="PRODUIT ANILINE"/>
    <m/>
    <e v="#N/A"/>
    <e v="#N/A"/>
    <n v="94288"/>
    <s v="4067904484"/>
    <s v="VWR AVANTOR"/>
    <s v="Q4"/>
    <e v="#REF!"/>
    <e v="#REF!"/>
    <e v="#REF!"/>
  </r>
  <r>
    <s v="401000"/>
    <x v="6"/>
    <s v="FOURNISSEURS"/>
    <s v="AC"/>
    <n v="-172.8"/>
    <d v="2025-07-16T00:00:00"/>
    <s v="SACS DE SABLES POUR LES CHIMISTES"/>
    <m/>
    <e v="#N/A"/>
    <e v="#N/A"/>
    <n v="82176"/>
    <s v="7"/>
    <s v="MANUTAN"/>
    <s v="Q3"/>
    <e v="#REF!"/>
    <e v="#REF!"/>
    <e v="#REF!"/>
  </r>
  <r>
    <s v="401000"/>
    <x v="6"/>
    <s v="FOURNISSEURS"/>
    <s v="AC"/>
    <n v="-172.78"/>
    <d v="2025-12-03T00:00:00"/>
    <s v="RENOUVELLEMENT NOM DE DOMAINE"/>
    <m/>
    <e v="#N/A"/>
    <e v="#N/A"/>
    <n v="93931"/>
    <s v="2,02512E+12"/>
    <s v="GANDI"/>
    <s v="Q4"/>
    <e v="#REF!"/>
    <e v="#REF!"/>
    <e v="#REF!"/>
  </r>
  <r>
    <s v="401000"/>
    <x v="6"/>
    <s v="FOURNISSEURS"/>
    <s v="AC"/>
    <n v="-172"/>
    <d v="2025-10-28T00:00:00"/>
    <s v="À/R ROUSSILLON"/>
    <m/>
    <e v="#N/A"/>
    <e v="#N/A"/>
    <n v="89644"/>
    <s v="32"/>
    <s v="SNCF"/>
    <s v="Q4"/>
    <e v="#REF!"/>
    <e v="#REF!"/>
    <e v="#REF!"/>
  </r>
  <r>
    <s v="401000"/>
    <x v="6"/>
    <s v="FOURNISSEURS"/>
    <s v="AC"/>
    <n v="-171.94"/>
    <d v="2025-01-15T00:00:00"/>
    <s v="AMPOULE À DÉCANTER GLASSCO GIL ROBINET PTFE"/>
    <m/>
    <e v="#N/A"/>
    <e v="#N/A"/>
    <n v="68956"/>
    <s v="186262"/>
    <s v="CLOUP"/>
    <s v="Q1"/>
    <e v="#REF!"/>
    <e v="#REF!"/>
    <e v="#REF!"/>
  </r>
  <r>
    <s v="401000"/>
    <x v="6"/>
    <s v="FOURNISSEURS"/>
    <s v="AC"/>
    <n v="-171.93"/>
    <d v="2025-08-18T00:00:00"/>
    <s v="CONSOMMABLES LABO"/>
    <m/>
    <e v="#N/A"/>
    <e v="#N/A"/>
    <n v="81802"/>
    <s v="4067796293"/>
    <s v="VWR AVANTOR"/>
    <s v="Q3"/>
    <e v="#REF!"/>
    <e v="#REF!"/>
    <e v="#REF!"/>
  </r>
  <r>
    <s v="401000"/>
    <x v="6"/>
    <s v="FOURNISSEURS"/>
    <s v="AC"/>
    <n v="-171.48"/>
    <d v="2025-11-29T00:00:00"/>
    <s v="VERRERIE POUR LABORATOIRE R. ET DIVERS PETIT MATÉRIEL POUR PILOT / KL"/>
    <m/>
    <e v="#N/A"/>
    <e v="#N/A"/>
    <n v="92982"/>
    <s v="0190628"/>
    <s v="CLOUP"/>
    <s v="Q4"/>
    <e v="#REF!"/>
    <e v="#REF!"/>
    <e v="#REF!"/>
  </r>
  <r>
    <s v="401000"/>
    <x v="6"/>
    <s v="FOURNISSEURS"/>
    <s v="AC"/>
    <n v="-171.22"/>
    <d v="2025-09-29T00:00:00"/>
    <s v="VOL RETOUR AP VIENNE TO PARIS AGREEMENT VII BIOTIKA"/>
    <m/>
    <e v="#N/A"/>
    <e v="#N/A"/>
    <n v="83026"/>
    <s v="225004512567"/>
    <s v="AIRLINES"/>
    <s v="Q3"/>
    <e v="#REF!"/>
    <e v="#REF!"/>
    <e v="#REF!"/>
  </r>
  <r>
    <s v="401000"/>
    <x v="6"/>
    <s v="FOURNISSEURS"/>
    <s v="AC"/>
    <n v="-170.04"/>
    <d v="2025-01-13T00:00:00"/>
    <s v="SODIUM HYDROSULFITE, TECH., #85%"/>
    <m/>
    <e v="#N/A"/>
    <e v="#N/A"/>
    <n v="63999"/>
    <s v="4067609870"/>
    <s v="VWR AVANTOR"/>
    <s v="Q1"/>
    <e v="#REF!"/>
    <e v="#REF!"/>
    <e v="#REF!"/>
  </r>
  <r>
    <s v="401000"/>
    <x v="6"/>
    <s v="FOURNISSEURS"/>
    <s v="AC"/>
    <n v="-168.59"/>
    <d v="2025-01-26T00:00:00"/>
    <s v="RECRUITER LITE (LICENCE 1) DU 26 JANVIER 2025 AU 26 FÉVRIER 2025"/>
    <s v="Non"/>
    <s v="Non"/>
    <e v="#N/A"/>
    <n v="72523"/>
    <s v="78167615001"/>
    <s v="LINKEDIN"/>
    <s v="Q1"/>
    <e v="#REF!"/>
    <e v="#REF!"/>
    <e v="#REF!"/>
  </r>
  <r>
    <s v="401000"/>
    <x v="6"/>
    <s v="FOURNISSEURS"/>
    <s v="AC"/>
    <n v="-168.59"/>
    <d v="2025-02-26T00:00:00"/>
    <s v="RECRUITER LITE (LICENCE 1) DU 26 FÉVRIER 2025 AU 26 MARS 2025"/>
    <s v="Non"/>
    <s v="Non"/>
    <e v="#N/A"/>
    <n v="72538"/>
    <s v="78177001133"/>
    <s v="LINKEDIN"/>
    <s v="Q1"/>
    <e v="#REF!"/>
    <e v="#REF!"/>
    <e v="#REF!"/>
  </r>
  <r>
    <s v="401000"/>
    <x v="6"/>
    <s v="FOURNISSEURS"/>
    <s v="AC"/>
    <n v="-168.59"/>
    <d v="2025-03-26T00:00:00"/>
    <s v="RECRUITER LITE (LICENCE 1) DU 26 MARS 2025 AU 26 AVRIL 2025"/>
    <s v="Non"/>
    <s v="Non"/>
    <e v="#N/A"/>
    <n v="72573"/>
    <s v="78186511297"/>
    <s v="LINKEDIN"/>
    <s v="Q1"/>
    <e v="#REF!"/>
    <e v="#REF!"/>
    <e v="#REF!"/>
  </r>
  <r>
    <s v="401000"/>
    <x v="6"/>
    <s v="FOURNISSEURS"/>
    <s v="AC"/>
    <n v="-168.59"/>
    <d v="2025-04-26T00:00:00"/>
    <s v="RECRUITER LITE (LICENCE 1) DU 26 AVRIL 2025 AU 26 MAI 2025"/>
    <s v="Non"/>
    <s v="Non"/>
    <e v="#N/A"/>
    <n v="72614"/>
    <s v="78195894624"/>
    <s v="LINKEDIN"/>
    <s v="Q2"/>
    <e v="#REF!"/>
    <e v="#REF!"/>
    <e v="#REF!"/>
  </r>
  <r>
    <s v="401000"/>
    <x v="6"/>
    <s v="FOURNISSEURS"/>
    <s v="AC"/>
    <n v="-168.59"/>
    <d v="2025-05-01T00:00:00"/>
    <s v="LinkedIn Recruiter"/>
    <s v="Non"/>
    <s v="Non"/>
    <e v="#N/A"/>
    <n v="85013"/>
    <m/>
    <s v="LINKEDIN"/>
    <s v="Q2"/>
    <e v="#REF!"/>
    <e v="#REF!"/>
    <e v="#REF!"/>
  </r>
  <r>
    <s v="401000"/>
    <x v="6"/>
    <s v="FOURNISSEURS"/>
    <s v="AC"/>
    <n v="-168.59"/>
    <d v="2025-06-01T00:00:00"/>
    <s v="LinkedIn Recruiter"/>
    <s v="Non"/>
    <s v="Non"/>
    <e v="#N/A"/>
    <n v="85017"/>
    <m/>
    <s v="LINKEDIN"/>
    <s v="Q2"/>
    <e v="#REF!"/>
    <e v="#REF!"/>
    <e v="#REF!"/>
  </r>
  <r>
    <s v="401000"/>
    <x v="6"/>
    <s v="FOURNISSEURS"/>
    <s v="AC"/>
    <n v="-168.59"/>
    <d v="2025-07-01T00:00:00"/>
    <s v="LinkedIn Recruiter"/>
    <s v="Non"/>
    <s v="Non"/>
    <e v="#N/A"/>
    <n v="85020"/>
    <m/>
    <s v="LINKEDIN"/>
    <s v="Q3"/>
    <e v="#REF!"/>
    <e v="#REF!"/>
    <e v="#REF!"/>
  </r>
  <r>
    <s v="401000"/>
    <x v="6"/>
    <s v="FOURNISSEURS"/>
    <s v="AC"/>
    <n v="-168.59"/>
    <d v="2025-08-01T00:00:00"/>
    <s v="LinkedIn Recruiter"/>
    <s v="Non"/>
    <s v="Non"/>
    <e v="#N/A"/>
    <n v="85023"/>
    <m/>
    <s v="LINKEDIN"/>
    <s v="Q3"/>
    <e v="#REF!"/>
    <e v="#REF!"/>
    <e v="#REF!"/>
  </r>
  <r>
    <s v="401000"/>
    <x v="6"/>
    <s v="FOURNISSEURS"/>
    <s v="AC"/>
    <n v="-168.59"/>
    <d v="2025-09-01T00:00:00"/>
    <s v="LinkedIn Recruiter"/>
    <s v="Non"/>
    <s v="Non"/>
    <e v="#N/A"/>
    <n v="85026"/>
    <m/>
    <s v="LINKEDIN"/>
    <s v="Q3"/>
    <e v="#REF!"/>
    <e v="#REF!"/>
    <e v="#REF!"/>
  </r>
  <r>
    <s v="401000"/>
    <x v="6"/>
    <s v="FOURNISSEURS"/>
    <s v="AC"/>
    <n v="-168.59"/>
    <d v="2025-10-29T00:00:00"/>
    <s v="ABONNEMENT MENSUEL LINKEDIN RECRUTEUR"/>
    <s v="Non"/>
    <s v="Non"/>
    <e v="#N/A"/>
    <n v="91805"/>
    <s v="1"/>
    <s v="LINKEDIN"/>
    <s v="Q4"/>
    <e v="#REF!"/>
    <e v="#REF!"/>
    <e v="#REF!"/>
  </r>
  <r>
    <s v="401000"/>
    <x v="6"/>
    <s v="FOURNISSEURS"/>
    <s v="AC"/>
    <n v="-168.59"/>
    <d v="2025-11-26T00:00:00"/>
    <s v="ABONNEMENT MENSUEL LINKEDIN RECRUTEUR"/>
    <s v="Non"/>
    <s v="Non"/>
    <e v="#N/A"/>
    <n v="91820"/>
    <s v="6"/>
    <s v="LINKEDIN"/>
    <s v="Q4"/>
    <e v="#REF!"/>
    <e v="#REF!"/>
    <e v="#REF!"/>
  </r>
  <r>
    <s v="401000"/>
    <x v="6"/>
    <s v="FOURNISSEURS"/>
    <s v="AC"/>
    <n v="-168.59"/>
    <d v="2025-12-26T00:00:00"/>
    <s v="ABONNEMENT MENSUEL LINKEDIN RECRUTEUR"/>
    <s v="Non"/>
    <s v="Non"/>
    <e v="#N/A"/>
    <n v="95735"/>
    <s v="2"/>
    <s v="LINKEDIN"/>
    <s v="Q4"/>
    <e v="#REF!"/>
    <e v="#REF!"/>
    <e v="#REF!"/>
  </r>
  <r>
    <s v="401000"/>
    <x v="6"/>
    <s v="FOURNISSEURS"/>
    <s v="AC"/>
    <n v="-168"/>
    <d v="2025-06-30T00:00:00"/>
    <s v="RELECTURE TEXTE VOIX OFF ANGLAISE"/>
    <m/>
    <e v="#N/A"/>
    <e v="#N/A"/>
    <n v="78393"/>
    <s v="92861"/>
    <s v="TRANSPERFECT TRADUCTIONS"/>
    <s v="Q2"/>
    <e v="#REF!"/>
    <e v="#REF!"/>
    <e v="#REF!"/>
  </r>
  <r>
    <s v="401000"/>
    <x v="6"/>
    <s v="FOURNISSEURS"/>
    <s v="AC"/>
    <n v="-167.8"/>
    <d v="2025-06-19T00:00:00"/>
    <s v="DIPHOTÉRINE POUR ACCIDENT ACIDE OU BASE"/>
    <m/>
    <e v="#N/A"/>
    <e v="#N/A"/>
    <n v="78045"/>
    <s v="30"/>
    <s v="NMMEDICAL"/>
    <s v="Q2"/>
    <e v="#REF!"/>
    <e v="#REF!"/>
    <e v="#REF!"/>
  </r>
  <r>
    <s v="401000"/>
    <x v="6"/>
    <s v="FOURNISSEURS"/>
    <s v="AC"/>
    <n v="-166.13"/>
    <d v="2025-01-01T00:00:00"/>
    <s v="LOCATION BOUTEILLE GAZ SPÉCIAUX SMART"/>
    <m/>
    <e v="#N/A"/>
    <e v="#N/A"/>
    <n v="86988"/>
    <s v="5800263688"/>
    <s v="AIR LIQUIDE"/>
    <s v="Q1"/>
    <e v="#REF!"/>
    <e v="#REF!"/>
    <e v="#REF!"/>
  </r>
  <r>
    <s v="401000"/>
    <x v="6"/>
    <s v="FOURNISSEURS"/>
    <s v="AC"/>
    <n v="-165.13"/>
    <d v="2025-04-30T00:00:00"/>
    <s v="2-HYDROXYBENZIMIDAZOLE, 98 %, THERMO SCIENTIFIC CHEMICALS 2-HYDROXYBENZIMIDAZOLE, 98%,50G MÉTHANOL, CHROMASOLV™, POUR HPLC, ? 99"/>
    <m/>
    <e v="#N/A"/>
    <e v="#N/A"/>
    <n v="72647"/>
    <s v="4174966176"/>
    <s v="FISHER SCIENTIFIC"/>
    <s v="Q2"/>
    <e v="#REF!"/>
    <e v="#REF!"/>
    <e v="#REF!"/>
  </r>
  <r>
    <s v="401000"/>
    <x v="6"/>
    <s v="FOURNISSEURS"/>
    <s v="AC"/>
    <n v="-162.08000000000001"/>
    <d v="2025-01-15T00:00:00"/>
    <s v="COMMANDE PRODUIT PHOENIX 2023"/>
    <m/>
    <e v="#N/A"/>
    <e v="#N/A"/>
    <n v="61261"/>
    <s v="4174814735"/>
    <s v="FISHER SCIENTIFIC"/>
    <s v="Q1"/>
    <e v="#REF!"/>
    <e v="#REF!"/>
    <e v="#REF!"/>
  </r>
  <r>
    <s v="401000"/>
    <x v="6"/>
    <s v="FOURNISSEURS"/>
    <s v="AC"/>
    <n v="-160.80000000000001"/>
    <d v="2025-05-06T00:00:00"/>
    <s v="HYDROXYLAMINE SULFATE"/>
    <m/>
    <e v="#N/A"/>
    <e v="#N/A"/>
    <n v="72697"/>
    <s v="8053471633"/>
    <s v="Sigma-Aldrich chimie"/>
    <s v="Q2"/>
    <e v="#REF!"/>
    <e v="#REF!"/>
    <e v="#REF!"/>
  </r>
  <r>
    <s v="401000"/>
    <x v="6"/>
    <s v="FOURNISSEURS"/>
    <s v="AC"/>
    <n v="-160.80000000000001"/>
    <d v="2025-07-22T00:00:00"/>
    <s v="HYDROXYLAMINE SULFATE POUR KEENY STEP 2"/>
    <m/>
    <e v="#N/A"/>
    <e v="#N/A"/>
    <n v="81329"/>
    <s v="8053513828"/>
    <s v="Sigma-Aldrich chimie"/>
    <s v="Q3"/>
    <e v="#REF!"/>
    <e v="#REF!"/>
    <e v="#REF!"/>
  </r>
  <r>
    <s v="401000"/>
    <x v="6"/>
    <s v="FOURNISSEURS"/>
    <s v="AC"/>
    <n v="-160.02000000000001"/>
    <d v="2025-12-08T00:00:00"/>
    <s v="PRODUIT MUSTANG"/>
    <m/>
    <e v="#N/A"/>
    <e v="#N/A"/>
    <n v="92994"/>
    <s v="4067894030"/>
    <s v="VWR AVANTOR"/>
    <s v="Q4"/>
    <e v="#REF!"/>
    <e v="#REF!"/>
    <e v="#REF!"/>
  </r>
  <r>
    <s v="401000"/>
    <x v="6"/>
    <s v="FOURNISSEURS"/>
    <s v="AC"/>
    <n v="-160"/>
    <d v="2025-04-15T00:00:00"/>
    <s v="VOAYGE ALLER RETOUR 14/04/2025 - LOIC"/>
    <m/>
    <e v="#N/A"/>
    <e v="#N/A"/>
    <n v="71324"/>
    <s v="SNCFPARISLYON"/>
    <s v="SNCF"/>
    <s v="Q2"/>
    <e v="#REF!"/>
    <e v="#REF!"/>
    <e v="#REF!"/>
  </r>
  <r>
    <s v="401000"/>
    <x v="6"/>
    <s v="FOURNISSEURS"/>
    <s v="AC"/>
    <n v="-159.5"/>
    <d v="2025-04-29T00:00:00"/>
    <s v="PC HP ELITE 8100 TOUR INTEL I5-650 RAM 16GO HDD 500GO W10 WIFI"/>
    <m/>
    <s v="Non"/>
    <e v="#N/A"/>
    <n v="72626"/>
    <s v="403-3068210-5169135"/>
    <s v="DIVERS"/>
    <s v="Q2"/>
    <e v="#REF!"/>
    <e v="#REF!"/>
    <e v="#REF!"/>
  </r>
  <r>
    <s v="401000"/>
    <x v="6"/>
    <s v="FOURNISSEURS"/>
    <s v="AC"/>
    <n v="-159"/>
    <d v="2025-02-14T00:00:00"/>
    <s v="PARIS TOULOUSE 250219-20"/>
    <m/>
    <e v="#N/A"/>
    <e v="#N/A"/>
    <n v="64543"/>
    <s v="2"/>
    <s v="SNCF"/>
    <s v="Q1"/>
    <e v="#REF!"/>
    <e v="#REF!"/>
    <e v="#REF!"/>
  </r>
  <r>
    <s v="401000"/>
    <x v="6"/>
    <s v="FOURNISSEURS"/>
    <s v="AC"/>
    <n v="-158.65"/>
    <d v="2025-01-31T00:00:00"/>
    <s v="LOYER FENWICK 2025_01"/>
    <m/>
    <e v="#N/A"/>
    <e v="#N/A"/>
    <n v="73069"/>
    <m/>
    <s v="FENWICK FINANCIAL SERVICES"/>
    <s v="Q1"/>
    <e v="#REF!"/>
    <e v="#REF!"/>
    <e v="#REF!"/>
  </r>
  <r>
    <s v="401000"/>
    <x v="6"/>
    <s v="FOURNISSEURS"/>
    <s v="AC"/>
    <n v="-158.65"/>
    <d v="2025-02-28T00:00:00"/>
    <s v="LOYER FENWICK 2025_02"/>
    <m/>
    <e v="#N/A"/>
    <e v="#N/A"/>
    <n v="73073"/>
    <m/>
    <s v="FENWICK FINANCIAL SERVICES"/>
    <s v="Q1"/>
    <e v="#REF!"/>
    <e v="#REF!"/>
    <e v="#REF!"/>
  </r>
  <r>
    <s v="401000"/>
    <x v="6"/>
    <s v="FOURNISSEURS"/>
    <s v="AC"/>
    <n v="-158.65"/>
    <d v="2025-03-31T00:00:00"/>
    <s v="LOYER FENWICK 2025_03"/>
    <m/>
    <e v="#N/A"/>
    <e v="#N/A"/>
    <n v="73079"/>
    <m/>
    <s v="FENWICK FINANCIAL SERVICES"/>
    <s v="Q1"/>
    <e v="#REF!"/>
    <e v="#REF!"/>
    <e v="#REF!"/>
  </r>
  <r>
    <s v="401000"/>
    <x v="6"/>
    <s v="FOURNISSEURS"/>
    <s v="AC"/>
    <n v="-158.65"/>
    <d v="2025-04-01T00:00:00"/>
    <s v="LOYER FENWICK 2025_04"/>
    <m/>
    <e v="#N/A"/>
    <e v="#N/A"/>
    <n v="69674"/>
    <s v="2071581760"/>
    <s v="FENWICK FINANCIAL SERVICES"/>
    <s v="Q2"/>
    <e v="#REF!"/>
    <e v="#REF!"/>
    <e v="#REF!"/>
  </r>
  <r>
    <s v="401000"/>
    <x v="6"/>
    <s v="FOURNISSEURS"/>
    <s v="AC"/>
    <n v="-158.65"/>
    <d v="2025-05-01T00:00:00"/>
    <s v="LOYER FENWICK 2025_05"/>
    <m/>
    <e v="#N/A"/>
    <e v="#N/A"/>
    <n v="72660"/>
    <s v="2071600116"/>
    <s v="FENWICK FINANCIAL SERVICES"/>
    <s v="Q2"/>
    <e v="#REF!"/>
    <e v="#REF!"/>
    <e v="#REF!"/>
  </r>
  <r>
    <s v="401000"/>
    <x v="6"/>
    <s v="FOURNISSEURS"/>
    <s v="AC"/>
    <n v="-158.65"/>
    <d v="2025-06-30T00:00:00"/>
    <s v="LOYER FENWICK 2025_06"/>
    <m/>
    <e v="#N/A"/>
    <e v="#N/A"/>
    <n v="73082"/>
    <m/>
    <s v="FENWICK FINANCIAL SERVICES"/>
    <s v="Q2"/>
    <e v="#REF!"/>
    <e v="#REF!"/>
    <e v="#REF!"/>
  </r>
  <r>
    <s v="401000"/>
    <x v="6"/>
    <s v="FOURNISSEURS"/>
    <s v="AC"/>
    <n v="-158.65"/>
    <d v="2025-07-01T00:00:00"/>
    <s v="LOYER 2025 07"/>
    <m/>
    <e v="#N/A"/>
    <e v="#N/A"/>
    <n v="78785"/>
    <s v="2071634575"/>
    <s v="FENWICK FINANCIAL SERVICES"/>
    <s v="Q3"/>
    <e v="#REF!"/>
    <e v="#REF!"/>
    <e v="#REF!"/>
  </r>
  <r>
    <s v="401000"/>
    <x v="6"/>
    <s v="FOURNISSEURS"/>
    <s v="AC"/>
    <n v="-158.65"/>
    <d v="2025-08-31T00:00:00"/>
    <s v="LOYER FENWICK 2025_08"/>
    <m/>
    <e v="#N/A"/>
    <e v="#N/A"/>
    <n v="73088"/>
    <m/>
    <s v="FENWICK FINANCIAL SERVICES"/>
    <s v="Q3"/>
    <e v="#REF!"/>
    <e v="#REF!"/>
    <e v="#REF!"/>
  </r>
  <r>
    <s v="401000"/>
    <x v="6"/>
    <s v="FOURNISSEURS"/>
    <s v="AC"/>
    <n v="-158.65"/>
    <d v="2025-09-30T00:00:00"/>
    <s v="LOYER FENWICK 2025_09"/>
    <m/>
    <e v="#N/A"/>
    <e v="#N/A"/>
    <n v="73091"/>
    <m/>
    <s v="FENWICK FINANCIAL SERVICES"/>
    <s v="Q3"/>
    <e v="#REF!"/>
    <e v="#REF!"/>
    <e v="#REF!"/>
  </r>
  <r>
    <s v="401000"/>
    <x v="6"/>
    <s v="FOURNISSEURS"/>
    <s v="AC"/>
    <n v="-158.65"/>
    <d v="2025-10-01T00:00:00"/>
    <s v="LOYER FINANCIER"/>
    <m/>
    <e v="#N/A"/>
    <e v="#N/A"/>
    <n v="82789"/>
    <s v="2071687888"/>
    <s v="FENWICK FINANCIAL SERVICES"/>
    <s v="Q4"/>
    <e v="#REF!"/>
    <e v="#REF!"/>
    <e v="#REF!"/>
  </r>
  <r>
    <s v="401000"/>
    <x v="6"/>
    <s v="FOURNISSEURS"/>
    <s v="AC"/>
    <n v="-158.65"/>
    <d v="2025-11-01T00:00:00"/>
    <s v="LOYER FINANCIER"/>
    <m/>
    <e v="#N/A"/>
    <e v="#N/A"/>
    <n v="89664"/>
    <s v="2071707682"/>
    <s v="FENWICK FINANCIAL SERVICES"/>
    <s v="Q4"/>
    <e v="#REF!"/>
    <e v="#REF!"/>
    <e v="#REF!"/>
  </r>
  <r>
    <s v="401000"/>
    <x v="6"/>
    <s v="FOURNISSEURS"/>
    <s v="AC"/>
    <n v="-158.65"/>
    <d v="2025-12-31T00:00:00"/>
    <s v="LOYER FENWICK 2025_12"/>
    <m/>
    <e v="#N/A"/>
    <e v="#N/A"/>
    <n v="73100"/>
    <m/>
    <s v="FENWICK FINANCIAL SERVICES"/>
    <s v="Q4"/>
    <e v="#REF!"/>
    <e v="#REF!"/>
    <e v="#REF!"/>
  </r>
  <r>
    <s v="401000"/>
    <x v="6"/>
    <s v="FOURNISSEURS"/>
    <s v="AC"/>
    <n v="-158.16999999999999"/>
    <d v="2025-11-12T00:00:00"/>
    <s v="PRODUIT KEENB"/>
    <m/>
    <e v="#N/A"/>
    <e v="#N/A"/>
    <n v="89971"/>
    <s v="4067869549"/>
    <s v="VWR AVANTOR"/>
    <s v="Q4"/>
    <e v="#REF!"/>
    <e v="#REF!"/>
    <e v="#REF!"/>
  </r>
  <r>
    <s v="401000"/>
    <x v="6"/>
    <s v="FOURNISSEURS"/>
    <s v="AC"/>
    <n v="-157.19999999999999"/>
    <d v="2025-01-21T00:00:00"/>
    <s v="COMMANDE ÉQUIPEMENT LABO  KB"/>
    <m/>
    <e v="#N/A"/>
    <e v="#N/A"/>
    <n v="61289"/>
    <s v="8053411469"/>
    <s v="Sigma-Aldrich chimie"/>
    <s v="Q1"/>
    <e v="#REF!"/>
    <e v="#REF!"/>
    <e v="#REF!"/>
  </r>
  <r>
    <s v="401000"/>
    <x v="6"/>
    <s v="FOURNISSEURS"/>
    <s v="AC"/>
    <n v="-157.19999999999999"/>
    <d v="2025-05-14T00:00:00"/>
    <s v="ACCESSOIRE LABO ANALYSES R."/>
    <m/>
    <e v="#N/A"/>
    <e v="#N/A"/>
    <n v="73782"/>
    <s v="8053475547"/>
    <s v="Sigma-Aldrich chimie"/>
    <s v="Q2"/>
    <e v="#REF!"/>
    <e v="#REF!"/>
    <e v="#REF!"/>
  </r>
  <r>
    <s v="401000"/>
    <x v="6"/>
    <s v="FOURNISSEURS"/>
    <s v="AC"/>
    <n v="-157.19999999999999"/>
    <d v="2025-06-30T00:00:00"/>
    <s v="CONNECT PRO FIBRE"/>
    <m/>
    <e v="#N/A"/>
    <e v="#N/A"/>
    <n v="80652"/>
    <s v="04C993L662 25E7-1J06"/>
    <s v="ORANGE"/>
    <s v="Q2"/>
    <e v="#REF!"/>
    <e v="#REF!"/>
    <e v="#REF!"/>
  </r>
  <r>
    <s v="401000"/>
    <x v="6"/>
    <s v="FOURNISSEURS"/>
    <s v="AC"/>
    <n v="-157.19999999999999"/>
    <d v="2025-07-29T00:00:00"/>
    <s v="CONNECT PRO FIBRE"/>
    <m/>
    <e v="#N/A"/>
    <e v="#N/A"/>
    <n v="87268"/>
    <s v="04C993L662 25F5-1J07"/>
    <s v="ORANGE"/>
    <s v="Q3"/>
    <e v="#REF!"/>
    <e v="#REF!"/>
    <e v="#REF!"/>
  </r>
  <r>
    <s v="401000"/>
    <x v="6"/>
    <s v="FOURNISSEURS"/>
    <s v="AC"/>
    <n v="-157.19999999999999"/>
    <d v="2025-08-28T00:00:00"/>
    <s v="INTERNET FIBRE LYON"/>
    <m/>
    <e v="#N/A"/>
    <e v="#N/A"/>
    <n v="82244"/>
    <s v="04C993L662 25G3-1J08"/>
    <s v="ORANGE"/>
    <s v="Q3"/>
    <e v="#REF!"/>
    <e v="#REF!"/>
    <e v="#REF!"/>
  </r>
  <r>
    <s v="401000"/>
    <x v="6"/>
    <s v="FOURNISSEURS"/>
    <s v="AC"/>
    <n v="-157.19999999999999"/>
    <d v="2025-09-30T00:00:00"/>
    <s v="BOX INTERNET LYON"/>
    <m/>
    <e v="#N/A"/>
    <e v="#N/A"/>
    <n v="90060"/>
    <s v="04C993L66225H1-1J09"/>
    <s v="ORANGE"/>
    <s v="Q3"/>
    <e v="#REF!"/>
    <e v="#REF!"/>
    <e v="#REF!"/>
  </r>
  <r>
    <s v="401000"/>
    <x v="6"/>
    <s v="FOURNISSEURS"/>
    <s v="AC"/>
    <n v="-157.19999999999999"/>
    <d v="2025-10-28T00:00:00"/>
    <s v="BOX INTERNET LYON"/>
    <m/>
    <e v="#N/A"/>
    <e v="#N/A"/>
    <n v="90072"/>
    <s v="04C993L662 25H9-1J10"/>
    <s v="ORANGE"/>
    <s v="Q4"/>
    <e v="#REF!"/>
    <e v="#REF!"/>
    <e v="#REF!"/>
  </r>
  <r>
    <s v="401000"/>
    <x v="6"/>
    <s v="FOURNISSEURS"/>
    <s v="AC"/>
    <n v="-157.19999999999999"/>
    <d v="2025-11-28T00:00:00"/>
    <s v="BOX INTERNET LYON"/>
    <m/>
    <e v="#N/A"/>
    <e v="#N/A"/>
    <n v="92955"/>
    <s v="04C993L6622517-1J11"/>
    <s v="ORANGE"/>
    <s v="Q4"/>
    <e v="#REF!"/>
    <e v="#REF!"/>
    <e v="#REF!"/>
  </r>
  <r>
    <s v="401000"/>
    <x v="6"/>
    <s v="FOURNISSEURS"/>
    <s v="AC"/>
    <n v="-157.19999999999999"/>
    <d v="2025-12-30T00:00:00"/>
    <s v="CONNECT PRO FIBRE"/>
    <m/>
    <e v="#N/A"/>
    <e v="#N/A"/>
    <n v="95466"/>
    <s v="04C993L66225J5-1J12"/>
    <s v="ORANGE"/>
    <s v="Q4"/>
    <e v="#REF!"/>
    <e v="#REF!"/>
    <e v="#REF!"/>
  </r>
  <r>
    <s v="401000"/>
    <x v="6"/>
    <s v="FOURNISSEURS"/>
    <s v="AC"/>
    <n v="-157"/>
    <d v="2025-10-13T00:00:00"/>
    <s v="PRODUIT LISA"/>
    <m/>
    <e v="#N/A"/>
    <e v="#N/A"/>
    <n v="94268"/>
    <s v="INGM240404"/>
    <s v="BLD PHARMATECH"/>
    <s v="Q4"/>
    <e v="#REF!"/>
    <e v="#REF!"/>
    <e v="#REF!"/>
  </r>
  <r>
    <s v="401000"/>
    <x v="6"/>
    <s v="FOURNISSEURS"/>
    <s v="AC"/>
    <n v="-156.24"/>
    <d v="2025-01-20T00:00:00"/>
    <s v="ELECTRICITE LYON"/>
    <m/>
    <e v="#N/A"/>
    <e v="#N/A"/>
    <n v="72518"/>
    <s v="4,20E+11"/>
    <s v="ENGIE"/>
    <s v="Q1"/>
    <e v="#REF!"/>
    <e v="#REF!"/>
    <e v="#REF!"/>
  </r>
  <r>
    <s v="401000"/>
    <x v="6"/>
    <s v="FOURNISSEURS"/>
    <s v="AC"/>
    <n v="-156"/>
    <d v="2025-02-18T00:00:00"/>
    <s v="PARIS LYON 250225"/>
    <m/>
    <e v="#N/A"/>
    <e v="#N/A"/>
    <n v="64549"/>
    <s v="5"/>
    <s v="SNCF"/>
    <s v="Q1"/>
    <e v="#REF!"/>
    <e v="#REF!"/>
    <e v="#REF!"/>
  </r>
  <r>
    <s v="401000"/>
    <x v="6"/>
    <s v="FOURNISSEURS"/>
    <s v="AC"/>
    <n v="-156"/>
    <d v="2025-06-05T00:00:00"/>
    <s v="TRANSPORT ESSAI 1 ROUSSELET ROBATEL"/>
    <m/>
    <e v="#N/A"/>
    <e v="#N/A"/>
    <n v="76563"/>
    <s v="9102322"/>
    <s v="BROSSIER TRANSPORTS"/>
    <s v="Q2"/>
    <e v="#REF!"/>
    <e v="#REF!"/>
    <e v="#REF!"/>
  </r>
  <r>
    <s v="401000"/>
    <x v="6"/>
    <s v="FOURNISSEURS"/>
    <s v="AC"/>
    <n v="-155.4"/>
    <d v="2025-12-12T00:00:00"/>
    <s v="VERRERIE ET ÉQUIPEMENT POUR KEENB"/>
    <m/>
    <e v="#N/A"/>
    <e v="#N/A"/>
    <n v="92193"/>
    <s v="0190961"/>
    <s v="CLOUP"/>
    <s v="Q4"/>
    <e v="#REF!"/>
    <e v="#REF!"/>
    <e v="#REF!"/>
  </r>
  <r>
    <s v="401000"/>
    <x v="6"/>
    <s v="FOURNISSEURS"/>
    <s v="AC"/>
    <n v="-154.97999999999999"/>
    <d v="2025-01-05T00:00:00"/>
    <s v="ABONNEMENT CREATIVE CLOUD PACK COMPLET, LOGICIELS DE PAO"/>
    <m/>
    <e v="#N/A"/>
    <e v="#N/A"/>
    <n v="59851"/>
    <s v="IEE2025000194521"/>
    <s v="ADOBE"/>
    <s v="Q1"/>
    <e v="#REF!"/>
    <e v="#REF!"/>
    <e v="#REF!"/>
  </r>
  <r>
    <s v="401000"/>
    <x v="6"/>
    <s v="FOURNISSEURS"/>
    <s v="AC"/>
    <n v="-154.97999999999999"/>
    <d v="2025-02-05T00:00:00"/>
    <s v="ABONNEMENT CREATIVE CLOUD PACK COMPLET, LOGICIELS DE PAO"/>
    <m/>
    <e v="#N/A"/>
    <e v="#N/A"/>
    <n v="61417"/>
    <s v="IEE2025001492778"/>
    <s v="ADOBE"/>
    <s v="Q1"/>
    <e v="#REF!"/>
    <e v="#REF!"/>
    <e v="#REF!"/>
  </r>
  <r>
    <s v="401000"/>
    <x v="6"/>
    <s v="FOURNISSEURS"/>
    <s v="AC"/>
    <n v="-154.97999999999999"/>
    <d v="2025-03-05T00:00:00"/>
    <s v="ABONNEMENT CREATIVE CLOUD PACK COMPLET, LOGICIELS DE PAO"/>
    <m/>
    <e v="#N/A"/>
    <e v="#N/A"/>
    <n v="66064"/>
    <s v="IEE2025002779714"/>
    <s v="ADOBE"/>
    <s v="Q1"/>
    <e v="#REF!"/>
    <e v="#REF!"/>
    <e v="#REF!"/>
  </r>
  <r>
    <s v="401000"/>
    <x v="6"/>
    <s v="FOURNISSEURS"/>
    <s v="AC"/>
    <n v="-154.97999999999999"/>
    <d v="2025-04-06T00:00:00"/>
    <s v="ABONNEMENT CREATIVE CLOUD PACK COMPLET, LOGICIELS DE PAO"/>
    <m/>
    <e v="#N/A"/>
    <e v="#N/A"/>
    <n v="69722"/>
    <s v="40"/>
    <s v="ADOBE"/>
    <s v="Q2"/>
    <e v="#REF!"/>
    <e v="#REF!"/>
    <e v="#REF!"/>
  </r>
  <r>
    <s v="401000"/>
    <x v="6"/>
    <s v="FOURNISSEURS"/>
    <s v="AC"/>
    <n v="-154.97999999999999"/>
    <d v="2025-05-05T00:00:00"/>
    <s v="ABONNEMENT CREATIVE CLOUD PACK COMPLET, LOGICIELS DE PAO"/>
    <m/>
    <e v="#N/A"/>
    <e v="#N/A"/>
    <n v="72684"/>
    <s v="IEE2025005153767"/>
    <s v="ADOBE"/>
    <s v="Q2"/>
    <e v="#REF!"/>
    <e v="#REF!"/>
    <e v="#REF!"/>
  </r>
  <r>
    <s v="401000"/>
    <x v="6"/>
    <s v="FOURNISSEURS"/>
    <s v="AC"/>
    <n v="-154.97999999999999"/>
    <d v="2025-06-05T00:00:00"/>
    <s v="ABONNEMENT CREATIVE CLOUD PACK COMPLET, LOGICIELS DE PAO"/>
    <m/>
    <e v="#N/A"/>
    <e v="#N/A"/>
    <n v="78003"/>
    <s v="16"/>
    <s v="ADOBE"/>
    <s v="Q2"/>
    <e v="#REF!"/>
    <e v="#REF!"/>
    <e v="#REF!"/>
  </r>
  <r>
    <s v="401000"/>
    <x v="6"/>
    <s v="FOURNISSEURS"/>
    <s v="AC"/>
    <n v="-154.97999999999999"/>
    <d v="2025-07-05T00:00:00"/>
    <s v="ABONNEMENT CREATIVE CLOUD PACK COMPLET, LOGICIELS DE PAO"/>
    <m/>
    <e v="#N/A"/>
    <e v="#N/A"/>
    <n v="80862"/>
    <s v="IEE2025009000468"/>
    <s v="ADOBE"/>
    <s v="Q3"/>
    <e v="#REF!"/>
    <e v="#REF!"/>
    <e v="#REF!"/>
  </r>
  <r>
    <s v="401000"/>
    <x v="6"/>
    <s v="FOURNISSEURS"/>
    <s v="AC"/>
    <n v="-154.97999999999999"/>
    <d v="2025-08-05T00:00:00"/>
    <s v="ABONNEMENT CREATIVE CLOUD PACK COMPLET, LOGICIELS DE PAO"/>
    <m/>
    <e v="#N/A"/>
    <e v="#N/A"/>
    <n v="82188"/>
    <s v="IEE2025010947575"/>
    <s v="ADOBE"/>
    <s v="Q3"/>
    <e v="#REF!"/>
    <e v="#REF!"/>
    <e v="#REF!"/>
  </r>
  <r>
    <s v="401000"/>
    <x v="6"/>
    <s v="FOURNISSEURS"/>
    <s v="AC"/>
    <n v="-154.97999999999999"/>
    <d v="2025-09-05T00:00:00"/>
    <s v="ABONNEMENT CREATIVE CLOUD PACK COMPLET, LOGICIELS DE PAO"/>
    <m/>
    <e v="#N/A"/>
    <e v="#N/A"/>
    <n v="82962"/>
    <s v="IEE2025012909265"/>
    <s v="ADOBE"/>
    <s v="Q3"/>
    <e v="#REF!"/>
    <e v="#REF!"/>
    <e v="#REF!"/>
  </r>
  <r>
    <s v="401000"/>
    <x v="6"/>
    <s v="FOURNISSEURS"/>
    <s v="AC"/>
    <n v="-154.97999999999999"/>
    <d v="2025-10-05T00:00:00"/>
    <s v="ABONNEMENT CREATIVE CLOUD PACK COMPLET, LOGICIELS DE PAO"/>
    <m/>
    <e v="#N/A"/>
    <e v="#N/A"/>
    <n v="89592"/>
    <s v="9"/>
    <s v="ADOBE"/>
    <s v="Q4"/>
    <e v="#REF!"/>
    <e v="#REF!"/>
    <e v="#REF!"/>
  </r>
  <r>
    <s v="401000"/>
    <x v="6"/>
    <s v="FOURNISSEURS"/>
    <s v="AC"/>
    <n v="-154.97999999999999"/>
    <d v="2025-11-05T00:00:00"/>
    <s v="ABONNEMENT CREATIVE CLOUD PACK COMPLET, LOGICIELS DE PAO"/>
    <m/>
    <e v="#N/A"/>
    <e v="#N/A"/>
    <n v="91419"/>
    <s v="IEE2025016882392"/>
    <s v="ADOBE"/>
    <s v="Q4"/>
    <e v="#REF!"/>
    <e v="#REF!"/>
    <e v="#REF!"/>
  </r>
  <r>
    <s v="401000"/>
    <x v="6"/>
    <s v="FOURNISSEURS"/>
    <s v="AC"/>
    <n v="-154.97999999999999"/>
    <d v="2025-12-05T00:00:00"/>
    <s v="ABONNEMENT CREATIVE CLOUD PACK COMPLET, LOGICIELS DE PAO"/>
    <m/>
    <e v="#N/A"/>
    <e v="#N/A"/>
    <n v="93936"/>
    <s v="IEE2025018903546"/>
    <s v="ADOBE"/>
    <s v="Q4"/>
    <e v="#REF!"/>
    <e v="#REF!"/>
    <e v="#REF!"/>
  </r>
  <r>
    <s v="401000"/>
    <x v="6"/>
    <s v="FOURNISSEURS"/>
    <s v="AC"/>
    <n v="-154.72"/>
    <d v="2025-04-03T00:00:00"/>
    <s v="VANNE 3 VOIES R1000 (E654-08)"/>
    <m/>
    <e v="#N/A"/>
    <e v="#N/A"/>
    <n v="69900"/>
    <s v="22502"/>
    <s v="BOHLENDER"/>
    <s v="Q2"/>
    <e v="#REF!"/>
    <e v="#REF!"/>
    <e v="#REF!"/>
  </r>
  <r>
    <s v="401000"/>
    <x v="6"/>
    <s v="FOURNISSEURS"/>
    <s v="AC"/>
    <n v="-154.59"/>
    <d v="2025-05-30T00:00:00"/>
    <s v="MATÉRIEL MARIE-SARAH EXPOSITION PASTEUR JUIN 2025"/>
    <m/>
    <e v="#N/A"/>
    <e v="#N/A"/>
    <n v="77994"/>
    <s v="13"/>
    <s v="ROUGIER ET PIE"/>
    <s v="Q2"/>
    <e v="#REF!"/>
    <e v="#REF!"/>
    <e v="#REF!"/>
  </r>
  <r>
    <s v="401000"/>
    <x v="6"/>
    <s v="FOURNISSEURS"/>
    <s v="AC"/>
    <n v="-154.53"/>
    <d v="2025-11-04T00:00:00"/>
    <s v="FRAIS CLOSD"/>
    <s v="Non"/>
    <s v="Non"/>
    <e v="#N/A"/>
    <n v="89923"/>
    <s v="C2025991"/>
    <s v="ALTAIR AVOCATS"/>
    <s v="Q4"/>
    <e v="#REF!"/>
    <e v="#REF!"/>
    <e v="#REF!"/>
  </r>
  <r>
    <s v="401000"/>
    <x v="6"/>
    <s v="FOURNISSEURS"/>
    <s v="AC"/>
    <n v="-153"/>
    <d v="2025-11-19T00:00:00"/>
    <s v="RESTAURANT CB - MACEO"/>
    <m/>
    <s v="Non"/>
    <e v="#N/A"/>
    <n v="91760"/>
    <m/>
    <s v="DIVERS"/>
    <s v="Q4"/>
    <e v="#REF!"/>
    <e v="#REF!"/>
    <e v="#REF!"/>
  </r>
  <r>
    <s v="401000"/>
    <x v="6"/>
    <s v="FOURNISSEURS"/>
    <s v="AC"/>
    <n v="-152.41"/>
    <d v="2025-04-07T00:00:00"/>
    <s v="COMMANDE PRODUIT LABO"/>
    <m/>
    <e v="#N/A"/>
    <e v="#N/A"/>
    <n v="69729"/>
    <s v="4067689026"/>
    <s v="VWR AVANTOR"/>
    <s v="Q2"/>
    <e v="#REF!"/>
    <e v="#REF!"/>
    <e v="#REF!"/>
  </r>
  <r>
    <s v="401000"/>
    <x v="6"/>
    <s v="FOURNISSEURS"/>
    <s v="AC"/>
    <n v="-152.33000000000001"/>
    <d v="2025-02-11T00:00:00"/>
    <s v="PETIT ÉQUIPEMENT BUREAUX CHIMISTES (PLASTIFIEUSE, FEUILLES DE PLASTIQUES, ...)"/>
    <m/>
    <e v="#N/A"/>
    <e v="#N/A"/>
    <n v="61458"/>
    <s v="117"/>
    <s v="OFFICE DEPOT"/>
    <s v="Q1"/>
    <e v="#REF!"/>
    <e v="#REF!"/>
    <e v="#REF!"/>
  </r>
  <r>
    <s v="401000"/>
    <x v="6"/>
    <s v="FOURNISSEURS"/>
    <s v="AC"/>
    <n v="-152.15"/>
    <d v="2025-09-16T00:00:00"/>
    <s v="AIRBNB * HMMM3KXSXY"/>
    <m/>
    <e v="#N/A"/>
    <e v="#N/A"/>
    <n v="83002"/>
    <s v="RC2J45CETE"/>
    <s v="AIRBNB"/>
    <s v="Q3"/>
    <e v="#REF!"/>
    <e v="#REF!"/>
    <e v="#REF!"/>
  </r>
  <r>
    <s v="401000"/>
    <x v="6"/>
    <s v="FOURNISSEURS"/>
    <s v="AC"/>
    <n v="-151.1"/>
    <d v="2025-01-29T00:00:00"/>
    <s v="COLLECTE DASRI"/>
    <m/>
    <s v="Non"/>
    <n v="0"/>
    <n v="71273"/>
    <s v="FA2509484"/>
    <s v="SERVICE ACTION SANTE"/>
    <s v="Q1"/>
    <e v="#REF!"/>
    <e v="#REF!"/>
    <e v="#REF!"/>
  </r>
  <r>
    <s v="401000"/>
    <x v="6"/>
    <s v="FOURNISSEURS"/>
    <s v="AC"/>
    <n v="-150"/>
    <d v="2025-01-24T00:00:00"/>
    <s v="FORMATION PROFESSIONNELLE SST DU 15 AU 16/01/2025 AU PROFIT DE J .B"/>
    <m/>
    <s v="Non"/>
    <n v="0"/>
    <n v="61309"/>
    <s v="FAC1319"/>
    <s v="FORMATEC PRO SECURITE"/>
    <s v="Q1"/>
    <e v="#REF!"/>
    <e v="#REF!"/>
    <e v="#REF!"/>
  </r>
  <r>
    <s v="401000"/>
    <x v="6"/>
    <s v="FOURNISSEURS"/>
    <s v="AC"/>
    <n v="-149"/>
    <d v="2025-02-01T00:00:00"/>
    <s v="DÉPLACEMENT ROUSSILLON AP"/>
    <m/>
    <e v="#N/A"/>
    <e v="#N/A"/>
    <n v="61389"/>
    <s v="89"/>
    <s v="SNCF"/>
    <s v="Q1"/>
    <e v="#REF!"/>
    <e v="#REF!"/>
    <e v="#REF!"/>
  </r>
  <r>
    <s v="401000"/>
    <x v="6"/>
    <s v="FOURNISSEURS"/>
    <s v="AC"/>
    <n v="-147.69"/>
    <d v="2025-10-29T00:00:00"/>
    <s v="DÉPLACEMENT TOULOUSE NOV"/>
    <m/>
    <e v="#N/A"/>
    <e v="#N/A"/>
    <n v="89648"/>
    <s v="34"/>
    <s v="AIRBNB"/>
    <s v="Q4"/>
    <e v="#REF!"/>
    <e v="#REF!"/>
    <e v="#REF!"/>
  </r>
  <r>
    <s v="401000"/>
    <x v="6"/>
    <s v="FOURNISSEURS"/>
    <s v="AC"/>
    <n v="-147.12"/>
    <d v="2025-02-18T00:00:00"/>
    <s v="STANDARDS ANALYTIQUES POUR OASIS + INDIGO"/>
    <m/>
    <e v="#N/A"/>
    <e v="#N/A"/>
    <n v="67806"/>
    <s v="8053426943"/>
    <s v="Sigma-Aldrich chimie"/>
    <s v="Q1"/>
    <e v="#REF!"/>
    <e v="#REF!"/>
    <e v="#REF!"/>
  </r>
  <r>
    <s v="401000"/>
    <x v="6"/>
    <s v="FOURNISSEURS"/>
    <s v="AC"/>
    <n v="-147"/>
    <d v="2025-02-18T00:00:00"/>
    <s v="PARIS LYON 250305"/>
    <m/>
    <e v="#N/A"/>
    <e v="#N/A"/>
    <n v="64547"/>
    <s v="4"/>
    <s v="SNCF"/>
    <s v="Q1"/>
    <e v="#REF!"/>
    <e v="#REF!"/>
    <e v="#REF!"/>
  </r>
  <r>
    <s v="401000"/>
    <x v="6"/>
    <s v="FOURNISSEURS"/>
    <s v="AC"/>
    <n v="-146.63"/>
    <d v="2025-06-16T00:00:00"/>
    <s v="COMMANDE PRODUIT LABO"/>
    <m/>
    <e v="#N/A"/>
    <e v="#N/A"/>
    <n v="76601"/>
    <s v="4067746196"/>
    <s v="VWR AVANTOR"/>
    <s v="Q2"/>
    <e v="#REF!"/>
    <e v="#REF!"/>
    <e v="#REF!"/>
  </r>
  <r>
    <s v="401000"/>
    <x v="6"/>
    <s v="FOURNISSEURS"/>
    <s v="AC"/>
    <n v="-146.1"/>
    <d v="2025-05-23T00:00:00"/>
    <s v="TOURNEVIS DYNAMOMÉTRIQUE 1-5 NM (ÉQUIPEMENTS POUR MAINTENANCE POMPES À VIDE / POMPE DE CHARGEMENT)"/>
    <m/>
    <e v="#N/A"/>
    <e v="#N/A"/>
    <n v="78361"/>
    <s v="3"/>
    <s v="WURTH FRANCE"/>
    <s v="Q2"/>
    <e v="#REF!"/>
    <e v="#REF!"/>
    <e v="#REF!"/>
  </r>
  <r>
    <s v="401000"/>
    <x v="6"/>
    <s v="FOURNISSEURS"/>
    <s v="AC"/>
    <n v="-146.06"/>
    <d v="2025-06-10T00:00:00"/>
    <s v="COMMANDE PRODUIT LABO"/>
    <m/>
    <e v="#N/A"/>
    <e v="#N/A"/>
    <n v="76569"/>
    <s v="4067740798"/>
    <s v="VWR AVANTOR"/>
    <s v="Q2"/>
    <e v="#REF!"/>
    <e v="#REF!"/>
    <e v="#REF!"/>
  </r>
  <r>
    <s v="401000"/>
    <x v="6"/>
    <s v="FOURNISSEURS"/>
    <s v="AC"/>
    <n v="-145.19"/>
    <d v="2025-03-04T00:00:00"/>
    <s v="CONGRÈS BIOKET (GALA DINNER)"/>
    <m/>
    <s v="Non"/>
    <e v="#N/A"/>
    <n v="65993"/>
    <s v="18"/>
    <s v="DIVERS"/>
    <s v="Q1"/>
    <e v="#REF!"/>
    <e v="#REF!"/>
    <e v="#REF!"/>
  </r>
  <r>
    <s v="401000"/>
    <x v="6"/>
    <s v="FOURNISSEURS"/>
    <s v="AC"/>
    <n v="-145.03"/>
    <d v="2025-07-29T00:00:00"/>
    <s v="COMMANDE CONSOMMABLES LABO"/>
    <m/>
    <e v="#N/A"/>
    <e v="#N/A"/>
    <n v="81219"/>
    <s v="4067782413"/>
    <s v="VWR AVANTOR"/>
    <s v="Q3"/>
    <e v="#REF!"/>
    <e v="#REF!"/>
    <e v="#REF!"/>
  </r>
  <r>
    <s v="401000"/>
    <x v="6"/>
    <s v="FOURNISSEURS"/>
    <s v="AC"/>
    <n v="-145"/>
    <d v="2025-12-31T00:00:00"/>
    <s v="Billet train Michel Manach Board"/>
    <s v="Non"/>
    <s v="Non"/>
    <e v="#N/A"/>
    <n v="97668"/>
    <m/>
    <s v="Michel Manach"/>
    <s v="Q4"/>
    <e v="#REF!"/>
    <e v="#REF!"/>
    <e v="#REF!"/>
  </r>
  <r>
    <s v="401000"/>
    <x v="6"/>
    <s v="FOURNISSEURS"/>
    <s v="AC"/>
    <n v="-144.71"/>
    <d v="2025-11-28T00:00:00"/>
    <s v="FRAIS ET COMMISSIONS PRÉLEVÉS DU 01/11/2025 AU 28/11/2025"/>
    <m/>
    <e v="#N/A"/>
    <e v="#N/A"/>
    <n v="94278"/>
    <s v="25110000000000029581"/>
    <s v="Banque Populaire Rive de Paris"/>
    <s v="Q4"/>
    <e v="#REF!"/>
    <e v="#REF!"/>
    <e v="#REF!"/>
  </r>
  <r>
    <s v="401000"/>
    <x v="6"/>
    <s v="FOURNISSEURS"/>
    <s v="AC"/>
    <n v="-144.66"/>
    <d v="2025-12-22T00:00:00"/>
    <s v="GAZ NATUREL LYON"/>
    <m/>
    <e v="#N/A"/>
    <e v="#N/A"/>
    <n v="94846"/>
    <s v="1,2001E+11"/>
    <s v="ENGIE"/>
    <s v="Q4"/>
    <e v="#REF!"/>
    <e v="#REF!"/>
    <e v="#REF!"/>
  </r>
  <r>
    <s v="401000"/>
    <x v="6"/>
    <s v="FOURNISSEURS"/>
    <s v="AC"/>
    <n v="-144.30000000000001"/>
    <d v="2025-09-09T00:00:00"/>
    <s v="AIRBNB * HMFP59JZWY"/>
    <m/>
    <e v="#N/A"/>
    <e v="#N/A"/>
    <n v="82972"/>
    <s v="15"/>
    <s v="AIRBNB"/>
    <s v="Q3"/>
    <e v="#REF!"/>
    <e v="#REF!"/>
    <e v="#REF!"/>
  </r>
  <r>
    <s v="401000"/>
    <x v="6"/>
    <s v="FOURNISSEURS"/>
    <s v="AC"/>
    <n v="-144"/>
    <d v="2025-01-15T00:00:00"/>
    <s v="AMPOULE À DÉCANTER GLASSCO GIL"/>
    <m/>
    <e v="#N/A"/>
    <e v="#N/A"/>
    <n v="64004"/>
    <s v="186261"/>
    <s v="CLOUP"/>
    <s v="Q1"/>
    <e v="#REF!"/>
    <e v="#REF!"/>
    <e v="#REF!"/>
  </r>
  <r>
    <s v="401000"/>
    <x v="6"/>
    <s v="FOURNISSEURS"/>
    <s v="AC"/>
    <n v="-144"/>
    <d v="2025-11-07T00:00:00"/>
    <s v="FORFAIT SERVICE ET MAINTENANCE POUR LA PÉRIODE DU 01-NOV-2025 AU 31-JAN-2026"/>
    <m/>
    <e v="#N/A"/>
    <e v="#N/A"/>
    <n v="94843"/>
    <s v="927364008"/>
    <s v="RICOH"/>
    <s v="Q4"/>
    <e v="#REF!"/>
    <e v="#REF!"/>
    <e v="#REF!"/>
  </r>
  <r>
    <s v="401000"/>
    <x v="6"/>
    <s v="FOURNISSEURS"/>
    <s v="AC"/>
    <n v="-143.47"/>
    <d v="2025-02-10T00:00:00"/>
    <s v="MÉTHYLE-2-TÉTRAHYDROFURANE"/>
    <m/>
    <e v="#N/A"/>
    <e v="#N/A"/>
    <n v="61452"/>
    <s v="4173206"/>
    <s v="ROTH SOCHIEL"/>
    <s v="Q1"/>
    <e v="#REF!"/>
    <e v="#REF!"/>
    <e v="#REF!"/>
  </r>
  <r>
    <s v="401000"/>
    <x v="6"/>
    <s v="FOURNISSEURS"/>
    <s v="AC"/>
    <n v="-143.28"/>
    <d v="2025-04-11T00:00:00"/>
    <s v="2-AMINOBENZOATE DE MÉTHYLE 50G  CB SPENDESK 1104"/>
    <m/>
    <e v="#N/A"/>
    <e v="#N/A"/>
    <n v="69780"/>
    <s v="8053459307"/>
    <s v="Sigma-Aldrich chimie"/>
    <s v="Q2"/>
    <e v="#REF!"/>
    <e v="#REF!"/>
    <e v="#REF!"/>
  </r>
  <r>
    <s v="401000"/>
    <x v="6"/>
    <s v="FOURNISSEURS"/>
    <s v="AC"/>
    <n v="-142.86000000000001"/>
    <d v="2025-11-13T00:00:00"/>
    <s v="&quot;-_x0009_SURLIGNEURS -_x0009_STYLOS BLEUS -_x0009_CLASSEURS (X2) -_x0009_PETITS CAHIERS -_x0009_RAMETTES DE PAPIER -_x0009_STYLOS 4 COULEURS -_x0009_POT À STYLOS -_x0009_LIQUID"/>
    <m/>
    <e v="#N/A"/>
    <e v="#N/A"/>
    <n v="91437"/>
    <s v="26.638.348"/>
    <s v="BRUNEAU"/>
    <s v="Q4"/>
    <e v="#REF!"/>
    <e v="#REF!"/>
    <e v="#REF!"/>
  </r>
  <r>
    <s v="401000"/>
    <x v="6"/>
    <s v="FOURNISSEURS"/>
    <s v="AC"/>
    <n v="-142.27000000000001"/>
    <d v="2025-10-21T00:00:00"/>
    <s v="PRODUITS POUR LABO"/>
    <m/>
    <e v="#N/A"/>
    <e v="#N/A"/>
    <n v="87458"/>
    <s v="4067849964"/>
    <s v="VWR AVANTOR"/>
    <s v="Q4"/>
    <e v="#REF!"/>
    <e v="#REF!"/>
    <e v="#REF!"/>
  </r>
  <r>
    <s v="401000"/>
    <x v="6"/>
    <s v="FOURNISSEURS"/>
    <s v="AC"/>
    <n v="-142.08000000000001"/>
    <d v="2025-12-22T00:00:00"/>
    <s v="PRODUIT KEENB"/>
    <m/>
    <e v="#N/A"/>
    <e v="#N/A"/>
    <n v="94291"/>
    <s v="VRGG25-028287"/>
    <s v="ABCR"/>
    <s v="Q4"/>
    <e v="#REF!"/>
    <e v="#REF!"/>
    <e v="#REF!"/>
  </r>
  <r>
    <s v="401000"/>
    <x v="6"/>
    <s v="FOURNISSEURS"/>
    <s v="AC"/>
    <n v="-141.66"/>
    <d v="2025-01-01T00:00:00"/>
    <s v="ASPIRATEUR BATTERIE PETITES SURFACES"/>
    <m/>
    <e v="#N/A"/>
    <e v="#N/A"/>
    <n v="63995"/>
    <s v="7"/>
    <s v="MANO MANO"/>
    <s v="Q1"/>
    <e v="#REF!"/>
    <e v="#REF!"/>
    <e v="#REF!"/>
  </r>
  <r>
    <s v="401000"/>
    <x v="6"/>
    <s v="FOURNISSEURS"/>
    <s v="AC"/>
    <n v="-141.6"/>
    <d v="2025-02-17T00:00:00"/>
    <s v="COMMANDE PRODUIT KEENB"/>
    <m/>
    <e v="#N/A"/>
    <e v="#N/A"/>
    <n v="61514"/>
    <s v="8053426199"/>
    <s v="Sigma-Aldrich chimie"/>
    <s v="Q1"/>
    <e v="#REF!"/>
    <e v="#REF!"/>
    <e v="#REF!"/>
  </r>
  <r>
    <s v="401000"/>
    <x v="6"/>
    <s v="FOURNISSEURS"/>
    <s v="AC"/>
    <n v="-140.74"/>
    <d v="2025-03-20T00:00:00"/>
    <s v="KIT SULFITE (11741014) ET RACCORD (10430464)"/>
    <m/>
    <e v="#N/A"/>
    <e v="#N/A"/>
    <n v="66040"/>
    <s v="1173675389"/>
    <s v="FISHER SCIENTIFIC"/>
    <s v="Q1"/>
    <e v="#REF!"/>
    <e v="#REF!"/>
    <e v="#REF!"/>
  </r>
  <r>
    <s v="401000"/>
    <x v="6"/>
    <s v="FOURNISSEURS"/>
    <s v="AC"/>
    <n v="-140.74"/>
    <d v="2025-03-26T00:00:00"/>
    <s v="SPECTROMÈTRE UV LABO ROUSSILLON"/>
    <m/>
    <e v="#N/A"/>
    <e v="#N/A"/>
    <n v="67883"/>
    <s v="4174916221"/>
    <s v="FISHER SCIENTIFIC"/>
    <s v="Q1"/>
    <e v="#REF!"/>
    <e v="#REF!"/>
    <e v="#REF!"/>
  </r>
  <r>
    <s v="401000"/>
    <x v="6"/>
    <s v="FOURNISSEURS"/>
    <s v="AC"/>
    <n v="-140.09"/>
    <d v="2025-12-31T00:00:00"/>
    <s v="TRANSPORT INDIGO BRUT VERS VEG EXTRA"/>
    <m/>
    <e v="#N/A"/>
    <e v="#N/A"/>
    <n v="95159"/>
    <s v="25120323"/>
    <s v="BROSSIER TRANSPORTS"/>
    <s v="Q4"/>
    <e v="#REF!"/>
    <e v="#REF!"/>
    <e v="#REF!"/>
  </r>
  <r>
    <s v="401000"/>
    <x v="6"/>
    <s v="FOURNISSEURS"/>
    <s v="AC"/>
    <n v="-140.02000000000001"/>
    <d v="2025-08-18T00:00:00"/>
    <s v="TRANSPORT ECHANTILLON"/>
    <s v="Non"/>
    <e v="#N/A"/>
    <e v="#N/A"/>
    <n v="81956"/>
    <s v="91250133"/>
    <s v="BIOTIKA"/>
    <s v="Q3"/>
    <e v="#REF!"/>
    <e v="#REF!"/>
    <e v="#REF!"/>
  </r>
  <r>
    <s v="401000"/>
    <x v="6"/>
    <s v="FOURNISSEURS"/>
    <s v="AC"/>
    <n v="-139.49"/>
    <d v="2025-01-31T00:00:00"/>
    <s v="LIVRAISON INCLUSE JUSQU'À 8 EMBALLAGES"/>
    <m/>
    <e v="#N/A"/>
    <e v="#N/A"/>
    <n v="87000"/>
    <s v="5800327175"/>
    <s v="AIR LIQUIDE"/>
    <s v="Q1"/>
    <e v="#REF!"/>
    <e v="#REF!"/>
    <e v="#REF!"/>
  </r>
  <r>
    <s v="401000"/>
    <x v="6"/>
    <s v="FOURNISSEURS"/>
    <s v="AC"/>
    <n v="-139.49"/>
    <d v="2025-06-30T00:00:00"/>
    <s v="LIVRAISON INCLUSE JUSQU'À 8 EMBALLAGES PRE FIXE BT RÉGLEMENTATIONS-ENVIRONNEMENT"/>
    <m/>
    <e v="#N/A"/>
    <e v="#N/A"/>
    <n v="78396"/>
    <s v="5800692943"/>
    <s v="AIR LIQUIDE"/>
    <s v="Q2"/>
    <e v="#REF!"/>
    <e v="#REF!"/>
    <e v="#REF!"/>
  </r>
  <r>
    <s v="401000"/>
    <x v="6"/>
    <s v="FOURNISSEURS"/>
    <s v="AC"/>
    <n v="-139.49"/>
    <d v="2025-07-31T00:00:00"/>
    <s v="IMMOBILISATION BOUTEILLE GAZ SPÉCIAUX SMART"/>
    <m/>
    <e v="#N/A"/>
    <e v="#N/A"/>
    <n v="80661"/>
    <s v="5800760438"/>
    <s v="AIR LIQUIDE"/>
    <s v="Q3"/>
    <e v="#REF!"/>
    <e v="#REF!"/>
    <e v="#REF!"/>
  </r>
  <r>
    <s v="401000"/>
    <x v="6"/>
    <s v="FOURNISSEURS"/>
    <s v="AC"/>
    <n v="-137.04"/>
    <d v="2025-04-30T00:00:00"/>
    <s v="AGENTS DE FILTRATIONS POUR VBIO"/>
    <m/>
    <e v="#N/A"/>
    <e v="#N/A"/>
    <n v="73740"/>
    <s v="8053469180"/>
    <s v="Sigma-Aldrich chimie"/>
    <s v="Q2"/>
    <e v="#REF!"/>
    <e v="#REF!"/>
    <e v="#REF!"/>
  </r>
  <r>
    <s v="401000"/>
    <x v="6"/>
    <s v="FOURNISSEURS"/>
    <s v="AC"/>
    <n v="-136.91999999999999"/>
    <d v="2025-01-13T00:00:00"/>
    <s v="RÉACTIFS LABO R"/>
    <m/>
    <e v="#N/A"/>
    <e v="#N/A"/>
    <n v="61251"/>
    <s v="8053408144"/>
    <s v="Sigma-Aldrich chimie"/>
    <s v="Q1"/>
    <e v="#REF!"/>
    <e v="#REF!"/>
    <e v="#REF!"/>
  </r>
  <r>
    <s v="401000"/>
    <x v="6"/>
    <s v="FOURNISSEURS"/>
    <s v="AC"/>
    <n v="-136.80000000000001"/>
    <d v="2025-03-05T00:00:00"/>
    <s v="CONSOMMABLES LABO R."/>
    <m/>
    <e v="#N/A"/>
    <e v="#N/A"/>
    <n v="67833"/>
    <s v="4174543"/>
    <s v="ROTH SOCHIEL"/>
    <s v="Q1"/>
    <e v="#REF!"/>
    <e v="#REF!"/>
    <e v="#REF!"/>
  </r>
  <r>
    <s v="401000"/>
    <x v="6"/>
    <s v="FOURNISSEURS"/>
    <s v="AC"/>
    <n v="-136.56"/>
    <d v="2025-01-01T00:00:00"/>
    <s v="ABONNEMENT HELLOCSE FORFAIT 2 ANS PÉRIODE DU 01/12/2024 AU 31/12/2024"/>
    <m/>
    <s v="Non"/>
    <e v="#N/A"/>
    <n v="72512"/>
    <s v="2025-01-2408"/>
    <s v="HELLOCSE"/>
    <s v="Q1"/>
    <e v="#REF!"/>
    <e v="#REF!"/>
    <e v="#REF!"/>
  </r>
  <r>
    <s v="401000"/>
    <x v="6"/>
    <s v="FOURNISSEURS"/>
    <s v="AC"/>
    <n v="-136.56"/>
    <d v="2025-02-01T00:00:00"/>
    <s v="ABONNEMENT HELLOCSE FORFAIT 2 ANS PÉRIODE DU 01/01/2025 AU 31/01/2025"/>
    <m/>
    <s v="Non"/>
    <e v="#N/A"/>
    <n v="72532"/>
    <s v="2025-02-2373"/>
    <s v="HELLOCSE"/>
    <s v="Q1"/>
    <e v="#REF!"/>
    <e v="#REF!"/>
    <e v="#REF!"/>
  </r>
  <r>
    <s v="401000"/>
    <x v="6"/>
    <s v="FOURNISSEURS"/>
    <s v="AC"/>
    <n v="-136.56"/>
    <d v="2025-03-01T00:00:00"/>
    <s v="ABONNEMENT HELLOCSE FORFAIT 2 ANS PÉRIODE DU 01/02/2025 AU 28/02/2025"/>
    <m/>
    <s v="Non"/>
    <e v="#N/A"/>
    <n v="72545"/>
    <s v="2025-03-2362"/>
    <s v="HELLOCSE"/>
    <s v="Q1"/>
    <e v="#REF!"/>
    <e v="#REF!"/>
    <e v="#REF!"/>
  </r>
  <r>
    <s v="401000"/>
    <x v="6"/>
    <s v="FOURNISSEURS"/>
    <s v="AC"/>
    <n v="-136.56"/>
    <d v="2025-04-01T00:00:00"/>
    <s v="ABONNEMENT HELLOCSE FORFAIT 2 ANS PÉRIODE DU 01/03/2025 AU 31/03/2025"/>
    <m/>
    <s v="Non"/>
    <e v="#N/A"/>
    <n v="72597"/>
    <s v="2025-04-2345"/>
    <s v="HELLOCSE"/>
    <s v="Q2"/>
    <e v="#REF!"/>
    <e v="#REF!"/>
    <e v="#REF!"/>
  </r>
  <r>
    <s v="401000"/>
    <x v="6"/>
    <s v="FOURNISSEURS"/>
    <s v="AC"/>
    <n v="-136.56"/>
    <d v="2025-05-01T00:00:00"/>
    <s v="ABONNEMENT HELLOCSE FORFAIT 2 ANS"/>
    <m/>
    <s v="Non"/>
    <e v="#N/A"/>
    <n v="82225"/>
    <s v="2025-05-2326"/>
    <s v="HELLOCSE"/>
    <s v="Q2"/>
    <e v="#REF!"/>
    <e v="#REF!"/>
    <e v="#REF!"/>
  </r>
  <r>
    <s v="401000"/>
    <x v="6"/>
    <s v="FOURNISSEURS"/>
    <s v="AC"/>
    <n v="-136.56"/>
    <d v="2025-06-01T00:00:00"/>
    <s v="ABONNEMENT HELLOCSE FORFAIT 2 ANS"/>
    <m/>
    <s v="Non"/>
    <e v="#N/A"/>
    <n v="82230"/>
    <s v="2025-06-2317"/>
    <s v="HELLOCSE"/>
    <s v="Q2"/>
    <e v="#REF!"/>
    <e v="#REF!"/>
    <e v="#REF!"/>
  </r>
  <r>
    <s v="401000"/>
    <x v="6"/>
    <s v="FOURNISSEURS"/>
    <s v="AC"/>
    <n v="-136.56"/>
    <d v="2025-07-01T00:00:00"/>
    <s v="ABONNEMENT HELLOCSE FORFAIT 2 ANS"/>
    <m/>
    <s v="Non"/>
    <e v="#N/A"/>
    <n v="82233"/>
    <s v="2025-07-2314"/>
    <s v="HELLOCSE"/>
    <s v="Q3"/>
    <e v="#REF!"/>
    <e v="#REF!"/>
    <e v="#REF!"/>
  </r>
  <r>
    <s v="401000"/>
    <x v="6"/>
    <s v="FOURNISSEURS"/>
    <s v="AC"/>
    <n v="-136.56"/>
    <d v="2025-08-01T00:00:00"/>
    <s v="ABONNEMENT HELLOCSE FORFAIT 2 ANS"/>
    <m/>
    <s v="Non"/>
    <e v="#N/A"/>
    <n v="82236"/>
    <s v="2025-08-2316"/>
    <s v="HELLOCSE"/>
    <s v="Q3"/>
    <e v="#REF!"/>
    <e v="#REF!"/>
    <e v="#REF!"/>
  </r>
  <r>
    <s v="401000"/>
    <x v="6"/>
    <s v="FOURNISSEURS"/>
    <s v="AC"/>
    <n v="-136.56"/>
    <d v="2025-09-01T00:00:00"/>
    <s v="ABONNEMENT HELLOCSE FORFAIT 2 ANS"/>
    <m/>
    <s v="Non"/>
    <e v="#N/A"/>
    <n v="82251"/>
    <s v="2025-09-2318"/>
    <s v="HELLOCSE"/>
    <s v="Q3"/>
    <e v="#REF!"/>
    <e v="#REF!"/>
    <e v="#REF!"/>
  </r>
  <r>
    <s v="401000"/>
    <x v="6"/>
    <s v="FOURNISSEURS"/>
    <s v="AC"/>
    <n v="-136.56"/>
    <d v="2025-10-01T00:00:00"/>
    <s v="ABONNEMENT HELLOCSE FORFAIT 2 ANS"/>
    <m/>
    <s v="Non"/>
    <e v="#N/A"/>
    <n v="91050"/>
    <s v="2025-10-2310"/>
    <s v="HELLOCSE"/>
    <s v="Q4"/>
    <e v="#REF!"/>
    <e v="#REF!"/>
    <e v="#REF!"/>
  </r>
  <r>
    <s v="401000"/>
    <x v="6"/>
    <s v="FOURNISSEURS"/>
    <s v="AC"/>
    <n v="-136.56"/>
    <d v="2025-11-01T00:00:00"/>
    <s v="ABONNEMENT HELLOCSE FORFAIT 2 ANS"/>
    <m/>
    <s v="Non"/>
    <e v="#N/A"/>
    <n v="91053"/>
    <s v="2025-11-2303"/>
    <s v="HELLOCSE"/>
    <s v="Q4"/>
    <e v="#REF!"/>
    <e v="#REF!"/>
    <e v="#REF!"/>
  </r>
  <r>
    <s v="401000"/>
    <x v="6"/>
    <s v="FOURNISSEURS"/>
    <s v="AC"/>
    <n v="-136.56"/>
    <d v="2025-12-01T00:00:00"/>
    <s v="ABONNEMENT HELLOCSE FORFAIT 2 ANS"/>
    <m/>
    <s v="Non"/>
    <e v="#N/A"/>
    <n v="91843"/>
    <s v="2025-12-2287"/>
    <s v="HELLOCSE"/>
    <s v="Q4"/>
    <e v="#REF!"/>
    <e v="#REF!"/>
    <e v="#REF!"/>
  </r>
  <r>
    <s v="401000"/>
    <x v="6"/>
    <s v="FOURNISSEURS"/>
    <s v="AC"/>
    <n v="-135"/>
    <d v="2025-06-02T00:00:00"/>
    <s v="ÉQUIPEMENT POUR LABO"/>
    <m/>
    <e v="#N/A"/>
    <e v="#N/A"/>
    <n v="76100"/>
    <s v="4175007551"/>
    <s v="FISHER SCIENTIFIC"/>
    <s v="Q2"/>
    <e v="#REF!"/>
    <e v="#REF!"/>
    <e v="#REF!"/>
  </r>
  <r>
    <s v="401000"/>
    <x v="6"/>
    <s v="FOURNISSEURS"/>
    <s v="AC"/>
    <n v="-134.80000000000001"/>
    <d v="2025-05-30T00:00:00"/>
    <s v="CONNECT PRO FIBRE"/>
    <m/>
    <e v="#N/A"/>
    <e v="#N/A"/>
    <n v="80649"/>
    <s v="04C993L662 25D9-1J05"/>
    <s v="ORANGE"/>
    <s v="Q2"/>
    <e v="#REF!"/>
    <e v="#REF!"/>
    <e v="#REF!"/>
  </r>
  <r>
    <s v="401000"/>
    <x v="6"/>
    <s v="FOURNISSEURS"/>
    <s v="AC"/>
    <n v="-134.76"/>
    <d v="2025-01-31T00:00:00"/>
    <s v="COMMANDE PRODUIT KEENY"/>
    <m/>
    <e v="#N/A"/>
    <e v="#N/A"/>
    <n v="61360"/>
    <s v="8053417163"/>
    <s v="Sigma-Aldrich chimie"/>
    <s v="Q1"/>
    <e v="#REF!"/>
    <e v="#REF!"/>
    <e v="#REF!"/>
  </r>
  <r>
    <s v="401000"/>
    <x v="6"/>
    <s v="FOURNISSEURS"/>
    <s v="AC"/>
    <n v="-134.30000000000001"/>
    <d v="2025-05-12T00:00:00"/>
    <s v="RENOUVELLEMENT NOMS DE DOMAINE GAM"/>
    <m/>
    <e v="#N/A"/>
    <e v="#N/A"/>
    <n v="72710"/>
    <s v="2,03E+12"/>
    <s v="GANDI"/>
    <s v="Q2"/>
    <e v="#REF!"/>
    <e v="#REF!"/>
    <e v="#REF!"/>
  </r>
  <r>
    <s v="401000"/>
    <x v="6"/>
    <s v="FOURNISSEURS"/>
    <s v="AC"/>
    <n v="-134"/>
    <d v="2025-04-10T00:00:00"/>
    <s v="ALLER CHEMSPEC"/>
    <m/>
    <e v="#N/A"/>
    <e v="#N/A"/>
    <n v="77968"/>
    <s v="2"/>
    <s v="SNCF"/>
    <s v="Q2"/>
    <e v="#REF!"/>
    <e v="#REF!"/>
    <e v="#REF!"/>
  </r>
  <r>
    <s v="401000"/>
    <x v="6"/>
    <s v="FOURNISSEURS"/>
    <s v="AC"/>
    <n v="-133.86000000000001"/>
    <d v="2025-11-25T00:00:00"/>
    <s v="COSTS OF TRANSPORT VIA FEDEX"/>
    <s v="Non"/>
    <e v="#N/A"/>
    <e v="#N/A"/>
    <n v="91960"/>
    <s v="91250200"/>
    <s v="BIOTIKA"/>
    <s v="Q4"/>
    <e v="#REF!"/>
    <e v="#REF!"/>
    <e v="#REF!"/>
  </r>
  <r>
    <s v="401000"/>
    <x v="6"/>
    <s v="FOURNISSEURS"/>
    <s v="AC"/>
    <n v="-133.19999999999999"/>
    <d v="2025-01-29T00:00:00"/>
    <s v="FIBRE PRO LYON"/>
    <m/>
    <e v="#N/A"/>
    <e v="#N/A"/>
    <n v="72525"/>
    <s v="04C993L662 25A7- 1J01"/>
    <s v="ORANGE"/>
    <s v="Q1"/>
    <e v="#REF!"/>
    <e v="#REF!"/>
    <e v="#REF!"/>
  </r>
  <r>
    <s v="401000"/>
    <x v="6"/>
    <s v="FOURNISSEURS"/>
    <s v="AC"/>
    <n v="-133.19999999999999"/>
    <d v="2025-03-03T00:00:00"/>
    <s v="CONNECT PRO FIBRE"/>
    <m/>
    <e v="#N/A"/>
    <e v="#N/A"/>
    <n v="80643"/>
    <s v="04C993L66225B5-1J02"/>
    <s v="ORANGE"/>
    <s v="Q1"/>
    <e v="#REF!"/>
    <e v="#REF!"/>
    <e v="#REF!"/>
  </r>
  <r>
    <s v="401000"/>
    <x v="6"/>
    <s v="FOURNISSEURS"/>
    <s v="AC"/>
    <n v="-133.19999999999999"/>
    <d v="2025-03-31T00:00:00"/>
    <s v="CONNECT PRO FIBRE"/>
    <m/>
    <e v="#N/A"/>
    <e v="#N/A"/>
    <n v="87259"/>
    <s v="04C993L66225C3-1J03"/>
    <s v="ORANGE"/>
    <s v="Q1"/>
    <e v="#REF!"/>
    <e v="#REF!"/>
    <e v="#REF!"/>
  </r>
  <r>
    <s v="401000"/>
    <x v="6"/>
    <s v="FOURNISSEURS"/>
    <s v="AC"/>
    <n v="-133.19999999999999"/>
    <d v="2025-04-30T00:00:00"/>
    <s v="CONNECT PRO FIBRE"/>
    <m/>
    <e v="#N/A"/>
    <e v="#N/A"/>
    <n v="80646"/>
    <s v="04C993L662 25D1-1J04"/>
    <s v="ORANGE"/>
    <s v="Q2"/>
    <e v="#REF!"/>
    <e v="#REF!"/>
    <e v="#REF!"/>
  </r>
  <r>
    <s v="401000"/>
    <x v="6"/>
    <s v="FOURNISSEURS"/>
    <s v="AC"/>
    <n v="-132.97999999999999"/>
    <d v="2025-11-03T00:00:00"/>
    <s v="COSTS OF TRANSPORT TO PILI VIA FEDEX - 22.10.2025"/>
    <s v="Non"/>
    <e v="#N/A"/>
    <e v="#N/A"/>
    <n v="91098"/>
    <s v="91250184"/>
    <s v="BIOTIKA"/>
    <s v="Q4"/>
    <e v="#REF!"/>
    <e v="#REF!"/>
    <e v="#REF!"/>
  </r>
  <r>
    <s v="401000"/>
    <x v="6"/>
    <s v="FOURNISSEURS"/>
    <s v="AC"/>
    <n v="-132.47999999999999"/>
    <d v="2025-06-30T00:00:00"/>
    <s v="RÉACTIFS KL VBIO"/>
    <m/>
    <e v="#N/A"/>
    <e v="#N/A"/>
    <n v="78402"/>
    <s v="4179905"/>
    <s v="ROTH SOCHIEL"/>
    <s v="Q2"/>
    <e v="#REF!"/>
    <e v="#REF!"/>
    <e v="#REF!"/>
  </r>
  <r>
    <s v="401000"/>
    <x v="6"/>
    <s v="FOURNISSEURS"/>
    <s v="AC"/>
    <n v="-132"/>
    <d v="2025-01-01T00:00:00"/>
    <s v="MÉNAGE LYON"/>
    <m/>
    <e v="#N/A"/>
    <e v="#N/A"/>
    <n v="73600"/>
    <s v="CB20250102030229"/>
    <s v="HOPER"/>
    <s v="Q1"/>
    <e v="#REF!"/>
    <e v="#REF!"/>
    <e v="#REF!"/>
  </r>
  <r>
    <s v="401000"/>
    <x v="6"/>
    <s v="FOURNISSEURS"/>
    <s v="AC"/>
    <n v="-132"/>
    <d v="2025-03-31T00:00:00"/>
    <s v="MÉNAGE LYON 2025_03"/>
    <m/>
    <e v="#N/A"/>
    <e v="#N/A"/>
    <n v="71295"/>
    <s v="CB20250401031672"/>
    <s v="HOPER"/>
    <s v="Q1"/>
    <e v="#REF!"/>
    <e v="#REF!"/>
    <e v="#REF!"/>
  </r>
  <r>
    <s v="401000"/>
    <x v="6"/>
    <s v="FOURNISSEURS"/>
    <s v="AC"/>
    <n v="-130"/>
    <d v="2025-06-10T00:00:00"/>
    <s v="CONSEIL ET ASSISTANCE DANS LE CADRE DU SUIVI DES BSPCE"/>
    <s v="Non"/>
    <s v="Non"/>
    <e v="#N/A"/>
    <n v="76572"/>
    <s v="C2025590"/>
    <s v="ALTAIR AVOCATS"/>
    <s v="Q2"/>
    <e v="#REF!"/>
    <e v="#REF!"/>
    <e v="#REF!"/>
  </r>
  <r>
    <s v="401000"/>
    <x v="6"/>
    <s v="FOURNISSEURS"/>
    <s v="AC"/>
    <n v="-129.41999999999999"/>
    <d v="2025-01-20T00:00:00"/>
    <s v="ACÉTONE TECHNICAL BIDON PLASTIQUE 5L DIN42"/>
    <m/>
    <e v="#N/A"/>
    <e v="#N/A"/>
    <n v="64010"/>
    <s v="4067615587"/>
    <s v="VWR AVANTOR"/>
    <s v="Q1"/>
    <e v="#REF!"/>
    <e v="#REF!"/>
    <e v="#REF!"/>
  </r>
  <r>
    <s v="401000"/>
    <x v="6"/>
    <s v="FOURNISSEURS"/>
    <s v="AC"/>
    <n v="-128.93"/>
    <d v="2025-10-24T00:00:00"/>
    <s v="ALLER TRIALS BERTO"/>
    <m/>
    <e v="#N/A"/>
    <e v="#N/A"/>
    <n v="91391"/>
    <s v="7"/>
    <s v="AIRLINES"/>
    <s v="Q4"/>
    <e v="#REF!"/>
    <e v="#REF!"/>
    <e v="#REF!"/>
  </r>
  <r>
    <s v="401000"/>
    <x v="6"/>
    <s v="FOURNISSEURS"/>
    <s v="AC"/>
    <n v="-128"/>
    <d v="2025-02-19T00:00:00"/>
    <s v="RÉACTIFS DEV"/>
    <m/>
    <e v="#N/A"/>
    <e v="#N/A"/>
    <n v="64106"/>
    <s v="92399319"/>
    <s v="TCI"/>
    <s v="Q1"/>
    <e v="#REF!"/>
    <e v="#REF!"/>
    <e v="#REF!"/>
  </r>
  <r>
    <s v="401000"/>
    <x v="6"/>
    <s v="FOURNISSEURS"/>
    <s v="AC"/>
    <n v="-128"/>
    <d v="2025-09-04T00:00:00"/>
    <s v="DÉPLACEMENT PARIS 9 SEPT"/>
    <m/>
    <e v="#N/A"/>
    <e v="#N/A"/>
    <n v="82960"/>
    <s v="6"/>
    <s v="SNCF"/>
    <s v="Q3"/>
    <e v="#REF!"/>
    <e v="#REF!"/>
    <e v="#REF!"/>
  </r>
  <r>
    <s v="401000"/>
    <x v="6"/>
    <s v="FOURNISSEURS"/>
    <s v="AC"/>
    <n v="-128"/>
    <d v="2025-10-08T00:00:00"/>
    <s v="DÉPLACEMENT PARIS"/>
    <m/>
    <e v="#N/A"/>
    <e v="#N/A"/>
    <n v="89597"/>
    <s v="12"/>
    <s v="SNCF"/>
    <s v="Q4"/>
    <e v="#REF!"/>
    <e v="#REF!"/>
    <e v="#REF!"/>
  </r>
  <r>
    <s v="401000"/>
    <x v="6"/>
    <s v="FOURNISSEURS"/>
    <s v="AC"/>
    <n v="-128"/>
    <d v="2025-11-17T00:00:00"/>
    <s v="VROOM EVENT BXL ALLER"/>
    <m/>
    <e v="#N/A"/>
    <e v="#N/A"/>
    <n v="91447"/>
    <s v="31"/>
    <s v="SNCF"/>
    <s v="Q4"/>
    <e v="#REF!"/>
    <e v="#REF!"/>
    <e v="#REF!"/>
  </r>
  <r>
    <s v="401000"/>
    <x v="6"/>
    <s v="FOURNISSEURS"/>
    <s v="AC"/>
    <n v="-128"/>
    <d v="2025-11-24T00:00:00"/>
    <s v="AR PARIS 10 ANS PILI"/>
    <m/>
    <e v="#N/A"/>
    <e v="#N/A"/>
    <n v="91463"/>
    <s v="422790"/>
    <s v="SNCF"/>
    <s v="Q4"/>
    <e v="#REF!"/>
    <e v="#REF!"/>
    <e v="#REF!"/>
  </r>
  <r>
    <s v="401000"/>
    <x v="6"/>
    <s v="FOURNISSEURS"/>
    <s v="AC"/>
    <n v="-127"/>
    <d v="2025-06-23T00:00:00"/>
    <s v="COMMANDE PRODUIT KEENB"/>
    <m/>
    <e v="#N/A"/>
    <e v="#N/A"/>
    <n v="81746"/>
    <s v="0092577135"/>
    <s v="TCI"/>
    <s v="Q2"/>
    <e v="#REF!"/>
    <e v="#REF!"/>
    <e v="#REF!"/>
  </r>
  <r>
    <s v="401000"/>
    <x v="6"/>
    <s v="FOURNISSEURS"/>
    <s v="AC"/>
    <n v="-126.59"/>
    <d v="2025-01-26T00:00:00"/>
    <s v="COMBINAISON POUDRE ET LIQUIDE XXL"/>
    <m/>
    <e v="#N/A"/>
    <e v="#N/A"/>
    <n v="61320"/>
    <s v="64"/>
    <s v="RS COMPONENT"/>
    <s v="Q1"/>
    <e v="#REF!"/>
    <e v="#REF!"/>
    <e v="#REF!"/>
  </r>
  <r>
    <s v="401000"/>
    <x v="6"/>
    <s v="FOURNISSEURS"/>
    <s v="AC"/>
    <n v="-125.83"/>
    <d v="2025-10-13T00:00:00"/>
    <s v="BOOST POSTS LINKEDIN"/>
    <s v="Non"/>
    <s v="Non"/>
    <e v="#N/A"/>
    <n v="89610"/>
    <s v="18"/>
    <s v="LINKEDIN"/>
    <s v="Q4"/>
    <e v="#REF!"/>
    <e v="#REF!"/>
    <e v="#REF!"/>
  </r>
  <r>
    <s v="401000"/>
    <x v="6"/>
    <s v="FOURNISSEURS"/>
    <s v="AC"/>
    <n v="-124.06"/>
    <d v="2025-07-17T00:00:00"/>
    <s v="COMMANDE PRODUITS LABO"/>
    <m/>
    <e v="#N/A"/>
    <e v="#N/A"/>
    <n v="78914"/>
    <s v="4067774391"/>
    <s v="VWR AVANTOR"/>
    <s v="Q3"/>
    <e v="#REF!"/>
    <e v="#REF!"/>
    <e v="#REF!"/>
  </r>
  <r>
    <s v="401000"/>
    <x v="6"/>
    <s v="FOURNISSEURS"/>
    <s v="AC"/>
    <n v="-124"/>
    <d v="2025-01-29T00:00:00"/>
    <s v="VOYAGE LYON LOIC MASSEBOEUF"/>
    <m/>
    <e v="#N/A"/>
    <e v="#N/A"/>
    <n v="64022"/>
    <s v="XX8E88"/>
    <s v="SNCF"/>
    <s v="Q1"/>
    <e v="#REF!"/>
    <e v="#REF!"/>
    <e v="#REF!"/>
  </r>
  <r>
    <s v="401000"/>
    <x v="6"/>
    <s v="FOURNISSEURS"/>
    <s v="AC"/>
    <n v="-124"/>
    <d v="2025-12-08T00:00:00"/>
    <s v="AR CHEMDAY"/>
    <m/>
    <e v="#N/A"/>
    <e v="#N/A"/>
    <n v="93952"/>
    <s v="15"/>
    <s v="SNCF"/>
    <s v="Q4"/>
    <e v="#REF!"/>
    <e v="#REF!"/>
    <e v="#REF!"/>
  </r>
  <r>
    <s v="401000"/>
    <x v="6"/>
    <s v="FOURNISSEURS"/>
    <s v="AC"/>
    <n v="-122.65"/>
    <d v="2025-04-21T00:00:00"/>
    <s v="EXPRESS 9:00 DOC"/>
    <m/>
    <e v="#N/A"/>
    <e v="#N/A"/>
    <n v="69828"/>
    <s v="TLSR003732984"/>
    <s v="DHL"/>
    <s v="Q2"/>
    <e v="#REF!"/>
    <e v="#REF!"/>
    <e v="#REF!"/>
  </r>
  <r>
    <s v="401000"/>
    <x v="6"/>
    <s v="FOURNISSEURS"/>
    <s v="AC"/>
    <n v="-122.63"/>
    <d v="2025-01-01T00:00:00"/>
    <s v="Frais AVIS"/>
    <m/>
    <e v="#N/A"/>
    <e v="#N/A"/>
    <n v="74888"/>
    <m/>
    <s v="AVIS"/>
    <s v="Q1"/>
    <e v="#REF!"/>
    <e v="#REF!"/>
    <e v="#REF!"/>
  </r>
  <r>
    <s v="401000"/>
    <x v="6"/>
    <s v="FOURNISSEURS"/>
    <s v="AC"/>
    <n v="-122.56"/>
    <d v="2025-01-07T00:00:00"/>
    <s v="POMPE DE PRÉLÈVEMENT D'ÉCHANTILLONS"/>
    <m/>
    <e v="#N/A"/>
    <e v="#N/A"/>
    <n v="59855"/>
    <s v="4171344"/>
    <s v="ROTH SOCHIEL"/>
    <s v="Q1"/>
    <e v="#REF!"/>
    <e v="#REF!"/>
    <e v="#REF!"/>
  </r>
  <r>
    <s v="401000"/>
    <x v="6"/>
    <s v="FOURNISSEURS"/>
    <s v="AC"/>
    <n v="-122.54"/>
    <d v="2025-02-20T00:00:00"/>
    <s v="SODIUM HYDROXIDE, PELLETS, 98%"/>
    <m/>
    <e v="#N/A"/>
    <e v="#N/A"/>
    <n v="64108"/>
    <s v="4067644636"/>
    <s v="VWR AVANTOR"/>
    <s v="Q1"/>
    <e v="#REF!"/>
    <e v="#REF!"/>
    <e v="#REF!"/>
  </r>
  <r>
    <s v="401000"/>
    <x v="6"/>
    <s v="FOURNISSEURS"/>
    <s v="AC"/>
    <n v="-122"/>
    <d v="2025-04-04T00:00:00"/>
    <s v="ALLER RETOUR CODIR"/>
    <m/>
    <e v="#N/A"/>
    <e v="#N/A"/>
    <n v="71311"/>
    <s v="XLEF7"/>
    <s v="SNCF"/>
    <s v="Q2"/>
    <e v="#REF!"/>
    <e v="#REF!"/>
    <e v="#REF!"/>
  </r>
  <r>
    <s v="401000"/>
    <x v="6"/>
    <s v="FOURNISSEURS"/>
    <s v="AC"/>
    <n v="-122"/>
    <d v="2025-09-02T00:00:00"/>
    <s v="AR CODIR"/>
    <m/>
    <e v="#N/A"/>
    <e v="#N/A"/>
    <n v="82956"/>
    <s v="4"/>
    <s v="SNCF"/>
    <s v="Q3"/>
    <e v="#REF!"/>
    <e v="#REF!"/>
    <e v="#REF!"/>
  </r>
  <r>
    <s v="401000"/>
    <x v="6"/>
    <s v="FOURNISSEURS"/>
    <s v="AC"/>
    <n v="-121.85"/>
    <d v="2025-06-30T00:00:00"/>
    <s v="COMMANDE CONSOMMABLE LABO"/>
    <m/>
    <e v="#N/A"/>
    <e v="#N/A"/>
    <n v="77300"/>
    <s v="4067758784"/>
    <s v="VWR AVANTOR"/>
    <s v="Q2"/>
    <e v="#REF!"/>
    <e v="#REF!"/>
    <e v="#REF!"/>
  </r>
  <r>
    <s v="401000"/>
    <x v="6"/>
    <s v="FOURNISSEURS"/>
    <s v="AC"/>
    <n v="-120.36"/>
    <d v="2025-03-04T00:00:00"/>
    <s v="AMMONIUM HYDROXIDE"/>
    <m/>
    <e v="#N/A"/>
    <e v="#N/A"/>
    <n v="66093"/>
    <s v="4067656491"/>
    <s v="VWR AVANTOR"/>
    <s v="Q1"/>
    <e v="#REF!"/>
    <e v="#REF!"/>
    <e v="#REF!"/>
  </r>
  <r>
    <s v="401000"/>
    <x v="6"/>
    <s v="FOURNISSEURS"/>
    <s v="AC"/>
    <n v="-120"/>
    <d v="2025-05-03T00:00:00"/>
    <s v="AGENTS DE FILTRATIONS POUR VBIO"/>
    <m/>
    <e v="#N/A"/>
    <e v="#N/A"/>
    <n v="73761"/>
    <s v="8053470420"/>
    <s v="Sigma-Aldrich chimie"/>
    <s v="Q2"/>
    <e v="#REF!"/>
    <e v="#REF!"/>
    <e v="#REF!"/>
  </r>
  <r>
    <s v="401000"/>
    <x v="6"/>
    <s v="FOURNISSEURS"/>
    <s v="AC"/>
    <n v="-119.99"/>
    <d v="2025-02-09T00:00:00"/>
    <s v="ECRAN THIBAULT ROUSSILLON - NOUVEAU COLLAB (RUPTURE DE STOCK DE L'ANCIEN MODÈLE, DARTY AVAIT REMBOURSÉ)"/>
    <m/>
    <e v="#N/A"/>
    <e v="#N/A"/>
    <n v="61438"/>
    <s v="110"/>
    <s v="DARTY"/>
    <s v="Q1"/>
    <e v="#REF!"/>
    <e v="#REF!"/>
    <e v="#REF!"/>
  </r>
  <r>
    <s v="401000"/>
    <x v="6"/>
    <s v="FOURNISSEURS"/>
    <s v="AC"/>
    <n v="-119.41"/>
    <d v="2025-11-17T00:00:00"/>
    <s v="NUIT POST EVENT VROOM BXL"/>
    <m/>
    <e v="#N/A"/>
    <e v="#N/A"/>
    <n v="91449"/>
    <s v="32"/>
    <s v="BOOKING"/>
    <s v="Q4"/>
    <e v="#REF!"/>
    <e v="#REF!"/>
    <e v="#REF!"/>
  </r>
  <r>
    <s v="401000"/>
    <x v="6"/>
    <s v="FOURNISSEURS"/>
    <s v="AC"/>
    <n v="-119.4"/>
    <d v="2025-11-18T00:00:00"/>
    <s v="SODIUM HYDROSULFITE POUR VEG EXTRA"/>
    <m/>
    <e v="#N/A"/>
    <e v="#N/A"/>
    <n v="91460"/>
    <s v="2000126585"/>
    <s v="MONDROGUISTE"/>
    <s v="Q4"/>
    <e v="#REF!"/>
    <e v="#REF!"/>
    <e v="#REF!"/>
  </r>
  <r>
    <s v="401000"/>
    <x v="6"/>
    <s v="FOURNISSEURS"/>
    <s v="AC"/>
    <n v="-118.96"/>
    <d v="2025-08-07T00:00:00"/>
    <s v="COUTS DE TRANSPORT - ECHANTILLONS"/>
    <s v="Non"/>
    <e v="#N/A"/>
    <e v="#N/A"/>
    <n v="81948"/>
    <s v="91250122"/>
    <s v="BIOTIKA"/>
    <s v="Q3"/>
    <e v="#REF!"/>
    <e v="#REF!"/>
    <e v="#REF!"/>
  </r>
  <r>
    <s v="401000"/>
    <x v="6"/>
    <s v="FOURNISSEURS"/>
    <s v="AC"/>
    <n v="-118.04"/>
    <d v="2025-05-20T00:00:00"/>
    <s v="COMMANDE PRODUIT LABO"/>
    <m/>
    <e v="#N/A"/>
    <e v="#N/A"/>
    <n v="74442"/>
    <s v="4067724454"/>
    <s v="VWR AVANTOR"/>
    <s v="Q2"/>
    <e v="#REF!"/>
    <e v="#REF!"/>
    <e v="#REF!"/>
  </r>
  <r>
    <s v="401000"/>
    <x v="6"/>
    <s v="FOURNISSEURS"/>
    <s v="AC"/>
    <n v="-117.6"/>
    <d v="2025-04-02T00:00:00"/>
    <s v="IMPRESSION CDV PYB"/>
    <m/>
    <e v="#N/A"/>
    <e v="#N/A"/>
    <n v="69693"/>
    <s v="FL254906"/>
    <s v="GROUPE CHAUMEIL"/>
    <s v="Q2"/>
    <e v="#REF!"/>
    <e v="#REF!"/>
    <e v="#REF!"/>
  </r>
  <r>
    <s v="401000"/>
    <x v="6"/>
    <s v="FOURNISSEURS"/>
    <s v="AC"/>
    <n v="-117"/>
    <d v="2025-04-03T00:00:00"/>
    <s v="FLOCAGE VÊTEMENTS DE TRAVAIL"/>
    <m/>
    <e v="#N/A"/>
    <e v="#N/A"/>
    <n v="69706"/>
    <s v="2504003"/>
    <s v="RUF POSEUR D'EMPREINTES"/>
    <s v="Q2"/>
    <e v="#REF!"/>
    <e v="#REF!"/>
    <e v="#REF!"/>
  </r>
  <r>
    <s v="401000"/>
    <x v="6"/>
    <s v="FOURNISSEURS"/>
    <s v="AC"/>
    <n v="-116.97"/>
    <d v="2025-04-15T00:00:00"/>
    <s v="VOL JBL PYB NYC &gt; TORONTO"/>
    <m/>
    <e v="#N/A"/>
    <e v="#N/A"/>
    <n v="71320"/>
    <s v="IVKWQA"/>
    <s v="American Airlines"/>
    <s v="Q2"/>
    <e v="#REF!"/>
    <e v="#REF!"/>
    <e v="#REF!"/>
  </r>
  <r>
    <s v="401000"/>
    <x v="6"/>
    <s v="FOURNISSEURS"/>
    <s v="AC"/>
    <n v="-116.97"/>
    <d v="2025-04-15T00:00:00"/>
    <s v="VOL JBL PYB NYC &gt; TORONTO"/>
    <m/>
    <e v="#N/A"/>
    <e v="#N/A"/>
    <n v="71322"/>
    <s v="IVKWQA2"/>
    <s v="American Airlines"/>
    <s v="Q2"/>
    <e v="#REF!"/>
    <e v="#REF!"/>
    <e v="#REF!"/>
  </r>
  <r>
    <s v="401000"/>
    <x v="6"/>
    <s v="FOURNISSEURS"/>
    <s v="AC"/>
    <n v="-116.53"/>
    <d v="2025-09-18T00:00:00"/>
    <s v="PAPIER TOILETTE, LESSIVE (POUR MACHINE 7ÈME), LIQUIDE VAISSELLE, ÉPONGES, ESSUIE-TOUT"/>
    <m/>
    <e v="#N/A"/>
    <e v="#N/A"/>
    <n v="83013"/>
    <s v="26.427.240"/>
    <s v="BRUNEAU"/>
    <s v="Q3"/>
    <e v="#REF!"/>
    <e v="#REF!"/>
    <e v="#REF!"/>
  </r>
  <r>
    <s v="401000"/>
    <x v="6"/>
    <s v="FOURNISSEURS"/>
    <s v="AC"/>
    <n v="-116.5"/>
    <d v="2025-03-11T00:00:00"/>
    <s v="RETOUR ECS EN PASSANT PAR LILLE"/>
    <m/>
    <e v="#N/A"/>
    <e v="#N/A"/>
    <n v="67841"/>
    <s v="15"/>
    <s v="SNCF"/>
    <s v="Q1"/>
    <e v="#REF!"/>
    <e v="#REF!"/>
    <e v="#REF!"/>
  </r>
  <r>
    <s v="401000"/>
    <x v="6"/>
    <s v="FOURNISSEURS"/>
    <s v="AC"/>
    <n v="-116"/>
    <d v="2025-01-14T00:00:00"/>
    <s v="DÉPLACEMENT MARIO"/>
    <m/>
    <e v="#N/A"/>
    <e v="#N/A"/>
    <n v="61257"/>
    <s v="229"/>
    <s v="SNCF"/>
    <s v="Q1"/>
    <e v="#REF!"/>
    <e v="#REF!"/>
    <e v="#REF!"/>
  </r>
  <r>
    <s v="401000"/>
    <x v="6"/>
    <s v="FOURNISSEURS"/>
    <s v="AC"/>
    <n v="-116"/>
    <d v="2025-01-21T00:00:00"/>
    <s v="AR PARIS VISITE RENAULT"/>
    <m/>
    <e v="#N/A"/>
    <e v="#N/A"/>
    <n v="61292"/>
    <s v="51"/>
    <s v="SNCF"/>
    <s v="Q1"/>
    <e v="#REF!"/>
    <e v="#REF!"/>
    <e v="#REF!"/>
  </r>
  <r>
    <s v="401000"/>
    <x v="6"/>
    <s v="FOURNISSEURS"/>
    <s v="AC"/>
    <n v="-116"/>
    <d v="2025-02-12T00:00:00"/>
    <s v="AR BOURG PARIS RDV HC"/>
    <m/>
    <e v="#N/A"/>
    <e v="#N/A"/>
    <n v="61461"/>
    <s v="118"/>
    <s v="SNCF"/>
    <s v="Q1"/>
    <e v="#REF!"/>
    <e v="#REF!"/>
    <e v="#REF!"/>
  </r>
  <r>
    <s v="401000"/>
    <x v="6"/>
    <s v="FOURNISSEURS"/>
    <s v="AC"/>
    <n v="-116"/>
    <d v="2025-05-12T00:00:00"/>
    <s v="ALLER RDV SÉBASTIEN PERRET"/>
    <m/>
    <e v="#N/A"/>
    <e v="#N/A"/>
    <n v="77974"/>
    <s v="5"/>
    <s v="SNCF"/>
    <s v="Q2"/>
    <e v="#REF!"/>
    <e v="#REF!"/>
    <e v="#REF!"/>
  </r>
  <r>
    <s v="401000"/>
    <x v="6"/>
    <s v="FOURNISSEURS"/>
    <s v="AC"/>
    <n v="-116"/>
    <d v="2025-10-05T00:00:00"/>
    <s v="AR VISITE COH + CODIR"/>
    <m/>
    <e v="#N/A"/>
    <e v="#N/A"/>
    <n v="91389"/>
    <s v="6"/>
    <s v="SNCF"/>
    <s v="Q4"/>
    <e v="#REF!"/>
    <e v="#REF!"/>
    <e v="#REF!"/>
  </r>
  <r>
    <s v="401000"/>
    <x v="6"/>
    <s v="FOURNISSEURS"/>
    <s v="AC"/>
    <n v="-116"/>
    <d v="2025-10-10T00:00:00"/>
    <s v="AR PARIS BUSINESS BOARD + KINGPINS"/>
    <m/>
    <e v="#N/A"/>
    <e v="#N/A"/>
    <n v="89603"/>
    <s v="15"/>
    <s v="SNCF"/>
    <s v="Q4"/>
    <e v="#REF!"/>
    <e v="#REF!"/>
    <e v="#REF!"/>
  </r>
  <r>
    <s v="401000"/>
    <x v="6"/>
    <s v="FOURNISSEURS"/>
    <s v="AC"/>
    <n v="-116"/>
    <d v="2025-10-29T00:00:00"/>
    <s v="DÉPLACEMENT TOULOUSE NOVEMBRE"/>
    <m/>
    <e v="#N/A"/>
    <e v="#N/A"/>
    <n v="91395"/>
    <s v="9"/>
    <s v="SNCF"/>
    <s v="Q4"/>
    <e v="#REF!"/>
    <e v="#REF!"/>
    <e v="#REF!"/>
  </r>
  <r>
    <s v="401000"/>
    <x v="6"/>
    <s v="FOURNISSEURS"/>
    <s v="AC"/>
    <n v="-116"/>
    <d v="2025-11-01T00:00:00"/>
    <s v="AR CODIR"/>
    <m/>
    <e v="#N/A"/>
    <e v="#N/A"/>
    <n v="91400"/>
    <s v="11"/>
    <s v="SNCF"/>
    <s v="Q4"/>
    <e v="#REF!"/>
    <e v="#REF!"/>
    <e v="#REF!"/>
  </r>
  <r>
    <s v="401000"/>
    <x v="6"/>
    <s v="FOURNISSEURS"/>
    <s v="AC"/>
    <n v="-116"/>
    <d v="2025-11-28T00:00:00"/>
    <s v="AR 10 ANS PILI"/>
    <m/>
    <e v="#N/A"/>
    <e v="#N/A"/>
    <n v="91481"/>
    <s v="46"/>
    <s v="SNCF"/>
    <s v="Q4"/>
    <e v="#REF!"/>
    <e v="#REF!"/>
    <e v="#REF!"/>
  </r>
  <r>
    <s v="401000"/>
    <x v="6"/>
    <s v="FOURNISSEURS"/>
    <s v="AC"/>
    <n v="-116"/>
    <d v="2025-11-28T00:00:00"/>
    <s v="AR CONF DENIM FUTURES"/>
    <m/>
    <e v="#N/A"/>
    <e v="#N/A"/>
    <n v="91483"/>
    <s v="47"/>
    <s v="SNCF"/>
    <s v="Q4"/>
    <e v="#REF!"/>
    <e v="#REF!"/>
    <e v="#REF!"/>
  </r>
  <r>
    <s v="401000"/>
    <x v="6"/>
    <s v="FOURNISSEURS"/>
    <s v="AC"/>
    <n v="-115.61"/>
    <d v="2025-10-11T00:00:00"/>
    <s v="CAMPAGNE BOOST POST TIME'S BEST INVENTION 2025"/>
    <s v="Non"/>
    <s v="Non"/>
    <e v="#N/A"/>
    <n v="89605"/>
    <s v="16"/>
    <s v="LINKEDIN"/>
    <s v="Q4"/>
    <e v="#REF!"/>
    <e v="#REF!"/>
    <e v="#REF!"/>
  </r>
  <r>
    <s v="401000"/>
    <x v="6"/>
    <s v="FOURNISSEURS"/>
    <s v="AC"/>
    <n v="-115.21"/>
    <d v="2025-07-04T00:00:00"/>
    <s v="NOUVEAU BALAI ABEL, PRODUITS ENTRETIEN, (+ UN PETIT PEU DE CONSOMMABLES FOURNITURES DE BUREAU CHIMISTES)"/>
    <m/>
    <e v="#N/A"/>
    <e v="#N/A"/>
    <n v="82174"/>
    <s v="6"/>
    <s v="CASTORAMA"/>
    <s v="Q3"/>
    <e v="#REF!"/>
    <e v="#REF!"/>
    <e v="#REF!"/>
  </r>
  <r>
    <s v="401000"/>
    <x v="6"/>
    <s v="FOURNISSEURS"/>
    <s v="AC"/>
    <n v="-114.38"/>
    <d v="2025-03-25T00:00:00"/>
    <s v="AFFICHAGE MAGNÉTIQUE SALLE DE PAUSE (KPI) CÂBLE ROTAVAP"/>
    <m/>
    <e v="#N/A"/>
    <e v="#N/A"/>
    <n v="66106"/>
    <s v="70"/>
    <s v="MANUTAN"/>
    <s v="Q1"/>
    <e v="#REF!"/>
    <e v="#REF!"/>
    <e v="#REF!"/>
  </r>
  <r>
    <s v="401000"/>
    <x v="6"/>
    <s v="FOURNISSEURS"/>
    <s v="AC"/>
    <n v="-114.21"/>
    <d v="2025-03-21T00:00:00"/>
    <s v="ELECTRICITE LYON"/>
    <m/>
    <e v="#N/A"/>
    <e v="#N/A"/>
    <n v="72563"/>
    <s v="5,20E+11"/>
    <s v="ENGIE"/>
    <s v="Q1"/>
    <e v="#REF!"/>
    <e v="#REF!"/>
    <e v="#REF!"/>
  </r>
  <r>
    <s v="401000"/>
    <x v="6"/>
    <s v="FOURNISSEURS"/>
    <s v="AC"/>
    <n v="-113.94"/>
    <d v="2025-02-28T00:00:00"/>
    <s v="FRAIS BANCAIRES"/>
    <m/>
    <e v="#N/A"/>
    <e v="#N/A"/>
    <n v="72541"/>
    <s v="2,50E+19"/>
    <s v="Banque Populaire Rive de Paris"/>
    <s v="Q1"/>
    <e v="#REF!"/>
    <e v="#REF!"/>
    <e v="#REF!"/>
  </r>
  <r>
    <s v="401000"/>
    <x v="6"/>
    <s v="FOURNISSEURS"/>
    <s v="AC"/>
    <n v="-113.74"/>
    <d v="2025-11-17T00:00:00"/>
    <s v="EXPRESS WORLDWIDE EU"/>
    <m/>
    <e v="#N/A"/>
    <e v="#N/A"/>
    <n v="91059"/>
    <s v="TLSR004193764"/>
    <s v="DHL"/>
    <s v="Q4"/>
    <e v="#REF!"/>
    <e v="#REF!"/>
    <e v="#REF!"/>
  </r>
  <r>
    <s v="401000"/>
    <x v="6"/>
    <s v="FOURNISSEURS"/>
    <s v="AC"/>
    <n v="-113.26"/>
    <d v="2025-01-31T00:00:00"/>
    <s v="LOCATION BOUTEILLE GAZ SPÉCIAUX SMART"/>
    <m/>
    <e v="#N/A"/>
    <e v="#N/A"/>
    <n v="86997"/>
    <s v="5800327193"/>
    <s v="AIR LIQUIDE"/>
    <s v="Q1"/>
    <e v="#REF!"/>
    <e v="#REF!"/>
    <e v="#REF!"/>
  </r>
  <r>
    <s v="401000"/>
    <x v="6"/>
    <s v="FOURNISSEURS"/>
    <s v="AC"/>
    <n v="-113.26"/>
    <d v="2025-02-28T00:00:00"/>
    <s v="LOCATION BOUTEILLE GAZ SPÉCIAUX SMART"/>
    <m/>
    <e v="#N/A"/>
    <e v="#N/A"/>
    <n v="87009"/>
    <s v="5800405617"/>
    <s v="AIR LIQUIDE"/>
    <s v="Q1"/>
    <e v="#REF!"/>
    <e v="#REF!"/>
    <e v="#REF!"/>
  </r>
  <r>
    <s v="401000"/>
    <x v="6"/>
    <s v="FOURNISSEURS"/>
    <s v="AC"/>
    <n v="-113.26"/>
    <d v="2025-03-31T00:00:00"/>
    <s v="MMOBILISATION BOUTEILLE GAZ SPÉCIAUX SMART"/>
    <m/>
    <e v="#N/A"/>
    <e v="#N/A"/>
    <n v="67907"/>
    <s v="5800479141"/>
    <s v="AIR LIQUIDE"/>
    <s v="Q1"/>
    <e v="#REF!"/>
    <e v="#REF!"/>
    <e v="#REF!"/>
  </r>
  <r>
    <s v="401000"/>
    <x v="6"/>
    <s v="FOURNISSEURS"/>
    <s v="AC"/>
    <n v="-113.26"/>
    <d v="2025-04-30T00:00:00"/>
    <s v="IMMOBILISATION BOUTEILLE GAZ SPÉCIAUX SMART LOCATION BOUTEILLE GAZ SPÉCIAUX SMART"/>
    <m/>
    <e v="#N/A"/>
    <e v="#N/A"/>
    <n v="72641"/>
    <s v="5800552847"/>
    <s v="AIR LIQUIDE"/>
    <s v="Q2"/>
    <e v="#REF!"/>
    <e v="#REF!"/>
    <e v="#REF!"/>
  </r>
  <r>
    <s v="401000"/>
    <x v="6"/>
    <s v="FOURNISSEURS"/>
    <s v="AC"/>
    <n v="-113.04"/>
    <d v="2025-12-18T00:00:00"/>
    <s v="PRODUIT KEENABIS"/>
    <m/>
    <e v="#N/A"/>
    <e v="#N/A"/>
    <n v="93012"/>
    <s v="4067903482"/>
    <s v="VWR AVANTOR"/>
    <s v="Q4"/>
    <e v="#REF!"/>
    <e v="#REF!"/>
    <e v="#REF!"/>
  </r>
  <r>
    <s v="401000"/>
    <x v="6"/>
    <s v="FOURNISSEURS"/>
    <s v="AC"/>
    <n v="-113"/>
    <d v="2025-04-28T00:00:00"/>
    <s v="PARIS LYON 250428"/>
    <m/>
    <e v="#N/A"/>
    <e v="#N/A"/>
    <n v="73738"/>
    <s v="ZLACRB"/>
    <s v="SNCF"/>
    <s v="Q2"/>
    <e v="#REF!"/>
    <e v="#REF!"/>
    <e v="#REF!"/>
  </r>
  <r>
    <s v="401000"/>
    <x v="6"/>
    <s v="FOURNISSEURS"/>
    <s v="AC"/>
    <n v="-112.8"/>
    <d v="2025-04-08T00:00:00"/>
    <s v="ROULEAU ABSORBANT ET SURCHAUSSURE"/>
    <m/>
    <e v="#N/A"/>
    <e v="#N/A"/>
    <n v="69742"/>
    <s v="922050413"/>
    <s v="DENIOS"/>
    <s v="Q2"/>
    <e v="#REF!"/>
    <e v="#REF!"/>
    <e v="#REF!"/>
  </r>
  <r>
    <s v="401000"/>
    <x v="6"/>
    <s v="FOURNISSEURS"/>
    <s v="AC"/>
    <n v="-111.83"/>
    <d v="2025-07-10T00:00:00"/>
    <s v="CRÉATION ARRIVÉE D'AIR ENTRÉE BÂTIMENT (POMPE DÉCHETS + KL + LABORATOIRE) + CHANGEMENT FILTRE ARRIVÉE PILOTE"/>
    <m/>
    <e v="#N/A"/>
    <e v="#N/A"/>
    <n v="80869"/>
    <s v="487019486"/>
    <s v="RS COMPONENT"/>
    <s v="Q3"/>
    <e v="#REF!"/>
    <e v="#REF!"/>
    <e v="#REF!"/>
  </r>
  <r>
    <s v="401000"/>
    <x v="6"/>
    <s v="FOURNISSEURS"/>
    <s v="AC"/>
    <n v="-111.6"/>
    <d v="2025-07-31T00:00:00"/>
    <s v="MÉDECINE DU TRAVAIL"/>
    <m/>
    <e v="#N/A"/>
    <e v="#N/A"/>
    <n v="80658"/>
    <s v="25042280"/>
    <s v="PREVALY"/>
    <s v="Q3"/>
    <e v="#REF!"/>
    <e v="#REF!"/>
    <e v="#REF!"/>
  </r>
  <r>
    <s v="401000"/>
    <x v="6"/>
    <s v="FOURNISSEURS"/>
    <s v="AC"/>
    <n v="-111.6"/>
    <d v="2025-09-30T00:00:00"/>
    <s v="COTISATION ANNUELLE"/>
    <m/>
    <e v="#N/A"/>
    <e v="#N/A"/>
    <n v="82780"/>
    <s v="25048482"/>
    <s v="PREVALY"/>
    <s v="Q3"/>
    <e v="#REF!"/>
    <e v="#REF!"/>
    <e v="#REF!"/>
  </r>
  <r>
    <s v="401000"/>
    <x v="6"/>
    <s v="FOURNISSEURS"/>
    <s v="AC"/>
    <n v="-111.45"/>
    <d v="2025-03-28T00:00:00"/>
    <s v="AIR BNB LYON 14/04 LOIC"/>
    <m/>
    <e v="#N/A"/>
    <e v="#N/A"/>
    <n v="71290"/>
    <s v="RCKZX44X8Z"/>
    <s v="AIRBNB"/>
    <s v="Q1"/>
    <e v="#REF!"/>
    <e v="#REF!"/>
    <e v="#REF!"/>
  </r>
  <r>
    <s v="401000"/>
    <x v="6"/>
    <s v="FOURNISSEURS"/>
    <s v="AC"/>
    <n v="-111.05"/>
    <d v="2025-02-22T00:00:00"/>
    <s v="FACTURE RÉCEPTION RÉCURRENTE D'EAU - SITE ROUSSILLON"/>
    <m/>
    <e v="#N/A"/>
    <e v="#N/A"/>
    <n v="61548"/>
    <s v="151"/>
    <s v="CHATEAUDEAU"/>
    <s v="Q1"/>
    <e v="#REF!"/>
    <e v="#REF!"/>
    <e v="#REF!"/>
  </r>
  <r>
    <s v="401000"/>
    <x v="6"/>
    <s v="FOURNISSEURS"/>
    <s v="AC"/>
    <n v="-111"/>
    <d v="2025-04-09T00:00:00"/>
    <s v="DÉPLACEMENT À COLOGNE POUR CHEMSPEC"/>
    <m/>
    <e v="#N/A"/>
    <e v="#N/A"/>
    <n v="77966"/>
    <s v="1"/>
    <s v="SNCF"/>
    <s v="Q2"/>
    <e v="#REF!"/>
    <e v="#REF!"/>
    <e v="#REF!"/>
  </r>
  <r>
    <s v="401000"/>
    <x v="6"/>
    <s v="FOURNISSEURS"/>
    <s v="AC"/>
    <n v="-110.59"/>
    <d v="2025-07-30T00:00:00"/>
    <s v="COMMANDE CONSOMMABLES LABO"/>
    <m/>
    <e v="#N/A"/>
    <e v="#N/A"/>
    <n v="81225"/>
    <s v="4067783341"/>
    <s v="VWR AVANTOR"/>
    <s v="Q3"/>
    <e v="#REF!"/>
    <e v="#REF!"/>
    <e v="#REF!"/>
  </r>
  <r>
    <s v="401000"/>
    <x v="6"/>
    <s v="FOURNISSEURS"/>
    <s v="AC"/>
    <n v="-110.52"/>
    <d v="2025-05-19T00:00:00"/>
    <s v="PRODUITS POUR VBIO ET V2020 AMINOIMINOMETHANESULFINIC ACID IRON II SULFATE HEPTAHYDRATE"/>
    <m/>
    <e v="#N/A"/>
    <e v="#N/A"/>
    <n v="75953"/>
    <s v="8053478579"/>
    <s v="Sigma-Aldrich chimie"/>
    <s v="Q2"/>
    <e v="#REF!"/>
    <e v="#REF!"/>
    <e v="#REF!"/>
  </r>
  <r>
    <s v="401000"/>
    <x v="6"/>
    <s v="FOURNISSEURS"/>
    <s v="AC"/>
    <n v="-110.4"/>
    <d v="2025-12-05T00:00:00"/>
    <s v="CONSOMMABLE LABO"/>
    <m/>
    <e v="#N/A"/>
    <e v="#N/A"/>
    <n v="92988"/>
    <s v="4067892756"/>
    <s v="VWR AVANTOR"/>
    <s v="Q4"/>
    <e v="#REF!"/>
    <e v="#REF!"/>
    <e v="#REF!"/>
  </r>
  <r>
    <s v="401000"/>
    <x v="6"/>
    <s v="FOURNISSEURS"/>
    <s v="AC"/>
    <n v="-110.17"/>
    <d v="2025-09-25T00:00:00"/>
    <s v="NUIT POST BUSINESS BOARD"/>
    <m/>
    <e v="#N/A"/>
    <e v="#N/A"/>
    <n v="89583"/>
    <s v="5"/>
    <s v="BOOKING"/>
    <s v="Q3"/>
    <e v="#REF!"/>
    <e v="#REF!"/>
    <e v="#REF!"/>
  </r>
  <r>
    <s v="401000"/>
    <x v="6"/>
    <s v="FOURNISSEURS"/>
    <s v="AC"/>
    <n v="-109"/>
    <d v="2025-03-19T00:00:00"/>
    <s v="RETOUR PARIS DEPUIS TOULOUSE / AP / VISITE HSE"/>
    <m/>
    <e v="#N/A"/>
    <e v="#N/A"/>
    <n v="67857"/>
    <s v="21"/>
    <s v="SNCF"/>
    <s v="Q1"/>
    <e v="#REF!"/>
    <e v="#REF!"/>
    <e v="#REF!"/>
  </r>
  <r>
    <s v="401000"/>
    <x v="6"/>
    <s v="FOURNISSEURS"/>
    <s v="AC"/>
    <n v="-109"/>
    <d v="2025-05-06T00:00:00"/>
    <s v="TRAJET PARIS - TOULOUSE"/>
    <m/>
    <e v="#N/A"/>
    <e v="#N/A"/>
    <n v="77970"/>
    <s v="3"/>
    <s v="SNCF"/>
    <s v="Q2"/>
    <e v="#REF!"/>
    <e v="#REF!"/>
    <e v="#REF!"/>
  </r>
  <r>
    <s v="401000"/>
    <x v="6"/>
    <s v="FOURNISSEURS"/>
    <s v="AC"/>
    <n v="-109"/>
    <d v="2025-05-12T00:00:00"/>
    <s v="TRAJET RETOUR TOULOUSE 2 PARIS"/>
    <m/>
    <e v="#N/A"/>
    <e v="#N/A"/>
    <n v="77972"/>
    <s v="4"/>
    <s v="SNCF"/>
    <s v="Q2"/>
    <e v="#REF!"/>
    <e v="#REF!"/>
    <e v="#REF!"/>
  </r>
  <r>
    <s v="401000"/>
    <x v="6"/>
    <s v="FOURNISSEURS"/>
    <s v="AC"/>
    <n v="-109"/>
    <d v="2025-12-08T00:00:00"/>
    <s v="RETOUR TOULOUSE"/>
    <m/>
    <e v="#N/A"/>
    <e v="#N/A"/>
    <n v="93948"/>
    <s v="13"/>
    <s v="SNCF"/>
    <s v="Q4"/>
    <e v="#REF!"/>
    <e v="#REF!"/>
    <e v="#REF!"/>
  </r>
  <r>
    <s v="401000"/>
    <x v="6"/>
    <s v="FOURNISSEURS"/>
    <s v="AC"/>
    <n v="-109"/>
    <d v="2025-12-10T00:00:00"/>
    <s v="ALLER TOULOUSE"/>
    <m/>
    <e v="#N/A"/>
    <e v="#N/A"/>
    <n v="93956"/>
    <s v="19"/>
    <s v="SNCF"/>
    <s v="Q4"/>
    <e v="#REF!"/>
    <e v="#REF!"/>
    <e v="#REF!"/>
  </r>
  <r>
    <s v="401000"/>
    <x v="6"/>
    <s v="FOURNISSEURS"/>
    <s v="AC"/>
    <n v="-108.81"/>
    <d v="2025-08-21T00:00:00"/>
    <s v="FOURNITURES DE BUREAU (STOCK DE BASE)"/>
    <m/>
    <e v="#N/A"/>
    <e v="#N/A"/>
    <n v="82207"/>
    <s v="26.322.946"/>
    <s v="BRUNEAU"/>
    <s v="Q3"/>
    <e v="#REF!"/>
    <e v="#REF!"/>
    <e v="#REF!"/>
  </r>
  <r>
    <s v="401000"/>
    <x v="6"/>
    <s v="FOURNISSEURS"/>
    <s v="AC"/>
    <n v="-108.45"/>
    <d v="2025-02-21T00:00:00"/>
    <s v="ELECTRICITÉ LYON"/>
    <m/>
    <e v="#N/A"/>
    <e v="#N/A"/>
    <n v="73691"/>
    <s v="4,20E+11"/>
    <s v="ENGIE"/>
    <s v="Q1"/>
    <e v="#REF!"/>
    <e v="#REF!"/>
    <e v="#REF!"/>
  </r>
  <r>
    <s v="401000"/>
    <x v="6"/>
    <s v="FOURNISSEURS"/>
    <s v="AC"/>
    <n v="-108"/>
    <d v="2025-03-03T00:00:00"/>
    <s v="COMMANDE PRODUIT KEENY"/>
    <m/>
    <e v="#N/A"/>
    <e v="#N/A"/>
    <n v="66081"/>
    <s v="INGM192596"/>
    <s v="BLD PHARMATECH"/>
    <s v="Q1"/>
    <e v="#REF!"/>
    <e v="#REF!"/>
    <e v="#REF!"/>
  </r>
  <r>
    <s v="401000"/>
    <x v="6"/>
    <s v="FOURNISSEURS"/>
    <s v="AC"/>
    <n v="-107.99"/>
    <d v="2025-01-09T00:00:00"/>
    <s v="HÉBERGEMENT 2025_01"/>
    <m/>
    <e v="#N/A"/>
    <e v="#N/A"/>
    <n v="71270"/>
    <s v="20250117479"/>
    <s v="DATACAMPUS"/>
    <s v="Q1"/>
    <e v="#REF!"/>
    <e v="#REF!"/>
    <e v="#REF!"/>
  </r>
  <r>
    <s v="401000"/>
    <x v="6"/>
    <s v="FOURNISSEURS"/>
    <s v="AC"/>
    <n v="-107.99"/>
    <d v="2025-02-09T00:00:00"/>
    <s v="HÉBERGEMENT PILI 2025_02"/>
    <m/>
    <e v="#N/A"/>
    <e v="#N/A"/>
    <n v="71282"/>
    <s v="20250217801"/>
    <s v="DATACAMPUS"/>
    <s v="Q1"/>
    <e v="#REF!"/>
    <e v="#REF!"/>
    <e v="#REF!"/>
  </r>
  <r>
    <s v="401000"/>
    <x v="6"/>
    <s v="FOURNISSEURS"/>
    <s v="AC"/>
    <n v="-107.99"/>
    <d v="2025-03-09T00:00:00"/>
    <s v="HÉBERGEMENT 2025_03"/>
    <m/>
    <e v="#N/A"/>
    <e v="#N/A"/>
    <n v="71287"/>
    <s v="20250318101"/>
    <s v="DATACAMPUS"/>
    <s v="Q1"/>
    <e v="#REF!"/>
    <e v="#REF!"/>
    <e v="#REF!"/>
  </r>
  <r>
    <s v="401000"/>
    <x v="6"/>
    <s v="FOURNISSEURS"/>
    <s v="AC"/>
    <n v="-107.99"/>
    <d v="2025-04-09T00:00:00"/>
    <s v="HÉBERGEMENT SITE PILI"/>
    <m/>
    <e v="#N/A"/>
    <e v="#N/A"/>
    <n v="69753"/>
    <s v="20250418401"/>
    <s v="DATACAMPUS"/>
    <s v="Q2"/>
    <e v="#REF!"/>
    <e v="#REF!"/>
    <e v="#REF!"/>
  </r>
  <r>
    <s v="401000"/>
    <x v="6"/>
    <s v="FOURNISSEURS"/>
    <s v="AC"/>
    <n v="-107.99"/>
    <d v="2025-05-09T00:00:00"/>
    <s v="HÉBERGEMENT 2025_05"/>
    <m/>
    <e v="#N/A"/>
    <e v="#N/A"/>
    <n v="72705"/>
    <s v="20250518691"/>
    <s v="DATACAMPUS"/>
    <s v="Q2"/>
    <e v="#REF!"/>
    <e v="#REF!"/>
    <e v="#REF!"/>
  </r>
  <r>
    <s v="401000"/>
    <x v="6"/>
    <s v="FOURNISSEURS"/>
    <s v="AC"/>
    <n v="-107.99"/>
    <d v="2025-06-09T00:00:00"/>
    <s v="HÉBERGEMENT SITE PILI  2025_05"/>
    <m/>
    <e v="#N/A"/>
    <e v="#N/A"/>
    <n v="76201"/>
    <s v="20250618994"/>
    <s v="DATACAMPUS"/>
    <s v="Q2"/>
    <e v="#REF!"/>
    <e v="#REF!"/>
    <e v="#REF!"/>
  </r>
  <r>
    <s v="401000"/>
    <x v="6"/>
    <s v="FOURNISSEURS"/>
    <s v="AC"/>
    <n v="-107.99"/>
    <d v="2025-07-09T00:00:00"/>
    <s v="COMPTE #2706: SERVEURS DÉDIÉS - VPS SSD IM 2023.1 - PILI-VT-PROD-LAMP01"/>
    <m/>
    <e v="#N/A"/>
    <e v="#N/A"/>
    <n v="78799"/>
    <s v="20250719313"/>
    <s v="DATACAMPUS"/>
    <s v="Q3"/>
    <e v="#REF!"/>
    <e v="#REF!"/>
    <e v="#REF!"/>
  </r>
  <r>
    <s v="401000"/>
    <x v="6"/>
    <s v="FOURNISSEURS"/>
    <s v="AC"/>
    <n v="-107.99"/>
    <d v="2025-08-09T00:00:00"/>
    <s v="COMPTE #2706: SERVEURS DÉDIÉS - VPS SSD IM 2023.1 - PILI-VT-PROD-LAMP01"/>
    <m/>
    <e v="#N/A"/>
    <e v="#N/A"/>
    <n v="82239"/>
    <s v="20250819568"/>
    <s v="DATACAMPUS"/>
    <s v="Q3"/>
    <e v="#REF!"/>
    <e v="#REF!"/>
    <e v="#REF!"/>
  </r>
  <r>
    <s v="401000"/>
    <x v="6"/>
    <s v="FOURNISSEURS"/>
    <s v="AC"/>
    <n v="-107.99"/>
    <d v="2025-09-09T00:00:00"/>
    <s v="COMPTE #2706: SERVEURS DÉDIÉS - VPS SSD IM 2023.1 - PILI-VT-PROD-LAMP01"/>
    <m/>
    <e v="#N/A"/>
    <e v="#N/A"/>
    <n v="81906"/>
    <s v="20250919793"/>
    <s v="DATACAMPUS"/>
    <s v="Q3"/>
    <e v="#REF!"/>
    <e v="#REF!"/>
    <e v="#REF!"/>
  </r>
  <r>
    <s v="401000"/>
    <x v="6"/>
    <s v="FOURNISSEURS"/>
    <s v="AC"/>
    <n v="-107.99"/>
    <d v="2025-10-09T00:00:00"/>
    <s v="COMPTE #2706: SERVEURS DÉDIÉS - VPS SSD IM 2023.1 - PILI-VT-PROD-LAMP01"/>
    <m/>
    <e v="#N/A"/>
    <e v="#N/A"/>
    <n v="84998"/>
    <s v="20251020049"/>
    <s v="DATACAMPUS"/>
    <s v="Q4"/>
    <e v="#REF!"/>
    <e v="#REF!"/>
    <e v="#REF!"/>
  </r>
  <r>
    <s v="401000"/>
    <x v="6"/>
    <s v="FOURNISSEURS"/>
    <s v="AC"/>
    <n v="-107.99"/>
    <d v="2025-11-09T00:00:00"/>
    <s v="COMPTE #2706: SERVEURS DÉDIÉS - VPS SSD IM 2023.1 - PILI-VT-PROD-LAMP01"/>
    <m/>
    <e v="#N/A"/>
    <e v="#N/A"/>
    <n v="89670"/>
    <s v="20251120290"/>
    <s v="DATACAMPUS"/>
    <s v="Q4"/>
    <e v="#REF!"/>
    <e v="#REF!"/>
    <e v="#REF!"/>
  </r>
  <r>
    <s v="401000"/>
    <x v="6"/>
    <s v="FOURNISSEURS"/>
    <s v="AC"/>
    <n v="-107.99"/>
    <d v="2025-12-09T00:00:00"/>
    <s v="COMPTE #2706: SERVEURS DÉDIÉS - VPS SSD IM 2023.1 - PILI-VT-PROD-LAMP01"/>
    <m/>
    <e v="#N/A"/>
    <e v="#N/A"/>
    <n v="92016"/>
    <s v="20251220548"/>
    <s v="DATACAMPUS"/>
    <s v="Q4"/>
    <e v="#REF!"/>
    <e v="#REF!"/>
    <e v="#REF!"/>
  </r>
  <r>
    <s v="401000"/>
    <x v="6"/>
    <s v="FOURNISSEURS"/>
    <s v="AC"/>
    <n v="-107.64"/>
    <d v="2025-04-28T00:00:00"/>
    <s v="DMSO"/>
    <m/>
    <e v="#N/A"/>
    <e v="#N/A"/>
    <n v="72616"/>
    <s v="FA032223"/>
    <s v="ARCANE INDUSTRIE"/>
    <s v="Q2"/>
    <e v="#REF!"/>
    <e v="#REF!"/>
    <e v="#REF!"/>
  </r>
  <r>
    <s v="401000"/>
    <x v="6"/>
    <s v="FOURNISSEURS"/>
    <s v="AC"/>
    <n v="-107.39"/>
    <d v="2025-09-19T00:00:00"/>
    <s v="CONSOMMABLE LABO"/>
    <m/>
    <e v="#N/A"/>
    <e v="#N/A"/>
    <n v="85130"/>
    <s v="4067821368"/>
    <s v="VWR AVANTOR"/>
    <s v="Q3"/>
    <e v="#REF!"/>
    <e v="#REF!"/>
    <e v="#REF!"/>
  </r>
  <r>
    <s v="401000"/>
    <x v="6"/>
    <s v="FOURNISSEURS"/>
    <s v="AC"/>
    <n v="-107.17"/>
    <d v="2025-04-14T00:00:00"/>
    <s v="ENVOI NATURAMOLE ET INSA ROUEN"/>
    <m/>
    <e v="#N/A"/>
    <e v="#N/A"/>
    <n v="74223"/>
    <s v="TLSR003721635"/>
    <s v="DHL"/>
    <s v="Q2"/>
    <e v="#REF!"/>
    <e v="#REF!"/>
    <e v="#REF!"/>
  </r>
  <r>
    <s v="401000"/>
    <x v="6"/>
    <s v="FOURNISSEURS"/>
    <s v="AC"/>
    <n v="-106.82"/>
    <d v="2025-12-11T00:00:00"/>
    <s v="BOULES À THÉ, ESSUIE-TOUT, PAPIER TOILETTE, PETITS CAHIERS, POCHETTES PLASTIQUES"/>
    <m/>
    <e v="#N/A"/>
    <e v="#N/A"/>
    <n v="93958"/>
    <s v="26.762.569"/>
    <s v="BRUNEAU"/>
    <s v="Q4"/>
    <e v="#REF!"/>
    <e v="#REF!"/>
    <e v="#REF!"/>
  </r>
  <r>
    <s v="401000"/>
    <x v="6"/>
    <s v="FOURNISSEURS"/>
    <s v="AC"/>
    <n v="-106.5"/>
    <d v="2025-03-17T00:00:00"/>
    <s v="ROULEAU ABSORBANT : 872-5710 5 COMBINAISONS 2XL BLANCHES : 242-5302 5 COMBINAISONS 2XL JAUNES : 248-6476"/>
    <m/>
    <e v="#N/A"/>
    <e v="#N/A"/>
    <n v="66061"/>
    <s v="486410243"/>
    <s v="RS COMPONENT"/>
    <s v="Q1"/>
    <e v="#REF!"/>
    <e v="#REF!"/>
    <e v="#REF!"/>
  </r>
  <r>
    <s v="401000"/>
    <x v="6"/>
    <s v="FOURNISSEURS"/>
    <s v="AC"/>
    <n v="-106.39"/>
    <d v="2025-02-07T00:00:00"/>
    <s v="RACCORDS KL"/>
    <m/>
    <e v="#N/A"/>
    <e v="#N/A"/>
    <n v="64080"/>
    <s v="273031"/>
    <s v="BOHLENDER"/>
    <s v="Q1"/>
    <e v="#REF!"/>
    <e v="#REF!"/>
    <e v="#REF!"/>
  </r>
  <r>
    <s v="401000"/>
    <x v="6"/>
    <s v="FOURNISSEURS"/>
    <s v="AC"/>
    <n v="-105.5"/>
    <d v="2025-05-28T00:00:00"/>
    <s v="COMMANDE SOLVANT LABO"/>
    <m/>
    <e v="#N/A"/>
    <e v="#N/A"/>
    <n v="75977"/>
    <s v="4067731075"/>
    <s v="VWR AVANTOR"/>
    <s v="Q2"/>
    <e v="#REF!"/>
    <e v="#REF!"/>
    <e v="#REF!"/>
  </r>
  <r>
    <s v="401000"/>
    <x v="6"/>
    <s v="FOURNISSEURS"/>
    <s v="AC"/>
    <n v="-104.72"/>
    <d v="2025-09-05T00:00:00"/>
    <s v="SOLVANT LABO"/>
    <m/>
    <e v="#N/A"/>
    <e v="#N/A"/>
    <n v="82325"/>
    <s v="4067811318"/>
    <s v="VWR AVANTOR"/>
    <s v="Q3"/>
    <e v="#REF!"/>
    <e v="#REF!"/>
    <e v="#REF!"/>
  </r>
  <r>
    <s v="401000"/>
    <x v="6"/>
    <s v="FOURNISSEURS"/>
    <s v="AC"/>
    <n v="-104"/>
    <d v="2025-09-08T00:00:00"/>
    <s v="PRODUIT LISA"/>
    <m/>
    <e v="#N/A"/>
    <e v="#N/A"/>
    <n v="82331"/>
    <s v="INGM232808"/>
    <s v="BLD PHARMATECH"/>
    <s v="Q3"/>
    <e v="#REF!"/>
    <e v="#REF!"/>
    <e v="#REF!"/>
  </r>
  <r>
    <s v="401000"/>
    <x v="6"/>
    <s v="FOURNISSEURS"/>
    <s v="AC"/>
    <n v="-102.98"/>
    <d v="2025-06-20T00:00:00"/>
    <s v="COMMANDE DE ROUSSILLON : BESOIN DE MATÉRIEL SUPPLÉMENTAIRE (CAHIERS, CARTOUCHES, RUBAN, CLÉ USB) - CONTACT MARIE REZEAU - TEAMS"/>
    <m/>
    <e v="#N/A"/>
    <e v="#N/A"/>
    <n v="82160"/>
    <s v="1"/>
    <s v="BRUNEAU"/>
    <s v="Q2"/>
    <e v="#REF!"/>
    <e v="#REF!"/>
    <e v="#REF!"/>
  </r>
  <r>
    <s v="401000"/>
    <x v="6"/>
    <s v="FOURNISSEURS"/>
    <s v="AC"/>
    <n v="-102"/>
    <d v="2025-06-03T00:00:00"/>
    <s v="COMMANDE PRODUIT POUR LABO"/>
    <m/>
    <e v="#N/A"/>
    <e v="#N/A"/>
    <n v="76103"/>
    <s v="4067736064"/>
    <s v="VWR AVANTOR"/>
    <s v="Q2"/>
    <e v="#REF!"/>
    <e v="#REF!"/>
    <e v="#REF!"/>
  </r>
  <r>
    <s v="401000"/>
    <x v="6"/>
    <s v="FOURNISSEURS"/>
    <s v="AC"/>
    <n v="-102"/>
    <d v="2025-06-25T00:00:00"/>
    <s v="AR JOURNÉE AFTPVA"/>
    <m/>
    <e v="#N/A"/>
    <e v="#N/A"/>
    <n v="78058"/>
    <s v="37"/>
    <s v="SNCF"/>
    <s v="Q2"/>
    <e v="#REF!"/>
    <e v="#REF!"/>
    <e v="#REF!"/>
  </r>
  <r>
    <s v="401000"/>
    <x v="6"/>
    <s v="FOURNISSEURS"/>
    <s v="AC"/>
    <n v="-101.8"/>
    <d v="2025-12-01T00:00:00"/>
    <s v="BILLETS DE TRAIN VIENNE - TOULOUSE (MARIE &amp; SEPHORA)"/>
    <m/>
    <e v="#N/A"/>
    <e v="#N/A"/>
    <n v="91832"/>
    <s v="083167"/>
    <s v="SNCF"/>
    <s v="Q4"/>
    <e v="#REF!"/>
    <e v="#REF!"/>
    <e v="#REF!"/>
  </r>
  <r>
    <s v="401000"/>
    <x v="6"/>
    <s v="FOURNISSEURS"/>
    <s v="AC"/>
    <n v="-101.76"/>
    <d v="2025-04-08T00:00:00"/>
    <s v="COMMANDE PRODUIT LABO"/>
    <m/>
    <e v="#N/A"/>
    <e v="#N/A"/>
    <n v="69739"/>
    <s v="4067690317"/>
    <s v="VWR AVANTOR"/>
    <s v="Q2"/>
    <e v="#REF!"/>
    <e v="#REF!"/>
    <e v="#REF!"/>
  </r>
  <r>
    <s v="401000"/>
    <x v="6"/>
    <s v="FOURNISSEURS"/>
    <s v="AC"/>
    <n v="-101.16"/>
    <d v="2025-01-30T00:00:00"/>
    <s v="RACCORD BOUCHON POMPE À VIDE D582-02 X 11"/>
    <m/>
    <e v="#N/A"/>
    <e v="#N/A"/>
    <n v="61338"/>
    <s v="70"/>
    <s v="BOHLENDER"/>
    <s v="Q1"/>
    <e v="#REF!"/>
    <e v="#REF!"/>
    <e v="#REF!"/>
  </r>
  <r>
    <s v="401000"/>
    <x v="6"/>
    <s v="FOURNISSEURS"/>
    <s v="AC"/>
    <n v="-100.16"/>
    <d v="2025-01-07T00:00:00"/>
    <s v="AIRBNB TOULOUSE 15 JANVIER"/>
    <m/>
    <e v="#N/A"/>
    <e v="#N/A"/>
    <n v="59853"/>
    <s v="9"/>
    <s v="AIRBNB"/>
    <s v="Q1"/>
    <e v="#REF!"/>
    <e v="#REF!"/>
    <e v="#REF!"/>
  </r>
  <r>
    <s v="401000"/>
    <x v="6"/>
    <s v="FOURNISSEURS"/>
    <s v="AC"/>
    <n v="-99.72"/>
    <d v="2025-09-09T00:00:00"/>
    <s v="REVÊTEMENT SERVANTES"/>
    <m/>
    <e v="#N/A"/>
    <e v="#N/A"/>
    <n v="82974"/>
    <s v="1670"/>
    <s v="RAPTOR FRANCE"/>
    <s v="Q3"/>
    <e v="#REF!"/>
    <e v="#REF!"/>
    <e v="#REF!"/>
  </r>
  <r>
    <s v="401000"/>
    <x v="6"/>
    <s v="FOURNISSEURS"/>
    <s v="AC"/>
    <n v="-97.98"/>
    <d v="2025-02-28T00:00:00"/>
    <s v="D'EAU LOYER MIDEA"/>
    <m/>
    <e v="#N/A"/>
    <e v="#N/A"/>
    <n v="67812"/>
    <s v="31/05587274"/>
    <s v="CHATEAUDEAU"/>
    <s v="Q1"/>
    <e v="#REF!"/>
    <e v="#REF!"/>
    <e v="#REF!"/>
  </r>
  <r>
    <s v="401000"/>
    <x v="6"/>
    <s v="FOURNISSEURS"/>
    <s v="AC"/>
    <n v="-97.69"/>
    <d v="2025-01-31T00:00:00"/>
    <s v="ENVOI TAROS"/>
    <m/>
    <e v="#N/A"/>
    <e v="#N/A"/>
    <n v="74181"/>
    <s v="TLSR003585605"/>
    <s v="DHL"/>
    <s v="Q1"/>
    <e v="#REF!"/>
    <e v="#REF!"/>
    <e v="#REF!"/>
  </r>
  <r>
    <s v="401000"/>
    <x v="6"/>
    <s v="FOURNISSEURS"/>
    <s v="AC"/>
    <n v="-96.89"/>
    <d v="2025-02-03T00:00:00"/>
    <s v="SODIUM HYDROXYDE EN SOLUTION"/>
    <m/>
    <e v="#N/A"/>
    <e v="#N/A"/>
    <n v="64072"/>
    <s v="4067628880"/>
    <s v="VWR AVANTOR"/>
    <s v="Q1"/>
    <e v="#REF!"/>
    <e v="#REF!"/>
    <e v="#REF!"/>
  </r>
  <r>
    <s v="401000"/>
    <x v="6"/>
    <s v="FOURNISSEURS"/>
    <s v="AC"/>
    <n v="-96"/>
    <d v="2025-10-31T00:00:00"/>
    <s v="JOURNÉE TECHNIQUE : SÉPARATIONS SOLIDE / LIQUIDE"/>
    <m/>
    <s v="Non"/>
    <s v="Oui"/>
    <n v="91397"/>
    <s v="M156506189"/>
    <s v="AXELERA"/>
    <s v="Q4"/>
    <e v="#REF!"/>
    <e v="#REF!"/>
    <e v="#REF!"/>
  </r>
  <r>
    <s v="401000"/>
    <x v="6"/>
    <s v="FOURNISSEURS"/>
    <s v="AC"/>
    <n v="-95.14"/>
    <d v="2025-04-30T00:00:00"/>
    <s v="Frais bancaires BPRI 04/2025"/>
    <m/>
    <e v="#N/A"/>
    <e v="#N/A"/>
    <n v="82831"/>
    <m/>
    <s v="Banque Populaire Rive de Paris"/>
    <s v="Q2"/>
    <e v="#REF!"/>
    <e v="#REF!"/>
    <e v="#REF!"/>
  </r>
  <r>
    <s v="401000"/>
    <x v="6"/>
    <s v="FOURNISSEURS"/>
    <s v="AC"/>
    <n v="-95.14"/>
    <d v="2025-06-30T00:00:00"/>
    <s v="Frais bancaires BPRI 06/2025"/>
    <m/>
    <e v="#N/A"/>
    <e v="#N/A"/>
    <n v="82850"/>
    <m/>
    <s v="Banque Populaire Rive de Paris"/>
    <s v="Q2"/>
    <e v="#REF!"/>
    <e v="#REF!"/>
    <e v="#REF!"/>
  </r>
  <r>
    <s v="401000"/>
    <x v="6"/>
    <s v="FOURNISSEURS"/>
    <s v="AC"/>
    <n v="-95.14"/>
    <d v="2025-09-30T00:00:00"/>
    <s v="Frais bancaires BPRI 09/2025"/>
    <m/>
    <e v="#N/A"/>
    <e v="#N/A"/>
    <n v="82934"/>
    <m/>
    <s v="Banque Populaire Rive de Paris"/>
    <s v="Q3"/>
    <e v="#REF!"/>
    <e v="#REF!"/>
    <e v="#REF!"/>
  </r>
  <r>
    <s v="401000"/>
    <x v="6"/>
    <s v="FOURNISSEURS"/>
    <s v="AC"/>
    <n v="-95"/>
    <d v="2025-08-26T00:00:00"/>
    <s v="RETOUR PARIS AP"/>
    <m/>
    <e v="#N/A"/>
    <e v="#N/A"/>
    <n v="82217"/>
    <s v="22"/>
    <s v="SNCF"/>
    <s v="Q3"/>
    <e v="#REF!"/>
    <e v="#REF!"/>
    <e v="#REF!"/>
  </r>
  <r>
    <s v="401000"/>
    <x v="6"/>
    <s v="FOURNISSEURS"/>
    <s v="AC"/>
    <n v="-95"/>
    <d v="2025-09-26T00:00:00"/>
    <s v="DÉPLACEMENT ROUSSILLON"/>
    <m/>
    <e v="#N/A"/>
    <e v="#N/A"/>
    <n v="83024"/>
    <s v="39"/>
    <s v="SNCF"/>
    <s v="Q3"/>
    <e v="#REF!"/>
    <e v="#REF!"/>
    <e v="#REF!"/>
  </r>
  <r>
    <s v="401000"/>
    <x v="6"/>
    <s v="FOURNISSEURS"/>
    <s v="AC"/>
    <n v="-95"/>
    <d v="2025-10-30T00:00:00"/>
    <s v="À/R ROUSSILLON"/>
    <m/>
    <e v="#N/A"/>
    <e v="#N/A"/>
    <n v="89652"/>
    <s v="36"/>
    <s v="SNCF"/>
    <s v="Q4"/>
    <e v="#REF!"/>
    <e v="#REF!"/>
    <e v="#REF!"/>
  </r>
  <r>
    <s v="401000"/>
    <x v="6"/>
    <s v="FOURNISSEURS"/>
    <s v="AC"/>
    <n v="-95"/>
    <d v="2025-11-17T00:00:00"/>
    <s v="VROOM EVENT BXL RETOUR"/>
    <m/>
    <e v="#N/A"/>
    <e v="#N/A"/>
    <n v="91454"/>
    <s v="34"/>
    <s v="SNCF"/>
    <s v="Q4"/>
    <e v="#REF!"/>
    <e v="#REF!"/>
    <e v="#REF!"/>
  </r>
  <r>
    <s v="401000"/>
    <x v="6"/>
    <s v="FOURNISSEURS"/>
    <s v="AC"/>
    <n v="-94.78"/>
    <d v="2025-07-31T00:00:00"/>
    <s v="ABONNEMENT BONBONNES D'EAU ROUSSILLON"/>
    <m/>
    <e v="#N/A"/>
    <e v="#N/A"/>
    <n v="91379"/>
    <s v="1"/>
    <s v="CHATEAUDEAU"/>
    <s v="Q3"/>
    <e v="#REF!"/>
    <e v="#REF!"/>
    <e v="#REF!"/>
  </r>
  <r>
    <s v="401000"/>
    <x v="6"/>
    <s v="FOURNISSEURS"/>
    <s v="AC"/>
    <n v="-94.17"/>
    <d v="2025-01-13T00:00:00"/>
    <s v="AIRBNB CB - LOIC MASSEBOEUF"/>
    <m/>
    <e v="#N/A"/>
    <e v="#N/A"/>
    <n v="63997"/>
    <s v="RCHMD2AFPB"/>
    <s v="AIRBNB"/>
    <s v="Q1"/>
    <e v="#REF!"/>
    <e v="#REF!"/>
    <e v="#REF!"/>
  </r>
  <r>
    <s v="401000"/>
    <x v="6"/>
    <s v="FOURNISSEURS"/>
    <s v="AC"/>
    <n v="-94.12"/>
    <d v="2025-04-15T00:00:00"/>
    <s v="AIRB'B TOULOUSE 250417"/>
    <m/>
    <e v="#N/A"/>
    <e v="#N/A"/>
    <n v="74226"/>
    <s v="RCYNJMYEJZ"/>
    <s v="AIRBNB"/>
    <s v="Q2"/>
    <e v="#REF!"/>
    <e v="#REF!"/>
    <e v="#REF!"/>
  </r>
  <r>
    <s v="401000"/>
    <x v="6"/>
    <s v="FOURNISSEURS"/>
    <s v="AC"/>
    <n v="-93.9"/>
    <d v="2025-04-22T00:00:00"/>
    <s v="COMMANDE PRODUIT LABO"/>
    <m/>
    <e v="#N/A"/>
    <e v="#N/A"/>
    <n v="71329"/>
    <s v="4067701172"/>
    <s v="VWR AVANTOR"/>
    <s v="Q2"/>
    <e v="#REF!"/>
    <e v="#REF!"/>
    <e v="#REF!"/>
  </r>
  <r>
    <s v="401000"/>
    <x v="6"/>
    <s v="FOURNISSEURS"/>
    <s v="AC"/>
    <n v="-93.84"/>
    <d v="2025-05-30T00:00:00"/>
    <s v="&quot;GLYCEROL _x0009_ ETHYLENE GLYCOL_x0009_ 1,3-PROPANEDIOL_x0009_ CALCIUM CHLORIDE ANHYDROUS_x0009_ SODIUM SULFITE&quot;"/>
    <m/>
    <e v="#N/A"/>
    <e v="#N/A"/>
    <n v="75982"/>
    <s v="4178669"/>
    <s v="ROTH SOCHIEL"/>
    <s v="Q2"/>
    <e v="#REF!"/>
    <e v="#REF!"/>
    <e v="#REF!"/>
  </r>
  <r>
    <s v="401000"/>
    <x v="6"/>
    <s v="FOURNISSEURS"/>
    <s v="AC"/>
    <n v="-92.67"/>
    <d v="2025-10-21T00:00:00"/>
    <s v="LOGEMENT TOULOUSE 251030"/>
    <m/>
    <e v="#N/A"/>
    <e v="#N/A"/>
    <n v="89627"/>
    <s v="26"/>
    <s v="AIRBNB"/>
    <s v="Q4"/>
    <e v="#REF!"/>
    <e v="#REF!"/>
    <e v="#REF!"/>
  </r>
  <r>
    <s v="401000"/>
    <x v="6"/>
    <s v="FOURNISSEURS"/>
    <s v="AC"/>
    <n v="-92.67"/>
    <d v="2025-11-14T00:00:00"/>
    <s v="AIRBNB TOULOUSE 251119"/>
    <m/>
    <e v="#N/A"/>
    <e v="#N/A"/>
    <n v="97049"/>
    <s v="1"/>
    <s v="AIRBNB"/>
    <s v="Q4"/>
    <e v="#REF!"/>
    <e v="#REF!"/>
    <e v="#REF!"/>
  </r>
  <r>
    <s v="401000"/>
    <x v="6"/>
    <s v="FOURNISSEURS"/>
    <s v="AC"/>
    <n v="-92.4"/>
    <d v="2025-07-31T00:00:00"/>
    <s v="EAU POUR HPLC KEENY"/>
    <m/>
    <e v="#N/A"/>
    <e v="#N/A"/>
    <n v="92973"/>
    <s v="4181060"/>
    <s v="ROTH SOCHIEL"/>
    <s v="Q3"/>
    <e v="#REF!"/>
    <e v="#REF!"/>
    <e v="#REF!"/>
  </r>
  <r>
    <s v="401000"/>
    <x v="6"/>
    <s v="FOURNISSEURS"/>
    <s v="AC"/>
    <n v="-92.16"/>
    <d v="2025-07-30T00:00:00"/>
    <s v="COMMANDE CONSOMMABLES LABO"/>
    <m/>
    <e v="#N/A"/>
    <e v="#N/A"/>
    <n v="81228"/>
    <s v="4067783340"/>
    <s v="VWR AVANTOR"/>
    <s v="Q3"/>
    <e v="#REF!"/>
    <e v="#REF!"/>
    <e v="#REF!"/>
  </r>
  <r>
    <s v="401000"/>
    <x v="6"/>
    <s v="FOURNISSEURS"/>
    <s v="AC"/>
    <n v="-91.5"/>
    <d v="2025-06-23T00:00:00"/>
    <s v="ENVOIS DHL"/>
    <m/>
    <e v="#N/A"/>
    <e v="#N/A"/>
    <n v="76210"/>
    <s v="TLSR003860755"/>
    <s v="DHL"/>
    <s v="Q2"/>
    <e v="#REF!"/>
    <e v="#REF!"/>
    <e v="#REF!"/>
  </r>
  <r>
    <s v="401000"/>
    <x v="6"/>
    <s v="FOURNISSEURS"/>
    <s v="AC"/>
    <n v="-91.08"/>
    <d v="2025-05-30T00:00:00"/>
    <s v="CONSOMMABLE ET ENTRETIEN"/>
    <m/>
    <e v="#N/A"/>
    <e v="#N/A"/>
    <n v="77989"/>
    <s v="12"/>
    <s v="LA FOURCHE"/>
    <s v="Q2"/>
    <e v="#REF!"/>
    <e v="#REF!"/>
    <e v="#REF!"/>
  </r>
  <r>
    <s v="401000"/>
    <x v="6"/>
    <s v="FOURNISSEURS"/>
    <s v="AC"/>
    <n v="-90.42"/>
    <d v="2025-03-18T00:00:00"/>
    <s v="ROULEAU ABSORBANT : 872-5710 5 COMBINAISONS 2XL BLANCHES : 242-5302 5 COMBINAISONS 2XL JAUNES : 248-6476"/>
    <m/>
    <e v="#N/A"/>
    <e v="#N/A"/>
    <n v="66027"/>
    <s v="486419727"/>
    <s v="RS COMPONENT"/>
    <s v="Q1"/>
    <e v="#REF!"/>
    <e v="#REF!"/>
    <e v="#REF!"/>
  </r>
  <r>
    <s v="401000"/>
    <x v="6"/>
    <s v="FOURNISSEURS"/>
    <s v="AC"/>
    <n v="-90.2"/>
    <d v="2025-04-12T00:00:00"/>
    <s v="CHEVILLES DE BOIS (POUR MONTAGE ÉTAGÈRE DES TOILETTES), TORCHONS, SERVIETTES, ÉPLUCHEUR"/>
    <m/>
    <e v="#N/A"/>
    <e v="#N/A"/>
    <n v="69789"/>
    <s v="525162-042025"/>
    <s v="LEROY MERLIN"/>
    <s v="Q2"/>
    <e v="#REF!"/>
    <e v="#REF!"/>
    <e v="#REF!"/>
  </r>
  <r>
    <s v="401000"/>
    <x v="6"/>
    <s v="FOURNISSEURS"/>
    <s v="AC"/>
    <n v="-90"/>
    <d v="2025-02-10T00:00:00"/>
    <s v="COMMANDE PRODUIT LISA"/>
    <m/>
    <e v="#N/A"/>
    <e v="#N/A"/>
    <n v="61441"/>
    <s v="92385292"/>
    <s v="TCI"/>
    <s v="Q1"/>
    <e v="#REF!"/>
    <e v="#REF!"/>
    <e v="#REF!"/>
  </r>
  <r>
    <s v="401000"/>
    <x v="6"/>
    <s v="FOURNISSEURS"/>
    <s v="AC"/>
    <n v="-90"/>
    <d v="2025-02-19T00:00:00"/>
    <s v="IMPRESSION CARTES DE VISITE BOB"/>
    <m/>
    <e v="#N/A"/>
    <e v="#N/A"/>
    <n v="61530"/>
    <s v="FL253741"/>
    <s v="GROUPE CHAUMEIL"/>
    <s v="Q1"/>
    <e v="#REF!"/>
    <e v="#REF!"/>
    <e v="#REF!"/>
  </r>
  <r>
    <s v="401000"/>
    <x v="6"/>
    <s v="FOURNISSEURS"/>
    <s v="AC"/>
    <n v="-90"/>
    <d v="2025-07-02T00:00:00"/>
    <s v="COMMANDE ABSORBANT POUR LABO"/>
    <m/>
    <e v="#N/A"/>
    <e v="#N/A"/>
    <n v="78888"/>
    <s v="922055769"/>
    <s v="DENIOS"/>
    <s v="Q3"/>
    <e v="#REF!"/>
    <e v="#REF!"/>
    <e v="#REF!"/>
  </r>
  <r>
    <s v="401000"/>
    <x v="6"/>
    <s v="FOURNISSEURS"/>
    <s v="AC"/>
    <n v="-89.99"/>
    <d v="2025-03-10T00:00:00"/>
    <s v="ALLER ECS"/>
    <m/>
    <e v="#N/A"/>
    <e v="#N/A"/>
    <n v="65996"/>
    <s v="2025-304486054097"/>
    <s v="DB"/>
    <s v="Q1"/>
    <e v="#REF!"/>
    <e v="#REF!"/>
    <e v="#REF!"/>
  </r>
  <r>
    <s v="401000"/>
    <x v="6"/>
    <s v="FOURNISSEURS"/>
    <s v="AC"/>
    <n v="-89.65"/>
    <d v="2025-01-20T00:00:00"/>
    <s v="ENVOI KHI ARCHROMA"/>
    <m/>
    <e v="#N/A"/>
    <e v="#N/A"/>
    <n v="74172"/>
    <s v="TLSR003553874"/>
    <s v="DHL"/>
    <s v="Q1"/>
    <e v="#REF!"/>
    <e v="#REF!"/>
    <e v="#REF!"/>
  </r>
  <r>
    <s v="401000"/>
    <x v="6"/>
    <s v="FOURNISSEURS"/>
    <s v="AC"/>
    <n v="-89.3"/>
    <d v="2025-12-31T00:00:00"/>
    <s v="LOCATION BOUTEILLE GAZ SPÉCIAUX SMART"/>
    <m/>
    <e v="#N/A"/>
    <e v="#N/A"/>
    <n v="94300"/>
    <s v="5801121469"/>
    <s v="AIR LIQUIDE"/>
    <s v="Q4"/>
    <e v="#REF!"/>
    <e v="#REF!"/>
    <e v="#REF!"/>
  </r>
  <r>
    <s v="401000"/>
    <x v="6"/>
    <s v="FOURNISSEURS"/>
    <s v="AC"/>
    <n v="-89.17"/>
    <d v="2025-05-06T00:00:00"/>
    <s v="LOGEMENT DÉPLACEMENT KB 12-13 MAI"/>
    <m/>
    <e v="#N/A"/>
    <e v="#N/A"/>
    <n v="72700"/>
    <s v="61"/>
    <s v="AIRBNB"/>
    <s v="Q2"/>
    <e v="#REF!"/>
    <e v="#REF!"/>
    <e v="#REF!"/>
  </r>
  <r>
    <s v="401000"/>
    <x v="6"/>
    <s v="FOURNISSEURS"/>
    <s v="AC"/>
    <n v="-88.8"/>
    <d v="2025-01-31T00:00:00"/>
    <s v="AMPOULE À DÉCANTER GLASSCO GIL"/>
    <m/>
    <e v="#N/A"/>
    <e v="#N/A"/>
    <n v="64030"/>
    <s v="186494"/>
    <s v="CLOUP"/>
    <s v="Q1"/>
    <e v="#REF!"/>
    <e v="#REF!"/>
    <e v="#REF!"/>
  </r>
  <r>
    <s v="401000"/>
    <x v="6"/>
    <s v="FOURNISSEURS"/>
    <s v="AC"/>
    <n v="-88.61"/>
    <d v="2025-02-28T00:00:00"/>
    <s v="ALPHAGAZ 1 AZOTE BOUTEILLE SMARTOP 50L 200 BA"/>
    <m/>
    <e v="#N/A"/>
    <e v="#N/A"/>
    <n v="87003"/>
    <s v="5800405584"/>
    <s v="AIR LIQUIDE"/>
    <s v="Q1"/>
    <e v="#REF!"/>
    <e v="#REF!"/>
    <e v="#REF!"/>
  </r>
  <r>
    <s v="401000"/>
    <x v="6"/>
    <s v="FOURNISSEURS"/>
    <s v="AC"/>
    <n v="-88.12"/>
    <d v="2025-06-30T00:00:00"/>
    <s v="PAIEMENT DE LA FACTURE DE JUIN (LIVRAISON FONTAINE À EAU)"/>
    <m/>
    <e v="#N/A"/>
    <e v="#N/A"/>
    <n v="82169"/>
    <s v="31/05651466"/>
    <s v="CHATEAUDEAU"/>
    <s v="Q2"/>
    <e v="#REF!"/>
    <e v="#REF!"/>
    <e v="#REF!"/>
  </r>
  <r>
    <s v="401000"/>
    <x v="6"/>
    <s v="FOURNISSEURS"/>
    <s v="AC"/>
    <n v="-88.12"/>
    <d v="2025-09-30T00:00:00"/>
    <s v="LIVRAISON EAU SUR SITE ROUSSILLON"/>
    <m/>
    <e v="#N/A"/>
    <e v="#N/A"/>
    <n v="87062"/>
    <s v="31/05697643"/>
    <s v="CHATEAUDEAU"/>
    <s v="Q3"/>
    <e v="#REF!"/>
    <e v="#REF!"/>
    <e v="#REF!"/>
  </r>
  <r>
    <s v="401000"/>
    <x v="6"/>
    <s v="FOURNISSEURS"/>
    <s v="AC"/>
    <n v="-88"/>
    <d v="2025-01-24T00:00:00"/>
    <s v="TGV PARIS - LYON // AP"/>
    <m/>
    <e v="#N/A"/>
    <e v="#N/A"/>
    <n v="61305"/>
    <s v="57"/>
    <s v="SNCF"/>
    <s v="Q1"/>
    <e v="#REF!"/>
    <e v="#REF!"/>
    <e v="#REF!"/>
  </r>
  <r>
    <s v="401000"/>
    <x v="6"/>
    <s v="FOURNISSEURS"/>
    <s v="AC"/>
    <n v="-88"/>
    <d v="2025-01-31T00:00:00"/>
    <s v="MÉNAGE LYON"/>
    <m/>
    <e v="#N/A"/>
    <e v="#N/A"/>
    <n v="73648"/>
    <s v="CB20250201030561"/>
    <s v="HOPER"/>
    <s v="Q1"/>
    <e v="#REF!"/>
    <e v="#REF!"/>
    <e v="#REF!"/>
  </r>
  <r>
    <s v="401000"/>
    <x v="6"/>
    <s v="FOURNISSEURS"/>
    <s v="AC"/>
    <n v="-88"/>
    <d v="2025-02-14T00:00:00"/>
    <s v="ALLER LYON - VISITE YOKOGAWA"/>
    <m/>
    <e v="#N/A"/>
    <e v="#N/A"/>
    <n v="61486"/>
    <s v="128"/>
    <s v="SNCF"/>
    <s v="Q1"/>
    <e v="#REF!"/>
    <e v="#REF!"/>
    <e v="#REF!"/>
  </r>
  <r>
    <s v="401000"/>
    <x v="6"/>
    <s v="FOURNISSEURS"/>
    <s v="AC"/>
    <n v="-88"/>
    <d v="2025-02-14T00:00:00"/>
    <s v="RETOUR VISITE OKAGAWA"/>
    <m/>
    <e v="#N/A"/>
    <e v="#N/A"/>
    <n v="61488"/>
    <s v="129"/>
    <s v="SNCF"/>
    <s v="Q1"/>
    <e v="#REF!"/>
    <e v="#REF!"/>
    <e v="#REF!"/>
  </r>
  <r>
    <s v="401000"/>
    <x v="6"/>
    <s v="FOURNISSEURS"/>
    <s v="AC"/>
    <n v="-88"/>
    <d v="2025-02-28T00:00:00"/>
    <s v="MÉNAGE LYON 2025_02"/>
    <m/>
    <e v="#N/A"/>
    <e v="#N/A"/>
    <n v="71285"/>
    <s v="CB20250302031084"/>
    <s v="HOPER"/>
    <s v="Q1"/>
    <e v="#REF!"/>
    <e v="#REF!"/>
    <e v="#REF!"/>
  </r>
  <r>
    <s v="401000"/>
    <x v="6"/>
    <s v="FOURNISSEURS"/>
    <s v="AC"/>
    <n v="-88"/>
    <d v="2025-04-04T00:00:00"/>
    <s v="DÉPLACEMENT À ROUSSILLON - RÉUNION SITE - TGV PARIS - LYON,"/>
    <m/>
    <e v="#N/A"/>
    <e v="#N/A"/>
    <n v="71309"/>
    <s v="23"/>
    <s v="SNCF"/>
    <s v="Q2"/>
    <e v="#REF!"/>
    <e v="#REF!"/>
    <e v="#REF!"/>
  </r>
  <r>
    <s v="401000"/>
    <x v="6"/>
    <s v="FOURNISSEURS"/>
    <s v="AC"/>
    <n v="-88"/>
    <d v="2025-04-09T00:00:00"/>
    <s v="DÉPLACEMENT ROUSSILLON - VISITE HSE"/>
    <m/>
    <e v="#N/A"/>
    <e v="#N/A"/>
    <n v="71315"/>
    <s v="26"/>
    <s v="SNCF"/>
    <s v="Q2"/>
    <e v="#REF!"/>
    <e v="#REF!"/>
    <e v="#REF!"/>
  </r>
  <r>
    <s v="401000"/>
    <x v="6"/>
    <s v="FOURNISSEURS"/>
    <s v="AC"/>
    <n v="-88"/>
    <d v="2025-06-11T00:00:00"/>
    <s v="TRAJET PARIS - LYON"/>
    <m/>
    <e v="#N/A"/>
    <e v="#N/A"/>
    <n v="78016"/>
    <s v="21"/>
    <s v="SNCF"/>
    <s v="Q2"/>
    <e v="#REF!"/>
    <e v="#REF!"/>
    <e v="#REF!"/>
  </r>
  <r>
    <s v="401000"/>
    <x v="6"/>
    <s v="FOURNISSEURS"/>
    <s v="AC"/>
    <n v="-88"/>
    <d v="2025-09-09T00:00:00"/>
    <s v="PARIS - LYON // GROLMAN"/>
    <m/>
    <e v="#N/A"/>
    <e v="#N/A"/>
    <n v="82970"/>
    <s v="14"/>
    <s v="SNCF"/>
    <s v="Q3"/>
    <e v="#REF!"/>
    <e v="#REF!"/>
    <e v="#REF!"/>
  </r>
  <r>
    <s v="401000"/>
    <x v="6"/>
    <s v="FOURNISSEURS"/>
    <s v="AC"/>
    <n v="-88"/>
    <d v="2025-09-09T00:00:00"/>
    <s v="RETOUR GROLMAN"/>
    <m/>
    <e v="#N/A"/>
    <e v="#N/A"/>
    <n v="82968"/>
    <s v="13"/>
    <s v="SNCF"/>
    <s v="Q3"/>
    <e v="#REF!"/>
    <e v="#REF!"/>
    <e v="#REF!"/>
  </r>
  <r>
    <s v="401000"/>
    <x v="6"/>
    <s v="FOURNISSEURS"/>
    <s v="AC"/>
    <n v="-88"/>
    <d v="2025-10-08T00:00:00"/>
    <s v="OLYMPIADE DE LA CHIMIE"/>
    <m/>
    <e v="#N/A"/>
    <e v="#N/A"/>
    <n v="89601"/>
    <s v="14"/>
    <s v="SNCF"/>
    <s v="Q4"/>
    <e v="#REF!"/>
    <e v="#REF!"/>
    <e v="#REF!"/>
  </r>
  <r>
    <s v="401000"/>
    <x v="6"/>
    <s v="FOURNISSEURS"/>
    <s v="AC"/>
    <n v="-88"/>
    <d v="2025-10-08T00:00:00"/>
    <s v="RETOUR OLYMPIADE"/>
    <m/>
    <e v="#N/A"/>
    <e v="#N/A"/>
    <n v="89599"/>
    <s v="13"/>
    <s v="SNCF"/>
    <s v="Q4"/>
    <e v="#REF!"/>
    <e v="#REF!"/>
    <e v="#REF!"/>
  </r>
  <r>
    <s v="401000"/>
    <x v="6"/>
    <s v="FOURNISSEURS"/>
    <s v="AC"/>
    <n v="-88"/>
    <d v="2025-11-17T00:00:00"/>
    <s v="ALLER CONF B4C TECHDAYS"/>
    <m/>
    <e v="#N/A"/>
    <e v="#N/A"/>
    <n v="91445"/>
    <s v="30"/>
    <s v="SNCF"/>
    <s v="Q4"/>
    <e v="#REF!"/>
    <e v="#REF!"/>
    <e v="#REF!"/>
  </r>
  <r>
    <s v="401000"/>
    <x v="6"/>
    <s v="FOURNISSEURS"/>
    <s v="AC"/>
    <n v="-86.4"/>
    <d v="2025-02-25T00:00:00"/>
    <s v="FILTRES EN FEUILLE ROTILABO"/>
    <m/>
    <e v="#N/A"/>
    <e v="#N/A"/>
    <n v="64114"/>
    <s v="4174060"/>
    <s v="ROTH SOCHIEL"/>
    <s v="Q1"/>
    <e v="#REF!"/>
    <e v="#REF!"/>
    <e v="#REF!"/>
  </r>
  <r>
    <s v="401000"/>
    <x v="6"/>
    <s v="FOURNISSEURS"/>
    <s v="AC"/>
    <n v="-86.4"/>
    <d v="2025-03-03T00:00:00"/>
    <s v="FILTRES EN FEUILLE ROTILABO"/>
    <m/>
    <e v="#N/A"/>
    <e v="#N/A"/>
    <n v="67830"/>
    <s v="4174396"/>
    <s v="ROTH SOCHIEL"/>
    <s v="Q1"/>
    <e v="#REF!"/>
    <e v="#REF!"/>
    <e v="#REF!"/>
  </r>
  <r>
    <s v="401000"/>
    <x v="6"/>
    <s v="FOURNISSEURS"/>
    <s v="AC"/>
    <n v="-86.4"/>
    <d v="2025-12-08T00:00:00"/>
    <s v="FACTURE EXTRA BIÈRES 10 ANS PILI"/>
    <m/>
    <e v="#N/A"/>
    <e v="#N/A"/>
    <n v="92008"/>
    <s v="FACT-20251208-23397"/>
    <s v="Kymono"/>
    <s v="Q4"/>
    <e v="#REF!"/>
    <e v="#REF!"/>
    <e v="#REF!"/>
  </r>
  <r>
    <s v="401000"/>
    <x v="6"/>
    <s v="FOURNISSEURS"/>
    <s v="AC"/>
    <n v="-86.28"/>
    <d v="2025-06-12T00:00:00"/>
    <s v="CELITE S POUR VBIO KL"/>
    <m/>
    <e v="#N/A"/>
    <e v="#N/A"/>
    <n v="76204"/>
    <s v="8053492053"/>
    <s v="Sigma-Aldrich chimie"/>
    <s v="Q2"/>
    <e v="#REF!"/>
    <e v="#REF!"/>
    <e v="#REF!"/>
  </r>
  <r>
    <s v="401000"/>
    <x v="6"/>
    <s v="FOURNISSEURS"/>
    <s v="AC"/>
    <n v="-86"/>
    <d v="2025-01-20T00:00:00"/>
    <s v="COMMANDE PRODUIT KEENB  BIOP"/>
    <m/>
    <e v="#N/A"/>
    <e v="#N/A"/>
    <n v="61284"/>
    <s v="INGM183253"/>
    <s v="BLD PHARMATECH"/>
    <s v="Q1"/>
    <e v="#REF!"/>
    <e v="#REF!"/>
    <e v="#REF!"/>
  </r>
  <r>
    <s v="401000"/>
    <x v="6"/>
    <s v="FOURNISSEURS"/>
    <s v="AC"/>
    <n v="-85.38"/>
    <d v="2025-09-03T00:00:00"/>
    <s v="PRODUIT LISA"/>
    <m/>
    <e v="#N/A"/>
    <e v="#N/A"/>
    <n v="81857"/>
    <s v="4175127897"/>
    <s v="FISHER SCIENTIFIC"/>
    <s v="Q3"/>
    <e v="#REF!"/>
    <e v="#REF!"/>
    <e v="#REF!"/>
  </r>
  <r>
    <s v="401000"/>
    <x v="6"/>
    <s v="FOURNISSEURS"/>
    <s v="AC"/>
    <n v="-85.32"/>
    <d v="2025-03-31T00:00:00"/>
    <s v="FACTURE MENSUELLE CLÉ WIFI ROUSSILLON"/>
    <m/>
    <e v="#N/A"/>
    <e v="#N/A"/>
    <n v="72580"/>
    <s v="90124303"/>
    <s v="ORANGE"/>
    <s v="Q1"/>
    <e v="#REF!"/>
    <e v="#REF!"/>
    <e v="#REF!"/>
  </r>
  <r>
    <s v="401000"/>
    <x v="6"/>
    <s v="FOURNISSEURS"/>
    <s v="AC"/>
    <n v="-84.67"/>
    <d v="2025-02-26T00:00:00"/>
    <s v="SOLVANTS VBIO"/>
    <m/>
    <e v="#N/A"/>
    <e v="#N/A"/>
    <n v="92970"/>
    <s v="4174161"/>
    <s v="ROTH SOCHIEL"/>
    <s v="Q1"/>
    <e v="#REF!"/>
    <e v="#REF!"/>
    <e v="#REF!"/>
  </r>
  <r>
    <s v="401000"/>
    <x v="6"/>
    <s v="FOURNISSEURS"/>
    <s v="AC"/>
    <n v="-84.62"/>
    <d v="2025-06-16T00:00:00"/>
    <s v="LOGEMENT, DÉPLACEMENT À ROUSSILLON"/>
    <m/>
    <e v="#N/A"/>
    <e v="#N/A"/>
    <n v="78029"/>
    <s v="25"/>
    <s v="BOOKING"/>
    <s v="Q2"/>
    <e v="#REF!"/>
    <e v="#REF!"/>
    <e v="#REF!"/>
  </r>
  <r>
    <s v="401000"/>
    <x v="6"/>
    <s v="FOURNISSEURS"/>
    <s v="AC"/>
    <n v="-83.49"/>
    <d v="2025-11-28T00:00:00"/>
    <s v="CONSOMMABLE ET ENTRETIEN"/>
    <m/>
    <e v="#N/A"/>
    <e v="#N/A"/>
    <n v="91476"/>
    <s v="2025/11/002132104"/>
    <s v="LA FOURCHE"/>
    <s v="Q4"/>
    <e v="#REF!"/>
    <e v="#REF!"/>
    <e v="#REF!"/>
  </r>
  <r>
    <s v="401000"/>
    <x v="6"/>
    <s v="FOURNISSEURS"/>
    <s v="AC"/>
    <n v="-83.34"/>
    <d v="2025-08-19T00:00:00"/>
    <s v="BILLES POUR LE BROYEUR"/>
    <m/>
    <e v="#N/A"/>
    <e v="#N/A"/>
    <n v="81808"/>
    <s v="4175109842"/>
    <s v="FISHER SCIENTIFIC"/>
    <s v="Q3"/>
    <e v="#REF!"/>
    <e v="#REF!"/>
    <e v="#REF!"/>
  </r>
  <r>
    <s v="401000"/>
    <x v="6"/>
    <s v="FOURNISSEURS"/>
    <s v="AC"/>
    <n v="-82.78"/>
    <d v="2025-03-17T00:00:00"/>
    <s v="ENVOI ROTH SOCHIEL"/>
    <m/>
    <e v="#N/A"/>
    <e v="#N/A"/>
    <n v="74198"/>
    <s v="TLSR003664833"/>
    <s v="DHL"/>
    <s v="Q1"/>
    <e v="#REF!"/>
    <e v="#REF!"/>
    <e v="#REF!"/>
  </r>
  <r>
    <s v="401000"/>
    <x v="6"/>
    <s v="FOURNISSEURS"/>
    <s v="AC"/>
    <n v="-82.32"/>
    <d v="2025-11-03T00:00:00"/>
    <s v="VERRERIE DE DISTILLATION"/>
    <m/>
    <e v="#N/A"/>
    <e v="#N/A"/>
    <n v="89914"/>
    <s v="4184627"/>
    <s v="ROTH SOCHIEL"/>
    <s v="Q4"/>
    <e v="#REF!"/>
    <e v="#REF!"/>
    <e v="#REF!"/>
  </r>
  <r>
    <s v="401000"/>
    <x v="6"/>
    <s v="FOURNISSEURS"/>
    <s v="AC"/>
    <n v="-81.900000000000006"/>
    <d v="2025-09-16T00:00:00"/>
    <s v="GETAROUND* RESERVATION"/>
    <m/>
    <e v="#N/A"/>
    <e v="#N/A"/>
    <n v="83000"/>
    <s v="9623587"/>
    <s v="GETAROUND"/>
    <s v="Q3"/>
    <e v="#REF!"/>
    <e v="#REF!"/>
    <e v="#REF!"/>
  </r>
  <r>
    <s v="401000"/>
    <x v="6"/>
    <s v="FOURNISSEURS"/>
    <s v="AC"/>
    <n v="-81.900000000000006"/>
    <d v="2025-11-03T00:00:00"/>
    <s v="ACHAT HYDROSULFITE DE SODIUM"/>
    <m/>
    <e v="#N/A"/>
    <e v="#N/A"/>
    <n v="91411"/>
    <s v="2000125507"/>
    <s v="MONDROGUISTE"/>
    <s v="Q4"/>
    <e v="#REF!"/>
    <e v="#REF!"/>
    <e v="#REF!"/>
  </r>
  <r>
    <s v="401000"/>
    <x v="6"/>
    <s v="FOURNISSEURS"/>
    <s v="AC"/>
    <n v="-81.7"/>
    <d v="2025-02-24T00:00:00"/>
    <s v="ENVOI ARCHROMA"/>
    <m/>
    <e v="#N/A"/>
    <e v="#N/A"/>
    <n v="74190"/>
    <s v="TLSR003620657"/>
    <s v="DHL"/>
    <s v="Q1"/>
    <e v="#REF!"/>
    <e v="#REF!"/>
    <e v="#REF!"/>
  </r>
  <r>
    <s v="401000"/>
    <x v="6"/>
    <s v="FOURNISSEURS"/>
    <s v="AC"/>
    <n v="-81.23"/>
    <d v="2025-03-06T00:00:00"/>
    <s v="QUARTERLY ABO JBL"/>
    <m/>
    <s v="Non"/>
    <e v="#N/A"/>
    <n v="66076"/>
    <s v=" 839A57A0-0001"/>
    <s v="DIVERS"/>
    <s v="Q1"/>
    <e v="#REF!"/>
    <e v="#REF!"/>
    <e v="#REF!"/>
  </r>
  <r>
    <s v="401000"/>
    <x v="6"/>
    <s v="FOURNISSEURS"/>
    <s v="AC"/>
    <n v="-81.180000000000007"/>
    <d v="2025-06-05T00:00:00"/>
    <s v="COMMANDE PRODUIT KEENY"/>
    <m/>
    <e v="#N/A"/>
    <e v="#N/A"/>
    <n v="76560"/>
    <s v="4067738283"/>
    <s v="VWR AVANTOR"/>
    <s v="Q2"/>
    <e v="#REF!"/>
    <e v="#REF!"/>
    <e v="#REF!"/>
  </r>
  <r>
    <s v="401000"/>
    <x v="6"/>
    <s v="FOURNISSEURS"/>
    <s v="AC"/>
    <n v="-80.5"/>
    <d v="2025-03-11T00:00:00"/>
    <s v="COMMANDE PRODUIT KEENB"/>
    <m/>
    <e v="#N/A"/>
    <e v="#N/A"/>
    <n v="66022"/>
    <s v="4067662482"/>
    <s v="VWR AVANTOR"/>
    <s v="Q1"/>
    <e v="#REF!"/>
    <e v="#REF!"/>
    <e v="#REF!"/>
  </r>
  <r>
    <s v="401000"/>
    <x v="6"/>
    <s v="FOURNISSEURS"/>
    <s v="AC"/>
    <n v="-80.2"/>
    <d v="2025-04-24T00:00:00"/>
    <s v="CHARGEUR BATTERIE ASPIRATEUR (MAINTENANCE TCU KILOLAB - PILOTE) VU AVEC ASG"/>
    <m/>
    <e v="#N/A"/>
    <e v="#N/A"/>
    <n v="73735"/>
    <s v="M010016112"/>
    <s v="MANUTAN"/>
    <s v="Q2"/>
    <e v="#REF!"/>
    <e v="#REF!"/>
    <e v="#REF!"/>
  </r>
  <r>
    <s v="401000"/>
    <x v="6"/>
    <s v="FOURNISSEURS"/>
    <s v="AC"/>
    <n v="-80"/>
    <d v="2025-11-17T00:00:00"/>
    <s v="ALLER PARIS TECHDAYD B4C"/>
    <m/>
    <e v="#N/A"/>
    <e v="#N/A"/>
    <n v="91458"/>
    <s v="36"/>
    <s v="SNCF"/>
    <s v="Q4"/>
    <e v="#REF!"/>
    <e v="#REF!"/>
    <e v="#REF!"/>
  </r>
  <r>
    <s v="401000"/>
    <x v="6"/>
    <s v="FOURNISSEURS"/>
    <s v="AC"/>
    <n v="-79.989999999999995"/>
    <d v="2025-05-12T00:00:00"/>
    <s v="LOGEMENT TOULOUSE DÉPLACEMENT TOURNAGE DU 28 MAI"/>
    <m/>
    <e v="#N/A"/>
    <e v="#N/A"/>
    <n v="74423"/>
    <s v="RCKMXNFEYA"/>
    <s v="AIRBNB"/>
    <s v="Q2"/>
    <e v="#REF!"/>
    <e v="#REF!"/>
    <e v="#REF!"/>
  </r>
  <r>
    <s v="401000"/>
    <x v="6"/>
    <s v="FOURNISSEURS"/>
    <s v="AC"/>
    <n v="-79.2"/>
    <d v="2025-04-10T00:00:00"/>
    <s v="ENTRETIEN RECRUTEMENT RAF - CB LOIMAS"/>
    <m/>
    <s v="Non"/>
    <e v="#N/A"/>
    <n v="72600"/>
    <s v="70"/>
    <s v="DIVERS"/>
    <s v="Q2"/>
    <e v="#REF!"/>
    <e v="#REF!"/>
    <e v="#REF!"/>
  </r>
  <r>
    <s v="401000"/>
    <x v="6"/>
    <s v="FOURNISSEURS"/>
    <s v="AC"/>
    <n v="-79"/>
    <d v="2025-03-17T00:00:00"/>
    <s v="TRAJET PARIS TOULOUSE AP  VISITE HSE"/>
    <m/>
    <e v="#N/A"/>
    <e v="#N/A"/>
    <n v="67846"/>
    <s v="17"/>
    <s v="SNCF"/>
    <s v="Q1"/>
    <e v="#REF!"/>
    <e v="#REF!"/>
    <e v="#REF!"/>
  </r>
  <r>
    <s v="401000"/>
    <x v="6"/>
    <s v="FOURNISSEURS"/>
    <s v="AC"/>
    <n v="-78.260000000000005"/>
    <d v="2025-08-29T00:00:00"/>
    <s v="LIVRAISON EAU ROUSSILLON"/>
    <m/>
    <e v="#N/A"/>
    <e v="#N/A"/>
    <n v="82715"/>
    <s v="3105680616"/>
    <s v="CHATEAUDEAU"/>
    <s v="Q3"/>
    <e v="#REF!"/>
    <e v="#REF!"/>
    <e v="#REF!"/>
  </r>
  <r>
    <s v="401000"/>
    <x v="6"/>
    <s v="FOURNISSEURS"/>
    <s v="AC"/>
    <n v="-78"/>
    <d v="2025-01-14T00:00:00"/>
    <s v="VOYAGE LOIC MASSEBOEUF TOULOUSE"/>
    <m/>
    <e v="#N/A"/>
    <e v="#N/A"/>
    <n v="64002"/>
    <s v="AWCULD"/>
    <s v="SNCF"/>
    <s v="Q1"/>
    <e v="#REF!"/>
    <e v="#REF!"/>
    <e v="#REF!"/>
  </r>
  <r>
    <s v="401000"/>
    <x v="6"/>
    <s v="FOURNISSEURS"/>
    <s v="AC"/>
    <n v="-76.98"/>
    <d v="2025-03-03T00:00:00"/>
    <s v="AIGUILLE HYPODERMIQUE JAUNE HENKE-JECT À USAGE UNIQUE  MÉTHANOL POUR LA CHROMATOGRAPHIE EN PHASE LIQUIDE LICHROSOLV"/>
    <m/>
    <e v="#N/A"/>
    <e v="#N/A"/>
    <n v="66086"/>
    <s v="4067655037"/>
    <s v="VWR AVANTOR"/>
    <s v="Q1"/>
    <e v="#REF!"/>
    <e v="#REF!"/>
    <e v="#REF!"/>
  </r>
  <r>
    <s v="401000"/>
    <x v="6"/>
    <s v="FOURNISSEURS"/>
    <s v="AC"/>
    <n v="-76.63"/>
    <d v="2025-10-31T00:00:00"/>
    <s v="ECONOMY SELECT"/>
    <m/>
    <e v="#N/A"/>
    <e v="#N/A"/>
    <n v="89658"/>
    <s v="TLSR004168249"/>
    <s v="DHL"/>
    <s v="Q4"/>
    <e v="#REF!"/>
    <e v="#REF!"/>
    <e v="#REF!"/>
  </r>
  <r>
    <s v="401000"/>
    <x v="6"/>
    <s v="FOURNISSEURS"/>
    <s v="AC"/>
    <n v="-76.56"/>
    <d v="2025-11-30T00:00:00"/>
    <s v="FACTURE MAINTENANCE OSIRIS"/>
    <s v="Non"/>
    <s v="Non"/>
    <e v="#N/A"/>
    <n v="92186"/>
    <s v="93814171"/>
    <s v="OSIRIS"/>
    <s v="Q4"/>
    <e v="#REF!"/>
    <e v="#REF!"/>
    <e v="#REF!"/>
  </r>
  <r>
    <s v="401000"/>
    <x v="6"/>
    <s v="FOURNISSEURS"/>
    <s v="AC"/>
    <n v="-75.849999999999994"/>
    <d v="2025-03-17T00:00:00"/>
    <s v="EAU POUR LA CHROMATOGRAPHIE"/>
    <m/>
    <e v="#N/A"/>
    <e v="#N/A"/>
    <n v="65964"/>
    <s v="4067667596"/>
    <s v="VWR AVANTOR"/>
    <s v="Q1"/>
    <e v="#REF!"/>
    <e v="#REF!"/>
    <e v="#REF!"/>
  </r>
  <r>
    <s v="401000"/>
    <x v="6"/>
    <s v="FOURNISSEURS"/>
    <s v="AC"/>
    <n v="-75.599999999999994"/>
    <d v="2025-10-31T00:00:00"/>
    <s v="IMPRESSION CDV PYB, JBL ET ANNE-SOPHIE"/>
    <m/>
    <e v="#N/A"/>
    <e v="#N/A"/>
    <n v="89880"/>
    <s v="FL260494"/>
    <s v="GROUPE CHAUMEIL"/>
    <s v="Q4"/>
    <e v="#REF!"/>
    <e v="#REF!"/>
    <e v="#REF!"/>
  </r>
  <r>
    <s v="401000"/>
    <x v="6"/>
    <s v="FOURNISSEURS"/>
    <s v="AC"/>
    <n v="-75.239999999999995"/>
    <d v="2025-02-21T00:00:00"/>
    <s v="COMMANDE PRODUIT KEENY"/>
    <m/>
    <e v="#N/A"/>
    <e v="#N/A"/>
    <n v="61542"/>
    <s v="8053429520"/>
    <s v="Sigma-Aldrich chimie"/>
    <s v="Q1"/>
    <e v="#REF!"/>
    <e v="#REF!"/>
    <e v="#REF!"/>
  </r>
  <r>
    <s v="401000"/>
    <x v="6"/>
    <s v="FOURNISSEURS"/>
    <s v="AC"/>
    <n v="-74.78"/>
    <d v="2025-05-20T00:00:00"/>
    <s v="PRODUITS CHIMIQUES KL"/>
    <m/>
    <e v="#N/A"/>
    <e v="#N/A"/>
    <n v="75956"/>
    <s v="4178152"/>
    <s v="ROTH SOCHIEL"/>
    <s v="Q2"/>
    <e v="#REF!"/>
    <e v="#REF!"/>
    <e v="#REF!"/>
  </r>
  <r>
    <s v="401000"/>
    <x v="6"/>
    <s v="FOURNISSEURS"/>
    <s v="AC"/>
    <n v="-73.69"/>
    <d v="2025-10-06T00:00:00"/>
    <s v="CONSOMMABLE LABO"/>
    <m/>
    <e v="#N/A"/>
    <e v="#N/A"/>
    <n v="85150"/>
    <s v="4067836547"/>
    <s v="VWR AVANTOR"/>
    <s v="Q4"/>
    <e v="#REF!"/>
    <e v="#REF!"/>
    <e v="#REF!"/>
  </r>
  <r>
    <s v="401000"/>
    <x v="6"/>
    <s v="FOURNISSEURS"/>
    <s v="AC"/>
    <n v="-73.05"/>
    <d v="2025-04-16T00:00:00"/>
    <s v="TRANSPORT COSTS"/>
    <s v="Non"/>
    <e v="#N/A"/>
    <e v="#N/A"/>
    <n v="69814"/>
    <s v="91250043"/>
    <s v="BIOTIKA"/>
    <s v="Q2"/>
    <e v="#REF!"/>
    <e v="#REF!"/>
    <e v="#REF!"/>
  </r>
  <r>
    <s v="401000"/>
    <x v="6"/>
    <s v="FOURNISSEURS"/>
    <s v="AC"/>
    <n v="-73"/>
    <d v="2025-01-09T00:00:00"/>
    <s v="MARSEILLE PARIS"/>
    <m/>
    <e v="#N/A"/>
    <e v="#N/A"/>
    <n v="71266"/>
    <s v="DQTU3N"/>
    <s v="SNCF"/>
    <s v="Q1"/>
    <e v="#REF!"/>
    <e v="#REF!"/>
    <e v="#REF!"/>
  </r>
  <r>
    <s v="401000"/>
    <x v="6"/>
    <s v="FOURNISSEURS"/>
    <s v="AC"/>
    <n v="-73"/>
    <d v="2025-01-09T00:00:00"/>
    <s v="VOYAGE PARIS LYON 24/01/2025"/>
    <m/>
    <e v="#N/A"/>
    <e v="#N/A"/>
    <n v="71268"/>
    <s v="P4GR7D"/>
    <s v="SNCF"/>
    <s v="Q1"/>
    <e v="#REF!"/>
    <e v="#REF!"/>
    <e v="#REF!"/>
  </r>
  <r>
    <s v="401000"/>
    <x v="6"/>
    <s v="FOURNISSEURS"/>
    <s v="AC"/>
    <n v="-72.67"/>
    <d v="2025-05-09T00:00:00"/>
    <s v="MATIÈRES PREMIÈRES KEENY ROUSSILLON"/>
    <m/>
    <e v="#N/A"/>
    <e v="#N/A"/>
    <n v="73776"/>
    <s v="4177718"/>
    <s v="ROTH SOCHIEL"/>
    <s v="Q2"/>
    <e v="#REF!"/>
    <e v="#REF!"/>
    <e v="#REF!"/>
  </r>
  <r>
    <s v="401000"/>
    <x v="6"/>
    <s v="FOURNISSEURS"/>
    <s v="AC"/>
    <n v="-72.180000000000007"/>
    <d v="2025-11-30T00:00:00"/>
    <s v="EXPRESS DOMESTIC"/>
    <m/>
    <e v="#N/A"/>
    <e v="#N/A"/>
    <n v="91826"/>
    <s v="TLSR004232345"/>
    <s v="DHL"/>
    <s v="Q4"/>
    <e v="#REF!"/>
    <e v="#REF!"/>
    <e v="#REF!"/>
  </r>
  <r>
    <s v="401000"/>
    <x v="6"/>
    <s v="FOURNISSEURS"/>
    <s v="AC"/>
    <n v="-72"/>
    <d v="2025-03-31T00:00:00"/>
    <s v="DEMO : POSE ÉTAYAGE POUR SÉCURISATION POTEAUX  2900€HT  POSE / DÉPOSE 240€ : LOCATION 16 SEMAINES"/>
    <m/>
    <e v="#N/A"/>
    <e v="#N/A"/>
    <n v="67925"/>
    <s v="FC0022447"/>
    <s v="ECHAFAUDAGE"/>
    <s v="Q1"/>
    <e v="#REF!"/>
    <e v="#REF!"/>
    <e v="#REF!"/>
  </r>
  <r>
    <s v="401000"/>
    <x v="6"/>
    <s v="FOURNISSEURS"/>
    <s v="AC"/>
    <n v="-71.900000000000006"/>
    <d v="2025-08-08T00:00:00"/>
    <s v="PRODUIT KEENB"/>
    <m/>
    <e v="#N/A"/>
    <e v="#N/A"/>
    <n v="81790"/>
    <s v="4067791695"/>
    <s v="VWR AVANTOR"/>
    <s v="Q3"/>
    <e v="#REF!"/>
    <e v="#REF!"/>
    <e v="#REF!"/>
  </r>
  <r>
    <s v="401000"/>
    <x v="6"/>
    <s v="FOURNISSEURS"/>
    <s v="AC"/>
    <n v="-71.88"/>
    <d v="2025-08-05T00:00:00"/>
    <s v="AFFICHE"/>
    <m/>
    <e v="#N/A"/>
    <e v="#N/A"/>
    <n v="81279"/>
    <s v="26.296.061"/>
    <s v="BRUNEAU"/>
    <s v="Q3"/>
    <e v="#REF!"/>
    <e v="#REF!"/>
    <e v="#REF!"/>
  </r>
  <r>
    <s v="401000"/>
    <x v="6"/>
    <s v="FOURNISSEURS"/>
    <s v="AC"/>
    <n v="-71.86"/>
    <d v="2025-06-10T00:00:00"/>
    <s v="RENOUVELLEMENT BOÎTE MAIL GAM"/>
    <m/>
    <e v="#N/A"/>
    <e v="#N/A"/>
    <n v="78008"/>
    <s v="18"/>
    <s v="GANDI"/>
    <s v="Q2"/>
    <e v="#REF!"/>
    <e v="#REF!"/>
    <e v="#REF!"/>
  </r>
  <r>
    <s v="401000"/>
    <x v="6"/>
    <s v="FOURNISSEURS"/>
    <s v="AC"/>
    <n v="-71.36"/>
    <d v="2025-05-21T00:00:00"/>
    <s v="COMMANDE PRODUIT KEENY"/>
    <m/>
    <e v="#N/A"/>
    <e v="#N/A"/>
    <n v="74448"/>
    <s v="4067725484"/>
    <s v="VWR AVANTOR"/>
    <s v="Q2"/>
    <e v="#REF!"/>
    <e v="#REF!"/>
    <e v="#REF!"/>
  </r>
  <r>
    <s v="401000"/>
    <x v="6"/>
    <s v="FOURNISSEURS"/>
    <s v="AC"/>
    <n v="-71.260000000000005"/>
    <d v="2025-12-15T00:00:00"/>
    <s v="EXPRESS WW"/>
    <m/>
    <e v="#N/A"/>
    <e v="#N/A"/>
    <n v="92958"/>
    <s v="TLSR004260524"/>
    <s v="DHL"/>
    <s v="Q4"/>
    <e v="#REF!"/>
    <e v="#REF!"/>
    <e v="#REF!"/>
  </r>
  <r>
    <s v="401000"/>
    <x v="6"/>
    <s v="FOURNISSEURS"/>
    <s v="AC"/>
    <n v="-71"/>
    <d v="2025-01-01T00:00:00"/>
    <s v="ALLER RETOUR PARIS MARSEILLE"/>
    <m/>
    <e v="#N/A"/>
    <e v="#N/A"/>
    <n v="71254"/>
    <s v="NVCS8G"/>
    <s v="SNCF"/>
    <s v="Q1"/>
    <e v="#REF!"/>
    <e v="#REF!"/>
    <e v="#REF!"/>
  </r>
  <r>
    <s v="401000"/>
    <x v="6"/>
    <s v="FOURNISSEURS"/>
    <s v="AC"/>
    <n v="-71"/>
    <d v="2025-01-01T00:00:00"/>
    <s v="ALLER RETOUR PARIS MARSEILLE"/>
    <m/>
    <e v="#N/A"/>
    <e v="#N/A"/>
    <n v="71264"/>
    <s v="FR8XT6"/>
    <s v="SNCF"/>
    <s v="Q1"/>
    <e v="#REF!"/>
    <e v="#REF!"/>
    <e v="#REF!"/>
  </r>
  <r>
    <s v="401000"/>
    <x v="6"/>
    <s v="FOURNISSEURS"/>
    <s v="AC"/>
    <n v="-70"/>
    <d v="2025-09-29T00:00:00"/>
    <s v="MODIFICATION VOL ALLER VERS BIOTIKA AP"/>
    <m/>
    <e v="#N/A"/>
    <e v="#N/A"/>
    <n v="83028"/>
    <s v="225004512444"/>
    <s v="AIRLINES"/>
    <s v="Q3"/>
    <e v="#REF!"/>
    <e v="#REF!"/>
    <e v="#REF!"/>
  </r>
  <r>
    <s v="401000"/>
    <x v="6"/>
    <s v="FOURNISSEURS"/>
    <s v="AC"/>
    <n v="-69.900000000000006"/>
    <d v="2025-05-13T00:00:00"/>
    <s v="SPOT DE CHANTIER (POUR INSTALLATION NUIT BLANCHE PASTEUR)"/>
    <m/>
    <e v="#N/A"/>
    <e v="#N/A"/>
    <n v="78755"/>
    <s v="5"/>
    <s v="LEROY MERLIN"/>
    <s v="Q2"/>
    <e v="#REF!"/>
    <e v="#REF!"/>
    <e v="#REF!"/>
  </r>
  <r>
    <s v="401000"/>
    <x v="6"/>
    <s v="FOURNISSEURS"/>
    <s v="AC"/>
    <n v="-69.16"/>
    <d v="2025-04-21T00:00:00"/>
    <s v="GAZ LYON"/>
    <m/>
    <e v="#N/A"/>
    <e v="#N/A"/>
    <n v="78735"/>
    <s v="980005285371"/>
    <s v="ENGIE"/>
    <s v="Q2"/>
    <e v="#REF!"/>
    <e v="#REF!"/>
    <e v="#REF!"/>
  </r>
  <r>
    <s v="401000"/>
    <x v="6"/>
    <s v="FOURNISSEURS"/>
    <s v="AC"/>
    <n v="-68.39"/>
    <d v="2025-03-31T00:00:00"/>
    <s v="FONTAINES À EAU - ROUSSILLON"/>
    <m/>
    <e v="#N/A"/>
    <e v="#N/A"/>
    <n v="67946"/>
    <s v="31/05604529"/>
    <s v="CHATEAUDEAU"/>
    <s v="Q1"/>
    <e v="#REF!"/>
    <e v="#REF!"/>
    <e v="#REF!"/>
  </r>
  <r>
    <s v="401000"/>
    <x v="6"/>
    <s v="FOURNISSEURS"/>
    <s v="AC"/>
    <n v="-68.39"/>
    <d v="2025-04-30T00:00:00"/>
    <s v="EAU LIVRÉE AUX ALGÉCOS ROUSSILLON"/>
    <m/>
    <e v="#N/A"/>
    <e v="#N/A"/>
    <n v="73743"/>
    <s v="3105619632"/>
    <s v="CHATEAUDEAU"/>
    <s v="Q2"/>
    <e v="#REF!"/>
    <e v="#REF!"/>
    <e v="#REF!"/>
  </r>
  <r>
    <s v="401000"/>
    <x v="6"/>
    <s v="FOURNISSEURS"/>
    <s v="AC"/>
    <n v="-68.39"/>
    <d v="2025-05-30T00:00:00"/>
    <s v="LIVRAISON EAU ROUSSILLON"/>
    <m/>
    <e v="#N/A"/>
    <e v="#N/A"/>
    <n v="75985"/>
    <s v="31/05634007"/>
    <s v="CHATEAUDEAU"/>
    <s v="Q2"/>
    <e v="#REF!"/>
    <e v="#REF!"/>
    <e v="#REF!"/>
  </r>
  <r>
    <s v="401000"/>
    <x v="6"/>
    <s v="FOURNISSEURS"/>
    <s v="AC"/>
    <n v="-68.23"/>
    <d v="2025-06-13T00:00:00"/>
    <s v="CONSOMMABLE ET ENTRETIEN"/>
    <m/>
    <e v="#N/A"/>
    <e v="#N/A"/>
    <n v="78024"/>
    <s v="24"/>
    <s v="LA FOURCHE"/>
    <s v="Q2"/>
    <e v="#REF!"/>
    <e v="#REF!"/>
    <e v="#REF!"/>
  </r>
  <r>
    <s v="401000"/>
    <x v="6"/>
    <s v="FOURNISSEURS"/>
    <s v="AC"/>
    <n v="-67.08"/>
    <d v="2025-03-27T00:00:00"/>
    <s v="COMMANDE PRODUIT KEENB"/>
    <m/>
    <e v="#N/A"/>
    <e v="#N/A"/>
    <n v="67894"/>
    <s v="4067677741"/>
    <s v="VWR AVANTOR"/>
    <s v="Q1"/>
    <e v="#REF!"/>
    <e v="#REF!"/>
    <e v="#REF!"/>
  </r>
  <r>
    <s v="401000"/>
    <x v="6"/>
    <s v="FOURNISSEURS"/>
    <s v="AC"/>
    <n v="-67"/>
    <d v="2025-10-31T00:00:00"/>
    <s v="LOCATION BOUTEILLE GAZ SPÉCIAUX SMART"/>
    <m/>
    <e v="#N/A"/>
    <e v="#N/A"/>
    <n v="89661"/>
    <s v="5800971725"/>
    <s v="AIR LIQUIDE"/>
    <s v="Q4"/>
    <e v="#REF!"/>
    <e v="#REF!"/>
    <e v="#REF!"/>
  </r>
  <r>
    <s v="401000"/>
    <x v="6"/>
    <s v="FOURNISSEURS"/>
    <s v="AC"/>
    <n v="-66.959999999999994"/>
    <d v="2025-03-27T00:00:00"/>
    <s v="DOUBLON"/>
    <m/>
    <e v="#N/A"/>
    <e v="#N/A"/>
    <n v="67889"/>
    <s v="25.868.404"/>
    <s v="BRUNEAU"/>
    <s v="Q1"/>
    <e v="#REF!"/>
    <e v="#REF!"/>
    <e v="#REF!"/>
  </r>
  <r>
    <s v="401000"/>
    <x v="6"/>
    <s v="FOURNISSEURS"/>
    <s v="AC"/>
    <n v="-66.959999999999994"/>
    <d v="2025-03-28T00:00:00"/>
    <s v="EPONGES VAISSELLE, ÉPONGES À RÉCURER, MOUCHOIRS, THÉ"/>
    <m/>
    <e v="#N/A"/>
    <e v="#N/A"/>
    <n v="67902"/>
    <s v="36"/>
    <s v="BRUNEAU"/>
    <s v="Q1"/>
    <e v="#REF!"/>
    <e v="#REF!"/>
    <e v="#REF!"/>
  </r>
  <r>
    <s v="401000"/>
    <x v="6"/>
    <s v="FOURNISSEURS"/>
    <s v="AC"/>
    <n v="-66.38"/>
    <d v="2025-01-01T00:00:00"/>
    <s v="ENVOI YVES"/>
    <m/>
    <e v="#N/A"/>
    <e v="#N/A"/>
    <n v="74152"/>
    <s v="TLSR003505118"/>
    <s v="DHL"/>
    <s v="Q1"/>
    <e v="#REF!"/>
    <e v="#REF!"/>
    <e v="#REF!"/>
  </r>
  <r>
    <s v="401000"/>
    <x v="6"/>
    <s v="FOURNISSEURS"/>
    <s v="AC"/>
    <n v="-66.38"/>
    <d v="2025-11-21T00:00:00"/>
    <s v="GAZ NATUREL"/>
    <m/>
    <e v="#N/A"/>
    <e v="#N/A"/>
    <n v="91811"/>
    <s v="40017459099"/>
    <s v="ENGIE"/>
    <s v="Q4"/>
    <e v="#REF!"/>
    <e v="#REF!"/>
    <e v="#REF!"/>
  </r>
  <r>
    <s v="401000"/>
    <x v="6"/>
    <s v="FOURNISSEURS"/>
    <s v="AC"/>
    <n v="-65.2"/>
    <d v="2025-09-17T00:00:00"/>
    <s v="CONSOMMABLE LABO"/>
    <m/>
    <e v="#N/A"/>
    <e v="#N/A"/>
    <n v="85121"/>
    <s v="4067819409"/>
    <s v="VWR AVANTOR"/>
    <s v="Q3"/>
    <e v="#REF!"/>
    <e v="#REF!"/>
    <e v="#REF!"/>
  </r>
  <r>
    <s v="401000"/>
    <x v="6"/>
    <s v="FOURNISSEURS"/>
    <s v="AC"/>
    <n v="-65.2"/>
    <d v="2025-09-18T00:00:00"/>
    <s v="CONSOMMABLE LABO"/>
    <m/>
    <e v="#N/A"/>
    <e v="#N/A"/>
    <n v="85124"/>
    <s v="4067820430"/>
    <s v="VWR AVANTOR"/>
    <s v="Q3"/>
    <e v="#REF!"/>
    <e v="#REF!"/>
    <e v="#REF!"/>
  </r>
  <r>
    <s v="401000"/>
    <x v="6"/>
    <s v="FOURNISSEURS"/>
    <s v="AC"/>
    <n v="-64.5"/>
    <d v="2025-12-01T00:00:00"/>
    <s v="FORMATION JULIE"/>
    <m/>
    <s v="Non"/>
    <s v="Oui"/>
    <n v="97051"/>
    <s v="COMCRISE 13-0625"/>
    <s v="FRANCE CHIMIE"/>
    <s v="Q4"/>
    <e v="#REF!"/>
    <e v="#REF!"/>
    <e v="#REF!"/>
  </r>
  <r>
    <s v="401000"/>
    <x v="6"/>
    <s v="FOURNISSEURS"/>
    <s v="AC"/>
    <n v="-64.09"/>
    <d v="2025-03-07T00:00:00"/>
    <s v="COPPER(II) SULFATE PENTAHYDRATE P.A."/>
    <m/>
    <e v="#N/A"/>
    <e v="#N/A"/>
    <n v="66145"/>
    <s v="4067659979"/>
    <s v="VWR AVANTOR"/>
    <s v="Q1"/>
    <e v="#REF!"/>
    <e v="#REF!"/>
    <e v="#REF!"/>
  </r>
  <r>
    <s v="401000"/>
    <x v="6"/>
    <s v="FOURNISSEURS"/>
    <s v="AC"/>
    <n v="-63.64"/>
    <d v="2025-04-05T00:00:00"/>
    <s v="7 NEDIS RALLONGE POUR PC, MONITEUR ET ONDULEUR NOIR - 2 MÈTRES - DEMANDE COLLABORATEURS"/>
    <m/>
    <e v="#N/A"/>
    <e v="#N/A"/>
    <n v="69714"/>
    <s v="FV202500010890"/>
    <s v="GROUPE LDLC"/>
    <s v="Q2"/>
    <e v="#REF!"/>
    <e v="#REF!"/>
    <e v="#REF!"/>
  </r>
  <r>
    <s v="401000"/>
    <x v="6"/>
    <s v="FOURNISSEURS"/>
    <s v="AC"/>
    <n v="-63.54"/>
    <d v="2025-10-06T00:00:00"/>
    <s v="EXPRESS DOMESTIC"/>
    <m/>
    <e v="#N/A"/>
    <e v="#N/A"/>
    <n v="84992"/>
    <s v="TLSR004101755"/>
    <s v="DHL"/>
    <s v="Q4"/>
    <e v="#REF!"/>
    <e v="#REF!"/>
    <e v="#REF!"/>
  </r>
  <r>
    <s v="401000"/>
    <x v="6"/>
    <s v="FOURNISSEURS"/>
    <s v="AC"/>
    <n v="-63.34"/>
    <d v="2025-03-10T00:00:00"/>
    <s v="ENVOI INSA ROUEN"/>
    <m/>
    <e v="#N/A"/>
    <e v="#N/A"/>
    <n v="74195"/>
    <s v="TLSR003653033"/>
    <s v="DHL"/>
    <s v="Q1"/>
    <e v="#REF!"/>
    <e v="#REF!"/>
    <e v="#REF!"/>
  </r>
  <r>
    <s v="401000"/>
    <x v="6"/>
    <s v="FOURNISSEURS"/>
    <s v="AC"/>
    <n v="-63"/>
    <d v="2025-12-08T00:00:00"/>
    <s v="ALLER VERS TOU"/>
    <m/>
    <e v="#N/A"/>
    <e v="#N/A"/>
    <n v="93950"/>
    <s v="14"/>
    <s v="SNCF"/>
    <s v="Q4"/>
    <e v="#REF!"/>
    <e v="#REF!"/>
    <e v="#REF!"/>
  </r>
  <r>
    <s v="401000"/>
    <x v="6"/>
    <s v="FOURNISSEURS"/>
    <s v="AC"/>
    <n v="-62.5"/>
    <d v="2025-01-03T00:00:00"/>
    <s v="PARIS - PÉAGE DE ROUSSILLON - AP - 02/01/25"/>
    <m/>
    <e v="#N/A"/>
    <e v="#N/A"/>
    <n v="59847"/>
    <s v="6"/>
    <s v="SNCF"/>
    <s v="Q1"/>
    <e v="#REF!"/>
    <e v="#REF!"/>
    <e v="#REF!"/>
  </r>
  <r>
    <s v="401000"/>
    <x v="6"/>
    <s v="FOURNISSEURS"/>
    <s v="AC"/>
    <n v="-62.22"/>
    <d v="2025-02-10T00:00:00"/>
    <s v="ENVOI HUMBOLDT"/>
    <m/>
    <e v="#N/A"/>
    <e v="#N/A"/>
    <n v="74187"/>
    <s v="TLSR003597831"/>
    <s v="DHL"/>
    <s v="Q1"/>
    <e v="#REF!"/>
    <e v="#REF!"/>
    <e v="#REF!"/>
  </r>
  <r>
    <s v="401000"/>
    <x v="6"/>
    <s v="FOURNISSEURS"/>
    <s v="AC"/>
    <n v="-62.17"/>
    <d v="2025-02-14T00:00:00"/>
    <s v="COMMANDE PRODUIT KEENB"/>
    <m/>
    <e v="#N/A"/>
    <e v="#N/A"/>
    <n v="61483"/>
    <s v="8053425310"/>
    <s v="Sigma-Aldrich chimie"/>
    <s v="Q1"/>
    <e v="#REF!"/>
    <e v="#REF!"/>
    <e v="#REF!"/>
  </r>
  <r>
    <s v="401000"/>
    <x v="6"/>
    <s v="FOURNISSEURS"/>
    <s v="AC"/>
    <n v="-60"/>
    <d v="2025-09-01T00:00:00"/>
    <s v="PRODUIT KEENB"/>
    <m/>
    <e v="#N/A"/>
    <e v="#N/A"/>
    <n v="81841"/>
    <s v="0092673422"/>
    <s v="TCI"/>
    <s v="Q3"/>
    <e v="#REF!"/>
    <e v="#REF!"/>
    <e v="#REF!"/>
  </r>
  <r>
    <s v="401000"/>
    <x v="6"/>
    <s v="FOURNISSEURS"/>
    <s v="AC"/>
    <n v="-60"/>
    <d v="2025-10-17T00:00:00"/>
    <s v="GESTIONNAIRE COOKIES SITE WEB PILI"/>
    <m/>
    <e v="#N/A"/>
    <e v="#N/A"/>
    <n v="89621"/>
    <s v="23"/>
    <s v="COOKIEBOT"/>
    <s v="Q4"/>
    <e v="#REF!"/>
    <e v="#REF!"/>
    <e v="#REF!"/>
  </r>
  <r>
    <s v="401000"/>
    <x v="6"/>
    <s v="FOURNISSEURS"/>
    <s v="AC"/>
    <n v="-59.54"/>
    <d v="2025-08-26T00:00:00"/>
    <s v="JEU DE CLÉS TORX 6 - 15 (TCU KILOLAB)"/>
    <m/>
    <e v="#N/A"/>
    <e v="#N/A"/>
    <n v="82356"/>
    <s v="487240865"/>
    <s v="RS COMPONENT"/>
    <s v="Q3"/>
    <e v="#REF!"/>
    <e v="#REF!"/>
    <e v="#REF!"/>
  </r>
  <r>
    <s v="401000"/>
    <x v="6"/>
    <s v="FOURNISSEURS"/>
    <s v="AC"/>
    <n v="-58.72"/>
    <d v="2025-06-30T00:00:00"/>
    <s v="EXPRESS DOMESTIC"/>
    <m/>
    <e v="#N/A"/>
    <e v="#N/A"/>
    <n v="78387"/>
    <s v="10"/>
    <s v="DHL"/>
    <s v="Q2"/>
    <e v="#REF!"/>
    <e v="#REF!"/>
    <e v="#REF!"/>
  </r>
  <r>
    <s v="401000"/>
    <x v="6"/>
    <s v="FOURNISSEURS"/>
    <s v="AC"/>
    <n v="-58.04"/>
    <d v="2025-06-11T00:00:00"/>
    <s v="COURSIER ARCHIVES COH"/>
    <m/>
    <e v="#N/A"/>
    <e v="#N/A"/>
    <n v="78011"/>
    <s v="19"/>
    <s v="COURSIER"/>
    <s v="Q2"/>
    <e v="#REF!"/>
    <e v="#REF!"/>
    <e v="#REF!"/>
  </r>
  <r>
    <s v="401000"/>
    <x v="6"/>
    <s v="FOURNISSEURS"/>
    <s v="AC"/>
    <n v="-58"/>
    <d v="2025-02-04T00:00:00"/>
    <s v="ALLER CODIR FÉVRIER"/>
    <m/>
    <e v="#N/A"/>
    <e v="#N/A"/>
    <n v="61408"/>
    <s v="98"/>
    <s v="SNCF"/>
    <s v="Q1"/>
    <e v="#REF!"/>
    <e v="#REF!"/>
    <e v="#REF!"/>
  </r>
  <r>
    <s v="401000"/>
    <x v="6"/>
    <s v="FOURNISSEURS"/>
    <s v="AC"/>
    <n v="-58"/>
    <d v="2025-02-04T00:00:00"/>
    <s v="RETOUR CODIR FÉVRIER"/>
    <m/>
    <e v="#N/A"/>
    <e v="#N/A"/>
    <n v="61400"/>
    <s v="94"/>
    <s v="SNCF"/>
    <s v="Q1"/>
    <e v="#REF!"/>
    <e v="#REF!"/>
    <e v="#REF!"/>
  </r>
  <r>
    <s v="401000"/>
    <x v="6"/>
    <s v="FOURNISSEURS"/>
    <s v="AC"/>
    <n v="-58"/>
    <d v="2025-06-03T00:00:00"/>
    <s v="VOYAGE CHEMSPEC - CHANGEMENT BILLET TRAIN"/>
    <m/>
    <e v="#N/A"/>
    <e v="#N/A"/>
    <n v="78001"/>
    <s v="15"/>
    <s v="SNCF"/>
    <s v="Q2"/>
    <e v="#REF!"/>
    <e v="#REF!"/>
    <e v="#REF!"/>
  </r>
  <r>
    <s v="401000"/>
    <x v="6"/>
    <s v="FOURNISSEURS"/>
    <s v="AC"/>
    <n v="-58"/>
    <d v="2025-09-09T00:00:00"/>
    <s v="SNCF-VOYAGEURS"/>
    <m/>
    <e v="#N/A"/>
    <e v="#N/A"/>
    <n v="82977"/>
    <s v="18"/>
    <s v="SNCF"/>
    <s v="Q3"/>
    <e v="#REF!"/>
    <e v="#REF!"/>
    <e v="#REF!"/>
  </r>
  <r>
    <s v="401000"/>
    <x v="6"/>
    <s v="FOURNISSEURS"/>
    <s v="AC"/>
    <n v="-58"/>
    <d v="2025-11-17T00:00:00"/>
    <s v="RETOUR EVENT TECH DAYS B4C"/>
    <m/>
    <e v="#N/A"/>
    <e v="#N/A"/>
    <n v="91456"/>
    <s v="35"/>
    <s v="SNCF"/>
    <s v="Q4"/>
    <e v="#REF!"/>
    <e v="#REF!"/>
    <e v="#REF!"/>
  </r>
  <r>
    <s v="401000"/>
    <x v="6"/>
    <s v="FOURNISSEURS"/>
    <s v="AC"/>
    <n v="-58"/>
    <d v="2025-11-17T00:00:00"/>
    <s v="RETOUR VROOM EVENT BXL"/>
    <m/>
    <e v="#N/A"/>
    <e v="#N/A"/>
    <n v="91452"/>
    <s v="33"/>
    <s v="SNCF"/>
    <s v="Q4"/>
    <e v="#REF!"/>
    <e v="#REF!"/>
    <e v="#REF!"/>
  </r>
  <r>
    <s v="401000"/>
    <x v="6"/>
    <s v="FOURNISSEURS"/>
    <s v="AC"/>
    <n v="-58"/>
    <d v="2025-12-03T00:00:00"/>
    <s v="RETOUR 10 ANS PILI"/>
    <m/>
    <e v="#N/A"/>
    <e v="#N/A"/>
    <n v="93934"/>
    <s v="7"/>
    <s v="SNCF"/>
    <s v="Q4"/>
    <e v="#REF!"/>
    <e v="#REF!"/>
    <e v="#REF!"/>
  </r>
  <r>
    <s v="401000"/>
    <x v="6"/>
    <s v="FOURNISSEURS"/>
    <s v="AC"/>
    <n v="-57.55"/>
    <d v="2025-04-10T00:00:00"/>
    <s v="ACIDE SULFURIQUE 95 % TECHNICAL FLACON VERRE 1L"/>
    <m/>
    <e v="#N/A"/>
    <e v="#N/A"/>
    <n v="69771"/>
    <s v="4067692788"/>
    <s v="VWR AVANTOR"/>
    <s v="Q2"/>
    <e v="#REF!"/>
    <e v="#REF!"/>
    <e v="#REF!"/>
  </r>
  <r>
    <s v="401000"/>
    <x v="6"/>
    <s v="FOURNISSEURS"/>
    <s v="AC"/>
    <n v="-57"/>
    <d v="2025-04-01T00:00:00"/>
    <s v="Solde SNCF"/>
    <m/>
    <e v="#N/A"/>
    <e v="#N/A"/>
    <n v="74985"/>
    <m/>
    <s v="SNCF"/>
    <s v="Q2"/>
    <e v="#REF!"/>
    <e v="#REF!"/>
    <e v="#REF!"/>
  </r>
  <r>
    <s v="401000"/>
    <x v="6"/>
    <s v="FOURNISSEURS"/>
    <s v="AC"/>
    <n v="-57"/>
    <d v="2025-08-26T00:00:00"/>
    <s v="MODIFICATION TGV AP"/>
    <m/>
    <e v="#N/A"/>
    <e v="#N/A"/>
    <n v="82219"/>
    <s v="23"/>
    <s v="SNCF"/>
    <s v="Q3"/>
    <e v="#REF!"/>
    <e v="#REF!"/>
    <e v="#REF!"/>
  </r>
  <r>
    <s v="401000"/>
    <x v="6"/>
    <s v="FOURNISSEURS"/>
    <s v="AC"/>
    <n v="-56.99"/>
    <d v="2025-03-10T00:00:00"/>
    <s v="RETOUR ECS EN PASSANT PAR LILLE"/>
    <m/>
    <e v="#N/A"/>
    <e v="#N/A"/>
    <n v="66132"/>
    <s v="2025-418181748637"/>
    <s v="SNCF"/>
    <s v="Q1"/>
    <e v="#REF!"/>
    <e v="#REF!"/>
    <e v="#REF!"/>
  </r>
  <r>
    <s v="401000"/>
    <x v="6"/>
    <s v="FOURNISSEURS"/>
    <s v="AC"/>
    <n v="-56.14"/>
    <d v="2025-02-17T00:00:00"/>
    <s v="SODIUM HYDROXYDE EN SOLUTION"/>
    <m/>
    <e v="#N/A"/>
    <e v="#N/A"/>
    <n v="64097"/>
    <s v="4067640910"/>
    <s v="VWR AVANTOR"/>
    <s v="Q1"/>
    <e v="#REF!"/>
    <e v="#REF!"/>
    <e v="#REF!"/>
  </r>
  <r>
    <s v="401000"/>
    <x v="6"/>
    <s v="FOURNISSEURS"/>
    <s v="AC"/>
    <n v="-55.87"/>
    <d v="2025-05-28T00:00:00"/>
    <s v="DÉTENDEURS FILTRE À PLAQUES : DÉTENDEUR CASSÉ +&gt; ACHAT D'UN DÉTENDEUR POUR LE REMPLACER + 1 EN SPARE PARTS"/>
    <m/>
    <e v="#N/A"/>
    <e v="#N/A"/>
    <n v="77986"/>
    <s v="11"/>
    <s v="RS COMPONENT"/>
    <s v="Q2"/>
    <e v="#REF!"/>
    <e v="#REF!"/>
    <e v="#REF!"/>
  </r>
  <r>
    <s v="401000"/>
    <x v="6"/>
    <s v="FOURNISSEURS"/>
    <s v="AC"/>
    <n v="-55.78"/>
    <d v="2025-09-08T00:00:00"/>
    <s v="COMMANDE PRODUIT LISA"/>
    <m/>
    <e v="#N/A"/>
    <e v="#N/A"/>
    <n v="82328"/>
    <s v="4067812304"/>
    <s v="VWR AVANTOR"/>
    <s v="Q3"/>
    <e v="#REF!"/>
    <e v="#REF!"/>
    <e v="#REF!"/>
  </r>
  <r>
    <s v="401000"/>
    <x v="6"/>
    <s v="FOURNISSEURS"/>
    <s v="AC"/>
    <n v="-55.68"/>
    <d v="2025-08-19T00:00:00"/>
    <s v="PRODUIT MUSTANG"/>
    <m/>
    <e v="#N/A"/>
    <e v="#N/A"/>
    <n v="81805"/>
    <s v="4067797082"/>
    <s v="VWR AVANTOR"/>
    <s v="Q3"/>
    <e v="#REF!"/>
    <e v="#REF!"/>
    <e v="#REF!"/>
  </r>
  <r>
    <s v="401000"/>
    <x v="6"/>
    <s v="FOURNISSEURS"/>
    <s v="AC"/>
    <n v="-55.55"/>
    <d v="2025-05-21T00:00:00"/>
    <s v="GAZ LYON"/>
    <m/>
    <e v="#N/A"/>
    <e v="#N/A"/>
    <n v="78757"/>
    <s v="620000836126"/>
    <s v="ENGIE"/>
    <s v="Q2"/>
    <e v="#REF!"/>
    <e v="#REF!"/>
    <e v="#REF!"/>
  </r>
  <r>
    <s v="401000"/>
    <x v="6"/>
    <s v="FOURNISSEURS"/>
    <s v="AC"/>
    <n v="-55.28"/>
    <d v="2025-05-20T00:00:00"/>
    <s v="ABONNEMENT 4G"/>
    <m/>
    <e v="#N/A"/>
    <e v="#N/A"/>
    <n v="76189"/>
    <s v="1,16908E+13"/>
    <s v="BOUYGUES TELECOM"/>
    <s v="Q2"/>
    <e v="#REF!"/>
    <e v="#REF!"/>
    <e v="#REF!"/>
  </r>
  <r>
    <s v="401000"/>
    <x v="6"/>
    <s v="FOURNISSEURS"/>
    <s v="AC"/>
    <n v="-54.85"/>
    <d v="2025-04-07T00:00:00"/>
    <s v="EXPRESS DOMESTIC"/>
    <m/>
    <e v="#N/A"/>
    <e v="#N/A"/>
    <n v="69726"/>
    <s v="TLSR003709755"/>
    <s v="DHL"/>
    <s v="Q2"/>
    <e v="#REF!"/>
    <e v="#REF!"/>
    <e v="#REF!"/>
  </r>
  <r>
    <s v="401000"/>
    <x v="6"/>
    <s v="FOURNISSEURS"/>
    <s v="AC"/>
    <n v="-53.77"/>
    <d v="2025-08-31T00:00:00"/>
    <s v="EXPRESS WORLDWIDE EU"/>
    <m/>
    <e v="#N/A"/>
    <e v="#N/A"/>
    <n v="91047"/>
    <s v="TLSR004019801"/>
    <s v="DHL"/>
    <s v="Q3"/>
    <e v="#REF!"/>
    <e v="#REF!"/>
    <e v="#REF!"/>
  </r>
  <r>
    <s v="401000"/>
    <x v="6"/>
    <s v="FOURNISSEURS"/>
    <s v="AC"/>
    <n v="-52.5"/>
    <d v="2025-08-25T00:00:00"/>
    <s v="ALLER PARIS - LYON - ROUSSILLON / AP"/>
    <m/>
    <e v="#N/A"/>
    <e v="#N/A"/>
    <n v="82215"/>
    <s v="21"/>
    <s v="SNCF"/>
    <s v="Q3"/>
    <e v="#REF!"/>
    <e v="#REF!"/>
    <e v="#REF!"/>
  </r>
  <r>
    <s v="401000"/>
    <x v="6"/>
    <s v="FOURNISSEURS"/>
    <s v="AC"/>
    <n v="-52.26"/>
    <d v="2025-07-18T00:00:00"/>
    <s v="COMMANDE PRODUIT KEENB"/>
    <m/>
    <e v="#N/A"/>
    <e v="#N/A"/>
    <n v="78922"/>
    <s v="4067775354"/>
    <s v="VWR AVANTOR"/>
    <s v="Q3"/>
    <e v="#REF!"/>
    <e v="#REF!"/>
    <e v="#REF!"/>
  </r>
  <r>
    <s v="401000"/>
    <x v="6"/>
    <s v="FOURNISSEURS"/>
    <s v="AC"/>
    <n v="-52.2"/>
    <d v="2025-01-31T00:00:00"/>
    <s v="CONNEXION 4G 2025_02"/>
    <m/>
    <e v="#N/A"/>
    <e v="#N/A"/>
    <n v="71276"/>
    <s v="89346203"/>
    <s v="ORANGE"/>
    <s v="Q1"/>
    <e v="#REF!"/>
    <e v="#REF!"/>
    <e v="#REF!"/>
  </r>
  <r>
    <s v="401000"/>
    <x v="6"/>
    <s v="FOURNISSEURS"/>
    <s v="AC"/>
    <n v="-52.2"/>
    <d v="2025-02-28T00:00:00"/>
    <s v="FACTURE FÉVRIER 2025"/>
    <m/>
    <e v="#N/A"/>
    <e v="#N/A"/>
    <n v="76186"/>
    <s v="89683765"/>
    <s v="ORANGE"/>
    <s v="Q1"/>
    <e v="#REF!"/>
    <e v="#REF!"/>
    <e v="#REF!"/>
  </r>
  <r>
    <s v="401000"/>
    <x v="6"/>
    <s v="FOURNISSEURS"/>
    <s v="AC"/>
    <n v="-52.2"/>
    <d v="2025-03-31T00:00:00"/>
    <s v="FACTURE MARS"/>
    <m/>
    <e v="#N/A"/>
    <e v="#N/A"/>
    <n v="71292"/>
    <s v="90013330"/>
    <s v="ORANGE"/>
    <s v="Q1"/>
    <e v="#REF!"/>
    <e v="#REF!"/>
    <e v="#REF!"/>
  </r>
  <r>
    <s v="401000"/>
    <x v="6"/>
    <s v="FOURNISSEURS"/>
    <s v="AC"/>
    <n v="-51.36"/>
    <d v="2025-03-03T00:00:00"/>
    <s v="ELECTROLYTE"/>
    <m/>
    <e v="#N/A"/>
    <e v="#N/A"/>
    <n v="67827"/>
    <s v="4174395"/>
    <s v="ROTH SOCHIEL"/>
    <s v="Q1"/>
    <e v="#REF!"/>
    <e v="#REF!"/>
    <e v="#REF!"/>
  </r>
  <r>
    <s v="401000"/>
    <x v="6"/>
    <s v="FOURNISSEURS"/>
    <s v="AC"/>
    <n v="-51"/>
    <d v="2025-03-31T00:00:00"/>
    <s v="CONSOMMABLE CAFÉ BONJOUR DRINK"/>
    <m/>
    <e v="#N/A"/>
    <e v="#N/A"/>
    <n v="67943"/>
    <s v="49"/>
    <s v="BONJOUR DRINK"/>
    <s v="Q1"/>
    <e v="#REF!"/>
    <e v="#REF!"/>
    <e v="#REF!"/>
  </r>
  <r>
    <s v="401000"/>
    <x v="6"/>
    <s v="FOURNISSEURS"/>
    <s v="AC"/>
    <n v="-50.98"/>
    <d v="2025-07-15T00:00:00"/>
    <s v="COMMANDE PRODUIT KEENB"/>
    <m/>
    <e v="#N/A"/>
    <e v="#N/A"/>
    <n v="78905"/>
    <s v="4067772001"/>
    <s v="VWR AVANTOR"/>
    <s v="Q3"/>
    <e v="#REF!"/>
    <e v="#REF!"/>
    <e v="#REF!"/>
  </r>
  <r>
    <s v="401000"/>
    <x v="6"/>
    <s v="FOURNISSEURS"/>
    <s v="AC"/>
    <n v="-49.94"/>
    <d v="2025-01-01T00:00:00"/>
    <s v="ENVOI FERRANIA"/>
    <m/>
    <e v="#N/A"/>
    <e v="#N/A"/>
    <n v="74155"/>
    <s v="TLSR003470941"/>
    <s v="DHL"/>
    <s v="Q1"/>
    <e v="#REF!"/>
    <e v="#REF!"/>
    <e v="#REF!"/>
  </r>
  <r>
    <s v="401000"/>
    <x v="6"/>
    <s v="FOURNISSEURS"/>
    <s v="AC"/>
    <n v="-49.81"/>
    <d v="2025-09-24T00:00:00"/>
    <s v="PRODUIT KEENB"/>
    <m/>
    <e v="#N/A"/>
    <e v="#N/A"/>
    <n v="85133"/>
    <s v="4067825047"/>
    <s v="VWR AVANTOR"/>
    <s v="Q3"/>
    <e v="#REF!"/>
    <e v="#REF!"/>
    <e v="#REF!"/>
  </r>
  <r>
    <s v="401000"/>
    <x v="6"/>
    <s v="FOURNISSEURS"/>
    <s v="AC"/>
    <n v="-49"/>
    <d v="2025-03-07T00:00:00"/>
    <s v="COMMANDE PRODUIT KEENB"/>
    <m/>
    <e v="#N/A"/>
    <e v="#N/A"/>
    <n v="65980"/>
    <s v="92424016"/>
    <s v="TCI"/>
    <s v="Q1"/>
    <e v="#REF!"/>
    <e v="#REF!"/>
    <e v="#REF!"/>
  </r>
  <r>
    <s v="401000"/>
    <x v="6"/>
    <s v="FOURNISSEURS"/>
    <s v="AC"/>
    <n v="-48.72"/>
    <d v="2025-05-23T00:00:00"/>
    <s v="COMMANDE PRODUIT KEENB"/>
    <m/>
    <e v="#N/A"/>
    <e v="#N/A"/>
    <n v="75962"/>
    <s v="4067727729"/>
    <s v="VWR AVANTOR"/>
    <s v="Q2"/>
    <e v="#REF!"/>
    <e v="#REF!"/>
    <e v="#REF!"/>
  </r>
  <r>
    <s v="401000"/>
    <x v="6"/>
    <s v="FOURNISSEURS"/>
    <s v="AC"/>
    <n v="-48.07"/>
    <d v="2025-02-25T00:00:00"/>
    <s v="ETHANOL 96 % VOL PUR TECHNISOLV"/>
    <m/>
    <e v="#N/A"/>
    <e v="#N/A"/>
    <n v="64111"/>
    <s v="4067648478"/>
    <s v="VWR AVANTOR"/>
    <s v="Q1"/>
    <e v="#REF!"/>
    <e v="#REF!"/>
    <e v="#REF!"/>
  </r>
  <r>
    <s v="401000"/>
    <x v="6"/>
    <s v="FOURNISSEURS"/>
    <s v="AC"/>
    <n v="-47.86"/>
    <d v="2025-01-25T00:00:00"/>
    <s v="PETIT CONSOMMABLE (HUILE D'OLIVE, CHOCOLAT EN POUDRE, ETC.)"/>
    <m/>
    <e v="#N/A"/>
    <e v="#N/A"/>
    <n v="61317"/>
    <s v="63"/>
    <s v="AUCHAN"/>
    <s v="Q1"/>
    <e v="#REF!"/>
    <e v="#REF!"/>
    <e v="#REF!"/>
  </r>
  <r>
    <s v="401000"/>
    <x v="6"/>
    <s v="FOURNISSEURS"/>
    <s v="AC"/>
    <n v="-47.7"/>
    <d v="2025-08-25T00:00:00"/>
    <s v="PRODUIT KEENB"/>
    <m/>
    <e v="#N/A"/>
    <e v="#N/A"/>
    <n v="81815"/>
    <s v="4067800329"/>
    <s v="VWR AVANTOR"/>
    <s v="Q3"/>
    <e v="#REF!"/>
    <e v="#REF!"/>
    <e v="#REF!"/>
  </r>
  <r>
    <s v="401000"/>
    <x v="6"/>
    <s v="FOURNISSEURS"/>
    <s v="AC"/>
    <n v="-47.54"/>
    <d v="2025-03-20T00:00:00"/>
    <s v="COMMANDE SUITE À REMBOURSEMENT OFFICE DÉPÔT (PORTE-DOCUMENTS, PLASTIFIEUSE, POCHETTES POUR PLASTIFIEUSE) + BESOINS EN CONSOMABLE"/>
    <m/>
    <e v="#N/A"/>
    <e v="#N/A"/>
    <n v="66134"/>
    <s v="25.842.918"/>
    <s v="BRUNEAU"/>
    <s v="Q1"/>
    <e v="#REF!"/>
    <e v="#REF!"/>
    <e v="#REF!"/>
  </r>
  <r>
    <s v="401000"/>
    <x v="6"/>
    <s v="FOURNISSEURS"/>
    <s v="AC"/>
    <n v="-47.28"/>
    <d v="2025-05-05T00:00:00"/>
    <s v="PAPIER FILTRE PAILLASSE"/>
    <m/>
    <e v="#N/A"/>
    <e v="#N/A"/>
    <n v="72689"/>
    <s v="4067712766"/>
    <s v="VWR AVANTOR"/>
    <s v="Q2"/>
    <e v="#REF!"/>
    <e v="#REF!"/>
    <e v="#REF!"/>
  </r>
  <r>
    <s v="401000"/>
    <x v="6"/>
    <s v="FOURNISSEURS"/>
    <s v="AC"/>
    <n v="-47.18"/>
    <d v="2025-02-27T00:00:00"/>
    <s v="ISOPENTYL NITRITE, 97%, STAB. WITH 0.2% ANHYD. SODIUM CARBONATE"/>
    <m/>
    <e v="#N/A"/>
    <e v="#N/A"/>
    <n v="64125"/>
    <s v="4067651001"/>
    <s v="VWR AVANTOR"/>
    <s v="Q1"/>
    <e v="#REF!"/>
    <e v="#REF!"/>
    <e v="#REF!"/>
  </r>
  <r>
    <s v="401000"/>
    <x v="6"/>
    <s v="FOURNISSEURS"/>
    <s v="AC"/>
    <n v="-46.96"/>
    <d v="2025-11-24T00:00:00"/>
    <s v="ÉLECTRICITÉ"/>
    <m/>
    <e v="#N/A"/>
    <e v="#N/A"/>
    <n v="91817"/>
    <s v="980005480995"/>
    <s v="ENGIE"/>
    <s v="Q4"/>
    <e v="#REF!"/>
    <e v="#REF!"/>
    <e v="#REF!"/>
  </r>
  <r>
    <s v="401000"/>
    <x v="6"/>
    <s v="FOURNISSEURS"/>
    <s v="AC"/>
    <n v="-46.9"/>
    <d v="2025-06-05T00:00:00"/>
    <s v="RESTAURANT CB - Mr marguerite"/>
    <m/>
    <s v="Non"/>
    <e v="#N/A"/>
    <n v="85047"/>
    <m/>
    <s v="DIVERS"/>
    <s v="Q2"/>
    <e v="#REF!"/>
    <e v="#REF!"/>
    <e v="#REF!"/>
  </r>
  <r>
    <s v="401000"/>
    <x v="6"/>
    <s v="FOURNISSEURS"/>
    <s v="AC"/>
    <n v="-45.99"/>
    <d v="2025-08-22T00:00:00"/>
    <s v="COMPARTIMENTS POUR CAISSES DE TRANSPORT DE BOUTEILLES EN VERRE (POUR LE TRANSPORT DES BOUTEILLES EN VERRE ENTRE LE STOCKAGE ET L"/>
    <m/>
    <e v="#N/A"/>
    <e v="#N/A"/>
    <n v="82210"/>
    <s v="AR1937586"/>
    <s v="AUER"/>
    <s v="Q3"/>
    <e v="#REF!"/>
    <e v="#REF!"/>
    <e v="#REF!"/>
  </r>
  <r>
    <s v="401000"/>
    <x v="6"/>
    <s v="FOURNISSEURS"/>
    <s v="AC"/>
    <n v="-45.98"/>
    <d v="2025-06-16T00:00:00"/>
    <s v="EXPRESS DOMESTIC"/>
    <m/>
    <e v="#N/A"/>
    <e v="#N/A"/>
    <n v="76207"/>
    <s v="TLSR003847796"/>
    <s v="DHL"/>
    <s v="Q2"/>
    <e v="#REF!"/>
    <e v="#REF!"/>
    <e v="#REF!"/>
  </r>
  <r>
    <s v="401000"/>
    <x v="6"/>
    <s v="FOURNISSEURS"/>
    <s v="AC"/>
    <n v="-45.89"/>
    <d v="2025-10-28T00:00:00"/>
    <s v="CONSOMMABLES LABO"/>
    <m/>
    <e v="#N/A"/>
    <e v="#N/A"/>
    <n v="89874"/>
    <s v="4067855749"/>
    <s v="VWR AVANTOR"/>
    <s v="Q4"/>
    <e v="#REF!"/>
    <e v="#REF!"/>
    <e v="#REF!"/>
  </r>
  <r>
    <s v="401000"/>
    <x v="6"/>
    <s v="FOURNISSEURS"/>
    <s v="AC"/>
    <n v="-45.79"/>
    <d v="2025-12-23T00:00:00"/>
    <s v="ÉLECTRICITÉ LYON"/>
    <m/>
    <e v="#N/A"/>
    <e v="#N/A"/>
    <n v="94849"/>
    <s v="6,20001E+11"/>
    <s v="ENGIE"/>
    <s v="Q4"/>
    <e v="#REF!"/>
    <e v="#REF!"/>
    <e v="#REF!"/>
  </r>
  <r>
    <s v="401000"/>
    <x v="6"/>
    <s v="FOURNISSEURS"/>
    <s v="AC"/>
    <n v="-45.48"/>
    <d v="2025-09-29T00:00:00"/>
    <s v="ABONNEMENT SOLUTION LOGISTIQUE EXPÉDITIONS GAM + FRAIS D'EXPÉ"/>
    <m/>
    <e v="#N/A"/>
    <e v="#N/A"/>
    <n v="83030"/>
    <s v="3-25-FR0056203"/>
    <s v="SENDCLOUD"/>
    <s v="Q3"/>
    <e v="#REF!"/>
    <e v="#REF!"/>
    <e v="#REF!"/>
  </r>
  <r>
    <s v="401000"/>
    <x v="6"/>
    <s v="FOURNISSEURS"/>
    <s v="AC"/>
    <n v="-45"/>
    <d v="2025-01-19T00:00:00"/>
    <s v="ETUIS SMARTPHONES ROUSSILLON - DEVAIENT ÊTRE RECOMMANDÉS SUITE À L'OUBLI DE LIVRAISON DE BOULANGER (QUI AVAIT REMBOURSÉ)"/>
    <m/>
    <e v="#N/A"/>
    <e v="#N/A"/>
    <n v="61275"/>
    <s v="45"/>
    <s v="BOULANGER"/>
    <s v="Q1"/>
    <e v="#REF!"/>
    <e v="#REF!"/>
    <e v="#REF!"/>
  </r>
  <r>
    <s v="401000"/>
    <x v="6"/>
    <s v="FOURNISSEURS"/>
    <s v="AC"/>
    <n v="-45"/>
    <d v="2025-06-29T00:00:00"/>
    <s v="AMENDE GUILLAUME (ANCIENNEMENT 68€, RAMENÉ À 45€ LORS D'UN PAIEMENT EN LIGNE - SELON UN CERTAIN DÉLAI)"/>
    <m/>
    <e v="#N/A"/>
    <e v="#N/A"/>
    <n v="80843"/>
    <s v="3842632883"/>
    <s v="ANTAI.GOUV.FR"/>
    <s v="Q2"/>
    <e v="#REF!"/>
    <e v="#REF!"/>
    <e v="#REF!"/>
  </r>
  <r>
    <s v="401000"/>
    <x v="6"/>
    <s v="FOURNISSEURS"/>
    <s v="AC"/>
    <n v="-44.86"/>
    <d v="2025-02-17T00:00:00"/>
    <s v="ABONNEMENT SHOPIFY + ABONNEMENT ORDER PRINTER (POUR ENVOI AUTO DES FACTURES)"/>
    <m/>
    <e v="#N/A"/>
    <e v="#N/A"/>
    <n v="61510"/>
    <s v="137"/>
    <s v="SHOPIFY"/>
    <s v="Q1"/>
    <e v="#REF!"/>
    <e v="#REF!"/>
    <e v="#REF!"/>
  </r>
  <r>
    <s v="401000"/>
    <x v="6"/>
    <s v="FOURNISSEURS"/>
    <s v="AC"/>
    <n v="-44.76"/>
    <d v="2025-08-11T00:00:00"/>
    <s v="ACHAT CB - BRUNEAU"/>
    <m/>
    <e v="#N/A"/>
    <e v="#N/A"/>
    <n v="85053"/>
    <m/>
    <s v="BRUNEAU"/>
    <s v="Q3"/>
    <e v="#REF!"/>
    <e v="#REF!"/>
    <e v="#REF!"/>
  </r>
  <r>
    <s v="401000"/>
    <x v="6"/>
    <s v="FOURNISSEURS"/>
    <s v="AC"/>
    <n v="-44.69"/>
    <d v="2025-03-18T00:00:00"/>
    <s v="ABONNEMENT SHOPIFY + ABONNEMENT ORDER PRINTER (POUR ENVOI AUTO DES FACTURES)"/>
    <m/>
    <e v="#N/A"/>
    <e v="#N/A"/>
    <n v="66151"/>
    <s v="342869483"/>
    <s v="SHOPIFY"/>
    <s v="Q1"/>
    <e v="#REF!"/>
    <e v="#REF!"/>
    <e v="#REF!"/>
  </r>
  <r>
    <s v="401000"/>
    <x v="6"/>
    <s v="FOURNISSEURS"/>
    <s v="AC"/>
    <n v="-44.68"/>
    <d v="2025-01-18T00:00:00"/>
    <s v="ABONNEMENT SHOPIFY + ABONNEMENT ORDER PRINTER (POUR ENVOI AUTO DES FACTURES)"/>
    <m/>
    <e v="#N/A"/>
    <e v="#N/A"/>
    <n v="59902"/>
    <s v="27"/>
    <s v="SANITY"/>
    <s v="Q1"/>
    <e v="#REF!"/>
    <e v="#REF!"/>
    <e v="#REF!"/>
  </r>
  <r>
    <s v="401000"/>
    <x v="6"/>
    <s v="FOURNISSEURS"/>
    <s v="AC"/>
    <n v="-44.66"/>
    <d v="2025-08-26T00:00:00"/>
    <s v="PRODUIT KEENB"/>
    <m/>
    <e v="#N/A"/>
    <e v="#N/A"/>
    <n v="81821"/>
    <s v="4067801247"/>
    <s v="VWR AVANTOR"/>
    <s v="Q3"/>
    <e v="#REF!"/>
    <e v="#REF!"/>
    <e v="#REF!"/>
  </r>
  <r>
    <s v="401000"/>
    <x v="6"/>
    <s v="FOURNISSEURS"/>
    <s v="AC"/>
    <n v="-44.66"/>
    <d v="2025-12-31T00:00:00"/>
    <s v="LOCATION BOUTEILLE GAZ SPÉCIAUX SMART"/>
    <m/>
    <e v="#N/A"/>
    <e v="#N/A"/>
    <n v="94297"/>
    <s v="5801116529"/>
    <s v="AIR LIQUIDE"/>
    <s v="Q4"/>
    <e v="#REF!"/>
    <e v="#REF!"/>
    <e v="#REF!"/>
  </r>
  <r>
    <s v="401000"/>
    <x v="6"/>
    <s v="FOURNISSEURS"/>
    <s v="AC"/>
    <n v="-44.62"/>
    <d v="2025-04-30T00:00:00"/>
    <s v="transport costs"/>
    <s v="Non"/>
    <e v="#N/A"/>
    <e v="#N/A"/>
    <n v="71450"/>
    <m/>
    <s v="BIOTIKA"/>
    <s v="Q2"/>
    <e v="#REF!"/>
    <e v="#REF!"/>
    <e v="#REF!"/>
  </r>
  <r>
    <s v="401000"/>
    <x v="6"/>
    <s v="FOURNISSEURS"/>
    <s v="AC"/>
    <n v="-44.46"/>
    <d v="2025-04-23T00:00:00"/>
    <s v="COMMANDE PRODUIT KEENABIS"/>
    <m/>
    <e v="#N/A"/>
    <e v="#N/A"/>
    <n v="71332"/>
    <s v="4067702475"/>
    <s v="VWR AVANTOR"/>
    <s v="Q2"/>
    <e v="#REF!"/>
    <e v="#REF!"/>
    <e v="#REF!"/>
  </r>
  <r>
    <s v="401000"/>
    <x v="6"/>
    <s v="FOURNISSEURS"/>
    <s v="AC"/>
    <n v="-44.39"/>
    <d v="2025-04-18T00:00:00"/>
    <s v="ABONNEMENT SHOPIFY + ABONNEMENT ORDER PRINTER (POUR ENVOI AUTO DES FACTURES)"/>
    <m/>
    <e v="#N/A"/>
    <e v="#N/A"/>
    <n v="69824"/>
    <s v="319204665"/>
    <s v="SHOPIFY"/>
    <s v="Q2"/>
    <e v="#REF!"/>
    <e v="#REF!"/>
    <e v="#REF!"/>
  </r>
  <r>
    <s v="401000"/>
    <x v="6"/>
    <s v="FOURNISSEURS"/>
    <s v="AC"/>
    <n v="-44.27"/>
    <d v="2025-03-24T00:00:00"/>
    <s v="ELECTRICITE LYON"/>
    <m/>
    <e v="#N/A"/>
    <e v="#N/A"/>
    <n v="72568"/>
    <s v="8,20E+11"/>
    <s v="ENGIE"/>
    <s v="Q1"/>
    <e v="#REF!"/>
    <e v="#REF!"/>
    <e v="#REF!"/>
  </r>
  <r>
    <s v="401000"/>
    <x v="6"/>
    <s v="FOURNISSEURS"/>
    <s v="AC"/>
    <n v="-44.15"/>
    <d v="2025-06-16T00:00:00"/>
    <s v="ABONNEMENT SHOPIFY + ABONNEMENT ORDER PRINTER (POUR ENVOI AUTO DES FACTURES)"/>
    <m/>
    <e v="#N/A"/>
    <e v="#N/A"/>
    <n v="78033"/>
    <s v="27"/>
    <s v="SHOPIFY"/>
    <s v="Q2"/>
    <e v="#REF!"/>
    <e v="#REF!"/>
    <e v="#REF!"/>
  </r>
  <r>
    <s v="401000"/>
    <x v="6"/>
    <s v="FOURNISSEURS"/>
    <s v="AC"/>
    <n v="-44.13"/>
    <d v="2025-01-23T00:00:00"/>
    <s v="ELECTRICITÉ LYON 202501"/>
    <m/>
    <e v="#N/A"/>
    <e v="#N/A"/>
    <n v="73630"/>
    <s v="3,20E+11"/>
    <s v="ENGIE"/>
    <s v="Q1"/>
    <e v="#REF!"/>
    <e v="#REF!"/>
    <e v="#REF!"/>
  </r>
  <r>
    <s v="401000"/>
    <x v="6"/>
    <s v="FOURNISSEURS"/>
    <s v="AC"/>
    <n v="-44.08"/>
    <d v="2025-05-17T00:00:00"/>
    <s v="ABONNEMENT SHOPIFY + ABONNEMENT ORDER PRINTER (POUR ENVOI AUTO DES FACTURES)"/>
    <m/>
    <e v="#N/A"/>
    <e v="#N/A"/>
    <n v="74432"/>
    <s v="366906616"/>
    <s v="SHOPIFY"/>
    <s v="Q2"/>
    <e v="#REF!"/>
    <e v="#REF!"/>
    <e v="#REF!"/>
  </r>
  <r>
    <s v="401000"/>
    <x v="6"/>
    <s v="FOURNISSEURS"/>
    <s v="AC"/>
    <n v="-44"/>
    <d v="2025-05-02T00:00:00"/>
    <s v="CONSOMMABLE ET ENTRETIEN"/>
    <m/>
    <e v="#N/A"/>
    <e v="#N/A"/>
    <n v="72674"/>
    <s v="2025/05/001630880"/>
    <s v="LA FOURCHE"/>
    <s v="Q2"/>
    <e v="#REF!"/>
    <e v="#REF!"/>
    <e v="#REF!"/>
  </r>
  <r>
    <s v="401000"/>
    <x v="6"/>
    <s v="FOURNISSEURS"/>
    <s v="AC"/>
    <n v="-43.9"/>
    <d v="2025-07-16T00:00:00"/>
    <s v="ABONNEMENT SHOPIFY + ABONNEMENT ORDER PRINTER (POUR ENVOI AUTO DES FACTURES)"/>
    <m/>
    <e v="#N/A"/>
    <e v="#N/A"/>
    <n v="80883"/>
    <s v="391655293"/>
    <s v="SHOPIFY"/>
    <s v="Q3"/>
    <e v="#REF!"/>
    <e v="#REF!"/>
    <e v="#REF!"/>
  </r>
  <r>
    <s v="401000"/>
    <x v="6"/>
    <s v="FOURNISSEURS"/>
    <s v="AC"/>
    <n v="-43.88"/>
    <d v="2025-12-13T00:00:00"/>
    <s v="ABONNEMENT SHOPIFY + ABONNEMENT ORDER PRINTER (POUR ENVOI AUTO DES FACTURES)"/>
    <m/>
    <e v="#N/A"/>
    <e v="#N/A"/>
    <n v="93970"/>
    <s v="458356712"/>
    <s v="SHOPIFY"/>
    <s v="Q4"/>
    <e v="#REF!"/>
    <e v="#REF!"/>
    <e v="#REF!"/>
  </r>
  <r>
    <s v="401000"/>
    <x v="6"/>
    <s v="FOURNISSEURS"/>
    <s v="AC"/>
    <n v="-43.86"/>
    <d v="2025-11-13T00:00:00"/>
    <s v="ABONNEMENT SHOPIFY + ABONNEMENT ORDER PRINTER (POUR ENVOI AUTO DES FACTURES)"/>
    <m/>
    <e v="#N/A"/>
    <e v="#N/A"/>
    <n v="91435"/>
    <s v="444308128"/>
    <s v="SHOPIFY"/>
    <s v="Q4"/>
    <e v="#REF!"/>
    <e v="#REF!"/>
    <e v="#REF!"/>
  </r>
  <r>
    <s v="401000"/>
    <x v="6"/>
    <s v="FOURNISSEURS"/>
    <s v="AC"/>
    <n v="-43.82"/>
    <d v="2025-08-15T00:00:00"/>
    <s v="ABONNEMENT SHOPIFY + ABONNEMENT ORDER PRINTER (POUR ENVOI AUTO DES FACTURES)"/>
    <m/>
    <e v="#N/A"/>
    <e v="#N/A"/>
    <n v="82199"/>
    <s v="404597801"/>
    <s v="SHOPIFY"/>
    <s v="Q3"/>
    <e v="#REF!"/>
    <e v="#REF!"/>
    <e v="#REF!"/>
  </r>
  <r>
    <s v="401000"/>
    <x v="6"/>
    <s v="FOURNISSEURS"/>
    <s v="AC"/>
    <n v="-43.79"/>
    <d v="2025-09-14T00:00:00"/>
    <s v="ABONNEMENT SHOPIFY + ABONNEMENT ORDER PRINTER (POUR ENVOI AUTO DES FACTURES)"/>
    <m/>
    <e v="#N/A"/>
    <e v="#N/A"/>
    <n v="82991"/>
    <s v="417665619"/>
    <s v="SHOPIFY"/>
    <s v="Q3"/>
    <e v="#REF!"/>
    <e v="#REF!"/>
    <e v="#REF!"/>
  </r>
  <r>
    <s v="401000"/>
    <x v="6"/>
    <s v="FOURNISSEURS"/>
    <s v="AC"/>
    <n v="-43.78"/>
    <d v="2025-10-14T00:00:00"/>
    <s v="ABONNEMENT SHOPIFY + ABONNEMENT ORDER PRINTER (POUR ENVOI AUTO DES FACTURES)"/>
    <m/>
    <e v="#N/A"/>
    <e v="#N/A"/>
    <n v="89617"/>
    <s v="21"/>
    <s v="SHOPIFY"/>
    <s v="Q4"/>
    <e v="#REF!"/>
    <e v="#REF!"/>
    <e v="#REF!"/>
  </r>
  <r>
    <s v="401000"/>
    <x v="6"/>
    <s v="FOURNISSEURS"/>
    <s v="AC"/>
    <n v="-43.78"/>
    <d v="2025-10-14T00:00:00"/>
    <s v="CONSOMMABLES LABO"/>
    <m/>
    <e v="#N/A"/>
    <e v="#N/A"/>
    <n v="87280"/>
    <s v="4067843913"/>
    <s v="VWR AVANTOR"/>
    <s v="Q4"/>
    <e v="#REF!"/>
    <e v="#REF!"/>
    <e v="#REF!"/>
  </r>
  <r>
    <s v="401000"/>
    <x v="6"/>
    <s v="FOURNISSEURS"/>
    <s v="AC"/>
    <n v="-43.56"/>
    <d v="2025-03-22T00:00:00"/>
    <s v="ARDOISE ET AIMANTS CHIMISTES"/>
    <m/>
    <s v="Non"/>
    <e v="#N/A"/>
    <n v="67862"/>
    <s v="23"/>
    <s v="DIVERS"/>
    <s v="Q1"/>
    <e v="#REF!"/>
    <e v="#REF!"/>
    <e v="#REF!"/>
  </r>
  <r>
    <s v="401000"/>
    <x v="6"/>
    <s v="FOURNISSEURS"/>
    <s v="AC"/>
    <n v="-43.02"/>
    <d v="2025-04-23T00:00:00"/>
    <s v="ELECTRICITÉ LYON"/>
    <m/>
    <e v="#N/A"/>
    <e v="#N/A"/>
    <n v="78740"/>
    <s v="720000560953"/>
    <s v="ENGIE"/>
    <s v="Q2"/>
    <e v="#REF!"/>
    <e v="#REF!"/>
    <e v="#REF!"/>
  </r>
  <r>
    <s v="401000"/>
    <x v="6"/>
    <s v="FOURNISSEURS"/>
    <s v="AC"/>
    <n v="-43"/>
    <d v="2025-11-30T00:00:00"/>
    <s v="Divers billets SNCF JERBLA"/>
    <m/>
    <e v="#N/A"/>
    <e v="#N/A"/>
    <n v="91758"/>
    <m/>
    <s v="SNCF"/>
    <s v="Q4"/>
    <e v="#REF!"/>
    <e v="#REF!"/>
    <e v="#REF!"/>
  </r>
  <r>
    <s v="401000"/>
    <x v="6"/>
    <s v="FOURNISSEURS"/>
    <s v="AC"/>
    <n v="-42.95"/>
    <d v="2025-09-23T00:00:00"/>
    <s v="ELECTRICITÉ LYON"/>
    <m/>
    <e v="#N/A"/>
    <e v="#N/A"/>
    <n v="82774"/>
    <s v="320008150541"/>
    <s v="ENGIE"/>
    <s v="Q3"/>
    <e v="#REF!"/>
    <e v="#REF!"/>
    <e v="#REF!"/>
  </r>
  <r>
    <s v="401000"/>
    <x v="6"/>
    <s v="FOURNISSEURS"/>
    <s v="AC"/>
    <n v="-42.78"/>
    <d v="2025-10-23T00:00:00"/>
    <s v="ÉLECTRICITÉ LYON"/>
    <m/>
    <e v="#N/A"/>
    <e v="#N/A"/>
    <n v="90069"/>
    <s v="320008164129"/>
    <s v="ENGIE"/>
    <s v="Q4"/>
    <e v="#REF!"/>
    <e v="#REF!"/>
    <e v="#REF!"/>
  </r>
  <r>
    <s v="401000"/>
    <x v="6"/>
    <s v="FOURNISSEURS"/>
    <s v="AC"/>
    <n v="-42.62"/>
    <d v="2025-06-10T00:00:00"/>
    <s v="COMMANDE PRODUIT LABO"/>
    <m/>
    <e v="#N/A"/>
    <e v="#N/A"/>
    <n v="76580"/>
    <s v="4067740797"/>
    <s v="VWR AVANTOR"/>
    <s v="Q2"/>
    <e v="#REF!"/>
    <e v="#REF!"/>
    <e v="#REF!"/>
  </r>
  <r>
    <s v="401000"/>
    <x v="6"/>
    <s v="FOURNISSEURS"/>
    <s v="AC"/>
    <n v="-42"/>
    <d v="2025-10-06T00:00:00"/>
    <s v="PRODUIT CONSOMMABLE LABO"/>
    <m/>
    <e v="#N/A"/>
    <e v="#N/A"/>
    <n v="85155"/>
    <s v="4067836548"/>
    <s v="VWR AVANTOR"/>
    <s v="Q4"/>
    <e v="#REF!"/>
    <e v="#REF!"/>
    <e v="#REF!"/>
  </r>
  <r>
    <s v="401000"/>
    <x v="6"/>
    <s v="FOURNISSEURS"/>
    <s v="AC"/>
    <n v="-41.96"/>
    <d v="2025-02-24T00:00:00"/>
    <s v="ELECTRICITÉ LYON"/>
    <m/>
    <e v="#N/A"/>
    <e v="#N/A"/>
    <n v="73699"/>
    <s v="9,80E+11"/>
    <s v="ENGIE"/>
    <s v="Q1"/>
    <e v="#REF!"/>
    <e v="#REF!"/>
    <e v="#REF!"/>
  </r>
  <r>
    <s v="401000"/>
    <x v="6"/>
    <s v="FOURNISSEURS"/>
    <s v="AC"/>
    <n v="-41.57"/>
    <d v="2025-12-22T00:00:00"/>
    <s v="PRODUIT ANILINE"/>
    <m/>
    <e v="#N/A"/>
    <e v="#N/A"/>
    <n v="94294"/>
    <s v="4067905378"/>
    <s v="VWR AVANTOR"/>
    <s v="Q4"/>
    <e v="#REF!"/>
    <e v="#REF!"/>
    <e v="#REF!"/>
  </r>
  <r>
    <s v="401000"/>
    <x v="6"/>
    <s v="FOURNISSEURS"/>
    <s v="AC"/>
    <n v="-41.15"/>
    <d v="2025-08-23T00:00:00"/>
    <s v="ÉLECTRICITÉ LYON"/>
    <m/>
    <e v="#N/A"/>
    <e v="#N/A"/>
    <n v="81872"/>
    <s v="620000906597"/>
    <s v="ENGIE"/>
    <s v="Q3"/>
    <e v="#REF!"/>
    <e v="#REF!"/>
    <e v="#REF!"/>
  </r>
  <r>
    <s v="401000"/>
    <x v="6"/>
    <s v="FOURNISSEURS"/>
    <s v="AC"/>
    <n v="-40.840000000000003"/>
    <d v="2025-06-30T00:00:00"/>
    <s v="FACTURE ORANGE"/>
    <m/>
    <e v="#N/A"/>
    <e v="#N/A"/>
    <n v="82167"/>
    <s v="91132536"/>
    <s v="ORANGE"/>
    <s v="Q2"/>
    <e v="#REF!"/>
    <e v="#REF!"/>
    <e v="#REF!"/>
  </r>
  <r>
    <s v="401000"/>
    <x v="6"/>
    <s v="FOURNISSEURS"/>
    <s v="AC"/>
    <n v="-40.26"/>
    <d v="2025-10-01T00:00:00"/>
    <s v="ABONNEMENT SOLUTION LOGISTIQUE EXPÉDITIONS GAM + FRAIS D'EXPÉ"/>
    <m/>
    <e v="#N/A"/>
    <e v="#N/A"/>
    <n v="83034"/>
    <s v="3-25-FR0057769"/>
    <s v="SENDCLOUD"/>
    <s v="Q4"/>
    <e v="#REF!"/>
    <e v="#REF!"/>
    <e v="#REF!"/>
  </r>
  <r>
    <s v="401000"/>
    <x v="6"/>
    <s v="FOURNISSEURS"/>
    <s v="AC"/>
    <n v="-40.18"/>
    <d v="2025-03-04T00:00:00"/>
    <s v="SODIUM LIGNINE SULFONATE"/>
    <m/>
    <e v="#N/A"/>
    <e v="#N/A"/>
    <n v="66043"/>
    <s v="4174464"/>
    <s v="ROTH SOCHIEL"/>
    <s v="Q1"/>
    <e v="#REF!"/>
    <e v="#REF!"/>
    <e v="#REF!"/>
  </r>
  <r>
    <s v="401000"/>
    <x v="6"/>
    <s v="FOURNISSEURS"/>
    <s v="AC"/>
    <n v="-40"/>
    <d v="2025-06-30T00:00:00"/>
    <s v="FACTURE ORANGE"/>
    <m/>
    <e v="#N/A"/>
    <e v="#N/A"/>
    <n v="82165"/>
    <s v="91132425"/>
    <s v="ORANGE"/>
    <s v="Q2"/>
    <e v="#REF!"/>
    <e v="#REF!"/>
    <e v="#REF!"/>
  </r>
  <r>
    <s v="401000"/>
    <x v="6"/>
    <s v="FOURNISSEURS"/>
    <s v="AC"/>
    <n v="-39.96"/>
    <d v="2025-08-04T00:00:00"/>
    <s v="PRODUIT MUSTANG"/>
    <m/>
    <e v="#N/A"/>
    <e v="#N/A"/>
    <n v="81784"/>
    <s v="4067788328"/>
    <s v="VWR AVANTOR"/>
    <s v="Q3"/>
    <e v="#REF!"/>
    <e v="#REF!"/>
    <e v="#REF!"/>
  </r>
  <r>
    <s v="401000"/>
    <x v="6"/>
    <s v="FOURNISSEURS"/>
    <s v="AC"/>
    <n v="-39.9"/>
    <d v="2025-05-11T00:00:00"/>
    <s v="CONSOMMABLE ET ENTRETIEN"/>
    <m/>
    <e v="#N/A"/>
    <e v="#N/A"/>
    <n v="73779"/>
    <s v="327712"/>
    <s v="LA FOURCHE"/>
    <s v="Q2"/>
    <e v="#REF!"/>
    <e v="#REF!"/>
    <e v="#REF!"/>
  </r>
  <r>
    <s v="401000"/>
    <x v="6"/>
    <s v="FOURNISSEURS"/>
    <s v="AC"/>
    <n v="-39.89"/>
    <d v="2025-06-23T00:00:00"/>
    <s v="ELECTRICITÉ LYON"/>
    <m/>
    <e v="#N/A"/>
    <e v="#N/A"/>
    <n v="78372"/>
    <s v="6"/>
    <s v="ENGIE"/>
    <s v="Q2"/>
    <e v="#REF!"/>
    <e v="#REF!"/>
    <e v="#REF!"/>
  </r>
  <r>
    <s v="401000"/>
    <x v="6"/>
    <s v="FOURNISSEURS"/>
    <s v="AC"/>
    <n v="-39.75"/>
    <d v="2025-01-18T00:00:00"/>
    <s v="ENTRETIEN ET DEMANDE PONCTUELLE PLANTES PLANTES (TERREAU, CACHE POTS, SOUCOUPE)"/>
    <m/>
    <e v="#N/A"/>
    <e v="#N/A"/>
    <n v="61269"/>
    <s v="43"/>
    <s v="TRUFFAUT"/>
    <s v="Q1"/>
    <e v="#REF!"/>
    <e v="#REF!"/>
    <e v="#REF!"/>
  </r>
  <r>
    <s v="401000"/>
    <x v="6"/>
    <s v="FOURNISSEURS"/>
    <s v="AC"/>
    <n v="-39.65"/>
    <d v="2025-10-27T00:00:00"/>
    <s v="EXPRESS DOMESTIC"/>
    <m/>
    <e v="#N/A"/>
    <e v="#N/A"/>
    <n v="87474"/>
    <s v="TLSR004141948"/>
    <s v="DHL"/>
    <s v="Q4"/>
    <e v="#REF!"/>
    <e v="#REF!"/>
    <e v="#REF!"/>
  </r>
  <r>
    <s v="401000"/>
    <x v="6"/>
    <s v="FOURNISSEURS"/>
    <s v="AC"/>
    <n v="-39.619999999999997"/>
    <d v="2025-07-21T00:00:00"/>
    <s v="COMMANDE PRODUIT KEENB"/>
    <m/>
    <e v="#N/A"/>
    <e v="#N/A"/>
    <n v="78925"/>
    <s v="4067776382"/>
    <s v="VWR AVANTOR"/>
    <s v="Q3"/>
    <e v="#REF!"/>
    <e v="#REF!"/>
    <e v="#REF!"/>
  </r>
  <r>
    <s v="401000"/>
    <x v="6"/>
    <s v="FOURNISSEURS"/>
    <s v="AC"/>
    <n v="-39.6"/>
    <d v="2025-09-01T00:00:00"/>
    <s v="ABONNEMENT SOLUTION LOGISTIQUE EXPÉDITIONS GAM + FRAIS D'EXPÉ"/>
    <m/>
    <e v="#N/A"/>
    <e v="#N/A"/>
    <n v="82948"/>
    <s v="3-25-FR0047380"/>
    <s v="SENDCLOUD"/>
    <s v="Q3"/>
    <e v="#REF!"/>
    <e v="#REF!"/>
    <e v="#REF!"/>
  </r>
  <r>
    <s v="401000"/>
    <x v="6"/>
    <s v="FOURNISSEURS"/>
    <s v="AC"/>
    <n v="-39.6"/>
    <d v="2025-12-01T00:00:00"/>
    <s v="ABONNEMENT SOLUTION LOGISTIQUE EXPÉDITIONS GAM + FRAIS D'EXPÉ"/>
    <m/>
    <e v="#N/A"/>
    <e v="#N/A"/>
    <n v="91840"/>
    <s v="3-25-FR0077207"/>
    <s v="SENDCLOUD"/>
    <s v="Q4"/>
    <e v="#REF!"/>
    <e v="#REF!"/>
    <e v="#REF!"/>
  </r>
  <r>
    <s v="401000"/>
    <x v="6"/>
    <s v="FOURNISSEURS"/>
    <s v="AC"/>
    <n v="-39.6"/>
    <d v="2025-12-11T00:00:00"/>
    <s v="REGISTRE UNIQUE DE CONSIGNATION D'ALERTE (DANGERS GRAVES, SANTÉ PUBLIQUE ET ENVIRONNEMENT)"/>
    <m/>
    <e v="#N/A"/>
    <e v="#N/A"/>
    <n v="92168"/>
    <s v="E 25 28105"/>
    <s v="GUILLARD PREVISA"/>
    <s v="Q4"/>
    <e v="#REF!"/>
    <e v="#REF!"/>
    <e v="#REF!"/>
  </r>
  <r>
    <s v="401000"/>
    <x v="6"/>
    <s v="FOURNISSEURS"/>
    <s v="AC"/>
    <n v="-39"/>
    <d v="2025-01-05T00:00:00"/>
    <s v="RETOUR CODIR"/>
    <m/>
    <e v="#N/A"/>
    <e v="#N/A"/>
    <n v="59849"/>
    <s v="KXCVAV"/>
    <s v="SNCF"/>
    <s v="Q1"/>
    <e v="#REF!"/>
    <e v="#REF!"/>
    <e v="#REF!"/>
  </r>
  <r>
    <s v="401000"/>
    <x v="6"/>
    <s v="FOURNISSEURS"/>
    <s v="AC"/>
    <n v="-39"/>
    <d v="2025-02-06T00:00:00"/>
    <s v="PDF ARCHITECT V9 POUR DIRECTION FINANCIÈRE"/>
    <m/>
    <s v="Non"/>
    <e v="#N/A"/>
    <n v="61426"/>
    <s v="106"/>
    <s v="DIVERS"/>
    <s v="Q1"/>
    <e v="#REF!"/>
    <e v="#REF!"/>
    <e v="#REF!"/>
  </r>
  <r>
    <s v="401000"/>
    <x v="6"/>
    <s v="FOURNISSEURS"/>
    <s v="AC"/>
    <n v="-39"/>
    <d v="2025-03-04T00:00:00"/>
    <s v="RETOUR CODIR"/>
    <m/>
    <e v="#N/A"/>
    <e v="#N/A"/>
    <n v="66125"/>
    <s v="22"/>
    <s v="SNCF"/>
    <s v="Q1"/>
    <e v="#REF!"/>
    <e v="#REF!"/>
    <e v="#REF!"/>
  </r>
  <r>
    <s v="401000"/>
    <x v="6"/>
    <s v="FOURNISSEURS"/>
    <s v="AC"/>
    <n v="-39"/>
    <d v="2025-03-11T00:00:00"/>
    <s v="ALLER ECS BOURG PARIS"/>
    <m/>
    <e v="#N/A"/>
    <e v="#N/A"/>
    <n v="67839"/>
    <s v="14"/>
    <s v="SNCF"/>
    <s v="Q1"/>
    <e v="#REF!"/>
    <e v="#REF!"/>
    <e v="#REF!"/>
  </r>
  <r>
    <s v="401000"/>
    <x v="6"/>
    <s v="FOURNISSEURS"/>
    <s v="AC"/>
    <n v="-38.799999999999997"/>
    <d v="2025-10-31T00:00:00"/>
    <s v="LIVRAISON EAU ROUSSILLON"/>
    <m/>
    <e v="#N/A"/>
    <e v="#N/A"/>
    <n v="90044"/>
    <s v="31/05713557"/>
    <s v="CHATEAUDEAU"/>
    <s v="Q4"/>
    <e v="#REF!"/>
    <e v="#REF!"/>
    <e v="#REF!"/>
  </r>
  <r>
    <s v="401000"/>
    <x v="6"/>
    <s v="FOURNISSEURS"/>
    <s v="AC"/>
    <n v="-38.590000000000003"/>
    <d v="2025-07-23T00:00:00"/>
    <s v="COMMANDE PRODUIT MUSTANG"/>
    <m/>
    <e v="#N/A"/>
    <e v="#N/A"/>
    <n v="78934"/>
    <s v="4067778265"/>
    <s v="VWR AVANTOR"/>
    <s v="Q3"/>
    <e v="#REF!"/>
    <e v="#REF!"/>
    <e v="#REF!"/>
  </r>
  <r>
    <s v="401000"/>
    <x v="6"/>
    <s v="FOURNISSEURS"/>
    <s v="AC"/>
    <n v="-38.28"/>
    <d v="2025-01-01T00:00:00"/>
    <s v="LAMPADAIRE, LAMPES DE BUREAU"/>
    <m/>
    <e v="#N/A"/>
    <e v="#N/A"/>
    <n v="59842"/>
    <s v="4"/>
    <s v="BRUNEAU"/>
    <s v="Q1"/>
    <e v="#REF!"/>
    <e v="#REF!"/>
    <e v="#REF!"/>
  </r>
  <r>
    <s v="401000"/>
    <x v="6"/>
    <s v="FOURNISSEURS"/>
    <s v="AC"/>
    <n v="-38.21"/>
    <d v="2025-03-10T00:00:00"/>
    <s v="AMMONIUM HYDROXIDE"/>
    <m/>
    <e v="#N/A"/>
    <e v="#N/A"/>
    <n v="66071"/>
    <s v="4067661159"/>
    <s v="VWR AVANTOR"/>
    <s v="Q1"/>
    <e v="#REF!"/>
    <e v="#REF!"/>
    <e v="#REF!"/>
  </r>
  <r>
    <s v="401000"/>
    <x v="6"/>
    <s v="FOURNISSEURS"/>
    <s v="AC"/>
    <n v="-38.020000000000003"/>
    <d v="2025-05-26T00:00:00"/>
    <s v="COMMANDE CONSOMMABLE LABO"/>
    <m/>
    <e v="#N/A"/>
    <e v="#N/A"/>
    <n v="76524"/>
    <s v="4067728862"/>
    <s v="VWR AVANTOR"/>
    <s v="Q2"/>
    <e v="#REF!"/>
    <e v="#REF!"/>
    <e v="#REF!"/>
  </r>
  <r>
    <s v="401000"/>
    <x v="6"/>
    <s v="FOURNISSEURS"/>
    <s v="AC"/>
    <n v="-38"/>
    <d v="2025-05-23T00:00:00"/>
    <s v="ELECTRICITÉ LYON"/>
    <m/>
    <e v="#N/A"/>
    <e v="#N/A"/>
    <n v="78762"/>
    <s v="850005168540"/>
    <s v="ENGIE"/>
    <s v="Q2"/>
    <e v="#REF!"/>
    <e v="#REF!"/>
    <e v="#REF!"/>
  </r>
  <r>
    <s v="401000"/>
    <x v="6"/>
    <s v="FOURNISSEURS"/>
    <s v="AC"/>
    <n v="-37.94"/>
    <d v="2025-07-23T00:00:00"/>
    <s v="ELECTRICITÉ LYON"/>
    <m/>
    <e v="#N/A"/>
    <e v="#N/A"/>
    <n v="87032"/>
    <s v="420007162957"/>
    <s v="ENGIE"/>
    <s v="Q3"/>
    <e v="#REF!"/>
    <e v="#REF!"/>
    <e v="#REF!"/>
  </r>
  <r>
    <s v="401000"/>
    <x v="6"/>
    <s v="FOURNISSEURS"/>
    <s v="AC"/>
    <n v="-36.86"/>
    <d v="2025-04-15T00:00:00"/>
    <s v="AIGUILLES 10ML (12ML) 3-PIÈCES"/>
    <m/>
    <e v="#N/A"/>
    <e v="#N/A"/>
    <n v="69809"/>
    <s v="4067696577"/>
    <s v="VWR AVANTOR"/>
    <s v="Q2"/>
    <e v="#REF!"/>
    <e v="#REF!"/>
    <e v="#REF!"/>
  </r>
  <r>
    <s v="401000"/>
    <x v="6"/>
    <s v="FOURNISSEURS"/>
    <s v="AC"/>
    <n v="-36.86"/>
    <d v="2025-07-30T00:00:00"/>
    <s v="COMMANDE CONSOMMABLES LABO"/>
    <m/>
    <e v="#N/A"/>
    <e v="#N/A"/>
    <n v="81222"/>
    <s v="4067783339"/>
    <s v="VWR AVANTOR"/>
    <s v="Q3"/>
    <e v="#REF!"/>
    <e v="#REF!"/>
    <e v="#REF!"/>
  </r>
  <r>
    <s v="401000"/>
    <x v="6"/>
    <s v="FOURNISSEURS"/>
    <s v="AC"/>
    <n v="-36.86"/>
    <d v="2025-12-31T00:00:00"/>
    <s v="CONSOMMABLES LABO"/>
    <m/>
    <e v="#N/A"/>
    <e v="#N/A"/>
    <n v="94306"/>
    <s v="4067909583"/>
    <s v="VWR AVANTOR"/>
    <s v="Q4"/>
    <e v="#REF!"/>
    <e v="#REF!"/>
    <e v="#REF!"/>
  </r>
  <r>
    <s v="401000"/>
    <x v="6"/>
    <s v="FOURNISSEURS"/>
    <s v="AC"/>
    <n v="-36.200000000000003"/>
    <d v="2025-01-16T00:00:00"/>
    <s v="GANT NITRILE ÉPAIS"/>
    <m/>
    <s v="Non"/>
    <e v="#N/A"/>
    <n v="59885"/>
    <s v="21"/>
    <s v="DIVERS"/>
    <s v="Q1"/>
    <e v="#REF!"/>
    <e v="#REF!"/>
    <e v="#REF!"/>
  </r>
  <r>
    <s v="401000"/>
    <x v="6"/>
    <s v="FOURNISSEURS"/>
    <s v="AC"/>
    <n v="-36.06"/>
    <d v="2025-01-18T00:00:00"/>
    <s v="DEMANDE COLLABORATEURS (AMPOULE, PILES, RUBAN ADHÉSIF, ETC.)"/>
    <m/>
    <s v="Non"/>
    <e v="#N/A"/>
    <n v="59899"/>
    <s v="26"/>
    <s v="DIVERS"/>
    <s v="Q1"/>
    <e v="#REF!"/>
    <e v="#REF!"/>
    <e v="#REF!"/>
  </r>
  <r>
    <s v="401000"/>
    <x v="6"/>
    <s v="FOURNISSEURS"/>
    <s v="AC"/>
    <n v="-36.020000000000003"/>
    <d v="2025-04-25T00:00:00"/>
    <s v="HYDROGENE PEROXYDE 30% PH"/>
    <m/>
    <e v="#N/A"/>
    <e v="#N/A"/>
    <n v="71347"/>
    <s v="4067704793"/>
    <s v="VWR AVANTOR"/>
    <s v="Q2"/>
    <e v="#REF!"/>
    <e v="#REF!"/>
    <e v="#REF!"/>
  </r>
  <r>
    <s v="401000"/>
    <x v="6"/>
    <s v="FOURNISSEURS"/>
    <s v="AC"/>
    <n v="-36.020000000000003"/>
    <d v="2025-07-02T00:00:00"/>
    <s v="COMMANDE PRODUIT KEENB"/>
    <m/>
    <e v="#N/A"/>
    <e v="#N/A"/>
    <n v="78891"/>
    <s v="4067762269"/>
    <s v="VWR AVANTOR"/>
    <s v="Q3"/>
    <e v="#REF!"/>
    <e v="#REF!"/>
    <e v="#REF!"/>
  </r>
  <r>
    <s v="401000"/>
    <x v="6"/>
    <s v="FOURNISSEURS"/>
    <s v="AC"/>
    <n v="-36"/>
    <d v="2025-04-03T00:00:00"/>
    <s v="WEBINAIRE - PRÉSENTATION DES PLATEFORMES SCIENTIFIQUES ET TECHNOLOGIQUES 22-05"/>
    <m/>
    <s v="Non"/>
    <s v="Oui"/>
    <n v="69703"/>
    <s v="M138284121"/>
    <s v="AXELERA"/>
    <s v="Q2"/>
    <e v="#REF!"/>
    <e v="#REF!"/>
    <e v="#REF!"/>
  </r>
  <r>
    <s v="401000"/>
    <x v="6"/>
    <s v="FOURNISSEURS"/>
    <s v="AC"/>
    <n v="-35.99"/>
    <d v="2025-07-30T00:00:00"/>
    <s v="FORFAIT UTILISATION DU MATÉRIEL AVANT DÉMARRAGE SELON CLAUSE M2"/>
    <m/>
    <e v="#N/A"/>
    <e v="#N/A"/>
    <n v="80655"/>
    <s v="75987067"/>
    <s v="RICOH"/>
    <s v="Q3"/>
    <e v="#REF!"/>
    <e v="#REF!"/>
    <e v="#REF!"/>
  </r>
  <r>
    <s v="401000"/>
    <x v="6"/>
    <s v="FOURNISSEURS"/>
    <s v="AC"/>
    <n v="-35.869999999999997"/>
    <d v="2025-12-22T00:00:00"/>
    <s v="EXPRESS DOMESTIC"/>
    <m/>
    <e v="#N/A"/>
    <e v="#N/A"/>
    <n v="93648"/>
    <s v="TLSR004274653"/>
    <s v="DHL"/>
    <s v="Q4"/>
    <e v="#REF!"/>
    <e v="#REF!"/>
    <e v="#REF!"/>
  </r>
  <r>
    <s v="401000"/>
    <x v="6"/>
    <s v="FOURNISSEURS"/>
    <s v="AC"/>
    <n v="-35.71"/>
    <d v="2025-03-18T00:00:00"/>
    <s v="MÉTHYLAMINE (SOLUTION AQUEUSE À 40%)"/>
    <m/>
    <e v="#N/A"/>
    <e v="#N/A"/>
    <n v="66019"/>
    <s v="4067668984"/>
    <s v="VWR AVANTOR"/>
    <s v="Q1"/>
    <e v="#REF!"/>
    <e v="#REF!"/>
    <e v="#REF!"/>
  </r>
  <r>
    <s v="401000"/>
    <x v="6"/>
    <s v="FOURNISSEURS"/>
    <s v="AC"/>
    <n v="-35.700000000000003"/>
    <d v="2025-08-31T00:00:00"/>
    <s v="Frais la Poste"/>
    <m/>
    <e v="#N/A"/>
    <e v="#N/A"/>
    <n v="90152"/>
    <m/>
    <s v="LA POSTE"/>
    <s v="Q3"/>
    <e v="#REF!"/>
    <e v="#REF!"/>
    <e v="#REF!"/>
  </r>
  <r>
    <s v="401000"/>
    <x v="6"/>
    <s v="FOURNISSEURS"/>
    <s v="AC"/>
    <n v="-35.04"/>
    <d v="2025-04-01T00:00:00"/>
    <s v="ABONNEMENT SOLUTION LOGISTIQUE EXPÉDITIONS GAM + FRAIS D'EXPÉ"/>
    <m/>
    <e v="#N/A"/>
    <e v="#N/A"/>
    <n v="69668"/>
    <s v="25-FR0001817"/>
    <s v="SENDCLOUD"/>
    <s v="Q2"/>
    <e v="#REF!"/>
    <e v="#REF!"/>
    <e v="#REF!"/>
  </r>
  <r>
    <s v="401000"/>
    <x v="6"/>
    <s v="FOURNISSEURS"/>
    <s v="AC"/>
    <n v="-35.04"/>
    <d v="2025-07-01T00:00:00"/>
    <s v="ABONNEMENT SOLUTION LOGISTIQUE EXPÉDITIONS GAM + FRAIS D'EXPÉ"/>
    <m/>
    <e v="#N/A"/>
    <e v="#N/A"/>
    <n v="80845"/>
    <s v="2"/>
    <s v="SENDCLOUD"/>
    <s v="Q3"/>
    <e v="#REF!"/>
    <e v="#REF!"/>
    <e v="#REF!"/>
  </r>
  <r>
    <s v="401000"/>
    <x v="6"/>
    <s v="FOURNISSEURS"/>
    <s v="AC"/>
    <n v="-34.799999999999997"/>
    <d v="2025-01-01T00:00:00"/>
    <s v="ABONNEMENT SOLUTION LOGISTIQUE EXPÉDITIONS GAM + FRAIS D'EXPÉ"/>
    <m/>
    <e v="#N/A"/>
    <e v="#N/A"/>
    <n v="59836"/>
    <s v="25-FR0000533"/>
    <s v="SENDCLOUD"/>
    <s v="Q1"/>
    <e v="#REF!"/>
    <e v="#REF!"/>
    <e v="#REF!"/>
  </r>
  <r>
    <s v="401000"/>
    <x v="6"/>
    <s v="FOURNISSEURS"/>
    <s v="AC"/>
    <n v="-34.799999999999997"/>
    <d v="2025-02-02T00:00:00"/>
    <s v="ABONNEMENT SOLUTION LOGISTIQUE EXPÉDITIONS GAM + FRAIS D'EXPÉ"/>
    <m/>
    <e v="#N/A"/>
    <e v="#N/A"/>
    <n v="61393"/>
    <s v="91"/>
    <s v="SENDCLOUD"/>
    <s v="Q1"/>
    <e v="#REF!"/>
    <e v="#REF!"/>
    <e v="#REF!"/>
  </r>
  <r>
    <s v="401000"/>
    <x v="6"/>
    <s v="FOURNISSEURS"/>
    <s v="AC"/>
    <n v="-34.799999999999997"/>
    <d v="2025-03-02T00:00:00"/>
    <s v="ABONNEMENT SOLUTION LOGISTIQUE EXPÉDITIONS GAM + FRAIS D'EXPÉ"/>
    <m/>
    <e v="#N/A"/>
    <e v="#N/A"/>
    <n v="66013"/>
    <s v="6"/>
    <s v="SENDCLOUD"/>
    <s v="Q1"/>
    <e v="#REF!"/>
    <e v="#REF!"/>
    <e v="#REF!"/>
  </r>
  <r>
    <s v="401000"/>
    <x v="6"/>
    <s v="FOURNISSEURS"/>
    <s v="AC"/>
    <n v="-34.799999999999997"/>
    <d v="2025-05-01T00:00:00"/>
    <s v="ABONNEMENT SOLUTION LOGISTIQUE EXPÉDITIONS GAM + FRAIS D'EXPÉ"/>
    <m/>
    <e v="#N/A"/>
    <e v="#N/A"/>
    <n v="72666"/>
    <s v="25-FR0010091"/>
    <s v="SENDCLOUD"/>
    <s v="Q2"/>
    <e v="#REF!"/>
    <e v="#REF!"/>
    <e v="#REF!"/>
  </r>
  <r>
    <s v="401000"/>
    <x v="6"/>
    <s v="FOURNISSEURS"/>
    <s v="AC"/>
    <n v="-34.799999999999997"/>
    <d v="2025-06-01T00:00:00"/>
    <s v="ABONNEMENT SOLUTION LOGISTIQUE EXPÉDITIONS GAM + FRAIS D'EXPÉ"/>
    <m/>
    <e v="#N/A"/>
    <e v="#N/A"/>
    <n v="75482"/>
    <s v="3-25-FR0020559"/>
    <s v="SENDCLOUD"/>
    <s v="Q2"/>
    <e v="#REF!"/>
    <e v="#REF!"/>
    <e v="#REF!"/>
  </r>
  <r>
    <s v="401000"/>
    <x v="6"/>
    <s v="FOURNISSEURS"/>
    <s v="AC"/>
    <n v="-34.799999999999997"/>
    <d v="2025-08-01T00:00:00"/>
    <s v="ABONNEMENT SOLUTION LOGISTIQUE EXPÉDITIONS GAM + FRAIS D'EXPÉ"/>
    <m/>
    <e v="#N/A"/>
    <e v="#N/A"/>
    <n v="81242"/>
    <s v=" 3-25-FR0039050"/>
    <s v="SENDCLOUD"/>
    <s v="Q3"/>
    <e v="#REF!"/>
    <e v="#REF!"/>
    <e v="#REF!"/>
  </r>
  <r>
    <s v="401000"/>
    <x v="6"/>
    <s v="FOURNISSEURS"/>
    <s v="AC"/>
    <n v="-34.799999999999997"/>
    <d v="2025-12-23T00:00:00"/>
    <s v="TÉLÉDÉCLARATION EN LIGNE - PILI - DÉCLARATION DE CVAE (1330-CVAE) 2024"/>
    <m/>
    <e v="#N/A"/>
    <e v="#N/A"/>
    <n v="93976"/>
    <s v="T311530"/>
    <s v="LPI CONSEIL"/>
    <s v="Q4"/>
    <e v="#REF!"/>
    <e v="#REF!"/>
    <e v="#REF!"/>
  </r>
  <r>
    <s v="401000"/>
    <x v="6"/>
    <s v="FOURNISSEURS"/>
    <s v="AC"/>
    <n v="-33.590000000000003"/>
    <d v="2025-10-21T00:00:00"/>
    <s v="RÉAPPROVISIONNEMENT DES STOCKS DE PETIT CONSOMMABLE  GANTS DE MÉNAGE (POUR NOTRE TECHNICIEN ABEL) PRODUIT WC  RECHARGES SWIFFER"/>
    <m/>
    <e v="#N/A"/>
    <e v="#N/A"/>
    <n v="89629"/>
    <s v="27"/>
    <s v="BRUNEAU"/>
    <s v="Q4"/>
    <e v="#REF!"/>
    <e v="#REF!"/>
    <e v="#REF!"/>
  </r>
  <r>
    <s v="401000"/>
    <x v="6"/>
    <s v="FOURNISSEURS"/>
    <s v="AC"/>
    <n v="-33.42"/>
    <d v="2025-03-01T00:00:00"/>
    <s v="PANNEAU POUR TROUSSE DE SECOURS"/>
    <m/>
    <e v="#N/A"/>
    <e v="#N/A"/>
    <n v="66030"/>
    <s v="3"/>
    <s v="MANUTAN"/>
    <s v="Q1"/>
    <e v="#REF!"/>
    <e v="#REF!"/>
    <e v="#REF!"/>
  </r>
  <r>
    <s v="401000"/>
    <x v="6"/>
    <s v="FOURNISSEURS"/>
    <s v="AC"/>
    <n v="-33"/>
    <d v="2025-02-24T00:00:00"/>
    <s v="COMMANDE PRODUIT KEENY"/>
    <m/>
    <e v="#N/A"/>
    <e v="#N/A"/>
    <n v="61556"/>
    <s v="INGM191089"/>
    <s v="BLD PHARMATECH"/>
    <s v="Q1"/>
    <e v="#REF!"/>
    <e v="#REF!"/>
    <e v="#REF!"/>
  </r>
  <r>
    <s v="401000"/>
    <x v="6"/>
    <s v="FOURNISSEURS"/>
    <s v="AC"/>
    <n v="-32.99"/>
    <d v="2025-06-20T00:00:00"/>
    <s v="4G BOX"/>
    <m/>
    <e v="#N/A"/>
    <e v="#N/A"/>
    <n v="89576"/>
    <s v="1,18643E+13"/>
    <s v="BOUYGUES TELECOM"/>
    <s v="Q2"/>
    <e v="#REF!"/>
    <e v="#REF!"/>
    <e v="#REF!"/>
  </r>
  <r>
    <s v="401000"/>
    <x v="6"/>
    <s v="FOURNISSEURS"/>
    <s v="AC"/>
    <n v="-32.99"/>
    <d v="2025-07-20T00:00:00"/>
    <s v="4G BOX"/>
    <m/>
    <e v="#N/A"/>
    <e v="#N/A"/>
    <n v="87024"/>
    <s v="11047185040725"/>
    <s v="BOUYGUES TELECOM"/>
    <s v="Q3"/>
    <e v="#REF!"/>
    <e v="#REF!"/>
    <e v="#REF!"/>
  </r>
  <r>
    <s v="401000"/>
    <x v="6"/>
    <s v="FOURNISSEURS"/>
    <s v="AC"/>
    <n v="-32.99"/>
    <d v="2025-08-20T00:00:00"/>
    <s v="4G BOX"/>
    <m/>
    <e v="#N/A"/>
    <e v="#N/A"/>
    <n v="87037"/>
    <s v="11218192910825"/>
    <s v="BOUYGUES TELECOM"/>
    <s v="Q3"/>
    <e v="#REF!"/>
    <e v="#REF!"/>
    <e v="#REF!"/>
  </r>
  <r>
    <s v="401000"/>
    <x v="6"/>
    <s v="FOURNISSEURS"/>
    <s v="AC"/>
    <n v="-32.99"/>
    <d v="2025-09-20T00:00:00"/>
    <s v="4G BOX"/>
    <m/>
    <e v="#N/A"/>
    <e v="#N/A"/>
    <n v="82762"/>
    <s v="11404201060925"/>
    <s v="BOUYGUES TELECOM"/>
    <s v="Q3"/>
    <e v="#REF!"/>
    <e v="#REF!"/>
    <e v="#REF!"/>
  </r>
  <r>
    <s v="401000"/>
    <x v="6"/>
    <s v="FOURNISSEURS"/>
    <s v="AC"/>
    <n v="-32.99"/>
    <d v="2025-10-20T00:00:00"/>
    <s v="4G BOX"/>
    <m/>
    <e v="#N/A"/>
    <e v="#N/A"/>
    <n v="90063"/>
    <s v="11575482271025"/>
    <s v="BOUYGUES TELECOM"/>
    <s v="Q4"/>
    <e v="#REF!"/>
    <e v="#REF!"/>
    <e v="#REF!"/>
  </r>
  <r>
    <s v="401000"/>
    <x v="6"/>
    <s v="FOURNISSEURS"/>
    <s v="AC"/>
    <n v="-32.99"/>
    <d v="2025-11-20T00:00:00"/>
    <s v="4G BOX"/>
    <m/>
    <e v="#N/A"/>
    <e v="#N/A"/>
    <n v="91808"/>
    <s v="11765149481125"/>
    <s v="BOUYGUES TELECOM"/>
    <s v="Q4"/>
    <e v="#REF!"/>
    <e v="#REF!"/>
    <e v="#REF!"/>
  </r>
  <r>
    <s v="401000"/>
    <x v="6"/>
    <s v="FOURNISSEURS"/>
    <s v="AC"/>
    <n v="-32.99"/>
    <d v="2025-12-20T00:00:00"/>
    <s v="4G BOX"/>
    <m/>
    <e v="#N/A"/>
    <e v="#N/A"/>
    <n v="94954"/>
    <s v="11937344901225"/>
    <s v="BOUYGUES TELECOM"/>
    <s v="Q4"/>
    <e v="#REF!"/>
    <e v="#REF!"/>
    <e v="#REF!"/>
  </r>
  <r>
    <s v="401000"/>
    <x v="6"/>
    <s v="FOURNISSEURS"/>
    <s v="AC"/>
    <n v="-32.93"/>
    <d v="2025-03-05T00:00:00"/>
    <s v="TRIÉTHYLÈNEGLYCOL"/>
    <m/>
    <e v="#N/A"/>
    <e v="#N/A"/>
    <n v="66007"/>
    <s v="4174544"/>
    <s v="ROTH SOCHIEL"/>
    <s v="Q1"/>
    <e v="#REF!"/>
    <e v="#REF!"/>
    <e v="#REF!"/>
  </r>
  <r>
    <s v="401000"/>
    <x v="6"/>
    <s v="FOURNISSEURS"/>
    <s v="AC"/>
    <n v="-32.92"/>
    <d v="2025-02-14T00:00:00"/>
    <s v="TETRA-N-BUTYLAMMONIUM IODIDE, 98%"/>
    <m/>
    <e v="#N/A"/>
    <e v="#N/A"/>
    <n v="61490"/>
    <s v="4067639520"/>
    <s v="VWR AVANTOR"/>
    <s v="Q1"/>
    <e v="#REF!"/>
    <e v="#REF!"/>
    <e v="#REF!"/>
  </r>
  <r>
    <s v="401000"/>
    <x v="6"/>
    <s v="FOURNISSEURS"/>
    <s v="AC"/>
    <n v="-32.85"/>
    <d v="2025-06-17T00:00:00"/>
    <s v="NACL POUR KEENY (SOLUTION BRINE POUR LES LAVAGES)"/>
    <m/>
    <e v="#N/A"/>
    <e v="#N/A"/>
    <n v="78040"/>
    <s v="29"/>
    <s v="MONDROGUISTE"/>
    <s v="Q2"/>
    <e v="#REF!"/>
    <e v="#REF!"/>
    <e v="#REF!"/>
  </r>
  <r>
    <s v="401000"/>
    <x v="6"/>
    <s v="FOURNISSEURS"/>
    <s v="AC"/>
    <n v="-32.83"/>
    <d v="2025-09-05T00:00:00"/>
    <s v="CONSOMMABLE LABO"/>
    <m/>
    <e v="#N/A"/>
    <e v="#N/A"/>
    <n v="82319"/>
    <s v="4067811317"/>
    <s v="VWR AVANTOR"/>
    <s v="Q3"/>
    <e v="#REF!"/>
    <e v="#REF!"/>
    <e v="#REF!"/>
  </r>
  <r>
    <s v="401000"/>
    <x v="6"/>
    <s v="FOURNISSEURS"/>
    <s v="AC"/>
    <n v="-32.020000000000003"/>
    <d v="2025-11-18T00:00:00"/>
    <s v="EAU COURANTE LYON"/>
    <m/>
    <e v="#N/A"/>
    <e v="#N/A"/>
    <n v="92950"/>
    <s v="1009543685"/>
    <s v="EAU DU GRAND LYON"/>
    <s v="Q4"/>
    <e v="#REF!"/>
    <e v="#REF!"/>
    <e v="#REF!"/>
  </r>
  <r>
    <s v="401000"/>
    <x v="6"/>
    <s v="FOURNISSEURS"/>
    <s v="AC"/>
    <n v="-31.79"/>
    <d v="2025-01-18T00:00:00"/>
    <s v="ENTRETIEN ET DEMANDE PONCTUELLE PLANTES PLANTES (TERREAU, CACHE POTS, SOUCOUPE)"/>
    <m/>
    <s v="Non"/>
    <e v="#N/A"/>
    <n v="59904"/>
    <s v="28"/>
    <s v="DIVERS"/>
    <s v="Q1"/>
    <e v="#REF!"/>
    <e v="#REF!"/>
    <e v="#REF!"/>
  </r>
  <r>
    <s v="401000"/>
    <x v="6"/>
    <s v="FOURNISSEURS"/>
    <s v="AC"/>
    <n v="-31.58"/>
    <d v="2025-05-16T00:00:00"/>
    <s v="EAU ET ASSAINISSEMENT"/>
    <m/>
    <e v="#N/A"/>
    <e v="#N/A"/>
    <n v="78356"/>
    <s v="2"/>
    <s v="EAU DU GRAND LYON"/>
    <s v="Q2"/>
    <e v="#REF!"/>
    <e v="#REF!"/>
    <e v="#REF!"/>
  </r>
  <r>
    <s v="401000"/>
    <x v="6"/>
    <s v="FOURNISSEURS"/>
    <s v="AC"/>
    <n v="-31.32"/>
    <d v="2025-02-10T00:00:00"/>
    <s v="FLACON PE POUR LA POMPE DE PRÉLÈVEMENT"/>
    <m/>
    <e v="#N/A"/>
    <e v="#N/A"/>
    <n v="61443"/>
    <s v="4173205"/>
    <s v="ROTH SOCHIEL"/>
    <s v="Q1"/>
    <e v="#REF!"/>
    <e v="#REF!"/>
    <e v="#REF!"/>
  </r>
  <r>
    <s v="401000"/>
    <x v="6"/>
    <s v="FOURNISSEURS"/>
    <s v="AC"/>
    <n v="-31.05"/>
    <d v="2025-01-01T00:00:00"/>
    <s v="EAU LYON 2024"/>
    <m/>
    <e v="#N/A"/>
    <e v="#N/A"/>
    <n v="71256"/>
    <s v="1008829596"/>
    <s v="EAU DU GRAND LYON"/>
    <s v="Q1"/>
    <e v="#REF!"/>
    <e v="#REF!"/>
    <e v="#REF!"/>
  </r>
  <r>
    <s v="401000"/>
    <x v="6"/>
    <s v="FOURNISSEURS"/>
    <s v="AC"/>
    <n v="-30.23"/>
    <d v="2025-09-22T00:00:00"/>
    <s v="GAZ LYON"/>
    <m/>
    <e v="#N/A"/>
    <e v="#N/A"/>
    <n v="82771"/>
    <s v="970005481454"/>
    <s v="ENGIE"/>
    <s v="Q3"/>
    <e v="#REF!"/>
    <e v="#REF!"/>
    <e v="#REF!"/>
  </r>
  <r>
    <s v="401000"/>
    <x v="6"/>
    <s v="FOURNISSEURS"/>
    <s v="AC"/>
    <n v="-30"/>
    <d v="2025-05-19T00:00:00"/>
    <s v="TRANSPORT COSTS"/>
    <s v="Non"/>
    <e v="#N/A"/>
    <e v="#N/A"/>
    <n v="73803"/>
    <s v="91250054"/>
    <s v="BIOTIKA"/>
    <s v="Q2"/>
    <e v="#REF!"/>
    <e v="#REF!"/>
    <e v="#REF!"/>
  </r>
  <r>
    <s v="401000"/>
    <x v="6"/>
    <s v="FOURNISSEURS"/>
    <s v="AC"/>
    <n v="-30"/>
    <d v="2025-08-24T00:00:00"/>
    <s v="ABONNEMENT OUTIL ENVOI DE NEWSLETTERS"/>
    <m/>
    <e v="#N/A"/>
    <e v="#N/A"/>
    <n v="82212"/>
    <s v="9144913"/>
    <s v="MAILJET"/>
    <s v="Q3"/>
    <e v="#REF!"/>
    <e v="#REF!"/>
    <e v="#REF!"/>
  </r>
  <r>
    <s v="401000"/>
    <x v="6"/>
    <s v="FOURNISSEURS"/>
    <s v="AC"/>
    <n v="-30"/>
    <d v="2025-09-24T00:00:00"/>
    <s v="ABONNEMENT OUTIL ENVOI DE NEWSLETTERS"/>
    <m/>
    <e v="#N/A"/>
    <e v="#N/A"/>
    <n v="83021"/>
    <s v="9360292"/>
    <s v="MAILJET"/>
    <s v="Q3"/>
    <e v="#REF!"/>
    <e v="#REF!"/>
    <e v="#REF!"/>
  </r>
  <r>
    <s v="401000"/>
    <x v="6"/>
    <s v="FOURNISSEURS"/>
    <s v="AC"/>
    <n v="-30"/>
    <d v="2025-10-24T00:00:00"/>
    <s v="ABONNEMENT OUTIL ENVOI DE NEWSLETTERS"/>
    <m/>
    <e v="#N/A"/>
    <e v="#N/A"/>
    <n v="89642"/>
    <s v="31"/>
    <s v="MAILJET"/>
    <s v="Q4"/>
    <e v="#REF!"/>
    <e v="#REF!"/>
    <e v="#REF!"/>
  </r>
  <r>
    <s v="401000"/>
    <x v="6"/>
    <s v="FOURNISSEURS"/>
    <s v="AC"/>
    <n v="-30"/>
    <d v="2025-11-02T00:00:00"/>
    <s v="GESTIONNAIRE COOKIES SITE WEB PILI"/>
    <m/>
    <e v="#N/A"/>
    <e v="#N/A"/>
    <n v="91406"/>
    <s v="5944117"/>
    <s v="COOKIEBOT"/>
    <s v="Q4"/>
    <e v="#REF!"/>
    <e v="#REF!"/>
    <e v="#REF!"/>
  </r>
  <r>
    <s v="401000"/>
    <x v="6"/>
    <s v="FOURNISSEURS"/>
    <s v="AC"/>
    <n v="-30"/>
    <d v="2025-11-24T00:00:00"/>
    <s v="ABONNEMENT OUTIL ENVOI DE NEWSLETTERS"/>
    <m/>
    <e v="#N/A"/>
    <e v="#N/A"/>
    <n v="91465"/>
    <s v="539089"/>
    <s v="MAILJET"/>
    <s v="Q4"/>
    <e v="#REF!"/>
    <e v="#REF!"/>
    <e v="#REF!"/>
  </r>
  <r>
    <s v="401000"/>
    <x v="6"/>
    <s v="FOURNISSEURS"/>
    <s v="AC"/>
    <n v="-30"/>
    <d v="2025-12-02T00:00:00"/>
    <s v="GESTIONNAIRE COOKIES SITE WEB PILI"/>
    <m/>
    <e v="#N/A"/>
    <e v="#N/A"/>
    <n v="93925"/>
    <s v="6033065"/>
    <s v="COOKIEBOT"/>
    <s v="Q4"/>
    <e v="#REF!"/>
    <e v="#REF!"/>
    <e v="#REF!"/>
  </r>
  <r>
    <s v="401000"/>
    <x v="6"/>
    <s v="FOURNISSEURS"/>
    <s v="AC"/>
    <n v="-30"/>
    <d v="2025-12-24T00:00:00"/>
    <s v="ABONNEMENT OUTIL ENVOI DE NEWSLETTERS"/>
    <m/>
    <e v="#N/A"/>
    <e v="#N/A"/>
    <n v="93979"/>
    <s v="10028025"/>
    <s v="MAILJET"/>
    <s v="Q4"/>
    <e v="#REF!"/>
    <e v="#REF!"/>
    <e v="#REF!"/>
  </r>
  <r>
    <s v="401000"/>
    <x v="6"/>
    <s v="FOURNISSEURS"/>
    <s v="AC"/>
    <n v="-29.95"/>
    <d v="2025-07-24T00:00:00"/>
    <s v="ABONNEMENT OUTIL ENVOI DE NEWSLETTERS"/>
    <m/>
    <e v="#N/A"/>
    <e v="#N/A"/>
    <n v="80891"/>
    <s v="8934624"/>
    <s v="MAILJET"/>
    <s v="Q3"/>
    <e v="#REF!"/>
    <e v="#REF!"/>
    <e v="#REF!"/>
  </r>
  <r>
    <s v="401000"/>
    <x v="6"/>
    <s v="FOURNISSEURS"/>
    <s v="AC"/>
    <n v="-29.86"/>
    <d v="2025-02-18T00:00:00"/>
    <s v="MAGNÉSIUM CHLORURE ANHYDRE POUR LA SYNTHÈSE"/>
    <m/>
    <e v="#N/A"/>
    <e v="#N/A"/>
    <n v="64100"/>
    <s v="4067642228"/>
    <s v="VWR AVANTOR"/>
    <s v="Q1"/>
    <e v="#REF!"/>
    <e v="#REF!"/>
    <e v="#REF!"/>
  </r>
  <r>
    <s v="401000"/>
    <x v="6"/>
    <s v="FOURNISSEURS"/>
    <s v="AC"/>
    <n v="-29.27"/>
    <d v="2025-06-21T00:00:00"/>
    <s v="GAZ LYON"/>
    <m/>
    <e v="#N/A"/>
    <e v="#N/A"/>
    <n v="78367"/>
    <s v="5"/>
    <s v="ENGIE"/>
    <s v="Q2"/>
    <e v="#REF!"/>
    <e v="#REF!"/>
    <e v="#REF!"/>
  </r>
  <r>
    <s v="401000"/>
    <x v="6"/>
    <s v="FOURNISSEURS"/>
    <s v="AC"/>
    <n v="-28.6"/>
    <d v="2025-10-20T00:00:00"/>
    <s v="TRANSPORT COSTS"/>
    <s v="Non"/>
    <e v="#N/A"/>
    <e v="#N/A"/>
    <n v="87446"/>
    <s v="91250169"/>
    <s v="BIOTIKA"/>
    <s v="Q4"/>
    <e v="#REF!"/>
    <e v="#REF!"/>
    <e v="#REF!"/>
  </r>
  <r>
    <s v="401000"/>
    <x v="6"/>
    <s v="FOURNISSEURS"/>
    <s v="AC"/>
    <n v="-28.22"/>
    <d v="2025-04-28T00:00:00"/>
    <s v="COLIS DHL"/>
    <m/>
    <e v="#N/A"/>
    <e v="#N/A"/>
    <n v="71352"/>
    <s v="TLSR003743493"/>
    <s v="DHL"/>
    <s v="Q2"/>
    <e v="#REF!"/>
    <e v="#REF!"/>
    <e v="#REF!"/>
  </r>
  <r>
    <s v="401000"/>
    <x v="6"/>
    <s v="FOURNISSEURS"/>
    <s v="AC"/>
    <n v="-28"/>
    <d v="2025-11-12T00:00:00"/>
    <s v="AR AÉROPORT LYON"/>
    <m/>
    <s v="Non"/>
    <e v="#N/A"/>
    <n v="91432"/>
    <s v="W_4793216"/>
    <s v="DIVERS"/>
    <s v="Q4"/>
    <e v="#REF!"/>
    <e v="#REF!"/>
    <e v="#REF!"/>
  </r>
  <r>
    <s v="401000"/>
    <x v="6"/>
    <s v="FOURNISSEURS"/>
    <s v="AC"/>
    <n v="-27.96"/>
    <d v="2025-10-20T00:00:00"/>
    <s v="GAZ LYON"/>
    <m/>
    <e v="#N/A"/>
    <e v="#N/A"/>
    <n v="90066"/>
    <s v="120010051276"/>
    <s v="ENGIE"/>
    <s v="Q4"/>
    <e v="#REF!"/>
    <e v="#REF!"/>
    <e v="#REF!"/>
  </r>
  <r>
    <s v="401000"/>
    <x v="6"/>
    <s v="FOURNISSEURS"/>
    <s v="AC"/>
    <n v="-27.75"/>
    <d v="2025-08-21T00:00:00"/>
    <s v="GAZ LYON"/>
    <m/>
    <e v="#N/A"/>
    <e v="#N/A"/>
    <n v="87040"/>
    <s v="820000567975"/>
    <s v="ENGIE"/>
    <s v="Q3"/>
    <e v="#REF!"/>
    <e v="#REF!"/>
    <e v="#REF!"/>
  </r>
  <r>
    <s v="401000"/>
    <x v="6"/>
    <s v="FOURNISSEURS"/>
    <s v="AC"/>
    <n v="-27.68"/>
    <d v="2025-07-10T00:00:00"/>
    <s v="CRÉATION ARRIVÉE D'AIR ENTRÉE BÂTIMENT (POMPE DÉCHETS + KL + LABORATOIRE) + CHANGEMENT FILTRE ARRIVÉE PILOTE"/>
    <m/>
    <e v="#N/A"/>
    <e v="#N/A"/>
    <n v="80874"/>
    <s v="487019486"/>
    <s v="RS COMPONENT"/>
    <s v="Q3"/>
    <e v="#REF!"/>
    <e v="#REF!"/>
    <e v="#REF!"/>
  </r>
  <r>
    <s v="401000"/>
    <x v="6"/>
    <s v="FOURNISSEURS"/>
    <s v="AC"/>
    <n v="-27.6"/>
    <d v="2025-02-23T00:00:00"/>
    <s v="ENVOI COLIS VINCENT ET BENOÎT"/>
    <m/>
    <s v="Non"/>
    <e v="#N/A"/>
    <n v="61551"/>
    <s v="152"/>
    <s v="DIVERS"/>
    <s v="Q1"/>
    <e v="#REF!"/>
    <e v="#REF!"/>
    <e v="#REF!"/>
  </r>
  <r>
    <s v="401000"/>
    <x v="6"/>
    <s v="FOURNISSEURS"/>
    <s v="AC"/>
    <n v="-27.46"/>
    <d v="2025-06-27T00:00:00"/>
    <s v="COMMANDE PRODUIT KEENY POUR ÉTUDE RC1"/>
    <m/>
    <e v="#N/A"/>
    <e v="#N/A"/>
    <n v="77291"/>
    <s v="4067756761"/>
    <s v="VWR AVANTOR"/>
    <s v="Q2"/>
    <e v="#REF!"/>
    <e v="#REF!"/>
    <e v="#REF!"/>
  </r>
  <r>
    <s v="401000"/>
    <x v="6"/>
    <s v="FOURNISSEURS"/>
    <s v="AC"/>
    <n v="-26.59"/>
    <d v="2025-02-28T00:00:00"/>
    <s v="METHYL ANTHRANILATE, 99%"/>
    <m/>
    <e v="#N/A"/>
    <e v="#N/A"/>
    <n v="64143"/>
    <s v="4067652895"/>
    <s v="VWR AVANTOR"/>
    <s v="Q1"/>
    <e v="#REF!"/>
    <e v="#REF!"/>
    <e v="#REF!"/>
  </r>
  <r>
    <s v="401000"/>
    <x v="6"/>
    <s v="FOURNISSEURS"/>
    <s v="AC"/>
    <n v="-26.4"/>
    <d v="2025-07-01T00:00:00"/>
    <s v="COMMANDE CONSOMMABLE LABO"/>
    <m/>
    <e v="#N/A"/>
    <e v="#N/A"/>
    <n v="77323"/>
    <s v="4067761025"/>
    <s v="VWR AVANTOR"/>
    <s v="Q3"/>
    <e v="#REF!"/>
    <e v="#REF!"/>
    <e v="#REF!"/>
  </r>
  <r>
    <s v="401000"/>
    <x v="6"/>
    <s v="FOURNISSEURS"/>
    <s v="AC"/>
    <n v="-25.84"/>
    <d v="2025-05-19T00:00:00"/>
    <s v="EXPRESS DOMESTIC"/>
    <m/>
    <e v="#N/A"/>
    <e v="#N/A"/>
    <n v="73794"/>
    <s v="TLSR003788695"/>
    <s v="DHL"/>
    <s v="Q2"/>
    <e v="#REF!"/>
    <e v="#REF!"/>
    <e v="#REF!"/>
  </r>
  <r>
    <s v="401000"/>
    <x v="6"/>
    <s v="FOURNISSEURS"/>
    <s v="AC"/>
    <n v="-25.73"/>
    <d v="2025-04-30T00:00:00"/>
    <s v="ÉTHYLHEXANOL  MIN. 99,5 %, POUR LA SYNTHÈSE"/>
    <m/>
    <e v="#N/A"/>
    <e v="#N/A"/>
    <n v="72638"/>
    <s v="4177412"/>
    <s v="ROTH SOCHIEL"/>
    <s v="Q2"/>
    <e v="#REF!"/>
    <e v="#REF!"/>
    <e v="#REF!"/>
  </r>
  <r>
    <s v="401000"/>
    <x v="6"/>
    <s v="FOURNISSEURS"/>
    <s v="AC"/>
    <n v="-25.61"/>
    <d v="2025-03-04T00:00:00"/>
    <s v="ACÉTONE TECHNICAL BIDON PLASTIQUE 5L DIN42"/>
    <m/>
    <e v="#N/A"/>
    <e v="#N/A"/>
    <n v="65967"/>
    <s v="4067656490"/>
    <s v="VWR AVANTOR"/>
    <s v="Q1"/>
    <e v="#REF!"/>
    <e v="#REF!"/>
    <e v="#REF!"/>
  </r>
  <r>
    <s v="401000"/>
    <x v="6"/>
    <s v="FOURNISSEURS"/>
    <s v="AC"/>
    <n v="-25.61"/>
    <d v="2025-11-19T00:00:00"/>
    <s v="SOLVANT LABO"/>
    <m/>
    <e v="#N/A"/>
    <e v="#N/A"/>
    <n v="91942"/>
    <s v="4067875494"/>
    <s v="VWR AVANTOR"/>
    <s v="Q4"/>
    <e v="#REF!"/>
    <e v="#REF!"/>
    <e v="#REF!"/>
  </r>
  <r>
    <s v="401000"/>
    <x v="6"/>
    <s v="FOURNISSEURS"/>
    <s v="AC"/>
    <n v="-25.03"/>
    <d v="2025-12-17T00:00:00"/>
    <s v="PRODUIT KEENB"/>
    <m/>
    <e v="#N/A"/>
    <e v="#N/A"/>
    <n v="93009"/>
    <s v="4067902399"/>
    <s v="VWR AVANTOR"/>
    <s v="Q4"/>
    <e v="#REF!"/>
    <e v="#REF!"/>
    <e v="#REF!"/>
  </r>
  <r>
    <s v="401000"/>
    <x v="6"/>
    <s v="FOURNISSEURS"/>
    <s v="AC"/>
    <n v="-24.99"/>
    <d v="2025-08-13T00:00:00"/>
    <s v="MATÉRIEL BUREAUTIQUE"/>
    <m/>
    <e v="#N/A"/>
    <e v="#N/A"/>
    <n v="82190"/>
    <s v="2522550059"/>
    <s v="FNAC"/>
    <s v="Q3"/>
    <e v="#REF!"/>
    <e v="#REF!"/>
    <e v="#REF!"/>
  </r>
  <r>
    <s v="401000"/>
    <x v="6"/>
    <s v="FOURNISSEURS"/>
    <s v="AC"/>
    <n v="-24.78"/>
    <d v="2025-04-15T00:00:00"/>
    <s v="COMMANDE PRODUIT KEENB"/>
    <m/>
    <e v="#N/A"/>
    <e v="#N/A"/>
    <n v="71317"/>
    <s v="8053461349"/>
    <s v="Sigma-Aldrich chimie"/>
    <s v="Q2"/>
    <e v="#REF!"/>
    <e v="#REF!"/>
    <e v="#REF!"/>
  </r>
  <r>
    <s v="401000"/>
    <x v="6"/>
    <s v="FOURNISSEURS"/>
    <s v="AC"/>
    <n v="-24.74"/>
    <d v="2025-11-30T00:00:00"/>
    <s v="Frais la Poste"/>
    <m/>
    <e v="#N/A"/>
    <e v="#N/A"/>
    <n v="91762"/>
    <m/>
    <s v="LA POSTE"/>
    <s v="Q4"/>
    <e v="#REF!"/>
    <e v="#REF!"/>
    <e v="#REF!"/>
  </r>
  <r>
    <s v="401000"/>
    <x v="6"/>
    <s v="FOURNISSEURS"/>
    <s v="AC"/>
    <n v="-24.3"/>
    <d v="2025-08-27T00:00:00"/>
    <s v="BILLE POUR LE BROYEUR"/>
    <m/>
    <e v="#N/A"/>
    <e v="#N/A"/>
    <n v="81829"/>
    <s v="4175119232"/>
    <s v="FISHER SCIENTIFIC"/>
    <s v="Q3"/>
    <e v="#REF!"/>
    <e v="#REF!"/>
    <e v="#REF!"/>
  </r>
  <r>
    <s v="401000"/>
    <x v="6"/>
    <s v="FOURNISSEURS"/>
    <s v="AC"/>
    <n v="-23.72"/>
    <d v="2025-01-30T00:00:00"/>
    <s v="PAPIER TOILETTE, ESSUIE TOUT, LIQUIDE VAISSELLE, ETC."/>
    <m/>
    <e v="#N/A"/>
    <e v="#N/A"/>
    <n v="61343"/>
    <s v="72"/>
    <s v="BRUNEAU"/>
    <s v="Q1"/>
    <e v="#REF!"/>
    <e v="#REF!"/>
    <e v="#REF!"/>
  </r>
  <r>
    <s v="401000"/>
    <x v="6"/>
    <s v="FOURNISSEURS"/>
    <s v="AC"/>
    <n v="-23.62"/>
    <d v="2025-07-21T00:00:00"/>
    <s v="GAZ LYON"/>
    <m/>
    <e v="#N/A"/>
    <e v="#N/A"/>
    <n v="87027"/>
    <s v="320008109274"/>
    <s v="ENGIE"/>
    <s v="Q3"/>
    <e v="#REF!"/>
    <e v="#REF!"/>
    <e v="#REF!"/>
  </r>
  <r>
    <s v="401000"/>
    <x v="6"/>
    <s v="FOURNISSEURS"/>
    <s v="AC"/>
    <n v="-22.96"/>
    <d v="2025-10-01T00:00:00"/>
    <s v="COURRIER RECOMMANDÉ POUR LE CAC MAZARS"/>
    <m/>
    <e v="#N/A"/>
    <e v="#N/A"/>
    <n v="91387"/>
    <s v="5"/>
    <s v="LA POSTE"/>
    <s v="Q4"/>
    <e v="#REF!"/>
    <e v="#REF!"/>
    <e v="#REF!"/>
  </r>
  <r>
    <s v="401000"/>
    <x v="6"/>
    <s v="FOURNISSEURS"/>
    <s v="AC"/>
    <n v="-22.45"/>
    <d v="2025-02-12T00:00:00"/>
    <s v="FOURNITURES ET CONSOMMABLES (ESSUIE-TOUT, PAPIER TOILETTE, PILES, CISEAUX, ...)"/>
    <m/>
    <e v="#N/A"/>
    <e v="#N/A"/>
    <n v="61469"/>
    <s v="122"/>
    <s v="BRUNEAU"/>
    <s v="Q1"/>
    <e v="#REF!"/>
    <e v="#REF!"/>
    <e v="#REF!"/>
  </r>
  <r>
    <s v="401000"/>
    <x v="6"/>
    <s v="FOURNISSEURS"/>
    <s v="AC"/>
    <n v="-22.15"/>
    <d v="2025-11-18T00:00:00"/>
    <s v="SOLVANT LABO"/>
    <m/>
    <e v="#N/A"/>
    <e v="#N/A"/>
    <n v="91939"/>
    <s v="4067874264"/>
    <s v="VWR AVANTOR"/>
    <s v="Q4"/>
    <e v="#REF!"/>
    <e v="#REF!"/>
    <e v="#REF!"/>
  </r>
  <r>
    <s v="401000"/>
    <x v="6"/>
    <s v="FOURNISSEURS"/>
    <s v="AC"/>
    <n v="-21.99"/>
    <d v="2025-08-13T00:00:00"/>
    <s v="MATÉRIEL BUREAUTIQUE"/>
    <m/>
    <e v="#N/A"/>
    <e v="#N/A"/>
    <n v="82196"/>
    <s v="2522550057"/>
    <s v="FNAC"/>
    <s v="Q3"/>
    <e v="#REF!"/>
    <e v="#REF!"/>
    <e v="#REF!"/>
  </r>
  <r>
    <s v="401000"/>
    <x v="6"/>
    <s v="FOURNISSEURS"/>
    <s v="AC"/>
    <n v="-21.35"/>
    <d v="2025-07-03T00:00:00"/>
    <s v="ENVOI DU COLIS POUR LA MAINTENANCE DES DÉTECTEURS HCN"/>
    <m/>
    <e v="#N/A"/>
    <e v="#N/A"/>
    <n v="80858"/>
    <s v="L000000129151773"/>
    <s v="LA POSTE"/>
    <s v="Q3"/>
    <e v="#REF!"/>
    <e v="#REF!"/>
    <e v="#REF!"/>
  </r>
  <r>
    <s v="401000"/>
    <x v="6"/>
    <s v="FOURNISSEURS"/>
    <s v="AC"/>
    <n v="-21.05"/>
    <d v="2025-11-24T00:00:00"/>
    <s v="EXPRESS DOMESTIC"/>
    <m/>
    <e v="#N/A"/>
    <e v="#N/A"/>
    <n v="91814"/>
    <s v="TLSR004207144"/>
    <s v="DHL"/>
    <s v="Q4"/>
    <e v="#REF!"/>
    <e v="#REF!"/>
    <e v="#REF!"/>
  </r>
  <r>
    <s v="401000"/>
    <x v="6"/>
    <s v="FOURNISSEURS"/>
    <s v="AC"/>
    <n v="-20.89"/>
    <d v="2025-04-25T00:00:00"/>
    <s v="BALAI + SERPILLÈRES (MANCHE CASSÉ, SERPILLÈRE USÉE)"/>
    <m/>
    <e v="#N/A"/>
    <e v="#N/A"/>
    <n v="72612"/>
    <s v="001-25115L30383-A"/>
    <s v="LEROY MERLIN"/>
    <s v="Q2"/>
    <e v="#REF!"/>
    <e v="#REF!"/>
    <e v="#REF!"/>
  </r>
  <r>
    <s v="401000"/>
    <x v="6"/>
    <s v="FOURNISSEURS"/>
    <s v="AC"/>
    <n v="-20.81"/>
    <d v="2025-09-22T00:00:00"/>
    <s v="EXPRESS DOMESTIC"/>
    <m/>
    <e v="#N/A"/>
    <e v="#N/A"/>
    <n v="82768"/>
    <s v="TLSR004059064"/>
    <s v="DHL"/>
    <s v="Q3"/>
    <e v="#REF!"/>
    <e v="#REF!"/>
    <e v="#REF!"/>
  </r>
  <r>
    <s v="401000"/>
    <x v="6"/>
    <s v="FOURNISSEURS"/>
    <s v="AC"/>
    <n v="-20.77"/>
    <d v="2025-03-24T00:00:00"/>
    <s v="EXPRESS DOMESTIC"/>
    <m/>
    <e v="#N/A"/>
    <e v="#N/A"/>
    <n v="67871"/>
    <s v="TLSR003676986"/>
    <s v="DHL"/>
    <s v="Q1"/>
    <e v="#REF!"/>
    <e v="#REF!"/>
    <e v="#REF!"/>
  </r>
  <r>
    <s v="401000"/>
    <x v="6"/>
    <s v="FOURNISSEURS"/>
    <s v="AC"/>
    <n v="-20.54"/>
    <d v="2025-02-14T00:00:00"/>
    <s v="ACIDE PROPIONIQUE"/>
    <m/>
    <e v="#N/A"/>
    <e v="#N/A"/>
    <n v="64094"/>
    <s v="4173508"/>
    <s v="ROTH SOCHIEL"/>
    <s v="Q1"/>
    <e v="#REF!"/>
    <e v="#REF!"/>
    <e v="#REF!"/>
  </r>
  <r>
    <s v="401000"/>
    <x v="6"/>
    <s v="FOURNISSEURS"/>
    <s v="AC"/>
    <n v="-20.41"/>
    <d v="2025-06-09T00:00:00"/>
    <s v="EXPRESS DOMESTIC"/>
    <m/>
    <e v="#N/A"/>
    <e v="#N/A"/>
    <n v="76198"/>
    <s v="TLSR003835732"/>
    <s v="DHL"/>
    <s v="Q2"/>
    <e v="#REF!"/>
    <e v="#REF!"/>
    <e v="#REF!"/>
  </r>
  <r>
    <s v="401000"/>
    <x v="6"/>
    <s v="FOURNISSEURS"/>
    <s v="AC"/>
    <n v="-20"/>
    <d v="2025-01-09T00:00:00"/>
    <s v="ABONNEMENT ILLIMITÉ POUR LE SITE PILI DU 09/01/2025 AU 09/02/2025 - CB PASSIM"/>
    <m/>
    <e v="#N/A"/>
    <e v="#N/A"/>
    <n v="67800"/>
    <s v="2025-49"/>
    <s v="ORSON.IO"/>
    <s v="Q1"/>
    <e v="#REF!"/>
    <e v="#REF!"/>
    <e v="#REF!"/>
  </r>
  <r>
    <s v="401000"/>
    <x v="6"/>
    <s v="FOURNISSEURS"/>
    <s v="AC"/>
    <n v="-19.989999999999998"/>
    <d v="2025-08-13T00:00:00"/>
    <s v="MATÉRIEL BUREAUTIQUE"/>
    <m/>
    <e v="#N/A"/>
    <e v="#N/A"/>
    <n v="82193"/>
    <s v="2522550058"/>
    <s v="FNAC"/>
    <s v="Q3"/>
    <e v="#REF!"/>
    <e v="#REF!"/>
    <e v="#REF!"/>
  </r>
  <r>
    <s v="401000"/>
    <x v="6"/>
    <s v="FOURNISSEURS"/>
    <s v="AC"/>
    <n v="-19.899999999999999"/>
    <d v="2025-01-01T00:00:00"/>
    <s v="ENVOI ACTIVATION"/>
    <m/>
    <e v="#N/A"/>
    <e v="#N/A"/>
    <n v="74166"/>
    <s v="TLSR003487393"/>
    <s v="DHL"/>
    <s v="Q1"/>
    <e v="#REF!"/>
    <e v="#REF!"/>
    <e v="#REF!"/>
  </r>
  <r>
    <s v="401000"/>
    <x v="6"/>
    <s v="FOURNISSEURS"/>
    <s v="AC"/>
    <n v="-19.86"/>
    <d v="2025-08-18T00:00:00"/>
    <s v="EXPRESS DOMESTIC"/>
    <m/>
    <e v="#N/A"/>
    <e v="#N/A"/>
    <n v="81282"/>
    <s v="TLSR003988359"/>
    <s v="DHL"/>
    <s v="Q3"/>
    <e v="#REF!"/>
    <e v="#REF!"/>
    <e v="#REF!"/>
  </r>
  <r>
    <s v="401000"/>
    <x v="6"/>
    <s v="FOURNISSEURS"/>
    <s v="AC"/>
    <n v="-19.86"/>
    <d v="2025-08-25T00:00:00"/>
    <s v="EXPRESS DOMESTIC"/>
    <m/>
    <e v="#N/A"/>
    <e v="#N/A"/>
    <n v="81818"/>
    <s v="TLSR003998373"/>
    <s v="DHL"/>
    <s v="Q3"/>
    <e v="#REF!"/>
    <e v="#REF!"/>
    <e v="#REF!"/>
  </r>
  <r>
    <s v="401000"/>
    <x v="6"/>
    <s v="FOURNISSEURS"/>
    <s v="AC"/>
    <n v="-19.86"/>
    <d v="2025-11-10T00:00:00"/>
    <s v="EXPRESS DOMESTIC"/>
    <m/>
    <e v="#N/A"/>
    <e v="#N/A"/>
    <n v="89673"/>
    <s v="TLSR004181886"/>
    <s v="DHL"/>
    <s v="Q4"/>
    <e v="#REF!"/>
    <e v="#REF!"/>
    <e v="#REF!"/>
  </r>
  <r>
    <s v="401000"/>
    <x v="6"/>
    <s v="FOURNISSEURS"/>
    <s v="AC"/>
    <n v="-19.78"/>
    <d v="2025-09-04T00:00:00"/>
    <s v="CONSOMMABLES POUR LABO"/>
    <m/>
    <e v="#N/A"/>
    <e v="#N/A"/>
    <n v="81863"/>
    <s v="4067810312"/>
    <s v="VWR AVANTOR"/>
    <s v="Q3"/>
    <e v="#REF!"/>
    <e v="#REF!"/>
    <e v="#REF!"/>
  </r>
  <r>
    <s v="401000"/>
    <x v="6"/>
    <s v="FOURNISSEURS"/>
    <s v="AC"/>
    <n v="-19.75"/>
    <d v="2025-06-12T00:00:00"/>
    <s v="ETA POUR DÉPLACEMENT LONDRES"/>
    <m/>
    <e v="#N/A"/>
    <e v="#N/A"/>
    <n v="78018"/>
    <s v="22"/>
    <s v="GOV.UK"/>
    <s v="Q2"/>
    <e v="#REF!"/>
    <e v="#REF!"/>
    <e v="#REF!"/>
  </r>
  <r>
    <s v="401000"/>
    <x v="6"/>
    <s v="FOURNISSEURS"/>
    <s v="AC"/>
    <n v="-19.7"/>
    <d v="2025-09-08T00:00:00"/>
    <s v="EXPRESS DOMESTIC"/>
    <m/>
    <e v="#N/A"/>
    <e v="#N/A"/>
    <n v="81903"/>
    <s v="TLSR004032421"/>
    <s v="DHL"/>
    <s v="Q3"/>
    <e v="#REF!"/>
    <e v="#REF!"/>
    <e v="#REF!"/>
  </r>
  <r>
    <s v="401000"/>
    <x v="6"/>
    <s v="FOURNISSEURS"/>
    <s v="AC"/>
    <n v="-19.100000000000001"/>
    <d v="2025-01-16T00:00:00"/>
    <s v="CALCIUM HYDROXIDE  MIN. 96 %, EN POUDRE"/>
    <m/>
    <e v="#N/A"/>
    <e v="#N/A"/>
    <n v="64007"/>
    <s v="4171856"/>
    <s v="ROTH SOCHIEL"/>
    <s v="Q1"/>
    <e v="#REF!"/>
    <e v="#REF!"/>
    <e v="#REF!"/>
  </r>
  <r>
    <s v="401000"/>
    <x v="6"/>
    <s v="FOURNISSEURS"/>
    <s v="AC"/>
    <n v="-19"/>
    <d v="2025-07-28T00:00:00"/>
    <s v="AR VISITE MÉDICALE ROUSSILLON"/>
    <m/>
    <e v="#N/A"/>
    <e v="#N/A"/>
    <n v="82179"/>
    <s v="8"/>
    <s v="SNCF"/>
    <s v="Q3"/>
    <e v="#REF!"/>
    <e v="#REF!"/>
    <e v="#REF!"/>
  </r>
  <r>
    <s v="401000"/>
    <x v="6"/>
    <s v="FOURNISSEURS"/>
    <s v="AC"/>
    <n v="-18.84"/>
    <d v="2025-04-01T00:00:00"/>
    <s v="TÉ RACCORDEMENT ASPIRATION"/>
    <m/>
    <e v="#N/A"/>
    <e v="#N/A"/>
    <n v="68977"/>
    <s v="10"/>
    <s v="MANUTAN"/>
    <s v="Q2"/>
    <e v="#REF!"/>
    <e v="#REF!"/>
    <e v="#REF!"/>
  </r>
  <r>
    <s v="401000"/>
    <x v="6"/>
    <s v="FOURNISSEURS"/>
    <s v="AC"/>
    <n v="-18.84"/>
    <d v="2025-04-12T00:00:00"/>
    <s v="CHEVILLES DE BOIS (POUR MONTAGE ÉTAGÈRE DES TOILETTES), TORCHONS, SERVIETTES, ÉPLUCHEUR"/>
    <m/>
    <e v="#N/A"/>
    <e v="#N/A"/>
    <n v="69786"/>
    <s v="FC90002"/>
    <s v="LEROY MERLIN"/>
    <s v="Q2"/>
    <e v="#REF!"/>
    <e v="#REF!"/>
    <e v="#REF!"/>
  </r>
  <r>
    <s v="401000"/>
    <x v="6"/>
    <s v="FOURNISSEURS"/>
    <s v="AC"/>
    <n v="-18.55"/>
    <d v="2025-12-05T00:00:00"/>
    <s v="BOULES À THÉ, ESSUIE-TOUT, PAPIER TOILETTE, PETITS CAHIERS, POCHETTES PLASTIQUES"/>
    <m/>
    <e v="#N/A"/>
    <e v="#N/A"/>
    <n v="93945"/>
    <s v="26.756.109"/>
    <s v="BRUNEAU"/>
    <s v="Q4"/>
    <e v="#REF!"/>
    <e v="#REF!"/>
    <e v="#REF!"/>
  </r>
  <r>
    <s v="401000"/>
    <x v="6"/>
    <s v="FOURNISSEURS"/>
    <s v="AC"/>
    <n v="-17.52"/>
    <d v="2025-03-17T00:00:00"/>
    <s v="ROULEAU ABSORBANT : 872-5710 5 COMBINAISONS 2XL BLANCHES : 242-5302 5 COMBINAISONS 2XL JAUNES : 248-6476"/>
    <m/>
    <e v="#N/A"/>
    <e v="#N/A"/>
    <n v="66010"/>
    <s v="486410243"/>
    <s v="RS COMPONENT"/>
    <s v="Q1"/>
    <e v="#REF!"/>
    <e v="#REF!"/>
    <e v="#REF!"/>
  </r>
  <r>
    <s v="401000"/>
    <x v="6"/>
    <s v="FOURNISSEURS"/>
    <s v="AC"/>
    <n v="-16.850000000000001"/>
    <d v="2025-02-05T00:00:00"/>
    <s v="ENVOI PRODUITS TAROS (BIOPIGMENT)"/>
    <m/>
    <e v="#N/A"/>
    <e v="#N/A"/>
    <n v="61413"/>
    <s v="100"/>
    <s v="LA POSTE"/>
    <s v="Q1"/>
    <e v="#REF!"/>
    <e v="#REF!"/>
    <e v="#REF!"/>
  </r>
  <r>
    <s v="401000"/>
    <x v="6"/>
    <s v="FOURNISSEURS"/>
    <s v="AC"/>
    <n v="-16.61"/>
    <d v="2025-12-31T00:00:00"/>
    <s v="Frais la Poste"/>
    <m/>
    <e v="#N/A"/>
    <e v="#N/A"/>
    <n v="94166"/>
    <m/>
    <s v="LA POSTE"/>
    <s v="Q4"/>
    <e v="#REF!"/>
    <e v="#REF!"/>
    <e v="#REF!"/>
  </r>
  <r>
    <s v="401000"/>
    <x v="6"/>
    <s v="FOURNISSEURS"/>
    <s v="AC"/>
    <n v="-16.079999999999998"/>
    <d v="2025-03-20T00:00:00"/>
    <s v="ROULEAU ABSORBANT : 872-5710 5 COMBINAISONS 2XL BLANCHES : 242-5302 5 COMBINAISONS 2XL JAUNES : 248-6476"/>
    <m/>
    <e v="#N/A"/>
    <e v="#N/A"/>
    <n v="65990"/>
    <s v="486410243"/>
    <s v="RS COMPONENT"/>
    <s v="Q1"/>
    <e v="#REF!"/>
    <e v="#REF!"/>
    <e v="#REF!"/>
  </r>
  <r>
    <s v="401000"/>
    <x v="6"/>
    <s v="FOURNISSEURS"/>
    <s v="AC"/>
    <n v="-15.86"/>
    <d v="2025-04-08T00:00:00"/>
    <s v="COMMANDE CONSOMMABLE LABO"/>
    <m/>
    <e v="#N/A"/>
    <e v="#N/A"/>
    <n v="69745"/>
    <s v="4067690316"/>
    <s v="VWR AVANTOR"/>
    <s v="Q2"/>
    <e v="#REF!"/>
    <e v="#REF!"/>
    <e v="#REF!"/>
  </r>
  <r>
    <s v="401000"/>
    <x v="6"/>
    <s v="FOURNISSEURS"/>
    <s v="AC"/>
    <n v="-15.85"/>
    <d v="2025-11-07T00:00:00"/>
    <s v="ENVOI D'ÉCHANTILLONS POUR ANALYSES BRUKER"/>
    <m/>
    <e v="#N/A"/>
    <e v="#N/A"/>
    <n v="91428"/>
    <s v="L000000138475780"/>
    <s v="LA POSTE"/>
    <s v="Q4"/>
    <e v="#REF!"/>
    <e v="#REF!"/>
    <e v="#REF!"/>
  </r>
  <r>
    <s v="401000"/>
    <x v="6"/>
    <s v="FOURNISSEURS"/>
    <s v="AC"/>
    <n v="-15"/>
    <d v="2025-01-12T00:00:00"/>
    <s v="GESTIONNAIRE COOKIES SITE WEB PILI"/>
    <m/>
    <e v="#N/A"/>
    <e v="#N/A"/>
    <n v="59881"/>
    <s v="5125789"/>
    <s v="COOKIEBOT"/>
    <s v="Q1"/>
    <e v="#REF!"/>
    <e v="#REF!"/>
    <e v="#REF!"/>
  </r>
  <r>
    <s v="401000"/>
    <x v="6"/>
    <s v="FOURNISSEURS"/>
    <s v="AC"/>
    <n v="-15"/>
    <d v="2025-02-03T00:00:00"/>
    <s v="GESTIONNAIRE COOKIES SITE WEB PILI"/>
    <m/>
    <e v="#N/A"/>
    <e v="#N/A"/>
    <n v="61398"/>
    <s v="93"/>
    <s v="COOKIEBOT"/>
    <s v="Q1"/>
    <e v="#REF!"/>
    <e v="#REF!"/>
    <e v="#REF!"/>
  </r>
  <r>
    <s v="401000"/>
    <x v="6"/>
    <s v="FOURNISSEURS"/>
    <s v="AC"/>
    <n v="-15"/>
    <d v="2025-03-03T00:00:00"/>
    <s v="GESTIONNAIRE COOKIES SITE WEB PILI"/>
    <m/>
    <e v="#N/A"/>
    <e v="#N/A"/>
    <n v="65975"/>
    <s v="8"/>
    <s v="COOKIEBOT"/>
    <s v="Q1"/>
    <e v="#REF!"/>
    <e v="#REF!"/>
    <e v="#REF!"/>
  </r>
  <r>
    <s v="401000"/>
    <x v="6"/>
    <s v="FOURNISSEURS"/>
    <s v="AC"/>
    <n v="-15"/>
    <d v="2025-04-02T00:00:00"/>
    <s v="GESTIONNAIRE COOKIES SITE WEB PILI"/>
    <m/>
    <e v="#N/A"/>
    <e v="#N/A"/>
    <n v="69686"/>
    <s v="5354897"/>
    <s v="COOKIEBOT"/>
    <s v="Q2"/>
    <e v="#REF!"/>
    <e v="#REF!"/>
    <e v="#REF!"/>
  </r>
  <r>
    <s v="401000"/>
    <x v="6"/>
    <s v="FOURNISSEURS"/>
    <s v="AC"/>
    <n v="-15"/>
    <d v="2025-05-02T00:00:00"/>
    <s v="GESTIONNAIRE COOKIES SITE WEB PILI"/>
    <m/>
    <e v="#N/A"/>
    <e v="#N/A"/>
    <n v="72669"/>
    <s v="544031"/>
    <s v="COOKIEBOT"/>
    <s v="Q2"/>
    <e v="#REF!"/>
    <e v="#REF!"/>
    <e v="#REF!"/>
  </r>
  <r>
    <s v="401000"/>
    <x v="6"/>
    <s v="FOURNISSEURS"/>
    <s v="AC"/>
    <n v="-15"/>
    <d v="2025-06-03T00:00:00"/>
    <s v="GESTIONNAIRE COOKIES SITE WEB PILI"/>
    <m/>
    <e v="#N/A"/>
    <e v="#N/A"/>
    <n v="77997"/>
    <s v="14"/>
    <s v="COOKIEBOT"/>
    <s v="Q2"/>
    <e v="#REF!"/>
    <e v="#REF!"/>
    <e v="#REF!"/>
  </r>
  <r>
    <s v="401000"/>
    <x v="6"/>
    <s v="FOURNISSEURS"/>
    <s v="AC"/>
    <n v="-15"/>
    <d v="2025-07-03T00:00:00"/>
    <s v="GESTIONNAIRE COOKIES SITE WEB PILI"/>
    <m/>
    <e v="#N/A"/>
    <e v="#N/A"/>
    <n v="80860"/>
    <s v="5609782"/>
    <s v="COOKIEBOT"/>
    <s v="Q3"/>
    <e v="#REF!"/>
    <e v="#REF!"/>
    <e v="#REF!"/>
  </r>
  <r>
    <s v="401000"/>
    <x v="6"/>
    <s v="FOURNISSEURS"/>
    <s v="AC"/>
    <n v="-15"/>
    <d v="2025-08-02T00:00:00"/>
    <s v="GESTIONNAIRE COOKIES SITE WEB PILI"/>
    <m/>
    <e v="#N/A"/>
    <e v="#N/A"/>
    <n v="82186"/>
    <s v="5692661"/>
    <s v="COOKIEBOT"/>
    <s v="Q3"/>
    <e v="#REF!"/>
    <e v="#REF!"/>
    <e v="#REF!"/>
  </r>
  <r>
    <s v="401000"/>
    <x v="6"/>
    <s v="FOURNISSEURS"/>
    <s v="AC"/>
    <n v="-14.89"/>
    <d v="2025-11-14T00:00:00"/>
    <s v="CROCHETS PORTE-MANTEAUX POUR SANITAIRES"/>
    <m/>
    <e v="#N/A"/>
    <e v="#N/A"/>
    <n v="91442"/>
    <s v="539089"/>
    <s v="LEROY MERLIN"/>
    <s v="Q4"/>
    <e v="#REF!"/>
    <e v="#REF!"/>
    <e v="#REF!"/>
  </r>
  <r>
    <s v="401000"/>
    <x v="6"/>
    <s v="FOURNISSEURS"/>
    <s v="AC"/>
    <n v="-14.62"/>
    <d v="2025-02-06T00:00:00"/>
    <s v="LRAR AXE INFORMATIQUE"/>
    <m/>
    <e v="#N/A"/>
    <e v="#N/A"/>
    <n v="61419"/>
    <s v="103"/>
    <s v="LA POSTE"/>
    <s v="Q1"/>
    <e v="#REF!"/>
    <e v="#REF!"/>
    <e v="#REF!"/>
  </r>
  <r>
    <s v="401000"/>
    <x v="6"/>
    <s v="FOURNISSEURS"/>
    <s v="AC"/>
    <n v="-14.2"/>
    <d v="2025-08-20T00:00:00"/>
    <s v="FOURNITURES DE BUREAU (STOCK DE BASE)"/>
    <m/>
    <e v="#N/A"/>
    <e v="#N/A"/>
    <n v="82201"/>
    <s v="26.322.359"/>
    <s v="BRUNEAU"/>
    <s v="Q3"/>
    <e v="#REF!"/>
    <e v="#REF!"/>
    <e v="#REF!"/>
  </r>
  <r>
    <s v="401000"/>
    <x v="6"/>
    <s v="FOURNISSEURS"/>
    <s v="AC"/>
    <n v="-13.94"/>
    <d v="2025-04-25T00:00:00"/>
    <s v="BALAI + SERPILLÈRES (MANCHE CASSÉ, SERPILLÈRE USÉE)"/>
    <m/>
    <e v="#N/A"/>
    <e v="#N/A"/>
    <n v="71341"/>
    <s v="FA#2121326"/>
    <s v="LEROY MERLIN"/>
    <s v="Q2"/>
    <e v="#REF!"/>
    <e v="#REF!"/>
    <e v="#REF!"/>
  </r>
  <r>
    <s v="401000"/>
    <x v="6"/>
    <s v="FOURNISSEURS"/>
    <s v="AC"/>
    <n v="-13.07"/>
    <d v="2025-02-22T00:00:00"/>
    <s v="COMMANDE RÉCURRENTE D'EAU - SITE ROUSSILLON"/>
    <m/>
    <e v="#N/A"/>
    <e v="#N/A"/>
    <n v="61545"/>
    <s v="150"/>
    <s v="CHATEAUDEAU"/>
    <s v="Q1"/>
    <e v="#REF!"/>
    <e v="#REF!"/>
    <e v="#REF!"/>
  </r>
  <r>
    <s v="401000"/>
    <x v="6"/>
    <s v="FOURNISSEURS"/>
    <s v="AC"/>
    <n v="-12.6"/>
    <d v="2025-12-05T00:00:00"/>
    <s v="AR ROUSSILLON"/>
    <m/>
    <e v="#N/A"/>
    <e v="#N/A"/>
    <n v="93943"/>
    <s v="11"/>
    <s v="SNCF"/>
    <s v="Q4"/>
    <e v="#REF!"/>
    <e v="#REF!"/>
    <e v="#REF!"/>
  </r>
  <r>
    <s v="401000"/>
    <x v="6"/>
    <s v="FOURNISSEURS"/>
    <s v="AC"/>
    <n v="-12.58"/>
    <d v="2025-03-17T00:00:00"/>
    <s v="ABONNEMENT SOLUTION LOGISTIQUE EXPÉDITIONS GAM + FRAIS D'EXPÉ"/>
    <m/>
    <e v="#N/A"/>
    <e v="#N/A"/>
    <n v="66119"/>
    <s v="25-FR0022388"/>
    <s v="SENDCLOUD"/>
    <s v="Q1"/>
    <e v="#REF!"/>
    <e v="#REF!"/>
    <e v="#REF!"/>
  </r>
  <r>
    <s v="401000"/>
    <x v="6"/>
    <s v="FOURNISSEURS"/>
    <s v="AC"/>
    <n v="-12"/>
    <d v="2025-01-01T00:00:00"/>
    <s v="Fraix Bpifrance - 01/2025"/>
    <m/>
    <e v="#N/A"/>
    <e v="#N/A"/>
    <n v="82855"/>
    <m/>
    <s v="BPI FRANCE"/>
    <s v="Q1"/>
    <e v="#REF!"/>
    <e v="#REF!"/>
    <e v="#REF!"/>
  </r>
  <r>
    <s v="401000"/>
    <x v="6"/>
    <s v="FOURNISSEURS"/>
    <s v="AC"/>
    <n v="-12"/>
    <d v="2025-02-01T00:00:00"/>
    <s v="Fraix Bpifrance - 02/2025"/>
    <m/>
    <e v="#N/A"/>
    <e v="#N/A"/>
    <n v="82859"/>
    <m/>
    <s v="BPI FRANCE"/>
    <s v="Q1"/>
    <e v="#REF!"/>
    <e v="#REF!"/>
    <e v="#REF!"/>
  </r>
  <r>
    <s v="401000"/>
    <x v="6"/>
    <s v="FOURNISSEURS"/>
    <s v="AC"/>
    <n v="-12"/>
    <d v="2025-03-01T00:00:00"/>
    <s v="Frais Bpifrance - 03/2025"/>
    <m/>
    <e v="#N/A"/>
    <e v="#N/A"/>
    <n v="82862"/>
    <m/>
    <s v="BPI FRANCE"/>
    <s v="Q1"/>
    <e v="#REF!"/>
    <e v="#REF!"/>
    <e v="#REF!"/>
  </r>
  <r>
    <s v="401000"/>
    <x v="6"/>
    <s v="FOURNISSEURS"/>
    <s v="AC"/>
    <n v="-12"/>
    <d v="2025-04-01T00:00:00"/>
    <s v="Frais Bpifrance - 04/2025"/>
    <m/>
    <e v="#N/A"/>
    <e v="#N/A"/>
    <n v="82865"/>
    <m/>
    <s v="BPI FRANCE"/>
    <s v="Q2"/>
    <e v="#REF!"/>
    <e v="#REF!"/>
    <e v="#REF!"/>
  </r>
  <r>
    <s v="401000"/>
    <x v="6"/>
    <s v="FOURNISSEURS"/>
    <s v="AC"/>
    <n v="-12"/>
    <d v="2025-05-01T00:00:00"/>
    <s v="Frais Bpifrance - 05/2025"/>
    <m/>
    <e v="#N/A"/>
    <e v="#N/A"/>
    <n v="82868"/>
    <m/>
    <s v="BPI FRANCE"/>
    <s v="Q2"/>
    <e v="#REF!"/>
    <e v="#REF!"/>
    <e v="#REF!"/>
  </r>
  <r>
    <s v="401000"/>
    <x v="6"/>
    <s v="FOURNISSEURS"/>
    <s v="AC"/>
    <n v="-12"/>
    <d v="2025-06-01T00:00:00"/>
    <s v="Frais Bpifrance - 06/2025"/>
    <m/>
    <e v="#N/A"/>
    <e v="#N/A"/>
    <n v="82873"/>
    <m/>
    <s v="BPI FRANCE"/>
    <s v="Q2"/>
    <e v="#REF!"/>
    <e v="#REF!"/>
    <e v="#REF!"/>
  </r>
  <r>
    <s v="401000"/>
    <x v="6"/>
    <s v="FOURNISSEURS"/>
    <s v="AC"/>
    <n v="-12"/>
    <d v="2025-08-01T00:00:00"/>
    <s v="Frais Bpifrance - 08/2025"/>
    <m/>
    <e v="#N/A"/>
    <e v="#N/A"/>
    <n v="82877"/>
    <m/>
    <s v="BPI FRANCE"/>
    <s v="Q3"/>
    <e v="#REF!"/>
    <e v="#REF!"/>
    <e v="#REF!"/>
  </r>
  <r>
    <s v="401000"/>
    <x v="6"/>
    <s v="FOURNISSEURS"/>
    <s v="AC"/>
    <n v="-12"/>
    <d v="2025-09-01T00:00:00"/>
    <s v="Frais Bpifrance - 09/2025"/>
    <m/>
    <e v="#N/A"/>
    <e v="#N/A"/>
    <n v="82879"/>
    <m/>
    <s v="BPI FRANCE"/>
    <s v="Q3"/>
    <e v="#REF!"/>
    <e v="#REF!"/>
    <e v="#REF!"/>
  </r>
  <r>
    <s v="401000"/>
    <x v="6"/>
    <s v="FOURNISSEURS"/>
    <s v="AC"/>
    <n v="-12"/>
    <d v="2025-10-01T00:00:00"/>
    <s v="Frais Bpifrance - 10/2025"/>
    <m/>
    <e v="#N/A"/>
    <e v="#N/A"/>
    <n v="82881"/>
    <m/>
    <s v="BPI FRANCE"/>
    <s v="Q4"/>
    <e v="#REF!"/>
    <e v="#REF!"/>
    <e v="#REF!"/>
  </r>
  <r>
    <s v="401000"/>
    <x v="6"/>
    <s v="FOURNISSEURS"/>
    <s v="AC"/>
    <n v="-12"/>
    <d v="2025-11-01T00:00:00"/>
    <s v="Frais Bpifrance - 11/2025"/>
    <m/>
    <e v="#N/A"/>
    <e v="#N/A"/>
    <n v="82883"/>
    <m/>
    <s v="BPI FRANCE"/>
    <s v="Q4"/>
    <e v="#REF!"/>
    <e v="#REF!"/>
    <e v="#REF!"/>
  </r>
  <r>
    <s v="401000"/>
    <x v="6"/>
    <s v="FOURNISSEURS"/>
    <s v="AC"/>
    <n v="-12"/>
    <d v="2025-12-01T00:00:00"/>
    <s v="Frais Bpifrance - 12/2025"/>
    <m/>
    <e v="#N/A"/>
    <e v="#N/A"/>
    <n v="92130"/>
    <m/>
    <s v="BPI FRANCE"/>
    <s v="Q4"/>
    <e v="#REF!"/>
    <e v="#REF!"/>
    <e v="#REF!"/>
  </r>
  <r>
    <s v="401000"/>
    <x v="6"/>
    <s v="FOURNISSEURS"/>
    <s v="AC"/>
    <n v="-10.49"/>
    <d v="2025-12-11T00:00:00"/>
    <s v="COURRIER LRAR DGFIP - CRC 2023 ET 2024"/>
    <m/>
    <e v="#N/A"/>
    <e v="#N/A"/>
    <n v="93961"/>
    <s v="L000000139795116"/>
    <s v="LA POSTE"/>
    <s v="Q4"/>
    <e v="#REF!"/>
    <e v="#REF!"/>
    <e v="#REF!"/>
  </r>
  <r>
    <s v="401000"/>
    <x v="6"/>
    <s v="FOURNISSEURS"/>
    <s v="AC"/>
    <n v="-10"/>
    <d v="2025-01-28T00:00:00"/>
    <s v="LA PREMIÈRE CARTE GÉNÉRÉE POUR CET ABONNEMENT N'A PAS FONCTIONNÉ. LE PAYEMENT EST REFUSÉ. JE RETENTE"/>
    <m/>
    <e v="#N/A"/>
    <e v="#N/A"/>
    <n v="61326"/>
    <s v="66"/>
    <s v="ORSON.IO"/>
    <s v="Q1"/>
    <e v="#REF!"/>
    <e v="#REF!"/>
    <e v="#REF!"/>
  </r>
  <r>
    <s v="401000"/>
    <x v="6"/>
    <s v="FOURNISSEURS"/>
    <s v="AC"/>
    <n v="-9.9499999999999993"/>
    <d v="2025-05-22T00:00:00"/>
    <s v="ENVOI COLIS RÉFÉRENCE BIOPIGMENT À ROUSSILLON"/>
    <m/>
    <e v="#N/A"/>
    <e v="#N/A"/>
    <n v="74453"/>
    <s v="L000000125567652"/>
    <s v="LA POSTE"/>
    <s v="Q2"/>
    <e v="#REF!"/>
    <e v="#REF!"/>
    <e v="#REF!"/>
  </r>
  <r>
    <s v="401000"/>
    <x v="6"/>
    <s v="FOURNISSEURS"/>
    <s v="AC"/>
    <n v="-9.23"/>
    <d v="2025-04-01T00:00:00"/>
    <s v="RÉGULARISATION DE CHARGES"/>
    <m/>
    <e v="#N/A"/>
    <e v="#N/A"/>
    <n v="69671"/>
    <s v="SE250099"/>
    <s v="SEDIST"/>
    <s v="Q2"/>
    <e v="#REF!"/>
    <e v="#REF!"/>
    <e v="#REF!"/>
  </r>
  <r>
    <s v="401000"/>
    <x v="6"/>
    <s v="FOURNISSEURS"/>
    <s v="AC"/>
    <n v="-9.18"/>
    <d v="2025-04-14T00:00:00"/>
    <s v="ABONNEMENT SOLUTION LOGISTIQUE EXPÉDITIONS GAM + FRAIS D'EXPÉ"/>
    <m/>
    <e v="#N/A"/>
    <e v="#N/A"/>
    <n v="69796"/>
    <s v="25-FR0006020"/>
    <s v="SENDCLOUD"/>
    <s v="Q2"/>
    <e v="#REF!"/>
    <e v="#REF!"/>
    <e v="#REF!"/>
  </r>
  <r>
    <s v="401000"/>
    <x v="6"/>
    <s v="FOURNISSEURS"/>
    <s v="AC"/>
    <n v="-9.18"/>
    <d v="2025-10-13T00:00:00"/>
    <s v="ABONNEMENT SOLUTION LOGISTIQUE EXPÉDITIONS GAM + FRAIS D'EXPÉ"/>
    <m/>
    <e v="#N/A"/>
    <e v="#N/A"/>
    <n v="89612"/>
    <s v="19"/>
    <s v="SENDCLOUD"/>
    <s v="Q4"/>
    <e v="#REF!"/>
    <e v="#REF!"/>
    <e v="#REF!"/>
  </r>
  <r>
    <s v="401000"/>
    <x v="6"/>
    <s v="FOURNISSEURS"/>
    <s v="AC"/>
    <n v="-8.59"/>
    <d v="2025-03-31T00:00:00"/>
    <s v="ABONNEMENT SOLUTION LOGISTIQUE EXPÉDITIONS GAM + FRAIS D'EXPÉ"/>
    <m/>
    <e v="#N/A"/>
    <e v="#N/A"/>
    <n v="67937"/>
    <s v="25-FR0000808"/>
    <s v="SENDCLOUD"/>
    <s v="Q1"/>
    <e v="#REF!"/>
    <e v="#REF!"/>
    <e v="#REF!"/>
  </r>
  <r>
    <s v="401000"/>
    <x v="6"/>
    <s v="FOURNISSEURS"/>
    <s v="AC"/>
    <n v="-8.59"/>
    <d v="2025-07-07T00:00:00"/>
    <s v="ABONNEMENT SOLUTION LOGISTIQUE EXPÉDITIONS GAM + FRAIS D'EXPÉ"/>
    <m/>
    <e v="#N/A"/>
    <e v="#N/A"/>
    <n v="80866"/>
    <s v="3-25-FR0031728"/>
    <s v="SENDCLOUD"/>
    <s v="Q3"/>
    <e v="#REF!"/>
    <e v="#REF!"/>
    <e v="#REF!"/>
  </r>
  <r>
    <s v="401000"/>
    <x v="6"/>
    <s v="FOURNISSEURS"/>
    <s v="AC"/>
    <n v="-8.49"/>
    <d v="2025-04-25T00:00:00"/>
    <s v="BALAI + SERPILLÈRES (MANCHE CASSÉ, SERPILLÈRE USÉE)"/>
    <m/>
    <e v="#N/A"/>
    <e v="#N/A"/>
    <n v="71344"/>
    <s v="624505"/>
    <s v="LEROY MERLIN"/>
    <s v="Q2"/>
    <e v="#REF!"/>
    <e v="#REF!"/>
    <e v="#REF!"/>
  </r>
  <r>
    <s v="401000"/>
    <x v="6"/>
    <s v="FOURNISSEURS"/>
    <s v="AC"/>
    <n v="-8.49"/>
    <d v="2025-04-28T00:00:00"/>
    <s v="PEINTURE DEBOUCHEUR MANCHE EN BOIS"/>
    <m/>
    <e v="#N/A"/>
    <e v="#N/A"/>
    <n v="71355"/>
    <s v="624505"/>
    <s v="LEROY MERLIN"/>
    <s v="Q2"/>
    <e v="#REF!"/>
    <e v="#REF!"/>
    <e v="#REF!"/>
  </r>
  <r>
    <s v="401000"/>
    <x v="6"/>
    <s v="FOURNISSEURS"/>
    <s v="AC"/>
    <n v="-8.35"/>
    <d v="2025-04-25T00:00:00"/>
    <s v="COLIS FILIPE GOMES - PORPHYCHEM"/>
    <m/>
    <e v="#N/A"/>
    <e v="#N/A"/>
    <n v="71350"/>
    <s v="L000000124706994"/>
    <s v="LA POSTE"/>
    <s v="Q2"/>
    <e v="#REF!"/>
    <e v="#REF!"/>
    <e v="#REF!"/>
  </r>
  <r>
    <s v="401000"/>
    <x v="6"/>
    <s v="FOURNISSEURS"/>
    <s v="AC"/>
    <n v="-8.26"/>
    <d v="2025-11-01T00:00:00"/>
    <s v="ABONNEMENT SOLUTION LOGISTIQUE EXPÉDITIONS GAM + FRAIS D'EXPÉ"/>
    <m/>
    <e v="#N/A"/>
    <e v="#N/A"/>
    <n v="91402"/>
    <s v="3-25-FR0067313"/>
    <s v="SENDCLOUD"/>
    <s v="Q4"/>
    <e v="#REF!"/>
    <e v="#REF!"/>
    <e v="#REF!"/>
  </r>
  <r>
    <s v="401000"/>
    <x v="6"/>
    <s v="FOURNISSEURS"/>
    <s v="AC"/>
    <n v="-8.23"/>
    <d v="2025-07-02T00:00:00"/>
    <s v="LRAR CONVOCATION CAC"/>
    <m/>
    <e v="#N/A"/>
    <e v="#N/A"/>
    <n v="80854"/>
    <s v="L000000129024851"/>
    <s v="LA POSTE"/>
    <s v="Q3"/>
    <e v="#REF!"/>
    <e v="#REF!"/>
    <e v="#REF!"/>
  </r>
  <r>
    <s v="401000"/>
    <x v="6"/>
    <s v="FOURNISSEURS"/>
    <s v="AC"/>
    <n v="-8.23"/>
    <d v="2025-07-25T00:00:00"/>
    <s v="COURRIER CAC LRAR"/>
    <m/>
    <e v="#N/A"/>
    <e v="#N/A"/>
    <n v="80894"/>
    <s v="L000000134935634"/>
    <s v="LA POSTE"/>
    <s v="Q3"/>
    <e v="#REF!"/>
    <e v="#REF!"/>
    <e v="#REF!"/>
  </r>
  <r>
    <s v="401000"/>
    <x v="6"/>
    <s v="FOURNISSEURS"/>
    <s v="AC"/>
    <n v="-8.23"/>
    <d v="2025-10-03T00:00:00"/>
    <s v="COURRIER INFORMATION CAC - MODIFS OC"/>
    <m/>
    <e v="#N/A"/>
    <e v="#N/A"/>
    <n v="83039"/>
    <s v="45"/>
    <s v="LA POSTE"/>
    <s v="Q4"/>
    <e v="#REF!"/>
    <e v="#REF!"/>
    <e v="#REF!"/>
  </r>
  <r>
    <s v="401000"/>
    <x v="6"/>
    <s v="FOURNISSEURS"/>
    <s v="AC"/>
    <n v="-8.23"/>
    <d v="2025-12-18T00:00:00"/>
    <s v="LRAR CAC COMPTES 2024"/>
    <m/>
    <e v="#N/A"/>
    <e v="#N/A"/>
    <n v="93972"/>
    <s v="L000000140087491"/>
    <s v="LA POSTE"/>
    <s v="Q4"/>
    <e v="#REF!"/>
    <e v="#REF!"/>
    <e v="#REF!"/>
  </r>
  <r>
    <s v="401000"/>
    <x v="6"/>
    <s v="FOURNISSEURS"/>
    <s v="AC"/>
    <n v="-8.0399999999999991"/>
    <d v="2025-07-21T00:00:00"/>
    <s v="ABONNEMENT SOLUTION LOGISTIQUE EXPÉDITIONS GAM + FRAIS D'EXPÉ"/>
    <m/>
    <e v="#N/A"/>
    <e v="#N/A"/>
    <n v="80885"/>
    <s v="3-25-FR0035057"/>
    <s v="SENDCLOUD"/>
    <s v="Q3"/>
    <e v="#REF!"/>
    <e v="#REF!"/>
    <e v="#REF!"/>
  </r>
  <r>
    <s v="401000"/>
    <x v="6"/>
    <s v="FOURNISSEURS"/>
    <s v="AC"/>
    <n v="-8.0399999999999991"/>
    <d v="2025-09-01T00:00:00"/>
    <s v="ABONNEMENT SOLUTION LOGISTIQUE EXPÉDITIONS GAM + FRAIS D'EXPÉ"/>
    <m/>
    <e v="#N/A"/>
    <e v="#N/A"/>
    <n v="82951"/>
    <s v="3-25-FR0048856"/>
    <s v="SENDCLOUD"/>
    <s v="Q3"/>
    <e v="#REF!"/>
    <e v="#REF!"/>
    <e v="#REF!"/>
  </r>
  <r>
    <s v="401000"/>
    <x v="6"/>
    <s v="FOURNISSEURS"/>
    <s v="AC"/>
    <n v="-7.96"/>
    <d v="2025-04-08T00:00:00"/>
    <s v="PAIEMENT LRAR SERVICE RH"/>
    <m/>
    <e v="#N/A"/>
    <e v="#N/A"/>
    <n v="71313"/>
    <s v="940430NAT1I1316"/>
    <s v="LA POSTE"/>
    <s v="Q2"/>
    <e v="#REF!"/>
    <e v="#REF!"/>
    <e v="#REF!"/>
  </r>
  <r>
    <s v="401000"/>
    <x v="6"/>
    <s v="FOURNISSEURS"/>
    <s v="AC"/>
    <n v="-7.96"/>
    <d v="2025-10-31T00:00:00"/>
    <s v="Frais la Poste"/>
    <m/>
    <e v="#N/A"/>
    <e v="#N/A"/>
    <n v="89752"/>
    <m/>
    <s v="LA POSTE"/>
    <s v="Q4"/>
    <e v="#REF!"/>
    <e v="#REF!"/>
    <e v="#REF!"/>
  </r>
  <r>
    <s v="401000"/>
    <x v="6"/>
    <s v="FOURNISSEURS"/>
    <s v="AC"/>
    <n v="-7.75"/>
    <d v="2025-04-01T00:00:00"/>
    <s v="LICENCES OFFICE 365 1 MICROSOFT 365 APPS FOR ENTREPRISE"/>
    <m/>
    <e v="#N/A"/>
    <e v="#N/A"/>
    <n v="69665"/>
    <s v="141259"/>
    <s v="ARESCOM"/>
    <s v="Q2"/>
    <e v="#REF!"/>
    <e v="#REF!"/>
    <e v="#REF!"/>
  </r>
  <r>
    <s v="401000"/>
    <x v="6"/>
    <s v="FOURNISSEURS"/>
    <s v="AC"/>
    <n v="-7.49"/>
    <d v="2025-04-15T00:00:00"/>
    <s v="CHEVILLES DE BOIS (POUR MONTAGE ÉTAGÈRE DES TOILETTES), TORCHONS, SERVIETTES, ÉPLUCHEUR"/>
    <m/>
    <e v="#N/A"/>
    <e v="#N/A"/>
    <n v="69799"/>
    <s v="67"/>
    <s v="LEROY MERLIN"/>
    <s v="Q2"/>
    <e v="#REF!"/>
    <e v="#REF!"/>
    <e v="#REF!"/>
  </r>
  <r>
    <s v="401000"/>
    <x v="6"/>
    <s v="FOURNISSEURS"/>
    <s v="AC"/>
    <n v="-7.35"/>
    <d v="2025-11-27T00:00:00"/>
    <s v="ENVOI D'ÉCHANTILLONS CHEZ DES CLIENTS OU EN INTERNE (TWB OU ROUSSILLON)"/>
    <m/>
    <e v="#N/A"/>
    <e v="#N/A"/>
    <n v="91474"/>
    <s v="L000000139212223"/>
    <s v="LA POSTE"/>
    <s v="Q4"/>
    <e v="#REF!"/>
    <e v="#REF!"/>
    <e v="#REF!"/>
  </r>
  <r>
    <s v="401000"/>
    <x v="6"/>
    <s v="FOURNISSEURS"/>
    <s v="AC"/>
    <n v="-7.14"/>
    <d v="2025-03-18T00:00:00"/>
    <s v="LRAR"/>
    <m/>
    <e v="#N/A"/>
    <e v="#N/A"/>
    <n v="66069"/>
    <s v="16134"/>
    <s v="LA POSTE"/>
    <s v="Q1"/>
    <e v="#REF!"/>
    <e v="#REF!"/>
    <e v="#REF!"/>
  </r>
  <r>
    <s v="401000"/>
    <x v="6"/>
    <s v="FOURNISSEURS"/>
    <s v="AC"/>
    <n v="-7.14"/>
    <d v="2025-09-30T00:00:00"/>
    <s v="Frais la Poste"/>
    <m/>
    <e v="#N/A"/>
    <e v="#N/A"/>
    <n v="89748"/>
    <m/>
    <s v="LA POSTE"/>
    <s v="Q3"/>
    <e v="#REF!"/>
    <e v="#REF!"/>
    <e v="#REF!"/>
  </r>
  <r>
    <s v="401000"/>
    <x v="6"/>
    <s v="FOURNISSEURS"/>
    <s v="AC"/>
    <n v="-6.54"/>
    <d v="2025-06-23T00:00:00"/>
    <s v="ABONNEMENT SOLUTION LOGISTIQUE EXPÉDITIONS GAM + FRAIS D'EXPÉ"/>
    <m/>
    <e v="#N/A"/>
    <e v="#N/A"/>
    <n v="78051"/>
    <s v="35"/>
    <s v="SENDCLOUD"/>
    <s v="Q2"/>
    <e v="#REF!"/>
    <e v="#REF!"/>
    <e v="#REF!"/>
  </r>
  <r>
    <s v="401000"/>
    <x v="6"/>
    <s v="FOURNISSEURS"/>
    <s v="AC"/>
    <n v="-6.41"/>
    <d v="2025-07-21T00:00:00"/>
    <s v="EXTRAIT KBIS"/>
    <s v="Non"/>
    <s v="Non"/>
    <e v="#N/A"/>
    <n v="78806"/>
    <s v="50721-QZXYB"/>
    <s v="INFOGREFFE"/>
    <s v="Q3"/>
    <e v="#REF!"/>
    <e v="#REF!"/>
    <e v="#REF!"/>
  </r>
  <r>
    <s v="401000"/>
    <x v="6"/>
    <s v="FOURNISSEURS"/>
    <s v="AC"/>
    <n v="-5.25"/>
    <d v="2025-04-04T00:00:00"/>
    <s v="ENVOI COLIS TWB"/>
    <m/>
    <e v="#N/A"/>
    <e v="#N/A"/>
    <n v="69712"/>
    <s v="L000000124067390"/>
    <s v="LA POSTE"/>
    <s v="Q2"/>
    <e v="#REF!"/>
    <e v="#REF!"/>
    <e v="#REF!"/>
  </r>
  <r>
    <s v="401000"/>
    <x v="6"/>
    <s v="FOURNISSEURS"/>
    <s v="AC"/>
    <n v="-5.25"/>
    <d v="2025-07-10T00:00:00"/>
    <s v="ENVOIE COLIS À PILI - TOULOUSE"/>
    <m/>
    <e v="#N/A"/>
    <e v="#N/A"/>
    <n v="80872"/>
    <s v="L000000130814986"/>
    <s v="LA POSTE"/>
    <s v="Q3"/>
    <e v="#REF!"/>
    <e v="#REF!"/>
    <e v="#REF!"/>
  </r>
  <r>
    <s v="401000"/>
    <x v="6"/>
    <s v="FOURNISSEURS"/>
    <s v="AC"/>
    <n v="-5.25"/>
    <d v="2025-09-03T00:00:00"/>
    <s v="ENVOIE COLIS CUPC POUR LE DÉPARTEMENT ANALYTIQUE À TOULOUSE"/>
    <m/>
    <e v="#N/A"/>
    <e v="#N/A"/>
    <n v="82958"/>
    <s v="L0000001361874485"/>
    <s v="LA POSTE"/>
    <s v="Q3"/>
    <e v="#REF!"/>
    <e v="#REF!"/>
    <e v="#REF!"/>
  </r>
  <r>
    <s v="401000"/>
    <x v="6"/>
    <s v="FOURNISSEURS"/>
    <s v="AC"/>
    <n v="-5.25"/>
    <d v="2025-10-03T00:00:00"/>
    <s v="COLIS"/>
    <m/>
    <e v="#N/A"/>
    <e v="#N/A"/>
    <n v="89590"/>
    <s v="8"/>
    <s v="LA POSTE"/>
    <s v="Q4"/>
    <e v="#REF!"/>
    <e v="#REF!"/>
    <e v="#REF!"/>
  </r>
  <r>
    <s v="401000"/>
    <x v="6"/>
    <s v="FOURNISSEURS"/>
    <s v="AC"/>
    <n v="-5.23"/>
    <d v="2025-11-27T00:00:00"/>
    <s v="ENVOI D'ÉCHANTILLONS CHEZ DES CLIENTS OU EN INTERNE (TWB OU ROUSSILLON)"/>
    <m/>
    <e v="#N/A"/>
    <e v="#N/A"/>
    <n v="91472"/>
    <s v="L000000139212223"/>
    <s v="LA POSTE"/>
    <s v="Q4"/>
    <e v="#REF!"/>
    <e v="#REF!"/>
    <e v="#REF!"/>
  </r>
  <r>
    <s v="401000"/>
    <x v="6"/>
    <s v="FOURNISSEURS"/>
    <s v="AC"/>
    <n v="-3.48"/>
    <d v="2025-04-01T00:00:00"/>
    <s v="Solde Engie"/>
    <m/>
    <e v="#N/A"/>
    <e v="#N/A"/>
    <n v="74972"/>
    <m/>
    <s v="ENGIE"/>
    <s v="Q2"/>
    <e v="#REF!"/>
    <e v="#REF!"/>
    <e v="#REF!"/>
  </r>
  <r>
    <s v="401000"/>
    <x v="6"/>
    <s v="FOURNISSEURS"/>
    <s v="AC"/>
    <n v="-3.2"/>
    <d v="2025-10-21T00:00:00"/>
    <s v="COMMANDE DE KBIS"/>
    <s v="Non"/>
    <s v="Non"/>
    <e v="#N/A"/>
    <n v="89632"/>
    <s v="28"/>
    <s v="INFOGREFFE"/>
    <s v="Q4"/>
    <e v="#REF!"/>
    <e v="#REF!"/>
    <e v="#REF!"/>
  </r>
  <r>
    <s v="401000"/>
    <x v="6"/>
    <s v="FOURNISSEURS"/>
    <s v="AC"/>
    <n v="-2.5499999999999998"/>
    <d v="2025-07-02T00:00:00"/>
    <s v="ABONNEMENT SHOPIFY + ABONNEMENT ORDER PRINTER (POUR ENVOI AUTO DES FACTURES)"/>
    <m/>
    <e v="#N/A"/>
    <e v="#N/A"/>
    <n v="80848"/>
    <s v="2196DFD1-0019"/>
    <s v="SANITY"/>
    <s v="Q3"/>
    <e v="#REF!"/>
    <e v="#REF!"/>
    <e v="#REF!"/>
  </r>
  <r>
    <s v="401000"/>
    <x v="6"/>
    <s v="FOURNISSEURS"/>
    <s v="AC"/>
    <n v="-1.88"/>
    <d v="2025-05-31T00:00:00"/>
    <s v="INDEMNITÉS DE RETARD DE PAIEMENT"/>
    <m/>
    <e v="#N/A"/>
    <e v="#N/A"/>
    <n v="76192"/>
    <s v="90811925"/>
    <s v="ORANGE"/>
    <s v="Q2"/>
    <e v="#REF!"/>
    <e v="#REF!"/>
    <e v="#REF!"/>
  </r>
  <r>
    <s v="401000"/>
    <x v="6"/>
    <s v="FOURNISSEURS"/>
    <s v="AC"/>
    <n v="-1.74"/>
    <d v="2025-11-01T00:00:00"/>
    <s v="HÉBERGEMENT SITE GAM"/>
    <m/>
    <e v="#N/A"/>
    <e v="#N/A"/>
    <n v="91404"/>
    <s v="2196DFD1-0022"/>
    <s v="SANITY"/>
    <s v="Q4"/>
    <e v="#REF!"/>
    <e v="#REF!"/>
    <e v="#REF!"/>
  </r>
  <r>
    <s v="401000"/>
    <x v="6"/>
    <s v="FOURNISSEURS"/>
    <s v="AC"/>
    <n v="-1.71"/>
    <d v="2025-10-01T00:00:00"/>
    <s v="HÉBERGEMENT SITE GAM"/>
    <m/>
    <e v="#N/A"/>
    <e v="#N/A"/>
    <n v="83037"/>
    <s v="2196DFD1-0021"/>
    <s v="SANITY"/>
    <s v="Q4"/>
    <e v="#REF!"/>
    <e v="#REF!"/>
    <e v="#REF!"/>
  </r>
  <r>
    <s v="401000"/>
    <x v="6"/>
    <s v="FOURNISSEURS"/>
    <s v="AC"/>
    <n v="-1.2"/>
    <d v="2025-11-30T00:00:00"/>
    <s v="SAMSUNG GALAXY A16 BLEU NUIT 128GO"/>
    <m/>
    <e v="#N/A"/>
    <e v="#N/A"/>
    <n v="92140"/>
    <s v="92598644"/>
    <s v="ORANGE"/>
    <s v="Q4"/>
    <e v="#REF!"/>
    <e v="#REF!"/>
    <e v="#REF!"/>
  </r>
  <r>
    <s v="401000"/>
    <x v="6"/>
    <s v="FOURNISSEURS"/>
    <s v="AC"/>
    <n v="-1.18"/>
    <d v="2025-12-11T00:00:00"/>
    <s v="AIRBNB"/>
    <m/>
    <e v="#N/A"/>
    <e v="#N/A"/>
    <n v="93965"/>
    <s v="22"/>
    <s v="AIRBNB"/>
    <s v="Q4"/>
    <e v="#REF!"/>
    <e v="#REF!"/>
    <e v="#REF!"/>
  </r>
  <r>
    <s v="401000"/>
    <x v="6"/>
    <s v="FOURNISSEURS"/>
    <s v="AC"/>
    <n v="-1"/>
    <d v="2025-03-02T00:00:00"/>
    <s v="ABONNEMENT SHOPIFY + ABONNEMENT ORDER PRINTER (POUR ENVOI AUTO DES FACTURES)"/>
    <m/>
    <e v="#N/A"/>
    <e v="#N/A"/>
    <n v="66033"/>
    <s v="7"/>
    <s v="SANITY"/>
    <s v="Q1"/>
    <e v="#REF!"/>
    <e v="#REF!"/>
    <e v="#REF!"/>
  </r>
  <r>
    <s v="401000"/>
    <x v="6"/>
    <s v="FOURNISSEURS"/>
    <s v="AC"/>
    <n v="-0.97"/>
    <d v="2025-01-02T00:00:00"/>
    <s v="ABONNEMENT SHOPIFY + ABONNEMENT ORDER PRINTER (POUR ENVOI AUTO DES FACTURES)"/>
    <m/>
    <e v="#N/A"/>
    <e v="#N/A"/>
    <n v="59845"/>
    <s v="5"/>
    <s v="SANITY"/>
    <s v="Q1"/>
    <e v="#REF!"/>
    <e v="#REF!"/>
    <e v="#REF!"/>
  </r>
  <r>
    <s v="401000"/>
    <x v="6"/>
    <s v="FOURNISSEURS"/>
    <s v="AC"/>
    <n v="-0.97"/>
    <d v="2025-02-02T00:00:00"/>
    <s v="ABONNEMENT SHOPIFY + ABONNEMENT ORDER PRINTER (POUR ENVOI AUTO DES FACTURES)"/>
    <m/>
    <e v="#N/A"/>
    <e v="#N/A"/>
    <n v="61396"/>
    <s v="92"/>
    <s v="SANITY"/>
    <s v="Q1"/>
    <e v="#REF!"/>
    <e v="#REF!"/>
    <e v="#REF!"/>
  </r>
  <r>
    <s v="401000"/>
    <x v="6"/>
    <s v="FOURNISSEURS"/>
    <s v="AC"/>
    <n v="-0.93"/>
    <d v="2025-04-01T00:00:00"/>
    <s v="ABONNEMENT SHOPIFY + ABONNEMENT ORDER PRINTER (POUR ENVOI AUTO DES FACTURES)"/>
    <m/>
    <e v="#N/A"/>
    <e v="#N/A"/>
    <n v="69660"/>
    <s v="2196DFD1 0016"/>
    <s v="SHOPIFY"/>
    <s v="Q2"/>
    <e v="#REF!"/>
    <e v="#REF!"/>
    <e v="#REF!"/>
  </r>
  <r>
    <s v="401000"/>
    <x v="6"/>
    <s v="FOURNISSEURS"/>
    <s v="AC"/>
    <n v="-0.89"/>
    <d v="2025-05-02T00:00:00"/>
    <s v="ABONNEMENT SHOPIFY + ABONNEMENT ORDER PRINTER (POUR ENVOI AUTO DES FACTURES)"/>
    <m/>
    <e v="#N/A"/>
    <e v="#N/A"/>
    <n v="72679"/>
    <s v="2196DFD1-0017"/>
    <s v="SANITY"/>
    <s v="Q2"/>
    <e v="#REF!"/>
    <e v="#REF!"/>
    <e v="#REF!"/>
  </r>
  <r>
    <s v="401000"/>
    <x v="6"/>
    <s v="FOURNISSEURS"/>
    <s v="AC"/>
    <n v="-0.88"/>
    <d v="2025-06-01T00:00:00"/>
    <s v="ABONNEMENT SHOPIFY + ABONNEMENT ORDER PRINTER (POUR ENVOI AUTO DES FACTURES)"/>
    <m/>
    <e v="#N/A"/>
    <e v="#N/A"/>
    <n v="75480"/>
    <s v="2196DFD1 0018"/>
    <s v="SHOPIFY"/>
    <s v="Q2"/>
    <e v="#REF!"/>
    <e v="#REF!"/>
    <e v="#REF!"/>
  </r>
  <r>
    <s v="401000"/>
    <x v="6"/>
    <s v="FOURNISSEURS"/>
    <s v="AC"/>
    <n v="-0.88"/>
    <d v="2025-08-01T00:00:00"/>
    <s v="ABONNEMENT SHOPIFY + ABONNEMENT ORDER PRINTER (POUR ENVOI AUTO DES FACTURES)"/>
    <m/>
    <e v="#N/A"/>
    <e v="#N/A"/>
    <n v="81237"/>
    <s v="2196DFD1-0020"/>
    <s v="SANITY"/>
    <s v="Q3"/>
    <e v="#REF!"/>
    <e v="#REF!"/>
    <e v="#REF!"/>
  </r>
  <r>
    <s v="401000"/>
    <x v="6"/>
    <s v="FOURNISSEURS"/>
    <s v="AC"/>
    <n v="-0.86"/>
    <d v="2025-12-02T00:00:00"/>
    <s v="HÉBERGEMENT SITE GAM"/>
    <m/>
    <e v="#N/A"/>
    <e v="#N/A"/>
    <n v="93929"/>
    <s v="2196DFD1-0023"/>
    <s v="SANITY"/>
    <s v="Q4"/>
    <e v="#REF!"/>
    <e v="#REF!"/>
    <e v="#REF!"/>
  </r>
  <r>
    <s v="401000"/>
    <x v="6"/>
    <s v="FOURNISSEURS"/>
    <s v="AC"/>
    <n v="1.18"/>
    <d v="2025-12-31T00:00:00"/>
    <s v="Refund Airbnb"/>
    <m/>
    <e v="#N/A"/>
    <e v="#N/A"/>
    <n v="94173"/>
    <m/>
    <s v="AIRBNB"/>
    <s v="Q4"/>
    <e v="#REF!"/>
    <e v="#REF!"/>
    <e v="#REF!"/>
  </r>
  <r>
    <s v="401000"/>
    <x v="6"/>
    <s v="FOURNISSEURS"/>
    <s v="AC"/>
    <n v="8.49"/>
    <d v="2025-04-28T00:00:00"/>
    <s v="PEINTURE DEBOUCHEUR MANCHE EN BOIS"/>
    <m/>
    <e v="#N/A"/>
    <e v="#N/A"/>
    <n v="81014"/>
    <s v="624505 - DOUBLON"/>
    <s v="LEROY MERLIN"/>
    <s v="Q2"/>
    <e v="#REF!"/>
    <e v="#REF!"/>
    <e v="#REF!"/>
  </r>
  <r>
    <s v="401000"/>
    <x v="6"/>
    <s v="FOURNISSEURS"/>
    <s v="AC"/>
    <n v="9.89"/>
    <d v="2025-01-31T00:00:00"/>
    <s v="VWR 180+ ADJUSTMENT"/>
    <m/>
    <e v="#N/A"/>
    <e v="#N/A"/>
    <n v="82092"/>
    <m/>
    <s v="VWR AVANTOR"/>
    <s v="Q1"/>
    <e v="#REF!"/>
    <e v="#REF!"/>
    <e v="#REF!"/>
  </r>
  <r>
    <s v="401000"/>
    <x v="6"/>
    <s v="FOURNISSEURS"/>
    <s v="AC"/>
    <n v="36"/>
    <d v="2025-10-20T00:00:00"/>
    <s v="annulation WEBINAIRE - PRÉSENTATION DES PLATEFORMES SCIENTIFIQUES ET TECHNOLOGIQUES 22-05"/>
    <m/>
    <s v="Non"/>
    <s v="Oui"/>
    <n v="87149"/>
    <m/>
    <s v="AXELERA"/>
    <s v="Q4"/>
    <e v="#REF!"/>
    <e v="#REF!"/>
    <e v="#REF!"/>
  </r>
  <r>
    <s v="401000"/>
    <x v="6"/>
    <s v="FOURNISSEURS"/>
    <s v="AC"/>
    <n v="42.83"/>
    <d v="2025-04-01T00:00:00"/>
    <s v="Solde Shopify"/>
    <m/>
    <e v="#N/A"/>
    <e v="#N/A"/>
    <n v="74978"/>
    <m/>
    <s v="SHOPIFY"/>
    <s v="Q2"/>
    <e v="#REF!"/>
    <e v="#REF!"/>
    <e v="#REF!"/>
  </r>
  <r>
    <s v="401000"/>
    <x v="6"/>
    <s v="FOURNISSEURS"/>
    <s v="AC"/>
    <n v="58"/>
    <d v="2025-09-30T00:00:00"/>
    <s v="Divers billets SNCF Spendesk"/>
    <m/>
    <e v="#N/A"/>
    <e v="#N/A"/>
    <n v="87729"/>
    <m/>
    <s v="SNCF"/>
    <s v="Q3"/>
    <e v="#REF!"/>
    <e v="#REF!"/>
    <e v="#REF!"/>
  </r>
  <r>
    <s v="401000"/>
    <x v="6"/>
    <s v="FOURNISSEURS"/>
    <s v="AC"/>
    <n v="67.48"/>
    <d v="2025-05-14T00:00:00"/>
    <s v="Airbnb"/>
    <m/>
    <e v="#N/A"/>
    <e v="#N/A"/>
    <n v="82135"/>
    <m/>
    <s v="AIRBNB"/>
    <s v="Q2"/>
    <e v="#REF!"/>
    <e v="#REF!"/>
    <e v="#REF!"/>
  </r>
  <r>
    <s v="401000"/>
    <x v="6"/>
    <s v="FOURNISSEURS"/>
    <s v="AC"/>
    <n v="86.4"/>
    <d v="2025-03-25T00:00:00"/>
    <s v="AVOIR -FILTRES EN FEUILLE ROTILABO"/>
    <m/>
    <e v="#N/A"/>
    <e v="#N/A"/>
    <n v="67874"/>
    <s v="27"/>
    <s v="ROTH SOCHIEL"/>
    <s v="Q1"/>
    <e v="#REF!"/>
    <e v="#REF!"/>
    <e v="#REF!"/>
  </r>
  <r>
    <s v="401000"/>
    <x v="6"/>
    <s v="FOURNISSEURS"/>
    <s v="AC"/>
    <n v="143.6"/>
    <d v="2025-06-30T00:00:00"/>
    <s v="Divers billets SNCF Spendesk"/>
    <m/>
    <e v="#N/A"/>
    <e v="#N/A"/>
    <n v="85041"/>
    <m/>
    <s v="SNCF"/>
    <s v="Q2"/>
    <e v="#REF!"/>
    <e v="#REF!"/>
    <e v="#REF!"/>
  </r>
  <r>
    <s v="401000"/>
    <x v="6"/>
    <s v="FOURNISSEURS"/>
    <s v="AC"/>
    <n v="152.33000000000001"/>
    <d v="2025-02-07T00:00:00"/>
    <s v="CISEAUX EXPERT PLASTIFIEUSE CISEAUX EXPERT"/>
    <m/>
    <e v="#N/A"/>
    <e v="#N/A"/>
    <n v="71279"/>
    <s v="11"/>
    <s v="OFFICE DEPOT"/>
    <s v="Q1"/>
    <e v="#REF!"/>
    <e v="#REF!"/>
    <e v="#REF!"/>
  </r>
  <r>
    <s v="401000"/>
    <x v="6"/>
    <s v="FOURNISSEURS"/>
    <s v="AC"/>
    <n v="160"/>
    <d v="2025-12-31T00:00:00"/>
    <s v="Divers billets SNCF Spendesk"/>
    <m/>
    <e v="#N/A"/>
    <e v="#N/A"/>
    <n v="94162"/>
    <m/>
    <s v="SNCF"/>
    <s v="Q4"/>
    <e v="#REF!"/>
    <e v="#REF!"/>
    <e v="#REF!"/>
  </r>
  <r>
    <s v="401000"/>
    <x v="6"/>
    <s v="FOURNISSEURS"/>
    <s v="AC"/>
    <n v="196"/>
    <d v="2025-05-31T00:00:00"/>
    <s v="Divers billets SNCF Spendesk"/>
    <m/>
    <e v="#N/A"/>
    <e v="#N/A"/>
    <n v="85038"/>
    <m/>
    <s v="SNCF"/>
    <s v="Q2"/>
    <e v="#REF!"/>
    <e v="#REF!"/>
    <e v="#REF!"/>
  </r>
  <r>
    <s v="401000"/>
    <x v="6"/>
    <s v="FOURNISSEURS"/>
    <s v="AC"/>
    <n v="198"/>
    <d v="2025-11-01T00:00:00"/>
    <s v="ANNULATION CHEM DAY"/>
    <m/>
    <e v="#N/A"/>
    <e v="#N/A"/>
    <n v="91802"/>
    <s v="ANNULATION CHEM DAY"/>
    <s v="CHIMIE PROMOTION"/>
    <s v="Q4"/>
    <e v="#REF!"/>
    <e v="#REF!"/>
    <e v="#REF!"/>
  </r>
  <r>
    <s v="401000"/>
    <x v="6"/>
    <s v="FOURNISSEURS"/>
    <s v="AC"/>
    <n v="308"/>
    <d v="2025-03-31T00:00:00"/>
    <s v="Solde - Pernet"/>
    <m/>
    <e v="#N/A"/>
    <e v="#N/A"/>
    <n v="73126"/>
    <m/>
    <s v="TRISTAN PERNET"/>
    <s v="Q1"/>
    <e v="#REF!"/>
    <e v="#REF!"/>
    <e v="#REF!"/>
  </r>
  <r>
    <s v="401000"/>
    <x v="6"/>
    <s v="FOURNISSEURS"/>
    <s v="AC"/>
    <n v="626.4"/>
    <d v="2025-11-10T00:00:00"/>
    <s v="REMBOURSEMENT DE LA FACTURE 4175054812, PRODUIT NON RÉCEPTIONNÉ SUITE À PB LIVRAISON"/>
    <m/>
    <e v="#N/A"/>
    <e v="#N/A"/>
    <n v="91056"/>
    <s v="5"/>
    <s v="FISHER SCIENTIFIC"/>
    <s v="Q4"/>
    <e v="#REF!"/>
    <e v="#REF!"/>
    <e v="#REF!"/>
  </r>
  <r>
    <s v="401000"/>
    <x v="6"/>
    <s v="FOURNISSEURS"/>
    <s v="AC"/>
    <n v="797.01"/>
    <d v="2025-11-21T00:00:00"/>
    <s v="Remboursement Maxiburo"/>
    <m/>
    <e v="#N/A"/>
    <e v="#N/A"/>
    <n v="97982"/>
    <m/>
    <s v="MAXIBURO"/>
    <s v="Q4"/>
    <e v="#REF!"/>
    <e v="#REF!"/>
    <e v="#REF!"/>
  </r>
  <r>
    <s v="401000"/>
    <x v="6"/>
    <s v="FOURNISSEURS"/>
    <s v="AC"/>
    <n v="798"/>
    <d v="2025-12-11T00:00:00"/>
    <s v="SOLDE VERSE PAR PR"/>
    <m/>
    <e v="#N/A"/>
    <e v="#N/A"/>
    <n v="94819"/>
    <s v="031"/>
    <s v="RJM LA ROSA NEGRA"/>
    <s v="Q4"/>
    <e v="#REF!"/>
    <e v="#REF!"/>
    <e v="#REF!"/>
  </r>
  <r>
    <s v="401000"/>
    <x v="6"/>
    <s v="FOURNISSEURS"/>
    <s v="AC"/>
    <n v="1755"/>
    <d v="2025-10-17T00:00:00"/>
    <s v="Remboursement de la taxe de recherche par lOEB"/>
    <s v="Non"/>
    <s v="Oui"/>
    <e v="#N/A"/>
    <n v="87400"/>
    <s v="254669"/>
    <s v="BECKER"/>
    <s v="Q4"/>
    <e v="#REF!"/>
    <e v="#REF!"/>
    <e v="#REF!"/>
  </r>
  <r>
    <s v="401000"/>
    <x v="6"/>
    <s v="FOURNISSEURS"/>
    <s v="AC"/>
    <n v="2363.13"/>
    <d v="2025-01-25T00:00:00"/>
    <s v="Extourne doublon facture NeilBell oct 2024"/>
    <s v="Non"/>
    <s v="Non"/>
    <e v="#N/A"/>
    <n v="75603"/>
    <m/>
    <s v="NEIL BELL"/>
    <s v="Q1"/>
    <e v="#REF!"/>
    <e v="#REF!"/>
    <e v="#REF!"/>
  </r>
  <r>
    <s v="401000"/>
    <x v="6"/>
    <s v="FOURNISSEURS"/>
    <s v="AC"/>
    <n v="2560.1"/>
    <d v="2025-09-03T00:00:00"/>
    <s v="DÉTECTEUR DE GAZ DRÄGER"/>
    <m/>
    <e v="#N/A"/>
    <e v="#N/A"/>
    <n v="81900"/>
    <s v="923003074"/>
    <s v="DENIOS"/>
    <s v="Q3"/>
    <e v="#REF!"/>
    <e v="#REF!"/>
    <e v="#REF!"/>
  </r>
  <r>
    <s v="401000"/>
    <x v="6"/>
    <s v="FOURNISSEURS"/>
    <s v="AC"/>
    <n v="2896.05"/>
    <d v="2025-09-23T00:00:00"/>
    <s v="PRESTATION TRAITEUR SÉMINAIRE PILI"/>
    <m/>
    <e v="#N/A"/>
    <e v="#N/A"/>
    <n v="87125"/>
    <s v="TG34/3888"/>
    <s v="TRAITEUR GRAND"/>
    <s v="Q3"/>
    <e v="#REF!"/>
    <e v="#REF!"/>
    <e v="#REF!"/>
  </r>
  <r>
    <s v="401000"/>
    <x v="6"/>
    <s v="FOURNISSEURS"/>
    <s v="AC"/>
    <n v="5000"/>
    <d v="2025-05-30T00:00:00"/>
    <s v="SUMMARY REPORT - AGREEMENT"/>
    <s v="Non"/>
    <e v="#N/A"/>
    <e v="#N/A"/>
    <n v="95539"/>
    <s v="91250074"/>
    <s v="BIOTIKA"/>
    <s v="Q2"/>
    <e v="#REF!"/>
    <e v="#REF!"/>
    <e v="#REF!"/>
  </r>
  <r>
    <s v="401000"/>
    <x v="6"/>
    <s v="FOURNISSEURS"/>
    <s v="AC"/>
    <n v="13000"/>
    <d v="2025-02-18T00:00:00"/>
    <s v="2ND INSTALLMENT AFTER FINISHING OF 3 LABORATORY TRIAL"/>
    <s v="Non"/>
    <e v="#N/A"/>
    <e v="#N/A"/>
    <n v="95545"/>
    <s v="91250008"/>
    <s v="BIOTIKA"/>
    <s v="Q1"/>
    <e v="#REF!"/>
    <e v="#REF!"/>
    <e v="#REF!"/>
  </r>
  <r>
    <s v="401000"/>
    <x v="6"/>
    <s v="FOURNISSEURS"/>
    <s v="AC"/>
    <n v="17444"/>
    <d v="2025-07-16T00:00:00"/>
    <s v="SYNTHÈSE ET DÉVELOPPEMENT DE 1KG-V2 DE 2-CBA - KEENB"/>
    <m/>
    <e v="#N/A"/>
    <e v="#N/A"/>
    <n v="87184"/>
    <s v="INV/2025/00193"/>
    <s v="Taros Chemicals GmbH &amp; Co. KG"/>
    <s v="Q3"/>
    <e v="#REF!"/>
    <e v="#REF!"/>
    <e v="#REF!"/>
  </r>
  <r>
    <s v="401000"/>
    <x v="6"/>
    <s v="FOURNISSEURS"/>
    <s v="AC"/>
    <n v="23891"/>
    <d v="2025-02-17T00:00:00"/>
    <s v="ADJUSTMENT OF PART OF FERMENTATION LINE"/>
    <s v="Non"/>
    <e v="#N/A"/>
    <e v="#N/A"/>
    <n v="95547"/>
    <s v="91250007"/>
    <s v="BIOTIKA"/>
    <s v="Q1"/>
    <e v="#REF!"/>
    <e v="#REF!"/>
    <e v="#REF!"/>
  </r>
  <r>
    <s v="401000"/>
    <x v="6"/>
    <s v="FOURNISSEURS"/>
    <s v="AC"/>
    <n v="30000"/>
    <d v="2025-01-01T00:00:00"/>
    <s v="Annulation Acompte Inside (doublon facture décembre)"/>
    <s v="Non"/>
    <s v="Non"/>
    <e v="#N/A"/>
    <n v="61894"/>
    <m/>
    <s v="INSIDE MANAGEMENT"/>
    <s v="Q1"/>
    <e v="#REF!"/>
    <e v="#REF!"/>
    <e v="#REF!"/>
  </r>
  <r>
    <s v="401000"/>
    <x v="6"/>
    <s v="FOURNISSEURS"/>
    <s v="AC"/>
    <n v="47574"/>
    <d v="2025-08-29T00:00:00"/>
    <s v="AVOIR SUR ACOMPTE KAPP"/>
    <s v="Non"/>
    <e v="#N/A"/>
    <e v="#N/A"/>
    <n v="81912"/>
    <s v="AVE000000"/>
    <s v="KAPP"/>
    <s v="Q3"/>
    <e v="#REF!"/>
    <e v="#REF!"/>
    <e v="#REF!"/>
  </r>
  <r>
    <s v="401000"/>
    <x v="6"/>
    <s v="FOURNISSEURS"/>
    <s v="AN"/>
    <n v="-194000"/>
    <d v="2025-01-01T00:00:00"/>
    <s v="Report à nouveau Exercice 2025"/>
    <m/>
    <e v="#N/A"/>
    <e v="#N/A"/>
    <n v="84936"/>
    <m/>
    <m/>
    <s v="Q1"/>
    <e v="#REF!"/>
    <e v="#REF!"/>
    <e v="#REF!"/>
  </r>
  <r>
    <s v="401000"/>
    <x v="6"/>
    <s v="FOURNISSEURS"/>
    <s v="AN"/>
    <n v="-60000"/>
    <d v="2025-01-01T00:00:00"/>
    <s v="Report à nouveau Exercice 2025"/>
    <m/>
    <e v="#N/A"/>
    <e v="#N/A"/>
    <n v="84628"/>
    <m/>
    <m/>
    <s v="Q1"/>
    <e v="#REF!"/>
    <e v="#REF!"/>
    <e v="#REF!"/>
  </r>
  <r>
    <s v="401000"/>
    <x v="6"/>
    <s v="FOURNISSEURS"/>
    <s v="AN"/>
    <n v="-56362.01"/>
    <d v="2025-01-01T00:00:00"/>
    <s v="Report à nouveau Exercice 2025"/>
    <m/>
    <e v="#N/A"/>
    <e v="#N/A"/>
    <n v="84837"/>
    <m/>
    <m/>
    <s v="Q1"/>
    <e v="#REF!"/>
    <e v="#REF!"/>
    <e v="#REF!"/>
  </r>
  <r>
    <s v="401000"/>
    <x v="6"/>
    <s v="FOURNISSEURS"/>
    <s v="AN"/>
    <n v="-53760"/>
    <d v="2025-01-01T00:00:00"/>
    <s v="Report à nouveau Exercice 2025"/>
    <m/>
    <e v="#N/A"/>
    <e v="#N/A"/>
    <n v="84893"/>
    <m/>
    <m/>
    <s v="Q1"/>
    <e v="#REF!"/>
    <e v="#REF!"/>
    <e v="#REF!"/>
  </r>
  <r>
    <s v="401000"/>
    <x v="6"/>
    <s v="FOURNISSEURS"/>
    <s v="AN"/>
    <n v="-41676"/>
    <d v="2025-01-01T00:00:00"/>
    <s v="Report à nouveau Exercice 2025"/>
    <m/>
    <e v="#N/A"/>
    <e v="#N/A"/>
    <n v="84907"/>
    <m/>
    <m/>
    <s v="Q1"/>
    <e v="#REF!"/>
    <e v="#REF!"/>
    <e v="#REF!"/>
  </r>
  <r>
    <s v="401000"/>
    <x v="6"/>
    <s v="FOURNISSEURS"/>
    <s v="AN"/>
    <n v="-30000"/>
    <d v="2025-01-01T00:00:00"/>
    <s v="Report à nouveau Exercice 2025"/>
    <m/>
    <e v="#N/A"/>
    <e v="#N/A"/>
    <n v="84743"/>
    <m/>
    <m/>
    <s v="Q1"/>
    <e v="#REF!"/>
    <e v="#REF!"/>
    <e v="#REF!"/>
  </r>
  <r>
    <s v="401000"/>
    <x v="6"/>
    <s v="FOURNISSEURS"/>
    <s v="AN"/>
    <n v="-28601.41"/>
    <d v="2025-01-01T00:00:00"/>
    <s v="Report à nouveau Exercice 2025"/>
    <m/>
    <e v="#N/A"/>
    <e v="#N/A"/>
    <n v="84679"/>
    <m/>
    <m/>
    <s v="Q1"/>
    <e v="#REF!"/>
    <e v="#REF!"/>
    <e v="#REF!"/>
  </r>
  <r>
    <s v="401000"/>
    <x v="6"/>
    <s v="FOURNISSEURS"/>
    <s v="AN"/>
    <n v="-24348.06"/>
    <d v="2025-01-01T00:00:00"/>
    <s v="Report à nouveau Exercice 2025"/>
    <m/>
    <e v="#N/A"/>
    <e v="#N/A"/>
    <n v="84887"/>
    <m/>
    <m/>
    <s v="Q1"/>
    <e v="#REF!"/>
    <e v="#REF!"/>
    <e v="#REF!"/>
  </r>
  <r>
    <s v="401000"/>
    <x v="6"/>
    <s v="FOURNISSEURS"/>
    <s v="AN"/>
    <n v="-16456.82"/>
    <d v="2025-01-01T00:00:00"/>
    <s v="Report à nouveau Exercice 2025"/>
    <m/>
    <e v="#N/A"/>
    <e v="#N/A"/>
    <n v="84639"/>
    <m/>
    <m/>
    <s v="Q1"/>
    <e v="#REF!"/>
    <e v="#REF!"/>
    <e v="#REF!"/>
  </r>
  <r>
    <s v="401000"/>
    <x v="6"/>
    <s v="FOURNISSEURS"/>
    <s v="AN"/>
    <n v="-14686.8"/>
    <d v="2025-01-01T00:00:00"/>
    <s v="Report à nouveau Exercice 2025"/>
    <m/>
    <e v="#N/A"/>
    <e v="#N/A"/>
    <n v="84654"/>
    <m/>
    <m/>
    <s v="Q1"/>
    <e v="#REF!"/>
    <e v="#REF!"/>
    <e v="#REF!"/>
  </r>
  <r>
    <s v="401000"/>
    <x v="6"/>
    <s v="FOURNISSEURS"/>
    <s v="AN"/>
    <n v="-13000.04"/>
    <d v="2025-01-01T00:00:00"/>
    <s v="Report à nouveau Exercice 2025"/>
    <m/>
    <e v="#N/A"/>
    <e v="#N/A"/>
    <n v="84613"/>
    <m/>
    <m/>
    <s v="Q1"/>
    <e v="#REF!"/>
    <e v="#REF!"/>
    <e v="#REF!"/>
  </r>
  <r>
    <s v="401000"/>
    <x v="6"/>
    <s v="FOURNISSEURS"/>
    <s v="AN"/>
    <n v="-8654.2800000000007"/>
    <d v="2025-01-01T00:00:00"/>
    <s v="Report à nouveau Exercice 2025"/>
    <m/>
    <e v="#N/A"/>
    <e v="#N/A"/>
    <n v="84899"/>
    <m/>
    <m/>
    <s v="Q1"/>
    <e v="#REF!"/>
    <e v="#REF!"/>
    <e v="#REF!"/>
  </r>
  <r>
    <s v="401000"/>
    <x v="6"/>
    <s v="FOURNISSEURS"/>
    <s v="AN"/>
    <n v="-7900.56"/>
    <d v="2025-01-01T00:00:00"/>
    <s v="Report à nouveau Exercice 2025"/>
    <m/>
    <e v="#N/A"/>
    <e v="#N/A"/>
    <n v="84609"/>
    <m/>
    <m/>
    <s v="Q1"/>
    <e v="#REF!"/>
    <e v="#REF!"/>
    <e v="#REF!"/>
  </r>
  <r>
    <s v="401000"/>
    <x v="6"/>
    <s v="FOURNISSEURS"/>
    <s v="AN"/>
    <n v="-7680"/>
    <d v="2025-01-01T00:00:00"/>
    <s v="Report à nouveau Exercice 2025"/>
    <m/>
    <e v="#N/A"/>
    <e v="#N/A"/>
    <n v="84815"/>
    <m/>
    <m/>
    <s v="Q1"/>
    <e v="#REF!"/>
    <e v="#REF!"/>
    <e v="#REF!"/>
  </r>
  <r>
    <s v="401000"/>
    <x v="6"/>
    <s v="FOURNISSEURS"/>
    <s v="AN"/>
    <n v="-5532"/>
    <d v="2025-01-01T00:00:00"/>
    <s v="Report à nouveau Exercice 2025"/>
    <m/>
    <e v="#N/A"/>
    <e v="#N/A"/>
    <n v="84821"/>
    <m/>
    <m/>
    <s v="Q1"/>
    <e v="#REF!"/>
    <e v="#REF!"/>
    <e v="#REF!"/>
  </r>
  <r>
    <s v="401000"/>
    <x v="6"/>
    <s v="FOURNISSEURS"/>
    <s v="AN"/>
    <n v="-5082.07"/>
    <d v="2025-01-01T00:00:00"/>
    <s v="Report à nouveau Exercice 2025"/>
    <m/>
    <e v="#N/A"/>
    <e v="#N/A"/>
    <n v="84904"/>
    <m/>
    <m/>
    <s v="Q1"/>
    <e v="#REF!"/>
    <e v="#REF!"/>
    <e v="#REF!"/>
  </r>
  <r>
    <s v="401000"/>
    <x v="6"/>
    <s v="FOURNISSEURS"/>
    <s v="AN"/>
    <n v="-3757.52"/>
    <d v="2025-01-01T00:00:00"/>
    <s v="Report à nouveau Exercice 2025"/>
    <m/>
    <e v="#N/A"/>
    <e v="#N/A"/>
    <n v="84896"/>
    <m/>
    <m/>
    <s v="Q1"/>
    <e v="#REF!"/>
    <e v="#REF!"/>
    <e v="#REF!"/>
  </r>
  <r>
    <s v="401000"/>
    <x v="6"/>
    <s v="FOURNISSEURS"/>
    <s v="AN"/>
    <n v="-3505"/>
    <d v="2025-01-01T00:00:00"/>
    <s v="Report à nouveau Exercice 2025"/>
    <m/>
    <e v="#N/A"/>
    <e v="#N/A"/>
    <n v="84640"/>
    <m/>
    <m/>
    <s v="Q1"/>
    <e v="#REF!"/>
    <e v="#REF!"/>
    <e v="#REF!"/>
  </r>
  <r>
    <s v="401000"/>
    <x v="6"/>
    <s v="FOURNISSEURS"/>
    <s v="AN"/>
    <n v="-3408"/>
    <d v="2025-01-01T00:00:00"/>
    <s v="Report à nouveau Exercice 2025"/>
    <m/>
    <e v="#N/A"/>
    <e v="#N/A"/>
    <n v="84932"/>
    <m/>
    <m/>
    <s v="Q1"/>
    <e v="#REF!"/>
    <e v="#REF!"/>
    <e v="#REF!"/>
  </r>
  <r>
    <s v="401000"/>
    <x v="6"/>
    <s v="FOURNISSEURS"/>
    <s v="AN"/>
    <n v="-3330.6"/>
    <d v="2025-01-01T00:00:00"/>
    <s v="Report à nouveau Exercice 2025"/>
    <m/>
    <e v="#N/A"/>
    <e v="#N/A"/>
    <n v="84645"/>
    <m/>
    <m/>
    <s v="Q1"/>
    <e v="#REF!"/>
    <e v="#REF!"/>
    <e v="#REF!"/>
  </r>
  <r>
    <s v="401000"/>
    <x v="6"/>
    <s v="FOURNISSEURS"/>
    <s v="AN"/>
    <n v="-3282"/>
    <d v="2025-01-01T00:00:00"/>
    <s v="Report à nouveau Exercice 2025"/>
    <m/>
    <e v="#N/A"/>
    <e v="#N/A"/>
    <n v="84934"/>
    <m/>
    <m/>
    <s v="Q1"/>
    <e v="#REF!"/>
    <e v="#REF!"/>
    <e v="#REF!"/>
  </r>
  <r>
    <s v="401000"/>
    <x v="6"/>
    <s v="FOURNISSEURS"/>
    <s v="AN"/>
    <n v="-2378.21"/>
    <d v="2025-01-01T00:00:00"/>
    <s v="Report à nouveau Exercice 2025"/>
    <m/>
    <e v="#N/A"/>
    <e v="#N/A"/>
    <n v="84729"/>
    <m/>
    <m/>
    <s v="Q1"/>
    <e v="#REF!"/>
    <e v="#REF!"/>
    <e v="#REF!"/>
  </r>
  <r>
    <s v="401000"/>
    <x v="6"/>
    <s v="FOURNISSEURS"/>
    <s v="AN"/>
    <n v="-2363.13"/>
    <d v="2025-01-01T00:00:00"/>
    <s v="Report à nouveau Exercice 2025"/>
    <m/>
    <e v="#N/A"/>
    <e v="#N/A"/>
    <n v="84709"/>
    <m/>
    <m/>
    <s v="Q1"/>
    <e v="#REF!"/>
    <e v="#REF!"/>
    <e v="#REF!"/>
  </r>
  <r>
    <s v="401000"/>
    <x v="6"/>
    <s v="FOURNISSEURS"/>
    <s v="AN"/>
    <n v="-2150"/>
    <d v="2025-01-01T00:00:00"/>
    <s v="Report à nouveau Exercice 2025"/>
    <m/>
    <e v="#N/A"/>
    <e v="#N/A"/>
    <n v="84736"/>
    <m/>
    <m/>
    <s v="Q1"/>
    <e v="#REF!"/>
    <e v="#REF!"/>
    <e v="#REF!"/>
  </r>
  <r>
    <s v="401000"/>
    <x v="6"/>
    <s v="FOURNISSEURS"/>
    <s v="AN"/>
    <n v="-2034.4"/>
    <d v="2025-01-01T00:00:00"/>
    <s v="Report à nouveau Exercice 2025"/>
    <m/>
    <e v="#N/A"/>
    <e v="#N/A"/>
    <n v="84920"/>
    <m/>
    <m/>
    <s v="Q1"/>
    <e v="#REF!"/>
    <e v="#REF!"/>
    <e v="#REF!"/>
  </r>
  <r>
    <s v="401000"/>
    <x v="6"/>
    <s v="FOURNISSEURS"/>
    <s v="AN"/>
    <n v="-1452"/>
    <d v="2025-01-01T00:00:00"/>
    <s v="Report à nouveau Exercice 2025"/>
    <m/>
    <e v="#N/A"/>
    <e v="#N/A"/>
    <n v="84903"/>
    <m/>
    <m/>
    <s v="Q1"/>
    <e v="#REF!"/>
    <e v="#REF!"/>
    <e v="#REF!"/>
  </r>
  <r>
    <s v="401000"/>
    <x v="6"/>
    <s v="FOURNISSEURS"/>
    <s v="AN"/>
    <n v="-1449.6"/>
    <d v="2025-01-01T00:00:00"/>
    <s v="Report à nouveau Exercice 2025"/>
    <m/>
    <e v="#N/A"/>
    <e v="#N/A"/>
    <n v="84843"/>
    <m/>
    <m/>
    <s v="Q1"/>
    <e v="#REF!"/>
    <e v="#REF!"/>
    <e v="#REF!"/>
  </r>
  <r>
    <s v="401000"/>
    <x v="6"/>
    <s v="FOURNISSEURS"/>
    <s v="AN"/>
    <n v="-1387.56"/>
    <d v="2025-01-01T00:00:00"/>
    <s v="Report à nouveau Exercice 2025"/>
    <m/>
    <e v="#N/A"/>
    <e v="#N/A"/>
    <n v="84655"/>
    <m/>
    <m/>
    <s v="Q1"/>
    <e v="#REF!"/>
    <e v="#REF!"/>
    <e v="#REF!"/>
  </r>
  <r>
    <s v="401000"/>
    <x v="6"/>
    <s v="FOURNISSEURS"/>
    <s v="AN"/>
    <n v="-1330.62"/>
    <d v="2025-01-01T00:00:00"/>
    <s v="Report à nouveau Exercice 2025"/>
    <m/>
    <e v="#N/A"/>
    <e v="#N/A"/>
    <n v="84801"/>
    <m/>
    <m/>
    <s v="Q1"/>
    <e v="#REF!"/>
    <e v="#REF!"/>
    <e v="#REF!"/>
  </r>
  <r>
    <s v="401000"/>
    <x v="6"/>
    <s v="FOURNISSEURS"/>
    <s v="AN"/>
    <n v="-1271.3699999999999"/>
    <d v="2025-01-01T00:00:00"/>
    <s v="Report à nouveau Exercice 2025"/>
    <m/>
    <e v="#N/A"/>
    <e v="#N/A"/>
    <n v="84726"/>
    <m/>
    <m/>
    <s v="Q1"/>
    <e v="#REF!"/>
    <e v="#REF!"/>
    <e v="#REF!"/>
  </r>
  <r>
    <s v="401000"/>
    <x v="6"/>
    <s v="FOURNISSEURS"/>
    <s v="AN"/>
    <n v="-1200"/>
    <d v="2025-01-01T00:00:00"/>
    <s v="Report à nouveau Exercice 2025"/>
    <m/>
    <e v="#N/A"/>
    <e v="#N/A"/>
    <n v="84664"/>
    <m/>
    <m/>
    <s v="Q1"/>
    <e v="#REF!"/>
    <e v="#REF!"/>
    <e v="#REF!"/>
  </r>
  <r>
    <s v="401000"/>
    <x v="6"/>
    <s v="FOURNISSEURS"/>
    <s v="AN"/>
    <n v="-1168.02"/>
    <d v="2025-01-01T00:00:00"/>
    <s v="Report à nouveau Exercice 2025"/>
    <m/>
    <e v="#N/A"/>
    <e v="#N/A"/>
    <n v="84844"/>
    <m/>
    <m/>
    <s v="Q1"/>
    <e v="#REF!"/>
    <e v="#REF!"/>
    <e v="#REF!"/>
  </r>
  <r>
    <s v="401000"/>
    <x v="6"/>
    <s v="FOURNISSEURS"/>
    <s v="AN"/>
    <n v="-1116"/>
    <d v="2025-01-01T00:00:00"/>
    <s v="Report à nouveau Exercice 2025"/>
    <m/>
    <e v="#N/A"/>
    <e v="#N/A"/>
    <n v="84846"/>
    <m/>
    <m/>
    <s v="Q1"/>
    <e v="#REF!"/>
    <e v="#REF!"/>
    <e v="#REF!"/>
  </r>
  <r>
    <s v="401000"/>
    <x v="6"/>
    <s v="FOURNISSEURS"/>
    <s v="AN"/>
    <n v="-912"/>
    <d v="2025-01-01T00:00:00"/>
    <s v="Report à nouveau Exercice 2025"/>
    <m/>
    <e v="#N/A"/>
    <e v="#N/A"/>
    <n v="84886"/>
    <m/>
    <m/>
    <s v="Q1"/>
    <e v="#REF!"/>
    <e v="#REF!"/>
    <e v="#REF!"/>
  </r>
  <r>
    <s v="401000"/>
    <x v="6"/>
    <s v="FOURNISSEURS"/>
    <s v="AN"/>
    <n v="-670.36"/>
    <d v="2025-01-01T00:00:00"/>
    <s v="Report à nouveau Exercice 2025"/>
    <m/>
    <e v="#N/A"/>
    <e v="#N/A"/>
    <n v="84644"/>
    <m/>
    <m/>
    <s v="Q1"/>
    <e v="#REF!"/>
    <e v="#REF!"/>
    <e v="#REF!"/>
  </r>
  <r>
    <s v="401000"/>
    <x v="6"/>
    <s v="FOURNISSEURS"/>
    <s v="AN"/>
    <n v="-658"/>
    <d v="2025-01-01T00:00:00"/>
    <s v="Report à nouveau Exercice 2025"/>
    <m/>
    <e v="#N/A"/>
    <e v="#N/A"/>
    <n v="84838"/>
    <m/>
    <m/>
    <s v="Q1"/>
    <e v="#REF!"/>
    <e v="#REF!"/>
    <e v="#REF!"/>
  </r>
  <r>
    <s v="401000"/>
    <x v="6"/>
    <s v="FOURNISSEURS"/>
    <s v="AN"/>
    <n v="-627"/>
    <d v="2025-01-01T00:00:00"/>
    <s v="Report à nouveau Exercice 2025"/>
    <m/>
    <e v="#N/A"/>
    <e v="#N/A"/>
    <n v="84747"/>
    <m/>
    <m/>
    <s v="Q1"/>
    <e v="#REF!"/>
    <e v="#REF!"/>
    <e v="#REF!"/>
  </r>
  <r>
    <s v="401000"/>
    <x v="6"/>
    <s v="FOURNISSEURS"/>
    <s v="AN"/>
    <n v="-525"/>
    <d v="2025-01-01T00:00:00"/>
    <s v="Report à nouveau Exercice 2025"/>
    <m/>
    <e v="#N/A"/>
    <e v="#N/A"/>
    <n v="84632"/>
    <m/>
    <m/>
    <s v="Q1"/>
    <e v="#REF!"/>
    <e v="#REF!"/>
    <e v="#REF!"/>
  </r>
  <r>
    <s v="401000"/>
    <x v="6"/>
    <s v="FOURNISSEURS"/>
    <s v="AN"/>
    <n v="-498"/>
    <d v="2025-01-01T00:00:00"/>
    <s v="Report à nouveau Exercice 2025"/>
    <m/>
    <e v="#N/A"/>
    <e v="#N/A"/>
    <n v="84839"/>
    <m/>
    <m/>
    <s v="Q1"/>
    <e v="#REF!"/>
    <e v="#REF!"/>
    <e v="#REF!"/>
  </r>
  <r>
    <s v="401000"/>
    <x v="6"/>
    <s v="FOURNISSEURS"/>
    <s v="AN"/>
    <n v="-492.8"/>
    <d v="2025-01-01T00:00:00"/>
    <s v="Report à nouveau Exercice 2025"/>
    <m/>
    <e v="#N/A"/>
    <e v="#N/A"/>
    <n v="84950"/>
    <m/>
    <m/>
    <s v="Q1"/>
    <e v="#REF!"/>
    <e v="#REF!"/>
    <e v="#REF!"/>
  </r>
  <r>
    <s v="401000"/>
    <x v="6"/>
    <s v="FOURNISSEURS"/>
    <s v="AN"/>
    <n v="-420"/>
    <d v="2025-01-01T00:00:00"/>
    <s v="Report à nouveau Exercice 2025"/>
    <m/>
    <e v="#N/A"/>
    <e v="#N/A"/>
    <n v="84888"/>
    <m/>
    <m/>
    <s v="Q1"/>
    <e v="#REF!"/>
    <e v="#REF!"/>
    <e v="#REF!"/>
  </r>
  <r>
    <s v="401000"/>
    <x v="6"/>
    <s v="FOURNISSEURS"/>
    <s v="AN"/>
    <n v="-330"/>
    <d v="2025-01-01T00:00:00"/>
    <s v="Report à nouveau Exercice 2025"/>
    <m/>
    <e v="#N/A"/>
    <e v="#N/A"/>
    <n v="84719"/>
    <m/>
    <m/>
    <s v="Q1"/>
    <e v="#REF!"/>
    <e v="#REF!"/>
    <e v="#REF!"/>
  </r>
  <r>
    <s v="401000"/>
    <x v="6"/>
    <s v="FOURNISSEURS"/>
    <s v="AN"/>
    <n v="-320.88"/>
    <d v="2025-01-01T00:00:00"/>
    <s v="Report à nouveau Exercice 2025"/>
    <m/>
    <e v="#N/A"/>
    <e v="#N/A"/>
    <n v="84621"/>
    <m/>
    <m/>
    <s v="Q1"/>
    <e v="#REF!"/>
    <e v="#REF!"/>
    <e v="#REF!"/>
  </r>
  <r>
    <s v="401000"/>
    <x v="6"/>
    <s v="FOURNISSEURS"/>
    <s v="AN"/>
    <n v="-308"/>
    <d v="2025-01-01T00:00:00"/>
    <s v="Report à nouveau Exercice 2025"/>
    <m/>
    <e v="#N/A"/>
    <e v="#N/A"/>
    <n v="84741"/>
    <m/>
    <m/>
    <s v="Q1"/>
    <e v="#REF!"/>
    <e v="#REF!"/>
    <e v="#REF!"/>
  </r>
  <r>
    <s v="401000"/>
    <x v="6"/>
    <s v="FOURNISSEURS"/>
    <s v="AN"/>
    <n v="-300.89"/>
    <d v="2025-01-01T00:00:00"/>
    <s v="Report à nouveau Exercice 2025"/>
    <m/>
    <e v="#N/A"/>
    <e v="#N/A"/>
    <n v="84916"/>
    <m/>
    <m/>
    <s v="Q1"/>
    <e v="#REF!"/>
    <e v="#REF!"/>
    <e v="#REF!"/>
  </r>
  <r>
    <s v="401000"/>
    <x v="6"/>
    <s v="FOURNISSEURS"/>
    <s v="AN"/>
    <n v="-296.14999999999998"/>
    <d v="2025-01-01T00:00:00"/>
    <s v="Report à nouveau Exercice 2025"/>
    <m/>
    <e v="#N/A"/>
    <e v="#N/A"/>
    <n v="84740"/>
    <m/>
    <m/>
    <s v="Q1"/>
    <e v="#REF!"/>
    <e v="#REF!"/>
    <e v="#REF!"/>
  </r>
  <r>
    <s v="401000"/>
    <x v="6"/>
    <s v="FOURNISSEURS"/>
    <s v="AN"/>
    <n v="-240"/>
    <d v="2025-01-01T00:00:00"/>
    <s v="Report à nouveau Exercice 2025"/>
    <m/>
    <e v="#N/A"/>
    <e v="#N/A"/>
    <n v="84704"/>
    <m/>
    <m/>
    <s v="Q1"/>
    <e v="#REF!"/>
    <e v="#REF!"/>
    <e v="#REF!"/>
  </r>
  <r>
    <s v="401000"/>
    <x v="6"/>
    <s v="FOURNISSEURS"/>
    <s v="AN"/>
    <n v="-221.3"/>
    <d v="2025-01-01T00:00:00"/>
    <s v="Report à nouveau Exercice 2025"/>
    <m/>
    <e v="#N/A"/>
    <e v="#N/A"/>
    <n v="84623"/>
    <m/>
    <m/>
    <s v="Q1"/>
    <e v="#REF!"/>
    <e v="#REF!"/>
    <e v="#REF!"/>
  </r>
  <r>
    <s v="401000"/>
    <x v="6"/>
    <s v="FOURNISSEURS"/>
    <s v="AN"/>
    <n v="-188.4"/>
    <d v="2025-01-01T00:00:00"/>
    <s v="Report à nouveau Exercice 2025"/>
    <m/>
    <e v="#N/A"/>
    <e v="#N/A"/>
    <n v="84616"/>
    <m/>
    <m/>
    <s v="Q1"/>
    <e v="#REF!"/>
    <e v="#REF!"/>
    <e v="#REF!"/>
  </r>
  <r>
    <s v="401000"/>
    <x v="6"/>
    <s v="FOURNISSEURS"/>
    <s v="AN"/>
    <n v="-181.2"/>
    <d v="2025-01-01T00:00:00"/>
    <s v="Report à nouveau Exercice 2025"/>
    <m/>
    <e v="#N/A"/>
    <e v="#N/A"/>
    <n v="84891"/>
    <m/>
    <m/>
    <s v="Q1"/>
    <e v="#REF!"/>
    <e v="#REF!"/>
    <e v="#REF!"/>
  </r>
  <r>
    <s v="401000"/>
    <x v="6"/>
    <s v="FOURNISSEURS"/>
    <s v="AN"/>
    <n v="-163.30000000000001"/>
    <d v="2025-01-01T00:00:00"/>
    <s v="Report à nouveau Exercice 2025"/>
    <m/>
    <e v="#N/A"/>
    <e v="#N/A"/>
    <n v="84611"/>
    <m/>
    <m/>
    <s v="Q1"/>
    <e v="#REF!"/>
    <e v="#REF!"/>
    <e v="#REF!"/>
  </r>
  <r>
    <s v="401000"/>
    <x v="6"/>
    <s v="FOURNISSEURS"/>
    <s v="AN"/>
    <n v="-144"/>
    <d v="2025-01-01T00:00:00"/>
    <s v="Report à nouveau Exercice 2025"/>
    <m/>
    <e v="#N/A"/>
    <e v="#N/A"/>
    <n v="84728"/>
    <m/>
    <m/>
    <s v="Q1"/>
    <e v="#REF!"/>
    <e v="#REF!"/>
    <e v="#REF!"/>
  </r>
  <r>
    <s v="401000"/>
    <x v="6"/>
    <s v="FOURNISSEURS"/>
    <s v="AN"/>
    <n v="-61.12"/>
    <d v="2025-01-01T00:00:00"/>
    <s v="Report à nouveau Exercice 2025"/>
    <m/>
    <e v="#N/A"/>
    <e v="#N/A"/>
    <n v="84864"/>
    <m/>
    <m/>
    <s v="Q1"/>
    <e v="#REF!"/>
    <e v="#REF!"/>
    <e v="#REF!"/>
  </r>
  <r>
    <s v="401000"/>
    <x v="6"/>
    <s v="FOURNISSEURS"/>
    <s v="AN"/>
    <n v="-40.03"/>
    <d v="2025-01-01T00:00:00"/>
    <s v="Report à nouveau Exercice 2025"/>
    <m/>
    <e v="#N/A"/>
    <e v="#N/A"/>
    <n v="84615"/>
    <m/>
    <m/>
    <s v="Q1"/>
    <e v="#REF!"/>
    <e v="#REF!"/>
    <e v="#REF!"/>
  </r>
  <r>
    <s v="401000"/>
    <x v="6"/>
    <s v="FOURNISSEURS"/>
    <s v="AN"/>
    <n v="-28.51"/>
    <d v="2025-01-01T00:00:00"/>
    <s v="Report à nouveau Exercice 2025"/>
    <m/>
    <e v="#N/A"/>
    <e v="#N/A"/>
    <n v="84646"/>
    <m/>
    <m/>
    <s v="Q1"/>
    <e v="#REF!"/>
    <e v="#REF!"/>
    <e v="#REF!"/>
  </r>
  <r>
    <s v="401000"/>
    <x v="6"/>
    <s v="FOURNISSEURS"/>
    <s v="AN"/>
    <n v="-2.8"/>
    <d v="2025-01-01T00:00:00"/>
    <s v="Report à nouveau Exercice 2025"/>
    <m/>
    <e v="#N/A"/>
    <e v="#N/A"/>
    <n v="8480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0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1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1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1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2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3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4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5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6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7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8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69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0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1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2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3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4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74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0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1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4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5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6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6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6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6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6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8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89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0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1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2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3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4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1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2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3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4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5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6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7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8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59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60"/>
    <m/>
    <m/>
    <s v="Q1"/>
    <e v="#REF!"/>
    <e v="#REF!"/>
    <e v="#REF!"/>
  </r>
  <r>
    <s v="401000"/>
    <x v="6"/>
    <s v="FOURNISSEURS"/>
    <s v="AN"/>
    <n v="0"/>
    <d v="2025-01-01T00:00:00"/>
    <s v="Report à nouveau Exercice 2025"/>
    <m/>
    <e v="#N/A"/>
    <e v="#N/A"/>
    <n v="84961"/>
    <m/>
    <m/>
    <s v="Q1"/>
    <e v="#REF!"/>
    <e v="#REF!"/>
    <e v="#REF!"/>
  </r>
  <r>
    <s v="401000"/>
    <x v="6"/>
    <s v="FOURNISSEURS"/>
    <s v="AN"/>
    <n v="31.05"/>
    <d v="2025-01-01T00:00:00"/>
    <s v="Report à nouveau Exercice 2025"/>
    <m/>
    <e v="#N/A"/>
    <e v="#N/A"/>
    <n v="84820"/>
    <m/>
    <m/>
    <s v="Q1"/>
    <e v="#REF!"/>
    <e v="#REF!"/>
    <e v="#REF!"/>
  </r>
  <r>
    <s v="401000"/>
    <x v="6"/>
    <s v="FOURNISSEURS"/>
    <s v="AN"/>
    <n v="57"/>
    <d v="2025-01-01T00:00:00"/>
    <s v="Report à nouveau Exercice 2025"/>
    <m/>
    <e v="#N/A"/>
    <e v="#N/A"/>
    <n v="84634"/>
    <m/>
    <m/>
    <s v="Q1"/>
    <e v="#REF!"/>
    <e v="#REF!"/>
    <e v="#REF!"/>
  </r>
  <r>
    <s v="401000"/>
    <x v="6"/>
    <s v="FOURNISSEURS"/>
    <s v="AN"/>
    <n v="95.16"/>
    <d v="2025-01-01T00:00:00"/>
    <s v="Report à nouveau Exercice 2025"/>
    <m/>
    <e v="#N/A"/>
    <e v="#N/A"/>
    <n v="84619"/>
    <m/>
    <m/>
    <s v="Q1"/>
    <e v="#REF!"/>
    <e v="#REF!"/>
    <e v="#REF!"/>
  </r>
  <r>
    <s v="401000"/>
    <x v="6"/>
    <s v="FOURNISSEURS"/>
    <s v="AN"/>
    <n v="141.66"/>
    <d v="2025-01-01T00:00:00"/>
    <s v="Report à nouveau Exercice 2025"/>
    <m/>
    <e v="#N/A"/>
    <e v="#N/A"/>
    <n v="84725"/>
    <m/>
    <m/>
    <s v="Q1"/>
    <e v="#REF!"/>
    <e v="#REF!"/>
    <e v="#REF!"/>
  </r>
  <r>
    <s v="401000"/>
    <x v="6"/>
    <s v="FOURNISSEURS"/>
    <s v="AN"/>
    <n v="179.93"/>
    <d v="2025-01-01T00:00:00"/>
    <s v="Report à nouveau Exercice 2025"/>
    <m/>
    <e v="#N/A"/>
    <e v="#N/A"/>
    <n v="84746"/>
    <m/>
    <m/>
    <s v="Q1"/>
    <e v="#REF!"/>
    <e v="#REF!"/>
    <e v="#REF!"/>
  </r>
  <r>
    <s v="401000"/>
    <x v="6"/>
    <s v="FOURNISSEURS"/>
    <s v="AN"/>
    <n v="249.2"/>
    <d v="2025-01-01T00:00:00"/>
    <s v="Report à nouveau Exercice 2025"/>
    <m/>
    <e v="#N/A"/>
    <e v="#N/A"/>
    <n v="84637"/>
    <m/>
    <m/>
    <s v="Q1"/>
    <e v="#REF!"/>
    <e v="#REF!"/>
    <e v="#REF!"/>
  </r>
  <r>
    <s v="401000"/>
    <x v="6"/>
    <s v="FOURNISSEURS"/>
    <s v="AN"/>
    <n v="614.4"/>
    <d v="2025-01-01T00:00:00"/>
    <s v="Report à nouveau Exercice 2025"/>
    <m/>
    <e v="#N/A"/>
    <e v="#N/A"/>
    <n v="84617"/>
    <m/>
    <m/>
    <s v="Q1"/>
    <e v="#REF!"/>
    <e v="#REF!"/>
    <e v="#REF!"/>
  </r>
  <r>
    <s v="401000"/>
    <x v="6"/>
    <s v="FOURNISSEURS"/>
    <s v="AN"/>
    <n v="653.74"/>
    <d v="2025-01-01T00:00:00"/>
    <s v="Report à nouveau Exercice 2025"/>
    <m/>
    <e v="#N/A"/>
    <e v="#N/A"/>
    <n v="84717"/>
    <m/>
    <m/>
    <s v="Q1"/>
    <e v="#REF!"/>
    <e v="#REF!"/>
    <e v="#REF!"/>
  </r>
  <r>
    <s v="401000"/>
    <x v="6"/>
    <s v="FOURNISSEURS"/>
    <s v="AN"/>
    <n v="831.6"/>
    <d v="2025-01-01T00:00:00"/>
    <s v="Report à nouveau Exercice 2025"/>
    <m/>
    <e v="#N/A"/>
    <e v="#N/A"/>
    <n v="84742"/>
    <m/>
    <m/>
    <s v="Q1"/>
    <e v="#REF!"/>
    <e v="#REF!"/>
    <e v="#REF!"/>
  </r>
  <r>
    <s v="401000"/>
    <x v="6"/>
    <s v="FOURNISSEURS"/>
    <s v="AN"/>
    <n v="854.4"/>
    <d v="2025-01-01T00:00:00"/>
    <s v="Report à nouveau Exercice 2025"/>
    <m/>
    <e v="#N/A"/>
    <e v="#N/A"/>
    <n v="84668"/>
    <m/>
    <m/>
    <s v="Q1"/>
    <e v="#REF!"/>
    <e v="#REF!"/>
    <e v="#REF!"/>
  </r>
  <r>
    <s v="401000"/>
    <x v="6"/>
    <s v="FOURNISSEURS"/>
    <s v="AN"/>
    <n v="961.8"/>
    <d v="2025-01-01T00:00:00"/>
    <s v="Report à nouveau Exercice 2025"/>
    <m/>
    <e v="#N/A"/>
    <e v="#N/A"/>
    <n v="84682"/>
    <m/>
    <m/>
    <s v="Q1"/>
    <e v="#REF!"/>
    <e v="#REF!"/>
    <e v="#REF!"/>
  </r>
  <r>
    <s v="401000"/>
    <x v="6"/>
    <s v="FOURNISSEURS"/>
    <s v="AN"/>
    <n v="1827.78"/>
    <d v="2025-01-01T00:00:00"/>
    <s v="Report à nouveau Exercice 2025"/>
    <m/>
    <e v="#N/A"/>
    <e v="#N/A"/>
    <n v="84659"/>
    <m/>
    <m/>
    <s v="Q1"/>
    <e v="#REF!"/>
    <e v="#REF!"/>
    <e v="#REF!"/>
  </r>
  <r>
    <s v="401000"/>
    <x v="6"/>
    <s v="FOURNISSEURS"/>
    <s v="AN"/>
    <n v="2034.23"/>
    <d v="2025-01-01T00:00:00"/>
    <s v="Report à nouveau Exercice 2025"/>
    <m/>
    <e v="#N/A"/>
    <e v="#N/A"/>
    <n v="84612"/>
    <m/>
    <m/>
    <s v="Q1"/>
    <e v="#REF!"/>
    <e v="#REF!"/>
    <e v="#REF!"/>
  </r>
  <r>
    <s v="401000"/>
    <x v="6"/>
    <s v="FOURNISSEURS"/>
    <s v="AN"/>
    <n v="30890.7"/>
    <d v="2025-01-01T00:00:00"/>
    <s v="Report à nouveau Exercice 2025"/>
    <m/>
    <e v="#N/A"/>
    <e v="#N/A"/>
    <n v="84652"/>
    <m/>
    <m/>
    <s v="Q1"/>
    <e v="#REF!"/>
    <e v="#REF!"/>
    <e v="#REF!"/>
  </r>
  <r>
    <s v="401000"/>
    <x v="6"/>
    <s v="FOURNISSEURS"/>
    <s v="BPRI"/>
    <n v="-31734"/>
    <d v="2025-09-11T00:00:00"/>
    <s v="EVI KAPP REMBT TROP PERCU"/>
    <s v="Non"/>
    <e v="#N/A"/>
    <e v="#N/A"/>
    <n v="81965"/>
    <m/>
    <s v="KAPP"/>
    <s v="Q3"/>
    <e v="#REF!"/>
    <e v="#REF!"/>
    <e v="#REF!"/>
  </r>
  <r>
    <s v="401000"/>
    <x v="6"/>
    <s v="FOURNISSEURS"/>
    <s v="BPRI"/>
    <n v="-15000"/>
    <d v="2025-01-20T00:00:00"/>
    <s v="VIR INST E.U.R.L. IN'MANAGEMENT"/>
    <s v="Non"/>
    <s v="Non"/>
    <e v="#N/A"/>
    <n v="21040"/>
    <s v="WCSK4GK"/>
    <s v="INSIDE MANAGEMENT"/>
    <s v="Q1"/>
    <e v="#REF!"/>
    <e v="#REF!"/>
    <e v="#REF!"/>
  </r>
  <r>
    <s v="401000"/>
    <x v="6"/>
    <s v="FOURNISSEURS"/>
    <s v="BPRI"/>
    <n v="-15000"/>
    <d v="2025-01-21T00:00:00"/>
    <s v="VIR INST E.U.R.L. IN'MANAGEMENT"/>
    <s v="Non"/>
    <s v="Non"/>
    <e v="#N/A"/>
    <n v="21042"/>
    <s v="WCSXGN1"/>
    <s v="INSIDE MANAGEMENT"/>
    <s v="Q1"/>
    <e v="#REF!"/>
    <e v="#REF!"/>
    <e v="#REF!"/>
  </r>
  <r>
    <s v="401000"/>
    <x v="6"/>
    <s v="FOURNISSEURS"/>
    <s v="BPRI"/>
    <n v="-3940.98"/>
    <d v="2025-04-04T00:00:00"/>
    <s v="Intérêts créditeurs"/>
    <m/>
    <e v="#N/A"/>
    <e v="#N/A"/>
    <n v="66592"/>
    <m/>
    <s v="Banque Populaire Rive de Paris"/>
    <s v="Q2"/>
    <e v="#REF!"/>
    <e v="#REF!"/>
    <e v="#REF!"/>
  </r>
  <r>
    <s v="401000"/>
    <x v="6"/>
    <s v="FOURNISSEURS"/>
    <s v="BPRI"/>
    <n v="-3412.99"/>
    <d v="2025-01-07T00:00:00"/>
    <s v="INTERETS CREDIT"/>
    <m/>
    <e v="#N/A"/>
    <e v="#N/A"/>
    <n v="20928"/>
    <s v="R250106"/>
    <s v="Banque Populaire Rive de Paris"/>
    <s v="Q1"/>
    <e v="#REF!"/>
    <e v="#REF!"/>
    <e v="#REF!"/>
  </r>
  <r>
    <s v="401000"/>
    <x v="6"/>
    <s v="FOURNISSEURS"/>
    <s v="BPRI"/>
    <n v="-2500"/>
    <d v="2025-05-08T00:00:00"/>
    <s v="Règlement BPI"/>
    <m/>
    <e v="#N/A"/>
    <e v="#N/A"/>
    <n v="71730"/>
    <m/>
    <s v="BPI FRANCE"/>
    <s v="Q2"/>
    <e v="#REF!"/>
    <e v="#REF!"/>
    <e v="#REF!"/>
  </r>
  <r>
    <s v="401000"/>
    <x v="6"/>
    <s v="FOURNISSEURS"/>
    <s v="BPRI"/>
    <n v="-2340"/>
    <d v="2025-05-21T00:00:00"/>
    <s v="Remboursement doublon de règlement"/>
    <m/>
    <e v="#N/A"/>
    <e v="#N/A"/>
    <n v="73911"/>
    <m/>
    <s v="CIAMT"/>
    <s v="Q2"/>
    <e v="#REF!"/>
    <e v="#REF!"/>
    <e v="#REF!"/>
  </r>
  <r>
    <s v="401000"/>
    <x v="6"/>
    <s v="FOURNISSEURS"/>
    <s v="BPRI"/>
    <n v="-2288.63"/>
    <d v="2025-05-02T00:00:00"/>
    <s v="Remboursement fournisseur"/>
    <m/>
    <e v="#N/A"/>
    <e v="#N/A"/>
    <n v="70660"/>
    <m/>
    <s v="Eurofins BLC Leather Technology Centre Limited"/>
    <s v="Q2"/>
    <e v="#REF!"/>
    <e v="#REF!"/>
    <e v="#REF!"/>
  </r>
  <r>
    <s v="401000"/>
    <x v="6"/>
    <s v="FOURNISSEURS"/>
    <s v="BPRI"/>
    <n v="-1946.6"/>
    <d v="2025-09-11T00:00:00"/>
    <s v="EVI INITIATIVE ET RISK P REMBT DOUBLON ASSURANCE MRP AXA FRANCE IARD SA 21656350604"/>
    <m/>
    <e v="#N/A"/>
    <e v="#N/A"/>
    <n v="81972"/>
    <m/>
    <s v="INITIATIVE &amp; RISK PARTNERS"/>
    <s v="Q3"/>
    <e v="#REF!"/>
    <e v="#REF!"/>
    <e v="#REF!"/>
  </r>
  <r>
    <s v="401000"/>
    <x v="6"/>
    <s v="FOURNISSEURS"/>
    <s v="BPRI"/>
    <n v="42"/>
    <d v="2025-12-17T00:00:00"/>
    <s v="/LIB/161225 CB    3583/LIB/SNCF-VOYAGEURS F/LIB/161225 CB    3583/LIB/SNCF-VOYAGEURS FR PARIS 10/LIB/42,00EUR 1 EURO   1,000000"/>
    <m/>
    <e v="#N/A"/>
    <e v="#N/A"/>
    <n v="92675"/>
    <m/>
    <s v="SNCF"/>
    <s v="Q4"/>
    <e v="#REF!"/>
    <e v="#REF!"/>
    <e v="#REF!"/>
  </r>
  <r>
    <s v="512100"/>
    <x v="6"/>
    <s v="BANQUE POPULAIRE RIVE DE PARIS"/>
    <s v="BPRI"/>
    <n v="-42"/>
    <d v="2025-12-17T00:00:00"/>
    <s v="/LIB/161225 CB    3583/LIB/SNCF-VOYAGEURS F/LIB/161225 CB    3583/LIB/SNCF-VOYAGEURS FR PARIS 10/LIB/42,00EUR 1 EURO   1,000000"/>
    <m/>
    <e v="#N/A"/>
    <e v="#N/A"/>
    <n v="92674"/>
    <m/>
    <s v="SNCF"/>
    <s v="Q4"/>
    <e v="#REF!"/>
    <e v="#REF!"/>
    <e v="#REF!"/>
  </r>
  <r>
    <s v="401000"/>
    <x v="6"/>
    <s v="FOURNISSEURS"/>
    <s v="BPRI"/>
    <n v="-854.4"/>
    <d v="2025-05-30T00:00:00"/>
    <s v="Remboursement"/>
    <m/>
    <e v="#N/A"/>
    <e v="#N/A"/>
    <n v="75006"/>
    <m/>
    <s v="MORTELECQUE"/>
    <s v="Q2"/>
    <e v="#REF!"/>
    <e v="#REF!"/>
    <e v="#REF!"/>
  </r>
  <r>
    <s v="401000"/>
    <x v="6"/>
    <s v="FOURNISSEURS"/>
    <s v="BPRI"/>
    <n v="153"/>
    <d v="2025-11-19T00:00:00"/>
    <s v="/LIB/181125 CB    3583/LIB/MACEO RESTAURANF/LIB/181125 CB    3583/LIB/MACEO RESTAURANFR PARIS 1/LIB/153,00EUR 1 EURO   1,000000"/>
    <m/>
    <s v="Non"/>
    <e v="#N/A"/>
    <n v="90563"/>
    <m/>
    <s v="DIVERS"/>
    <s v="Q4"/>
    <e v="#REF!"/>
    <e v="#REF!"/>
    <e v="#REF!"/>
  </r>
  <r>
    <s v="512100"/>
    <x v="6"/>
    <s v="BANQUE POPULAIRE RIVE DE PARIS"/>
    <s v="BPRI"/>
    <n v="-153"/>
    <d v="2025-11-19T00:00:00"/>
    <s v="/LIB/181125 CB    3583/LIB/MACEO RESTAURANF/LIB/181125 CB    3583/LIB/MACEO RESTAURANFR PARIS 1/LIB/153,00EUR 1 EURO   1,000000"/>
    <m/>
    <s v="Non"/>
    <e v="#N/A"/>
    <n v="90562"/>
    <m/>
    <s v="DIVERS"/>
    <s v="Q4"/>
    <e v="#REF!"/>
    <e v="#REF!"/>
    <e v="#REF!"/>
  </r>
  <r>
    <s v="401000"/>
    <x v="6"/>
    <s v="FOURNISSEURS"/>
    <s v="BPRI"/>
    <n v="-423.5"/>
    <d v="2025-02-19T00:00:00"/>
    <s v="EVI ASSOC.   BIOECONOMY FOR"/>
    <m/>
    <s v="Non"/>
    <s v="Oui"/>
    <n v="21376"/>
    <s v="29S5KE8"/>
    <s v="BIOECONOMY FOR CHANGE"/>
    <s v="Q1"/>
    <e v="#REF!"/>
    <e v="#REF!"/>
    <e v="#REF!"/>
  </r>
  <r>
    <s v="401000"/>
    <x v="6"/>
    <s v="FOURNISSEURS"/>
    <s v="BPRI"/>
    <n v="-423.5"/>
    <d v="2025-05-27T00:00:00"/>
    <s v="Remboursement fournisseur - DOUBLON"/>
    <m/>
    <s v="Non"/>
    <s v="Oui"/>
    <n v="74101"/>
    <m/>
    <s v="BIOECONOMY FOR CHANGE"/>
    <s v="Q2"/>
    <e v="#REF!"/>
    <e v="#REF!"/>
    <e v="#REF!"/>
  </r>
  <r>
    <s v="401000"/>
    <x v="6"/>
    <s v="FOURNISSEURS"/>
    <s v="BPRI"/>
    <n v="7.14"/>
    <d v="2025-11-19T00:00:00"/>
    <s v="/LIB/181125 CB    6880/LIB/LAPOSTE L940430F/LIB/181125 CB    6880/LIB/LAPOSTE L940430FR KREMLIN BICE/LIB/7,14EUR 1 EURO   1,0000"/>
    <m/>
    <e v="#N/A"/>
    <e v="#N/A"/>
    <n v="90557"/>
    <m/>
    <s v="LA POSTE"/>
    <s v="Q4"/>
    <e v="#REF!"/>
    <e v="#REF!"/>
    <e v="#REF!"/>
  </r>
  <r>
    <s v="512100"/>
    <x v="6"/>
    <s v="BANQUE POPULAIRE RIVE DE PARIS"/>
    <s v="BPRI"/>
    <n v="-7.14"/>
    <d v="2025-11-19T00:00:00"/>
    <s v="/LIB/181125 CB    6880/LIB/LAPOSTE L940430F/LIB/181125 CB    6880/LIB/LAPOSTE L940430FR KREMLIN BICE/LIB/7,14EUR 1 EURO   1,0000"/>
    <m/>
    <e v="#N/A"/>
    <e v="#N/A"/>
    <n v="90556"/>
    <m/>
    <s v="LA POSTE"/>
    <s v="Q4"/>
    <e v="#REF!"/>
    <e v="#REF!"/>
    <e v="#REF!"/>
  </r>
  <r>
    <s v="401000"/>
    <x v="6"/>
    <s v="FOURNISSEURS"/>
    <s v="BPRI"/>
    <n v="15"/>
    <d v="2025-11-21T00:00:00"/>
    <s v="/LIB/201125 CB    3583/LIB/SNCF-VOYAGEURS F/LIB/201125 CB    3583/LIB/SNCF-VOYAGEURS FR PARIS 10/LIB/15,00EUR 1 EURO   1,000000"/>
    <m/>
    <e v="#N/A"/>
    <e v="#N/A"/>
    <n v="90592"/>
    <m/>
    <s v="SNCF"/>
    <s v="Q4"/>
    <e v="#REF!"/>
    <e v="#REF!"/>
    <e v="#REF!"/>
  </r>
  <r>
    <s v="512100"/>
    <x v="6"/>
    <s v="BANQUE POPULAIRE RIVE DE PARIS"/>
    <s v="BPRI"/>
    <n v="-15"/>
    <d v="2025-11-21T00:00:00"/>
    <s v="/LIB/201125 CB    3583/LIB/SNCF-VOYAGEURS F/LIB/201125 CB    3583/LIB/SNCF-VOYAGEURS FR PARIS 10/LIB/15,00EUR 1 EURO   1,000000"/>
    <m/>
    <e v="#N/A"/>
    <e v="#N/A"/>
    <n v="90591"/>
    <m/>
    <s v="SNCF"/>
    <s v="Q4"/>
    <e v="#REF!"/>
    <e v="#REF!"/>
    <e v="#REF!"/>
  </r>
  <r>
    <s v="401000"/>
    <x v="6"/>
    <s v="FOURNISSEURS"/>
    <s v="BPRI"/>
    <n v="73"/>
    <d v="2025-11-21T00:00:00"/>
    <s v="/LIB/201125 CB    3583/LIB/SNCF-VOYAGEURS F/LIB/201125 CB    3583/LIB/SNCF-VOYAGEURS FR PARIS 10/LIB/73,00EUR 1 EURO   1,000000"/>
    <m/>
    <e v="#N/A"/>
    <e v="#N/A"/>
    <n v="90595"/>
    <m/>
    <s v="SNCF"/>
    <s v="Q4"/>
    <e v="#REF!"/>
    <e v="#REF!"/>
    <e v="#REF!"/>
  </r>
  <r>
    <s v="401000"/>
    <x v="6"/>
    <s v="FOURNISSEURS"/>
    <s v="BPRI"/>
    <n v="73"/>
    <d v="2025-11-21T00:00:00"/>
    <s v="/LIB/201125 CB    3583/LIB/SNCF-VOYAGEURS F/LIB/201125 CB    3583/LIB/SNCF-VOYAGEURS FR PARIS 10/LIB/73,00EUR 1 EURO   1,000000"/>
    <m/>
    <e v="#N/A"/>
    <e v="#N/A"/>
    <n v="90597"/>
    <m/>
    <s v="SNCF"/>
    <s v="Q4"/>
    <e v="#REF!"/>
    <e v="#REF!"/>
    <e v="#REF!"/>
  </r>
  <r>
    <s v="512100"/>
    <x v="6"/>
    <s v="BANQUE POPULAIRE RIVE DE PARIS"/>
    <s v="BPRI"/>
    <n v="-73"/>
    <d v="2025-11-21T00:00:00"/>
    <s v="/LIB/201125 CB    3583/LIB/SNCF-VOYAGEURS F/LIB/201125 CB    3583/LIB/SNCF-VOYAGEURS FR PARIS 10/LIB/73,00EUR 1 EURO   1,000000"/>
    <m/>
    <e v="#N/A"/>
    <e v="#N/A"/>
    <n v="90594"/>
    <m/>
    <s v="SNCF"/>
    <s v="Q4"/>
    <e v="#REF!"/>
    <e v="#REF!"/>
    <e v="#REF!"/>
  </r>
  <r>
    <s v="512100"/>
    <x v="6"/>
    <s v="BANQUE POPULAIRE RIVE DE PARIS"/>
    <s v="BPRI"/>
    <n v="-73"/>
    <d v="2025-11-21T00:00:00"/>
    <s v="/LIB/201125 CB    3583/LIB/SNCF-VOYAGEURS F/LIB/201125 CB    3583/LIB/SNCF-VOYAGEURS FR PARIS 10/LIB/73,00EUR 1 EURO   1,000000"/>
    <m/>
    <e v="#N/A"/>
    <e v="#N/A"/>
    <n v="90598"/>
    <m/>
    <s v="SNCF"/>
    <s v="Q4"/>
    <e v="#REF!"/>
    <e v="#REF!"/>
    <e v="#REF!"/>
  </r>
  <r>
    <s v="401000"/>
    <x v="6"/>
    <s v="FOURNISSEURS"/>
    <s v="BPRI"/>
    <n v="-70"/>
    <d v="2025-04-30T00:00:00"/>
    <s v="Règlement CB JERBLA"/>
    <m/>
    <e v="#N/A"/>
    <e v="#N/A"/>
    <n v="70633"/>
    <m/>
    <s v="SNCF"/>
    <s v="Q2"/>
    <e v="#REF!"/>
    <e v="#REF!"/>
    <e v="#REF!"/>
  </r>
  <r>
    <s v="401000"/>
    <x v="6"/>
    <s v="FOURNISSEURS"/>
    <s v="BPRI"/>
    <n v="43"/>
    <d v="2025-09-25T00:00:00"/>
    <s v="/LIB/240925 CB    3583/LIB/SNCF-VOYAGEURS F"/>
    <m/>
    <e v="#N/A"/>
    <e v="#N/A"/>
    <n v="82578"/>
    <m/>
    <s v="SNCF"/>
    <s v="Q3"/>
    <e v="#REF!"/>
    <e v="#REF!"/>
    <e v="#REF!"/>
  </r>
  <r>
    <s v="401000"/>
    <x v="6"/>
    <s v="FOURNISSEURS"/>
    <s v="BPRI"/>
    <n v="46"/>
    <d v="2025-09-25T00:00:00"/>
    <s v="/LIB/240925 CB    3583/LIB/SNCF-VOYAGEURS F"/>
    <m/>
    <e v="#N/A"/>
    <e v="#N/A"/>
    <n v="82581"/>
    <m/>
    <s v="SNCF"/>
    <s v="Q3"/>
    <e v="#REF!"/>
    <e v="#REF!"/>
    <e v="#REF!"/>
  </r>
  <r>
    <s v="401000"/>
    <x v="6"/>
    <s v="FOURNISSEURS"/>
    <s v="BPRI"/>
    <n v="55"/>
    <d v="2025-09-25T00:00:00"/>
    <s v="/LIB/240925 CB    3583/LIB/SNCF-VOYAGEURS F"/>
    <m/>
    <e v="#N/A"/>
    <e v="#N/A"/>
    <n v="82584"/>
    <m/>
    <s v="SNCF"/>
    <s v="Q3"/>
    <e v="#REF!"/>
    <e v="#REF!"/>
    <e v="#REF!"/>
  </r>
  <r>
    <s v="401000"/>
    <x v="6"/>
    <s v="FOURNISSEURS"/>
    <s v="BPRI"/>
    <n v="59"/>
    <d v="2025-09-25T00:00:00"/>
    <s v="/LIB/240925 CB    3583/LIB/SNCF-VOYAGEURS F"/>
    <m/>
    <e v="#N/A"/>
    <e v="#N/A"/>
    <n v="82587"/>
    <m/>
    <s v="SNCF"/>
    <s v="Q3"/>
    <e v="#REF!"/>
    <e v="#REF!"/>
    <e v="#REF!"/>
  </r>
  <r>
    <s v="401000"/>
    <x v="6"/>
    <s v="FOURNISSEURS"/>
    <s v="BPRI"/>
    <n v="67"/>
    <d v="2025-09-25T00:00:00"/>
    <s v="/LIB/240925 CB    3583/LIB/SNCF-VOYAGEURS F"/>
    <m/>
    <e v="#N/A"/>
    <e v="#N/A"/>
    <n v="82590"/>
    <m/>
    <s v="SNCF"/>
    <s v="Q3"/>
    <e v="#REF!"/>
    <e v="#REF!"/>
    <e v="#REF!"/>
  </r>
  <r>
    <s v="401000"/>
    <x v="6"/>
    <s v="FOURNISSEURS"/>
    <s v="BPRI"/>
    <n v="73"/>
    <d v="2025-09-25T00:00:00"/>
    <s v="/LIB/240925 CB    3583/LIB/SNCF-VOYAGEURS F"/>
    <m/>
    <e v="#N/A"/>
    <e v="#N/A"/>
    <n v="82593"/>
    <m/>
    <s v="SNCF"/>
    <s v="Q3"/>
    <e v="#REF!"/>
    <e v="#REF!"/>
    <e v="#REF!"/>
  </r>
  <r>
    <s v="401000"/>
    <x v="6"/>
    <s v="FOURNISSEURS"/>
    <s v="BPRI"/>
    <n v="73"/>
    <d v="2025-09-25T00:00:00"/>
    <s v="/LIB/240925 CB    3583/LIB/SNCF-VOYAGEURS F"/>
    <m/>
    <e v="#N/A"/>
    <e v="#N/A"/>
    <n v="82596"/>
    <m/>
    <s v="SNCF"/>
    <s v="Q3"/>
    <e v="#REF!"/>
    <e v="#REF!"/>
    <e v="#REF!"/>
  </r>
  <r>
    <s v="401000"/>
    <x v="6"/>
    <s v="FOURNISSEURS"/>
    <s v="BPRI"/>
    <n v="73"/>
    <d v="2025-09-25T00:00:00"/>
    <s v="/LIB/240925 CB    3583/LIB/SNCF-VOYAGEURS F"/>
    <m/>
    <e v="#N/A"/>
    <e v="#N/A"/>
    <n v="82599"/>
    <m/>
    <s v="SNCF"/>
    <s v="Q3"/>
    <e v="#REF!"/>
    <e v="#REF!"/>
    <e v="#REF!"/>
  </r>
  <r>
    <s v="512100"/>
    <x v="6"/>
    <s v="BANQUE POPULAIRE RIVE DE PARIS"/>
    <s v="BPRI"/>
    <n v="-73"/>
    <d v="2025-09-25T00:00:00"/>
    <s v="/LIB/240925 CB    3583/LIB/SNCF-VOYAGEURS F"/>
    <m/>
    <e v="#N/A"/>
    <e v="#N/A"/>
    <n v="82592"/>
    <m/>
    <s v="SNCF"/>
    <s v="Q3"/>
    <e v="#REF!"/>
    <e v="#REF!"/>
    <e v="#REF!"/>
  </r>
  <r>
    <s v="512100"/>
    <x v="6"/>
    <s v="BANQUE POPULAIRE RIVE DE PARIS"/>
    <s v="BPRI"/>
    <n v="-73"/>
    <d v="2025-09-25T00:00:00"/>
    <s v="/LIB/240925 CB    3583/LIB/SNCF-VOYAGEURS F"/>
    <m/>
    <e v="#N/A"/>
    <e v="#N/A"/>
    <n v="82595"/>
    <m/>
    <s v="SNCF"/>
    <s v="Q3"/>
    <e v="#REF!"/>
    <e v="#REF!"/>
    <e v="#REF!"/>
  </r>
  <r>
    <s v="401000"/>
    <x v="6"/>
    <s v="FOURNISSEURS"/>
    <s v="BPRI"/>
    <n v="1.74"/>
    <d v="2025-01-29T00:00:00"/>
    <s v="PRLV SEPA ENGIE"/>
    <m/>
    <e v="#N/A"/>
    <e v="#N/A"/>
    <n v="21103"/>
    <s v="076156F"/>
    <s v="ENGIE"/>
    <s v="Q1"/>
    <e v="#REF!"/>
    <e v="#REF!"/>
    <e v="#REF!"/>
  </r>
  <r>
    <s v="401000"/>
    <x v="6"/>
    <s v="FOURNISSEURS"/>
    <s v="BPRI"/>
    <n v="1.74"/>
    <d v="2025-01-29T00:00:00"/>
    <s v="PRLV SEPA ENGIE"/>
    <m/>
    <e v="#N/A"/>
    <e v="#N/A"/>
    <n v="21105"/>
    <s v="07615CC"/>
    <s v="ENGIE"/>
    <s v="Q1"/>
    <e v="#REF!"/>
    <e v="#REF!"/>
    <e v="#REF!"/>
  </r>
  <r>
    <s v="512100"/>
    <x v="6"/>
    <s v="BANQUE POPULAIRE RIVE DE PARIS"/>
    <s v="BPRI"/>
    <n v="-73"/>
    <d v="2025-09-25T00:00:00"/>
    <s v="/LIB/240925 CB    3583/LIB/SNCF-VOYAGEURS F"/>
    <m/>
    <e v="#N/A"/>
    <e v="#N/A"/>
    <n v="82598"/>
    <m/>
    <s v="SNCF"/>
    <s v="Q3"/>
    <e v="#REF!"/>
    <e v="#REF!"/>
    <e v="#REF!"/>
  </r>
  <r>
    <s v="401000"/>
    <x v="6"/>
    <s v="FOURNISSEURS"/>
    <s v="BPRI"/>
    <n v="6"/>
    <d v="2025-03-04T00:00:00"/>
    <s v="Règlement CB - SNCF"/>
    <m/>
    <e v="#N/A"/>
    <e v="#N/A"/>
    <n v="59010"/>
    <m/>
    <s v="SNCF"/>
    <s v="Q1"/>
    <e v="#REF!"/>
    <e v="#REF!"/>
    <e v="#REF!"/>
  </r>
  <r>
    <s v="401000"/>
    <x v="6"/>
    <s v="FOURNISSEURS"/>
    <s v="BPRI"/>
    <n v="7.14"/>
    <d v="2025-03-18T00:00:00"/>
    <s v="Règlement CB - LOIMAR"/>
    <m/>
    <e v="#N/A"/>
    <e v="#N/A"/>
    <n v="61893"/>
    <m/>
    <s v="LA POSTE"/>
    <s v="Q1"/>
    <e v="#REF!"/>
    <e v="#REF!"/>
    <e v="#REF!"/>
  </r>
  <r>
    <s v="512100"/>
    <x v="6"/>
    <s v="BANQUE POPULAIRE RIVE DE PARIS"/>
    <s v="BPRI"/>
    <n v="-67"/>
    <d v="2025-09-25T00:00:00"/>
    <s v="/LIB/240925 CB    3583/LIB/SNCF-VOYAGEURS F"/>
    <m/>
    <e v="#N/A"/>
    <e v="#N/A"/>
    <n v="82589"/>
    <m/>
    <s v="SNCF"/>
    <s v="Q3"/>
    <e v="#REF!"/>
    <e v="#REF!"/>
    <e v="#REF!"/>
  </r>
  <r>
    <s v="512100"/>
    <x v="6"/>
    <s v="BANQUE POPULAIRE RIVE DE PARIS"/>
    <s v="BPRI"/>
    <n v="-59"/>
    <d v="2025-09-25T00:00:00"/>
    <s v="/LIB/240925 CB    3583/LIB/SNCF-VOYAGEURS F"/>
    <m/>
    <e v="#N/A"/>
    <e v="#N/A"/>
    <n v="82586"/>
    <m/>
    <s v="SNCF"/>
    <s v="Q3"/>
    <e v="#REF!"/>
    <e v="#REF!"/>
    <e v="#REF!"/>
  </r>
  <r>
    <s v="401000"/>
    <x v="6"/>
    <s v="FOURNISSEURS"/>
    <s v="BPRI"/>
    <n v="7.75"/>
    <d v="2025-04-08T00:00:00"/>
    <s v="Invoice Payment By Pili"/>
    <m/>
    <e v="#N/A"/>
    <e v="#N/A"/>
    <n v="66695"/>
    <m/>
    <m/>
    <s v="Q2"/>
    <e v="#REF!"/>
    <e v="#REF!"/>
    <e v="#REF!"/>
  </r>
  <r>
    <s v="401000"/>
    <x v="6"/>
    <s v="FOURNISSEURS"/>
    <s v="BPRI"/>
    <n v="7.96"/>
    <d v="2025-04-09T00:00:00"/>
    <s v="La poste - CB LOIMAS"/>
    <m/>
    <e v="#N/A"/>
    <e v="#N/A"/>
    <n v="66719"/>
    <m/>
    <s v="LA POSTE"/>
    <s v="Q2"/>
    <e v="#REF!"/>
    <e v="#REF!"/>
    <e v="#REF!"/>
  </r>
  <r>
    <s v="512100"/>
    <x v="6"/>
    <s v="BANQUE POPULAIRE RIVE DE PARIS"/>
    <s v="BPRI"/>
    <n v="-55"/>
    <d v="2025-09-25T00:00:00"/>
    <s v="/LIB/240925 CB    3583/LIB/SNCF-VOYAGEURS F"/>
    <m/>
    <e v="#N/A"/>
    <e v="#N/A"/>
    <n v="82583"/>
    <m/>
    <s v="SNCF"/>
    <s v="Q3"/>
    <e v="#REF!"/>
    <e v="#REF!"/>
    <e v="#REF!"/>
  </r>
  <r>
    <s v="512100"/>
    <x v="6"/>
    <s v="BANQUE POPULAIRE RIVE DE PARIS"/>
    <s v="BPRI"/>
    <n v="-46"/>
    <d v="2025-09-25T00:00:00"/>
    <s v="/LIB/240925 CB    3583/LIB/SNCF-VOYAGEURS F"/>
    <m/>
    <e v="#N/A"/>
    <e v="#N/A"/>
    <n v="82580"/>
    <m/>
    <s v="SNCF"/>
    <s v="Q3"/>
    <e v="#REF!"/>
    <e v="#REF!"/>
    <e v="#REF!"/>
  </r>
  <r>
    <s v="401000"/>
    <x v="6"/>
    <s v="FOURNISSEURS"/>
    <s v="BPRI"/>
    <n v="9.23"/>
    <d v="2025-04-25T00:00:00"/>
    <s v="Invoice Payment by Pili"/>
    <m/>
    <e v="#N/A"/>
    <e v="#N/A"/>
    <n v="70190"/>
    <m/>
    <m/>
    <s v="Q2"/>
    <e v="#REF!"/>
    <e v="#REF!"/>
    <e v="#REF!"/>
  </r>
  <r>
    <s v="401000"/>
    <x v="6"/>
    <s v="FOURNISSEURS"/>
    <s v="BPRI"/>
    <n v="9.5"/>
    <d v="2025-03-06T00:00:00"/>
    <s v="Règlement CB - SNCF"/>
    <m/>
    <e v="#N/A"/>
    <e v="#N/A"/>
    <n v="59007"/>
    <m/>
    <s v="SNCF"/>
    <s v="Q1"/>
    <e v="#REF!"/>
    <e v="#REF!"/>
    <e v="#REF!"/>
  </r>
  <r>
    <s v="401000"/>
    <x v="6"/>
    <s v="FOURNISSEURS"/>
    <s v="BPRI"/>
    <n v="12"/>
    <d v="2025-01-14T00:00:00"/>
    <s v="PRLV SEPA BPIFRANCE FINANCEMENT"/>
    <m/>
    <e v="#N/A"/>
    <e v="#N/A"/>
    <n v="20978"/>
    <s v="072MID5"/>
    <s v="BPI FRANCE"/>
    <s v="Q1"/>
    <e v="#REF!"/>
    <e v="#REF!"/>
    <e v="#REF!"/>
  </r>
  <r>
    <s v="401000"/>
    <x v="6"/>
    <s v="FOURNISSEURS"/>
    <s v="BPRI"/>
    <n v="12"/>
    <d v="2025-02-14T00:00:00"/>
    <s v="PRLV SEPA BPIFRANCE FINANCEMENT"/>
    <m/>
    <e v="#N/A"/>
    <e v="#N/A"/>
    <n v="21298"/>
    <s v="07CPIQ9"/>
    <s v="BPI FRANCE"/>
    <s v="Q1"/>
    <e v="#REF!"/>
    <e v="#REF!"/>
    <e v="#REF!"/>
  </r>
  <r>
    <s v="401000"/>
    <x v="6"/>
    <s v="FOURNISSEURS"/>
    <s v="BPRI"/>
    <n v="12"/>
    <d v="2025-03-28T00:00:00"/>
    <s v="Prélèvement BPI"/>
    <m/>
    <e v="#N/A"/>
    <e v="#N/A"/>
    <n v="64539"/>
    <m/>
    <s v="BPI FRANCE"/>
    <s v="Q1"/>
    <e v="#REF!"/>
    <e v="#REF!"/>
    <e v="#REF!"/>
  </r>
  <r>
    <s v="401000"/>
    <x v="6"/>
    <s v="FOURNISSEURS"/>
    <s v="BPRI"/>
    <n v="12"/>
    <d v="2025-04-14T00:00:00"/>
    <s v="Prélèvement fournisseur"/>
    <m/>
    <e v="#N/A"/>
    <e v="#N/A"/>
    <n v="67606"/>
    <m/>
    <s v="BPI FRANCE"/>
    <s v="Q2"/>
    <e v="#REF!"/>
    <e v="#REF!"/>
    <e v="#REF!"/>
  </r>
  <r>
    <s v="401000"/>
    <x v="6"/>
    <s v="FOURNISSEURS"/>
    <s v="BPRI"/>
    <n v="12"/>
    <d v="2025-05-14T00:00:00"/>
    <s v="Prélèvement BPI"/>
    <m/>
    <e v="#N/A"/>
    <e v="#N/A"/>
    <n v="72355"/>
    <m/>
    <s v="BPI FRANCE"/>
    <s v="Q2"/>
    <e v="#REF!"/>
    <e v="#REF!"/>
    <e v="#REF!"/>
  </r>
  <r>
    <s v="401000"/>
    <x v="6"/>
    <s v="FOURNISSEURS"/>
    <s v="BPRI"/>
    <n v="12"/>
    <d v="2025-06-13T00:00:00"/>
    <s v="PRLV SEPA BPIFRANCE FINANCEMENT"/>
    <m/>
    <e v="#N/A"/>
    <e v="#N/A"/>
    <n v="76001"/>
    <m/>
    <s v="BPI FRANCE"/>
    <s v="Q2"/>
    <e v="#REF!"/>
    <e v="#REF!"/>
    <e v="#REF!"/>
  </r>
  <r>
    <s v="512100"/>
    <x v="6"/>
    <s v="BANQUE POPULAIRE RIVE DE PARIS"/>
    <s v="BPRI"/>
    <n v="-43"/>
    <d v="2025-09-25T00:00:00"/>
    <s v="/LIB/240925 CB    3583/LIB/SNCF-VOYAGEURS F"/>
    <m/>
    <e v="#N/A"/>
    <e v="#N/A"/>
    <n v="82577"/>
    <m/>
    <s v="SNCF"/>
    <s v="Q3"/>
    <e v="#REF!"/>
    <e v="#REF!"/>
    <e v="#REF!"/>
  </r>
  <r>
    <s v="401000"/>
    <x v="6"/>
    <s v="FOURNISSEURS"/>
    <s v="BPRI"/>
    <n v="12"/>
    <d v="2025-09-11T00:00:00"/>
    <s v="PRLV SEPA BPIFRANCE FINANCEMENT"/>
    <m/>
    <e v="#N/A"/>
    <e v="#N/A"/>
    <n v="82097"/>
    <m/>
    <s v="BPI FRANCE"/>
    <s v="Q3"/>
    <e v="#REF!"/>
    <e v="#REF!"/>
    <e v="#REF!"/>
  </r>
  <r>
    <s v="401000"/>
    <x v="6"/>
    <s v="FOURNISSEURS"/>
    <s v="BPRI"/>
    <n v="30"/>
    <d v="2025-09-26T00:00:00"/>
    <s v="/LIB/250925 CB    3583/LIB/SNCF-VOYAGEURS F"/>
    <m/>
    <e v="#N/A"/>
    <e v="#N/A"/>
    <n v="82615"/>
    <m/>
    <s v="SNCF"/>
    <s v="Q3"/>
    <e v="#REF!"/>
    <e v="#REF!"/>
    <e v="#REF!"/>
  </r>
  <r>
    <s v="401000"/>
    <x v="6"/>
    <s v="FOURNISSEURS"/>
    <s v="BPRI"/>
    <n v="34"/>
    <d v="2025-09-26T00:00:00"/>
    <s v="/LIB/250925 CB    3583/LIB/SNCF-VOYAGEURS F"/>
    <m/>
    <e v="#N/A"/>
    <e v="#N/A"/>
    <n v="82618"/>
    <m/>
    <s v="SNCF"/>
    <s v="Q3"/>
    <e v="#REF!"/>
    <e v="#REF!"/>
    <e v="#REF!"/>
  </r>
  <r>
    <s v="401000"/>
    <x v="6"/>
    <s v="FOURNISSEURS"/>
    <s v="BPRI"/>
    <n v="43"/>
    <d v="2025-09-26T00:00:00"/>
    <s v="/LIB/250925 CB    3583/LIB/SNCF-VOYAGEURS F"/>
    <m/>
    <e v="#N/A"/>
    <e v="#N/A"/>
    <n v="82621"/>
    <m/>
    <s v="SNCF"/>
    <s v="Q3"/>
    <e v="#REF!"/>
    <e v="#REF!"/>
    <e v="#REF!"/>
  </r>
  <r>
    <s v="401000"/>
    <x v="6"/>
    <s v="FOURNISSEURS"/>
    <s v="BPRI"/>
    <n v="13.15"/>
    <d v="2025-01-17T00:00:00"/>
    <s v="FRAIS VIR ETRANGER EMIS"/>
    <m/>
    <e v="#N/A"/>
    <e v="#N/A"/>
    <n v="21014"/>
    <s v="7525"/>
    <s v="Banque Populaire Rive de Paris"/>
    <s v="Q1"/>
    <e v="#REF!"/>
    <e v="#REF!"/>
    <e v="#REF!"/>
  </r>
  <r>
    <s v="401000"/>
    <x v="6"/>
    <s v="FOURNISSEURS"/>
    <s v="BPRI"/>
    <n v="13.15"/>
    <d v="2025-03-04T00:00:00"/>
    <s v="Frais bancaires"/>
    <m/>
    <e v="#N/A"/>
    <e v="#N/A"/>
    <n v="58973"/>
    <m/>
    <s v="Banque Populaire Rive de Paris"/>
    <s v="Q1"/>
    <e v="#REF!"/>
    <e v="#REF!"/>
    <e v="#REF!"/>
  </r>
  <r>
    <s v="401000"/>
    <x v="6"/>
    <s v="FOURNISSEURS"/>
    <s v="BPRI"/>
    <n v="13.15"/>
    <d v="2025-03-08T00:00:00"/>
    <s v="Frais Bancaires"/>
    <m/>
    <e v="#N/A"/>
    <e v="#N/A"/>
    <n v="60086"/>
    <m/>
    <s v="Banque Populaire Rive de Paris"/>
    <s v="Q1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24"/>
    <m/>
    <s v="SNCF"/>
    <s v="Q3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27"/>
    <m/>
    <s v="SNCF"/>
    <s v="Q3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30"/>
    <m/>
    <s v="SNCF"/>
    <s v="Q3"/>
    <e v="#REF!"/>
    <e v="#REF!"/>
    <e v="#REF!"/>
  </r>
  <r>
    <s v="401000"/>
    <x v="6"/>
    <s v="FOURNISSEURS"/>
    <s v="BPRI"/>
    <n v="15.4"/>
    <d v="2025-01-17T00:00:00"/>
    <s v="COMMISSION DE CHANGE"/>
    <m/>
    <e v="#N/A"/>
    <e v="#N/A"/>
    <n v="21016"/>
    <s v="7526"/>
    <s v="Banque Populaire Rive de Paris"/>
    <s v="Q1"/>
    <e v="#REF!"/>
    <e v="#REF!"/>
    <e v="#REF!"/>
  </r>
  <r>
    <s v="401000"/>
    <x v="6"/>
    <s v="FOURNISSEURS"/>
    <s v="BPRI"/>
    <n v="15.4"/>
    <d v="2025-03-04T00:00:00"/>
    <s v="Frais bancaires"/>
    <m/>
    <e v="#N/A"/>
    <e v="#N/A"/>
    <n v="58976"/>
    <m/>
    <s v="Banque Populaire Rive de Paris"/>
    <s v="Q1"/>
    <e v="#REF!"/>
    <e v="#REF!"/>
    <e v="#REF!"/>
  </r>
  <r>
    <s v="401000"/>
    <x v="6"/>
    <s v="FOURNISSEURS"/>
    <s v="BPRI"/>
    <n v="15.4"/>
    <d v="2025-03-08T00:00:00"/>
    <s v="Frais Bancaires"/>
    <m/>
    <e v="#N/A"/>
    <e v="#N/A"/>
    <n v="60089"/>
    <m/>
    <s v="Banque Populaire Rive de Paris"/>
    <s v="Q1"/>
    <e v="#REF!"/>
    <e v="#REF!"/>
    <e v="#REF!"/>
  </r>
  <r>
    <s v="401000"/>
    <x v="6"/>
    <s v="FOURNISSEURS"/>
    <s v="BPRI"/>
    <n v="15.4"/>
    <d v="2025-05-08T00:00:00"/>
    <s v="Prélèvement Frais bancaires"/>
    <m/>
    <e v="#N/A"/>
    <e v="#N/A"/>
    <n v="71727"/>
    <m/>
    <s v="Banque Populaire Rive de Paris"/>
    <s v="Q2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33"/>
    <m/>
    <s v="SNCF"/>
    <s v="Q3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36"/>
    <m/>
    <s v="SNCF"/>
    <s v="Q3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39"/>
    <m/>
    <s v="SNCF"/>
    <s v="Q3"/>
    <e v="#REF!"/>
    <e v="#REF!"/>
    <e v="#REF!"/>
  </r>
  <r>
    <s v="401000"/>
    <x v="6"/>
    <s v="FOURNISSEURS"/>
    <s v="BPRI"/>
    <n v="15.86"/>
    <d v="2025-05-07T00:00:00"/>
    <s v="COMMANDE CONSOMMABLE LABO"/>
    <m/>
    <e v="#N/A"/>
    <e v="#N/A"/>
    <n v="71844"/>
    <m/>
    <m/>
    <s v="Q2"/>
    <e v="#REF!"/>
    <e v="#REF!"/>
    <e v="#REF!"/>
  </r>
  <r>
    <s v="401000"/>
    <x v="6"/>
    <s v="FOURNISSEURS"/>
    <s v="BPRI"/>
    <n v="16"/>
    <d v="2025-05-22T00:00:00"/>
    <s v="Réglement CB"/>
    <m/>
    <e v="#N/A"/>
    <e v="#N/A"/>
    <n v="74020"/>
    <m/>
    <s v="SNCF"/>
    <s v="Q2"/>
    <e v="#REF!"/>
    <e v="#REF!"/>
    <e v="#REF!"/>
  </r>
  <r>
    <s v="401000"/>
    <x v="6"/>
    <s v="FOURNISSEURS"/>
    <s v="BPRI"/>
    <n v="73"/>
    <d v="2025-09-26T00:00:00"/>
    <s v="/LIB/250925 CB    3583/LIB/SNCF-VOYAGEURS F"/>
    <m/>
    <e v="#N/A"/>
    <e v="#N/A"/>
    <n v="82642"/>
    <m/>
    <s v="SNCF"/>
    <s v="Q3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23"/>
    <m/>
    <s v="SNCF"/>
    <s v="Q3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26"/>
    <m/>
    <s v="SNCF"/>
    <s v="Q3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29"/>
    <m/>
    <s v="SNCF"/>
    <s v="Q3"/>
    <e v="#REF!"/>
    <e v="#REF!"/>
    <e v="#REF!"/>
  </r>
  <r>
    <s v="401000"/>
    <x v="6"/>
    <s v="FOURNISSEURS"/>
    <s v="BPRI"/>
    <n v="18.8"/>
    <d v="2025-02-26T00:00:00"/>
    <s v="FRAIS VIR ETRANGER RECU"/>
    <m/>
    <e v="#N/A"/>
    <e v="#N/A"/>
    <n v="21428"/>
    <s v="64876"/>
    <s v="Banque Populaire Rive de Paris"/>
    <s v="Q1"/>
    <e v="#REF!"/>
    <e v="#REF!"/>
    <e v="#REF!"/>
  </r>
  <r>
    <s v="401000"/>
    <x v="6"/>
    <s v="FOURNISSEURS"/>
    <s v="BPRI"/>
    <n v="18.8"/>
    <d v="2025-05-08T00:00:00"/>
    <s v="Prélèvement Frais bancaires"/>
    <m/>
    <e v="#N/A"/>
    <e v="#N/A"/>
    <n v="71724"/>
    <m/>
    <s v="Banque Populaire Rive de Paris"/>
    <s v="Q2"/>
    <e v="#REF!"/>
    <e v="#REF!"/>
    <e v="#REF!"/>
  </r>
  <r>
    <s v="401000"/>
    <x v="6"/>
    <s v="FOURNISSEURS"/>
    <s v="BPRI"/>
    <n v="19.100000000000001"/>
    <d v="2025-03-20T00:00:00"/>
    <s v="Invoice Payment by Pili"/>
    <m/>
    <e v="#N/A"/>
    <e v="#N/A"/>
    <n v="61917"/>
    <m/>
    <m/>
    <s v="Q1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32"/>
    <m/>
    <s v="SNCF"/>
    <s v="Q3"/>
    <e v="#REF!"/>
    <e v="#REF!"/>
    <e v="#REF!"/>
  </r>
  <r>
    <s v="401000"/>
    <x v="6"/>
    <s v="FOURNISSEURS"/>
    <s v="BPRI"/>
    <n v="19.78"/>
    <d v="2025-10-06T00:00:00"/>
    <s v="CONSOMMABLES POUR LABO"/>
    <m/>
    <e v="#N/A"/>
    <e v="#N/A"/>
    <n v="82913"/>
    <m/>
    <m/>
    <s v="Q4"/>
    <e v="#REF!"/>
    <e v="#REF!"/>
    <e v="#REF!"/>
  </r>
  <r>
    <s v="401000"/>
    <x v="6"/>
    <s v="FOURNISSEURS"/>
    <s v="BPRI"/>
    <n v="19.86"/>
    <d v="2025-09-19T00:00:00"/>
    <s v="PRLV SEPA DHL INTERNAT. EXP FRA"/>
    <m/>
    <e v="#N/A"/>
    <e v="#N/A"/>
    <n v="82450"/>
    <m/>
    <s v="DHL"/>
    <s v="Q3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35"/>
    <m/>
    <s v="SNCF"/>
    <s v="Q3"/>
    <e v="#REF!"/>
    <e v="#REF!"/>
    <e v="#REF!"/>
  </r>
  <r>
    <s v="401000"/>
    <x v="6"/>
    <s v="FOURNISSEURS"/>
    <s v="BPRI"/>
    <n v="19.899999999999999"/>
    <d v="2025-01-17T00:00:00"/>
    <s v="PRLV SEPA DHL INTERNAT. EXP FRA"/>
    <m/>
    <e v="#N/A"/>
    <e v="#N/A"/>
    <n v="21018"/>
    <s v="073QF30"/>
    <s v="DHL"/>
    <s v="Q1"/>
    <e v="#REF!"/>
    <e v="#REF!"/>
    <e v="#REF!"/>
  </r>
  <r>
    <s v="401000"/>
    <x v="6"/>
    <s v="FOURNISSEURS"/>
    <s v="BPRI"/>
    <n v="20"/>
    <d v="2025-01-10T00:00:00"/>
    <s v="090125 CB    5564"/>
    <m/>
    <e v="#N/A"/>
    <e v="#N/A"/>
    <n v="20948"/>
    <s v="0HP4NIQ"/>
    <s v="ORSON.IO"/>
    <s v="Q1"/>
    <e v="#REF!"/>
    <e v="#REF!"/>
    <e v="#REF!"/>
  </r>
  <r>
    <s v="401000"/>
    <x v="6"/>
    <s v="FOURNISSEURS"/>
    <s v="BPRI"/>
    <n v="20.41"/>
    <d v="2025-07-11T00:00:00"/>
    <s v="PRLV SEPA DHL"/>
    <m/>
    <e v="#N/A"/>
    <e v="#N/A"/>
    <n v="77378"/>
    <m/>
    <s v="DHL"/>
    <s v="Q3"/>
    <e v="#REF!"/>
    <e v="#REF!"/>
    <e v="#REF!"/>
  </r>
  <r>
    <s v="401000"/>
    <x v="6"/>
    <s v="FOURNISSEURS"/>
    <s v="BPRI"/>
    <n v="20.54"/>
    <d v="2025-03-20T00:00:00"/>
    <s v="Invoice Payment by Pili"/>
    <m/>
    <e v="#N/A"/>
    <e v="#N/A"/>
    <n v="61919"/>
    <m/>
    <m/>
    <s v="Q1"/>
    <e v="#REF!"/>
    <e v="#REF!"/>
    <e v="#REF!"/>
  </r>
  <r>
    <s v="401000"/>
    <x v="6"/>
    <s v="FOURNISSEURS"/>
    <s v="BPRI"/>
    <n v="20.76"/>
    <d v="2025-05-22T00:00:00"/>
    <s v="FRAIS BANCAIRES"/>
    <m/>
    <e v="#N/A"/>
    <e v="#N/A"/>
    <n v="74022"/>
    <m/>
    <s v="Banque Populaire Rive de Paris"/>
    <s v="Q2"/>
    <e v="#REF!"/>
    <e v="#REF!"/>
    <e v="#REF!"/>
  </r>
  <r>
    <s v="401000"/>
    <x v="6"/>
    <s v="FOURNISSEURS"/>
    <s v="BPRI"/>
    <n v="20.77"/>
    <d v="2025-04-24T00:00:00"/>
    <s v="Prélèvement fournisseur"/>
    <m/>
    <e v="#N/A"/>
    <e v="#N/A"/>
    <n v="68538"/>
    <m/>
    <s v="DHL"/>
    <s v="Q2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38"/>
    <m/>
    <s v="SNCF"/>
    <s v="Q3"/>
    <e v="#REF!"/>
    <e v="#REF!"/>
    <e v="#REF!"/>
  </r>
  <r>
    <s v="401000"/>
    <x v="6"/>
    <s v="FOURNISSEURS"/>
    <s v="BPRI"/>
    <n v="21.45"/>
    <d v="2025-09-15T00:00:00"/>
    <s v="CITPAEUR 180+ ADJUSTMENT 4067796293 4067797082"/>
    <m/>
    <e v="#N/A"/>
    <e v="#N/A"/>
    <n v="82157"/>
    <m/>
    <m/>
    <s v="Q3"/>
    <e v="#REF!"/>
    <e v="#REF!"/>
    <e v="#REF!"/>
  </r>
  <r>
    <s v="401000"/>
    <x v="6"/>
    <s v="FOURNISSEURS"/>
    <s v="BPRI"/>
    <n v="22.15"/>
    <d v="2025-12-30T00:00:00"/>
    <s v="4067874264"/>
    <m/>
    <e v="#N/A"/>
    <e v="#N/A"/>
    <n v="93846"/>
    <m/>
    <m/>
    <s v="Q4"/>
    <e v="#REF!"/>
    <e v="#REF!"/>
    <e v="#REF!"/>
  </r>
  <r>
    <s v="401000"/>
    <x v="6"/>
    <s v="FOURNISSEURS"/>
    <s v="BPRI"/>
    <n v="23.62"/>
    <d v="2025-08-05T00:00:00"/>
    <s v="PRLV SEPA ENGIE"/>
    <m/>
    <e v="#N/A"/>
    <e v="#N/A"/>
    <n v="80681"/>
    <m/>
    <s v="ENGIE"/>
    <s v="Q3"/>
    <e v="#REF!"/>
    <e v="#REF!"/>
    <e v="#REF!"/>
  </r>
  <r>
    <s v="401000"/>
    <x v="6"/>
    <s v="FOURNISSEURS"/>
    <s v="BPRI"/>
    <n v="24"/>
    <d v="2025-03-03T00:00:00"/>
    <s v="Règlement CB - SNCF"/>
    <m/>
    <e v="#N/A"/>
    <e v="#N/A"/>
    <n v="59004"/>
    <m/>
    <s v="SNCF"/>
    <s v="Q1"/>
    <e v="#REF!"/>
    <e v="#REF!"/>
    <e v="#REF!"/>
  </r>
  <r>
    <s v="401000"/>
    <x v="6"/>
    <s v="FOURNISSEURS"/>
    <s v="BPRI"/>
    <n v="24.3"/>
    <d v="2025-09-26T00:00:00"/>
    <s v="INVOICE PAYMENT BY PILI"/>
    <m/>
    <e v="#N/A"/>
    <e v="#N/A"/>
    <n v="82508"/>
    <m/>
    <m/>
    <s v="Q3"/>
    <e v="#REF!"/>
    <e v="#REF!"/>
    <e v="#REF!"/>
  </r>
  <r>
    <s v="401000"/>
    <x v="6"/>
    <s v="FOURNISSEURS"/>
    <s v="BPRI"/>
    <n v="24.78"/>
    <d v="2025-05-07T00:00:00"/>
    <s v="COMMANDE PRODUIT KEENB"/>
    <m/>
    <e v="#N/A"/>
    <e v="#N/A"/>
    <n v="71809"/>
    <m/>
    <m/>
    <s v="Q2"/>
    <e v="#REF!"/>
    <e v="#REF!"/>
    <e v="#REF!"/>
  </r>
  <r>
    <s v="401000"/>
    <x v="6"/>
    <s v="FOURNISSEURS"/>
    <s v="BPRI"/>
    <n v="25.61"/>
    <d v="2025-04-02T00:00:00"/>
    <s v="Invoice Payment by Pili"/>
    <m/>
    <e v="#N/A"/>
    <e v="#N/A"/>
    <n v="66490"/>
    <m/>
    <m/>
    <s v="Q2"/>
    <e v="#REF!"/>
    <e v="#REF!"/>
    <e v="#REF!"/>
  </r>
  <r>
    <s v="401000"/>
    <x v="6"/>
    <s v="FOURNISSEURS"/>
    <s v="BPRI"/>
    <n v="25.61"/>
    <d v="2025-12-30T00:00:00"/>
    <s v="4067875494"/>
    <m/>
    <e v="#N/A"/>
    <e v="#N/A"/>
    <n v="93851"/>
    <m/>
    <m/>
    <s v="Q4"/>
    <e v="#REF!"/>
    <e v="#REF!"/>
    <e v="#REF!"/>
  </r>
  <r>
    <s v="401000"/>
    <x v="6"/>
    <s v="FOURNISSEURS"/>
    <s v="BPRI"/>
    <n v="25.73"/>
    <d v="2025-07-22T00:00:00"/>
    <s v="ÉTHYLHEXANOL  MIN. 99,5 %, POUR LA SYNTHÈSE"/>
    <m/>
    <e v="#N/A"/>
    <e v="#N/A"/>
    <n v="78289"/>
    <m/>
    <m/>
    <s v="Q3"/>
    <e v="#REF!"/>
    <e v="#REF!"/>
    <e v="#REF!"/>
  </r>
  <r>
    <s v="401000"/>
    <x v="6"/>
    <s v="FOURNISSEURS"/>
    <s v="BPRI"/>
    <n v="25.84"/>
    <d v="2025-06-20T00:00:00"/>
    <s v="PRLV SEPA DHL INTERNAT. EXP FRA"/>
    <m/>
    <e v="#N/A"/>
    <e v="#N/A"/>
    <n v="76161"/>
    <m/>
    <s v="DHL"/>
    <s v="Q2"/>
    <e v="#REF!"/>
    <e v="#REF!"/>
    <e v="#REF!"/>
  </r>
  <r>
    <s v="401000"/>
    <x v="6"/>
    <s v="FOURNISSEURS"/>
    <s v="BPRI"/>
    <n v="26.4"/>
    <d v="2025-07-31T00:00:00"/>
    <s v="COMMANDE CONSOMMABLE LABO"/>
    <m/>
    <e v="#N/A"/>
    <e v="#N/A"/>
    <n v="79369"/>
    <m/>
    <m/>
    <s v="Q3"/>
    <e v="#REF!"/>
    <e v="#REF!"/>
    <e v="#REF!"/>
  </r>
  <r>
    <s v="401000"/>
    <x v="6"/>
    <s v="FOURNISSEURS"/>
    <s v="BPRI"/>
    <n v="26.59"/>
    <d v="2025-03-28T00:00:00"/>
    <s v="Invoice Payment by Pili"/>
    <m/>
    <e v="#N/A"/>
    <e v="#N/A"/>
    <n v="64981"/>
    <m/>
    <m/>
    <s v="Q1"/>
    <e v="#REF!"/>
    <e v="#REF!"/>
    <e v="#REF!"/>
  </r>
  <r>
    <s v="401000"/>
    <x v="6"/>
    <s v="FOURNISSEURS"/>
    <s v="BPRI"/>
    <n v="27.46"/>
    <d v="2025-07-31T00:00:00"/>
    <s v="COMMANDE PRODUIT KEENY POUR ÉTUDE RC1"/>
    <m/>
    <e v="#N/A"/>
    <e v="#N/A"/>
    <n v="79354"/>
    <m/>
    <m/>
    <s v="Q3"/>
    <e v="#REF!"/>
    <e v="#REF!"/>
    <e v="#REF!"/>
  </r>
  <r>
    <s v="401000"/>
    <x v="6"/>
    <s v="FOURNISSEURS"/>
    <s v="BPRI"/>
    <n v="27.75"/>
    <d v="2025-09-05T00:00:00"/>
    <s v="PRLV SEPA ENGIE"/>
    <m/>
    <e v="#N/A"/>
    <e v="#N/A"/>
    <n v="81715"/>
    <m/>
    <s v="ENGIE"/>
    <s v="Q3"/>
    <e v="#REF!"/>
    <e v="#REF!"/>
    <e v="#REF!"/>
  </r>
  <r>
    <s v="512100"/>
    <x v="6"/>
    <s v="BANQUE POPULAIRE RIVE DE PARIS"/>
    <s v="BPRI"/>
    <n v="-73"/>
    <d v="2025-09-26T00:00:00"/>
    <s v="/LIB/250925 CB    3583/LIB/SNCF-VOYAGEURS F"/>
    <m/>
    <e v="#N/A"/>
    <e v="#N/A"/>
    <n v="82641"/>
    <m/>
    <s v="SNCF"/>
    <s v="Q3"/>
    <e v="#REF!"/>
    <e v="#REF!"/>
    <e v="#REF!"/>
  </r>
  <r>
    <s v="401000"/>
    <x v="6"/>
    <s v="FOURNISSEURS"/>
    <s v="BPRI"/>
    <n v="28"/>
    <d v="2025-04-10T00:00:00"/>
    <s v="SNCF - CB JERBLA"/>
    <m/>
    <e v="#N/A"/>
    <e v="#N/A"/>
    <n v="66730"/>
    <m/>
    <s v="SNCF"/>
    <s v="Q2"/>
    <e v="#REF!"/>
    <e v="#REF!"/>
    <e v="#REF!"/>
  </r>
  <r>
    <s v="401000"/>
    <x v="6"/>
    <s v="FOURNISSEURS"/>
    <s v="BPRI"/>
    <n v="28.22"/>
    <d v="2025-05-30T00:00:00"/>
    <s v="Prélèvement DHL"/>
    <m/>
    <e v="#N/A"/>
    <e v="#N/A"/>
    <n v="75008"/>
    <m/>
    <s v="DHL"/>
    <s v="Q2"/>
    <e v="#REF!"/>
    <e v="#REF!"/>
    <e v="#REF!"/>
  </r>
  <r>
    <s v="401000"/>
    <x v="6"/>
    <s v="FOURNISSEURS"/>
    <s v="BPRI"/>
    <n v="28.6"/>
    <d v="2025-11-19T00:00:00"/>
    <s v="91250169"/>
    <s v="Non"/>
    <e v="#N/A"/>
    <e v="#N/A"/>
    <n v="90484"/>
    <m/>
    <s v="BIOTIKA"/>
    <s v="Q4"/>
    <e v="#REF!"/>
    <e v="#REF!"/>
    <e v="#REF!"/>
  </r>
  <r>
    <s v="512100"/>
    <x v="6"/>
    <s v="BANQUE POPULAIRE RIVE DE PARIS"/>
    <s v="BPRI"/>
    <n v="-43"/>
    <d v="2025-09-26T00:00:00"/>
    <s v="/LIB/250925 CB    3583/LIB/SNCF-VOYAGEURS F"/>
    <m/>
    <e v="#N/A"/>
    <e v="#N/A"/>
    <n v="82620"/>
    <m/>
    <s v="SNCF"/>
    <s v="Q3"/>
    <e v="#REF!"/>
    <e v="#REF!"/>
    <e v="#REF!"/>
  </r>
  <r>
    <s v="401000"/>
    <x v="6"/>
    <s v="FOURNISSEURS"/>
    <s v="BPRI"/>
    <n v="29.86"/>
    <d v="2025-03-18T00:00:00"/>
    <s v="Règlement Facture 4067642228"/>
    <m/>
    <e v="#N/A"/>
    <e v="#N/A"/>
    <n v="61867"/>
    <m/>
    <m/>
    <s v="Q1"/>
    <e v="#REF!"/>
    <e v="#REF!"/>
    <e v="#REF!"/>
  </r>
  <r>
    <s v="401000"/>
    <x v="6"/>
    <s v="FOURNISSEURS"/>
    <s v="BPRI"/>
    <n v="30"/>
    <d v="2025-06-16T00:00:00"/>
    <s v="TRANSPORT COSTS"/>
    <m/>
    <e v="#N/A"/>
    <e v="#N/A"/>
    <n v="76048"/>
    <m/>
    <m/>
    <s v="Q2"/>
    <e v="#REF!"/>
    <e v="#REF!"/>
    <e v="#REF!"/>
  </r>
  <r>
    <s v="512100"/>
    <x v="6"/>
    <s v="BANQUE POPULAIRE RIVE DE PARIS"/>
    <s v="BPRI"/>
    <n v="-34"/>
    <d v="2025-09-26T00:00:00"/>
    <s v="/LIB/250925 CB    3583/LIB/SNCF-VOYAGEURS F"/>
    <m/>
    <e v="#N/A"/>
    <e v="#N/A"/>
    <n v="82617"/>
    <m/>
    <s v="SNCF"/>
    <s v="Q3"/>
    <e v="#REF!"/>
    <e v="#REF!"/>
    <e v="#REF!"/>
  </r>
  <r>
    <s v="512100"/>
    <x v="6"/>
    <s v="BANQUE POPULAIRE RIVE DE PARIS"/>
    <s v="BPRI"/>
    <n v="-30"/>
    <d v="2025-09-26T00:00:00"/>
    <s v="/LIB/250925 CB    3583/LIB/SNCF-VOYAGEURS F"/>
    <m/>
    <e v="#N/A"/>
    <e v="#N/A"/>
    <n v="82614"/>
    <m/>
    <s v="SNCF"/>
    <s v="Q3"/>
    <e v="#REF!"/>
    <e v="#REF!"/>
    <e v="#REF!"/>
  </r>
  <r>
    <s v="401000"/>
    <x v="6"/>
    <s v="FOURNISSEURS"/>
    <s v="BPRI"/>
    <n v="31.32"/>
    <d v="2025-03-14T00:00:00"/>
    <s v="Paiement Roth"/>
    <m/>
    <e v="#N/A"/>
    <e v="#N/A"/>
    <n v="61664"/>
    <m/>
    <m/>
    <s v="Q1"/>
    <e v="#REF!"/>
    <e v="#REF!"/>
    <e v="#REF!"/>
  </r>
  <r>
    <s v="401000"/>
    <x v="6"/>
    <s v="FOURNISSEURS"/>
    <s v="BPRI"/>
    <n v="31.58"/>
    <d v="2025-06-03T00:00:00"/>
    <s v="Prélèvement fournisseurs"/>
    <m/>
    <e v="#N/A"/>
    <e v="#N/A"/>
    <n v="75199"/>
    <m/>
    <s v="EAU DU GRAND LYON"/>
    <s v="Q2"/>
    <e v="#REF!"/>
    <e v="#REF!"/>
    <e v="#REF!"/>
  </r>
  <r>
    <s v="401000"/>
    <x v="6"/>
    <s v="FOURNISSEURS"/>
    <s v="BPRI"/>
    <n v="55"/>
    <d v="2025-11-26T00:00:00"/>
    <s v="/LIB/251125 CB    3583/LIB/SNCF-VOYAGEURS F/LIB/251125 CB    3583/LIB/SNCF-VOYAGEURS FR PARIS 10/LIB/55,00EUR 1 EURO   1,000000"/>
    <m/>
    <e v="#N/A"/>
    <e v="#N/A"/>
    <n v="91275"/>
    <m/>
    <s v="SNCF"/>
    <s v="Q4"/>
    <e v="#REF!"/>
    <e v="#REF!"/>
    <e v="#REF!"/>
  </r>
  <r>
    <s v="401000"/>
    <x v="6"/>
    <s v="FOURNISSEURS"/>
    <s v="BPRI"/>
    <n v="32.83"/>
    <d v="2025-10-06T00:00:00"/>
    <s v="CONSOMMABLE LABO"/>
    <m/>
    <e v="#N/A"/>
    <e v="#N/A"/>
    <n v="82918"/>
    <m/>
    <m/>
    <s v="Q4"/>
    <e v="#REF!"/>
    <e v="#REF!"/>
    <e v="#REF!"/>
  </r>
  <r>
    <s v="401000"/>
    <x v="6"/>
    <s v="FOURNISSEURS"/>
    <s v="BPRI"/>
    <n v="32.92"/>
    <d v="2025-03-18T00:00:00"/>
    <s v="Règlement Facture 4067639520"/>
    <m/>
    <e v="#N/A"/>
    <e v="#N/A"/>
    <n v="61865"/>
    <m/>
    <m/>
    <s v="Q1"/>
    <e v="#REF!"/>
    <e v="#REF!"/>
    <e v="#REF!"/>
  </r>
  <r>
    <s v="401000"/>
    <x v="6"/>
    <s v="FOURNISSEURS"/>
    <s v="BPRI"/>
    <n v="32.93"/>
    <d v="2025-04-02T00:00:00"/>
    <s v="TRIÉTHYLÈNEGLYCOL"/>
    <m/>
    <e v="#N/A"/>
    <e v="#N/A"/>
    <n v="66515"/>
    <m/>
    <m/>
    <s v="Q2"/>
    <e v="#REF!"/>
    <e v="#REF!"/>
    <e v="#REF!"/>
  </r>
  <r>
    <s v="401000"/>
    <x v="6"/>
    <s v="FOURNISSEURS"/>
    <s v="BPRI"/>
    <n v="32.99"/>
    <d v="2025-07-04T00:00:00"/>
    <s v="PRLV SEPA BOUYGUES TELECOM"/>
    <m/>
    <e v="#N/A"/>
    <e v="#N/A"/>
    <n v="77049"/>
    <m/>
    <s v="BOUYGUES TELECOM"/>
    <s v="Q3"/>
    <e v="#REF!"/>
    <e v="#REF!"/>
    <e v="#REF!"/>
  </r>
  <r>
    <s v="401000"/>
    <x v="6"/>
    <s v="FOURNISSEURS"/>
    <s v="BPRI"/>
    <n v="32.99"/>
    <d v="2025-08-05T00:00:00"/>
    <s v="PRLV SEPA BOUYGUES TELECOM"/>
    <m/>
    <e v="#N/A"/>
    <e v="#N/A"/>
    <n v="80683"/>
    <m/>
    <s v="BOUYGUES TELECOM"/>
    <s v="Q3"/>
    <e v="#REF!"/>
    <e v="#REF!"/>
    <e v="#REF!"/>
  </r>
  <r>
    <s v="401000"/>
    <x v="6"/>
    <s v="FOURNISSEURS"/>
    <s v="BPRI"/>
    <n v="32.99"/>
    <d v="2025-09-05T00:00:00"/>
    <s v="PRLV SEPA BOUYGUES TELECOM"/>
    <m/>
    <e v="#N/A"/>
    <e v="#N/A"/>
    <n v="81718"/>
    <m/>
    <s v="BOUYGUES TELECOM"/>
    <s v="Q3"/>
    <e v="#REF!"/>
    <e v="#REF!"/>
    <e v="#REF!"/>
  </r>
  <r>
    <s v="512100"/>
    <x v="6"/>
    <s v="BANQUE POPULAIRE RIVE DE PARIS"/>
    <s v="BPRI"/>
    <n v="-55"/>
    <d v="2025-11-26T00:00:00"/>
    <s v="/LIB/251125 CB    3583/LIB/SNCF-VOYAGEURS F/LIB/251125 CB    3583/LIB/SNCF-VOYAGEURS FR PARIS 10/LIB/55,00EUR 1 EURO   1,000000"/>
    <m/>
    <e v="#N/A"/>
    <e v="#N/A"/>
    <n v="91274"/>
    <m/>
    <s v="SNCF"/>
    <s v="Q4"/>
    <e v="#REF!"/>
    <e v="#REF!"/>
    <e v="#REF!"/>
  </r>
  <r>
    <s v="401000"/>
    <x v="6"/>
    <s v="FOURNISSEURS"/>
    <s v="BPRI"/>
    <n v="63"/>
    <d v="2025-11-26T00:00:00"/>
    <s v="/LIB/251125 CB    3583/LIB/SNCF-VOYAGEURS F/LIB/251125 CB    3583/LIB/SNCF-VOYAGEURS FR PARIS 10/LIB/63,00EUR 1 EURO   1,000000"/>
    <m/>
    <e v="#N/A"/>
    <e v="#N/A"/>
    <n v="91278"/>
    <m/>
    <s v="SNCF"/>
    <s v="Q4"/>
    <e v="#REF!"/>
    <e v="#REF!"/>
    <e v="#REF!"/>
  </r>
  <r>
    <s v="512100"/>
    <x v="6"/>
    <s v="BANQUE POPULAIRE RIVE DE PARIS"/>
    <s v="BPRI"/>
    <n v="-63"/>
    <d v="2025-11-26T00:00:00"/>
    <s v="/LIB/251125 CB    3583/LIB/SNCF-VOYAGEURS F/LIB/251125 CB    3583/LIB/SNCF-VOYAGEURS FR PARIS 10/LIB/63,00EUR 1 EURO   1,000000"/>
    <m/>
    <e v="#N/A"/>
    <e v="#N/A"/>
    <n v="91277"/>
    <m/>
    <s v="SNCF"/>
    <s v="Q4"/>
    <e v="#REF!"/>
    <e v="#REF!"/>
    <e v="#REF!"/>
  </r>
  <r>
    <s v="401000"/>
    <x v="6"/>
    <s v="FOURNISSEURS"/>
    <s v="BPRI"/>
    <n v="33"/>
    <d v="2025-03-28T00:00:00"/>
    <s v="Invoice Payment by Pili"/>
    <m/>
    <e v="#N/A"/>
    <e v="#N/A"/>
    <n v="65007"/>
    <m/>
    <m/>
    <s v="Q1"/>
    <e v="#REF!"/>
    <e v="#REF!"/>
    <e v="#REF!"/>
  </r>
  <r>
    <s v="401000"/>
    <x v="6"/>
    <s v="FOURNISSEURS"/>
    <s v="BPRI"/>
    <n v="73"/>
    <d v="2025-10-28T00:00:00"/>
    <s v="/LIB/271025 CB    3583/LIB/SNCF-VOYAGEURS F/LIB/271025 CB    3583/LIB/SNCF-VOYAGEURS FR PARIS 10/LIB/73,00EUR 1 EURO   1,000000"/>
    <m/>
    <e v="#N/A"/>
    <e v="#N/A"/>
    <n v="87393"/>
    <m/>
    <s v="SNCF"/>
    <s v="Q4"/>
    <e v="#REF!"/>
    <e v="#REF!"/>
    <e v="#REF!"/>
  </r>
  <r>
    <s v="401000"/>
    <x v="6"/>
    <s v="FOURNISSEURS"/>
    <s v="BPRI"/>
    <n v="73"/>
    <d v="2025-10-28T00:00:00"/>
    <s v="/LIB/271025 CB    3583/LIB/SNCF-VOYAGEURS F/LIB/271025 CB    3583/LIB/SNCF-VOYAGEURS FR PARIS 10/LIB/73,00EUR 1 EURO   1,000000"/>
    <m/>
    <e v="#N/A"/>
    <e v="#N/A"/>
    <n v="87395"/>
    <m/>
    <s v="SNCF"/>
    <s v="Q4"/>
    <e v="#REF!"/>
    <e v="#REF!"/>
    <e v="#REF!"/>
  </r>
  <r>
    <s v="401000"/>
    <x v="6"/>
    <s v="FOURNISSEURS"/>
    <s v="BPRI"/>
    <n v="35.71"/>
    <d v="2025-05-07T00:00:00"/>
    <s v="MÉTHYLAMINE (SOLUTION AQUEUSE À 40%)"/>
    <m/>
    <e v="#N/A"/>
    <e v="#N/A"/>
    <n v="71819"/>
    <m/>
    <m/>
    <s v="Q2"/>
    <e v="#REF!"/>
    <e v="#REF!"/>
    <e v="#REF!"/>
  </r>
  <r>
    <s v="401000"/>
    <x v="6"/>
    <s v="FOURNISSEURS"/>
    <s v="BPRI"/>
    <n v="35.99"/>
    <d v="2025-08-29T00:00:00"/>
    <s v="PRLV SEPA RICOH FRANCE SAS"/>
    <m/>
    <e v="#N/A"/>
    <e v="#N/A"/>
    <n v="81658"/>
    <m/>
    <s v="RICOH"/>
    <s v="Q3"/>
    <e v="#REF!"/>
    <e v="#REF!"/>
    <e v="#REF!"/>
  </r>
  <r>
    <s v="401000"/>
    <x v="6"/>
    <s v="FOURNISSEURS"/>
    <s v="BPRI"/>
    <n v="36.020000000000003"/>
    <d v="2025-05-07T00:00:00"/>
    <s v="HYDROGENE PEROXYDE 30% PH"/>
    <m/>
    <e v="#N/A"/>
    <e v="#N/A"/>
    <n v="71874"/>
    <m/>
    <m/>
    <s v="Q2"/>
    <e v="#REF!"/>
    <e v="#REF!"/>
    <e v="#REF!"/>
  </r>
  <r>
    <s v="401000"/>
    <x v="6"/>
    <s v="FOURNISSEURS"/>
    <s v="BPRI"/>
    <n v="36.020000000000003"/>
    <d v="2025-08-18T00:00:00"/>
    <s v="COMMANDE PRODUIT KEENB"/>
    <m/>
    <e v="#N/A"/>
    <e v="#N/A"/>
    <n v="81155"/>
    <m/>
    <m/>
    <s v="Q3"/>
    <e v="#REF!"/>
    <e v="#REF!"/>
    <e v="#REF!"/>
  </r>
  <r>
    <s v="401000"/>
    <x v="6"/>
    <s v="FOURNISSEURS"/>
    <s v="BPRI"/>
    <n v="36.86"/>
    <d v="2025-05-07T00:00:00"/>
    <s v="AIGUILLES 10ML (12ML) 3-PIÈCES"/>
    <m/>
    <e v="#N/A"/>
    <e v="#N/A"/>
    <n v="71854"/>
    <m/>
    <m/>
    <s v="Q2"/>
    <e v="#REF!"/>
    <e v="#REF!"/>
    <e v="#REF!"/>
  </r>
  <r>
    <s v="401000"/>
    <x v="6"/>
    <s v="FOURNISSEURS"/>
    <s v="BPRI"/>
    <n v="36.86"/>
    <d v="2025-08-21T00:00:00"/>
    <s v="COMMANDE CONSOMMABLES LABO"/>
    <m/>
    <e v="#N/A"/>
    <e v="#N/A"/>
    <n v="81520"/>
    <m/>
    <m/>
    <s v="Q3"/>
    <e v="#REF!"/>
    <e v="#REF!"/>
    <e v="#REF!"/>
  </r>
  <r>
    <s v="401000"/>
    <x v="6"/>
    <s v="FOURNISSEURS"/>
    <s v="BPRI"/>
    <n v="37.94"/>
    <d v="2025-08-07T00:00:00"/>
    <s v="PRLV SEPA ENGIE"/>
    <m/>
    <e v="#N/A"/>
    <e v="#N/A"/>
    <n v="80717"/>
    <m/>
    <s v="ENGIE"/>
    <s v="Q3"/>
    <e v="#REF!"/>
    <e v="#REF!"/>
    <e v="#REF!"/>
  </r>
  <r>
    <s v="401000"/>
    <x v="6"/>
    <s v="FOURNISSEURS"/>
    <s v="BPRI"/>
    <n v="38"/>
    <d v="2025-06-10T00:00:00"/>
    <s v="PRLV SEPA ENGIE"/>
    <m/>
    <e v="#N/A"/>
    <e v="#N/A"/>
    <n v="75925"/>
    <m/>
    <s v="ENGIE"/>
    <s v="Q2"/>
    <e v="#REF!"/>
    <e v="#REF!"/>
    <e v="#REF!"/>
  </r>
  <r>
    <s v="401000"/>
    <x v="6"/>
    <s v="FOURNISSEURS"/>
    <s v="BPRI"/>
    <n v="38.020000000000003"/>
    <d v="2025-07-31T00:00:00"/>
    <s v="COMMANDE CONSOMMABLE LABO"/>
    <m/>
    <e v="#N/A"/>
    <e v="#N/A"/>
    <n v="79319"/>
    <m/>
    <m/>
    <s v="Q3"/>
    <e v="#REF!"/>
    <e v="#REF!"/>
    <e v="#REF!"/>
  </r>
  <r>
    <s v="401000"/>
    <x v="6"/>
    <s v="FOURNISSEURS"/>
    <s v="BPRI"/>
    <n v="38.21"/>
    <d v="2025-04-02T00:00:00"/>
    <s v="Invoice Payment by Pili"/>
    <m/>
    <e v="#N/A"/>
    <e v="#N/A"/>
    <n v="66505"/>
    <m/>
    <m/>
    <s v="Q2"/>
    <e v="#REF!"/>
    <e v="#REF!"/>
    <e v="#REF!"/>
  </r>
  <r>
    <s v="401000"/>
    <x v="6"/>
    <s v="FOURNISSEURS"/>
    <s v="BPRI"/>
    <n v="38.590000000000003"/>
    <d v="2025-08-21T00:00:00"/>
    <s v="COMMANDE PRODUIT MUSTANG"/>
    <m/>
    <e v="#N/A"/>
    <e v="#N/A"/>
    <n v="81505"/>
    <m/>
    <m/>
    <s v="Q3"/>
    <e v="#REF!"/>
    <e v="#REF!"/>
    <e v="#REF!"/>
  </r>
  <r>
    <s v="401000"/>
    <x v="6"/>
    <s v="FOURNISSEURS"/>
    <s v="BPRI"/>
    <n v="38.799999999999997"/>
    <d v="2025-12-19T00:00:00"/>
    <s v="31/05713557"/>
    <m/>
    <e v="#N/A"/>
    <e v="#N/A"/>
    <n v="92683"/>
    <m/>
    <m/>
    <s v="Q4"/>
    <e v="#REF!"/>
    <e v="#REF!"/>
    <e v="#REF!"/>
  </r>
  <r>
    <s v="401000"/>
    <x v="6"/>
    <s v="FOURNISSEURS"/>
    <s v="BPRI"/>
    <n v="39.6"/>
    <d v="2025-12-30T00:00:00"/>
    <s v="E 25 28105"/>
    <m/>
    <e v="#N/A"/>
    <e v="#N/A"/>
    <n v="93736"/>
    <m/>
    <m/>
    <s v="Q4"/>
    <e v="#REF!"/>
    <e v="#REF!"/>
    <e v="#REF!"/>
  </r>
  <r>
    <s v="401000"/>
    <x v="6"/>
    <s v="FOURNISSEURS"/>
    <s v="BPRI"/>
    <n v="39.619999999999997"/>
    <d v="2025-08-21T00:00:00"/>
    <s v="COMMANDE PRODUIT KEENB"/>
    <m/>
    <e v="#N/A"/>
    <e v="#N/A"/>
    <n v="81495"/>
    <m/>
    <m/>
    <s v="Q3"/>
    <e v="#REF!"/>
    <e v="#REF!"/>
    <e v="#REF!"/>
  </r>
  <r>
    <s v="401000"/>
    <x v="6"/>
    <s v="FOURNISSEURS"/>
    <s v="BPRI"/>
    <n v="39.85"/>
    <d v="2025-01-06T00:00:00"/>
    <s v="EVI REMISE"/>
    <m/>
    <e v="#N/A"/>
    <e v="#N/A"/>
    <n v="20896"/>
    <s v="0GL95PI"/>
    <s v="VWR AVANTOR"/>
    <s v="Q1"/>
    <e v="#REF!"/>
    <e v="#REF!"/>
    <e v="#REF!"/>
  </r>
  <r>
    <s v="401000"/>
    <x v="6"/>
    <s v="FOURNISSEURS"/>
    <s v="BPRI"/>
    <n v="39.89"/>
    <d v="2025-07-08T00:00:00"/>
    <s v="PRLV SEPA ENGIE"/>
    <m/>
    <e v="#N/A"/>
    <e v="#N/A"/>
    <n v="77211"/>
    <m/>
    <s v="ENGIE"/>
    <s v="Q3"/>
    <e v="#REF!"/>
    <e v="#REF!"/>
    <e v="#REF!"/>
  </r>
  <r>
    <s v="401000"/>
    <x v="6"/>
    <s v="FOURNISSEURS"/>
    <s v="BPRI"/>
    <n v="39.96"/>
    <d v="2025-09-12T00:00:00"/>
    <s v="PRODUIT MUSTANG"/>
    <m/>
    <e v="#N/A"/>
    <e v="#N/A"/>
    <n v="82034"/>
    <m/>
    <m/>
    <s v="Q3"/>
    <e v="#REF!"/>
    <e v="#REF!"/>
    <e v="#REF!"/>
  </r>
  <r>
    <s v="512100"/>
    <x v="6"/>
    <s v="BANQUE POPULAIRE RIVE DE PARIS"/>
    <s v="BPRI"/>
    <n v="-73"/>
    <d v="2025-10-28T00:00:00"/>
    <s v="/LIB/271025 CB    3583/LIB/SNCF-VOYAGEURS F/LIB/271025 CB    3583/LIB/SNCF-VOYAGEURS FR PARIS 10/LIB/73,00EUR 1 EURO   1,000000"/>
    <m/>
    <e v="#N/A"/>
    <e v="#N/A"/>
    <n v="87392"/>
    <m/>
    <s v="SNCF"/>
    <s v="Q4"/>
    <e v="#REF!"/>
    <e v="#REF!"/>
    <e v="#REF!"/>
  </r>
  <r>
    <s v="401000"/>
    <x v="6"/>
    <s v="FOURNISSEURS"/>
    <s v="BPRI"/>
    <n v="40.18"/>
    <d v="2025-04-02T00:00:00"/>
    <s v="SODIUM LIGNINE SULFONATE"/>
    <m/>
    <e v="#N/A"/>
    <e v="#N/A"/>
    <n v="66510"/>
    <m/>
    <m/>
    <s v="Q2"/>
    <e v="#REF!"/>
    <e v="#REF!"/>
    <e v="#REF!"/>
  </r>
  <r>
    <s v="401000"/>
    <x v="6"/>
    <s v="FOURNISSEURS"/>
    <s v="BPRI"/>
    <n v="41.15"/>
    <d v="2025-09-08T00:00:00"/>
    <s v="PRLV SEPA ENGIE"/>
    <m/>
    <e v="#N/A"/>
    <e v="#N/A"/>
    <n v="82120"/>
    <m/>
    <s v="ENGIE"/>
    <s v="Q3"/>
    <e v="#REF!"/>
    <e v="#REF!"/>
    <e v="#REF!"/>
  </r>
  <r>
    <s v="401000"/>
    <x v="6"/>
    <s v="FOURNISSEURS"/>
    <s v="BPRI"/>
    <n v="41.49"/>
    <d v="2025-01-07T00:00:00"/>
    <s v="PRLV SEPA ENGIE"/>
    <m/>
    <e v="#N/A"/>
    <e v="#N/A"/>
    <n v="20910"/>
    <s v="06Z5XTZ"/>
    <s v="ENGIE"/>
    <s v="Q1"/>
    <e v="#REF!"/>
    <e v="#REF!"/>
    <e v="#REF!"/>
  </r>
  <r>
    <s v="401000"/>
    <x v="6"/>
    <s v="FOURNISSEURS"/>
    <s v="BPRI"/>
    <n v="41.96"/>
    <d v="2025-03-11T00:00:00"/>
    <s v="Prélèvement engie"/>
    <m/>
    <e v="#N/A"/>
    <e v="#N/A"/>
    <n v="61239"/>
    <m/>
    <s v="ENGIE"/>
    <s v="Q1"/>
    <e v="#REF!"/>
    <e v="#REF!"/>
    <e v="#REF!"/>
  </r>
  <r>
    <s v="401000"/>
    <x v="6"/>
    <s v="FOURNISSEURS"/>
    <s v="BPRI"/>
    <n v="42"/>
    <d v="2025-11-13T00:00:00"/>
    <s v="PRODUIT CONSOMMABLE LABO"/>
    <m/>
    <e v="#N/A"/>
    <e v="#N/A"/>
    <n v="89941"/>
    <m/>
    <m/>
    <s v="Q4"/>
    <e v="#REF!"/>
    <e v="#REF!"/>
    <e v="#REF!"/>
  </r>
  <r>
    <s v="512100"/>
    <x v="6"/>
    <s v="BANQUE POPULAIRE RIVE DE PARIS"/>
    <s v="BPRI"/>
    <n v="-73"/>
    <d v="2025-10-28T00:00:00"/>
    <s v="/LIB/271025 CB    3583/LIB/SNCF-VOYAGEURS F/LIB/271025 CB    3583/LIB/SNCF-VOYAGEURS FR PARIS 10/LIB/73,00EUR 1 EURO   1,000000"/>
    <m/>
    <e v="#N/A"/>
    <e v="#N/A"/>
    <n v="87394"/>
    <m/>
    <s v="SNCF"/>
    <s v="Q4"/>
    <e v="#REF!"/>
    <e v="#REF!"/>
    <e v="#REF!"/>
  </r>
  <r>
    <s v="401000"/>
    <x v="6"/>
    <s v="FOURNISSEURS"/>
    <s v="BPRI"/>
    <n v="42.62"/>
    <d v="2025-07-31T00:00:00"/>
    <s v="COMMANDE PRODUIT LABO"/>
    <m/>
    <e v="#N/A"/>
    <e v="#N/A"/>
    <n v="79344"/>
    <m/>
    <m/>
    <s v="Q3"/>
    <e v="#REF!"/>
    <e v="#REF!"/>
    <e v="#REF!"/>
  </r>
  <r>
    <s v="401000"/>
    <x v="6"/>
    <s v="FOURNISSEURS"/>
    <s v="BPRI"/>
    <n v="-15"/>
    <d v="2025-11-05T00:00:00"/>
    <s v="/LIB/ANNUL.FACT.CB/LIB/SNCF-VOYAGEURS D/LIB/041125 CB    3583/LIB/SNCF-VOYAGEURS DONT FRAIS: 0,00E/LIB/15,00EUR 1 EURO   1,00000"/>
    <m/>
    <e v="#N/A"/>
    <e v="#N/A"/>
    <n v="89248"/>
    <m/>
    <s v="SNCF"/>
    <s v="Q4"/>
    <e v="#REF!"/>
    <e v="#REF!"/>
    <e v="#REF!"/>
  </r>
  <r>
    <s v="512100"/>
    <x v="6"/>
    <s v="BANQUE POPULAIRE RIVE DE PARIS"/>
    <s v="BPRI"/>
    <n v="15"/>
    <d v="2025-11-05T00:00:00"/>
    <s v="/LIB/ANNUL.FACT.CB/LIB/SNCF-VOYAGEURS D/LIB/041125 CB    3583/LIB/SNCF-VOYAGEURS DONT FRAIS: 0,00E/LIB/15,00EUR 1 EURO   1,00000"/>
    <m/>
    <e v="#N/A"/>
    <e v="#N/A"/>
    <n v="89247"/>
    <m/>
    <s v="SNCF"/>
    <s v="Q4"/>
    <e v="#REF!"/>
    <e v="#REF!"/>
    <e v="#REF!"/>
  </r>
  <r>
    <s v="401000"/>
    <x v="6"/>
    <s v="FOURNISSEURS"/>
    <s v="BPRI"/>
    <n v="43"/>
    <d v="2025-03-01T00:00:00"/>
    <s v="Règlement CB - SNCF"/>
    <m/>
    <e v="#N/A"/>
    <e v="#N/A"/>
    <n v="59001"/>
    <m/>
    <s v="SNCF"/>
    <s v="Q1"/>
    <e v="#REF!"/>
    <e v="#REF!"/>
    <e v="#REF!"/>
  </r>
  <r>
    <s v="401000"/>
    <x v="6"/>
    <s v="FOURNISSEURS"/>
    <s v="BPRI"/>
    <n v="43"/>
    <d v="2025-04-28T00:00:00"/>
    <s v="Paiement CB "/>
    <m/>
    <e v="#N/A"/>
    <e v="#N/A"/>
    <n v="70449"/>
    <m/>
    <s v="SNCF"/>
    <s v="Q2"/>
    <e v="#REF!"/>
    <e v="#REF!"/>
    <e v="#REF!"/>
  </r>
  <r>
    <s v="401000"/>
    <x v="6"/>
    <s v="FOURNISSEURS"/>
    <s v="BPRI"/>
    <n v="43"/>
    <d v="2025-06-16T00:00:00"/>
    <s v="CB SNCF-VOYAGEURS"/>
    <m/>
    <e v="#N/A"/>
    <e v="#N/A"/>
    <n v="76095"/>
    <m/>
    <s v="SNCF"/>
    <s v="Q2"/>
    <e v="#REF!"/>
    <e v="#REF!"/>
    <e v="#REF!"/>
  </r>
  <r>
    <s v="401000"/>
    <x v="6"/>
    <s v="FOURNISSEURS"/>
    <s v="BPRI"/>
    <n v="-43"/>
    <d v="2025-11-05T00:00:00"/>
    <s v="/LIB/ANNUL.FACT.CB/LIB/SNCF-VOYAGEURS D/LIB/041125 CB    3583/LIB/SNCF-VOYAGEURS DONT FRAIS: 0,00E/LIB/43,00EUR 1 EURO   1,00000"/>
    <m/>
    <e v="#N/A"/>
    <e v="#N/A"/>
    <n v="89251"/>
    <m/>
    <s v="SNCF"/>
    <s v="Q4"/>
    <e v="#REF!"/>
    <e v="#REF!"/>
    <e v="#REF!"/>
  </r>
  <r>
    <s v="512100"/>
    <x v="6"/>
    <s v="BANQUE POPULAIRE RIVE DE PARIS"/>
    <s v="BPRI"/>
    <n v="43"/>
    <d v="2025-11-05T00:00:00"/>
    <s v="/LIB/ANNUL.FACT.CB/LIB/SNCF-VOYAGEURS D/LIB/041125 CB    3583/LIB/SNCF-VOYAGEURS DONT FRAIS: 0,00E/LIB/43,00EUR 1 EURO   1,00000"/>
    <m/>
    <e v="#N/A"/>
    <e v="#N/A"/>
    <n v="89250"/>
    <m/>
    <s v="SNCF"/>
    <s v="Q4"/>
    <e v="#REF!"/>
    <e v="#REF!"/>
    <e v="#REF!"/>
  </r>
  <r>
    <s v="401000"/>
    <x v="6"/>
    <s v="FOURNISSEURS"/>
    <s v="BPRI"/>
    <n v="-73"/>
    <d v="2025-11-07T00:00:00"/>
    <s v="/LIB/ANNUL.FACT.CB/LIB/SNCF-VOYAGEURS D/LIB/061125 CB    3583/LIB/SNCF-VOYAGEURS DONT FRAIS: 0,00E/LIB/73,00EUR 1 EURO   1,00000"/>
    <m/>
    <e v="#N/A"/>
    <e v="#N/A"/>
    <n v="89519"/>
    <m/>
    <s v="SNCF"/>
    <s v="Q4"/>
    <e v="#REF!"/>
    <e v="#REF!"/>
    <e v="#REF!"/>
  </r>
  <r>
    <s v="401000"/>
    <x v="6"/>
    <s v="FOURNISSEURS"/>
    <s v="BPRI"/>
    <n v="-73"/>
    <d v="2025-11-07T00:00:00"/>
    <s v="/LIB/ANNUL.FACT.CB/LIB/SNCF-VOYAGEURS D/LIB/061125 CB    3583/LIB/SNCF-VOYAGEURS DONT FRAIS: 0,00E/LIB/73,00EUR 1 EURO   1,00000"/>
    <m/>
    <e v="#N/A"/>
    <e v="#N/A"/>
    <n v="89522"/>
    <m/>
    <s v="SNCF"/>
    <s v="Q4"/>
    <e v="#REF!"/>
    <e v="#REF!"/>
    <e v="#REF!"/>
  </r>
  <r>
    <s v="401000"/>
    <x v="6"/>
    <s v="FOURNISSEURS"/>
    <s v="BPRI"/>
    <n v="43.02"/>
    <d v="2025-05-08T00:00:00"/>
    <s v="Prélèvement Engie"/>
    <m/>
    <e v="#N/A"/>
    <e v="#N/A"/>
    <n v="71712"/>
    <m/>
    <s v="ENGIE"/>
    <s v="Q2"/>
    <e v="#REF!"/>
    <e v="#REF!"/>
    <e v="#REF!"/>
  </r>
  <r>
    <s v="401000"/>
    <x v="6"/>
    <s v="FOURNISSEURS"/>
    <s v="BPRI"/>
    <n v="43.78"/>
    <d v="2025-11-28T00:00:00"/>
    <s v="4067843913"/>
    <m/>
    <e v="#N/A"/>
    <e v="#N/A"/>
    <n v="91250"/>
    <m/>
    <m/>
    <s v="Q4"/>
    <e v="#REF!"/>
    <e v="#REF!"/>
    <e v="#REF!"/>
  </r>
  <r>
    <s v="401000"/>
    <x v="6"/>
    <s v="FOURNISSEURS"/>
    <s v="BPRI"/>
    <n v="44.13"/>
    <d v="2025-02-07T00:00:00"/>
    <s v="PRLV SEPA ENGIE"/>
    <m/>
    <e v="#N/A"/>
    <e v="#N/A"/>
    <n v="21236"/>
    <s v="079XMA8"/>
    <s v="ENGIE"/>
    <s v="Q1"/>
    <e v="#REF!"/>
    <e v="#REF!"/>
    <e v="#REF!"/>
  </r>
  <r>
    <s v="401000"/>
    <x v="6"/>
    <s v="FOURNISSEURS"/>
    <s v="BPRI"/>
    <n v="44.27"/>
    <d v="2025-04-08T00:00:00"/>
    <s v="Prélèvement ENGIE"/>
    <m/>
    <e v="#N/A"/>
    <e v="#N/A"/>
    <n v="66711"/>
    <m/>
    <s v="ENGIE"/>
    <s v="Q2"/>
    <e v="#REF!"/>
    <e v="#REF!"/>
    <e v="#REF!"/>
  </r>
  <r>
    <s v="401000"/>
    <x v="6"/>
    <s v="FOURNISSEURS"/>
    <s v="BPRI"/>
    <n v="44.46"/>
    <d v="2025-05-07T00:00:00"/>
    <s v="COMMANDE PRODUIT KEENABIS"/>
    <m/>
    <e v="#N/A"/>
    <e v="#N/A"/>
    <n v="71869"/>
    <m/>
    <m/>
    <s v="Q2"/>
    <e v="#REF!"/>
    <e v="#REF!"/>
    <e v="#REF!"/>
  </r>
  <r>
    <s v="401000"/>
    <x v="6"/>
    <s v="FOURNISSEURS"/>
    <s v="BPRI"/>
    <n v="44.66"/>
    <d v="2025-09-26T00:00:00"/>
    <s v="INVOICE PAYMENT BY PILI"/>
    <m/>
    <e v="#N/A"/>
    <e v="#N/A"/>
    <n v="82533"/>
    <m/>
    <m/>
    <s v="Q3"/>
    <e v="#REF!"/>
    <e v="#REF!"/>
    <e v="#REF!"/>
  </r>
  <r>
    <s v="512100"/>
    <x v="6"/>
    <s v="BANQUE POPULAIRE RIVE DE PARIS"/>
    <s v="BPRI"/>
    <n v="73"/>
    <d v="2025-11-07T00:00:00"/>
    <s v="/LIB/ANNUL.FACT.CB/LIB/SNCF-VOYAGEURS D/LIB/061125 CB    3583/LIB/SNCF-VOYAGEURS DONT FRAIS: 0,00E/LIB/73,00EUR 1 EURO   1,00000"/>
    <m/>
    <e v="#N/A"/>
    <e v="#N/A"/>
    <n v="89518"/>
    <m/>
    <s v="SNCF"/>
    <s v="Q4"/>
    <e v="#REF!"/>
    <e v="#REF!"/>
    <e v="#REF!"/>
  </r>
  <r>
    <s v="401000"/>
    <x v="6"/>
    <s v="FOURNISSEURS"/>
    <s v="BPRI"/>
    <n v="45.89"/>
    <d v="2025-12-10T00:00:00"/>
    <s v="4067855749"/>
    <m/>
    <e v="#N/A"/>
    <e v="#N/A"/>
    <n v="92052"/>
    <m/>
    <m/>
    <s v="Q4"/>
    <e v="#REF!"/>
    <e v="#REF!"/>
    <e v="#REF!"/>
  </r>
  <r>
    <s v="401000"/>
    <x v="6"/>
    <s v="FOURNISSEURS"/>
    <s v="BPRI"/>
    <n v="45.98"/>
    <d v="2025-07-18T00:00:00"/>
    <s v="PRLV SEPA DHL INTERNAT. EXP FRA"/>
    <m/>
    <e v="#N/A"/>
    <e v="#N/A"/>
    <n v="78445"/>
    <m/>
    <s v="DHL"/>
    <s v="Q3"/>
    <e v="#REF!"/>
    <e v="#REF!"/>
    <e v="#REF!"/>
  </r>
  <r>
    <s v="512100"/>
    <x v="6"/>
    <s v="BANQUE POPULAIRE RIVE DE PARIS"/>
    <s v="BPRI"/>
    <n v="73"/>
    <d v="2025-11-07T00:00:00"/>
    <s v="/LIB/ANNUL.FACT.CB/LIB/SNCF-VOYAGEURS D/LIB/061125 CB    3583/LIB/SNCF-VOYAGEURS DONT FRAIS: 0,00E/LIB/73,00EUR 1 EURO   1,00000"/>
    <m/>
    <e v="#N/A"/>
    <e v="#N/A"/>
    <n v="89521"/>
    <m/>
    <s v="SNCF"/>
    <s v="Q4"/>
    <e v="#REF!"/>
    <e v="#REF!"/>
    <e v="#REF!"/>
  </r>
  <r>
    <s v="401000"/>
    <x v="6"/>
    <s v="FOURNISSEURS"/>
    <s v="BPRI"/>
    <n v="46.9"/>
    <d v="2025-06-05T00:00:00"/>
    <s v="CB - Mr Marguerite"/>
    <m/>
    <s v="Non"/>
    <e v="#N/A"/>
    <n v="75553"/>
    <m/>
    <s v="DIVERS"/>
    <s v="Q2"/>
    <e v="#REF!"/>
    <e v="#REF!"/>
    <e v="#REF!"/>
  </r>
  <r>
    <s v="401000"/>
    <x v="6"/>
    <s v="FOURNISSEURS"/>
    <s v="BPRI"/>
    <n v="-18"/>
    <d v="2025-12-08T00:00:00"/>
    <s v="/LIB/ANNUL.FACT.CB/LIB/SNCF-VOYAGEURS D/LIB/061225 CB    3583/LIB/SNCF-VOYAGEURS DONT FRAIS: 0,00E/LIB/18,00EUR 1 EURO   1,00000"/>
    <m/>
    <e v="#N/A"/>
    <e v="#N/A"/>
    <n v="91890"/>
    <m/>
    <s v="SNCF"/>
    <s v="Q4"/>
    <e v="#REF!"/>
    <e v="#REF!"/>
    <e v="#REF!"/>
  </r>
  <r>
    <s v="401000"/>
    <x v="6"/>
    <s v="FOURNISSEURS"/>
    <s v="BPRI"/>
    <n v="47.18"/>
    <d v="2025-03-28T00:00:00"/>
    <s v="Invoice Payment by Pili"/>
    <m/>
    <e v="#N/A"/>
    <e v="#N/A"/>
    <n v="64976"/>
    <m/>
    <m/>
    <s v="Q1"/>
    <e v="#REF!"/>
    <e v="#REF!"/>
    <e v="#REF!"/>
  </r>
  <r>
    <s v="401000"/>
    <x v="6"/>
    <s v="FOURNISSEURS"/>
    <s v="BPRI"/>
    <n v="47.28"/>
    <d v="2025-07-09T00:00:00"/>
    <s v="PAPIER FILTRE PAILLASSE"/>
    <m/>
    <e v="#N/A"/>
    <e v="#N/A"/>
    <n v="77239"/>
    <m/>
    <m/>
    <s v="Q3"/>
    <e v="#REF!"/>
    <e v="#REF!"/>
    <e v="#REF!"/>
  </r>
  <r>
    <s v="401000"/>
    <x v="6"/>
    <s v="FOURNISSEURS"/>
    <s v="BPRI"/>
    <n v="47.7"/>
    <d v="2025-09-26T00:00:00"/>
    <s v="INVOICE PAYMENT BY PILI"/>
    <m/>
    <e v="#N/A"/>
    <e v="#N/A"/>
    <n v="82528"/>
    <m/>
    <m/>
    <s v="Q3"/>
    <e v="#REF!"/>
    <e v="#REF!"/>
    <e v="#REF!"/>
  </r>
  <r>
    <s v="401000"/>
    <x v="6"/>
    <s v="FOURNISSEURS"/>
    <s v="BPRI"/>
    <n v="47.76"/>
    <d v="2025-01-02T00:00:00"/>
    <s v="EVI REMISE"/>
    <m/>
    <e v="#N/A"/>
    <e v="#N/A"/>
    <n v="20868"/>
    <s v="0GL8HED"/>
    <s v="VWR AVANTOR"/>
    <s v="Q1"/>
    <e v="#REF!"/>
    <e v="#REF!"/>
    <e v="#REF!"/>
  </r>
  <r>
    <s v="401000"/>
    <x v="6"/>
    <s v="FOURNISSEURS"/>
    <s v="BPRI"/>
    <n v="48.07"/>
    <d v="2025-03-28T00:00:00"/>
    <s v="Invoice Payment by Pili"/>
    <m/>
    <e v="#N/A"/>
    <e v="#N/A"/>
    <n v="64971"/>
    <m/>
    <m/>
    <s v="Q1"/>
    <e v="#REF!"/>
    <e v="#REF!"/>
    <e v="#REF!"/>
  </r>
  <r>
    <s v="401000"/>
    <x v="6"/>
    <s v="FOURNISSEURS"/>
    <s v="BPRI"/>
    <n v="48.72"/>
    <d v="2025-07-31T00:00:00"/>
    <s v="COMMANDE PRODUIT KEENB"/>
    <m/>
    <e v="#N/A"/>
    <e v="#N/A"/>
    <n v="79309"/>
    <m/>
    <m/>
    <s v="Q3"/>
    <e v="#REF!"/>
    <e v="#REF!"/>
    <e v="#REF!"/>
  </r>
  <r>
    <s v="401000"/>
    <x v="6"/>
    <s v="FOURNISSEURS"/>
    <s v="BPRI"/>
    <n v="49"/>
    <d v="2025-04-08T00:00:00"/>
    <s v="Invoice Payment by Pili"/>
    <m/>
    <e v="#N/A"/>
    <e v="#N/A"/>
    <n v="66684"/>
    <m/>
    <m/>
    <s v="Q2"/>
    <e v="#REF!"/>
    <e v="#REF!"/>
    <e v="#REF!"/>
  </r>
  <r>
    <s v="401000"/>
    <x v="6"/>
    <s v="FOURNISSEURS"/>
    <s v="BPRI"/>
    <n v="49.81"/>
    <d v="2025-11-07T00:00:00"/>
    <s v="4067825047"/>
    <m/>
    <e v="#N/A"/>
    <e v="#N/A"/>
    <n v="89431"/>
    <m/>
    <m/>
    <s v="Q4"/>
    <e v="#REF!"/>
    <e v="#REF!"/>
    <e v="#REF!"/>
  </r>
  <r>
    <s v="401000"/>
    <x v="6"/>
    <s v="FOURNISSEURS"/>
    <s v="BPRI"/>
    <n v="49.94"/>
    <d v="2025-01-10T00:00:00"/>
    <s v="PRLV SEPA DHL INTERNAT. EXP FRA"/>
    <m/>
    <e v="#N/A"/>
    <e v="#N/A"/>
    <n v="20942"/>
    <s v="071DKM1"/>
    <s v="DHL"/>
    <s v="Q1"/>
    <e v="#REF!"/>
    <e v="#REF!"/>
    <e v="#REF!"/>
  </r>
  <r>
    <s v="401000"/>
    <x v="6"/>
    <s v="FOURNISSEURS"/>
    <s v="BPRI"/>
    <n v="50"/>
    <d v="2025-03-08T00:00:00"/>
    <s v="CB JERBLA - SNCF"/>
    <m/>
    <e v="#N/A"/>
    <e v="#N/A"/>
    <n v="60080"/>
    <m/>
    <s v="SNCF"/>
    <s v="Q1"/>
    <e v="#REF!"/>
    <e v="#REF!"/>
    <e v="#REF!"/>
  </r>
  <r>
    <s v="512100"/>
    <x v="6"/>
    <s v="BANQUE POPULAIRE RIVE DE PARIS"/>
    <s v="BPRI"/>
    <n v="18"/>
    <d v="2025-12-08T00:00:00"/>
    <s v="/LIB/ANNUL.FACT.CB/LIB/SNCF-VOYAGEURS D/LIB/061225 CB    3583/LIB/SNCF-VOYAGEURS DONT FRAIS: 0,00E/LIB/18,00EUR 1 EURO   1,00000"/>
    <m/>
    <e v="#N/A"/>
    <e v="#N/A"/>
    <n v="91889"/>
    <m/>
    <s v="SNCF"/>
    <s v="Q4"/>
    <e v="#REF!"/>
    <e v="#REF!"/>
    <e v="#REF!"/>
  </r>
  <r>
    <s v="401000"/>
    <x v="6"/>
    <s v="FOURNISSEURS"/>
    <s v="BPRI"/>
    <n v="50.98"/>
    <d v="2025-08-18T00:00:00"/>
    <s v="COMMANDE PRODUIT KEENB"/>
    <m/>
    <e v="#N/A"/>
    <e v="#N/A"/>
    <n v="81160"/>
    <m/>
    <m/>
    <s v="Q3"/>
    <e v="#REF!"/>
    <e v="#REF!"/>
    <e v="#REF!"/>
  </r>
  <r>
    <s v="401000"/>
    <x v="6"/>
    <s v="FOURNISSEURS"/>
    <s v="BPRI"/>
    <n v="51.36"/>
    <d v="2025-04-08T00:00:00"/>
    <s v="Invoice Payment By Pili"/>
    <m/>
    <e v="#N/A"/>
    <e v="#N/A"/>
    <n v="66699"/>
    <m/>
    <m/>
    <s v="Q2"/>
    <e v="#REF!"/>
    <e v="#REF!"/>
    <e v="#REF!"/>
  </r>
  <r>
    <s v="401000"/>
    <x v="6"/>
    <s v="FOURNISSEURS"/>
    <s v="BPRI"/>
    <n v="52.2"/>
    <d v="2025-01-27T00:00:00"/>
    <s v="PRLV SEPA ORANGE SA"/>
    <m/>
    <e v="#N/A"/>
    <e v="#N/A"/>
    <n v="21092"/>
    <s v="075HSL8"/>
    <s v="ORANGE"/>
    <s v="Q1"/>
    <e v="#REF!"/>
    <e v="#REF!"/>
    <e v="#REF!"/>
  </r>
  <r>
    <s v="401000"/>
    <x v="6"/>
    <s v="FOURNISSEURS"/>
    <s v="BPRI"/>
    <n v="52.2"/>
    <d v="2025-02-24T00:00:00"/>
    <s v="PRLV SEPA ORANGE SA"/>
    <m/>
    <e v="#N/A"/>
    <e v="#N/A"/>
    <n v="21398"/>
    <s v="07EDY8T"/>
    <s v="ORANGE"/>
    <s v="Q1"/>
    <e v="#REF!"/>
    <e v="#REF!"/>
    <e v="#REF!"/>
  </r>
  <r>
    <s v="401000"/>
    <x v="6"/>
    <s v="FOURNISSEURS"/>
    <s v="BPRI"/>
    <n v="52.2"/>
    <d v="2025-03-24T00:00:00"/>
    <s v="Prélèvement fournisseurs"/>
    <m/>
    <e v="#N/A"/>
    <e v="#N/A"/>
    <n v="61904"/>
    <m/>
    <s v="ORANGE"/>
    <s v="Q1"/>
    <e v="#REF!"/>
    <e v="#REF!"/>
    <e v="#REF!"/>
  </r>
  <r>
    <s v="401000"/>
    <x v="6"/>
    <s v="FOURNISSEURS"/>
    <s v="BPRI"/>
    <n v="52.2"/>
    <d v="2025-04-28T00:00:00"/>
    <s v="Prélèvement Fournisseur"/>
    <m/>
    <e v="#N/A"/>
    <e v="#N/A"/>
    <n v="70451"/>
    <m/>
    <s v="ORANGE"/>
    <s v="Q2"/>
    <e v="#REF!"/>
    <e v="#REF!"/>
    <e v="#REF!"/>
  </r>
  <r>
    <s v="401000"/>
    <x v="6"/>
    <s v="FOURNISSEURS"/>
    <s v="BPRI"/>
    <n v="52.26"/>
    <d v="2025-08-18T00:00:00"/>
    <s v="COMMANDE PRODUIT KEENB"/>
    <m/>
    <e v="#N/A"/>
    <e v="#N/A"/>
    <n v="81170"/>
    <m/>
    <m/>
    <s v="Q3"/>
    <e v="#REF!"/>
    <e v="#REF!"/>
    <e v="#REF!"/>
  </r>
  <r>
    <s v="401000"/>
    <x v="6"/>
    <s v="FOURNISSEURS"/>
    <s v="BPRI"/>
    <n v="54.85"/>
    <d v="2025-05-08T00:00:00"/>
    <s v="Prélèvement DHL"/>
    <m/>
    <e v="#N/A"/>
    <e v="#N/A"/>
    <n v="71709"/>
    <m/>
    <s v="DHL"/>
    <s v="Q2"/>
    <e v="#REF!"/>
    <e v="#REF!"/>
    <e v="#REF!"/>
  </r>
  <r>
    <s v="401000"/>
    <x v="6"/>
    <s v="FOURNISSEURS"/>
    <s v="BPRI"/>
    <n v="-75"/>
    <d v="2025-12-12T00:00:00"/>
    <s v="/LIB/ANNUL.FACT.CB/LIB/SNCF-VOYAGEURS D/LIB/111225 CB    6880/LIB/SNCF-VOYAGEURS DONT FRAIS: 0,00E/LIB/75,00EUR 1 EURO   1,00000"/>
    <m/>
    <e v="#N/A"/>
    <e v="#N/A"/>
    <n v="92117"/>
    <m/>
    <s v="SNCF"/>
    <s v="Q4"/>
    <e v="#REF!"/>
    <e v="#REF!"/>
    <e v="#REF!"/>
  </r>
  <r>
    <s v="512100"/>
    <x v="6"/>
    <s v="BANQUE POPULAIRE RIVE DE PARIS"/>
    <s v="BPRI"/>
    <n v="75"/>
    <d v="2025-12-12T00:00:00"/>
    <s v="/LIB/ANNUL.FACT.CB/LIB/SNCF-VOYAGEURS D/LIB/111225 CB    6880/LIB/SNCF-VOYAGEURS DONT FRAIS: 0,00E/LIB/75,00EUR 1 EURO   1,00000"/>
    <m/>
    <e v="#N/A"/>
    <e v="#N/A"/>
    <n v="92116"/>
    <m/>
    <s v="SNCF"/>
    <s v="Q4"/>
    <e v="#REF!"/>
    <e v="#REF!"/>
    <e v="#REF!"/>
  </r>
  <r>
    <s v="401000"/>
    <x v="6"/>
    <s v="FOURNISSEURS"/>
    <s v="BPRI"/>
    <n v="-55"/>
    <d v="2025-12-16T00:00:00"/>
    <s v="/LIB/ANNUL.FACT.CB/LIB/SNCF-VOYAGEURS D/LIB/151225 CB    3583/LIB/SNCF-VOYAGEURS DONT FRAIS: 0,00E/LIB/55,00EUR 1 EURO   1,00000"/>
    <m/>
    <e v="#N/A"/>
    <e v="#N/A"/>
    <n v="92208"/>
    <m/>
    <s v="SNCF"/>
    <s v="Q4"/>
    <e v="#REF!"/>
    <e v="#REF!"/>
    <e v="#REF!"/>
  </r>
  <r>
    <s v="512100"/>
    <x v="6"/>
    <s v="BANQUE POPULAIRE RIVE DE PARIS"/>
    <s v="BPRI"/>
    <n v="55"/>
    <d v="2025-12-16T00:00:00"/>
    <s v="/LIB/ANNUL.FACT.CB/LIB/SNCF-VOYAGEURS D/LIB/151225 CB    3583/LIB/SNCF-VOYAGEURS DONT FRAIS: 0,00E/LIB/55,00EUR 1 EURO   1,00000"/>
    <m/>
    <e v="#N/A"/>
    <e v="#N/A"/>
    <n v="92207"/>
    <m/>
    <s v="SNCF"/>
    <s v="Q4"/>
    <e v="#REF!"/>
    <e v="#REF!"/>
    <e v="#REF!"/>
  </r>
  <r>
    <s v="401000"/>
    <x v="6"/>
    <s v="FOURNISSEURS"/>
    <s v="BPRI"/>
    <n v="-11"/>
    <d v="2025-11-21T00:00:00"/>
    <s v="/LIB/ANNUL.FACT.CB/LIB/SNCF-VOYAGEURS D/LIB/201125 CB    3583/LIB/SNCF-VOYAGEURS DONT FRAIS: 0,00E/LIB/11,00EUR 1 EURO   1,00000"/>
    <m/>
    <e v="#N/A"/>
    <e v="#N/A"/>
    <n v="90581"/>
    <m/>
    <s v="SNCF"/>
    <s v="Q4"/>
    <e v="#REF!"/>
    <e v="#REF!"/>
    <e v="#REF!"/>
  </r>
  <r>
    <s v="401000"/>
    <x v="6"/>
    <s v="FOURNISSEURS"/>
    <s v="BPRI"/>
    <n v="55.28"/>
    <d v="2025-06-05T00:00:00"/>
    <s v="Prélèvement - Bouygues Telecom"/>
    <m/>
    <e v="#N/A"/>
    <e v="#N/A"/>
    <n v="75555"/>
    <m/>
    <s v="BOUYGUES TELECOM"/>
    <s v="Q2"/>
    <e v="#REF!"/>
    <e v="#REF!"/>
    <e v="#REF!"/>
  </r>
  <r>
    <s v="401000"/>
    <x v="6"/>
    <s v="FOURNISSEURS"/>
    <s v="BPRI"/>
    <n v="55.55"/>
    <d v="2025-06-05T00:00:00"/>
    <s v="Prélèvement - Engie"/>
    <m/>
    <e v="#N/A"/>
    <e v="#N/A"/>
    <n v="75558"/>
    <m/>
    <s v="ENGIE"/>
    <s v="Q2"/>
    <e v="#REF!"/>
    <e v="#REF!"/>
    <e v="#REF!"/>
  </r>
  <r>
    <s v="401000"/>
    <x v="6"/>
    <s v="FOURNISSEURS"/>
    <s v="BPRI"/>
    <n v="55.78"/>
    <d v="2025-10-31T00:00:00"/>
    <s v="COMMANDE PRODUIT LISA"/>
    <m/>
    <e v="#N/A"/>
    <e v="#N/A"/>
    <n v="87573"/>
    <m/>
    <m/>
    <s v="Q4"/>
    <e v="#REF!"/>
    <e v="#REF!"/>
    <e v="#REF!"/>
  </r>
  <r>
    <s v="401000"/>
    <x v="6"/>
    <s v="FOURNISSEURS"/>
    <s v="BPRI"/>
    <n v="56.14"/>
    <d v="2025-03-18T00:00:00"/>
    <s v="Règlement Facture 4067640910"/>
    <m/>
    <e v="#N/A"/>
    <e v="#N/A"/>
    <n v="61866"/>
    <m/>
    <m/>
    <s v="Q1"/>
    <e v="#REF!"/>
    <e v="#REF!"/>
    <e v="#REF!"/>
  </r>
  <r>
    <s v="401000"/>
    <x v="6"/>
    <s v="FOURNISSEURS"/>
    <s v="BPRI"/>
    <n v="57.55"/>
    <d v="2025-05-07T00:00:00"/>
    <s v="ACIDE SULFURIQUE 95 % TECHNICAL FLACON VERRE 1L"/>
    <m/>
    <e v="#N/A"/>
    <e v="#N/A"/>
    <n v="71849"/>
    <m/>
    <m/>
    <s v="Q2"/>
    <e v="#REF!"/>
    <e v="#REF!"/>
    <e v="#REF!"/>
  </r>
  <r>
    <s v="401000"/>
    <x v="6"/>
    <s v="FOURNISSEURS"/>
    <s v="BPRI"/>
    <n v="58"/>
    <d v="2025-05-14T00:00:00"/>
    <s v="Prélèvement BPRI"/>
    <m/>
    <e v="#N/A"/>
    <e v="#N/A"/>
    <n v="72358"/>
    <m/>
    <s v="Banque Populaire Rive de Paris"/>
    <s v="Q2"/>
    <e v="#REF!"/>
    <e v="#REF!"/>
    <e v="#REF!"/>
  </r>
  <r>
    <s v="401000"/>
    <x v="6"/>
    <s v="FOURNISSEURS"/>
    <s v="BPRI"/>
    <n v="58"/>
    <d v="2025-05-30T00:00:00"/>
    <s v="Cotisation CB PSI"/>
    <m/>
    <e v="#N/A"/>
    <e v="#N/A"/>
    <n v="74997"/>
    <m/>
    <s v="Banque Populaire Rive de Paris"/>
    <s v="Q2"/>
    <e v="#REF!"/>
    <e v="#REF!"/>
    <e v="#REF!"/>
  </r>
  <r>
    <s v="512100"/>
    <x v="6"/>
    <s v="BANQUE POPULAIRE RIVE DE PARIS"/>
    <s v="BPRI"/>
    <n v="11"/>
    <d v="2025-11-21T00:00:00"/>
    <s v="/LIB/ANNUL.FACT.CB/LIB/SNCF-VOYAGEURS D/LIB/201125 CB    3583/LIB/SNCF-VOYAGEURS DONT FRAIS: 0,00E/LIB/11,00EUR 1 EURO   1,00000"/>
    <m/>
    <e v="#N/A"/>
    <e v="#N/A"/>
    <n v="90580"/>
    <m/>
    <s v="SNCF"/>
    <s v="Q4"/>
    <e v="#REF!"/>
    <e v="#REF!"/>
    <e v="#REF!"/>
  </r>
  <r>
    <s v="401000"/>
    <x v="6"/>
    <s v="FOURNISSEURS"/>
    <s v="BPRI"/>
    <n v="-43"/>
    <d v="2025-11-21T00:00:00"/>
    <s v="/LIB/ANNUL.FACT.CB/LIB/SNCF-VOYAGEURS D/LIB/201125 CB    3583/LIB/SNCF-VOYAGEURS DONT FRAIS: 0,00E/LIB/43,00EUR 1 EURO   1,00000"/>
    <m/>
    <e v="#N/A"/>
    <e v="#N/A"/>
    <n v="90584"/>
    <m/>
    <s v="SNCF"/>
    <s v="Q4"/>
    <e v="#REF!"/>
    <e v="#REF!"/>
    <e v="#REF!"/>
  </r>
  <r>
    <s v="401000"/>
    <x v="6"/>
    <s v="FOURNISSEURS"/>
    <s v="BPRI"/>
    <n v="60"/>
    <d v="2025-10-06T00:00:00"/>
    <s v="PRODUIT KEENB"/>
    <m/>
    <e v="#N/A"/>
    <e v="#N/A"/>
    <n v="82903"/>
    <m/>
    <m/>
    <s v="Q4"/>
    <e v="#REF!"/>
    <e v="#REF!"/>
    <e v="#REF!"/>
  </r>
  <r>
    <s v="512100"/>
    <x v="6"/>
    <s v="BANQUE POPULAIRE RIVE DE PARIS"/>
    <s v="BPRI"/>
    <n v="43"/>
    <d v="2025-11-21T00:00:00"/>
    <s v="/LIB/ANNUL.FACT.CB/LIB/SNCF-VOYAGEURS D/LIB/201125 CB    3583/LIB/SNCF-VOYAGEURS DONT FRAIS: 0,00E/LIB/43,00EUR 1 EURO   1,00000"/>
    <m/>
    <e v="#N/A"/>
    <e v="#N/A"/>
    <n v="90583"/>
    <m/>
    <s v="SNCF"/>
    <s v="Q4"/>
    <e v="#REF!"/>
    <e v="#REF!"/>
    <e v="#REF!"/>
  </r>
  <r>
    <s v="401000"/>
    <x v="6"/>
    <s v="FOURNISSEURS"/>
    <s v="BPRI"/>
    <n v="61.12"/>
    <d v="2025-02-22T00:00:00"/>
    <s v="200225 CB    6880"/>
    <m/>
    <e v="#N/A"/>
    <e v="#N/A"/>
    <n v="21394"/>
    <s v="2GT8ZA1"/>
    <s v="ORANGE"/>
    <s v="Q1"/>
    <e v="#REF!"/>
    <e v="#REF!"/>
    <e v="#REF!"/>
  </r>
  <r>
    <s v="401000"/>
    <x v="6"/>
    <s v="FOURNISSEURS"/>
    <s v="BPRI"/>
    <n v="62.17"/>
    <d v="2025-03-19T00:00:00"/>
    <s v="Invoice Payment by Pili"/>
    <m/>
    <e v="#N/A"/>
    <e v="#N/A"/>
    <n v="61884"/>
    <m/>
    <m/>
    <s v="Q1"/>
    <e v="#REF!"/>
    <e v="#REF!"/>
    <e v="#REF!"/>
  </r>
  <r>
    <s v="401000"/>
    <x v="6"/>
    <s v="FOURNISSEURS"/>
    <s v="BPRI"/>
    <n v="62.22"/>
    <d v="2025-03-14T00:00:00"/>
    <s v="Prélèvement fournisseurs"/>
    <m/>
    <e v="#N/A"/>
    <e v="#N/A"/>
    <n v="61695"/>
    <m/>
    <s v="DHL"/>
    <s v="Q1"/>
    <e v="#REF!"/>
    <e v="#REF!"/>
    <e v="#REF!"/>
  </r>
  <r>
    <s v="401000"/>
    <x v="6"/>
    <s v="FOURNISSEURS"/>
    <s v="BPRI"/>
    <n v="-73"/>
    <d v="2025-11-26T00:00:00"/>
    <s v="/LIB/ANNUL.FACT.CB/LIB/SNCF-VOYAGEURS D/LIB/251125 CB    3583/LIB/SNCF-VOYAGEURS DONT FRAIS: 0,00E/LIB/73,00EUR 1 EURO   1,00000"/>
    <m/>
    <e v="#N/A"/>
    <e v="#N/A"/>
    <n v="91272"/>
    <m/>
    <s v="SNCF"/>
    <s v="Q4"/>
    <e v="#REF!"/>
    <e v="#REF!"/>
    <e v="#REF!"/>
  </r>
  <r>
    <s v="401000"/>
    <x v="6"/>
    <s v="FOURNISSEURS"/>
    <s v="BPRI"/>
    <n v="63.34"/>
    <d v="2025-04-11T00:00:00"/>
    <s v="Prélèvement DHL"/>
    <m/>
    <e v="#N/A"/>
    <e v="#N/A"/>
    <n v="66737"/>
    <m/>
    <s v="DHL"/>
    <s v="Q2"/>
    <e v="#REF!"/>
    <e v="#REF!"/>
    <e v="#REF!"/>
  </r>
  <r>
    <s v="512100"/>
    <x v="6"/>
    <s v="BANQUE POPULAIRE RIVE DE PARIS"/>
    <s v="BPRI"/>
    <n v="73"/>
    <d v="2025-11-26T00:00:00"/>
    <s v="/LIB/ANNUL.FACT.CB/LIB/SNCF-VOYAGEURS D/LIB/251125 CB    3583/LIB/SNCF-VOYAGEURS DONT FRAIS: 0,00E/LIB/73,00EUR 1 EURO   1,00000"/>
    <m/>
    <e v="#N/A"/>
    <e v="#N/A"/>
    <n v="91271"/>
    <m/>
    <s v="SNCF"/>
    <s v="Q4"/>
    <e v="#REF!"/>
    <e v="#REF!"/>
    <e v="#REF!"/>
  </r>
  <r>
    <s v="401000"/>
    <x v="6"/>
    <s v="FOURNISSEURS"/>
    <s v="BPRI"/>
    <n v="64"/>
    <d v="2025-04-30T00:00:00"/>
    <s v="Règlement CB JERBLA"/>
    <m/>
    <e v="#N/A"/>
    <e v="#N/A"/>
    <n v="70627"/>
    <m/>
    <s v="SNCF"/>
    <s v="Q2"/>
    <e v="#REF!"/>
    <e v="#REF!"/>
    <e v="#REF!"/>
  </r>
  <r>
    <s v="401000"/>
    <x v="6"/>
    <s v="FOURNISSEURS"/>
    <s v="BPRI"/>
    <n v="64"/>
    <d v="2025-06-16T00:00:00"/>
    <s v="CB SNCF-VOYAGEURS"/>
    <m/>
    <e v="#N/A"/>
    <e v="#N/A"/>
    <n v="76092"/>
    <m/>
    <s v="SNCF"/>
    <s v="Q2"/>
    <e v="#REF!"/>
    <e v="#REF!"/>
    <e v="#REF!"/>
  </r>
  <r>
    <s v="401000"/>
    <x v="6"/>
    <s v="FOURNISSEURS"/>
    <s v="BPRI"/>
    <n v="832.28"/>
    <d v="2025-10-10T00:00:00"/>
    <s v="/LIB/ARRETE COMPTE/LIB/3 EME TRIMESTRE/LIB/3 EME TRIMESTRE 2025"/>
    <m/>
    <e v="#N/A"/>
    <e v="#N/A"/>
    <n v="86924"/>
    <m/>
    <s v="Banque Populaire Rive de Paris"/>
    <s v="Q4"/>
    <e v="#REF!"/>
    <e v="#REF!"/>
    <e v="#REF!"/>
  </r>
  <r>
    <s v="401000"/>
    <x v="6"/>
    <s v="FOURNISSEURS"/>
    <s v="BPRI"/>
    <n v="64.09"/>
    <d v="2025-04-02T00:00:00"/>
    <s v="Invoice Payment by Pili"/>
    <m/>
    <e v="#N/A"/>
    <e v="#N/A"/>
    <n v="66500"/>
    <m/>
    <m/>
    <s v="Q2"/>
    <e v="#REF!"/>
    <e v="#REF!"/>
    <e v="#REF!"/>
  </r>
  <r>
    <s v="401000"/>
    <x v="6"/>
    <s v="FOURNISSEURS"/>
    <s v="BPRI"/>
    <n v="65.2"/>
    <d v="2025-10-31T00:00:00"/>
    <s v="CONSOMMABLE LABO"/>
    <m/>
    <e v="#N/A"/>
    <e v="#N/A"/>
    <n v="87578"/>
    <m/>
    <m/>
    <s v="Q4"/>
    <e v="#REF!"/>
    <e v="#REF!"/>
    <e v="#REF!"/>
  </r>
  <r>
    <s v="401000"/>
    <x v="6"/>
    <s v="FOURNISSEURS"/>
    <s v="BPRI"/>
    <n v="65.2"/>
    <d v="2025-10-31T00:00:00"/>
    <s v="CONSOMMABLE LABO"/>
    <m/>
    <e v="#N/A"/>
    <e v="#N/A"/>
    <n v="87583"/>
    <m/>
    <m/>
    <s v="Q4"/>
    <e v="#REF!"/>
    <e v="#REF!"/>
    <e v="#REF!"/>
  </r>
  <r>
    <s v="401000"/>
    <x v="6"/>
    <s v="FOURNISSEURS"/>
    <s v="BPRI"/>
    <n v="66.27"/>
    <d v="2025-11-27T00:00:00"/>
    <s v="INDIGO - ALTAIR - C2025803"/>
    <s v="Non"/>
    <s v="Non"/>
    <e v="#N/A"/>
    <n v="91173"/>
    <m/>
    <s v="ALTAIR AVOCATS"/>
    <s v="Q4"/>
    <e v="#REF!"/>
    <e v="#REF!"/>
    <e v="#REF!"/>
  </r>
  <r>
    <s v="401000"/>
    <x v="6"/>
    <s v="FOURNISSEURS"/>
    <s v="BPRI"/>
    <n v="66.38"/>
    <d v="2025-01-24T00:00:00"/>
    <s v="PRLV SEPA DHL INTERNAT. EXP FRA"/>
    <m/>
    <e v="#N/A"/>
    <e v="#N/A"/>
    <n v="21076"/>
    <s v="075B2UO"/>
    <s v="DHL"/>
    <s v="Q1"/>
    <e v="#REF!"/>
    <e v="#REF!"/>
    <e v="#REF!"/>
  </r>
  <r>
    <s v="512100"/>
    <x v="6"/>
    <s v="BANQUE POPULAIRE RIVE DE PARIS"/>
    <s v="BPRI"/>
    <n v="-832.28"/>
    <d v="2025-10-10T00:00:00"/>
    <s v="/LIB/ARRETE COMPTE/LIB/3 EME TRIMESTRE/LIB/3 EME TRIMESTRE 2025"/>
    <m/>
    <e v="#N/A"/>
    <e v="#N/A"/>
    <n v="86923"/>
    <m/>
    <s v="Banque Populaire Rive de Paris"/>
    <s v="Q4"/>
    <e v="#REF!"/>
    <e v="#REF!"/>
    <e v="#REF!"/>
  </r>
  <r>
    <s v="401000"/>
    <x v="6"/>
    <s v="FOURNISSEURS"/>
    <s v="BPRI"/>
    <n v="66.959999999999994"/>
    <d v="2025-04-08T00:00:00"/>
    <s v="Invoice Payment By Pili"/>
    <m/>
    <e v="#N/A"/>
    <e v="#N/A"/>
    <n v="66692"/>
    <m/>
    <m/>
    <s v="Q2"/>
    <e v="#REF!"/>
    <e v="#REF!"/>
    <e v="#REF!"/>
  </r>
  <r>
    <s v="401000"/>
    <x v="6"/>
    <s v="FOURNISSEURS"/>
    <s v="BPRI"/>
    <n v="5.7"/>
    <d v="2025-12-02T00:00:00"/>
    <s v="/LIB/COM /VIR INTRNT"/>
    <m/>
    <e v="#N/A"/>
    <e v="#N/A"/>
    <n v="91313"/>
    <m/>
    <s v="Banque Populaire Rive de Paris"/>
    <s v="Q4"/>
    <e v="#REF!"/>
    <e v="#REF!"/>
    <e v="#REF!"/>
  </r>
  <r>
    <s v="512100"/>
    <x v="6"/>
    <s v="BANQUE POPULAIRE RIVE DE PARIS"/>
    <s v="BPRI"/>
    <n v="-5.7"/>
    <d v="2025-12-02T00:00:00"/>
    <s v="/LIB/COM /VIR INTRNT"/>
    <m/>
    <e v="#N/A"/>
    <e v="#N/A"/>
    <n v="91312"/>
    <m/>
    <s v="Banque Populaire Rive de Paris"/>
    <s v="Q4"/>
    <e v="#REF!"/>
    <e v="#REF!"/>
    <e v="#REF!"/>
  </r>
  <r>
    <s v="401000"/>
    <x v="6"/>
    <s v="FOURNISSEURS"/>
    <s v="BPRI"/>
    <n v="67.08"/>
    <d v="2025-05-07T00:00:00"/>
    <s v="COMMANDE PRODUIT KEENB"/>
    <m/>
    <e v="#N/A"/>
    <e v="#N/A"/>
    <n v="71829"/>
    <m/>
    <m/>
    <s v="Q2"/>
    <e v="#REF!"/>
    <e v="#REF!"/>
    <e v="#REF!"/>
  </r>
  <r>
    <s v="401000"/>
    <x v="6"/>
    <s v="FOURNISSEURS"/>
    <s v="BPRI"/>
    <n v="68.39"/>
    <d v="2025-04-18T00:00:00"/>
    <s v="Invoice Payment by Pili"/>
    <m/>
    <e v="#N/A"/>
    <e v="#N/A"/>
    <n v="68151"/>
    <m/>
    <m/>
    <s v="Q2"/>
    <e v="#REF!"/>
    <e v="#REF!"/>
    <e v="#REF!"/>
  </r>
  <r>
    <s v="401000"/>
    <x v="6"/>
    <s v="FOURNISSEURS"/>
    <s v="BPRI"/>
    <n v="68.39"/>
    <d v="2025-06-02T00:00:00"/>
    <s v="Invoice Payment By Pili"/>
    <m/>
    <e v="#N/A"/>
    <e v="#N/A"/>
    <n v="75241"/>
    <m/>
    <m/>
    <s v="Q2"/>
    <e v="#REF!"/>
    <e v="#REF!"/>
    <e v="#REF!"/>
  </r>
  <r>
    <s v="401000"/>
    <x v="6"/>
    <s v="FOURNISSEURS"/>
    <s v="BPRI"/>
    <n v="68.39"/>
    <d v="2025-07-22T00:00:00"/>
    <s v="LIVRAISON EAU ROUSSILLON"/>
    <m/>
    <e v="#N/A"/>
    <e v="#N/A"/>
    <n v="78304"/>
    <m/>
    <m/>
    <s v="Q3"/>
    <e v="#REF!"/>
    <e v="#REF!"/>
    <e v="#REF!"/>
  </r>
  <r>
    <s v="401000"/>
    <x v="6"/>
    <s v="FOURNISSEURS"/>
    <s v="BPRI"/>
    <n v="15.4"/>
    <d v="2025-11-05T00:00:00"/>
    <s v="/LIB/COMMISSION DE CHANGE/LIB/COMMISSION DE CHANGE/LIB/XCVEP050 2025110400010676000001/LIB/REF OPERATION : L719180"/>
    <m/>
    <e v="#N/A"/>
    <e v="#N/A"/>
    <n v="89253"/>
    <m/>
    <s v="Banque Populaire Rive de Paris"/>
    <s v="Q4"/>
    <e v="#REF!"/>
    <e v="#REF!"/>
    <e v="#REF!"/>
  </r>
  <r>
    <s v="401000"/>
    <x v="6"/>
    <s v="FOURNISSEURS"/>
    <s v="BPRI"/>
    <n v="69.16"/>
    <d v="2025-05-08T00:00:00"/>
    <s v="Prélèvement Engie"/>
    <m/>
    <e v="#N/A"/>
    <e v="#N/A"/>
    <n v="71721"/>
    <m/>
    <s v="ENGIE"/>
    <s v="Q2"/>
    <e v="#REF!"/>
    <e v="#REF!"/>
    <e v="#REF!"/>
  </r>
  <r>
    <s v="401000"/>
    <x v="6"/>
    <s v="FOURNISSEURS"/>
    <s v="BPRI"/>
    <n v="70"/>
    <d v="2025-01-10T00:00:00"/>
    <s v="PRLV SEPA BPCE VIE"/>
    <m/>
    <e v="#N/A"/>
    <e v="#N/A"/>
    <n v="20938"/>
    <s v="06Z76FE"/>
    <s v="Banque Populaire Rive de Paris"/>
    <s v="Q1"/>
    <e v="#REF!"/>
    <e v="#REF!"/>
    <e v="#REF!"/>
  </r>
  <r>
    <s v="401000"/>
    <x v="6"/>
    <s v="FOURNISSEURS"/>
    <s v="BPRI"/>
    <n v="70"/>
    <d v="2025-04-30T00:00:00"/>
    <s v="Règlement CB JERBLA"/>
    <m/>
    <e v="#N/A"/>
    <e v="#N/A"/>
    <n v="70630"/>
    <m/>
    <s v="SNCF"/>
    <s v="Q2"/>
    <e v="#REF!"/>
    <e v="#REF!"/>
    <e v="#REF!"/>
  </r>
  <r>
    <s v="401000"/>
    <x v="6"/>
    <s v="FOURNISSEURS"/>
    <s v="BPRI"/>
    <n v="71"/>
    <d v="2025-01-02T00:00:00"/>
    <s v="010125 CB    3583"/>
    <m/>
    <e v="#N/A"/>
    <e v="#N/A"/>
    <n v="20850"/>
    <s v="04GY35H"/>
    <s v="SNCF"/>
    <s v="Q1"/>
    <e v="#REF!"/>
    <e v="#REF!"/>
    <e v="#REF!"/>
  </r>
  <r>
    <s v="401000"/>
    <x v="6"/>
    <s v="FOURNISSEURS"/>
    <s v="BPRI"/>
    <n v="71"/>
    <d v="2025-01-02T00:00:00"/>
    <s v="010125 CB    3583"/>
    <m/>
    <e v="#N/A"/>
    <e v="#N/A"/>
    <n v="20852"/>
    <s v="04GY35I"/>
    <s v="SNCF"/>
    <s v="Q1"/>
    <e v="#REF!"/>
    <e v="#REF!"/>
    <e v="#REF!"/>
  </r>
  <r>
    <s v="401000"/>
    <x v="6"/>
    <s v="FOURNISSEURS"/>
    <s v="BPRI"/>
    <n v="71.36"/>
    <d v="2025-07-31T00:00:00"/>
    <s v="COMMANDE PRODUIT KEENY"/>
    <m/>
    <e v="#N/A"/>
    <e v="#N/A"/>
    <n v="79304"/>
    <m/>
    <m/>
    <s v="Q3"/>
    <e v="#REF!"/>
    <e v="#REF!"/>
    <e v="#REF!"/>
  </r>
  <r>
    <s v="401000"/>
    <x v="6"/>
    <s v="FOURNISSEURS"/>
    <s v="BPRI"/>
    <n v="71.88"/>
    <d v="2025-09-12T00:00:00"/>
    <s v="AFFICHE"/>
    <m/>
    <e v="#N/A"/>
    <e v="#N/A"/>
    <n v="82075"/>
    <m/>
    <s v="BRUNEAU"/>
    <s v="Q3"/>
    <e v="#REF!"/>
    <e v="#REF!"/>
    <e v="#REF!"/>
  </r>
  <r>
    <s v="401000"/>
    <x v="6"/>
    <s v="FOURNISSEURS"/>
    <s v="BPRI"/>
    <n v="71.900000000000006"/>
    <d v="2025-09-12T00:00:00"/>
    <s v="PRODUIT KEENB"/>
    <m/>
    <e v="#N/A"/>
    <e v="#N/A"/>
    <n v="82044"/>
    <m/>
    <m/>
    <s v="Q3"/>
    <e v="#REF!"/>
    <e v="#REF!"/>
    <e v="#REF!"/>
  </r>
  <r>
    <s v="401000"/>
    <x v="6"/>
    <s v="FOURNISSEURS"/>
    <s v="BPRI"/>
    <n v="72"/>
    <d v="2025-01-30T00:00:00"/>
    <s v="EVI REMISE"/>
    <m/>
    <e v="#N/A"/>
    <e v="#N/A"/>
    <n v="21137"/>
    <s v="0GLGCRU"/>
    <s v="ECHAFAUDAGE"/>
    <s v="Q1"/>
    <e v="#REF!"/>
    <e v="#REF!"/>
    <e v="#REF!"/>
  </r>
  <r>
    <s v="401000"/>
    <x v="6"/>
    <s v="FOURNISSEURS"/>
    <s v="BPRI"/>
    <n v="72"/>
    <d v="2025-03-04T00:00:00"/>
    <s v="Règlement fournisseurs"/>
    <m/>
    <e v="#N/A"/>
    <e v="#N/A"/>
    <n v="58980"/>
    <m/>
    <s v="ECHAFAUDAGE"/>
    <s v="Q1"/>
    <e v="#REF!"/>
    <e v="#REF!"/>
    <e v="#REF!"/>
  </r>
  <r>
    <s v="401000"/>
    <x v="6"/>
    <s v="FOURNISSEURS"/>
    <s v="BPRI"/>
    <n v="72"/>
    <d v="2025-05-14T00:00:00"/>
    <s v="Invoice Payment by Pili"/>
    <m/>
    <e v="#N/A"/>
    <e v="#N/A"/>
    <n v="72320"/>
    <m/>
    <m/>
    <s v="Q2"/>
    <e v="#REF!"/>
    <e v="#REF!"/>
    <e v="#REF!"/>
  </r>
  <r>
    <s v="401000"/>
    <x v="6"/>
    <s v="FOURNISSEURS"/>
    <s v="BPRI"/>
    <n v="72.67"/>
    <d v="2025-07-22T00:00:00"/>
    <s v="MATIÈRES PREMIÈRES KEENY ROUSSILLON"/>
    <m/>
    <e v="#N/A"/>
    <e v="#N/A"/>
    <n v="78294"/>
    <m/>
    <m/>
    <s v="Q3"/>
    <e v="#REF!"/>
    <e v="#REF!"/>
    <e v="#REF!"/>
  </r>
  <r>
    <s v="401000"/>
    <x v="6"/>
    <s v="FOURNISSEURS"/>
    <s v="BPRI"/>
    <n v="73"/>
    <d v="2025-01-10T00:00:00"/>
    <s v="090125 CB    3583"/>
    <m/>
    <e v="#N/A"/>
    <e v="#N/A"/>
    <n v="20950"/>
    <s v="0HP4Q2U"/>
    <s v="SNCF"/>
    <s v="Q1"/>
    <e v="#REF!"/>
    <e v="#REF!"/>
    <e v="#REF!"/>
  </r>
  <r>
    <s v="401000"/>
    <x v="6"/>
    <s v="FOURNISSEURS"/>
    <s v="BPRI"/>
    <n v="73"/>
    <d v="2025-01-10T00:00:00"/>
    <s v="090125 CB    3583"/>
    <m/>
    <e v="#N/A"/>
    <e v="#N/A"/>
    <n v="20952"/>
    <s v="0HP4Q2V"/>
    <s v="SNCF"/>
    <s v="Q1"/>
    <e v="#REF!"/>
    <e v="#REF!"/>
    <e v="#REF!"/>
  </r>
  <r>
    <s v="401000"/>
    <x v="6"/>
    <s v="FOURNISSEURS"/>
    <s v="BPRI"/>
    <n v="73"/>
    <d v="2025-03-13T00:00:00"/>
    <s v="Paiement SNCF - CB"/>
    <m/>
    <e v="#N/A"/>
    <e v="#N/A"/>
    <n v="61636"/>
    <m/>
    <s v="SNCF"/>
    <s v="Q1"/>
    <e v="#REF!"/>
    <e v="#REF!"/>
    <e v="#REF!"/>
  </r>
  <r>
    <s v="401000"/>
    <x v="6"/>
    <s v="FOURNISSEURS"/>
    <s v="BPRI"/>
    <n v="73"/>
    <d v="2025-03-13T00:00:00"/>
    <s v="Paiement SNCF - CB"/>
    <m/>
    <e v="#N/A"/>
    <e v="#N/A"/>
    <n v="61639"/>
    <m/>
    <s v="SNCF"/>
    <s v="Q1"/>
    <e v="#REF!"/>
    <e v="#REF!"/>
    <e v="#REF!"/>
  </r>
  <r>
    <s v="401000"/>
    <x v="6"/>
    <s v="FOURNISSEURS"/>
    <s v="BPRI"/>
    <n v="73"/>
    <d v="2025-03-13T00:00:00"/>
    <s v="Paiement SNCF - CB"/>
    <m/>
    <e v="#N/A"/>
    <e v="#N/A"/>
    <n v="61642"/>
    <m/>
    <s v="SNCF"/>
    <s v="Q1"/>
    <e v="#REF!"/>
    <e v="#REF!"/>
    <e v="#REF!"/>
  </r>
  <r>
    <s v="401000"/>
    <x v="6"/>
    <s v="FOURNISSEURS"/>
    <s v="BPRI"/>
    <n v="73"/>
    <d v="2025-04-07T00:00:00"/>
    <s v="CB - JERBLA - SNCF"/>
    <m/>
    <e v="#N/A"/>
    <e v="#N/A"/>
    <n v="66603"/>
    <m/>
    <s v="SNCF"/>
    <s v="Q2"/>
    <e v="#REF!"/>
    <e v="#REF!"/>
    <e v="#REF!"/>
  </r>
  <r>
    <s v="401000"/>
    <x v="6"/>
    <s v="FOURNISSEURS"/>
    <s v="BPRI"/>
    <n v="73"/>
    <d v="2025-04-10T00:00:00"/>
    <s v="SNCF - CB JERBLA"/>
    <m/>
    <e v="#N/A"/>
    <e v="#N/A"/>
    <n v="66733"/>
    <m/>
    <s v="SNCF"/>
    <s v="Q2"/>
    <e v="#REF!"/>
    <e v="#REF!"/>
    <e v="#REF!"/>
  </r>
  <r>
    <s v="401000"/>
    <x v="6"/>
    <s v="FOURNISSEURS"/>
    <s v="BPRI"/>
    <n v="73"/>
    <d v="2025-04-30T00:00:00"/>
    <s v="Règlement CB JERBLA"/>
    <m/>
    <e v="#N/A"/>
    <e v="#N/A"/>
    <n v="70636"/>
    <m/>
    <s v="SNCF"/>
    <s v="Q2"/>
    <e v="#REF!"/>
    <e v="#REF!"/>
    <e v="#REF!"/>
  </r>
  <r>
    <s v="401000"/>
    <x v="6"/>
    <s v="FOURNISSEURS"/>
    <s v="BPRI"/>
    <n v="73"/>
    <d v="2025-05-19T00:00:00"/>
    <s v="Règlement CB - JERBLA"/>
    <m/>
    <e v="#N/A"/>
    <e v="#N/A"/>
    <n v="72903"/>
    <m/>
    <s v="SNCF"/>
    <s v="Q2"/>
    <e v="#REF!"/>
    <e v="#REF!"/>
    <e v="#REF!"/>
  </r>
  <r>
    <s v="401000"/>
    <x v="6"/>
    <s v="FOURNISSEURS"/>
    <s v="BPRI"/>
    <n v="73"/>
    <d v="2025-05-19T00:00:00"/>
    <s v="Règlement CB - JERBLA"/>
    <m/>
    <e v="#N/A"/>
    <e v="#N/A"/>
    <n v="72906"/>
    <m/>
    <s v="SNCF"/>
    <s v="Q2"/>
    <e v="#REF!"/>
    <e v="#REF!"/>
    <e v="#REF!"/>
  </r>
  <r>
    <s v="401000"/>
    <x v="6"/>
    <s v="FOURNISSEURS"/>
    <s v="BPRI"/>
    <n v="73"/>
    <d v="2025-05-30T00:00:00"/>
    <s v="Règlement CB SNCF"/>
    <m/>
    <e v="#N/A"/>
    <e v="#N/A"/>
    <n v="75010"/>
    <m/>
    <s v="SNCF"/>
    <s v="Q2"/>
    <e v="#REF!"/>
    <e v="#REF!"/>
    <e v="#REF!"/>
  </r>
  <r>
    <s v="401000"/>
    <x v="6"/>
    <s v="FOURNISSEURS"/>
    <s v="BPRI"/>
    <n v="73"/>
    <d v="2025-05-30T00:00:00"/>
    <s v="Règlement CB SNCF"/>
    <m/>
    <e v="#N/A"/>
    <e v="#N/A"/>
    <n v="75012"/>
    <m/>
    <s v="SNCF"/>
    <s v="Q2"/>
    <e v="#REF!"/>
    <e v="#REF!"/>
    <e v="#REF!"/>
  </r>
  <r>
    <s v="401000"/>
    <x v="6"/>
    <s v="FOURNISSEURS"/>
    <s v="BPRI"/>
    <n v="73"/>
    <d v="2025-06-06T00:00:00"/>
    <s v="Règlement CB - SNCF"/>
    <m/>
    <e v="#N/A"/>
    <e v="#N/A"/>
    <n v="75637"/>
    <m/>
    <s v="SNCF"/>
    <s v="Q2"/>
    <e v="#REF!"/>
    <e v="#REF!"/>
    <e v="#REF!"/>
  </r>
  <r>
    <s v="401000"/>
    <x v="6"/>
    <s v="FOURNISSEURS"/>
    <s v="BPRI"/>
    <n v="73"/>
    <d v="2025-06-16T00:00:00"/>
    <s v="CB SNCF-VOYAGEURS"/>
    <m/>
    <e v="#N/A"/>
    <e v="#N/A"/>
    <n v="76089"/>
    <m/>
    <s v="SNCF"/>
    <s v="Q2"/>
    <e v="#REF!"/>
    <e v="#REF!"/>
    <e v="#REF!"/>
  </r>
  <r>
    <s v="512100"/>
    <x v="6"/>
    <s v="BANQUE POPULAIRE RIVE DE PARIS"/>
    <s v="BPRI"/>
    <n v="-15.4"/>
    <d v="2025-11-05T00:00:00"/>
    <s v="/LIB/COMMISSION DE CHANGE/LIB/COMMISSION DE CHANGE/LIB/XCVEP050 2025110400010676000001/LIB/REF OPERATION : L719180"/>
    <m/>
    <e v="#N/A"/>
    <e v="#N/A"/>
    <n v="89252"/>
    <m/>
    <s v="Banque Populaire Rive de Paris"/>
    <s v="Q4"/>
    <e v="#REF!"/>
    <e v="#REF!"/>
    <e v="#REF!"/>
  </r>
  <r>
    <s v="401000"/>
    <x v="6"/>
    <s v="FOURNISSEURS"/>
    <s v="BPRI"/>
    <n v="15.4"/>
    <d v="2025-12-25T00:00:00"/>
    <s v="/LIB/COMMISSION DE CHANGE/LIB/COMMISSION DE CHANGE/LIB/XCVEP050 2025122400048605000001/LIB/REF OPERATION : L724573"/>
    <m/>
    <e v="#N/A"/>
    <e v="#N/A"/>
    <n v="93690"/>
    <m/>
    <s v="Banque Populaire Rive de Paris"/>
    <s v="Q4"/>
    <e v="#REF!"/>
    <e v="#REF!"/>
    <e v="#REF!"/>
  </r>
  <r>
    <s v="512100"/>
    <x v="6"/>
    <s v="BANQUE POPULAIRE RIVE DE PARIS"/>
    <s v="BPRI"/>
    <n v="-15.4"/>
    <d v="2025-12-25T00:00:00"/>
    <s v="/LIB/COMMISSION DE CHANGE/LIB/COMMISSION DE CHANGE/LIB/XCVEP050 2025122400048605000001/LIB/REF OPERATION : L724573"/>
    <m/>
    <e v="#N/A"/>
    <e v="#N/A"/>
    <n v="93689"/>
    <m/>
    <s v="Banque Populaire Rive de Paris"/>
    <s v="Q4"/>
    <e v="#REF!"/>
    <e v="#REF!"/>
    <e v="#REF!"/>
  </r>
  <r>
    <s v="401000"/>
    <x v="6"/>
    <s v="FOURNISSEURS"/>
    <s v="BPRI"/>
    <n v="15.4"/>
    <d v="2025-12-25T00:00:00"/>
    <s v="/LIB/COMMISSION DE CHANGE/LIB/COMMISSION DE CHANGE/LIB/XCVEP050 2025122400048606000001/LIB/REF OPERATION : L724572"/>
    <m/>
    <e v="#N/A"/>
    <e v="#N/A"/>
    <n v="93693"/>
    <m/>
    <s v="Banque Populaire Rive de Paris"/>
    <s v="Q4"/>
    <e v="#REF!"/>
    <e v="#REF!"/>
    <e v="#REF!"/>
  </r>
  <r>
    <s v="512100"/>
    <x v="6"/>
    <s v="BANQUE POPULAIRE RIVE DE PARIS"/>
    <s v="BPRI"/>
    <n v="-15.4"/>
    <d v="2025-12-25T00:00:00"/>
    <s v="/LIB/COMMISSION DE CHANGE/LIB/COMMISSION DE CHANGE/LIB/XCVEP050 2025122400048606000001/LIB/REF OPERATION : L724572"/>
    <m/>
    <e v="#N/A"/>
    <e v="#N/A"/>
    <n v="93692"/>
    <m/>
    <s v="Banque Populaire Rive de Paris"/>
    <s v="Q4"/>
    <e v="#REF!"/>
    <e v="#REF!"/>
    <e v="#REF!"/>
  </r>
  <r>
    <s v="401000"/>
    <x v="6"/>
    <s v="FOURNISSEURS"/>
    <s v="BPRI"/>
    <n v="95.14"/>
    <d v="2025-10-07T00:00:00"/>
    <s v="/LIB/COTIS FREQUENCE PRO/LIB/COTIS FREQUENCE PRO/LIB/XCCNV019 2025100500006267000001/LIB/CONTRAT CNV0055531494"/>
    <m/>
    <e v="#N/A"/>
    <e v="#N/A"/>
    <n v="86915"/>
    <m/>
    <s v="Banque Populaire Rive de Paris"/>
    <s v="Q4"/>
    <e v="#REF!"/>
    <e v="#REF!"/>
    <e v="#REF!"/>
  </r>
  <r>
    <s v="512100"/>
    <x v="6"/>
    <s v="BANQUE POPULAIRE RIVE DE PARIS"/>
    <s v="BPRI"/>
    <n v="-95.14"/>
    <d v="2025-10-07T00:00:00"/>
    <s v="/LIB/COTIS FREQUENCE PRO/LIB/COTIS FREQUENCE PRO/LIB/XCCNV019 2025100500006267000001/LIB/CONTRAT CNV0055531494"/>
    <m/>
    <e v="#N/A"/>
    <e v="#N/A"/>
    <n v="86914"/>
    <m/>
    <s v="Banque Populaire Rive de Paris"/>
    <s v="Q4"/>
    <e v="#REF!"/>
    <e v="#REF!"/>
    <e v="#REF!"/>
  </r>
  <r>
    <s v="401000"/>
    <x v="6"/>
    <s v="FOURNISSEURS"/>
    <s v="BPRI"/>
    <n v="95.14"/>
    <d v="2025-11-06T00:00:00"/>
    <s v="/LIB/COTIS FREQUENCE PRO/LIB/COTIS FREQUENCE PRO/LIB/XCCNV019 2025110500011413000001/LIB/CONTRAT CNV0055531494"/>
    <m/>
    <e v="#N/A"/>
    <e v="#N/A"/>
    <n v="89517"/>
    <m/>
    <s v="Banque Populaire Rive de Paris"/>
    <s v="Q4"/>
    <e v="#REF!"/>
    <e v="#REF!"/>
    <e v="#REF!"/>
  </r>
  <r>
    <s v="512100"/>
    <x v="6"/>
    <s v="BANQUE POPULAIRE RIVE DE PARIS"/>
    <s v="BPRI"/>
    <n v="-95.14"/>
    <d v="2025-11-06T00:00:00"/>
    <s v="/LIB/COTIS FREQUENCE PRO/LIB/COTIS FREQUENCE PRO/LIB/XCCNV019 2025110500011413000001/LIB/CONTRAT CNV0055531494"/>
    <m/>
    <e v="#N/A"/>
    <e v="#N/A"/>
    <n v="89516"/>
    <m/>
    <s v="Banque Populaire Rive de Paris"/>
    <s v="Q4"/>
    <e v="#REF!"/>
    <e v="#REF!"/>
    <e v="#REF!"/>
  </r>
  <r>
    <s v="401000"/>
    <x v="6"/>
    <s v="FOURNISSEURS"/>
    <s v="BPRI"/>
    <n v="95.14"/>
    <d v="2025-12-06T00:00:00"/>
    <s v="/LIB/COTIS FREQUENCE PRO/LIB/COTIS FREQUENCE PRO/LIB/XCCNV019 2025120500011567000001/LIB/CONTRAT CNV0055531494"/>
    <m/>
    <e v="#N/A"/>
    <e v="#N/A"/>
    <n v="91888"/>
    <m/>
    <s v="Banque Populaire Rive de Paris"/>
    <s v="Q4"/>
    <e v="#REF!"/>
    <e v="#REF!"/>
    <e v="#REF!"/>
  </r>
  <r>
    <s v="512100"/>
    <x v="6"/>
    <s v="BANQUE POPULAIRE RIVE DE PARIS"/>
    <s v="BPRI"/>
    <n v="-95.14"/>
    <d v="2025-12-06T00:00:00"/>
    <s v="/LIB/COTIS FREQUENCE PRO/LIB/COTIS FREQUENCE PRO/LIB/XCCNV019 2025120500011567000001/LIB/CONTRAT CNV0055531494"/>
    <m/>
    <e v="#N/A"/>
    <e v="#N/A"/>
    <n v="91887"/>
    <m/>
    <s v="Banque Populaire Rive de Paris"/>
    <s v="Q4"/>
    <e v="#REF!"/>
    <e v="#REF!"/>
    <e v="#REF!"/>
  </r>
  <r>
    <s v="401000"/>
    <x v="6"/>
    <s v="FOURNISSEURS"/>
    <s v="BPRI"/>
    <n v="120"/>
    <d v="2025-10-20T00:00:00"/>
    <s v="/LIB/COTISATION CERTIF NUM./LIB/   COMMANDE DE O/LIB/CERTIFICAT NUMERIQUE/LIB/   COMMANDE DE OCTOBRE"/>
    <m/>
    <e v="#N/A"/>
    <e v="#N/A"/>
    <n v="87155"/>
    <m/>
    <s v="Banque Populaire Rive de Paris"/>
    <s v="Q4"/>
    <e v="#REF!"/>
    <e v="#REF!"/>
    <e v="#REF!"/>
  </r>
  <r>
    <s v="512100"/>
    <x v="6"/>
    <s v="BANQUE POPULAIRE RIVE DE PARIS"/>
    <s v="BPRI"/>
    <n v="-120"/>
    <d v="2025-10-20T00:00:00"/>
    <s v="/LIB/COTISATION CERTIF NUM./LIB/   COMMANDE DE O/LIB/CERTIFICAT NUMERIQUE/LIB/   COMMANDE DE OCTOBRE"/>
    <m/>
    <e v="#N/A"/>
    <e v="#N/A"/>
    <n v="87154"/>
    <m/>
    <s v="Banque Populaire Rive de Paris"/>
    <s v="Q4"/>
    <e v="#REF!"/>
    <e v="#REF!"/>
    <e v="#REF!"/>
  </r>
  <r>
    <s v="164110"/>
    <x v="6"/>
    <s v="PRET BP N°2 (LT) 08815036"/>
    <s v="BPRI"/>
    <n v="7962.25"/>
    <d v="2025-07-31T00:00:00"/>
    <s v="/LIB/ECHEANCE PRET/LIB/8815036/LIB/DONT CAP   7962,25 ASS.   95,32E/LIB/     INT.    93,06 COM.  133,50E"/>
    <m/>
    <e v="#N/A"/>
    <e v="#N/A"/>
    <n v="79386"/>
    <m/>
    <m/>
    <s v="Q3"/>
    <e v="#REF!"/>
    <e v="#REF!"/>
    <e v="#REF!"/>
  </r>
  <r>
    <s v="512100"/>
    <x v="6"/>
    <s v="BANQUE POPULAIRE RIVE DE PARIS"/>
    <s v="BPRI"/>
    <n v="-8284.1299999999992"/>
    <d v="2025-07-31T00:00:00"/>
    <s v="/LIB/ECHEANCE PRET/LIB/8815036/LIB/DONT CAP   7962,25 ASS.   95,32E/LIB/     INT.    93,06 COM.  133,50E"/>
    <m/>
    <e v="#N/A"/>
    <e v="#N/A"/>
    <n v="79385"/>
    <m/>
    <m/>
    <s v="Q3"/>
    <e v="#REF!"/>
    <e v="#REF!"/>
    <e v="#REF!"/>
  </r>
  <r>
    <s v="627200"/>
    <x v="6"/>
    <s v="Frais sur emprunts"/>
    <s v="BPRI"/>
    <n v="95.32"/>
    <d v="2025-07-31T00:00:00"/>
    <s v="/LIB/ECHEANCE PRET/LIB/8815036/LIB/DONT CAP   7962,25 ASS.   95,32E/LIB/     INT.    93,06 COM.  133,50E"/>
    <m/>
    <e v="#N/A"/>
    <e v="#N/A"/>
    <n v="79390"/>
    <m/>
    <m/>
    <s v="Q3"/>
    <e v="#REF!"/>
    <e v="#REF!"/>
    <e v="#REF!"/>
  </r>
  <r>
    <s v="627200"/>
    <x v="6"/>
    <s v="Frais sur emprunts"/>
    <s v="BPRI"/>
    <n v="133.5"/>
    <d v="2025-07-31T00:00:00"/>
    <s v="/LIB/ECHEANCE PRET/LIB/8815036/LIB/DONT CAP   7962,25 ASS.   95,32E/LIB/     INT.    93,06 COM.  133,50E"/>
    <m/>
    <e v="#N/A"/>
    <e v="#N/A"/>
    <n v="79388"/>
    <m/>
    <m/>
    <s v="Q3"/>
    <e v="#REF!"/>
    <e v="#REF!"/>
    <e v="#REF!"/>
  </r>
  <r>
    <s v="661100"/>
    <x v="6"/>
    <s v="INTÉRÊTS BANCAIRES"/>
    <s v="BPRI"/>
    <n v="93.06"/>
    <d v="2025-07-31T00:00:00"/>
    <s v="/LIB/ECHEANCE PRET/LIB/8815036/LIB/DONT CAP   7962,25 ASS.   95,32E/LIB/     INT.    93,06 COM.  133,50E"/>
    <m/>
    <e v="#N/A"/>
    <e v="#N/A"/>
    <n v="79391"/>
    <m/>
    <m/>
    <s v="Q3"/>
    <e v="#REF!"/>
    <e v="#REF!"/>
    <e v="#REF!"/>
  </r>
  <r>
    <s v="164110"/>
    <x v="6"/>
    <s v="PRET BP N°2 (LT) 08815036"/>
    <s v="BPRI"/>
    <n v="7976.8"/>
    <d v="2025-10-31T00:00:00"/>
    <s v="/LIB/ECHEANCE PRET/LIB/8815036/LIB/DONT CAP   7976,80 ASS.   95,32E/LIB/     INT.    78,51 COM.  133,50E"/>
    <m/>
    <e v="#N/A"/>
    <e v="#N/A"/>
    <n v="87601"/>
    <m/>
    <m/>
    <s v="Q4"/>
    <e v="#REF!"/>
    <e v="#REF!"/>
    <e v="#REF!"/>
  </r>
  <r>
    <s v="512100"/>
    <x v="6"/>
    <s v="BANQUE POPULAIRE RIVE DE PARIS"/>
    <s v="BPRI"/>
    <n v="-8284.1299999999992"/>
    <d v="2025-10-31T00:00:00"/>
    <s v="/LIB/ECHEANCE PRET/LIB/8815036/LIB/DONT CAP   7976,80 ASS.   95,32E/LIB/     INT.    78,51 COM.  133,50E"/>
    <m/>
    <e v="#N/A"/>
    <e v="#N/A"/>
    <n v="87600"/>
    <m/>
    <m/>
    <s v="Q4"/>
    <e v="#REF!"/>
    <e v="#REF!"/>
    <e v="#REF!"/>
  </r>
  <r>
    <s v="627200"/>
    <x v="6"/>
    <s v="Frais sur emprunts"/>
    <s v="BPRI"/>
    <n v="95.32"/>
    <d v="2025-10-31T00:00:00"/>
    <s v="/LIB/ECHEANCE PRET/LIB/8815036/LIB/DONT CAP   7976,80 ASS.   95,32E/LIB/     INT.    78,51 COM.  133,50E"/>
    <m/>
    <e v="#N/A"/>
    <e v="#N/A"/>
    <n v="87602"/>
    <m/>
    <m/>
    <s v="Q4"/>
    <e v="#REF!"/>
    <e v="#REF!"/>
    <e v="#REF!"/>
  </r>
  <r>
    <s v="627200"/>
    <x v="6"/>
    <s v="Frais sur emprunts"/>
    <s v="BPRI"/>
    <n v="133.5"/>
    <d v="2025-10-31T00:00:00"/>
    <s v="/LIB/ECHEANCE PRET/LIB/8815036/LIB/DONT CAP   7976,80 ASS.   95,32E/LIB/     INT.    78,51 COM.  133,50E"/>
    <m/>
    <e v="#N/A"/>
    <e v="#N/A"/>
    <n v="87603"/>
    <m/>
    <m/>
    <s v="Q4"/>
    <e v="#REF!"/>
    <e v="#REF!"/>
    <e v="#REF!"/>
  </r>
  <r>
    <s v="661100"/>
    <x v="6"/>
    <s v="INTÉRÊTS BANCAIRES"/>
    <s v="BPRI"/>
    <n v="78.510000000000005"/>
    <d v="2025-10-31T00:00:00"/>
    <s v="/LIB/ECHEANCE PRET/LIB/8815036/LIB/DONT CAP   7976,80 ASS.   95,32E/LIB/     INT.    78,51 COM.  133,50E"/>
    <m/>
    <e v="#N/A"/>
    <e v="#N/A"/>
    <n v="87604"/>
    <m/>
    <m/>
    <s v="Q4"/>
    <e v="#REF!"/>
    <e v="#REF!"/>
    <e v="#REF!"/>
  </r>
  <r>
    <s v="164110"/>
    <x v="6"/>
    <s v="PRET BP N°2 (LT) 08815036"/>
    <s v="BPRI"/>
    <n v="7981.64"/>
    <d v="2025-11-29T00:00:00"/>
    <s v="/LIB/ECHEANCE PRET/LIB/8815036/LIB/DONT CAP   7981,64 ASS.   95,32E/LIB/     INT.    73,67 COM.  133,50E"/>
    <m/>
    <e v="#N/A"/>
    <e v="#N/A"/>
    <n v="91300"/>
    <m/>
    <m/>
    <s v="Q4"/>
    <e v="#REF!"/>
    <e v="#REF!"/>
    <e v="#REF!"/>
  </r>
  <r>
    <s v="401000"/>
    <x v="6"/>
    <s v="FOURNISSEURS"/>
    <s v="BPRI"/>
    <n v="73.63"/>
    <d v="2025-09-30T00:00:00"/>
    <s v="PRLV SEPA DHL INTERNAT. EXP FRA/"/>
    <m/>
    <e v="#N/A"/>
    <e v="#N/A"/>
    <n v="82657"/>
    <m/>
    <s v="DHL"/>
    <s v="Q3"/>
    <e v="#REF!"/>
    <e v="#REF!"/>
    <e v="#REF!"/>
  </r>
  <r>
    <s v="401000"/>
    <x v="6"/>
    <s v="FOURNISSEURS"/>
    <s v="BPRI"/>
    <n v="73.69"/>
    <d v="2025-11-13T00:00:00"/>
    <s v="CONSOMMABLE LABO"/>
    <m/>
    <e v="#N/A"/>
    <e v="#N/A"/>
    <n v="89936"/>
    <m/>
    <m/>
    <s v="Q4"/>
    <e v="#REF!"/>
    <e v="#REF!"/>
    <e v="#REF!"/>
  </r>
  <r>
    <s v="401000"/>
    <x v="6"/>
    <s v="FOURNISSEURS"/>
    <s v="BPRI"/>
    <n v="74.78"/>
    <d v="2025-07-22T00:00:00"/>
    <s v="PRODUITS CHIMIQUES KL"/>
    <m/>
    <e v="#N/A"/>
    <e v="#N/A"/>
    <n v="78299"/>
    <m/>
    <m/>
    <s v="Q3"/>
    <e v="#REF!"/>
    <e v="#REF!"/>
    <e v="#REF!"/>
  </r>
  <r>
    <s v="401000"/>
    <x v="6"/>
    <s v="FOURNISSEURS"/>
    <s v="BPRI"/>
    <n v="74.8"/>
    <d v="2025-04-30T00:00:00"/>
    <s v="Règlement CB JERBLA"/>
    <m/>
    <e v="#N/A"/>
    <e v="#N/A"/>
    <n v="70648"/>
    <m/>
    <s v="SNCF"/>
    <s v="Q2"/>
    <e v="#REF!"/>
    <e v="#REF!"/>
    <e v="#REF!"/>
  </r>
  <r>
    <s v="512100"/>
    <x v="6"/>
    <s v="BANQUE POPULAIRE RIVE DE PARIS"/>
    <s v="BPRI"/>
    <n v="-8284.1299999999992"/>
    <d v="2025-11-29T00:00:00"/>
    <s v="/LIB/ECHEANCE PRET/LIB/8815036/LIB/DONT CAP   7981,64 ASS.   95,32E/LIB/     INT.    73,67 COM.  133,50E"/>
    <m/>
    <e v="#N/A"/>
    <e v="#N/A"/>
    <n v="91299"/>
    <m/>
    <m/>
    <s v="Q4"/>
    <e v="#REF!"/>
    <e v="#REF!"/>
    <e v="#REF!"/>
  </r>
  <r>
    <s v="401000"/>
    <x v="6"/>
    <s v="FOURNISSEURS"/>
    <s v="BPRI"/>
    <n v="75.239999999999995"/>
    <d v="2025-03-20T00:00:00"/>
    <s v="Invoice Payment by Pili"/>
    <m/>
    <e v="#N/A"/>
    <e v="#N/A"/>
    <n v="61920"/>
    <m/>
    <m/>
    <s v="Q1"/>
    <e v="#REF!"/>
    <e v="#REF!"/>
    <e v="#REF!"/>
  </r>
  <r>
    <s v="401000"/>
    <x v="6"/>
    <s v="FOURNISSEURS"/>
    <s v="BPRI"/>
    <n v="75.599999999999994"/>
    <d v="2025-11-28T00:00:00"/>
    <s v="FL260494"/>
    <m/>
    <e v="#N/A"/>
    <e v="#N/A"/>
    <n v="91255"/>
    <m/>
    <m/>
    <s v="Q4"/>
    <e v="#REF!"/>
    <e v="#REF!"/>
    <e v="#REF!"/>
  </r>
  <r>
    <s v="401000"/>
    <x v="6"/>
    <s v="FOURNISSEURS"/>
    <s v="BPRI"/>
    <n v="75.849999999999994"/>
    <d v="2025-04-25T00:00:00"/>
    <s v="Invoice Payment by Pili"/>
    <m/>
    <e v="#N/A"/>
    <e v="#N/A"/>
    <n v="70207"/>
    <m/>
    <s v="VWR AVANTOR"/>
    <s v="Q2"/>
    <e v="#REF!"/>
    <e v="#REF!"/>
    <e v="#REF!"/>
  </r>
  <r>
    <s v="401000"/>
    <x v="6"/>
    <s v="FOURNISSEURS"/>
    <s v="BPRI"/>
    <n v="76.98"/>
    <d v="2025-04-02T00:00:00"/>
    <s v="Invoice Payment by Pili"/>
    <m/>
    <e v="#N/A"/>
    <e v="#N/A"/>
    <n v="66485"/>
    <m/>
    <m/>
    <s v="Q2"/>
    <e v="#REF!"/>
    <e v="#REF!"/>
    <e v="#REF!"/>
  </r>
  <r>
    <s v="401000"/>
    <x v="6"/>
    <s v="FOURNISSEURS"/>
    <s v="BPRI"/>
    <n v="78"/>
    <d v="2025-01-04T00:00:00"/>
    <s v="030125 CB    6880"/>
    <m/>
    <e v="#N/A"/>
    <e v="#N/A"/>
    <n v="20886"/>
    <s v="07RWSW9"/>
    <s v="SNCF"/>
    <s v="Q1"/>
    <e v="#REF!"/>
    <e v="#REF!"/>
    <e v="#REF!"/>
  </r>
  <r>
    <s v="401000"/>
    <x v="6"/>
    <s v="FOURNISSEURS"/>
    <s v="BPRI"/>
    <n v="78.260000000000005"/>
    <d v="2025-10-06T00:00:00"/>
    <s v="LIVRAISON EAU ROUSSILLON"/>
    <m/>
    <e v="#N/A"/>
    <e v="#N/A"/>
    <n v="82898"/>
    <m/>
    <m/>
    <s v="Q4"/>
    <e v="#REF!"/>
    <e v="#REF!"/>
    <e v="#REF!"/>
  </r>
  <r>
    <s v="401000"/>
    <x v="6"/>
    <s v="FOURNISSEURS"/>
    <s v="BPRI"/>
    <n v="79.2"/>
    <d v="2025-04-11T00:00:00"/>
    <s v="CB Loimas - La Comète"/>
    <m/>
    <s v="Non"/>
    <e v="#N/A"/>
    <n v="66735"/>
    <m/>
    <s v="DIVERS"/>
    <s v="Q2"/>
    <e v="#REF!"/>
    <e v="#REF!"/>
    <e v="#REF!"/>
  </r>
  <r>
    <s v="401000"/>
    <x v="6"/>
    <s v="FOURNISSEURS"/>
    <s v="BPRI"/>
    <n v="80.5"/>
    <d v="2025-05-07T00:00:00"/>
    <s v="COMMANDE PRODUIT KEENB"/>
    <m/>
    <e v="#N/A"/>
    <e v="#N/A"/>
    <n v="71814"/>
    <m/>
    <m/>
    <s v="Q2"/>
    <e v="#REF!"/>
    <e v="#REF!"/>
    <e v="#REF!"/>
  </r>
  <r>
    <s v="401000"/>
    <x v="6"/>
    <s v="FOURNISSEURS"/>
    <s v="BPRI"/>
    <n v="81.180000000000007"/>
    <d v="2025-07-31T00:00:00"/>
    <s v="COMMANDE PRODUIT KEENY"/>
    <m/>
    <e v="#N/A"/>
    <e v="#N/A"/>
    <n v="79334"/>
    <m/>
    <m/>
    <s v="Q3"/>
    <e v="#REF!"/>
    <e v="#REF!"/>
    <e v="#REF!"/>
  </r>
  <r>
    <s v="401000"/>
    <x v="6"/>
    <s v="FOURNISSEURS"/>
    <s v="BPRI"/>
    <n v="81.7"/>
    <d v="2025-04-01T00:00:00"/>
    <s v="Prélèvement DHL"/>
    <m/>
    <e v="#N/A"/>
    <e v="#N/A"/>
    <n v="66448"/>
    <m/>
    <s v="DHL"/>
    <s v="Q2"/>
    <e v="#REF!"/>
    <e v="#REF!"/>
    <e v="#REF!"/>
  </r>
  <r>
    <s v="401000"/>
    <x v="6"/>
    <s v="FOURNISSEURS"/>
    <s v="BPRI"/>
    <n v="82.32"/>
    <d v="2025-12-19T00:00:00"/>
    <s v="4184627"/>
    <m/>
    <e v="#N/A"/>
    <e v="#N/A"/>
    <n v="92688"/>
    <m/>
    <m/>
    <s v="Q4"/>
    <e v="#REF!"/>
    <e v="#REF!"/>
    <e v="#REF!"/>
  </r>
  <r>
    <s v="401000"/>
    <x v="6"/>
    <s v="FOURNISSEURS"/>
    <s v="BPRI"/>
    <n v="82.78"/>
    <d v="2025-04-22T00:00:00"/>
    <s v="Prélèvement Fournisseur"/>
    <m/>
    <e v="#N/A"/>
    <e v="#N/A"/>
    <n v="68203"/>
    <m/>
    <s v="DHL"/>
    <s v="Q2"/>
    <e v="#REF!"/>
    <e v="#REF!"/>
    <e v="#REF!"/>
  </r>
  <r>
    <s v="401000"/>
    <x v="6"/>
    <s v="FOURNISSEURS"/>
    <s v="BPRI"/>
    <n v="83.34"/>
    <d v="2025-09-22T00:00:00"/>
    <s v="BILLES POUR LE BROYEUR"/>
    <m/>
    <e v="#N/A"/>
    <e v="#N/A"/>
    <n v="82384"/>
    <m/>
    <m/>
    <s v="Q3"/>
    <e v="#REF!"/>
    <e v="#REF!"/>
    <e v="#REF!"/>
  </r>
  <r>
    <s v="627200"/>
    <x v="6"/>
    <s v="Frais sur emprunts"/>
    <s v="BPRI"/>
    <n v="95.32"/>
    <d v="2025-11-29T00:00:00"/>
    <s v="/LIB/ECHEANCE PRET/LIB/8815036/LIB/DONT CAP   7981,64 ASS.   95,32E/LIB/     INT.    73,67 COM.  133,50E"/>
    <m/>
    <e v="#N/A"/>
    <e v="#N/A"/>
    <n v="91301"/>
    <m/>
    <m/>
    <s v="Q4"/>
    <e v="#REF!"/>
    <e v="#REF!"/>
    <e v="#REF!"/>
  </r>
  <r>
    <s v="401000"/>
    <x v="6"/>
    <s v="FOURNISSEURS"/>
    <s v="BPRI"/>
    <n v="85.38"/>
    <d v="2025-10-06T00:00:00"/>
    <s v="PRODUIT LISA"/>
    <m/>
    <e v="#N/A"/>
    <e v="#N/A"/>
    <n v="82923"/>
    <m/>
    <m/>
    <s v="Q4"/>
    <e v="#REF!"/>
    <e v="#REF!"/>
    <e v="#REF!"/>
  </r>
  <r>
    <s v="401000"/>
    <x v="6"/>
    <s v="FOURNISSEURS"/>
    <s v="BPRI"/>
    <n v="86"/>
    <d v="2025-02-19T00:00:00"/>
    <s v="EVI REMISE"/>
    <m/>
    <e v="#N/A"/>
    <e v="#N/A"/>
    <n v="21372"/>
    <s v="0GLKQ3Q"/>
    <s v="BLD PHARMATECH"/>
    <s v="Q1"/>
    <e v="#REF!"/>
    <e v="#REF!"/>
    <e v="#REF!"/>
  </r>
  <r>
    <s v="401000"/>
    <x v="6"/>
    <s v="FOURNISSEURS"/>
    <s v="BPRI"/>
    <n v="86.28"/>
    <d v="2025-07-18T00:00:00"/>
    <s v="CELITE S POUR VBIO KL"/>
    <m/>
    <e v="#N/A"/>
    <e v="#N/A"/>
    <n v="78273"/>
    <m/>
    <s v="Sigma-Aldrich chimie"/>
    <s v="Q3"/>
    <e v="#REF!"/>
    <e v="#REF!"/>
    <e v="#REF!"/>
  </r>
  <r>
    <s v="401000"/>
    <x v="6"/>
    <s v="FOURNISSEURS"/>
    <s v="BPRI"/>
    <n v="86.4"/>
    <d v="2025-03-28T00:00:00"/>
    <s v="Invoice Payment by Pili"/>
    <m/>
    <e v="#N/A"/>
    <e v="#N/A"/>
    <n v="64986"/>
    <m/>
    <m/>
    <s v="Q1"/>
    <e v="#REF!"/>
    <e v="#REF!"/>
    <e v="#REF!"/>
  </r>
  <r>
    <s v="401000"/>
    <x v="6"/>
    <s v="FOURNISSEURS"/>
    <s v="BPRI"/>
    <n v="86.4"/>
    <d v="2025-04-08T00:00:00"/>
    <s v="Invoice Payment By Pili"/>
    <m/>
    <e v="#N/A"/>
    <e v="#N/A"/>
    <n v="66696"/>
    <m/>
    <m/>
    <s v="Q2"/>
    <e v="#REF!"/>
    <e v="#REF!"/>
    <e v="#REF!"/>
  </r>
  <r>
    <s v="401000"/>
    <x v="6"/>
    <s v="FOURNISSEURS"/>
    <s v="BPRI"/>
    <n v="86.4"/>
    <d v="2025-12-23T00:00:00"/>
    <s v="FACT-20251208-23397"/>
    <m/>
    <e v="#N/A"/>
    <e v="#N/A"/>
    <n v="93620"/>
    <m/>
    <m/>
    <s v="Q4"/>
    <e v="#REF!"/>
    <e v="#REF!"/>
    <e v="#REF!"/>
  </r>
  <r>
    <s v="401000"/>
    <x v="6"/>
    <s v="FOURNISSEURS"/>
    <s v="BPRI"/>
    <n v="88"/>
    <d v="2025-02-06T00:00:00"/>
    <s v="PRLV SEPA HOPER"/>
    <m/>
    <e v="#N/A"/>
    <e v="#N/A"/>
    <n v="21222"/>
    <s v="079W6ML"/>
    <s v="HOPER"/>
    <s v="Q1"/>
    <e v="#REF!"/>
    <e v="#REF!"/>
    <e v="#REF!"/>
  </r>
  <r>
    <s v="401000"/>
    <x v="6"/>
    <s v="FOURNISSEURS"/>
    <s v="BPRI"/>
    <n v="88"/>
    <d v="2025-03-06T00:00:00"/>
    <s v="Prélèvement HOPER"/>
    <m/>
    <e v="#N/A"/>
    <e v="#N/A"/>
    <n v="58832"/>
    <m/>
    <s v="HOPER"/>
    <s v="Q1"/>
    <e v="#REF!"/>
    <e v="#REF!"/>
    <e v="#REF!"/>
  </r>
  <r>
    <s v="401000"/>
    <x v="6"/>
    <s v="FOURNISSEURS"/>
    <s v="BPRI"/>
    <n v="88.12"/>
    <d v="2025-10-31T00:00:00"/>
    <s v="LIVRAISON EAU SUR SITE ROUSSILLON"/>
    <m/>
    <e v="#N/A"/>
    <e v="#N/A"/>
    <n v="87533"/>
    <m/>
    <m/>
    <s v="Q4"/>
    <e v="#REF!"/>
    <e v="#REF!"/>
    <e v="#REF!"/>
  </r>
  <r>
    <s v="401000"/>
    <x v="6"/>
    <s v="FOURNISSEURS"/>
    <s v="BPRI"/>
    <n v="88.8"/>
    <d v="2025-03-18T00:00:00"/>
    <s v="Règlement Facture 0186494"/>
    <m/>
    <e v="#N/A"/>
    <e v="#N/A"/>
    <n v="61870"/>
    <m/>
    <m/>
    <s v="Q1"/>
    <e v="#REF!"/>
    <e v="#REF!"/>
    <e v="#REF!"/>
  </r>
  <r>
    <s v="401000"/>
    <x v="6"/>
    <s v="FOURNISSEURS"/>
    <s v="BPRI"/>
    <n v="89.65"/>
    <d v="2025-02-21T00:00:00"/>
    <s v="PRLV SEPA DHL INTERNAT. EXP FRA"/>
    <m/>
    <e v="#N/A"/>
    <e v="#N/A"/>
    <n v="21388"/>
    <s v="07EGT8P"/>
    <s v="DHL"/>
    <s v="Q1"/>
    <e v="#REF!"/>
    <e v="#REF!"/>
    <e v="#REF!"/>
  </r>
  <r>
    <s v="401000"/>
    <x v="6"/>
    <s v="FOURNISSEURS"/>
    <s v="BPRI"/>
    <n v="90"/>
    <d v="2025-02-28T00:00:00"/>
    <s v="Règlement fournisseurs"/>
    <m/>
    <e v="#N/A"/>
    <e v="#N/A"/>
    <n v="58916"/>
    <m/>
    <s v="GROUPE CHAUMEIL"/>
    <s v="Q1"/>
    <e v="#REF!"/>
    <e v="#REF!"/>
    <e v="#REF!"/>
  </r>
  <r>
    <s v="401000"/>
    <x v="6"/>
    <s v="FOURNISSEURS"/>
    <s v="BPRI"/>
    <n v="90"/>
    <d v="2025-03-14T00:00:00"/>
    <s v="Invoice 0092385292"/>
    <m/>
    <e v="#N/A"/>
    <e v="#N/A"/>
    <n v="61663"/>
    <m/>
    <m/>
    <s v="Q1"/>
    <e v="#REF!"/>
    <e v="#REF!"/>
    <e v="#REF!"/>
  </r>
  <r>
    <s v="401000"/>
    <x v="6"/>
    <s v="FOURNISSEURS"/>
    <s v="BPRI"/>
    <n v="90"/>
    <d v="2025-08-22T00:00:00"/>
    <s v="COMMANDE ABSORBANT POUR LABO"/>
    <m/>
    <e v="#N/A"/>
    <e v="#N/A"/>
    <n v="81584"/>
    <m/>
    <m/>
    <s v="Q3"/>
    <e v="#REF!"/>
    <e v="#REF!"/>
    <e v="#REF!"/>
  </r>
  <r>
    <s v="401000"/>
    <x v="6"/>
    <s v="FOURNISSEURS"/>
    <s v="BPRI"/>
    <n v="90.01"/>
    <d v="2025-11-27T00:00:00"/>
    <s v="Reliquat sur facture C30084 (débours GTC)"/>
    <s v="Non"/>
    <s v="Non"/>
    <e v="#N/A"/>
    <n v="91171"/>
    <m/>
    <s v="ALTAIR AVOCATS"/>
    <s v="Q4"/>
    <e v="#REF!"/>
    <e v="#REF!"/>
    <e v="#REF!"/>
  </r>
  <r>
    <s v="401000"/>
    <x v="6"/>
    <s v="FOURNISSEURS"/>
    <s v="BPRI"/>
    <n v="91.5"/>
    <d v="2025-07-25T00:00:00"/>
    <s v="PRLV SEPA DHL INTERNAT. EXP FRA"/>
    <m/>
    <e v="#N/A"/>
    <e v="#N/A"/>
    <n v="78954"/>
    <m/>
    <s v="DHL"/>
    <s v="Q3"/>
    <e v="#REF!"/>
    <e v="#REF!"/>
    <e v="#REF!"/>
  </r>
  <r>
    <s v="401000"/>
    <x v="6"/>
    <s v="FOURNISSEURS"/>
    <s v="BPRI"/>
    <n v="92.16"/>
    <d v="2025-08-21T00:00:00"/>
    <s v="COMMANDE CONSOMMABLES LABO"/>
    <m/>
    <e v="#N/A"/>
    <e v="#N/A"/>
    <n v="81530"/>
    <m/>
    <m/>
    <s v="Q3"/>
    <e v="#REF!"/>
    <e v="#REF!"/>
    <e v="#REF!"/>
  </r>
  <r>
    <s v="627200"/>
    <x v="6"/>
    <s v="Frais sur emprunts"/>
    <s v="BPRI"/>
    <n v="133.5"/>
    <d v="2025-11-29T00:00:00"/>
    <s v="/LIB/ECHEANCE PRET/LIB/8815036/LIB/DONT CAP   7981,64 ASS.   95,32E/LIB/     INT.    73,67 COM.  133,50E"/>
    <m/>
    <e v="#N/A"/>
    <e v="#N/A"/>
    <n v="91302"/>
    <m/>
    <m/>
    <s v="Q4"/>
    <e v="#REF!"/>
    <e v="#REF!"/>
    <e v="#REF!"/>
  </r>
  <r>
    <s v="401000"/>
    <x v="6"/>
    <s v="FOURNISSEURS"/>
    <s v="BPRI"/>
    <n v="93.84"/>
    <d v="2025-08-08T00:00:00"/>
    <s v="GLYCEROL _x0009_ ETHYLENE GLYCOL_x0009_ 1 3-PROPANEDIOL_x0009_ CALCIUM CHLORIDE ANHYDROUS_x0009_ SODIUM SULFITE"/>
    <m/>
    <e v="#N/A"/>
    <e v="#N/A"/>
    <n v="80784"/>
    <m/>
    <m/>
    <s v="Q3"/>
    <e v="#REF!"/>
    <e v="#REF!"/>
    <e v="#REF!"/>
  </r>
  <r>
    <s v="401000"/>
    <x v="6"/>
    <s v="FOURNISSEURS"/>
    <s v="BPRI"/>
    <n v="93.9"/>
    <d v="2025-05-07T00:00:00"/>
    <s v="COMMANDE PRODUIT LABO"/>
    <m/>
    <e v="#N/A"/>
    <e v="#N/A"/>
    <n v="71864"/>
    <m/>
    <m/>
    <s v="Q2"/>
    <e v="#REF!"/>
    <e v="#REF!"/>
    <e v="#REF!"/>
  </r>
  <r>
    <s v="401000"/>
    <x v="6"/>
    <s v="FOURNISSEURS"/>
    <s v="BPRI"/>
    <n v="94.17"/>
    <d v="2025-01-14T00:00:00"/>
    <s v="130125 CB    6880"/>
    <m/>
    <e v="#N/A"/>
    <e v="#N/A"/>
    <n v="20980"/>
    <s v="0OB9RVJ"/>
    <s v="AIRBNB"/>
    <s v="Q1"/>
    <e v="#REF!"/>
    <e v="#REF!"/>
    <e v="#REF!"/>
  </r>
  <r>
    <s v="401000"/>
    <x v="6"/>
    <s v="FOURNISSEURS"/>
    <s v="BPRI"/>
    <n v="95.14"/>
    <d v="2025-01-07T00:00:00"/>
    <s v="COTIS FREQUENCE PRO"/>
    <m/>
    <e v="#N/A"/>
    <e v="#N/A"/>
    <n v="20900"/>
    <s v="5339"/>
    <s v="Banque Populaire Rive de Paris"/>
    <s v="Q1"/>
    <e v="#REF!"/>
    <e v="#REF!"/>
    <e v="#REF!"/>
  </r>
  <r>
    <s v="401000"/>
    <x v="6"/>
    <s v="FOURNISSEURS"/>
    <s v="BPRI"/>
    <n v="95.14"/>
    <d v="2025-02-06T00:00:00"/>
    <s v="COTIS FREQUENCE PRO"/>
    <m/>
    <e v="#N/A"/>
    <e v="#N/A"/>
    <n v="21220"/>
    <s v="12013"/>
    <s v="Banque Populaire Rive de Paris"/>
    <s v="Q1"/>
    <e v="#REF!"/>
    <e v="#REF!"/>
    <e v="#REF!"/>
  </r>
  <r>
    <s v="401000"/>
    <x v="6"/>
    <s v="FOURNISSEURS"/>
    <s v="BPRI"/>
    <n v="95.14"/>
    <d v="2025-03-06T00:00:00"/>
    <s v="Frais Bancaires"/>
    <m/>
    <e v="#N/A"/>
    <e v="#N/A"/>
    <n v="58835"/>
    <m/>
    <s v="Banque Populaire Rive de Paris"/>
    <s v="Q1"/>
    <e v="#REF!"/>
    <e v="#REF!"/>
    <e v="#REF!"/>
  </r>
  <r>
    <s v="401000"/>
    <x v="6"/>
    <s v="FOURNISSEURS"/>
    <s v="BPRI"/>
    <n v="95.14"/>
    <d v="2025-04-08T00:00:00"/>
    <s v="Prélèvement Frais bancaires"/>
    <m/>
    <e v="#N/A"/>
    <e v="#N/A"/>
    <n v="66714"/>
    <m/>
    <s v="Banque Populaire Rive de Paris"/>
    <s v="Q2"/>
    <e v="#REF!"/>
    <e v="#REF!"/>
    <e v="#REF!"/>
  </r>
  <r>
    <s v="401000"/>
    <x v="6"/>
    <s v="FOURNISSEURS"/>
    <s v="BPRI"/>
    <n v="95.14"/>
    <d v="2025-05-08T00:00:00"/>
    <s v="Prélèvement Frais bancaires"/>
    <m/>
    <e v="#N/A"/>
    <e v="#N/A"/>
    <n v="71718"/>
    <m/>
    <s v="Banque Populaire Rive de Paris"/>
    <s v="Q2"/>
    <e v="#REF!"/>
    <e v="#REF!"/>
    <e v="#REF!"/>
  </r>
  <r>
    <s v="401000"/>
    <x v="6"/>
    <s v="FOURNISSEURS"/>
    <s v="BPRI"/>
    <n v="95.14"/>
    <d v="2025-06-06T00:00:00"/>
    <s v="PREL - Cotisation Frequence Pro"/>
    <m/>
    <e v="#N/A"/>
    <e v="#N/A"/>
    <n v="75639"/>
    <m/>
    <s v="Banque Populaire Rive de Paris"/>
    <s v="Q2"/>
    <e v="#REF!"/>
    <e v="#REF!"/>
    <e v="#REF!"/>
  </r>
  <r>
    <s v="401000"/>
    <x v="6"/>
    <s v="FOURNISSEURS"/>
    <s v="BPRI"/>
    <n v="95.14"/>
    <d v="2025-09-06T00:00:00"/>
    <s v="COTIS FREQUENCE PRO"/>
    <m/>
    <e v="#N/A"/>
    <e v="#N/A"/>
    <n v="82132"/>
    <m/>
    <s v="Banque Populaire Rive de Paris"/>
    <s v="Q3"/>
    <e v="#REF!"/>
    <e v="#REF!"/>
    <e v="#REF!"/>
  </r>
  <r>
    <s v="661100"/>
    <x v="6"/>
    <s v="INTÉRÊTS BANCAIRES"/>
    <s v="BPRI"/>
    <n v="73.67"/>
    <d v="2025-11-29T00:00:00"/>
    <s v="/LIB/ECHEANCE PRET/LIB/8815036/LIB/DONT CAP   7981,64 ASS.   95,32E/LIB/     INT.    73,67 COM.  133,50E"/>
    <m/>
    <e v="#N/A"/>
    <e v="#N/A"/>
    <n v="91303"/>
    <m/>
    <m/>
    <s v="Q4"/>
    <e v="#REF!"/>
    <e v="#REF!"/>
    <e v="#REF!"/>
  </r>
  <r>
    <s v="164110"/>
    <x v="6"/>
    <s v="PRET BP N°2 (LT) 08815036"/>
    <s v="BPRI"/>
    <n v="7986.5"/>
    <d v="2025-12-31T00:00:00"/>
    <s v="/LIB/ECHEANCE PRET/LIB/8815036/LIB/DONT CAP   7986,50 ASS.   95,32E/LIB/     INT.    68,81 COM.  133,50E"/>
    <m/>
    <e v="#N/A"/>
    <e v="#N/A"/>
    <n v="93881"/>
    <m/>
    <m/>
    <s v="Q4"/>
    <e v="#REF!"/>
    <e v="#REF!"/>
    <e v="#REF!"/>
  </r>
  <r>
    <s v="512100"/>
    <x v="6"/>
    <s v="BANQUE POPULAIRE RIVE DE PARIS"/>
    <s v="BPRI"/>
    <n v="-8284.1299999999992"/>
    <d v="2025-12-31T00:00:00"/>
    <s v="/LIB/ECHEANCE PRET/LIB/8815036/LIB/DONT CAP   7986,50 ASS.   95,32E/LIB/     INT.    68,81 COM.  133,50E"/>
    <m/>
    <e v="#N/A"/>
    <e v="#N/A"/>
    <n v="93880"/>
    <m/>
    <m/>
    <s v="Q4"/>
    <e v="#REF!"/>
    <e v="#REF!"/>
    <e v="#REF!"/>
  </r>
  <r>
    <s v="401000"/>
    <x v="6"/>
    <s v="FOURNISSEURS"/>
    <s v="BPRI"/>
    <n v="96.89"/>
    <d v="2025-03-18T00:00:00"/>
    <s v="Règlement Facture 4067628880"/>
    <m/>
    <e v="#N/A"/>
    <e v="#N/A"/>
    <n v="61863"/>
    <m/>
    <m/>
    <s v="Q1"/>
    <e v="#REF!"/>
    <e v="#REF!"/>
    <e v="#REF!"/>
  </r>
  <r>
    <s v="401000"/>
    <x v="6"/>
    <s v="FOURNISSEURS"/>
    <s v="BPRI"/>
    <n v="97.98"/>
    <d v="2025-04-08T00:00:00"/>
    <s v="Invoice Payment By Pili"/>
    <m/>
    <e v="#N/A"/>
    <e v="#N/A"/>
    <n v="66693"/>
    <m/>
    <m/>
    <s v="Q2"/>
    <e v="#REF!"/>
    <e v="#REF!"/>
    <e v="#REF!"/>
  </r>
  <r>
    <s v="401000"/>
    <x v="6"/>
    <s v="FOURNISSEURS"/>
    <s v="BPRI"/>
    <n v="101"/>
    <d v="2025-04-30T00:00:00"/>
    <s v="Règlement CB JERBLA"/>
    <m/>
    <e v="#N/A"/>
    <e v="#N/A"/>
    <n v="70639"/>
    <m/>
    <s v="SNCF"/>
    <s v="Q2"/>
    <e v="#REF!"/>
    <e v="#REF!"/>
    <e v="#REF!"/>
  </r>
  <r>
    <s v="401000"/>
    <x v="6"/>
    <s v="FOURNISSEURS"/>
    <s v="BPRI"/>
    <n v="101"/>
    <d v="2025-06-06T00:00:00"/>
    <s v="Règlement CB - SNCF"/>
    <m/>
    <e v="#N/A"/>
    <e v="#N/A"/>
    <n v="75641"/>
    <m/>
    <s v="SNCF"/>
    <s v="Q2"/>
    <e v="#REF!"/>
    <e v="#REF!"/>
    <e v="#REF!"/>
  </r>
  <r>
    <s v="401000"/>
    <x v="6"/>
    <s v="FOURNISSEURS"/>
    <s v="BPRI"/>
    <n v="101"/>
    <d v="2025-06-16T00:00:00"/>
    <s v="CB SNCF-VOYAGEURS"/>
    <m/>
    <e v="#N/A"/>
    <e v="#N/A"/>
    <n v="76083"/>
    <m/>
    <s v="SNCF"/>
    <s v="Q2"/>
    <e v="#REF!"/>
    <e v="#REF!"/>
    <e v="#REF!"/>
  </r>
  <r>
    <s v="401000"/>
    <x v="6"/>
    <s v="FOURNISSEURS"/>
    <s v="BPRI"/>
    <n v="101"/>
    <d v="2025-06-16T00:00:00"/>
    <s v="CB SNCF-VOYAGEURS"/>
    <m/>
    <e v="#N/A"/>
    <e v="#N/A"/>
    <n v="76086"/>
    <m/>
    <s v="SNCF"/>
    <s v="Q2"/>
    <e v="#REF!"/>
    <e v="#REF!"/>
    <e v="#REF!"/>
  </r>
  <r>
    <s v="401000"/>
    <x v="6"/>
    <s v="FOURNISSEURS"/>
    <s v="BPRI"/>
    <n v="101.76"/>
    <d v="2025-05-07T00:00:00"/>
    <s v="COMMANDE PRODUIT LABO"/>
    <m/>
    <e v="#N/A"/>
    <e v="#N/A"/>
    <n v="71839"/>
    <m/>
    <m/>
    <s v="Q2"/>
    <e v="#REF!"/>
    <e v="#REF!"/>
    <e v="#REF!"/>
  </r>
  <r>
    <s v="401000"/>
    <x v="6"/>
    <s v="FOURNISSEURS"/>
    <s v="BPRI"/>
    <n v="102"/>
    <d v="2025-07-31T00:00:00"/>
    <s v="COMMANDE PRODUIT POUR LABO"/>
    <m/>
    <e v="#N/A"/>
    <e v="#N/A"/>
    <n v="79329"/>
    <m/>
    <m/>
    <s v="Q3"/>
    <e v="#REF!"/>
    <e v="#REF!"/>
    <e v="#REF!"/>
  </r>
  <r>
    <s v="401000"/>
    <x v="6"/>
    <s v="FOURNISSEURS"/>
    <s v="BPRI"/>
    <n v="104"/>
    <d v="2025-10-31T00:00:00"/>
    <s v="INGM232808"/>
    <m/>
    <e v="#N/A"/>
    <e v="#N/A"/>
    <n v="87527"/>
    <m/>
    <m/>
    <s v="Q4"/>
    <e v="#REF!"/>
    <e v="#REF!"/>
    <e v="#REF!"/>
  </r>
  <r>
    <s v="401000"/>
    <x v="6"/>
    <s v="FOURNISSEURS"/>
    <s v="BPRI"/>
    <n v="104.72"/>
    <d v="2025-10-31T00:00:00"/>
    <s v="SOLVANT LABO"/>
    <m/>
    <e v="#N/A"/>
    <e v="#N/A"/>
    <n v="87568"/>
    <m/>
    <m/>
    <s v="Q4"/>
    <e v="#REF!"/>
    <e v="#REF!"/>
    <e v="#REF!"/>
  </r>
  <r>
    <s v="401000"/>
    <x v="6"/>
    <s v="FOURNISSEURS"/>
    <s v="BPRI"/>
    <n v="105.5"/>
    <d v="2025-07-31T00:00:00"/>
    <s v="COMMANDE SOLVANT LABO"/>
    <m/>
    <e v="#N/A"/>
    <e v="#N/A"/>
    <n v="79324"/>
    <m/>
    <m/>
    <s v="Q3"/>
    <e v="#REF!"/>
    <e v="#REF!"/>
    <e v="#REF!"/>
  </r>
  <r>
    <s v="401000"/>
    <x v="6"/>
    <s v="FOURNISSEURS"/>
    <s v="BPRI"/>
    <n v="107.17"/>
    <d v="2025-05-16T00:00:00"/>
    <s v="Prélèvement DHL"/>
    <m/>
    <e v="#N/A"/>
    <e v="#N/A"/>
    <n v="72842"/>
    <m/>
    <s v="DHL"/>
    <s v="Q2"/>
    <e v="#REF!"/>
    <e v="#REF!"/>
    <e v="#REF!"/>
  </r>
  <r>
    <s v="401000"/>
    <x v="6"/>
    <s v="FOURNISSEURS"/>
    <s v="BPRI"/>
    <n v="107.39"/>
    <d v="2025-11-07T00:00:00"/>
    <s v="4067821368"/>
    <m/>
    <e v="#N/A"/>
    <e v="#N/A"/>
    <n v="89426"/>
    <m/>
    <m/>
    <s v="Q4"/>
    <e v="#REF!"/>
    <e v="#REF!"/>
    <e v="#REF!"/>
  </r>
  <r>
    <s v="401000"/>
    <x v="6"/>
    <s v="FOURNISSEURS"/>
    <s v="BPRI"/>
    <n v="107.99"/>
    <d v="2025-02-04T00:00:00"/>
    <s v="PRLV SEPA DATACAMPUS"/>
    <m/>
    <e v="#N/A"/>
    <e v="#N/A"/>
    <n v="21180"/>
    <s v="078MY4F"/>
    <s v="DATACAMPUS"/>
    <s v="Q1"/>
    <e v="#REF!"/>
    <e v="#REF!"/>
    <e v="#REF!"/>
  </r>
  <r>
    <s v="401000"/>
    <x v="6"/>
    <s v="FOURNISSEURS"/>
    <s v="BPRI"/>
    <n v="107.99"/>
    <d v="2025-02-19T00:00:00"/>
    <s v="PRLV SEPA DATACAMPUS"/>
    <m/>
    <e v="#N/A"/>
    <e v="#N/A"/>
    <n v="21370"/>
    <s v="07DW0F8"/>
    <s v="DATACAMPUS"/>
    <s v="Q1"/>
    <e v="#REF!"/>
    <e v="#REF!"/>
    <e v="#REF!"/>
  </r>
  <r>
    <s v="401000"/>
    <x v="6"/>
    <s v="FOURNISSEURS"/>
    <s v="BPRI"/>
    <n v="107.99"/>
    <d v="2025-03-21T00:00:00"/>
    <s v="Prélèvement fournisseurs"/>
    <m/>
    <e v="#N/A"/>
    <e v="#N/A"/>
    <n v="61898"/>
    <m/>
    <s v="DATACAMPUS"/>
    <s v="Q1"/>
    <e v="#REF!"/>
    <e v="#REF!"/>
    <e v="#REF!"/>
  </r>
  <r>
    <s v="401000"/>
    <x v="6"/>
    <s v="FOURNISSEURS"/>
    <s v="BPRI"/>
    <n v="107.99"/>
    <d v="2025-04-24T00:00:00"/>
    <s v="Prélèvement fournisseur"/>
    <m/>
    <e v="#N/A"/>
    <e v="#N/A"/>
    <n v="68535"/>
    <m/>
    <s v="DATACAMPUS"/>
    <s v="Q2"/>
    <e v="#REF!"/>
    <e v="#REF!"/>
    <e v="#REF!"/>
  </r>
  <r>
    <s v="401000"/>
    <x v="6"/>
    <s v="FOURNISSEURS"/>
    <s v="BPRI"/>
    <n v="107.99"/>
    <d v="2025-05-21T00:00:00"/>
    <s v="Prélèvement fournisseur"/>
    <m/>
    <e v="#N/A"/>
    <e v="#N/A"/>
    <n v="73913"/>
    <m/>
    <s v="DATACAMPUS"/>
    <s v="Q2"/>
    <e v="#REF!"/>
    <e v="#REF!"/>
    <e v="#REF!"/>
  </r>
  <r>
    <s v="401000"/>
    <x v="6"/>
    <s v="FOURNISSEURS"/>
    <s v="BPRI"/>
    <n v="107.99"/>
    <d v="2025-06-19T00:00:00"/>
    <s v="PRLV SEPA DATACAMPUS"/>
    <m/>
    <e v="#N/A"/>
    <e v="#N/A"/>
    <n v="76156"/>
    <m/>
    <s v="DATACAMPUS"/>
    <s v="Q2"/>
    <e v="#REF!"/>
    <e v="#REF!"/>
    <e v="#REF!"/>
  </r>
  <r>
    <s v="401000"/>
    <x v="6"/>
    <s v="FOURNISSEURS"/>
    <s v="BPRI"/>
    <n v="107.99"/>
    <d v="2025-07-08T00:00:00"/>
    <s v="PRLV SEPA DATACAMPUS"/>
    <m/>
    <e v="#N/A"/>
    <e v="#N/A"/>
    <n v="78447"/>
    <m/>
    <s v="DATACAMPUS"/>
    <s v="Q3"/>
    <e v="#REF!"/>
    <e v="#REF!"/>
    <e v="#REF!"/>
  </r>
  <r>
    <s v="401000"/>
    <x v="6"/>
    <s v="FOURNISSEURS"/>
    <s v="BPRI"/>
    <n v="107.99"/>
    <d v="2025-08-25T00:00:00"/>
    <s v="PRLV SEPA DATACAMPUS"/>
    <m/>
    <e v="#N/A"/>
    <e v="#N/A"/>
    <n v="81634"/>
    <m/>
    <s v="DATACAMPUS"/>
    <s v="Q3"/>
    <e v="#REF!"/>
    <e v="#REF!"/>
    <e v="#REF!"/>
  </r>
  <r>
    <s v="401000"/>
    <x v="6"/>
    <s v="FOURNISSEURS"/>
    <s v="BPRI"/>
    <n v="107.99"/>
    <d v="2025-09-25T00:00:00"/>
    <s v="PRLV SEPA DATACAMPUS"/>
    <m/>
    <e v="#N/A"/>
    <e v="#N/A"/>
    <n v="82601"/>
    <m/>
    <s v="DATACAMPUS"/>
    <s v="Q3"/>
    <e v="#REF!"/>
    <e v="#REF!"/>
    <e v="#REF!"/>
  </r>
  <r>
    <s v="627200"/>
    <x v="6"/>
    <s v="Frais sur emprunts"/>
    <s v="BPRI"/>
    <n v="95.32"/>
    <d v="2025-12-31T00:00:00"/>
    <s v="/LIB/ECHEANCE PRET/LIB/8815036/LIB/DONT CAP   7986,50 ASS.   95,32E/LIB/     INT.    68,81 COM.  133,50E"/>
    <m/>
    <e v="#N/A"/>
    <e v="#N/A"/>
    <n v="93882"/>
    <m/>
    <m/>
    <s v="Q4"/>
    <e v="#REF!"/>
    <e v="#REF!"/>
    <e v="#REF!"/>
  </r>
  <r>
    <s v="627200"/>
    <x v="6"/>
    <s v="Frais sur emprunts"/>
    <s v="BPRI"/>
    <n v="133.5"/>
    <d v="2025-12-31T00:00:00"/>
    <s v="/LIB/ECHEANCE PRET/LIB/8815036/LIB/DONT CAP   7986,50 ASS.   95,32E/LIB/     INT.    68,81 COM.  133,50E"/>
    <m/>
    <e v="#N/A"/>
    <e v="#N/A"/>
    <n v="93884"/>
    <m/>
    <m/>
    <s v="Q4"/>
    <e v="#REF!"/>
    <e v="#REF!"/>
    <e v="#REF!"/>
  </r>
  <r>
    <s v="661100"/>
    <x v="6"/>
    <s v="INTÉRÊTS BANCAIRES"/>
    <s v="BPRI"/>
    <n v="68.81"/>
    <d v="2025-12-31T00:00:00"/>
    <s v="/LIB/ECHEANCE PRET/LIB/8815036/LIB/DONT CAP   7986,50 ASS.   95,32E/LIB/     INT.    68,81 COM.  133,50E"/>
    <m/>
    <e v="#N/A"/>
    <e v="#N/A"/>
    <n v="93883"/>
    <m/>
    <m/>
    <s v="Q4"/>
    <e v="#REF!"/>
    <e v="#REF!"/>
    <e v="#REF!"/>
  </r>
  <r>
    <s v="401000"/>
    <x v="6"/>
    <s v="FOURNISSEURS"/>
    <s v="BPRI"/>
    <n v="108"/>
    <d v="2025-03-06T00:00:00"/>
    <s v="Règlement CB - SNCF"/>
    <m/>
    <e v="#N/A"/>
    <e v="#N/A"/>
    <n v="58997"/>
    <m/>
    <s v="SNCF"/>
    <s v="Q1"/>
    <e v="#REF!"/>
    <e v="#REF!"/>
    <e v="#REF!"/>
  </r>
  <r>
    <s v="401000"/>
    <x v="6"/>
    <s v="FOURNISSEURS"/>
    <s v="BPRI"/>
    <n v="108"/>
    <d v="2025-03-28T00:00:00"/>
    <s v="Invoice Payment by Pili"/>
    <m/>
    <e v="#N/A"/>
    <e v="#N/A"/>
    <n v="65008"/>
    <m/>
    <m/>
    <s v="Q1"/>
    <e v="#REF!"/>
    <e v="#REF!"/>
    <e v="#REF!"/>
  </r>
  <r>
    <s v="401000"/>
    <x v="6"/>
    <s v="FOURNISSEURS"/>
    <s v="BPRI"/>
    <n v="108"/>
    <d v="2025-04-30T00:00:00"/>
    <s v="Règlement CB JERBLA"/>
    <m/>
    <e v="#N/A"/>
    <e v="#N/A"/>
    <n v="70642"/>
    <m/>
    <s v="SNCF"/>
    <s v="Q2"/>
    <e v="#REF!"/>
    <e v="#REF!"/>
    <e v="#REF!"/>
  </r>
  <r>
    <s v="401000"/>
    <x v="6"/>
    <s v="FOURNISSEURS"/>
    <s v="BPRI"/>
    <n v="108.45"/>
    <d v="2025-03-10T00:00:00"/>
    <s v="Prélèvement fournisseur"/>
    <m/>
    <e v="#N/A"/>
    <e v="#N/A"/>
    <n v="60095"/>
    <m/>
    <s v="ENGIE"/>
    <s v="Q1"/>
    <e v="#REF!"/>
    <e v="#REF!"/>
    <e v="#REF!"/>
  </r>
  <r>
    <s v="401000"/>
    <x v="6"/>
    <s v="FOURNISSEURS"/>
    <s v="BPRI"/>
    <n v="110.52"/>
    <d v="2025-07-09T00:00:00"/>
    <s v="PRODUITS POUR VBIO ET V2020 AMINOIMINOMETHANESULFINIC ACID IRON II SULFATE HEPTAHYDRATE"/>
    <m/>
    <e v="#N/A"/>
    <e v="#N/A"/>
    <n v="77234"/>
    <m/>
    <m/>
    <s v="Q3"/>
    <e v="#REF!"/>
    <e v="#REF!"/>
    <e v="#REF!"/>
  </r>
  <r>
    <s v="401000"/>
    <x v="6"/>
    <s v="FOURNISSEURS"/>
    <s v="BPRI"/>
    <n v="110.59"/>
    <d v="2025-08-21T00:00:00"/>
    <s v="COMMANDE CONSOMMABLES LABO"/>
    <m/>
    <e v="#N/A"/>
    <e v="#N/A"/>
    <n v="81525"/>
    <m/>
    <m/>
    <s v="Q3"/>
    <e v="#REF!"/>
    <e v="#REF!"/>
    <e v="#REF!"/>
  </r>
  <r>
    <s v="401000"/>
    <x v="6"/>
    <s v="FOURNISSEURS"/>
    <s v="BPRI"/>
    <n v="111.45"/>
    <d v="2025-03-29T00:00:00"/>
    <s v="CB LOIMAS - Airbnb"/>
    <m/>
    <e v="#N/A"/>
    <e v="#N/A"/>
    <n v="66446"/>
    <m/>
    <s v="AIRBNB"/>
    <s v="Q1"/>
    <e v="#REF!"/>
    <e v="#REF!"/>
    <e v="#REF!"/>
  </r>
  <r>
    <s v="401000"/>
    <x v="6"/>
    <s v="FOURNISSEURS"/>
    <s v="BPRI"/>
    <n v="111.6"/>
    <d v="2025-08-20T00:00:00"/>
    <s v="PRLV SEPA PREVALY"/>
    <m/>
    <e v="#N/A"/>
    <e v="#N/A"/>
    <n v="81550"/>
    <m/>
    <s v="PREVALY"/>
    <s v="Q3"/>
    <e v="#REF!"/>
    <e v="#REF!"/>
    <e v="#REF!"/>
  </r>
  <r>
    <s v="512100"/>
    <x v="6"/>
    <s v="BANQUE POPULAIRE RIVE DE PARIS"/>
    <s v="BPRI"/>
    <n v="1000"/>
    <d v="2025-08-05T00:00:00"/>
    <s v="/LIB/EVI ASP AGENCE COMPTABLE/LIB/INISTERE DU TRAV/LIB/ASP AGENCE COMPTABLE/LIB/152901464 AUEA AUEA04106822400 M/LIB/INISTERE DU"/>
    <m/>
    <e v="#N/A"/>
    <e v="#N/A"/>
    <n v="80678"/>
    <m/>
    <m/>
    <s v="Q3"/>
    <e v="#REF!"/>
    <e v="#REF!"/>
    <e v="#REF!"/>
  </r>
  <r>
    <s v="401000"/>
    <x v="6"/>
    <s v="FOURNISSEURS"/>
    <s v="BPRI"/>
    <n v="112.8"/>
    <d v="2025-04-25T00:00:00"/>
    <s v="Invoice Payment by Pili"/>
    <m/>
    <e v="#N/A"/>
    <e v="#N/A"/>
    <n v="70165"/>
    <m/>
    <m/>
    <s v="Q2"/>
    <e v="#REF!"/>
    <e v="#REF!"/>
    <e v="#REF!"/>
  </r>
  <r>
    <s v="401000"/>
    <x v="6"/>
    <s v="FOURNISSEURS"/>
    <s v="BPRI"/>
    <n v="113.26"/>
    <d v="2025-04-25T00:00:00"/>
    <s v="Invoice Payment by Pili"/>
    <m/>
    <e v="#N/A"/>
    <e v="#N/A"/>
    <n v="70125"/>
    <m/>
    <m/>
    <s v="Q2"/>
    <e v="#REF!"/>
    <e v="#REF!"/>
    <e v="#REF!"/>
  </r>
  <r>
    <s v="441720"/>
    <x v="6"/>
    <s v="SUBVENTIONS A RECEVOIR - DIVERS"/>
    <s v="BPRI"/>
    <n v="-2499.96"/>
    <d v="2025-12-04T00:00:00"/>
    <s v="/LIB/EVI ASP AGENCE COMPTABLE/LIB/INISTERE DU TRAV/LIB/ASP AGENCE COMPTABLE/LIB/155822980 AUEA AUEA04106822400 M/LIB/INISTERE DU"/>
    <m/>
    <e v="#N/A"/>
    <e v="#N/A"/>
    <n v="91326"/>
    <m/>
    <m/>
    <s v="Q4"/>
    <e v="#REF!"/>
    <e v="#REF!"/>
    <e v="#REF!"/>
  </r>
  <r>
    <s v="401000"/>
    <x v="6"/>
    <s v="FOURNISSEURS"/>
    <s v="BPRI"/>
    <n v="114.21"/>
    <d v="2025-04-07T00:00:00"/>
    <s v="Prélèvement Engie"/>
    <m/>
    <e v="#N/A"/>
    <e v="#N/A"/>
    <n v="66600"/>
    <m/>
    <s v="ENGIE"/>
    <s v="Q2"/>
    <e v="#REF!"/>
    <e v="#REF!"/>
    <e v="#REF!"/>
  </r>
  <r>
    <s v="512100"/>
    <x v="6"/>
    <s v="BANQUE POPULAIRE RIVE DE PARIS"/>
    <s v="BPRI"/>
    <n v="2499.96"/>
    <d v="2025-12-04T00:00:00"/>
    <s v="/LIB/EVI ASP AGENCE COMPTABLE/LIB/INISTERE DU TRAV/LIB/ASP AGENCE COMPTABLE/LIB/155822980 AUEA AUEA04106822400 M/LIB/INISTERE DU"/>
    <m/>
    <e v="#N/A"/>
    <e v="#N/A"/>
    <n v="91325"/>
    <m/>
    <m/>
    <s v="Q4"/>
    <e v="#REF!"/>
    <e v="#REF!"/>
    <e v="#REF!"/>
  </r>
  <r>
    <s v="401000"/>
    <x v="6"/>
    <s v="FOURNISSEURS"/>
    <s v="BPRI"/>
    <n v="117"/>
    <d v="2025-04-25T00:00:00"/>
    <s v="Invoice Payment by Pili"/>
    <m/>
    <e v="#N/A"/>
    <e v="#N/A"/>
    <n v="70185"/>
    <m/>
    <m/>
    <s v="Q2"/>
    <e v="#REF!"/>
    <e v="#REF!"/>
    <e v="#REF!"/>
  </r>
  <r>
    <s v="401000"/>
    <x v="6"/>
    <s v="FOURNISSEURS"/>
    <s v="BPRI"/>
    <n v="117.6"/>
    <d v="2025-04-25T00:00:00"/>
    <s v="Invoice Payment by Pili"/>
    <m/>
    <e v="#N/A"/>
    <e v="#N/A"/>
    <n v="70140"/>
    <m/>
    <m/>
    <s v="Q2"/>
    <e v="#REF!"/>
    <e v="#REF!"/>
    <e v="#REF!"/>
  </r>
  <r>
    <s v="401000"/>
    <x v="6"/>
    <s v="FOURNISSEURS"/>
    <s v="BPRI"/>
    <n v="118.04"/>
    <d v="2025-07-31T00:00:00"/>
    <s v="COMMANDE PRODUIT LABO"/>
    <m/>
    <e v="#N/A"/>
    <e v="#N/A"/>
    <n v="79299"/>
    <m/>
    <m/>
    <s v="Q3"/>
    <e v="#REF!"/>
    <e v="#REF!"/>
    <e v="#REF!"/>
  </r>
  <r>
    <s v="401000"/>
    <x v="6"/>
    <s v="FOURNISSEURS"/>
    <s v="BPRI"/>
    <n v="118.96"/>
    <d v="2025-09-12T00:00:00"/>
    <s v="COUTS DE TRANSPORT - ECHANTILLONS"/>
    <m/>
    <e v="#N/A"/>
    <e v="#N/A"/>
    <n v="82064"/>
    <m/>
    <m/>
    <s v="Q3"/>
    <e v="#REF!"/>
    <e v="#REF!"/>
    <e v="#REF!"/>
  </r>
  <r>
    <s v="401000"/>
    <x v="6"/>
    <s v="FOURNISSEURS"/>
    <s v="BPRI"/>
    <n v="120"/>
    <d v="2025-06-04T00:00:00"/>
    <s v="Invoice payment by Pili"/>
    <m/>
    <e v="#N/A"/>
    <e v="#N/A"/>
    <n v="75540"/>
    <m/>
    <m/>
    <s v="Q2"/>
    <e v="#REF!"/>
    <e v="#REF!"/>
    <e v="#REF!"/>
  </r>
  <r>
    <s v="401000"/>
    <x v="6"/>
    <s v="FOURNISSEURS"/>
    <s v="BPRI"/>
    <n v="-1385.75"/>
    <d v="2025-09-30T00:00:00"/>
    <s v="/LIB/EVI BRENNTAG SA/LIB/P BNRHA24917 17./LIB/BRENNTAG SA/LIB//INV/0094328914 1.10.2024/INV/BN/LIB/P BNRHA24917 17.9.2024/INV/BN"/>
    <m/>
    <e v="#N/A"/>
    <e v="#N/A"/>
    <n v="82648"/>
    <m/>
    <s v="BRENNTAG"/>
    <s v="Q3"/>
    <e v="#REF!"/>
    <e v="#REF!"/>
    <e v="#REF!"/>
  </r>
  <r>
    <s v="401000"/>
    <x v="6"/>
    <s v="FOURNISSEURS"/>
    <s v="BPRI"/>
    <n v="120.36"/>
    <d v="2025-04-02T00:00:00"/>
    <s v="Invoice Payment by Pili"/>
    <m/>
    <e v="#N/A"/>
    <e v="#N/A"/>
    <n v="66495"/>
    <m/>
    <m/>
    <s v="Q2"/>
    <e v="#REF!"/>
    <e v="#REF!"/>
    <e v="#REF!"/>
  </r>
  <r>
    <s v="401000"/>
    <x v="6"/>
    <s v="FOURNISSEURS"/>
    <s v="BPRI"/>
    <n v="121.81"/>
    <d v="2025-01-06T00:00:00"/>
    <s v="PRLV SEPA ENGIE"/>
    <m/>
    <e v="#N/A"/>
    <e v="#N/A"/>
    <n v="20892"/>
    <s v="06YGWF7"/>
    <s v="ENGIE"/>
    <s v="Q1"/>
    <e v="#REF!"/>
    <e v="#REF!"/>
    <e v="#REF!"/>
  </r>
  <r>
    <s v="401000"/>
    <x v="6"/>
    <s v="FOURNISSEURS"/>
    <s v="BPRI"/>
    <n v="121.85"/>
    <d v="2025-07-31T00:00:00"/>
    <s v="COMMANDE CONSOMMABLE LABO"/>
    <m/>
    <e v="#N/A"/>
    <e v="#N/A"/>
    <n v="79359"/>
    <m/>
    <m/>
    <s v="Q3"/>
    <e v="#REF!"/>
    <e v="#REF!"/>
    <e v="#REF!"/>
  </r>
  <r>
    <s v="401000"/>
    <x v="6"/>
    <s v="FOURNISSEURS"/>
    <s v="BPRI"/>
    <n v="122.54"/>
    <d v="2025-03-18T00:00:00"/>
    <s v="Règlement Facture 4067644636"/>
    <m/>
    <e v="#N/A"/>
    <e v="#N/A"/>
    <n v="61868"/>
    <m/>
    <m/>
    <s v="Q1"/>
    <e v="#REF!"/>
    <e v="#REF!"/>
    <e v="#REF!"/>
  </r>
  <r>
    <s v="401000"/>
    <x v="6"/>
    <s v="FOURNISSEURS"/>
    <s v="BPRI"/>
    <n v="122.56"/>
    <d v="2025-02-06T00:00:00"/>
    <s v="EVI REMISE"/>
    <m/>
    <e v="#N/A"/>
    <e v="#N/A"/>
    <n v="21226"/>
    <s v="0GLHS0V"/>
    <s v="ROTH SOCHIEL"/>
    <s v="Q1"/>
    <e v="#REF!"/>
    <e v="#REF!"/>
    <e v="#REF!"/>
  </r>
  <r>
    <s v="401000"/>
    <x v="6"/>
    <s v="FOURNISSEURS"/>
    <s v="BPRI"/>
    <n v="122.65"/>
    <d v="2025-05-23T00:00:00"/>
    <s v="Prélèvement Fournisseur"/>
    <m/>
    <e v="#N/A"/>
    <e v="#N/A"/>
    <n v="74080"/>
    <m/>
    <s v="DHL"/>
    <s v="Q2"/>
    <e v="#REF!"/>
    <e v="#REF!"/>
    <e v="#REF!"/>
  </r>
  <r>
    <s v="401000"/>
    <x v="6"/>
    <s v="FOURNISSEURS"/>
    <s v="BPRI"/>
    <n v="124"/>
    <d v="2025-01-14T00:00:00"/>
    <s v="130125 CB    6880"/>
    <m/>
    <e v="#N/A"/>
    <e v="#N/A"/>
    <n v="20982"/>
    <s v="0OB9RVK"/>
    <s v="SNCF"/>
    <s v="Q1"/>
    <e v="#REF!"/>
    <e v="#REF!"/>
    <e v="#REF!"/>
  </r>
  <r>
    <s v="401000"/>
    <x v="6"/>
    <s v="FOURNISSEURS"/>
    <s v="BPRI"/>
    <n v="124.06"/>
    <d v="2025-08-18T00:00:00"/>
    <s v="COMMANDE PRODUITS LABO"/>
    <m/>
    <e v="#N/A"/>
    <e v="#N/A"/>
    <n v="81165"/>
    <m/>
    <m/>
    <s v="Q3"/>
    <e v="#REF!"/>
    <e v="#REF!"/>
    <e v="#REF!"/>
  </r>
  <r>
    <s v="401000"/>
    <x v="6"/>
    <s v="FOURNISSEURS"/>
    <s v="BPRI"/>
    <n v="127"/>
    <d v="2025-09-12T00:00:00"/>
    <s v="COMMANDE PRODUIT KEENB"/>
    <m/>
    <e v="#N/A"/>
    <e v="#N/A"/>
    <n v="82024"/>
    <m/>
    <m/>
    <s v="Q3"/>
    <e v="#REF!"/>
    <e v="#REF!"/>
    <e v="#REF!"/>
  </r>
  <r>
    <s v="401000"/>
    <x v="6"/>
    <s v="FOURNISSEURS"/>
    <s v="BPRI"/>
    <n v="128"/>
    <d v="2025-03-18T00:00:00"/>
    <s v="Règlement Facture 0092399319"/>
    <m/>
    <e v="#N/A"/>
    <e v="#N/A"/>
    <n v="61871"/>
    <m/>
    <m/>
    <s v="Q1"/>
    <e v="#REF!"/>
    <e v="#REF!"/>
    <e v="#REF!"/>
  </r>
  <r>
    <s v="401000"/>
    <x v="6"/>
    <s v="FOURNISSEURS"/>
    <s v="BPRI"/>
    <n v="129.41999999999999"/>
    <d v="2025-03-18T00:00:00"/>
    <s v="Règlement Facture 4067615587"/>
    <m/>
    <e v="#N/A"/>
    <e v="#N/A"/>
    <n v="61862"/>
    <m/>
    <m/>
    <s v="Q1"/>
    <e v="#REF!"/>
    <e v="#REF!"/>
    <e v="#REF!"/>
  </r>
  <r>
    <s v="401000"/>
    <x v="6"/>
    <s v="FOURNISSEURS"/>
    <s v="BPRI"/>
    <n v="130"/>
    <d v="2025-07-31T00:00:00"/>
    <s v="CONSEIL ET ASSISTANCE DANS LE CADRE DU SUIVI DES BSPCE"/>
    <m/>
    <e v="#N/A"/>
    <e v="#N/A"/>
    <n v="79239"/>
    <m/>
    <m/>
    <s v="Q3"/>
    <e v="#REF!"/>
    <e v="#REF!"/>
    <e v="#REF!"/>
  </r>
  <r>
    <s v="401000"/>
    <x v="6"/>
    <s v="FOURNISSEURS"/>
    <s v="BPRI"/>
    <n v="132"/>
    <d v="2025-01-07T00:00:00"/>
    <s v="PRLV SEPA HOPER"/>
    <m/>
    <e v="#N/A"/>
    <e v="#N/A"/>
    <n v="20912"/>
    <s v="06ZU7HV"/>
    <s v="HOPER"/>
    <s v="Q1"/>
    <e v="#REF!"/>
    <e v="#REF!"/>
    <e v="#REF!"/>
  </r>
  <r>
    <s v="401000"/>
    <x v="6"/>
    <s v="FOURNISSEURS"/>
    <s v="BPRI"/>
    <n v="132"/>
    <d v="2025-04-07T00:00:00"/>
    <s v="Prélèvement Hoper"/>
    <m/>
    <e v="#N/A"/>
    <e v="#N/A"/>
    <n v="66597"/>
    <m/>
    <s v="HOPER"/>
    <s v="Q2"/>
    <e v="#REF!"/>
    <e v="#REF!"/>
    <e v="#REF!"/>
  </r>
  <r>
    <s v="401000"/>
    <x v="6"/>
    <s v="FOURNISSEURS"/>
    <s v="BPRI"/>
    <n v="132.47999999999999"/>
    <d v="2025-07-31T00:00:00"/>
    <s v="RÉACTIFS KL VBIO"/>
    <m/>
    <e v="#N/A"/>
    <e v="#N/A"/>
    <n v="79294"/>
    <m/>
    <m/>
    <s v="Q3"/>
    <e v="#REF!"/>
    <e v="#REF!"/>
    <e v="#REF!"/>
  </r>
  <r>
    <s v="401000"/>
    <x v="6"/>
    <s v="FOURNISSEURS"/>
    <s v="BPRI"/>
    <n v="132.97999999999999"/>
    <d v="2025-12-08T00:00:00"/>
    <s v="2025-Q100527"/>
    <m/>
    <e v="#N/A"/>
    <e v="#N/A"/>
    <n v="91335"/>
    <m/>
    <m/>
    <s v="Q4"/>
    <e v="#REF!"/>
    <e v="#REF!"/>
    <e v="#REF!"/>
  </r>
  <r>
    <s v="401000"/>
    <x v="6"/>
    <s v="FOURNISSEURS"/>
    <s v="BPRI"/>
    <n v="133.19999999999999"/>
    <d v="2025-01-10T00:00:00"/>
    <s v="PRLV SEPA ORANGE SA"/>
    <m/>
    <e v="#N/A"/>
    <e v="#N/A"/>
    <n v="20940"/>
    <s v="070CJSY"/>
    <s v="ORANGE"/>
    <s v="Q1"/>
    <e v="#REF!"/>
    <e v="#REF!"/>
    <e v="#REF!"/>
  </r>
  <r>
    <s v="401000"/>
    <x v="6"/>
    <s v="FOURNISSEURS"/>
    <s v="BPRI"/>
    <n v="133.19999999999999"/>
    <d v="2025-02-10T00:00:00"/>
    <s v="PRLV SEPA ORANGE SA"/>
    <m/>
    <e v="#N/A"/>
    <e v="#N/A"/>
    <n v="21244"/>
    <s v="079RD7N"/>
    <s v="ORANGE"/>
    <s v="Q1"/>
    <e v="#REF!"/>
    <e v="#REF!"/>
    <e v="#REF!"/>
  </r>
  <r>
    <s v="401000"/>
    <x v="6"/>
    <s v="FOURNISSEURS"/>
    <s v="BPRI"/>
    <n v="133.19999999999999"/>
    <d v="2025-03-13T00:00:00"/>
    <s v="Prélèvement Orange"/>
    <m/>
    <e v="#N/A"/>
    <e v="#N/A"/>
    <n v="61647"/>
    <m/>
    <s v="ORANGE"/>
    <s v="Q1"/>
    <e v="#REF!"/>
    <e v="#REF!"/>
    <e v="#REF!"/>
  </r>
  <r>
    <s v="401000"/>
    <x v="6"/>
    <s v="FOURNISSEURS"/>
    <s v="BPRI"/>
    <n v="133.19999999999999"/>
    <d v="2025-04-10T00:00:00"/>
    <s v="Prélèvement Orange"/>
    <m/>
    <e v="#N/A"/>
    <e v="#N/A"/>
    <n v="66724"/>
    <m/>
    <s v="ORANGE"/>
    <s v="Q2"/>
    <e v="#REF!"/>
    <e v="#REF!"/>
    <e v="#REF!"/>
  </r>
  <r>
    <s v="401000"/>
    <x v="6"/>
    <s v="FOURNISSEURS"/>
    <s v="BPRI"/>
    <n v="133.19999999999999"/>
    <d v="2025-05-12T00:00:00"/>
    <s v="Prélèvement fournisseur"/>
    <m/>
    <e v="#N/A"/>
    <e v="#N/A"/>
    <n v="71882"/>
    <m/>
    <s v="ORANGE"/>
    <s v="Q2"/>
    <e v="#REF!"/>
    <e v="#REF!"/>
    <e v="#REF!"/>
  </r>
  <r>
    <s v="401000"/>
    <x v="6"/>
    <s v="FOURNISSEURS"/>
    <s v="BPRI"/>
    <n v="133.86000000000001"/>
    <d v="2025-12-30T00:00:00"/>
    <s v="91250200"/>
    <m/>
    <e v="#N/A"/>
    <e v="#N/A"/>
    <n v="93769"/>
    <m/>
    <m/>
    <s v="Q4"/>
    <e v="#REF!"/>
    <e v="#REF!"/>
    <e v="#REF!"/>
  </r>
  <r>
    <s v="401000"/>
    <x v="6"/>
    <s v="FOURNISSEURS"/>
    <s v="BPRI"/>
    <n v="134.76"/>
    <d v="2025-03-06T00:00:00"/>
    <s v="INVOICE 8053417163"/>
    <m/>
    <e v="#N/A"/>
    <e v="#N/A"/>
    <n v="50022"/>
    <s v="Règlement"/>
    <m/>
    <s v="Q1"/>
    <e v="#REF!"/>
    <e v="#REF!"/>
    <e v="#REF!"/>
  </r>
  <r>
    <s v="401000"/>
    <x v="6"/>
    <s v="FOURNISSEURS"/>
    <s v="BPRI"/>
    <n v="134.80000000000001"/>
    <d v="2025-06-10T00:00:00"/>
    <s v="PRLV SEPA ORANGE Fibre"/>
    <m/>
    <e v="#N/A"/>
    <e v="#N/A"/>
    <n v="75928"/>
    <m/>
    <s v="ORANGE"/>
    <s v="Q2"/>
    <e v="#REF!"/>
    <e v="#REF!"/>
    <e v="#REF!"/>
  </r>
  <r>
    <s v="401000"/>
    <x v="6"/>
    <s v="FOURNISSEURS"/>
    <s v="BPRI"/>
    <n v="135"/>
    <d v="2025-07-31T00:00:00"/>
    <s v="ÉQUIPEMENT POUR LABO"/>
    <m/>
    <e v="#N/A"/>
    <e v="#N/A"/>
    <n v="79274"/>
    <m/>
    <m/>
    <s v="Q3"/>
    <e v="#REF!"/>
    <e v="#REF!"/>
    <e v="#REF!"/>
  </r>
  <r>
    <s v="401000"/>
    <x v="6"/>
    <s v="FOURNISSEURS"/>
    <s v="BPRI"/>
    <n v="135.69999999999999"/>
    <d v="2025-01-03T00:00:00"/>
    <s v="PRLV SEPA BPIFRANCE"/>
    <m/>
    <e v="#N/A"/>
    <e v="#N/A"/>
    <n v="20876"/>
    <s v="06XHS2Q"/>
    <s v="BPI FRANCE"/>
    <s v="Q1"/>
    <e v="#REF!"/>
    <e v="#REF!"/>
    <e v="#REF!"/>
  </r>
  <r>
    <s v="401000"/>
    <x v="6"/>
    <s v="FOURNISSEURS"/>
    <s v="BPRI"/>
    <n v="136.56"/>
    <d v="2025-01-03T00:00:00"/>
    <s v="PRLV SEPA SYLARELE HELLOCE"/>
    <m/>
    <s v="Non"/>
    <e v="#N/A"/>
    <n v="20880"/>
    <s v="06YF4E8"/>
    <s v="HELLOCSE"/>
    <s v="Q1"/>
    <e v="#REF!"/>
    <e v="#REF!"/>
    <e v="#REF!"/>
  </r>
  <r>
    <s v="401000"/>
    <x v="6"/>
    <s v="FOURNISSEURS"/>
    <s v="BPRI"/>
    <n v="136.56"/>
    <d v="2025-02-04T00:00:00"/>
    <s v="PRLV SEPA SYLARELE HELLOCE"/>
    <m/>
    <s v="Non"/>
    <e v="#N/A"/>
    <n v="21178"/>
    <s v="078KS2R"/>
    <s v="HELLOCSE"/>
    <s v="Q1"/>
    <e v="#REF!"/>
    <e v="#REF!"/>
    <e v="#REF!"/>
  </r>
  <r>
    <s v="401000"/>
    <x v="6"/>
    <s v="FOURNISSEURS"/>
    <s v="BPRI"/>
    <n v="136.56"/>
    <d v="2025-03-03T00:00:00"/>
    <s v="Règlement fournisseurs "/>
    <m/>
    <s v="Non"/>
    <e v="#N/A"/>
    <n v="58961"/>
    <m/>
    <s v="HELLOCSE"/>
    <s v="Q1"/>
    <e v="#REF!"/>
    <e v="#REF!"/>
    <e v="#REF!"/>
  </r>
  <r>
    <s v="401000"/>
    <x v="6"/>
    <s v="FOURNISSEURS"/>
    <s v="BPRI"/>
    <n v="136.56"/>
    <d v="2025-04-09T00:00:00"/>
    <s v="Prélèvement HelloCSE"/>
    <m/>
    <s v="Non"/>
    <e v="#N/A"/>
    <n v="66722"/>
    <m/>
    <s v="HELLOCSE"/>
    <s v="Q2"/>
    <e v="#REF!"/>
    <e v="#REF!"/>
    <e v="#REF!"/>
  </r>
  <r>
    <s v="401000"/>
    <x v="6"/>
    <s v="FOURNISSEURS"/>
    <s v="BPRI"/>
    <n v="136.56"/>
    <d v="2025-05-08T00:00:00"/>
    <s v="Prélèvement HelloCSE"/>
    <m/>
    <s v="Non"/>
    <e v="#N/A"/>
    <n v="71706"/>
    <m/>
    <s v="HELLOCSE"/>
    <s v="Q2"/>
    <e v="#REF!"/>
    <e v="#REF!"/>
    <e v="#REF!"/>
  </r>
  <r>
    <s v="401000"/>
    <x v="6"/>
    <s v="FOURNISSEURS"/>
    <s v="BPRI"/>
    <n v="136.56"/>
    <d v="2025-06-10T00:00:00"/>
    <s v="PRLV SEPA HELLOCSE - FACTURE 2025-06-2317"/>
    <m/>
    <s v="Non"/>
    <e v="#N/A"/>
    <n v="75931"/>
    <m/>
    <s v="HELLOCSE"/>
    <s v="Q2"/>
    <e v="#REF!"/>
    <e v="#REF!"/>
    <e v="#REF!"/>
  </r>
  <r>
    <s v="401000"/>
    <x v="6"/>
    <s v="FOURNISSEURS"/>
    <s v="BPRI"/>
    <n v="136.56"/>
    <d v="2025-07-11T00:00:00"/>
    <s v="PRLV SEPA SYLARELE HELLOCE/HELLOCSE - FACTURE 2025-07-2314"/>
    <m/>
    <s v="Non"/>
    <e v="#N/A"/>
    <n v="77367"/>
    <m/>
    <s v="HELLOCSE"/>
    <s v="Q3"/>
    <e v="#REF!"/>
    <e v="#REF!"/>
    <e v="#REF!"/>
  </r>
  <r>
    <s v="512100"/>
    <x v="6"/>
    <s v="BANQUE POPULAIRE RIVE DE PARIS"/>
    <s v="BPRI"/>
    <n v="1385.75"/>
    <d v="2025-09-30T00:00:00"/>
    <s v="/LIB/EVI BRENNTAG SA/LIB/P BNRHA24917 17./LIB/BRENNTAG SA/LIB//INV/0094328914 1.10.2024/INV/BN/LIB/P BNRHA24917 17.9.2024/INV/BN"/>
    <m/>
    <e v="#N/A"/>
    <e v="#N/A"/>
    <n v="82647"/>
    <m/>
    <s v="BRENNTAG"/>
    <s v="Q3"/>
    <e v="#REF!"/>
    <e v="#REF!"/>
    <e v="#REF!"/>
  </r>
  <r>
    <s v="401000"/>
    <x v="6"/>
    <s v="FOURNISSEURS"/>
    <s v="BPRI"/>
    <n v="136.56"/>
    <d v="2025-09-09T00:00:00"/>
    <s v="PRLV SEPA SYLARELE HELLOCE"/>
    <m/>
    <s v="Non"/>
    <e v="#N/A"/>
    <n v="82115"/>
    <m/>
    <s v="HELLOCSE"/>
    <s v="Q3"/>
    <e v="#REF!"/>
    <e v="#REF!"/>
    <e v="#REF!"/>
  </r>
  <r>
    <s v="431100"/>
    <x v="6"/>
    <s v="IJSS À RECEVOIR"/>
    <s v="BPRI"/>
    <n v="-1331.4"/>
    <d v="2025-08-08T00:00:00"/>
    <s v="/LIB/EVI C.P.A.M. TOULOUSE/LIB/C.P.A.M. TOULOUSE"/>
    <m/>
    <e v="#N/A"/>
    <e v="#N/A"/>
    <n v="80719"/>
    <m/>
    <m/>
    <s v="Q3"/>
    <e v="#REF!"/>
    <e v="#REF!"/>
    <e v="#REF!"/>
  </r>
  <r>
    <s v="512100"/>
    <x v="6"/>
    <s v="BANQUE POPULAIRE RIVE DE PARIS"/>
    <s v="BPRI"/>
    <n v="1331.4"/>
    <d v="2025-08-08T00:00:00"/>
    <s v="/LIB/EVI C.P.A.M. TOULOUSE/LIB/C.P.A.M. TOULOUSE"/>
    <m/>
    <e v="#N/A"/>
    <e v="#N/A"/>
    <n v="80718"/>
    <m/>
    <m/>
    <s v="Q3"/>
    <e v="#REF!"/>
    <e v="#REF!"/>
    <e v="#REF!"/>
  </r>
  <r>
    <s v="431100"/>
    <x v="6"/>
    <s v="IJSS À RECEVOIR"/>
    <s v="BPRI"/>
    <n v="-812.28"/>
    <d v="2025-10-24T00:00:00"/>
    <s v="/LIB/EVI C.P.A.M. TOULOUSE/LIB/C.P.A.M. TOULOUSE/LIB/0811524545000352952012251023"/>
    <m/>
    <e v="#N/A"/>
    <e v="#N/A"/>
    <n v="87382"/>
    <m/>
    <m/>
    <s v="Q4"/>
    <e v="#REF!"/>
    <e v="#REF!"/>
    <e v="#REF!"/>
  </r>
  <r>
    <s v="401000"/>
    <x v="6"/>
    <s v="FOURNISSEURS"/>
    <s v="BPRI"/>
    <n v="136.80000000000001"/>
    <d v="2025-04-08T00:00:00"/>
    <s v="Invoice Payment By Pili"/>
    <m/>
    <e v="#N/A"/>
    <e v="#N/A"/>
    <n v="66706"/>
    <m/>
    <m/>
    <s v="Q2"/>
    <e v="#REF!"/>
    <e v="#REF!"/>
    <e v="#REF!"/>
  </r>
  <r>
    <s v="401000"/>
    <x v="6"/>
    <s v="FOURNISSEURS"/>
    <s v="BPRI"/>
    <n v="136.91999999999999"/>
    <d v="2025-02-18T00:00:00"/>
    <s v="EVI REMISE"/>
    <m/>
    <e v="#N/A"/>
    <e v="#N/A"/>
    <n v="21348"/>
    <s v="0GLKPI6"/>
    <s v="Sigma-Aldrich chimie"/>
    <s v="Q1"/>
    <e v="#REF!"/>
    <e v="#REF!"/>
    <e v="#REF!"/>
  </r>
  <r>
    <s v="401000"/>
    <x v="6"/>
    <s v="FOURNISSEURS"/>
    <s v="BPRI"/>
    <n v="137.04"/>
    <d v="2025-06-04T00:00:00"/>
    <s v="Invoice payment by Pili"/>
    <m/>
    <e v="#N/A"/>
    <e v="#N/A"/>
    <n v="75535"/>
    <m/>
    <m/>
    <s v="Q2"/>
    <e v="#REF!"/>
    <e v="#REF!"/>
    <e v="#REF!"/>
  </r>
  <r>
    <s v="401000"/>
    <x v="6"/>
    <s v="FOURNISSEURS"/>
    <s v="BPRI"/>
    <n v="139.49"/>
    <d v="2025-08-29T00:00:00"/>
    <s v="PRLV SEPA ALFI ACTIVITE IM"/>
    <m/>
    <e v="#N/A"/>
    <e v="#N/A"/>
    <n v="81660"/>
    <m/>
    <s v="AIR LIQUIDE"/>
    <s v="Q3"/>
    <e v="#REF!"/>
    <e v="#REF!"/>
    <e v="#REF!"/>
  </r>
  <r>
    <s v="401000"/>
    <x v="6"/>
    <s v="FOURNISSEURS"/>
    <s v="BPRI"/>
    <n v="140.02000000000001"/>
    <d v="2025-09-22T00:00:00"/>
    <s v="TRANSPORT ECHANTILLON"/>
    <m/>
    <e v="#N/A"/>
    <e v="#N/A"/>
    <n v="82369"/>
    <m/>
    <m/>
    <s v="Q3"/>
    <e v="#REF!"/>
    <e v="#REF!"/>
    <e v="#REF!"/>
  </r>
  <r>
    <s v="401000"/>
    <x v="6"/>
    <s v="FOURNISSEURS"/>
    <s v="BPRI"/>
    <n v="140.74"/>
    <d v="2025-05-14T00:00:00"/>
    <s v="Invoice Payment by Pili"/>
    <m/>
    <e v="#N/A"/>
    <e v="#N/A"/>
    <n v="72330"/>
    <m/>
    <m/>
    <s v="Q2"/>
    <e v="#REF!"/>
    <e v="#REF!"/>
    <e v="#REF!"/>
  </r>
  <r>
    <s v="401000"/>
    <x v="6"/>
    <s v="FOURNISSEURS"/>
    <s v="BPRI"/>
    <n v="141.6"/>
    <d v="2025-03-19T00:00:00"/>
    <s v="Invoice Payment by Pili"/>
    <m/>
    <e v="#N/A"/>
    <e v="#N/A"/>
    <n v="61885"/>
    <m/>
    <m/>
    <s v="Q1"/>
    <e v="#REF!"/>
    <e v="#REF!"/>
    <e v="#REF!"/>
  </r>
  <r>
    <s v="401000"/>
    <x v="6"/>
    <s v="FOURNISSEURS"/>
    <s v="BPRI"/>
    <n v="142.27000000000001"/>
    <d v="2025-12-05T00:00:00"/>
    <s v="4067849964"/>
    <m/>
    <e v="#N/A"/>
    <e v="#N/A"/>
    <n v="91369"/>
    <m/>
    <m/>
    <s v="Q4"/>
    <e v="#REF!"/>
    <e v="#REF!"/>
    <e v="#REF!"/>
  </r>
  <r>
    <s v="401000"/>
    <x v="6"/>
    <s v="FOURNISSEURS"/>
    <s v="BPRI"/>
    <n v="143.28"/>
    <d v="2025-05-14T00:00:00"/>
    <s v="Invoice Payment by Pili"/>
    <m/>
    <e v="#N/A"/>
    <e v="#N/A"/>
    <n v="72345"/>
    <m/>
    <m/>
    <s v="Q2"/>
    <e v="#REF!"/>
    <e v="#REF!"/>
    <e v="#REF!"/>
  </r>
  <r>
    <s v="401000"/>
    <x v="6"/>
    <s v="FOURNISSEURS"/>
    <s v="BPRI"/>
    <n v="143.47"/>
    <d v="2025-03-14T00:00:00"/>
    <s v="Paiement Roth"/>
    <m/>
    <e v="#N/A"/>
    <e v="#N/A"/>
    <n v="61669"/>
    <m/>
    <m/>
    <s v="Q1"/>
    <e v="#REF!"/>
    <e v="#REF!"/>
    <e v="#REF!"/>
  </r>
  <r>
    <s v="401000"/>
    <x v="6"/>
    <s v="FOURNISSEURS"/>
    <s v="BPRI"/>
    <n v="143.63999999999999"/>
    <d v="2025-01-15T00:00:00"/>
    <s v="EVI REMISE"/>
    <m/>
    <e v="#N/A"/>
    <e v="#N/A"/>
    <n v="20986"/>
    <s v="0GLCS3V"/>
    <s v="CLOUP"/>
    <s v="Q1"/>
    <e v="#REF!"/>
    <e v="#REF!"/>
    <e v="#REF!"/>
  </r>
  <r>
    <s v="401000"/>
    <x v="6"/>
    <s v="FOURNISSEURS"/>
    <s v="BPRI"/>
    <n v="144"/>
    <d v="2025-03-18T00:00:00"/>
    <s v="Règlement Facture 0186261"/>
    <m/>
    <e v="#N/A"/>
    <e v="#N/A"/>
    <n v="61869"/>
    <m/>
    <m/>
    <s v="Q1"/>
    <e v="#REF!"/>
    <e v="#REF!"/>
    <e v="#REF!"/>
  </r>
  <r>
    <s v="512100"/>
    <x v="6"/>
    <s v="BANQUE POPULAIRE RIVE DE PARIS"/>
    <s v="BPRI"/>
    <n v="812.28"/>
    <d v="2025-10-24T00:00:00"/>
    <s v="/LIB/EVI C.P.A.M. TOULOUSE/LIB/C.P.A.M. TOULOUSE/LIB/0811524545000352952012251023"/>
    <m/>
    <e v="#N/A"/>
    <e v="#N/A"/>
    <n v="87381"/>
    <m/>
    <m/>
    <s v="Q4"/>
    <e v="#REF!"/>
    <e v="#REF!"/>
    <e v="#REF!"/>
  </r>
  <r>
    <s v="401000"/>
    <x v="6"/>
    <s v="FOURNISSEURS"/>
    <s v="BPRI"/>
    <n v="145"/>
    <d v="2025-07-29T00:00:00"/>
    <s v="Rbt train Pili Board Business"/>
    <m/>
    <e v="#N/A"/>
    <e v="#N/A"/>
    <n v="78734"/>
    <m/>
    <m/>
    <s v="Q3"/>
    <e v="#REF!"/>
    <e v="#REF!"/>
    <e v="#REF!"/>
  </r>
  <r>
    <s v="401000"/>
    <x v="6"/>
    <s v="FOURNISSEURS"/>
    <s v="BPRI"/>
    <n v="145.03"/>
    <d v="2025-08-21T00:00:00"/>
    <s v="COMMANDE CONSOMMABLES LABO"/>
    <m/>
    <e v="#N/A"/>
    <e v="#N/A"/>
    <n v="81515"/>
    <m/>
    <m/>
    <s v="Q3"/>
    <e v="#REF!"/>
    <e v="#REF!"/>
    <e v="#REF!"/>
  </r>
  <r>
    <s v="401000"/>
    <x v="6"/>
    <s v="FOURNISSEURS"/>
    <s v="BPRI"/>
    <n v="146.06"/>
    <d v="2025-07-31T00:00:00"/>
    <s v="COMMANDE PRODUIT LABO"/>
    <m/>
    <e v="#N/A"/>
    <e v="#N/A"/>
    <n v="79339"/>
    <m/>
    <m/>
    <s v="Q3"/>
    <e v="#REF!"/>
    <e v="#REF!"/>
    <e v="#REF!"/>
  </r>
  <r>
    <s v="401000"/>
    <x v="6"/>
    <s v="FOURNISSEURS"/>
    <s v="BPRI"/>
    <n v="146.63"/>
    <d v="2025-07-31T00:00:00"/>
    <s v="COMMANDE PRODUIT LABO"/>
    <m/>
    <e v="#N/A"/>
    <e v="#N/A"/>
    <n v="79349"/>
    <m/>
    <m/>
    <s v="Q3"/>
    <e v="#REF!"/>
    <e v="#REF!"/>
    <e v="#REF!"/>
  </r>
  <r>
    <s v="401000"/>
    <x v="6"/>
    <s v="FOURNISSEURS"/>
    <s v="BPRI"/>
    <n v="147.12"/>
    <d v="2025-03-28T00:00:00"/>
    <s v="Invoice Payment by Pili"/>
    <m/>
    <e v="#N/A"/>
    <e v="#N/A"/>
    <n v="65024"/>
    <m/>
    <m/>
    <s v="Q1"/>
    <e v="#REF!"/>
    <e v="#REF!"/>
    <e v="#REF!"/>
  </r>
  <r>
    <s v="401000"/>
    <x v="6"/>
    <s v="FOURNISSEURS"/>
    <s v="BPRI"/>
    <n v="150"/>
    <d v="2025-02-24T00:00:00"/>
    <s v="EVI REMISE"/>
    <m/>
    <s v="Non"/>
    <n v="0"/>
    <n v="21406"/>
    <s v="0GLLEKL"/>
    <s v="FORMATEC PRO SECURITE"/>
    <s v="Q1"/>
    <e v="#REF!"/>
    <e v="#REF!"/>
    <e v="#REF!"/>
  </r>
  <r>
    <s v="401000"/>
    <x v="6"/>
    <s v="FOURNISSEURS"/>
    <s v="BPRI"/>
    <n v="151.1"/>
    <d v="2025-02-24T00:00:00"/>
    <s v="PRLV SEPA SERVICE ACTION SANTE"/>
    <m/>
    <s v="Non"/>
    <n v="0"/>
    <n v="21402"/>
    <s v="07ENDVV"/>
    <s v="SERVICE ACTION SANTE"/>
    <s v="Q1"/>
    <e v="#REF!"/>
    <e v="#REF!"/>
    <e v="#REF!"/>
  </r>
  <r>
    <s v="431100"/>
    <x v="6"/>
    <s v="IJSS À RECEVOIR"/>
    <s v="BPRI"/>
    <n v="-541.52"/>
    <d v="2025-11-07T00:00:00"/>
    <s v="/LIB/EVI C.P.A.M. TOULOUSE/LIB/C.P.A.M. TOULOUSE/LIB/0811524545000353092012251106"/>
    <m/>
    <e v="#N/A"/>
    <e v="#N/A"/>
    <n v="89524"/>
    <m/>
    <m/>
    <s v="Q4"/>
    <e v="#REF!"/>
    <e v="#REF!"/>
    <e v="#REF!"/>
  </r>
  <r>
    <s v="401000"/>
    <x v="6"/>
    <s v="FOURNISSEURS"/>
    <s v="BPRI"/>
    <n v="152.41"/>
    <d v="2025-05-07T00:00:00"/>
    <s v="COMMANDE PRODUIT LABO"/>
    <m/>
    <e v="#N/A"/>
    <e v="#N/A"/>
    <n v="71834"/>
    <m/>
    <m/>
    <s v="Q2"/>
    <e v="#REF!"/>
    <e v="#REF!"/>
    <e v="#REF!"/>
  </r>
  <r>
    <s v="512100"/>
    <x v="6"/>
    <s v="BANQUE POPULAIRE RIVE DE PARIS"/>
    <s v="BPRI"/>
    <n v="541.52"/>
    <d v="2025-11-07T00:00:00"/>
    <s v="/LIB/EVI C.P.A.M. TOULOUSE/LIB/C.P.A.M. TOULOUSE/LIB/0811524545000353092012251106"/>
    <m/>
    <e v="#N/A"/>
    <e v="#N/A"/>
    <n v="89523"/>
    <m/>
    <m/>
    <s v="Q4"/>
    <e v="#REF!"/>
    <e v="#REF!"/>
    <e v="#REF!"/>
  </r>
  <r>
    <s v="401000"/>
    <x v="6"/>
    <s v="FOURNISSEURS"/>
    <s v="BPRI"/>
    <n v="154.53"/>
    <d v="2025-11-27T00:00:00"/>
    <s v="C2025991"/>
    <s v="Non"/>
    <s v="Non"/>
    <e v="#N/A"/>
    <n v="91170"/>
    <m/>
    <s v="ALTAIR AVOCATS"/>
    <s v="Q4"/>
    <e v="#REF!"/>
    <e v="#REF!"/>
    <e v="#REF!"/>
  </r>
  <r>
    <s v="401000"/>
    <x v="6"/>
    <s v="FOURNISSEURS"/>
    <s v="BPRI"/>
    <n v="156"/>
    <d v="2025-07-22T00:00:00"/>
    <s v="TRANSPORT ESSAI 1 ROUSSELET ROBATEL"/>
    <m/>
    <e v="#N/A"/>
    <e v="#N/A"/>
    <n v="78309"/>
    <m/>
    <m/>
    <s v="Q3"/>
    <e v="#REF!"/>
    <e v="#REF!"/>
    <e v="#REF!"/>
  </r>
  <r>
    <s v="401000"/>
    <x v="6"/>
    <s v="FOURNISSEURS"/>
    <s v="BPRI"/>
    <n v="156.24"/>
    <d v="2025-02-04T00:00:00"/>
    <s v="PRLV SEPA ENGIE"/>
    <m/>
    <e v="#N/A"/>
    <e v="#N/A"/>
    <n v="21176"/>
    <s v="077T0D0"/>
    <s v="ENGIE"/>
    <s v="Q1"/>
    <e v="#REF!"/>
    <e v="#REF!"/>
    <e v="#REF!"/>
  </r>
  <r>
    <s v="401000"/>
    <x v="6"/>
    <s v="FOURNISSEURS"/>
    <s v="BPRI"/>
    <n v="157.19999999999999"/>
    <d v="2025-02-20T00:00:00"/>
    <s v="EVI REMISE"/>
    <m/>
    <e v="#N/A"/>
    <e v="#N/A"/>
    <n v="21378"/>
    <s v="0GLKXTM"/>
    <s v="Sigma-Aldrich chimie"/>
    <s v="Q1"/>
    <e v="#REF!"/>
    <e v="#REF!"/>
    <e v="#REF!"/>
  </r>
  <r>
    <s v="401000"/>
    <x v="6"/>
    <s v="FOURNISSEURS"/>
    <s v="BPRI"/>
    <n v="157.19999999999999"/>
    <d v="2025-06-16T00:00:00"/>
    <s v="ACCESSOIRE LABO ANALYSES R."/>
    <m/>
    <e v="#N/A"/>
    <e v="#N/A"/>
    <n v="76038"/>
    <m/>
    <m/>
    <s v="Q2"/>
    <e v="#REF!"/>
    <e v="#REF!"/>
    <e v="#REF!"/>
  </r>
  <r>
    <s v="431100"/>
    <x v="6"/>
    <s v="IJSS À RECEVOIR"/>
    <s v="BPRI"/>
    <n v="-309.44"/>
    <d v="2025-11-18T00:00:00"/>
    <s v="/LIB/EVI C.P.A.M. TOULOUSE/LIB/C.P.A.M. TOULOUSE/LIB/0811524545000353182012251117"/>
    <m/>
    <e v="#N/A"/>
    <e v="#N/A"/>
    <n v="90229"/>
    <m/>
    <m/>
    <s v="Q4"/>
    <e v="#REF!"/>
    <e v="#REF!"/>
    <e v="#REF!"/>
  </r>
  <r>
    <s v="401000"/>
    <x v="6"/>
    <s v="FOURNISSEURS"/>
    <s v="BPRI"/>
    <n v="157.19999999999999"/>
    <d v="2025-08-08T00:00:00"/>
    <s v="PRLV SEPA ORANGE"/>
    <m/>
    <e v="#N/A"/>
    <e v="#N/A"/>
    <n v="80790"/>
    <m/>
    <s v="ORANGE"/>
    <s v="Q3"/>
    <e v="#REF!"/>
    <e v="#REF!"/>
    <e v="#REF!"/>
  </r>
  <r>
    <s v="401000"/>
    <x v="6"/>
    <s v="FOURNISSEURS"/>
    <s v="BPRI"/>
    <n v="157.19999999999999"/>
    <d v="2025-09-08T00:00:00"/>
    <s v="PRLV SEPA ORANGE SA"/>
    <m/>
    <e v="#N/A"/>
    <e v="#N/A"/>
    <n v="82129"/>
    <m/>
    <s v="ORANGE"/>
    <s v="Q3"/>
    <e v="#REF!"/>
    <e v="#REF!"/>
    <e v="#REF!"/>
  </r>
  <r>
    <s v="512100"/>
    <x v="6"/>
    <s v="BANQUE POPULAIRE RIVE DE PARIS"/>
    <s v="BPRI"/>
    <n v="309.44"/>
    <d v="2025-11-18T00:00:00"/>
    <s v="/LIB/EVI C.P.A.M. TOULOUSE/LIB/C.P.A.M. TOULOUSE/LIB/0811524545000353182012251117"/>
    <m/>
    <e v="#N/A"/>
    <e v="#N/A"/>
    <n v="90228"/>
    <m/>
    <m/>
    <s v="Q4"/>
    <e v="#REF!"/>
    <e v="#REF!"/>
    <e v="#REF!"/>
  </r>
  <r>
    <s v="431100"/>
    <x v="6"/>
    <s v="IJSS À RECEVOIR"/>
    <s v="BPRI"/>
    <n v="-270.76"/>
    <d v="2025-11-19T00:00:00"/>
    <s v="/LIB/EVI C.P.A.M. TOULOUSE/LIB/C.P.A.M. TOULOUSE/LIB/0811524545000353212012251118"/>
    <m/>
    <e v="#N/A"/>
    <e v="#N/A"/>
    <n v="90572"/>
    <m/>
    <m/>
    <s v="Q4"/>
    <e v="#REF!"/>
    <e v="#REF!"/>
    <e v="#REF!"/>
  </r>
  <r>
    <s v="512100"/>
    <x v="6"/>
    <s v="BANQUE POPULAIRE RIVE DE PARIS"/>
    <s v="BPRI"/>
    <n v="270.76"/>
    <d v="2025-11-19T00:00:00"/>
    <s v="/LIB/EVI C.P.A.M. TOULOUSE/LIB/C.P.A.M. TOULOUSE/LIB/0811524545000353212012251118"/>
    <m/>
    <e v="#N/A"/>
    <e v="#N/A"/>
    <n v="90571"/>
    <m/>
    <m/>
    <s v="Q4"/>
    <e v="#REF!"/>
    <e v="#REF!"/>
    <e v="#REF!"/>
  </r>
  <r>
    <s v="401000"/>
    <x v="6"/>
    <s v="FOURNISSEURS"/>
    <s v="BPRI"/>
    <n v="158.16999999999999"/>
    <d v="2025-12-30T00:00:00"/>
    <s v="4067869549"/>
    <m/>
    <e v="#N/A"/>
    <e v="#N/A"/>
    <n v="93836"/>
    <m/>
    <m/>
    <s v="Q4"/>
    <e v="#REF!"/>
    <e v="#REF!"/>
    <e v="#REF!"/>
  </r>
  <r>
    <s v="401000"/>
    <x v="6"/>
    <s v="FOURNISSEURS"/>
    <s v="BPRI"/>
    <n v="158.65"/>
    <d v="2025-01-13T00:00:00"/>
    <s v="PRLV SEPA FENWICK FINANCIAL SER"/>
    <m/>
    <e v="#N/A"/>
    <e v="#N/A"/>
    <n v="20974"/>
    <s v="0715TM9"/>
    <s v="FENWICK FINANCIAL SERVICES"/>
    <s v="Q1"/>
    <e v="#REF!"/>
    <e v="#REF!"/>
    <e v="#REF!"/>
  </r>
  <r>
    <s v="401000"/>
    <x v="6"/>
    <s v="FOURNISSEURS"/>
    <s v="BPRI"/>
    <n v="158.65"/>
    <d v="2025-02-12T00:00:00"/>
    <s v="PRLV SEPA FENWICK FINANCIAL SER"/>
    <m/>
    <e v="#N/A"/>
    <e v="#N/A"/>
    <n v="21282"/>
    <s v="07BYO4I"/>
    <s v="FENWICK FINANCIAL SERVICES"/>
    <s v="Q1"/>
    <e v="#REF!"/>
    <e v="#REF!"/>
    <e v="#REF!"/>
  </r>
  <r>
    <s v="401000"/>
    <x v="6"/>
    <s v="FOURNISSEURS"/>
    <s v="BPRI"/>
    <n v="158.65"/>
    <d v="2025-03-11T00:00:00"/>
    <s v="Prélèvement FENWICK"/>
    <m/>
    <e v="#N/A"/>
    <e v="#N/A"/>
    <n v="61236"/>
    <m/>
    <s v="FENWICK FINANCIAL SERVICES"/>
    <s v="Q1"/>
    <e v="#REF!"/>
    <e v="#REF!"/>
    <e v="#REF!"/>
  </r>
  <r>
    <s v="401000"/>
    <x v="6"/>
    <s v="FOURNISSEURS"/>
    <s v="BPRI"/>
    <n v="158.65"/>
    <d v="2025-04-11T00:00:00"/>
    <s v="Prélèvement Fenwick"/>
    <m/>
    <e v="#N/A"/>
    <e v="#N/A"/>
    <n v="66739"/>
    <m/>
    <s v="FENWICK FINANCIAL SERVICES"/>
    <s v="Q2"/>
    <e v="#REF!"/>
    <e v="#REF!"/>
    <e v="#REF!"/>
  </r>
  <r>
    <s v="401000"/>
    <x v="6"/>
    <s v="FOURNISSEURS"/>
    <s v="BPRI"/>
    <n v="158.65"/>
    <d v="2025-05-13T00:00:00"/>
    <s v="Prélèvement fournisseur"/>
    <m/>
    <e v="#N/A"/>
    <e v="#N/A"/>
    <n v="72002"/>
    <m/>
    <s v="FENWICK FINANCIAL SERVICES"/>
    <s v="Q2"/>
    <e v="#REF!"/>
    <e v="#REF!"/>
    <e v="#REF!"/>
  </r>
  <r>
    <s v="401000"/>
    <x v="6"/>
    <s v="FOURNISSEURS"/>
    <s v="BPRI"/>
    <n v="158.65"/>
    <d v="2025-06-12T00:00:00"/>
    <s v="PRLV SEPA Fenwick Finance"/>
    <m/>
    <e v="#N/A"/>
    <e v="#N/A"/>
    <n v="75999"/>
    <m/>
    <s v="FENWICK FINANCIAL SERVICES"/>
    <s v="Q2"/>
    <e v="#REF!"/>
    <e v="#REF!"/>
    <e v="#REF!"/>
  </r>
  <r>
    <s v="401000"/>
    <x v="6"/>
    <s v="FOURNISSEURS"/>
    <s v="BPRI"/>
    <n v="158.65"/>
    <d v="2025-07-11T00:00:00"/>
    <s v="PRLV SEPA FENWICK FINANCIAL SERVICES"/>
    <m/>
    <e v="#N/A"/>
    <e v="#N/A"/>
    <n v="77380"/>
    <m/>
    <s v="FENWICK FINANCIAL SERVICES"/>
    <s v="Q3"/>
    <e v="#REF!"/>
    <e v="#REF!"/>
    <e v="#REF!"/>
  </r>
  <r>
    <s v="431100"/>
    <x v="6"/>
    <s v="IJSS À RECEVOIR"/>
    <s v="BPRI"/>
    <n v="-193.4"/>
    <d v="2025-11-20T00:00:00"/>
    <s v="/LIB/EVI C.P.A.M. TOULOUSE/LIB/C.P.A.M. TOULOUSE/LIB/0811524545000353222012251119"/>
    <m/>
    <e v="#N/A"/>
    <e v="#N/A"/>
    <n v="90569"/>
    <m/>
    <m/>
    <s v="Q4"/>
    <e v="#REF!"/>
    <e v="#REF!"/>
    <e v="#REF!"/>
  </r>
  <r>
    <s v="401000"/>
    <x v="6"/>
    <s v="FOURNISSEURS"/>
    <s v="BPRI"/>
    <n v="158.65"/>
    <d v="2025-09-11T00:00:00"/>
    <s v="PRLV SEPA FENWICK FINANCIAL SER"/>
    <m/>
    <e v="#N/A"/>
    <e v="#N/A"/>
    <n v="82100"/>
    <m/>
    <s v="FENWICK FINANCIAL SERVICES"/>
    <s v="Q3"/>
    <e v="#REF!"/>
    <e v="#REF!"/>
    <e v="#REF!"/>
  </r>
  <r>
    <s v="512100"/>
    <x v="6"/>
    <s v="BANQUE POPULAIRE RIVE DE PARIS"/>
    <s v="BPRI"/>
    <n v="193.4"/>
    <d v="2025-11-20T00:00:00"/>
    <s v="/LIB/EVI C.P.A.M. TOULOUSE/LIB/C.P.A.M. TOULOUSE/LIB/0811524545000353222012251119"/>
    <m/>
    <e v="#N/A"/>
    <e v="#N/A"/>
    <n v="90568"/>
    <m/>
    <m/>
    <s v="Q4"/>
    <e v="#REF!"/>
    <e v="#REF!"/>
    <e v="#REF!"/>
  </r>
  <r>
    <s v="431100"/>
    <x v="6"/>
    <s v="IJSS À RECEVOIR"/>
    <s v="BPRI"/>
    <n v="-541.52"/>
    <d v="2025-12-01T00:00:00"/>
    <s v="/LIB/EVI C.P.A.M. TOULOUSE/LIB/C.P.A.M. TOULOUSE/LIB/0811524545000353312012251128"/>
    <m/>
    <e v="#N/A"/>
    <e v="#N/A"/>
    <n v="91305"/>
    <m/>
    <m/>
    <s v="Q4"/>
    <e v="#REF!"/>
    <e v="#REF!"/>
    <e v="#REF!"/>
  </r>
  <r>
    <s v="512100"/>
    <x v="6"/>
    <s v="BANQUE POPULAIRE RIVE DE PARIS"/>
    <s v="BPRI"/>
    <n v="541.52"/>
    <d v="2025-12-01T00:00:00"/>
    <s v="/LIB/EVI C.P.A.M. TOULOUSE/LIB/C.P.A.M. TOULOUSE/LIB/0811524545000353312012251128"/>
    <m/>
    <e v="#N/A"/>
    <e v="#N/A"/>
    <n v="91304"/>
    <m/>
    <m/>
    <s v="Q4"/>
    <e v="#REF!"/>
    <e v="#REF!"/>
    <e v="#REF!"/>
  </r>
  <r>
    <s v="401000"/>
    <x v="6"/>
    <s v="FOURNISSEURS"/>
    <s v="BPRI"/>
    <n v="160"/>
    <d v="2025-03-29T00:00:00"/>
    <s v="CB LOIMAS - Sncf"/>
    <m/>
    <e v="#N/A"/>
    <e v="#N/A"/>
    <n v="66443"/>
    <m/>
    <s v="SNCF"/>
    <s v="Q1"/>
    <e v="#REF!"/>
    <e v="#REF!"/>
    <e v="#REF!"/>
  </r>
  <r>
    <s v="401000"/>
    <x v="6"/>
    <s v="FOURNISSEURS"/>
    <s v="BPRI"/>
    <n v="160.80000000000001"/>
    <d v="2025-06-16T00:00:00"/>
    <s v="HYDROXYLAMINE SULFATE"/>
    <m/>
    <e v="#N/A"/>
    <e v="#N/A"/>
    <n v="76033"/>
    <m/>
    <m/>
    <s v="Q2"/>
    <e v="#REF!"/>
    <e v="#REF!"/>
    <e v="#REF!"/>
  </r>
  <r>
    <s v="401000"/>
    <x v="6"/>
    <s v="FOURNISSEURS"/>
    <s v="BPRI"/>
    <n v="160.80000000000001"/>
    <d v="2025-08-22T00:00:00"/>
    <s v="HYDROXYLAMINE SULFATE POUR KEENY STEP 2"/>
    <m/>
    <e v="#N/A"/>
    <e v="#N/A"/>
    <n v="81610"/>
    <m/>
    <m/>
    <s v="Q3"/>
    <e v="#REF!"/>
    <e v="#REF!"/>
    <e v="#REF!"/>
  </r>
  <r>
    <s v="401000"/>
    <x v="6"/>
    <s v="FOURNISSEURS"/>
    <s v="BPRI"/>
    <n v="162.08000000000001"/>
    <d v="2025-02-28T00:00:00"/>
    <s v="Règlement fournisseurs"/>
    <m/>
    <e v="#N/A"/>
    <e v="#N/A"/>
    <n v="58904"/>
    <m/>
    <s v="FISHER SCIENTIFIC"/>
    <s v="Q1"/>
    <e v="#REF!"/>
    <e v="#REF!"/>
    <e v="#REF!"/>
  </r>
  <r>
    <s v="401000"/>
    <x v="6"/>
    <s v="FOURNISSEURS"/>
    <s v="BPRI"/>
    <n v="165.13"/>
    <d v="2025-06-02T00:00:00"/>
    <s v="Invoice Payment By Pili"/>
    <m/>
    <e v="#N/A"/>
    <e v="#N/A"/>
    <n v="75297"/>
    <m/>
    <m/>
    <s v="Q2"/>
    <e v="#REF!"/>
    <e v="#REF!"/>
    <e v="#REF!"/>
  </r>
  <r>
    <s v="401000"/>
    <x v="6"/>
    <s v="FOURNISSEURS"/>
    <s v="BPRI"/>
    <n v="166.13"/>
    <d v="2025-01-31T00:00:00"/>
    <s v="PRLV SEPA AIR LIQUIDE FI IM"/>
    <m/>
    <e v="#N/A"/>
    <e v="#N/A"/>
    <n v="21156"/>
    <s v="074YLNE"/>
    <s v="AIR LIQUIDE"/>
    <s v="Q1"/>
    <e v="#REF!"/>
    <e v="#REF!"/>
    <e v="#REF!"/>
  </r>
  <r>
    <s v="401000"/>
    <x v="6"/>
    <s v="FOURNISSEURS"/>
    <s v="BPRI"/>
    <n v="168"/>
    <d v="2025-07-31T00:00:00"/>
    <s v="RELECTURE TEXTE VOIX OFF ANGLAISE"/>
    <m/>
    <e v="#N/A"/>
    <e v="#N/A"/>
    <n v="79209"/>
    <m/>
    <s v="TRANSPERFECT TRADUCTIONS"/>
    <s v="Q3"/>
    <e v="#REF!"/>
    <e v="#REF!"/>
    <e v="#REF!"/>
  </r>
  <r>
    <s v="401000"/>
    <x v="6"/>
    <s v="FOURNISSEURS"/>
    <s v="BPRI"/>
    <n v="168.59"/>
    <d v="2025-01-27T00:00:00"/>
    <s v="260125 CB    6880"/>
    <s v="Non"/>
    <s v="Non"/>
    <e v="#N/A"/>
    <n v="21098"/>
    <s v="19TDCWQ"/>
    <s v="LINKEDIN"/>
    <s v="Q1"/>
    <e v="#REF!"/>
    <e v="#REF!"/>
    <e v="#REF!"/>
  </r>
  <r>
    <s v="401000"/>
    <x v="6"/>
    <s v="FOURNISSEURS"/>
    <s v="BPRI"/>
    <n v="168.59"/>
    <d v="2025-02-28T00:00:00"/>
    <s v="28022025 CB    6880 - Linkedin"/>
    <s v="Non"/>
    <s v="Non"/>
    <e v="#N/A"/>
    <n v="58958"/>
    <m/>
    <s v="LINKEDIN"/>
    <s v="Q1"/>
    <e v="#REF!"/>
    <e v="#REF!"/>
    <e v="#REF!"/>
  </r>
  <r>
    <s v="401000"/>
    <x v="6"/>
    <s v="FOURNISSEURS"/>
    <s v="BPRI"/>
    <n v="168.59"/>
    <d v="2025-03-27T00:00:00"/>
    <s v="Règlement Linkedin par CB"/>
    <s v="Non"/>
    <s v="Non"/>
    <e v="#N/A"/>
    <n v="64537"/>
    <m/>
    <s v="LINKEDIN"/>
    <s v="Q1"/>
    <e v="#REF!"/>
    <e v="#REF!"/>
    <e v="#REF!"/>
  </r>
  <r>
    <s v="401000"/>
    <x v="6"/>
    <s v="FOURNISSEURS"/>
    <s v="BPRI"/>
    <n v="168.59"/>
    <d v="2025-04-28T00:00:00"/>
    <s v="Paiement CB"/>
    <s v="Non"/>
    <s v="Non"/>
    <e v="#N/A"/>
    <n v="70456"/>
    <m/>
    <s v="LINKEDIN"/>
    <s v="Q2"/>
    <e v="#REF!"/>
    <e v="#REF!"/>
    <e v="#REF!"/>
  </r>
  <r>
    <s v="401000"/>
    <x v="6"/>
    <s v="FOURNISSEURS"/>
    <s v="BPRI"/>
    <n v="168.59"/>
    <d v="2025-05-27T00:00:00"/>
    <s v="Règlement fournisseur"/>
    <s v="Non"/>
    <s v="Non"/>
    <e v="#N/A"/>
    <n v="74104"/>
    <m/>
    <s v="LINKEDIN"/>
    <s v="Q2"/>
    <e v="#REF!"/>
    <e v="#REF!"/>
    <e v="#REF!"/>
  </r>
  <r>
    <s v="401000"/>
    <x v="6"/>
    <s v="FOURNISSEURS"/>
    <s v="BPRI"/>
    <n v="168.59"/>
    <d v="2025-06-27T00:00:00"/>
    <s v="CB - LINKEDIN RECRUITMENT"/>
    <s v="Non"/>
    <s v="Non"/>
    <e v="#N/A"/>
    <n v="76304"/>
    <m/>
    <s v="LINKEDIN"/>
    <s v="Q2"/>
    <e v="#REF!"/>
    <e v="#REF!"/>
    <e v="#REF!"/>
  </r>
  <r>
    <s v="431100"/>
    <x v="6"/>
    <s v="IJSS À RECEVOIR"/>
    <s v="BPRI"/>
    <n v="-541.52"/>
    <d v="2025-12-04T00:00:00"/>
    <s v="/LIB/EVI C.P.A.M. TOULOUSE/LIB/C.P.A.M. TOULOUSE/LIB/0811524545000353362012251203"/>
    <m/>
    <e v="#N/A"/>
    <e v="#N/A"/>
    <n v="91324"/>
    <m/>
    <m/>
    <s v="Q4"/>
    <e v="#REF!"/>
    <e v="#REF!"/>
    <e v="#REF!"/>
  </r>
  <r>
    <s v="512100"/>
    <x v="6"/>
    <s v="BANQUE POPULAIRE RIVE DE PARIS"/>
    <s v="BPRI"/>
    <n v="541.52"/>
    <d v="2025-12-04T00:00:00"/>
    <s v="/LIB/EVI C.P.A.M. TOULOUSE/LIB/C.P.A.M. TOULOUSE/LIB/0811524545000353362012251203"/>
    <m/>
    <e v="#N/A"/>
    <e v="#N/A"/>
    <n v="91323"/>
    <m/>
    <m/>
    <s v="Q4"/>
    <e v="#REF!"/>
    <e v="#REF!"/>
    <e v="#REF!"/>
  </r>
  <r>
    <s v="431100"/>
    <x v="6"/>
    <s v="IJSS À RECEVOIR"/>
    <s v="BPRI"/>
    <n v="-232.08"/>
    <d v="2025-12-08T00:00:00"/>
    <s v="/LIB/EVI C.P.A.M. TOULOUSE/LIB/C.P.A.M. TOULOUSE/LIB/0811524545000353382012251205"/>
    <m/>
    <e v="#N/A"/>
    <e v="#N/A"/>
    <n v="91910"/>
    <m/>
    <m/>
    <s v="Q4"/>
    <e v="#REF!"/>
    <e v="#REF!"/>
    <e v="#REF!"/>
  </r>
  <r>
    <s v="401000"/>
    <x v="6"/>
    <s v="FOURNISSEURS"/>
    <s v="BPRI"/>
    <n v="170.04"/>
    <d v="2025-03-18T00:00:00"/>
    <s v="Règlement Facture 4067609870"/>
    <m/>
    <e v="#N/A"/>
    <e v="#N/A"/>
    <n v="61859"/>
    <m/>
    <m/>
    <s v="Q1"/>
    <e v="#REF!"/>
    <e v="#REF!"/>
    <e v="#REF!"/>
  </r>
  <r>
    <s v="401000"/>
    <x v="6"/>
    <s v="FOURNISSEURS"/>
    <s v="BPRI"/>
    <n v="171.94"/>
    <d v="2025-04-25T00:00:00"/>
    <s v="Invoice Payment by Pili"/>
    <m/>
    <e v="#N/A"/>
    <e v="#N/A"/>
    <n v="70145"/>
    <m/>
    <m/>
    <s v="Q2"/>
    <e v="#REF!"/>
    <e v="#REF!"/>
    <e v="#REF!"/>
  </r>
  <r>
    <s v="401000"/>
    <x v="6"/>
    <s v="FOURNISSEURS"/>
    <s v="BPRI"/>
    <n v="172"/>
    <d v="2025-04-30T00:00:00"/>
    <s v="Règlement CB JERBLA"/>
    <m/>
    <e v="#N/A"/>
    <e v="#N/A"/>
    <n v="70645"/>
    <m/>
    <s v="SNCF"/>
    <s v="Q2"/>
    <e v="#REF!"/>
    <e v="#REF!"/>
    <e v="#REF!"/>
  </r>
  <r>
    <s v="401000"/>
    <x v="6"/>
    <s v="FOURNISSEURS"/>
    <s v="BPRI"/>
    <n v="177"/>
    <d v="2025-11-17T00:00:00"/>
    <s v="LOCATION MINIBUS ÉQUIPE ROUSSILLON DÉPLACEMENT SÉMINAIRE PILI"/>
    <m/>
    <e v="#N/A"/>
    <e v="#N/A"/>
    <n v="90131"/>
    <m/>
    <m/>
    <s v="Q4"/>
    <e v="#REF!"/>
    <e v="#REF!"/>
    <e v="#REF!"/>
  </r>
  <r>
    <s v="401000"/>
    <x v="6"/>
    <s v="FOURNISSEURS"/>
    <s v="BPRI"/>
    <n v="178.61"/>
    <d v="2025-01-31T00:00:00"/>
    <s v="Prélèvement fournisseurs"/>
    <m/>
    <e v="#N/A"/>
    <e v="#N/A"/>
    <n v="61913"/>
    <m/>
    <s v="AIR LIQUIDE"/>
    <s v="Q1"/>
    <e v="#REF!"/>
    <e v="#REF!"/>
    <e v="#REF!"/>
  </r>
  <r>
    <s v="401000"/>
    <x v="6"/>
    <s v="FOURNISSEURS"/>
    <s v="BPRI"/>
    <n v="178.61"/>
    <d v="2025-05-30T00:00:00"/>
    <s v="Prélèvement ALFI"/>
    <m/>
    <e v="#N/A"/>
    <e v="#N/A"/>
    <n v="75014"/>
    <m/>
    <s v="AIR LIQUIDE"/>
    <s v="Q2"/>
    <e v="#REF!"/>
    <e v="#REF!"/>
    <e v="#REF!"/>
  </r>
  <r>
    <s v="512100"/>
    <x v="6"/>
    <s v="BANQUE POPULAIRE RIVE DE PARIS"/>
    <s v="BPRI"/>
    <n v="232.08"/>
    <d v="2025-12-08T00:00:00"/>
    <s v="/LIB/EVI C.P.A.M. TOULOUSE/LIB/C.P.A.M. TOULOUSE/LIB/0811524545000353382012251205"/>
    <m/>
    <e v="#N/A"/>
    <e v="#N/A"/>
    <n v="91909"/>
    <m/>
    <m/>
    <s v="Q4"/>
    <e v="#REF!"/>
    <e v="#REF!"/>
    <e v="#REF!"/>
  </r>
  <r>
    <s v="431100"/>
    <x v="6"/>
    <s v="IJSS À RECEVOIR"/>
    <s v="BPRI"/>
    <n v="-541.52"/>
    <d v="2025-12-18T00:00:00"/>
    <s v="/LIB/EVI C.P.A.M. TOULOUSE/LIB/C.P.A.M. TOULOUSE/LIB/0811524545000353502012251217"/>
    <m/>
    <e v="#N/A"/>
    <e v="#N/A"/>
    <n v="92679"/>
    <m/>
    <m/>
    <s v="Q4"/>
    <e v="#REF!"/>
    <e v="#REF!"/>
    <e v="#REF!"/>
  </r>
  <r>
    <s v="512100"/>
    <x v="6"/>
    <s v="BANQUE POPULAIRE RIVE DE PARIS"/>
    <s v="BPRI"/>
    <n v="541.52"/>
    <d v="2025-12-18T00:00:00"/>
    <s v="/LIB/EVI C.P.A.M. TOULOUSE/LIB/C.P.A.M. TOULOUSE/LIB/0811524545000353502012251217"/>
    <m/>
    <e v="#N/A"/>
    <e v="#N/A"/>
    <n v="92678"/>
    <m/>
    <m/>
    <s v="Q4"/>
    <e v="#REF!"/>
    <e v="#REF!"/>
    <e v="#REF!"/>
  </r>
  <r>
    <s v="401000"/>
    <x v="6"/>
    <s v="FOURNISSEURS"/>
    <s v="BPRI"/>
    <n v="178.8"/>
    <d v="2025-07-29T00:00:00"/>
    <s v="PRODUITS POUR VBIO ET V2020 AMINOIMINOMETHANESULFINIC ACID IRON II SULFATE HEPTAHYDRATE"/>
    <m/>
    <e v="#N/A"/>
    <e v="#N/A"/>
    <n v="78729"/>
    <m/>
    <m/>
    <s v="Q3"/>
    <e v="#REF!"/>
    <e v="#REF!"/>
    <e v="#REF!"/>
  </r>
  <r>
    <s v="401000"/>
    <x v="6"/>
    <s v="FOURNISSEURS"/>
    <s v="BPRI"/>
    <n v="180"/>
    <d v="2025-07-31T00:00:00"/>
    <s v="DEMANDE DE BREVET EN INDE (ÉTAT DE LA FAMILLE) - BREVET PHOENIX"/>
    <m/>
    <e v="#N/A"/>
    <e v="#N/A"/>
    <n v="79249"/>
    <m/>
    <m/>
    <s v="Q3"/>
    <e v="#REF!"/>
    <e v="#REF!"/>
    <e v="#REF!"/>
  </r>
  <r>
    <s v="401000"/>
    <x v="6"/>
    <s v="FOURNISSEURS"/>
    <s v="BPRI"/>
    <n v="181.2"/>
    <d v="2025-01-03T00:00:00"/>
    <s v="EVI REMISE"/>
    <m/>
    <e v="#N/A"/>
    <e v="#N/A"/>
    <n v="20884"/>
    <s v="0GL8TN4"/>
    <s v="OPTIMUS"/>
    <s v="Q1"/>
    <e v="#REF!"/>
    <e v="#REF!"/>
    <e v="#REF!"/>
  </r>
  <r>
    <s v="401000"/>
    <x v="6"/>
    <s v="FOURNISSEURS"/>
    <s v="BPRI"/>
    <n v="181.2"/>
    <d v="2025-04-15T00:00:00"/>
    <s v="Invoice Payment by Pili"/>
    <m/>
    <e v="#N/A"/>
    <e v="#N/A"/>
    <n v="67963"/>
    <m/>
    <m/>
    <s v="Q2"/>
    <e v="#REF!"/>
    <e v="#REF!"/>
    <e v="#REF!"/>
  </r>
  <r>
    <s v="401000"/>
    <x v="6"/>
    <s v="FOURNISSEURS"/>
    <s v="BPRI"/>
    <n v="183.02"/>
    <d v="2025-02-22T00:00:00"/>
    <s v="200225 CB    6880"/>
    <m/>
    <e v="#N/A"/>
    <e v="#N/A"/>
    <n v="21396"/>
    <s v="2GT8ZA2"/>
    <s v="ORANGE"/>
    <s v="Q1"/>
    <e v="#REF!"/>
    <e v="#REF!"/>
    <e v="#REF!"/>
  </r>
  <r>
    <s v="401000"/>
    <x v="6"/>
    <s v="FOURNISSEURS"/>
    <s v="BPRI"/>
    <n v="184.32"/>
    <d v="2025-09-22T00:00:00"/>
    <s v="CLARINETTE POUR KL"/>
    <m/>
    <e v="#N/A"/>
    <e v="#N/A"/>
    <n v="82394"/>
    <m/>
    <m/>
    <s v="Q3"/>
    <e v="#REF!"/>
    <e v="#REF!"/>
    <e v="#REF!"/>
  </r>
  <r>
    <s v="401000"/>
    <x v="6"/>
    <s v="FOURNISSEURS"/>
    <s v="BPRI"/>
    <n v="184.75"/>
    <d v="2025-05-14T00:00:00"/>
    <s v="Invoice Payment by Pili"/>
    <m/>
    <e v="#N/A"/>
    <e v="#N/A"/>
    <n v="72340"/>
    <m/>
    <m/>
    <s v="Q2"/>
    <e v="#REF!"/>
    <e v="#REF!"/>
    <e v="#REF!"/>
  </r>
  <r>
    <s v="401000"/>
    <x v="6"/>
    <s v="FOURNISSEURS"/>
    <s v="BPRI"/>
    <n v="186.42"/>
    <d v="2025-07-09T00:00:00"/>
    <s v="DODÉCYLSULFATE SEL DE SODIUM LAB"/>
    <m/>
    <e v="#N/A"/>
    <e v="#N/A"/>
    <n v="77244"/>
    <m/>
    <m/>
    <s v="Q3"/>
    <e v="#REF!"/>
    <e v="#REF!"/>
    <e v="#REF!"/>
  </r>
  <r>
    <s v="401000"/>
    <x v="6"/>
    <s v="FOURNISSEURS"/>
    <s v="BPRI"/>
    <n v="187.2"/>
    <d v="2025-03-03T00:00:00"/>
    <s v="Frais Bancaires"/>
    <m/>
    <e v="#N/A"/>
    <e v="#N/A"/>
    <n v="58856"/>
    <m/>
    <s v="Banque Populaire Rive de Paris"/>
    <s v="Q1"/>
    <e v="#REF!"/>
    <e v="#REF!"/>
    <e v="#REF!"/>
  </r>
  <r>
    <s v="401000"/>
    <x v="6"/>
    <s v="FOURNISSEURS"/>
    <s v="BPRI"/>
    <n v="188.4"/>
    <d v="2025-01-09T00:00:00"/>
    <s v="EVI REMISE"/>
    <m/>
    <e v="#N/A"/>
    <e v="#N/A"/>
    <n v="20932"/>
    <s v="0GLA9RK"/>
    <s v="ARESCOM"/>
    <s v="Q1"/>
    <e v="#REF!"/>
    <e v="#REF!"/>
    <e v="#REF!"/>
  </r>
  <r>
    <s v="401000"/>
    <x v="6"/>
    <s v="FOURNISSEURS"/>
    <s v="BPRI"/>
    <n v="188.4"/>
    <d v="2025-02-28T00:00:00"/>
    <s v="Règlement fournisseurs"/>
    <m/>
    <e v="#N/A"/>
    <e v="#N/A"/>
    <n v="58913"/>
    <m/>
    <s v="ARESCOM"/>
    <s v="Q1"/>
    <e v="#REF!"/>
    <e v="#REF!"/>
    <e v="#REF!"/>
  </r>
  <r>
    <s v="401000"/>
    <x v="6"/>
    <s v="FOURNISSEURS"/>
    <s v="BPRI"/>
    <n v="188.52"/>
    <d v="2025-03-18T00:00:00"/>
    <s v="Règlement Facture 4067634589"/>
    <m/>
    <e v="#N/A"/>
    <e v="#N/A"/>
    <n v="61861"/>
    <m/>
    <m/>
    <s v="Q1"/>
    <e v="#REF!"/>
    <e v="#REF!"/>
    <e v="#REF!"/>
  </r>
  <r>
    <s v="401000"/>
    <x v="6"/>
    <s v="FOURNISSEURS"/>
    <s v="BPRI"/>
    <n v="188.58"/>
    <d v="2025-02-28T00:00:00"/>
    <s v="Règlement fournisseurs"/>
    <m/>
    <e v="#N/A"/>
    <e v="#N/A"/>
    <n v="58901"/>
    <m/>
    <s v="CAWATOES"/>
    <s v="Q1"/>
    <e v="#REF!"/>
    <e v="#REF!"/>
    <e v="#REF!"/>
  </r>
  <r>
    <s v="401000"/>
    <x v="6"/>
    <s v="FOURNISSEURS"/>
    <s v="BPRI"/>
    <n v="189.6"/>
    <d v="2025-12-30T00:00:00"/>
    <s v="4185754"/>
    <m/>
    <e v="#N/A"/>
    <e v="#N/A"/>
    <n v="93856"/>
    <m/>
    <m/>
    <s v="Q4"/>
    <e v="#REF!"/>
    <e v="#REF!"/>
    <e v="#REF!"/>
  </r>
  <r>
    <s v="401000"/>
    <x v="6"/>
    <s v="FOURNISSEURS"/>
    <s v="BPRI"/>
    <n v="194.04"/>
    <d v="2025-07-31T00:00:00"/>
    <s v="COMMANDE CONSOMMABLE LABO"/>
    <m/>
    <e v="#N/A"/>
    <e v="#N/A"/>
    <n v="79364"/>
    <m/>
    <m/>
    <s v="Q3"/>
    <e v="#REF!"/>
    <e v="#REF!"/>
    <e v="#REF!"/>
  </r>
  <r>
    <s v="401000"/>
    <x v="6"/>
    <s v="FOURNISSEURS"/>
    <s v="BPRI"/>
    <n v="194.88"/>
    <d v="2025-12-10T00:00:00"/>
    <s v="4067855750"/>
    <m/>
    <e v="#N/A"/>
    <e v="#N/A"/>
    <n v="92057"/>
    <m/>
    <m/>
    <s v="Q4"/>
    <e v="#REF!"/>
    <e v="#REF!"/>
    <e v="#REF!"/>
  </r>
  <r>
    <s v="401000"/>
    <x v="6"/>
    <s v="FOURNISSEURS"/>
    <s v="BPRI"/>
    <n v="195.36"/>
    <d v="2025-04-08T00:00:00"/>
    <s v="Invoice Payment By Pili"/>
    <m/>
    <e v="#N/A"/>
    <e v="#N/A"/>
    <n v="66701"/>
    <m/>
    <m/>
    <s v="Q2"/>
    <e v="#REF!"/>
    <e v="#REF!"/>
    <e v="#REF!"/>
  </r>
  <r>
    <s v="401000"/>
    <x v="6"/>
    <s v="FOURNISSEURS"/>
    <s v="BPRI"/>
    <n v="198"/>
    <d v="2025-10-06T00:00:00"/>
    <s v="ATTESTATION BPI JUILLET 2025"/>
    <m/>
    <e v="#N/A"/>
    <e v="#N/A"/>
    <n v="82888"/>
    <m/>
    <m/>
    <s v="Q4"/>
    <e v="#REF!"/>
    <e v="#REF!"/>
    <e v="#REF!"/>
  </r>
  <r>
    <s v="401000"/>
    <x v="6"/>
    <s v="FOURNISSEURS"/>
    <s v="BPRI"/>
    <n v="198.28"/>
    <d v="2025-03-20T00:00:00"/>
    <s v="Invoice Payment by Pili"/>
    <m/>
    <e v="#N/A"/>
    <e v="#N/A"/>
    <n v="61921"/>
    <m/>
    <m/>
    <s v="Q1"/>
    <e v="#REF!"/>
    <e v="#REF!"/>
    <e v="#REF!"/>
  </r>
  <r>
    <s v="401000"/>
    <x v="6"/>
    <s v="FOURNISSEURS"/>
    <s v="BPRI"/>
    <n v="200.94"/>
    <d v="2025-07-31T00:00:00"/>
    <s v="TRANSPORT PRODUITS POUR ESSAIS 2 CHEZ ROUSSELET"/>
    <m/>
    <e v="#N/A"/>
    <e v="#N/A"/>
    <n v="79269"/>
    <m/>
    <m/>
    <s v="Q3"/>
    <e v="#REF!"/>
    <e v="#REF!"/>
    <e v="#REF!"/>
  </r>
  <r>
    <s v="401000"/>
    <x v="6"/>
    <s v="FOURNISSEURS"/>
    <s v="BPRI"/>
    <n v="201.24"/>
    <d v="2025-02-28T00:00:00"/>
    <s v="Règlement fournisseurs"/>
    <m/>
    <e v="#N/A"/>
    <e v="#N/A"/>
    <n v="58907"/>
    <m/>
    <s v="CAWATOES"/>
    <s v="Q1"/>
    <e v="#REF!"/>
    <e v="#REF!"/>
    <e v="#REF!"/>
  </r>
  <r>
    <s v="401000"/>
    <x v="6"/>
    <s v="FOURNISSEURS"/>
    <s v="BPRI"/>
    <n v="201.24"/>
    <d v="2025-04-25T00:00:00"/>
    <s v="Invoice Payment by Pili"/>
    <m/>
    <e v="#N/A"/>
    <e v="#N/A"/>
    <n v="70201"/>
    <m/>
    <m/>
    <s v="Q2"/>
    <e v="#REF!"/>
    <e v="#REF!"/>
    <e v="#REF!"/>
  </r>
  <r>
    <s v="401000"/>
    <x v="6"/>
    <s v="FOURNISSEURS"/>
    <s v="BPRI"/>
    <n v="202.68"/>
    <d v="2025-03-06T00:00:00"/>
    <s v="INVOICE  VE/2025/00637"/>
    <m/>
    <e v="#N/A"/>
    <e v="#N/A"/>
    <n v="50026"/>
    <s v="Règlement"/>
    <m/>
    <s v="Q1"/>
    <e v="#REF!"/>
    <e v="#REF!"/>
    <e v="#REF!"/>
  </r>
  <r>
    <s v="401000"/>
    <x v="6"/>
    <s v="FOURNISSEURS"/>
    <s v="BPRI"/>
    <n v="206.28"/>
    <d v="2025-02-10T00:00:00"/>
    <s v="EVI REMISE"/>
    <m/>
    <e v="#N/A"/>
    <e v="#N/A"/>
    <n v="21246"/>
    <s v="0GLIEZM"/>
    <s v="BIOLABS"/>
    <s v="Q1"/>
    <e v="#REF!"/>
    <e v="#REF!"/>
    <e v="#REF!"/>
  </r>
  <r>
    <s v="401000"/>
    <x v="6"/>
    <s v="FOURNISSEURS"/>
    <s v="BPRI"/>
    <n v="210"/>
    <d v="2025-01-30T00:00:00"/>
    <s v="EVI REMISE"/>
    <m/>
    <e v="#N/A"/>
    <e v="#N/A"/>
    <n v="21113"/>
    <s v="0GLGCMY"/>
    <s v="GSF"/>
    <s v="Q1"/>
    <e v="#REF!"/>
    <e v="#REF!"/>
    <e v="#REF!"/>
  </r>
  <r>
    <s v="401000"/>
    <x v="6"/>
    <s v="FOURNISSEURS"/>
    <s v="BPRI"/>
    <n v="210"/>
    <d v="2025-01-31T00:00:00"/>
    <s v="EVI REMISE"/>
    <m/>
    <e v="#N/A"/>
    <e v="#N/A"/>
    <n v="21160"/>
    <s v="0GLGKLO"/>
    <s v="GSF"/>
    <s v="Q1"/>
    <e v="#REF!"/>
    <e v="#REF!"/>
    <e v="#REF!"/>
  </r>
  <r>
    <s v="401000"/>
    <x v="6"/>
    <s v="FOURNISSEURS"/>
    <s v="BPRI"/>
    <n v="210"/>
    <d v="2025-03-07T00:00:00"/>
    <s v="INVOICE CIFR-25000477"/>
    <m/>
    <e v="#N/A"/>
    <e v="#N/A"/>
    <n v="58779"/>
    <m/>
    <m/>
    <s v="Q1"/>
    <e v="#REF!"/>
    <e v="#REF!"/>
    <e v="#REF!"/>
  </r>
  <r>
    <s v="401000"/>
    <x v="6"/>
    <s v="FOURNISSEURS"/>
    <s v="BPRI"/>
    <n v="210"/>
    <d v="2025-03-28T00:00:00"/>
    <s v="Invoice Payment by Pili"/>
    <m/>
    <e v="#N/A"/>
    <e v="#N/A"/>
    <n v="64996"/>
    <m/>
    <m/>
    <s v="Q1"/>
    <e v="#REF!"/>
    <e v="#REF!"/>
    <e v="#REF!"/>
  </r>
  <r>
    <s v="401000"/>
    <x v="6"/>
    <s v="FOURNISSEURS"/>
    <s v="BPRI"/>
    <n v="210.7"/>
    <d v="2025-01-31T00:00:00"/>
    <s v="PRLV SEPA AIR LIQUIDE FI IM"/>
    <m/>
    <e v="#N/A"/>
    <e v="#N/A"/>
    <n v="21154"/>
    <s v="074YLHE"/>
    <s v="AIR LIQUIDE"/>
    <s v="Q1"/>
    <e v="#REF!"/>
    <e v="#REF!"/>
    <e v="#REF!"/>
  </r>
  <r>
    <s v="401000"/>
    <x v="6"/>
    <s v="FOURNISSEURS"/>
    <s v="BPRI"/>
    <n v="213.71"/>
    <d v="2025-06-30T00:00:00"/>
    <s v="PRLV DHL"/>
    <m/>
    <e v="#N/A"/>
    <e v="#N/A"/>
    <n v="76911"/>
    <m/>
    <s v="DHL"/>
    <s v="Q2"/>
    <e v="#REF!"/>
    <e v="#REF!"/>
    <e v="#REF!"/>
  </r>
  <r>
    <s v="401000"/>
    <x v="6"/>
    <s v="FOURNISSEURS"/>
    <s v="BPRI"/>
    <n v="216.24"/>
    <d v="2025-03-20T00:00:00"/>
    <s v="Invoice Payment by Pili"/>
    <m/>
    <e v="#N/A"/>
    <e v="#N/A"/>
    <n v="61918"/>
    <m/>
    <m/>
    <s v="Q1"/>
    <e v="#REF!"/>
    <e v="#REF!"/>
    <e v="#REF!"/>
  </r>
  <r>
    <s v="401000"/>
    <x v="6"/>
    <s v="FOURNISSEURS"/>
    <s v="BPRI"/>
    <n v="217.68"/>
    <d v="2025-12-30T00:00:00"/>
    <s v="4175244732"/>
    <m/>
    <e v="#N/A"/>
    <e v="#N/A"/>
    <n v="93746"/>
    <m/>
    <m/>
    <s v="Q4"/>
    <e v="#REF!"/>
    <e v="#REF!"/>
    <e v="#REF!"/>
  </r>
  <r>
    <s v="401000"/>
    <x v="6"/>
    <s v="FOURNISSEURS"/>
    <s v="BPRI"/>
    <n v="218.75"/>
    <d v="2025-06-02T00:00:00"/>
    <s v="Invoice Payment by Pili"/>
    <s v="Non"/>
    <e v="#N/A"/>
    <e v="#N/A"/>
    <n v="75348"/>
    <m/>
    <s v="DOTMATICS LIMITED"/>
    <s v="Q2"/>
    <e v="#REF!"/>
    <e v="#REF!"/>
    <e v="#REF!"/>
  </r>
  <r>
    <s v="401000"/>
    <x v="6"/>
    <s v="FOURNISSEURS"/>
    <s v="BPRI"/>
    <n v="219.94"/>
    <d v="2025-09-12T00:00:00"/>
    <s v="COÛTS DE TRANSPORT ECHANTILLONS"/>
    <m/>
    <e v="#N/A"/>
    <e v="#N/A"/>
    <n v="82059"/>
    <m/>
    <m/>
    <s v="Q3"/>
    <e v="#REF!"/>
    <e v="#REF!"/>
    <e v="#REF!"/>
  </r>
  <r>
    <s v="401000"/>
    <x v="6"/>
    <s v="FOURNISSEURS"/>
    <s v="BPRI"/>
    <n v="220.32"/>
    <d v="2025-03-18T00:00:00"/>
    <s v="Règlement Facture VRGG25-003327"/>
    <m/>
    <e v="#N/A"/>
    <e v="#N/A"/>
    <n v="61873"/>
    <m/>
    <m/>
    <s v="Q1"/>
    <e v="#REF!"/>
    <e v="#REF!"/>
    <e v="#REF!"/>
  </r>
  <r>
    <s v="401000"/>
    <x v="6"/>
    <s v="FOURNISSEURS"/>
    <s v="BPRI"/>
    <n v="220.4"/>
    <d v="2025-10-31T00:00:00"/>
    <s v="EXTENSION BREVET PHOENIX V20 AUX US"/>
    <m/>
    <e v="#N/A"/>
    <e v="#N/A"/>
    <n v="87511"/>
    <m/>
    <m/>
    <s v="Q4"/>
    <e v="#REF!"/>
    <e v="#REF!"/>
    <e v="#REF!"/>
  </r>
  <r>
    <s v="401000"/>
    <x v="6"/>
    <s v="FOURNISSEURS"/>
    <s v="BPRI"/>
    <n v="222.48"/>
    <d v="2025-09-22T00:00:00"/>
    <s v="MAINTENANCE GERBEUR : RÉPARATION BOUTON MONTÉE-BAISSE"/>
    <m/>
    <e v="#N/A"/>
    <e v="#N/A"/>
    <n v="82404"/>
    <m/>
    <m/>
    <s v="Q3"/>
    <e v="#REF!"/>
    <e v="#REF!"/>
    <e v="#REF!"/>
  </r>
  <r>
    <s v="401000"/>
    <x v="6"/>
    <s v="FOURNISSEURS"/>
    <s v="BPRI"/>
    <n v="226.8"/>
    <d v="2025-08-08T00:00:00"/>
    <s v="CARTOUCHES POUR L'EAU DÉMINÉRALISÉE"/>
    <m/>
    <e v="#N/A"/>
    <e v="#N/A"/>
    <n v="80758"/>
    <m/>
    <m/>
    <s v="Q3"/>
    <e v="#REF!"/>
    <e v="#REF!"/>
    <e v="#REF!"/>
  </r>
  <r>
    <s v="401000"/>
    <x v="6"/>
    <s v="FOURNISSEURS"/>
    <s v="BPRI"/>
    <n v="228"/>
    <d v="2025-12-10T00:00:00"/>
    <s v="144835"/>
    <m/>
    <e v="#N/A"/>
    <e v="#N/A"/>
    <n v="92031"/>
    <m/>
    <m/>
    <s v="Q4"/>
    <e v="#REF!"/>
    <e v="#REF!"/>
    <e v="#REF!"/>
  </r>
  <r>
    <s v="401000"/>
    <x v="6"/>
    <s v="FOURNISSEURS"/>
    <s v="BPRI"/>
    <n v="228"/>
    <d v="2025-12-23T00:00:00"/>
    <s v="2025 / 177"/>
    <m/>
    <e v="#N/A"/>
    <e v="#N/A"/>
    <n v="93615"/>
    <m/>
    <m/>
    <s v="Q4"/>
    <e v="#REF!"/>
    <e v="#REF!"/>
    <e v="#REF!"/>
  </r>
  <r>
    <s v="401000"/>
    <x v="6"/>
    <s v="FOURNISSEURS"/>
    <s v="BPRI"/>
    <n v="228.1"/>
    <d v="2025-04-25T00:00:00"/>
    <s v="Invoice Payment by Pili"/>
    <m/>
    <e v="#N/A"/>
    <e v="#N/A"/>
    <n v="70130"/>
    <m/>
    <m/>
    <s v="Q2"/>
    <e v="#REF!"/>
    <e v="#REF!"/>
    <e v="#REF!"/>
  </r>
  <r>
    <s v="431100"/>
    <x v="6"/>
    <s v="IJSS À RECEVOIR"/>
    <s v="BPRI"/>
    <n v="-541.52"/>
    <d v="2025-12-19T00:00:00"/>
    <s v="/LIB/EVI C.P.A.M. TOULOUSE/LIB/C.P.A.M. TOULOUSE/LIB/0811524545000353512012251218"/>
    <m/>
    <e v="#N/A"/>
    <e v="#N/A"/>
    <n v="92920"/>
    <m/>
    <m/>
    <s v="Q4"/>
    <e v="#REF!"/>
    <e v="#REF!"/>
    <e v="#REF!"/>
  </r>
  <r>
    <s v="401000"/>
    <x v="6"/>
    <s v="FOURNISSEURS"/>
    <s v="BPRI"/>
    <n v="231.65"/>
    <d v="2025-04-22T00:00:00"/>
    <s v="Prélèvement Fournisseur"/>
    <m/>
    <e v="#N/A"/>
    <e v="#N/A"/>
    <n v="68138"/>
    <m/>
    <s v="RICOH"/>
    <s v="Q2"/>
    <e v="#REF!"/>
    <e v="#REF!"/>
    <e v="#REF!"/>
  </r>
  <r>
    <s v="401000"/>
    <x v="6"/>
    <s v="FOURNISSEURS"/>
    <s v="BPRI"/>
    <n v="235.32"/>
    <d v="2025-03-28T00:00:00"/>
    <s v="Invoice Payment by Pili"/>
    <m/>
    <e v="#N/A"/>
    <e v="#N/A"/>
    <n v="65006"/>
    <m/>
    <m/>
    <s v="Q1"/>
    <e v="#REF!"/>
    <e v="#REF!"/>
    <e v="#REF!"/>
  </r>
  <r>
    <s v="401000"/>
    <x v="6"/>
    <s v="FOURNISSEURS"/>
    <s v="BPRI"/>
    <n v="236.4"/>
    <d v="2025-11-07T00:00:00"/>
    <s v="4067827511"/>
    <m/>
    <e v="#N/A"/>
    <e v="#N/A"/>
    <n v="89436"/>
    <m/>
    <m/>
    <s v="Q4"/>
    <e v="#REF!"/>
    <e v="#REF!"/>
    <e v="#REF!"/>
  </r>
  <r>
    <s v="401000"/>
    <x v="6"/>
    <s v="FOURNISSEURS"/>
    <s v="BPRI"/>
    <n v="237.13"/>
    <d v="2025-02-18T00:00:00"/>
    <s v="PRLV SEPA ENGIE"/>
    <m/>
    <e v="#N/A"/>
    <e v="#N/A"/>
    <n v="21320"/>
    <s v="07D3HM6"/>
    <s v="ENGIE"/>
    <s v="Q1"/>
    <e v="#REF!"/>
    <e v="#REF!"/>
    <e v="#REF!"/>
  </r>
  <r>
    <s v="401000"/>
    <x v="6"/>
    <s v="FOURNISSEURS"/>
    <s v="BPRI"/>
    <n v="239.14"/>
    <d v="2025-07-09T00:00:00"/>
    <s v="COMMANDE PRODUIT LABO"/>
    <m/>
    <e v="#N/A"/>
    <e v="#N/A"/>
    <n v="77249"/>
    <m/>
    <m/>
    <s v="Q3"/>
    <e v="#REF!"/>
    <e v="#REF!"/>
    <e v="#REF!"/>
  </r>
  <r>
    <s v="401000"/>
    <x v="6"/>
    <s v="FOURNISSEURS"/>
    <s v="BPRI"/>
    <n v="240"/>
    <d v="2025-01-30T00:00:00"/>
    <s v="EVI REMISE"/>
    <m/>
    <s v="Non"/>
    <n v="0"/>
    <n v="21135"/>
    <s v="0GLGCRT"/>
    <s v="CNFSE RECYCLAGE"/>
    <s v="Q1"/>
    <e v="#REF!"/>
    <e v="#REF!"/>
    <e v="#REF!"/>
  </r>
  <r>
    <s v="401000"/>
    <x v="6"/>
    <s v="FOURNISSEURS"/>
    <s v="BPRI"/>
    <n v="240"/>
    <d v="2025-02-18T00:00:00"/>
    <s v="EVI REMISE"/>
    <m/>
    <s v="Non"/>
    <n v="0"/>
    <n v="21346"/>
    <s v="0GLKPI5"/>
    <s v="CNFSE RECYCLAGE"/>
    <s v="Q1"/>
    <e v="#REF!"/>
    <e v="#REF!"/>
    <e v="#REF!"/>
  </r>
  <r>
    <s v="401000"/>
    <x v="6"/>
    <s v="FOURNISSEURS"/>
    <s v="BPRI"/>
    <n v="240"/>
    <d v="2025-04-22T00:00:00"/>
    <s v="Prélèvement Fournisseur"/>
    <m/>
    <e v="#N/A"/>
    <e v="#N/A"/>
    <n v="68206"/>
    <m/>
    <s v="BPI FRANCE"/>
    <s v="Q2"/>
    <e v="#REF!"/>
    <e v="#REF!"/>
    <e v="#REF!"/>
  </r>
  <r>
    <s v="401000"/>
    <x v="6"/>
    <s v="FOURNISSEURS"/>
    <s v="BPRI"/>
    <n v="240"/>
    <d v="2025-07-23T00:00:00"/>
    <s v="TRANSPORT OF MATERIAL FROM GBELY SK TO SLOVENSKÁ"/>
    <s v="Non"/>
    <e v="#N/A"/>
    <e v="#N/A"/>
    <n v="78338"/>
    <m/>
    <s v="BIOTIKA"/>
    <s v="Q3"/>
    <e v="#REF!"/>
    <e v="#REF!"/>
    <e v="#REF!"/>
  </r>
  <r>
    <s v="401000"/>
    <x v="6"/>
    <s v="FOURNISSEURS"/>
    <s v="BPRI"/>
    <n v="240"/>
    <d v="2025-12-10T00:00:00"/>
    <s v="FA000262"/>
    <m/>
    <e v="#N/A"/>
    <e v="#N/A"/>
    <n v="92062"/>
    <m/>
    <m/>
    <s v="Q4"/>
    <e v="#REF!"/>
    <e v="#REF!"/>
    <e v="#REF!"/>
  </r>
  <r>
    <s v="401000"/>
    <x v="6"/>
    <s v="FOURNISSEURS"/>
    <s v="BPRI"/>
    <n v="241.08"/>
    <d v="2025-01-27T00:00:00"/>
    <s v="PRLV SEPA ORANGE SA"/>
    <m/>
    <e v="#N/A"/>
    <e v="#N/A"/>
    <n v="21094"/>
    <s v="075I81Z"/>
    <s v="ORANGE"/>
    <s v="Q1"/>
    <e v="#REF!"/>
    <e v="#REF!"/>
    <e v="#REF!"/>
  </r>
  <r>
    <s v="401000"/>
    <x v="6"/>
    <s v="FOURNISSEURS"/>
    <s v="BPRI"/>
    <n v="241.08"/>
    <d v="2025-02-24T00:00:00"/>
    <s v="PRLV SEPA ORANGE SA"/>
    <m/>
    <e v="#N/A"/>
    <e v="#N/A"/>
    <n v="21400"/>
    <s v="07EDYYM"/>
    <s v="ORANGE"/>
    <s v="Q1"/>
    <e v="#REF!"/>
    <e v="#REF!"/>
    <e v="#REF!"/>
  </r>
  <r>
    <s v="401000"/>
    <x v="6"/>
    <s v="FOURNISSEURS"/>
    <s v="BPRI"/>
    <n v="241.33"/>
    <d v="2025-07-25T00:00:00"/>
    <s v="PRLV SEPA RICOH FRANCE SAS"/>
    <m/>
    <e v="#N/A"/>
    <e v="#N/A"/>
    <n v="78957"/>
    <m/>
    <s v="RICOH"/>
    <s v="Q3"/>
    <e v="#REF!"/>
    <e v="#REF!"/>
    <e v="#REF!"/>
  </r>
  <r>
    <s v="401000"/>
    <x v="6"/>
    <s v="FOURNISSEURS"/>
    <s v="BPRI"/>
    <n v="241.7"/>
    <d v="2025-03-24T00:00:00"/>
    <s v="Prélèvement fournisseurs"/>
    <m/>
    <e v="#N/A"/>
    <e v="#N/A"/>
    <n v="61907"/>
    <m/>
    <s v="ORANGE"/>
    <s v="Q1"/>
    <e v="#REF!"/>
    <e v="#REF!"/>
    <e v="#REF!"/>
  </r>
  <r>
    <s v="401000"/>
    <x v="6"/>
    <s v="FOURNISSEURS"/>
    <s v="BPRI"/>
    <n v="242.52"/>
    <d v="2025-04-28T00:00:00"/>
    <s v="Prélèvement Fournisseur"/>
    <m/>
    <e v="#N/A"/>
    <e v="#N/A"/>
    <n v="70459"/>
    <m/>
    <s v="ORANGE"/>
    <s v="Q2"/>
    <e v="#REF!"/>
    <e v="#REF!"/>
    <e v="#REF!"/>
  </r>
  <r>
    <s v="401000"/>
    <x v="6"/>
    <s v="FOURNISSEURS"/>
    <s v="BPRI"/>
    <n v="243.6"/>
    <d v="2025-08-21T00:00:00"/>
    <s v="COMMANDE CONSOMMABLE LABO"/>
    <m/>
    <e v="#N/A"/>
    <e v="#N/A"/>
    <n v="81500"/>
    <m/>
    <m/>
    <s v="Q3"/>
    <e v="#REF!"/>
    <e v="#REF!"/>
    <e v="#REF!"/>
  </r>
  <r>
    <s v="401000"/>
    <x v="6"/>
    <s v="FOURNISSEURS"/>
    <s v="BPRI"/>
    <n v="245.53"/>
    <d v="2025-11-27T00:00:00"/>
    <s v="INDIGO - ALTAIR - C2025990 "/>
    <s v="Non"/>
    <s v="Non"/>
    <e v="#N/A"/>
    <n v="91172"/>
    <m/>
    <s v="ALTAIR AVOCATS"/>
    <s v="Q4"/>
    <e v="#REF!"/>
    <e v="#REF!"/>
    <e v="#REF!"/>
  </r>
  <r>
    <s v="401000"/>
    <x v="6"/>
    <s v="FOURNISSEURS"/>
    <s v="BPRI"/>
    <n v="246.46"/>
    <d v="2025-02-10T00:00:00"/>
    <s v="EVI REMISE"/>
    <m/>
    <e v="#N/A"/>
    <e v="#N/A"/>
    <n v="21250"/>
    <s v="0GLIZ5K"/>
    <s v="CP CHIMIE PROMOTION"/>
    <s v="Q1"/>
    <e v="#REF!"/>
    <e v="#REF!"/>
    <e v="#REF!"/>
  </r>
  <r>
    <s v="401000"/>
    <x v="6"/>
    <s v="FOURNISSEURS"/>
    <s v="BPRI"/>
    <n v="246.96"/>
    <d v="2025-01-24T00:00:00"/>
    <s v="PRLV SEPA RICOH FRANCE SAS RICO"/>
    <m/>
    <e v="#N/A"/>
    <e v="#N/A"/>
    <n v="21078"/>
    <s v="075D6WF"/>
    <s v="RICOH"/>
    <s v="Q1"/>
    <e v="#REF!"/>
    <e v="#REF!"/>
    <e v="#REF!"/>
  </r>
  <r>
    <s v="401000"/>
    <x v="6"/>
    <s v="FOURNISSEURS"/>
    <s v="BPRI"/>
    <n v="247.74"/>
    <d v="2025-09-12T00:00:00"/>
    <s v="COÛT TRANSPORT"/>
    <m/>
    <e v="#N/A"/>
    <e v="#N/A"/>
    <n v="82069"/>
    <m/>
    <m/>
    <s v="Q3"/>
    <e v="#REF!"/>
    <e v="#REF!"/>
    <e v="#REF!"/>
  </r>
  <r>
    <s v="401000"/>
    <x v="6"/>
    <s v="FOURNISSEURS"/>
    <s v="BPRI"/>
    <n v="249.6"/>
    <d v="2025-03-11T00:00:00"/>
    <s v="Facture 8053416259"/>
    <m/>
    <e v="#N/A"/>
    <e v="#N/A"/>
    <n v="61233"/>
    <m/>
    <m/>
    <s v="Q1"/>
    <e v="#REF!"/>
    <e v="#REF!"/>
    <e v="#REF!"/>
  </r>
  <r>
    <s v="401000"/>
    <x v="6"/>
    <s v="FOURNISSEURS"/>
    <s v="BPRI"/>
    <n v="249.6"/>
    <d v="2025-08-22T00:00:00"/>
    <s v="MAINTENANCE/RÉPARATION DES 4 DÉTECTEURS HCN DU LABO"/>
    <m/>
    <e v="#N/A"/>
    <e v="#N/A"/>
    <n v="81589"/>
    <m/>
    <m/>
    <s v="Q3"/>
    <e v="#REF!"/>
    <e v="#REF!"/>
    <e v="#REF!"/>
  </r>
  <r>
    <s v="401000"/>
    <x v="6"/>
    <s v="FOURNISSEURS"/>
    <s v="BPRI"/>
    <n v="250.44"/>
    <d v="2025-12-30T00:00:00"/>
    <s v="VRGG25-025479"/>
    <m/>
    <e v="#N/A"/>
    <e v="#N/A"/>
    <n v="93741"/>
    <m/>
    <m/>
    <s v="Q4"/>
    <e v="#REF!"/>
    <e v="#REF!"/>
    <e v="#REF!"/>
  </r>
  <r>
    <s v="401000"/>
    <x v="6"/>
    <s v="FOURNISSEURS"/>
    <s v="BPRI"/>
    <n v="250.8"/>
    <d v="2025-04-25T00:00:00"/>
    <s v="Invoice Payment by Pili"/>
    <m/>
    <e v="#N/A"/>
    <e v="#N/A"/>
    <n v="70160"/>
    <m/>
    <m/>
    <s v="Q2"/>
    <e v="#REF!"/>
    <e v="#REF!"/>
    <e v="#REF!"/>
  </r>
  <r>
    <s v="401000"/>
    <x v="6"/>
    <s v="FOURNISSEURS"/>
    <s v="BPRI"/>
    <n v="257.41000000000003"/>
    <d v="2025-05-19T00:00:00"/>
    <s v="Prélèvement Engie"/>
    <m/>
    <e v="#N/A"/>
    <e v="#N/A"/>
    <n v="72909"/>
    <m/>
    <s v="ENGIE"/>
    <s v="Q2"/>
    <e v="#REF!"/>
    <e v="#REF!"/>
    <e v="#REF!"/>
  </r>
  <r>
    <s v="401000"/>
    <x v="6"/>
    <s v="FOURNISSEURS"/>
    <s v="BPRI"/>
    <n v="258.72000000000003"/>
    <d v="2025-03-18T00:00:00"/>
    <s v="Règlement Facture VRGG25-002237"/>
    <m/>
    <e v="#N/A"/>
    <e v="#N/A"/>
    <n v="61872"/>
    <m/>
    <m/>
    <s v="Q1"/>
    <e v="#REF!"/>
    <e v="#REF!"/>
    <e v="#REF!"/>
  </r>
  <r>
    <s v="401000"/>
    <x v="6"/>
    <s v="FOURNISSEURS"/>
    <s v="BPRI"/>
    <n v="259.2"/>
    <d v="2025-04-15T00:00:00"/>
    <s v="Invoice Payment by Pili"/>
    <m/>
    <e v="#N/A"/>
    <e v="#N/A"/>
    <n v="67961"/>
    <m/>
    <m/>
    <s v="Q2"/>
    <e v="#REF!"/>
    <e v="#REF!"/>
    <e v="#REF!"/>
  </r>
  <r>
    <s v="401000"/>
    <x v="6"/>
    <s v="FOURNISSEURS"/>
    <s v="BPRI"/>
    <n v="262.58999999999997"/>
    <d v="2025-09-12T00:00:00"/>
    <s v="COUTS DE TRANSPORT"/>
    <m/>
    <e v="#N/A"/>
    <e v="#N/A"/>
    <n v="82054"/>
    <m/>
    <m/>
    <s v="Q3"/>
    <e v="#REF!"/>
    <e v="#REF!"/>
    <e v="#REF!"/>
  </r>
  <r>
    <s v="401000"/>
    <x v="6"/>
    <s v="FOURNISSEURS"/>
    <s v="BPRI"/>
    <n v="262.58999999999997"/>
    <d v="2025-09-12T00:00:00"/>
    <s v="COÛTS DE TRANSPORT - ECHANTILLONS"/>
    <m/>
    <e v="#N/A"/>
    <e v="#N/A"/>
    <n v="82049"/>
    <m/>
    <m/>
    <s v="Q3"/>
    <e v="#REF!"/>
    <e v="#REF!"/>
    <e v="#REF!"/>
  </r>
  <r>
    <s v="401000"/>
    <x v="6"/>
    <s v="FOURNISSEURS"/>
    <s v="BPRI"/>
    <n v="264.88"/>
    <d v="2025-08-22T00:00:00"/>
    <s v="MAINTENANCE GERBEUR : RÉPARATION BOUTON MONTÉE-BAISSE"/>
    <m/>
    <e v="#N/A"/>
    <e v="#N/A"/>
    <n v="81615"/>
    <m/>
    <m/>
    <s v="Q3"/>
    <e v="#REF!"/>
    <e v="#REF!"/>
    <e v="#REF!"/>
  </r>
  <r>
    <s v="401000"/>
    <x v="6"/>
    <s v="FOURNISSEURS"/>
    <s v="BPRI"/>
    <n v="267.60000000000002"/>
    <d v="2025-10-31T00:00:00"/>
    <s v="PRESTATION COACHING DE LUCIE CREPIN MANAGER"/>
    <m/>
    <e v="#N/A"/>
    <e v="#N/A"/>
    <n v="87532"/>
    <m/>
    <m/>
    <s v="Q4"/>
    <e v="#REF!"/>
    <e v="#REF!"/>
    <e v="#REF!"/>
  </r>
  <r>
    <s v="401000"/>
    <x v="6"/>
    <s v="FOURNISSEURS"/>
    <s v="BPRI"/>
    <n v="274.29000000000002"/>
    <d v="2025-02-28T00:00:00"/>
    <s v="Prélèvement fournisseurs"/>
    <m/>
    <e v="#N/A"/>
    <e v="#N/A"/>
    <n v="58955"/>
    <m/>
    <s v="DHL"/>
    <s v="Q1"/>
    <e v="#REF!"/>
    <e v="#REF!"/>
    <e v="#REF!"/>
  </r>
  <r>
    <s v="401000"/>
    <x v="6"/>
    <s v="FOURNISSEURS"/>
    <s v="BPRI"/>
    <n v="274.56"/>
    <d v="2025-12-19T00:00:00"/>
    <s v="93813939"/>
    <m/>
    <e v="#N/A"/>
    <e v="#N/A"/>
    <n v="92693"/>
    <m/>
    <m/>
    <s v="Q4"/>
    <e v="#REF!"/>
    <e v="#REF!"/>
    <e v="#REF!"/>
  </r>
  <r>
    <s v="401000"/>
    <x v="6"/>
    <s v="FOURNISSEURS"/>
    <s v="BPRI"/>
    <n v="276.45999999999998"/>
    <d v="2025-10-31T00:00:00"/>
    <s v="TRANSPORT COSTS"/>
    <m/>
    <e v="#N/A"/>
    <e v="#N/A"/>
    <n v="87517"/>
    <m/>
    <m/>
    <s v="Q4"/>
    <e v="#REF!"/>
    <e v="#REF!"/>
    <e v="#REF!"/>
  </r>
  <r>
    <s v="401000"/>
    <x v="6"/>
    <s v="FOURNISSEURS"/>
    <s v="BPRI"/>
    <n v="276.61"/>
    <d v="2025-06-16T00:00:00"/>
    <s v="PRLV SEPA ENGIE"/>
    <m/>
    <e v="#N/A"/>
    <e v="#N/A"/>
    <n v="76081"/>
    <m/>
    <s v="ENGIE"/>
    <s v="Q2"/>
    <e v="#REF!"/>
    <e v="#REF!"/>
    <e v="#REF!"/>
  </r>
  <r>
    <s v="401000"/>
    <x v="6"/>
    <s v="FOURNISSEURS"/>
    <s v="BPRI"/>
    <n v="279.74"/>
    <d v="2025-09-22T00:00:00"/>
    <s v="JOINTS ÉTANCHÉITÉ KL POUR MAINTENANCE JUILLET - URGENT"/>
    <m/>
    <e v="#N/A"/>
    <e v="#N/A"/>
    <n v="82389"/>
    <m/>
    <m/>
    <s v="Q3"/>
    <e v="#REF!"/>
    <e v="#REF!"/>
    <e v="#REF!"/>
  </r>
  <r>
    <s v="401000"/>
    <x v="6"/>
    <s v="FOURNISSEURS"/>
    <s v="BPRI"/>
    <n v="283.39"/>
    <d v="2025-08-18T00:00:00"/>
    <s v="COMMANDE CONSOMMABLE LABO"/>
    <m/>
    <e v="#N/A"/>
    <e v="#N/A"/>
    <n v="81125"/>
    <m/>
    <m/>
    <s v="Q3"/>
    <e v="#REF!"/>
    <e v="#REF!"/>
    <e v="#REF!"/>
  </r>
  <r>
    <s v="401000"/>
    <x v="6"/>
    <s v="FOURNISSEURS"/>
    <s v="BPRI"/>
    <n v="286.08"/>
    <d v="2025-08-18T00:00:00"/>
    <s v="COMMANDE PRODUIT POUR LABO"/>
    <m/>
    <e v="#N/A"/>
    <e v="#N/A"/>
    <n v="81130"/>
    <m/>
    <m/>
    <s v="Q3"/>
    <e v="#REF!"/>
    <e v="#REF!"/>
    <e v="#REF!"/>
  </r>
  <r>
    <s v="401000"/>
    <x v="6"/>
    <s v="FOURNISSEURS"/>
    <s v="BPRI"/>
    <n v="288"/>
    <d v="2025-09-26T00:00:00"/>
    <s v="INVOICE PAYMENT BY PILI"/>
    <m/>
    <e v="#N/A"/>
    <e v="#N/A"/>
    <n v="82518"/>
    <m/>
    <m/>
    <s v="Q3"/>
    <e v="#REF!"/>
    <e v="#REF!"/>
    <e v="#REF!"/>
  </r>
  <r>
    <s v="401000"/>
    <x v="6"/>
    <s v="FOURNISSEURS"/>
    <s v="BPRI"/>
    <n v="288.27"/>
    <d v="2025-11-28T00:00:00"/>
    <s v="4067842722"/>
    <m/>
    <e v="#N/A"/>
    <e v="#N/A"/>
    <n v="91245"/>
    <m/>
    <m/>
    <s v="Q4"/>
    <e v="#REF!"/>
    <e v="#REF!"/>
    <e v="#REF!"/>
  </r>
  <r>
    <s v="401000"/>
    <x v="6"/>
    <s v="FOURNISSEURS"/>
    <s v="BPRI"/>
    <n v="292"/>
    <d v="2025-11-28T00:00:00"/>
    <s v="INGM238822"/>
    <m/>
    <e v="#N/A"/>
    <e v="#N/A"/>
    <n v="91260"/>
    <m/>
    <m/>
    <s v="Q4"/>
    <e v="#REF!"/>
    <e v="#REF!"/>
    <e v="#REF!"/>
  </r>
  <r>
    <s v="401000"/>
    <x v="6"/>
    <s v="FOURNISSEURS"/>
    <s v="BPRI"/>
    <n v="293.54000000000002"/>
    <d v="2025-02-18T00:00:00"/>
    <s v="EVI REMISE"/>
    <m/>
    <e v="#N/A"/>
    <e v="#N/A"/>
    <n v="21334"/>
    <s v="0GLKPHY"/>
    <s v="MANUTAN"/>
    <s v="Q1"/>
    <e v="#REF!"/>
    <e v="#REF!"/>
    <e v="#REF!"/>
  </r>
  <r>
    <s v="401000"/>
    <x v="6"/>
    <s v="FOURNISSEURS"/>
    <s v="BPRI"/>
    <n v="298.8"/>
    <d v="2025-03-03T00:00:00"/>
    <s v="Règlement fournisseurs"/>
    <m/>
    <e v="#N/A"/>
    <e v="#N/A"/>
    <n v="58940"/>
    <m/>
    <s v="CLOUP"/>
    <s v="Q1"/>
    <e v="#REF!"/>
    <e v="#REF!"/>
    <e v="#REF!"/>
  </r>
  <r>
    <s v="401000"/>
    <x v="6"/>
    <s v="FOURNISSEURS"/>
    <s v="BPRI"/>
    <n v="299.51"/>
    <d v="2025-12-24T00:00:00"/>
    <s v="2473501"/>
    <m/>
    <e v="#N/A"/>
    <e v="#N/A"/>
    <n v="93667"/>
    <m/>
    <m/>
    <s v="Q4"/>
    <e v="#REF!"/>
    <e v="#REF!"/>
    <e v="#REF!"/>
  </r>
  <r>
    <s v="401000"/>
    <x v="6"/>
    <s v="FOURNISSEURS"/>
    <s v="BPRI"/>
    <n v="299.88"/>
    <d v="2025-11-17T00:00:00"/>
    <s v="RMN UPS"/>
    <m/>
    <e v="#N/A"/>
    <e v="#N/A"/>
    <n v="90136"/>
    <m/>
    <m/>
    <s v="Q4"/>
    <e v="#REF!"/>
    <e v="#REF!"/>
    <e v="#REF!"/>
  </r>
  <r>
    <s v="401000"/>
    <x v="6"/>
    <s v="FOURNISSEURS"/>
    <s v="BPRI"/>
    <n v="300"/>
    <d v="2025-07-31T00:00:00"/>
    <s v="PRESTATION PHOTOGRAPHIQUE COMPRENANT LA PRISE DE VUES ET LA POST-PRODUCTION"/>
    <m/>
    <e v="#N/A"/>
    <e v="#N/A"/>
    <n v="79279"/>
    <m/>
    <m/>
    <s v="Q3"/>
    <e v="#REF!"/>
    <e v="#REF!"/>
    <e v="#REF!"/>
  </r>
  <r>
    <s v="401000"/>
    <x v="6"/>
    <s v="FOURNISSEURS"/>
    <s v="BPRI"/>
    <n v="302.39999999999998"/>
    <d v="2025-09-12T00:00:00"/>
    <s v="CONSOMMABLES LABO"/>
    <m/>
    <e v="#N/A"/>
    <e v="#N/A"/>
    <n v="82029"/>
    <m/>
    <m/>
    <s v="Q3"/>
    <e v="#REF!"/>
    <e v="#REF!"/>
    <e v="#REF!"/>
  </r>
  <r>
    <s v="401000"/>
    <x v="6"/>
    <s v="FOURNISSEURS"/>
    <s v="BPRI"/>
    <n v="303.10000000000002"/>
    <d v="2025-07-16T00:00:00"/>
    <s v="PRLV SEPA ENGIE"/>
    <m/>
    <e v="#N/A"/>
    <e v="#N/A"/>
    <n v="77583"/>
    <m/>
    <s v="ENGIE"/>
    <s v="Q3"/>
    <e v="#REF!"/>
    <e v="#REF!"/>
    <e v="#REF!"/>
  </r>
  <r>
    <s v="512100"/>
    <x v="6"/>
    <s v="BANQUE POPULAIRE RIVE DE PARIS"/>
    <s v="BPRI"/>
    <n v="541.52"/>
    <d v="2025-12-19T00:00:00"/>
    <s v="/LIB/EVI C.P.A.M. TOULOUSE/LIB/C.P.A.M. TOULOUSE/LIB/0811524545000353512012251218"/>
    <m/>
    <e v="#N/A"/>
    <e v="#N/A"/>
    <n v="92919"/>
    <m/>
    <m/>
    <s v="Q4"/>
    <e v="#REF!"/>
    <e v="#REF!"/>
    <e v="#REF!"/>
  </r>
  <r>
    <s v="401000"/>
    <x v="6"/>
    <s v="FOURNISSEURS"/>
    <s v="BPRI"/>
    <n v="308.27"/>
    <d v="2025-04-14T00:00:00"/>
    <s v="Prélèvement fournisseur"/>
    <m/>
    <e v="#N/A"/>
    <e v="#N/A"/>
    <n v="67603"/>
    <m/>
    <s v="ENGIE"/>
    <s v="Q2"/>
    <e v="#REF!"/>
    <e v="#REF!"/>
    <e v="#REF!"/>
  </r>
  <r>
    <s v="401000"/>
    <x v="6"/>
    <s v="FOURNISSEURS"/>
    <s v="BPRI"/>
    <n v="308.41000000000003"/>
    <d v="2025-11-13T00:00:00"/>
    <s v="CONSOMMABLE LABO"/>
    <m/>
    <e v="#N/A"/>
    <e v="#N/A"/>
    <n v="89946"/>
    <m/>
    <m/>
    <s v="Q4"/>
    <e v="#REF!"/>
    <e v="#REF!"/>
    <e v="#REF!"/>
  </r>
  <r>
    <s v="401000"/>
    <x v="6"/>
    <s v="FOURNISSEURS"/>
    <s v="BPRI"/>
    <n v="309.12"/>
    <d v="2025-03-28T00:00:00"/>
    <s v="Invoice Payment by Pili"/>
    <m/>
    <e v="#N/A"/>
    <e v="#N/A"/>
    <n v="65001"/>
    <m/>
    <m/>
    <s v="Q1"/>
    <e v="#REF!"/>
    <e v="#REF!"/>
    <e v="#REF!"/>
  </r>
  <r>
    <s v="401000"/>
    <x v="6"/>
    <s v="FOURNISSEURS"/>
    <s v="BPRI"/>
    <n v="313.2"/>
    <d v="2025-05-07T00:00:00"/>
    <s v="TUBE BRUN RAJA D60 LONG500"/>
    <m/>
    <e v="#N/A"/>
    <e v="#N/A"/>
    <n v="71804"/>
    <m/>
    <m/>
    <s v="Q2"/>
    <e v="#REF!"/>
    <e v="#REF!"/>
    <e v="#REF!"/>
  </r>
  <r>
    <s v="401000"/>
    <x v="6"/>
    <s v="FOURNISSEURS"/>
    <s v="BPRI"/>
    <n v="313.2"/>
    <d v="2025-09-12T00:00:00"/>
    <s v="HYDROXYLAMINE SULFATE POUR STEP 2 KEENY"/>
    <m/>
    <e v="#N/A"/>
    <e v="#N/A"/>
    <n v="82004"/>
    <m/>
    <m/>
    <s v="Q3"/>
    <e v="#REF!"/>
    <e v="#REF!"/>
    <e v="#REF!"/>
  </r>
  <r>
    <s v="401000"/>
    <x v="6"/>
    <s v="FOURNISSEURS"/>
    <s v="BPRI"/>
    <n v="313.2"/>
    <d v="2025-10-06T00:00:00"/>
    <s v="HYDROXYLAMINE SULFATE POUR STEP 2 KEENY"/>
    <m/>
    <e v="#N/A"/>
    <e v="#N/A"/>
    <n v="82928"/>
    <m/>
    <m/>
    <s v="Q4"/>
    <e v="#REF!"/>
    <e v="#REF!"/>
    <e v="#REF!"/>
  </r>
  <r>
    <s v="401000"/>
    <x v="6"/>
    <s v="FOURNISSEURS"/>
    <s v="BPRI"/>
    <n v="318"/>
    <d v="2025-04-29T00:00:00"/>
    <s v="Invoice Payment by Pili"/>
    <m/>
    <e v="#N/A"/>
    <e v="#N/A"/>
    <n v="70469"/>
    <m/>
    <m/>
    <s v="Q2"/>
    <e v="#REF!"/>
    <e v="#REF!"/>
    <e v="#REF!"/>
  </r>
  <r>
    <s v="401000"/>
    <x v="6"/>
    <s v="FOURNISSEURS"/>
    <s v="BPRI"/>
    <n v="318"/>
    <d v="2025-05-07T00:00:00"/>
    <s v="CARTOUCHE AX POUR MASQUE À GAZ"/>
    <m/>
    <e v="#N/A"/>
    <e v="#N/A"/>
    <n v="71779"/>
    <m/>
    <m/>
    <s v="Q2"/>
    <e v="#REF!"/>
    <e v="#REF!"/>
    <e v="#REF!"/>
  </r>
  <r>
    <s v="401000"/>
    <x v="6"/>
    <s v="FOURNISSEURS"/>
    <s v="BPRI"/>
    <n v="319.43"/>
    <d v="2025-09-12T00:00:00"/>
    <s v="CONSOMMABLES LABO"/>
    <m/>
    <e v="#N/A"/>
    <e v="#N/A"/>
    <n v="82039"/>
    <m/>
    <m/>
    <s v="Q3"/>
    <e v="#REF!"/>
    <e v="#REF!"/>
    <e v="#REF!"/>
  </r>
  <r>
    <s v="401000"/>
    <x v="6"/>
    <s v="FOURNISSEURS"/>
    <s v="BPRI"/>
    <n v="320.88"/>
    <d v="2025-02-05T00:00:00"/>
    <s v="EVI REMISE"/>
    <m/>
    <e v="#N/A"/>
    <e v="#N/A"/>
    <n v="21202"/>
    <s v="0GLHKW1"/>
    <s v="EURISOTOP"/>
    <s v="Q1"/>
    <e v="#REF!"/>
    <e v="#REF!"/>
    <e v="#REF!"/>
  </r>
  <r>
    <s v="401000"/>
    <x v="6"/>
    <s v="FOURNISSEURS"/>
    <s v="BPRI"/>
    <n v="321.18"/>
    <d v="2025-12-30T00:00:00"/>
    <s v="4067873149"/>
    <m/>
    <e v="#N/A"/>
    <e v="#N/A"/>
    <n v="93841"/>
    <m/>
    <m/>
    <s v="Q4"/>
    <e v="#REF!"/>
    <e v="#REF!"/>
    <e v="#REF!"/>
  </r>
  <r>
    <s v="401000"/>
    <x v="6"/>
    <s v="FOURNISSEURS"/>
    <s v="BPRI"/>
    <n v="323.32"/>
    <d v="2025-01-02T00:00:00"/>
    <s v="PRLV SEPA DHL INTERNAT. EXP FRA"/>
    <m/>
    <e v="#N/A"/>
    <e v="#N/A"/>
    <n v="20864"/>
    <s v="06X85IG"/>
    <s v="DHL"/>
    <s v="Q1"/>
    <e v="#REF!"/>
    <e v="#REF!"/>
    <e v="#REF!"/>
  </r>
  <r>
    <s v="401000"/>
    <x v="6"/>
    <s v="FOURNISSEURS"/>
    <s v="BPRI"/>
    <n v="325.93"/>
    <d v="2025-10-31T00:00:00"/>
    <s v="TRANSPORT COSTS"/>
    <m/>
    <e v="#N/A"/>
    <e v="#N/A"/>
    <n v="87522"/>
    <m/>
    <m/>
    <s v="Q4"/>
    <e v="#REF!"/>
    <e v="#REF!"/>
    <e v="#REF!"/>
  </r>
  <r>
    <s v="401000"/>
    <x v="6"/>
    <s v="FOURNISSEURS"/>
    <s v="BPRI"/>
    <n v="330"/>
    <d v="2025-01-31T00:00:00"/>
    <s v="EVI REMISE"/>
    <m/>
    <e v="#N/A"/>
    <e v="#N/A"/>
    <n v="21168"/>
    <s v="0GLGLHX"/>
    <s v="GINE-LOG"/>
    <s v="Q1"/>
    <e v="#REF!"/>
    <e v="#REF!"/>
    <e v="#REF!"/>
  </r>
  <r>
    <s v="401000"/>
    <x v="6"/>
    <s v="FOURNISSEURS"/>
    <s v="BPRI"/>
    <n v="335.56"/>
    <d v="2025-04-29T00:00:00"/>
    <s v="Invoice Payment by Pili"/>
    <m/>
    <e v="#N/A"/>
    <e v="#N/A"/>
    <n v="70470"/>
    <m/>
    <m/>
    <s v="Q2"/>
    <e v="#REF!"/>
    <e v="#REF!"/>
    <e v="#REF!"/>
  </r>
  <r>
    <s v="401000"/>
    <x v="6"/>
    <s v="FOURNISSEURS"/>
    <s v="BPRI"/>
    <n v="336"/>
    <d v="2025-10-31T00:00:00"/>
    <s v="RETRAIT DEMANDE INITIAL AVANT PCT - BREVET PALOMA BIO"/>
    <m/>
    <e v="#N/A"/>
    <e v="#N/A"/>
    <n v="87516"/>
    <m/>
    <m/>
    <s v="Q4"/>
    <e v="#REF!"/>
    <e v="#REF!"/>
    <e v="#REF!"/>
  </r>
  <r>
    <s v="401000"/>
    <x v="6"/>
    <s v="FOURNISSEURS"/>
    <s v="BPRI"/>
    <n v="336"/>
    <d v="2025-10-31T00:00:00"/>
    <s v="RETRAIT DEMANDE INITIALE EP AVANT PCT DE PALOMA CHIMIE"/>
    <m/>
    <e v="#N/A"/>
    <e v="#N/A"/>
    <n v="87506"/>
    <m/>
    <m/>
    <s v="Q4"/>
    <e v="#REF!"/>
    <e v="#REF!"/>
    <e v="#REF!"/>
  </r>
  <r>
    <s v="401000"/>
    <x v="6"/>
    <s v="FOURNISSEURS"/>
    <s v="BPRI"/>
    <n v="336.86"/>
    <d v="2025-03-19T00:00:00"/>
    <s v="Invoice Payment by Pili"/>
    <m/>
    <e v="#N/A"/>
    <e v="#N/A"/>
    <n v="61882"/>
    <m/>
    <m/>
    <s v="Q1"/>
    <e v="#REF!"/>
    <e v="#REF!"/>
    <e v="#REF!"/>
  </r>
  <r>
    <s v="401000"/>
    <x v="6"/>
    <s v="FOURNISSEURS"/>
    <s v="BPRI"/>
    <n v="341.36"/>
    <d v="2025-05-30T00:00:00"/>
    <s v="Prélèvement ALFI"/>
    <m/>
    <e v="#N/A"/>
    <e v="#N/A"/>
    <n v="75016"/>
    <m/>
    <s v="AIR LIQUIDE"/>
    <s v="Q2"/>
    <e v="#REF!"/>
    <e v="#REF!"/>
    <e v="#REF!"/>
  </r>
  <r>
    <s v="401000"/>
    <x v="6"/>
    <s v="FOURNISSEURS"/>
    <s v="BPRI"/>
    <n v="344.4"/>
    <d v="2025-07-23T00:00:00"/>
    <s v="TRANSPORT OF ADR MATERIAL TO MILANO ITALY"/>
    <s v="Non"/>
    <e v="#N/A"/>
    <e v="#N/A"/>
    <n v="78348"/>
    <m/>
    <s v="BIOTIKA"/>
    <s v="Q3"/>
    <e v="#REF!"/>
    <e v="#REF!"/>
    <e v="#REF!"/>
  </r>
  <r>
    <s v="401000"/>
    <x v="6"/>
    <s v="FOURNISSEURS"/>
    <s v="BPRI"/>
    <n v="346.55"/>
    <d v="2025-05-07T00:00:00"/>
    <s v="COMMANDE PRODUITS ET CONSOMMABLES LABO"/>
    <m/>
    <e v="#N/A"/>
    <e v="#N/A"/>
    <n v="71859"/>
    <m/>
    <m/>
    <s v="Q2"/>
    <e v="#REF!"/>
    <e v="#REF!"/>
    <e v="#REF!"/>
  </r>
  <r>
    <s v="401000"/>
    <x v="6"/>
    <s v="FOURNISSEURS"/>
    <s v="BPRI"/>
    <n v="348.34"/>
    <d v="2025-04-25T00:00:00"/>
    <s v="Invoice Payment by Pili"/>
    <m/>
    <e v="#N/A"/>
    <e v="#N/A"/>
    <n v="70175"/>
    <m/>
    <m/>
    <s v="Q2"/>
    <e v="#REF!"/>
    <e v="#REF!"/>
    <e v="#REF!"/>
  </r>
  <r>
    <s v="401000"/>
    <x v="6"/>
    <s v="FOURNISSEURS"/>
    <s v="BPRI"/>
    <n v="356.12"/>
    <d v="2025-12-30T00:00:00"/>
    <s v="91250194"/>
    <m/>
    <e v="#N/A"/>
    <e v="#N/A"/>
    <n v="93779"/>
    <m/>
    <m/>
    <s v="Q4"/>
    <e v="#REF!"/>
    <e v="#REF!"/>
    <e v="#REF!"/>
  </r>
  <r>
    <s v="401000"/>
    <x v="6"/>
    <s v="FOURNISSEURS"/>
    <s v="BPRI"/>
    <n v="356.4"/>
    <d v="2025-08-21T00:00:00"/>
    <s v="ANALYSE RMN ESPCI - AVR-JUIN 2025"/>
    <m/>
    <e v="#N/A"/>
    <e v="#N/A"/>
    <n v="81490"/>
    <m/>
    <m/>
    <s v="Q3"/>
    <e v="#REF!"/>
    <e v="#REF!"/>
    <e v="#REF!"/>
  </r>
  <r>
    <s v="401000"/>
    <x v="6"/>
    <s v="FOURNISSEURS"/>
    <s v="BPRI"/>
    <n v="359.69"/>
    <d v="2025-04-25T00:00:00"/>
    <s v="Invoice Payment by Pili"/>
    <m/>
    <e v="#N/A"/>
    <e v="#N/A"/>
    <n v="70180"/>
    <m/>
    <m/>
    <s v="Q2"/>
    <e v="#REF!"/>
    <e v="#REF!"/>
    <e v="#REF!"/>
  </r>
  <r>
    <s v="401000"/>
    <x v="6"/>
    <s v="FOURNISSEURS"/>
    <s v="BPRI"/>
    <n v="360"/>
    <d v="2025-08-21T00:00:00"/>
    <s v="SURVEILLANCE BREVET"/>
    <m/>
    <e v="#N/A"/>
    <e v="#N/A"/>
    <n v="81404"/>
    <m/>
    <m/>
    <s v="Q3"/>
    <e v="#REF!"/>
    <e v="#REF!"/>
    <e v="#REF!"/>
  </r>
  <r>
    <s v="401000"/>
    <x v="6"/>
    <s v="FOURNISSEURS"/>
    <s v="BPRI"/>
    <n v="360.2"/>
    <d v="2025-11-13T00:00:00"/>
    <s v="COUVERTURE MULTIRISQUE PROFESSIONNELLE AV DE SULLY LYON"/>
    <m/>
    <e v="#N/A"/>
    <e v="#N/A"/>
    <n v="89952"/>
    <m/>
    <s v="INITIATIVE &amp; RISK PARTNERS"/>
    <s v="Q4"/>
    <e v="#REF!"/>
    <e v="#REF!"/>
    <e v="#REF!"/>
  </r>
  <r>
    <s v="401000"/>
    <x v="6"/>
    <s v="FOURNISSEURS"/>
    <s v="BPRI"/>
    <n v="364.78"/>
    <d v="2025-02-28T00:00:00"/>
    <s v="Règlement fournisseurs"/>
    <m/>
    <e v="#N/A"/>
    <e v="#N/A"/>
    <n v="58943"/>
    <m/>
    <s v="COTRAL LAB"/>
    <s v="Q1"/>
    <e v="#REF!"/>
    <e v="#REF!"/>
    <e v="#REF!"/>
  </r>
  <r>
    <s v="401000"/>
    <x v="6"/>
    <s v="FOURNISSEURS"/>
    <s v="BPRI"/>
    <n v="373.14"/>
    <d v="2025-02-18T00:00:00"/>
    <s v="EVI REMISE"/>
    <s v="Non"/>
    <e v="#N/A"/>
    <e v="#N/A"/>
    <n v="21332"/>
    <s v="0GLKPHX"/>
    <s v="BIOTIKA"/>
    <s v="Q1"/>
    <e v="#REF!"/>
    <e v="#REF!"/>
    <e v="#REF!"/>
  </r>
  <r>
    <s v="401000"/>
    <x v="6"/>
    <s v="FOURNISSEURS"/>
    <s v="BPRI"/>
    <n v="373.2"/>
    <d v="2025-04-18T00:00:00"/>
    <s v="Invoice Payment by Pili"/>
    <m/>
    <e v="#N/A"/>
    <e v="#N/A"/>
    <n v="68181"/>
    <m/>
    <m/>
    <s v="Q2"/>
    <e v="#REF!"/>
    <e v="#REF!"/>
    <e v="#REF!"/>
  </r>
  <r>
    <s v="401000"/>
    <x v="6"/>
    <s v="FOURNISSEURS"/>
    <s v="BPRI"/>
    <n v="373.2"/>
    <d v="2025-05-07T00:00:00"/>
    <s v="ENTRETIEN DES LOCAUX ROUSSILLON AVRIL 2025"/>
    <m/>
    <e v="#N/A"/>
    <e v="#N/A"/>
    <n v="71784"/>
    <m/>
    <m/>
    <s v="Q2"/>
    <e v="#REF!"/>
    <e v="#REF!"/>
    <e v="#REF!"/>
  </r>
  <r>
    <s v="401000"/>
    <x v="6"/>
    <s v="FOURNISSEURS"/>
    <s v="BPRI"/>
    <n v="373.2"/>
    <d v="2025-07-22T00:00:00"/>
    <s v="ENTRETIEN LOCAUX ROUSSILLON"/>
    <m/>
    <e v="#N/A"/>
    <e v="#N/A"/>
    <n v="78314"/>
    <m/>
    <m/>
    <s v="Q3"/>
    <e v="#REF!"/>
    <e v="#REF!"/>
    <e v="#REF!"/>
  </r>
  <r>
    <s v="401000"/>
    <x v="6"/>
    <s v="FOURNISSEURS"/>
    <s v="BPRI"/>
    <n v="373.2"/>
    <d v="2025-08-22T00:00:00"/>
    <s v="CONTRAT DE NETTOYAGE DES ALGECOS - ROUSSILLON"/>
    <m/>
    <e v="#N/A"/>
    <e v="#N/A"/>
    <n v="81594"/>
    <m/>
    <m/>
    <s v="Q3"/>
    <e v="#REF!"/>
    <e v="#REF!"/>
    <e v="#REF!"/>
  </r>
  <r>
    <s v="401000"/>
    <x v="6"/>
    <s v="FOURNISSEURS"/>
    <s v="BPRI"/>
    <n v="373.2"/>
    <d v="2025-09-26T00:00:00"/>
    <s v="INVOICE PAYMENT BY PILI"/>
    <m/>
    <e v="#N/A"/>
    <e v="#N/A"/>
    <n v="82513"/>
    <m/>
    <m/>
    <s v="Q3"/>
    <e v="#REF!"/>
    <e v="#REF!"/>
    <e v="#REF!"/>
  </r>
  <r>
    <s v="401000"/>
    <x v="6"/>
    <s v="FOURNISSEURS"/>
    <s v="BPRI"/>
    <n v="373.2"/>
    <d v="2025-10-31T00:00:00"/>
    <s v="ENTRETIEN DES ALGÉCOS"/>
    <m/>
    <e v="#N/A"/>
    <e v="#N/A"/>
    <n v="87553"/>
    <m/>
    <m/>
    <s v="Q4"/>
    <e v="#REF!"/>
    <e v="#REF!"/>
    <e v="#REF!"/>
  </r>
  <r>
    <s v="401000"/>
    <x v="6"/>
    <s v="FOURNISSEURS"/>
    <s v="BPRI"/>
    <n v="373.2"/>
    <d v="2025-11-28T00:00:00"/>
    <s v="251P1464"/>
    <m/>
    <e v="#N/A"/>
    <e v="#N/A"/>
    <n v="91235"/>
    <m/>
    <m/>
    <s v="Q4"/>
    <e v="#REF!"/>
    <e v="#REF!"/>
    <e v="#REF!"/>
  </r>
  <r>
    <s v="401000"/>
    <x v="6"/>
    <s v="FOURNISSEURS"/>
    <s v="BPRI"/>
    <n v="373.2"/>
    <d v="2025-12-30T00:00:00"/>
    <s v="251P1661"/>
    <m/>
    <e v="#N/A"/>
    <e v="#N/A"/>
    <n v="93826"/>
    <m/>
    <m/>
    <s v="Q4"/>
    <e v="#REF!"/>
    <e v="#REF!"/>
    <e v="#REF!"/>
  </r>
  <r>
    <s v="401000"/>
    <x v="6"/>
    <s v="FOURNISSEURS"/>
    <s v="BPRI"/>
    <n v="378"/>
    <d v="2025-03-07T00:00:00"/>
    <s v="Cotisation PILI"/>
    <m/>
    <e v="#N/A"/>
    <e v="#N/A"/>
    <n v="58777"/>
    <m/>
    <m/>
    <s v="Q1"/>
    <e v="#REF!"/>
    <e v="#REF!"/>
    <e v="#REF!"/>
  </r>
  <r>
    <s v="401000"/>
    <x v="6"/>
    <s v="FOURNISSEURS"/>
    <s v="BPRI"/>
    <n v="384"/>
    <d v="2025-11-17T00:00:00"/>
    <s v="FORMATION MAINTIEN DES ACQUIS ET DES CONNAISSANCES DU SST"/>
    <m/>
    <e v="#N/A"/>
    <e v="#N/A"/>
    <n v="90148"/>
    <m/>
    <m/>
    <s v="Q4"/>
    <e v="#REF!"/>
    <e v="#REF!"/>
    <e v="#REF!"/>
  </r>
  <r>
    <s v="401000"/>
    <x v="6"/>
    <s v="FOURNISSEURS"/>
    <s v="BPRI"/>
    <n v="386.4"/>
    <d v="2025-08-21T00:00:00"/>
    <s v="FRAIS PI LISA EN AMONT BREVET PALOMA CHIMIE"/>
    <m/>
    <e v="#N/A"/>
    <e v="#N/A"/>
    <n v="81394"/>
    <m/>
    <m/>
    <s v="Q3"/>
    <e v="#REF!"/>
    <e v="#REF!"/>
    <e v="#REF!"/>
  </r>
  <r>
    <s v="401000"/>
    <x v="6"/>
    <s v="FOURNISSEURS"/>
    <s v="BPRI"/>
    <n v="392.44"/>
    <d v="2025-09-16T00:00:00"/>
    <s v="PRLV SEPA ENGIE"/>
    <m/>
    <e v="#N/A"/>
    <e v="#N/A"/>
    <n v="82432"/>
    <m/>
    <s v="ENGIE"/>
    <s v="Q3"/>
    <e v="#REF!"/>
    <e v="#REF!"/>
    <e v="#REF!"/>
  </r>
  <r>
    <s v="401000"/>
    <x v="6"/>
    <s v="FOURNISSEURS"/>
    <s v="BPRI"/>
    <n v="393.92"/>
    <d v="2025-12-10T00:00:00"/>
    <s v="4184079"/>
    <m/>
    <e v="#N/A"/>
    <e v="#N/A"/>
    <n v="92037"/>
    <m/>
    <m/>
    <s v="Q4"/>
    <e v="#REF!"/>
    <e v="#REF!"/>
    <e v="#REF!"/>
  </r>
  <r>
    <s v="401000"/>
    <x v="6"/>
    <s v="FOURNISSEURS"/>
    <s v="BPRI"/>
    <n v="401.4"/>
    <d v="2025-12-10T00:00:00"/>
    <s v="F2025-034"/>
    <m/>
    <e v="#N/A"/>
    <e v="#N/A"/>
    <n v="92036"/>
    <m/>
    <m/>
    <s v="Q4"/>
    <e v="#REF!"/>
    <e v="#REF!"/>
    <e v="#REF!"/>
  </r>
  <r>
    <s v="401000"/>
    <x v="6"/>
    <s v="FOURNISSEURS"/>
    <s v="BPRI"/>
    <n v="401.4"/>
    <d v="2025-12-30T00:00:00"/>
    <s v="F2025-040"/>
    <m/>
    <e v="#N/A"/>
    <e v="#N/A"/>
    <n v="93735"/>
    <m/>
    <m/>
    <s v="Q4"/>
    <e v="#REF!"/>
    <e v="#REF!"/>
    <e v="#REF!"/>
  </r>
  <r>
    <s v="409100"/>
    <x v="6"/>
    <s v="FOURNISSEURS - AVANCES ET ACOMPTES CMDES"/>
    <s v="BPRI"/>
    <n v="-92"/>
    <d v="2025-10-21T00:00:00"/>
    <s v="/LIB/EVI DOMAINE DE CHRISTIN SAS/LIB/E DE CHRISTIN SU/LIB/DOMAINE DE CHRISTIN SAS/LIB/POUR SOLDE COMPTE LOCATIF DOMAIN/LIB/E DE "/>
    <m/>
    <e v="#N/A"/>
    <e v="#N/A"/>
    <n v="87317"/>
    <m/>
    <s v="DOMAINE DE CHRISTIN SAS"/>
    <s v="Q4"/>
    <e v="#REF!"/>
    <e v="#REF!"/>
    <e v="#REF!"/>
  </r>
  <r>
    <s v="401000"/>
    <x v="6"/>
    <s v="FOURNISSEURS"/>
    <s v="BPRI"/>
    <n v="404.71"/>
    <d v="2025-03-18T00:00:00"/>
    <s v="Prélèvement Engie"/>
    <m/>
    <e v="#N/A"/>
    <e v="#N/A"/>
    <n v="61854"/>
    <m/>
    <s v="ENGIE"/>
    <s v="Q1"/>
    <e v="#REF!"/>
    <e v="#REF!"/>
    <e v="#REF!"/>
  </r>
  <r>
    <s v="401000"/>
    <x v="6"/>
    <s v="FOURNISSEURS"/>
    <s v="BPRI"/>
    <n v="406.01"/>
    <d v="2025-03-19T00:00:00"/>
    <s v="Invoice Payment by Pili"/>
    <m/>
    <e v="#N/A"/>
    <e v="#N/A"/>
    <n v="61890"/>
    <m/>
    <m/>
    <s v="Q1"/>
    <e v="#REF!"/>
    <e v="#REF!"/>
    <e v="#REF!"/>
  </r>
  <r>
    <s v="401000"/>
    <x v="6"/>
    <s v="FOURNISSEURS"/>
    <s v="BPRI"/>
    <n v="406.8"/>
    <d v="2025-09-26T00:00:00"/>
    <s v="INVOICE PAYMENT BY PILI"/>
    <m/>
    <e v="#N/A"/>
    <e v="#N/A"/>
    <n v="82487"/>
    <m/>
    <m/>
    <s v="Q3"/>
    <e v="#REF!"/>
    <e v="#REF!"/>
    <e v="#REF!"/>
  </r>
  <r>
    <s v="401000"/>
    <x v="6"/>
    <s v="FOURNISSEURS"/>
    <s v="BPRI"/>
    <n v="409.81"/>
    <d v="2025-11-07T00:00:00"/>
    <s v="0189538"/>
    <m/>
    <e v="#N/A"/>
    <e v="#N/A"/>
    <n v="89416"/>
    <m/>
    <m/>
    <s v="Q4"/>
    <e v="#REF!"/>
    <e v="#REF!"/>
    <e v="#REF!"/>
  </r>
  <r>
    <s v="401000"/>
    <x v="6"/>
    <s v="FOURNISSEURS"/>
    <s v="BPRI"/>
    <n v="412.27"/>
    <d v="2025-06-30T00:00:00"/>
    <s v="TRANSPORT COSTS"/>
    <m/>
    <e v="#N/A"/>
    <e v="#N/A"/>
    <n v="76854"/>
    <m/>
    <m/>
    <s v="Q2"/>
    <e v="#REF!"/>
    <e v="#REF!"/>
    <e v="#REF!"/>
  </r>
  <r>
    <s v="401000"/>
    <x v="6"/>
    <s v="FOURNISSEURS"/>
    <s v="BPRI"/>
    <n v="419.05"/>
    <d v="2025-11-19T00:00:00"/>
    <s v="91250166"/>
    <s v="Non"/>
    <e v="#N/A"/>
    <e v="#N/A"/>
    <n v="90489"/>
    <m/>
    <s v="BIOTIKA"/>
    <s v="Q4"/>
    <e v="#REF!"/>
    <e v="#REF!"/>
    <e v="#REF!"/>
  </r>
  <r>
    <s v="401000"/>
    <x v="6"/>
    <s v="FOURNISSEURS"/>
    <s v="BPRI"/>
    <n v="421.6"/>
    <d v="2025-11-28T00:00:00"/>
    <s v="20251089"/>
    <m/>
    <e v="#N/A"/>
    <e v="#N/A"/>
    <n v="91178"/>
    <m/>
    <s v="GUERLET-DEGUERNE"/>
    <s v="Q4"/>
    <e v="#REF!"/>
    <e v="#REF!"/>
    <e v="#REF!"/>
  </r>
  <r>
    <s v="401000"/>
    <x v="6"/>
    <s v="FOURNISSEURS"/>
    <s v="BPRI"/>
    <n v="422.3"/>
    <d v="2025-06-16T00:00:00"/>
    <s v="TRANSPORT COSTS"/>
    <m/>
    <e v="#N/A"/>
    <e v="#N/A"/>
    <n v="76058"/>
    <m/>
    <m/>
    <s v="Q2"/>
    <e v="#REF!"/>
    <e v="#REF!"/>
    <e v="#REF!"/>
  </r>
  <r>
    <s v="401000"/>
    <x v="6"/>
    <s v="FOURNISSEURS"/>
    <s v="BPRI"/>
    <n v="423.5"/>
    <d v="2025-05-07T00:00:00"/>
    <s v="EVI ASSOC.   BIOECONOMY FOR"/>
    <m/>
    <e v="#N/A"/>
    <e v="#N/A"/>
    <n v="71763"/>
    <m/>
    <m/>
    <s v="Q2"/>
    <e v="#REF!"/>
    <e v="#REF!"/>
    <e v="#REF!"/>
  </r>
  <r>
    <s v="401000"/>
    <x v="6"/>
    <s v="FOURNISSEURS"/>
    <s v="BPRI"/>
    <n v="429.97"/>
    <d v="2025-01-31T00:00:00"/>
    <s v="Prélèvement fournisseurs"/>
    <m/>
    <e v="#N/A"/>
    <e v="#N/A"/>
    <n v="61910"/>
    <m/>
    <s v="AIR LIQUIDE"/>
    <s v="Q1"/>
    <e v="#REF!"/>
    <e v="#REF!"/>
    <e v="#REF!"/>
  </r>
  <r>
    <s v="401000"/>
    <x v="6"/>
    <s v="FOURNISSEURS"/>
    <s v="BPRI"/>
    <n v="431.94"/>
    <d v="2025-11-19T00:00:00"/>
    <s v="91250167"/>
    <s v="Non"/>
    <e v="#N/A"/>
    <e v="#N/A"/>
    <n v="90494"/>
    <m/>
    <s v="BIOTIKA"/>
    <s v="Q4"/>
    <e v="#REF!"/>
    <e v="#REF!"/>
    <e v="#REF!"/>
  </r>
  <r>
    <s v="401000"/>
    <x v="6"/>
    <s v="FOURNISSEURS"/>
    <s v="BPRI"/>
    <n v="443.1"/>
    <d v="2025-05-07T00:00:00"/>
    <s v="CAFÉ DES TERROIRS"/>
    <m/>
    <e v="#N/A"/>
    <e v="#N/A"/>
    <n v="71764"/>
    <m/>
    <m/>
    <s v="Q2"/>
    <e v="#REF!"/>
    <e v="#REF!"/>
    <e v="#REF!"/>
  </r>
  <r>
    <s v="512100"/>
    <x v="6"/>
    <s v="BANQUE POPULAIRE RIVE DE PARIS"/>
    <s v="BPRI"/>
    <n v="92"/>
    <d v="2025-10-21T00:00:00"/>
    <s v="/LIB/EVI DOMAINE DE CHRISTIN SAS/LIB/E DE CHRISTIN SU/LIB/DOMAINE DE CHRISTIN SAS/LIB/POUR SOLDE COMPTE LOCATIF DOMAIN/LIB/E DE "/>
    <m/>
    <e v="#N/A"/>
    <e v="#N/A"/>
    <n v="87316"/>
    <m/>
    <s v="DOMAINE DE CHRISTIN SAS"/>
    <s v="Q4"/>
    <e v="#REF!"/>
    <e v="#REF!"/>
    <e v="#REF!"/>
  </r>
  <r>
    <s v="401000"/>
    <x v="6"/>
    <s v="FOURNISSEURS"/>
    <s v="BPRI"/>
    <n v="452.02"/>
    <d v="2025-05-14T00:00:00"/>
    <s v="Invoice Payment by Pili"/>
    <m/>
    <e v="#N/A"/>
    <e v="#N/A"/>
    <n v="72335"/>
    <m/>
    <m/>
    <s v="Q2"/>
    <e v="#REF!"/>
    <e v="#REF!"/>
    <e v="#REF!"/>
  </r>
  <r>
    <s v="401000"/>
    <x v="6"/>
    <s v="FOURNISSEURS"/>
    <s v="BPRI"/>
    <n v="453.43"/>
    <d v="2025-12-05T00:00:00"/>
    <s v="254669 254270"/>
    <m/>
    <e v="#N/A"/>
    <e v="#N/A"/>
    <n v="91368"/>
    <m/>
    <m/>
    <s v="Q4"/>
    <e v="#REF!"/>
    <e v="#REF!"/>
    <e v="#REF!"/>
  </r>
  <r>
    <s v="401000"/>
    <x v="6"/>
    <s v="FOURNISSEURS"/>
    <s v="BPRI"/>
    <n v="456"/>
    <d v="2025-04-15T00:00:00"/>
    <s v="Invoice Payment by Pili"/>
    <m/>
    <e v="#N/A"/>
    <e v="#N/A"/>
    <n v="67960"/>
    <m/>
    <m/>
    <s v="Q2"/>
    <e v="#REF!"/>
    <e v="#REF!"/>
    <e v="#REF!"/>
  </r>
  <r>
    <s v="401000"/>
    <x v="6"/>
    <s v="FOURNISSEURS"/>
    <s v="BPRI"/>
    <n v="457.2"/>
    <d v="2025-07-31T00:00:00"/>
    <s v="COMMANDE PRODUIT KEENB"/>
    <m/>
    <e v="#N/A"/>
    <e v="#N/A"/>
    <n v="79314"/>
    <m/>
    <m/>
    <s v="Q3"/>
    <e v="#REF!"/>
    <e v="#REF!"/>
    <e v="#REF!"/>
  </r>
  <r>
    <s v="401000"/>
    <x v="6"/>
    <s v="FOURNISSEURS"/>
    <s v="BPRI"/>
    <n v="458.77"/>
    <d v="2025-05-07T00:00:00"/>
    <s v="ACOMPTE COTISATION SYNDICALE"/>
    <m/>
    <e v="#N/A"/>
    <e v="#N/A"/>
    <n v="71774"/>
    <m/>
    <m/>
    <s v="Q2"/>
    <e v="#REF!"/>
    <e v="#REF!"/>
    <e v="#REF!"/>
  </r>
  <r>
    <s v="401000"/>
    <x v="6"/>
    <s v="FOURNISSEURS"/>
    <s v="BPRI"/>
    <n v="468"/>
    <d v="2025-04-25T00:00:00"/>
    <s v="Invoice Payment by Pili"/>
    <m/>
    <e v="#N/A"/>
    <e v="#N/A"/>
    <n v="70150"/>
    <m/>
    <m/>
    <s v="Q2"/>
    <e v="#REF!"/>
    <e v="#REF!"/>
    <e v="#REF!"/>
  </r>
  <r>
    <s v="401000"/>
    <x v="6"/>
    <s v="FOURNISSEURS"/>
    <s v="BPRI"/>
    <n v="468"/>
    <d v="2025-06-02T00:00:00"/>
    <s v="Invoice Payment By Pili"/>
    <m/>
    <e v="#N/A"/>
    <e v="#N/A"/>
    <n v="75251"/>
    <m/>
    <m/>
    <s v="Q2"/>
    <e v="#REF!"/>
    <e v="#REF!"/>
    <e v="#REF!"/>
  </r>
  <r>
    <s v="401000"/>
    <x v="6"/>
    <s v="FOURNISSEURS"/>
    <s v="BPRI"/>
    <n v="468"/>
    <d v="2025-08-08T00:00:00"/>
    <s v="LOCATION ALGECO ROUSSILLON (PÉRIODE TRAVAUX)"/>
    <m/>
    <e v="#N/A"/>
    <e v="#N/A"/>
    <n v="80748"/>
    <m/>
    <m/>
    <s v="Q3"/>
    <e v="#REF!"/>
    <e v="#REF!"/>
    <e v="#REF!"/>
  </r>
  <r>
    <s v="401000"/>
    <x v="6"/>
    <s v="FOURNISSEURS"/>
    <s v="BPRI"/>
    <n v="468"/>
    <d v="2025-08-22T00:00:00"/>
    <s v="LOCATION ALGECO ROUSSILLON (PÉRIODE TRAVAUX)"/>
    <m/>
    <e v="#N/A"/>
    <e v="#N/A"/>
    <n v="81605"/>
    <m/>
    <m/>
    <s v="Q3"/>
    <e v="#REF!"/>
    <e v="#REF!"/>
    <e v="#REF!"/>
  </r>
  <r>
    <s v="401000"/>
    <x v="6"/>
    <s v="FOURNISSEURS"/>
    <s v="BPRI"/>
    <n v="468"/>
    <d v="2025-09-26T00:00:00"/>
    <s v="INVOICE PAYMENT BY PILI"/>
    <m/>
    <e v="#N/A"/>
    <e v="#N/A"/>
    <n v="82497"/>
    <m/>
    <m/>
    <s v="Q3"/>
    <e v="#REF!"/>
    <e v="#REF!"/>
    <e v="#REF!"/>
  </r>
  <r>
    <s v="401000"/>
    <x v="6"/>
    <s v="FOURNISSEURS"/>
    <s v="BPRI"/>
    <n v="468"/>
    <d v="2025-10-31T00:00:00"/>
    <s v="F2509/0833"/>
    <m/>
    <e v="#N/A"/>
    <e v="#N/A"/>
    <n v="87543"/>
    <m/>
    <m/>
    <s v="Q4"/>
    <e v="#REF!"/>
    <e v="#REF!"/>
    <e v="#REF!"/>
  </r>
  <r>
    <s v="401000"/>
    <x v="6"/>
    <s v="FOURNISSEURS"/>
    <s v="BPRI"/>
    <n v="468"/>
    <d v="2025-12-05T00:00:00"/>
    <s v="F2510/0736"/>
    <m/>
    <e v="#N/A"/>
    <e v="#N/A"/>
    <n v="91358"/>
    <m/>
    <m/>
    <s v="Q4"/>
    <e v="#REF!"/>
    <e v="#REF!"/>
    <e v="#REF!"/>
  </r>
  <r>
    <s v="401000"/>
    <x v="6"/>
    <s v="FOURNISSEURS"/>
    <s v="BPRI"/>
    <n v="468"/>
    <d v="2025-12-30T00:00:00"/>
    <s v="F2511/1367"/>
    <m/>
    <e v="#N/A"/>
    <e v="#N/A"/>
    <n v="93821"/>
    <m/>
    <m/>
    <s v="Q4"/>
    <e v="#REF!"/>
    <e v="#REF!"/>
    <e v="#REF!"/>
  </r>
  <r>
    <s v="401000"/>
    <x v="6"/>
    <s v="FOURNISSEURS"/>
    <s v="BPRI"/>
    <n v="469.32"/>
    <d v="2025-12-10T00:00:00"/>
    <s v="0190028"/>
    <m/>
    <e v="#N/A"/>
    <e v="#N/A"/>
    <n v="92047"/>
    <m/>
    <m/>
    <s v="Q4"/>
    <e v="#REF!"/>
    <e v="#REF!"/>
    <e v="#REF!"/>
  </r>
  <r>
    <s v="401000"/>
    <x v="6"/>
    <s v="FOURNISSEURS"/>
    <s v="BPRI"/>
    <n v="473"/>
    <d v="2025-11-25T00:00:00"/>
    <s v="COMMANDE VIN SOIRÉE 10 ANS PILI"/>
    <m/>
    <e v="#N/A"/>
    <e v="#N/A"/>
    <n v="91136"/>
    <m/>
    <s v="ROLAND GRANGIER"/>
    <s v="Q4"/>
    <e v="#REF!"/>
    <e v="#REF!"/>
    <e v="#REF!"/>
  </r>
  <r>
    <s v="401000"/>
    <x v="6"/>
    <s v="FOURNISSEURS"/>
    <s v="BPRI"/>
    <n v="473.47"/>
    <d v="2025-12-05T00:00:00"/>
    <s v="4067854697"/>
    <m/>
    <e v="#N/A"/>
    <e v="#N/A"/>
    <n v="91374"/>
    <m/>
    <m/>
    <s v="Q4"/>
    <e v="#REF!"/>
    <e v="#REF!"/>
    <e v="#REF!"/>
  </r>
  <r>
    <s v="401000"/>
    <x v="6"/>
    <s v="FOURNISSEURS"/>
    <s v="BPRI"/>
    <n v="475"/>
    <d v="2025-07-02T00:00:00"/>
    <s v="FACTURE 70002119"/>
    <m/>
    <e v="#N/A"/>
    <e v="#N/A"/>
    <n v="76825"/>
    <m/>
    <m/>
    <s v="Q3"/>
    <e v="#REF!"/>
    <e v="#REF!"/>
    <e v="#REF!"/>
  </r>
  <r>
    <s v="401000"/>
    <x v="6"/>
    <s v="FOURNISSEURS"/>
    <s v="BPRI"/>
    <n v="476.52"/>
    <d v="2025-01-02T00:00:00"/>
    <s v="PRLV SEPA BNP PARIBAS LEASE GRO"/>
    <m/>
    <e v="#N/A"/>
    <e v="#N/A"/>
    <n v="20854"/>
    <s v="06WLUT8"/>
    <s v="BNP PARIBAS LEASE GROUP"/>
    <s v="Q1"/>
    <e v="#REF!"/>
    <e v="#REF!"/>
    <e v="#REF!"/>
  </r>
  <r>
    <s v="401000"/>
    <x v="6"/>
    <s v="FOURNISSEURS"/>
    <s v="BPRI"/>
    <n v="476.52"/>
    <d v="2025-04-01T00:00:00"/>
    <s v="Prélèvement BNP Lease"/>
    <m/>
    <e v="#N/A"/>
    <e v="#N/A"/>
    <n v="66450"/>
    <m/>
    <s v="BNP PARIBAS LEASE GROUP"/>
    <s v="Q2"/>
    <e v="#REF!"/>
    <e v="#REF!"/>
    <e v="#REF!"/>
  </r>
  <r>
    <s v="401000"/>
    <x v="6"/>
    <s v="FOURNISSEURS"/>
    <s v="BPRI"/>
    <n v="476.52"/>
    <d v="2025-07-01T00:00:00"/>
    <s v="PRLV SEPA BNP PARIBAS LEASE GROUP"/>
    <m/>
    <e v="#N/A"/>
    <e v="#N/A"/>
    <n v="77071"/>
    <m/>
    <s v="BNP PARIBAS LEASE GROUP"/>
    <s v="Q3"/>
    <e v="#REF!"/>
    <e v="#REF!"/>
    <e v="#REF!"/>
  </r>
  <r>
    <s v="409100"/>
    <x v="6"/>
    <s v="FOURNISSEURS - AVANCES ET ACOMPTES CMDES"/>
    <s v="BPRI"/>
    <n v="-684"/>
    <d v="2025-10-15T00:00:00"/>
    <s v="/LIB/EVI DOMAINE DE CHRISTIN SAS/LIB/ERSE SAS PILI BI/LIB/DOMAINE DE CHRISTIN SAS/LIB/REMBT DOMAINE DE CHRISTIN TROP V/LIB/ERSE "/>
    <m/>
    <e v="#N/A"/>
    <e v="#N/A"/>
    <n v="86934"/>
    <m/>
    <s v="DOMAINE DE CHRISTIN SAS"/>
    <s v="Q4"/>
    <e v="#REF!"/>
    <e v="#REF!"/>
    <e v="#REF!"/>
  </r>
  <r>
    <s v="401000"/>
    <x v="6"/>
    <s v="FOURNISSEURS"/>
    <s v="BPRI"/>
    <n v="480"/>
    <d v="2025-06-11T00:00:00"/>
    <s v="ARRÊTÉ ANNUEL DES COMPTES 2024 : SOLDE"/>
    <s v="Non"/>
    <s v="Non"/>
    <e v="#N/A"/>
    <n v="75945"/>
    <m/>
    <s v="F2P AUDIT &amp; CONSEIL"/>
    <s v="Q2"/>
    <e v="#REF!"/>
    <e v="#REF!"/>
    <e v="#REF!"/>
  </r>
  <r>
    <s v="401000"/>
    <x v="6"/>
    <s v="FOURNISSEURS"/>
    <s v="BPRI"/>
    <n v="482.04"/>
    <d v="2025-08-22T00:00:00"/>
    <s v="PRESTATION : SPS"/>
    <m/>
    <e v="#N/A"/>
    <e v="#N/A"/>
    <n v="81536"/>
    <m/>
    <s v="EXELL SECURITE"/>
    <s v="Q3"/>
    <e v="#REF!"/>
    <e v="#REF!"/>
    <e v="#REF!"/>
  </r>
  <r>
    <s v="401000"/>
    <x v="6"/>
    <s v="FOURNISSEURS"/>
    <s v="BPRI"/>
    <n v="490.01"/>
    <d v="2025-04-25T00:00:00"/>
    <s v="Invoice Payment by Pili"/>
    <m/>
    <e v="#N/A"/>
    <e v="#N/A"/>
    <n v="70135"/>
    <m/>
    <m/>
    <s v="Q2"/>
    <e v="#REF!"/>
    <e v="#REF!"/>
    <e v="#REF!"/>
  </r>
  <r>
    <s v="401000"/>
    <x v="6"/>
    <s v="FOURNISSEURS"/>
    <s v="BPRI"/>
    <n v="493"/>
    <d v="2025-09-26T00:00:00"/>
    <s v="INVOICE PAYMENT BY PILI"/>
    <m/>
    <e v="#N/A"/>
    <e v="#N/A"/>
    <n v="82523"/>
    <m/>
    <m/>
    <s v="Q3"/>
    <e v="#REF!"/>
    <e v="#REF!"/>
    <e v="#REF!"/>
  </r>
  <r>
    <s v="401000"/>
    <x v="6"/>
    <s v="FOURNISSEURS"/>
    <s v="BPRI"/>
    <n v="498"/>
    <d v="2025-01-30T00:00:00"/>
    <s v="EVI REMISE"/>
    <m/>
    <e v="#N/A"/>
    <e v="#N/A"/>
    <n v="21127"/>
    <s v="0GLGCRP"/>
    <s v="FMGE"/>
    <s v="Q1"/>
    <e v="#REF!"/>
    <e v="#REF!"/>
    <e v="#REF!"/>
  </r>
  <r>
    <s v="401000"/>
    <x v="6"/>
    <s v="FOURNISSEURS"/>
    <s v="BPRI"/>
    <n v="500"/>
    <d v="2025-06-30T00:00:00"/>
    <s v="TESTING OF MATERIAL BY MARINER"/>
    <m/>
    <e v="#N/A"/>
    <e v="#N/A"/>
    <n v="76844"/>
    <m/>
    <m/>
    <s v="Q2"/>
    <e v="#REF!"/>
    <e v="#REF!"/>
    <e v="#REF!"/>
  </r>
  <r>
    <s v="401000"/>
    <x v="6"/>
    <s v="FOURNISSEURS"/>
    <s v="BPRI"/>
    <n v="500"/>
    <d v="2025-07-23T00:00:00"/>
    <s v="TESTING OF MATERIAL BY MARINER"/>
    <s v="Non"/>
    <e v="#N/A"/>
    <e v="#N/A"/>
    <n v="78343"/>
    <m/>
    <s v="BIOTIKA"/>
    <s v="Q3"/>
    <e v="#REF!"/>
    <e v="#REF!"/>
    <e v="#REF!"/>
  </r>
  <r>
    <s v="401000"/>
    <x v="6"/>
    <s v="FOURNISSEURS"/>
    <s v="BPRI"/>
    <n v="500"/>
    <d v="2025-09-22T00:00:00"/>
    <s v="RENOUVELLEMENT ADHÉSION À FRANCE DEEPTECH"/>
    <m/>
    <e v="#N/A"/>
    <e v="#N/A"/>
    <n v="82409"/>
    <m/>
    <m/>
    <s v="Q3"/>
    <e v="#REF!"/>
    <e v="#REF!"/>
    <e v="#REF!"/>
  </r>
  <r>
    <s v="512100"/>
    <x v="6"/>
    <s v="BANQUE POPULAIRE RIVE DE PARIS"/>
    <s v="BPRI"/>
    <n v="684"/>
    <d v="2025-10-15T00:00:00"/>
    <s v="/LIB/EVI DOMAINE DE CHRISTIN SAS/LIB/ERSE SAS PILI BI/LIB/DOMAINE DE CHRISTIN SAS/LIB/REMBT DOMAINE DE CHRISTIN TROP V/LIB/ERSE "/>
    <m/>
    <e v="#N/A"/>
    <e v="#N/A"/>
    <n v="86933"/>
    <m/>
    <s v="DOMAINE DE CHRISTIN SAS"/>
    <s v="Q4"/>
    <e v="#REF!"/>
    <e v="#REF!"/>
    <e v="#REF!"/>
  </r>
  <r>
    <s v="401000"/>
    <x v="6"/>
    <s v="FOURNISSEURS"/>
    <s v="BPRI"/>
    <n v="504"/>
    <d v="2025-12-11T00:00:00"/>
    <s v="25-212"/>
    <m/>
    <e v="#N/A"/>
    <e v="#N/A"/>
    <n v="92082"/>
    <m/>
    <m/>
    <s v="Q4"/>
    <e v="#REF!"/>
    <e v="#REF!"/>
    <e v="#REF!"/>
  </r>
  <r>
    <s v="401000"/>
    <x v="6"/>
    <s v="FOURNISSEURS"/>
    <s v="BPRI"/>
    <n v="506.99"/>
    <d v="2025-05-23T00:00:00"/>
    <s v="Paiement fournisseur CB"/>
    <m/>
    <e v="#N/A"/>
    <e v="#N/A"/>
    <n v="74083"/>
    <m/>
    <s v="BACKMARKET"/>
    <s v="Q2"/>
    <e v="#REF!"/>
    <e v="#REF!"/>
    <e v="#REF!"/>
  </r>
  <r>
    <s v="401000"/>
    <x v="6"/>
    <s v="FOURNISSEURS"/>
    <s v="BPRI"/>
    <n v="-797.01"/>
    <d v="2025-11-21T00:00:00"/>
    <s v="/LIB/EVI MAXIBURO/LIB/MAXIBURO"/>
    <m/>
    <e v="#N/A"/>
    <e v="#N/A"/>
    <n v="90587"/>
    <m/>
    <s v="MAXIBURO"/>
    <s v="Q4"/>
    <e v="#REF!"/>
    <e v="#REF!"/>
    <e v="#REF!"/>
  </r>
  <r>
    <s v="512100"/>
    <x v="6"/>
    <s v="BANQUE POPULAIRE RIVE DE PARIS"/>
    <s v="BPRI"/>
    <n v="797.01"/>
    <d v="2025-11-21T00:00:00"/>
    <s v="/LIB/EVI MAXIBURO/LIB/MAXIBURO"/>
    <m/>
    <e v="#N/A"/>
    <e v="#N/A"/>
    <n v="90586"/>
    <m/>
    <s v="MAXIBURO"/>
    <s v="Q4"/>
    <e v="#REF!"/>
    <e v="#REF!"/>
    <e v="#REF!"/>
  </r>
  <r>
    <s v="401000"/>
    <x v="6"/>
    <s v="FOURNISSEURS"/>
    <s v="BPRI"/>
    <n v="512.04"/>
    <d v="2025-12-30T00:00:00"/>
    <s v="145295"/>
    <m/>
    <e v="#N/A"/>
    <e v="#N/A"/>
    <n v="93759"/>
    <m/>
    <m/>
    <s v="Q4"/>
    <e v="#REF!"/>
    <e v="#REF!"/>
    <e v="#REF!"/>
  </r>
  <r>
    <s v="411000"/>
    <x v="6"/>
    <s v="CLIENTS"/>
    <s v="BPRI"/>
    <n v="-504"/>
    <d v="2025-08-01T00:00:00"/>
    <s v="/LIB/EVI OPCO 2I/LIB/OPCO 2I/LIB/VIR550-OCCI-1000596-PILI"/>
    <m/>
    <e v="#N/A"/>
    <e v="#N/A"/>
    <n v="80671"/>
    <m/>
    <s v="OPCO"/>
    <s v="Q3"/>
    <e v="#REF!"/>
    <e v="#REF!"/>
    <e v="#REF!"/>
  </r>
  <r>
    <s v="401000"/>
    <x v="6"/>
    <s v="FOURNISSEURS"/>
    <s v="BPRI"/>
    <n v="515.69000000000005"/>
    <d v="2025-03-28T00:00:00"/>
    <s v="Invoice Payment by Pili"/>
    <m/>
    <e v="#N/A"/>
    <e v="#N/A"/>
    <n v="64991"/>
    <m/>
    <m/>
    <s v="Q1"/>
    <e v="#REF!"/>
    <e v="#REF!"/>
    <e v="#REF!"/>
  </r>
  <r>
    <s v="401000"/>
    <x v="6"/>
    <s v="FOURNISSEURS"/>
    <s v="BPRI"/>
    <n v="516"/>
    <d v="2025-05-23T00:00:00"/>
    <s v="Invoice payment by Pili"/>
    <m/>
    <e v="#N/A"/>
    <e v="#N/A"/>
    <n v="74050"/>
    <m/>
    <m/>
    <s v="Q2"/>
    <e v="#REF!"/>
    <e v="#REF!"/>
    <e v="#REF!"/>
  </r>
  <r>
    <s v="512100"/>
    <x v="6"/>
    <s v="BANQUE POPULAIRE RIVE DE PARIS"/>
    <s v="BPRI"/>
    <n v="504"/>
    <d v="2025-08-01T00:00:00"/>
    <s v="/LIB/EVI OPCO 2I/LIB/OPCO 2I/LIB/VIR550-OCCI-1000596-PILI"/>
    <m/>
    <e v="#N/A"/>
    <e v="#N/A"/>
    <n v="80670"/>
    <m/>
    <s v="OPCO"/>
    <s v="Q3"/>
    <e v="#REF!"/>
    <e v="#REF!"/>
    <e v="#REF!"/>
  </r>
  <r>
    <s v="401000"/>
    <x v="6"/>
    <s v="FOURNISSEURS"/>
    <s v="BPRI"/>
    <n v="-244.72"/>
    <d v="2025-08-18T00:00:00"/>
    <s v="/LIB/EVI ORANGE/LIB/ORANGE/LIB/416519"/>
    <m/>
    <e v="#N/A"/>
    <e v="#N/A"/>
    <n v="81188"/>
    <m/>
    <s v="ORANGE"/>
    <s v="Q3"/>
    <e v="#REF!"/>
    <e v="#REF!"/>
    <e v="#REF!"/>
  </r>
  <r>
    <s v="401000"/>
    <x v="6"/>
    <s v="FOURNISSEURS"/>
    <s v="BPRI"/>
    <n v="523.20000000000005"/>
    <d v="2025-09-12T00:00:00"/>
    <s v="HYDROXYLAMINE SULFATE POUR KEENY STEP 2"/>
    <m/>
    <e v="#N/A"/>
    <e v="#N/A"/>
    <n v="82019"/>
    <m/>
    <m/>
    <s v="Q3"/>
    <e v="#REF!"/>
    <e v="#REF!"/>
    <e v="#REF!"/>
  </r>
  <r>
    <s v="401000"/>
    <x v="6"/>
    <s v="FOURNISSEURS"/>
    <s v="BPRI"/>
    <n v="525"/>
    <d v="2025-01-03T00:00:00"/>
    <s v="EVI REMISE"/>
    <s v="Non"/>
    <e v="#N/A"/>
    <e v="#N/A"/>
    <n v="20882"/>
    <s v="0GL8TMK"/>
    <s v="DOTMATICS LIMITED"/>
    <s v="Q1"/>
    <e v="#REF!"/>
    <e v="#REF!"/>
    <e v="#REF!"/>
  </r>
  <r>
    <s v="401000"/>
    <x v="6"/>
    <s v="FOURNISSEURS"/>
    <s v="BPRI"/>
    <n v="525"/>
    <d v="2025-10-31T00:00:00"/>
    <s v="ETUDE RAPPORT DE RECHERCHE OEB"/>
    <m/>
    <e v="#N/A"/>
    <e v="#N/A"/>
    <n v="87501"/>
    <m/>
    <m/>
    <s v="Q4"/>
    <e v="#REF!"/>
    <e v="#REF!"/>
    <e v="#REF!"/>
  </r>
  <r>
    <s v="512100"/>
    <x v="6"/>
    <s v="BANQUE POPULAIRE RIVE DE PARIS"/>
    <s v="BPRI"/>
    <n v="244.72"/>
    <d v="2025-08-18T00:00:00"/>
    <s v="/LIB/EVI ORANGE/LIB/ORANGE/LIB/416519"/>
    <m/>
    <e v="#N/A"/>
    <e v="#N/A"/>
    <n v="81187"/>
    <m/>
    <s v="ORANGE"/>
    <s v="Q3"/>
    <e v="#REF!"/>
    <e v="#REF!"/>
    <e v="#REF!"/>
  </r>
  <r>
    <s v="401000"/>
    <x v="6"/>
    <s v="FOURNISSEURS"/>
    <s v="BPRI"/>
    <n v="529.20000000000005"/>
    <d v="2025-08-08T00:00:00"/>
    <s v="COMMANDE PRODUIT LABO"/>
    <m/>
    <e v="#N/A"/>
    <e v="#N/A"/>
    <n v="80763"/>
    <m/>
    <m/>
    <s v="Q3"/>
    <e v="#REF!"/>
    <e v="#REF!"/>
    <e v="#REF!"/>
  </r>
  <r>
    <s v="401000"/>
    <x v="6"/>
    <s v="FOURNISSEURS"/>
    <s v="BPRI"/>
    <n v="530.46"/>
    <d v="2025-05-26T00:00:00"/>
    <s v="Règlement fournisseur"/>
    <m/>
    <e v="#N/A"/>
    <e v="#N/A"/>
    <n v="74095"/>
    <m/>
    <s v="ORANGE"/>
    <s v="Q2"/>
    <e v="#REF!"/>
    <e v="#REF!"/>
    <e v="#REF!"/>
  </r>
  <r>
    <s v="401000"/>
    <x v="6"/>
    <s v="FOURNISSEURS"/>
    <s v="BPRI"/>
    <n v="534"/>
    <d v="2025-12-10T00:00:00"/>
    <s v="FL260970"/>
    <m/>
    <e v="#N/A"/>
    <e v="#N/A"/>
    <n v="92026"/>
    <m/>
    <m/>
    <s v="Q4"/>
    <e v="#REF!"/>
    <e v="#REF!"/>
    <e v="#REF!"/>
  </r>
  <r>
    <s v="401000"/>
    <x v="6"/>
    <s v="FOURNISSEURS"/>
    <s v="BPRI"/>
    <n v="535.20000000000005"/>
    <d v="2025-08-21T00:00:00"/>
    <s v="PRESTATION COACHING DE LUCIE CREPIN MANAGER SOCIÉTÉ PILI"/>
    <m/>
    <e v="#N/A"/>
    <e v="#N/A"/>
    <n v="81483"/>
    <m/>
    <m/>
    <s v="Q3"/>
    <e v="#REF!"/>
    <e v="#REF!"/>
    <e v="#REF!"/>
  </r>
  <r>
    <s v="401000"/>
    <x v="6"/>
    <s v="FOURNISSEURS"/>
    <s v="BPRI"/>
    <n v="535.20000000000005"/>
    <d v="2025-09-26T00:00:00"/>
    <s v="INVOICE PAYMENT BY PILI"/>
    <m/>
    <e v="#N/A"/>
    <e v="#N/A"/>
    <n v="82486"/>
    <m/>
    <m/>
    <s v="Q3"/>
    <e v="#REF!"/>
    <e v="#REF!"/>
    <e v="#REF!"/>
  </r>
  <r>
    <s v="401000"/>
    <x v="6"/>
    <s v="FOURNISSEURS"/>
    <s v="BPRI"/>
    <n v="540"/>
    <d v="2025-08-21T00:00:00"/>
    <s v="FACTURE CONFÉRENCE PYB AFTPVA"/>
    <m/>
    <e v="#N/A"/>
    <e v="#N/A"/>
    <n v="81473"/>
    <m/>
    <m/>
    <s v="Q3"/>
    <e v="#REF!"/>
    <e v="#REF!"/>
    <e v="#REF!"/>
  </r>
  <r>
    <s v="401000"/>
    <x v="6"/>
    <s v="FOURNISSEURS"/>
    <s v="BPRI"/>
    <n v="540"/>
    <d v="2025-12-05T00:00:00"/>
    <s v="F-2025-12455"/>
    <m/>
    <e v="#N/A"/>
    <e v="#N/A"/>
    <n v="91352"/>
    <m/>
    <m/>
    <s v="Q4"/>
    <e v="#REF!"/>
    <e v="#REF!"/>
    <e v="#REF!"/>
  </r>
  <r>
    <s v="401000"/>
    <x v="6"/>
    <s v="FOURNISSEURS"/>
    <s v="BPRI"/>
    <n v="563.17999999999995"/>
    <d v="2025-05-07T00:00:00"/>
    <s v="COMMANDE PRODUIT ET CONSOMMABLE LABO"/>
    <m/>
    <e v="#N/A"/>
    <e v="#N/A"/>
    <n v="71824"/>
    <m/>
    <m/>
    <s v="Q2"/>
    <e v="#REF!"/>
    <e v="#REF!"/>
    <e v="#REF!"/>
  </r>
  <r>
    <s v="401000"/>
    <x v="6"/>
    <s v="FOURNISSEURS"/>
    <s v="BPRI"/>
    <n v="564"/>
    <d v="2025-08-22T00:00:00"/>
    <s v="ENTRETIEN MÉNAGER"/>
    <m/>
    <e v="#N/A"/>
    <e v="#N/A"/>
    <n v="81564"/>
    <m/>
    <s v="ABEL CHRIST SOMPLEI"/>
    <s v="Q3"/>
    <e v="#REF!"/>
    <e v="#REF!"/>
    <e v="#REF!"/>
  </r>
  <r>
    <s v="401000"/>
    <x v="6"/>
    <s v="FOURNISSEURS"/>
    <s v="BPRI"/>
    <n v="568.69000000000005"/>
    <d v="2025-12-22T00:00:00"/>
    <s v="SOLDE CLIENT PILI 19740"/>
    <m/>
    <e v="#N/A"/>
    <e v="#N/A"/>
    <n v="93022"/>
    <m/>
    <s v="ROTH SOCHIEL"/>
    <s v="Q4"/>
    <e v="#REF!"/>
    <e v="#REF!"/>
    <e v="#REF!"/>
  </r>
  <r>
    <s v="401000"/>
    <x v="6"/>
    <s v="FOURNISSEURS"/>
    <s v="BPRI"/>
    <n v="569.46"/>
    <d v="2025-04-30T00:00:00"/>
    <s v="Prélèvement fournisseur"/>
    <m/>
    <e v="#N/A"/>
    <e v="#N/A"/>
    <n v="71885"/>
    <m/>
    <s v="AIR LIQUIDE"/>
    <s v="Q2"/>
    <e v="#REF!"/>
    <e v="#REF!"/>
    <e v="#REF!"/>
  </r>
  <r>
    <s v="401000"/>
    <x v="6"/>
    <s v="FOURNISSEURS"/>
    <s v="BPRI"/>
    <n v="570"/>
    <d v="2025-04-08T00:00:00"/>
    <s v="Invoice Payment By Pili"/>
    <m/>
    <e v="#N/A"/>
    <e v="#N/A"/>
    <n v="66691"/>
    <m/>
    <m/>
    <s v="Q2"/>
    <e v="#REF!"/>
    <e v="#REF!"/>
    <e v="#REF!"/>
  </r>
  <r>
    <s v="401000"/>
    <x v="6"/>
    <s v="FOURNISSEURS"/>
    <s v="BPRI"/>
    <n v="570"/>
    <d v="2025-12-30T00:00:00"/>
    <s v="255303"/>
    <m/>
    <e v="#N/A"/>
    <e v="#N/A"/>
    <n v="93751"/>
    <m/>
    <m/>
    <s v="Q4"/>
    <e v="#REF!"/>
    <e v="#REF!"/>
    <e v="#REF!"/>
  </r>
  <r>
    <s v="401000"/>
    <x v="6"/>
    <s v="FOURNISSEURS"/>
    <s v="BPRI"/>
    <n v="576"/>
    <d v="2025-01-30T00:00:00"/>
    <s v="EVI REMISE"/>
    <m/>
    <e v="#N/A"/>
    <e v="#N/A"/>
    <n v="21143"/>
    <s v="0GLGCRY"/>
    <s v="BIOKAL"/>
    <s v="Q1"/>
    <e v="#REF!"/>
    <e v="#REF!"/>
    <e v="#REF!"/>
  </r>
  <r>
    <s v="421000"/>
    <x v="6"/>
    <s v="PERSONNEL - RÉMUNÉRATIONS DUES"/>
    <s v="BPRI"/>
    <n v="127904.29"/>
    <d v="2025-10-23T00:00:00"/>
    <s v="/LIB/EVI REMISE/LIB/PILI-10202504574/LIB/REMISE/LIB/PILI-102025045746/LIB/ABSI252940000623751"/>
    <m/>
    <e v="#N/A"/>
    <e v="#N/A"/>
    <n v="87363"/>
    <m/>
    <m/>
    <s v="Q4"/>
    <e v="#REF!"/>
    <e v="#REF!"/>
    <e v="#REF!"/>
  </r>
  <r>
    <s v="401000"/>
    <x v="6"/>
    <s v="FOURNISSEURS"/>
    <s v="BPRI"/>
    <n v="585.01"/>
    <d v="2025-08-18T00:00:00"/>
    <s v="HOTLINE"/>
    <m/>
    <e v="#N/A"/>
    <e v="#N/A"/>
    <n v="81135"/>
    <m/>
    <m/>
    <s v="Q3"/>
    <e v="#REF!"/>
    <e v="#REF!"/>
    <e v="#REF!"/>
  </r>
  <r>
    <s v="512100"/>
    <x v="6"/>
    <s v="BANQUE POPULAIRE RIVE DE PARIS"/>
    <s v="BPRI"/>
    <n v="-127904.29"/>
    <d v="2025-10-23T00:00:00"/>
    <s v="/LIB/EVI REMISE/LIB/PILI-10202504574/LIB/REMISE/LIB/PILI-102025045746/LIB/ABSI252940000623751"/>
    <m/>
    <e v="#N/A"/>
    <e v="#N/A"/>
    <n v="87342"/>
    <m/>
    <m/>
    <s v="Q4"/>
    <e v="#REF!"/>
    <e v="#REF!"/>
    <e v="#REF!"/>
  </r>
  <r>
    <s v="401000"/>
    <x v="6"/>
    <s v="FOURNISSEURS"/>
    <s v="BPRI"/>
    <n v="594"/>
    <d v="2025-04-08T00:00:00"/>
    <s v="Invoice Payment By Pili"/>
    <m/>
    <e v="#N/A"/>
    <e v="#N/A"/>
    <n v="66700"/>
    <m/>
    <m/>
    <s v="Q2"/>
    <e v="#REF!"/>
    <e v="#REF!"/>
    <e v="#REF!"/>
  </r>
  <r>
    <s v="401000"/>
    <x v="6"/>
    <s v="FOURNISSEURS"/>
    <s v="BPRI"/>
    <n v="594"/>
    <d v="2025-04-08T00:00:00"/>
    <s v="Invoice Payment by Pili"/>
    <m/>
    <e v="#N/A"/>
    <e v="#N/A"/>
    <n v="66689"/>
    <m/>
    <m/>
    <s v="Q2"/>
    <e v="#REF!"/>
    <e v="#REF!"/>
    <e v="#REF!"/>
  </r>
  <r>
    <s v="401000"/>
    <x v="6"/>
    <s v="FOURNISSEURS"/>
    <s v="BPRI"/>
    <n v="600"/>
    <d v="2025-08-08T00:00:00"/>
    <s v="HONORAIRE FORFAITAIRE ATTENDANCE TO THE BOARD 13/05/2025"/>
    <m/>
    <e v="#N/A"/>
    <e v="#N/A"/>
    <n v="80779"/>
    <m/>
    <m/>
    <s v="Q3"/>
    <e v="#REF!"/>
    <e v="#REF!"/>
    <e v="#REF!"/>
  </r>
  <r>
    <s v="401000"/>
    <x v="6"/>
    <s v="FOURNISSEURS"/>
    <s v="BPRI"/>
    <n v="600"/>
    <d v="2025-08-18T00:00:00"/>
    <s v="ADHÉSION SFC"/>
    <m/>
    <e v="#N/A"/>
    <e v="#N/A"/>
    <n v="81150"/>
    <m/>
    <m/>
    <s v="Q3"/>
    <e v="#REF!"/>
    <e v="#REF!"/>
    <e v="#REF!"/>
  </r>
  <r>
    <s v="401000"/>
    <x v="6"/>
    <s v="FOURNISSEURS"/>
    <s v="BPRI"/>
    <n v="600"/>
    <d v="2025-08-21T00:00:00"/>
    <s v="HONORAIRE FORFAITAIRE ATTENDANCE TO THE BOARD 10/06/2025"/>
    <m/>
    <e v="#N/A"/>
    <e v="#N/A"/>
    <n v="81369"/>
    <m/>
    <m/>
    <s v="Q3"/>
    <e v="#REF!"/>
    <e v="#REF!"/>
    <e v="#REF!"/>
  </r>
  <r>
    <s v="401000"/>
    <x v="6"/>
    <s v="FOURNISSEURS"/>
    <s v="BPRI"/>
    <n v="607.51"/>
    <d v="2025-03-18T00:00:00"/>
    <s v="Règlement Facture 4067631288"/>
    <m/>
    <e v="#N/A"/>
    <e v="#N/A"/>
    <n v="61860"/>
    <m/>
    <m/>
    <s v="Q1"/>
    <e v="#REF!"/>
    <e v="#REF!"/>
    <e v="#REF!"/>
  </r>
  <r>
    <s v="401000"/>
    <x v="6"/>
    <s v="FOURNISSEURS"/>
    <s v="BPRI"/>
    <n v="609.24"/>
    <d v="2025-09-22T00:00:00"/>
    <s v="CONTRÔLE ANNUEL ÉLECTRIQUE + VGP GERBEUR ÉLECTRIQUE"/>
    <m/>
    <e v="#N/A"/>
    <e v="#N/A"/>
    <n v="82410"/>
    <m/>
    <m/>
    <s v="Q3"/>
    <e v="#REF!"/>
    <e v="#REF!"/>
    <e v="#REF!"/>
  </r>
  <r>
    <s v="401000"/>
    <x v="6"/>
    <s v="FOURNISSEURS"/>
    <s v="BPRI"/>
    <n v="615"/>
    <d v="2025-08-21T00:00:00"/>
    <s v="RAPPORT DE RECHERCHE - BREVET PALOMA CHIMIE"/>
    <m/>
    <e v="#N/A"/>
    <e v="#N/A"/>
    <n v="81399"/>
    <m/>
    <m/>
    <s v="Q3"/>
    <e v="#REF!"/>
    <e v="#REF!"/>
    <e v="#REF!"/>
  </r>
  <r>
    <s v="401000"/>
    <x v="6"/>
    <s v="FOURNISSEURS"/>
    <s v="BPRI"/>
    <n v="623.4"/>
    <d v="2025-04-29T00:00:00"/>
    <s v="Invoice Payment by Pili"/>
    <m/>
    <e v="#N/A"/>
    <e v="#N/A"/>
    <n v="70471"/>
    <m/>
    <m/>
    <s v="Q2"/>
    <e v="#REF!"/>
    <e v="#REF!"/>
    <e v="#REF!"/>
  </r>
  <r>
    <s v="401000"/>
    <x v="6"/>
    <s v="FOURNISSEURS"/>
    <s v="BPRI"/>
    <n v="627"/>
    <d v="2025-01-30T00:00:00"/>
    <s v="EVI REMISE"/>
    <m/>
    <e v="#N/A"/>
    <e v="#N/A"/>
    <n v="21115"/>
    <s v="0GLGCMZ"/>
    <s v="RIPAYON"/>
    <s v="Q1"/>
    <e v="#REF!"/>
    <e v="#REF!"/>
    <e v="#REF!"/>
  </r>
  <r>
    <s v="401000"/>
    <x v="6"/>
    <s v="FOURNISSEURS"/>
    <s v="BPRI"/>
    <n v="631.20000000000005"/>
    <d v="2025-01-31T00:00:00"/>
    <s v="EVI REMISE"/>
    <s v="Non"/>
    <s v="Non"/>
    <e v="#N/A"/>
    <n v="21166"/>
    <s v="0GLGLHM"/>
    <s v="OSIRIS"/>
    <s v="Q1"/>
    <e v="#REF!"/>
    <e v="#REF!"/>
    <e v="#REF!"/>
  </r>
  <r>
    <s v="401000"/>
    <x v="6"/>
    <s v="FOURNISSEURS"/>
    <s v="BPRI"/>
    <n v="637.20000000000005"/>
    <d v="2025-06-04T00:00:00"/>
    <s v="Invoice payment by Pili"/>
    <m/>
    <e v="#N/A"/>
    <e v="#N/A"/>
    <n v="75515"/>
    <m/>
    <m/>
    <s v="Q2"/>
    <e v="#REF!"/>
    <e v="#REF!"/>
    <e v="#REF!"/>
  </r>
  <r>
    <s v="401000"/>
    <x v="6"/>
    <s v="FOURNISSEURS"/>
    <s v="BPRI"/>
    <n v="638"/>
    <d v="2025-04-29T00:00:00"/>
    <s v="Invoice Payment by Pili"/>
    <m/>
    <e v="#N/A"/>
    <e v="#N/A"/>
    <n v="70476"/>
    <m/>
    <m/>
    <s v="Q2"/>
    <e v="#REF!"/>
    <e v="#REF!"/>
    <e v="#REF!"/>
  </r>
  <r>
    <s v="401000"/>
    <x v="6"/>
    <s v="FOURNISSEURS"/>
    <s v="BPRI"/>
    <n v="644.52"/>
    <d v="2025-04-18T00:00:00"/>
    <s v="Invoice Payment by Pili"/>
    <m/>
    <e v="#N/A"/>
    <e v="#N/A"/>
    <n v="68171"/>
    <m/>
    <m/>
    <s v="Q2"/>
    <e v="#REF!"/>
    <e v="#REF!"/>
    <e v="#REF!"/>
  </r>
  <r>
    <s v="401000"/>
    <x v="6"/>
    <s v="FOURNISSEURS"/>
    <s v="BPRI"/>
    <n v="649"/>
    <d v="2025-04-29T00:00:00"/>
    <s v="Invoice Payment by Pili"/>
    <m/>
    <e v="#N/A"/>
    <e v="#N/A"/>
    <n v="70463"/>
    <m/>
    <m/>
    <s v="Q2"/>
    <e v="#REF!"/>
    <e v="#REF!"/>
    <e v="#REF!"/>
  </r>
  <r>
    <s v="401000"/>
    <x v="6"/>
    <s v="FOURNISSEURS"/>
    <s v="BPRI"/>
    <n v="651.6"/>
    <d v="2025-03-18T00:00:00"/>
    <s v="Règlement Facture FA005083"/>
    <m/>
    <e v="#N/A"/>
    <e v="#N/A"/>
    <n v="61857"/>
    <m/>
    <m/>
    <s v="Q1"/>
    <e v="#REF!"/>
    <e v="#REF!"/>
    <e v="#REF!"/>
  </r>
  <r>
    <s v="401000"/>
    <x v="6"/>
    <s v="FOURNISSEURS"/>
    <s v="BPRI"/>
    <n v="652.63"/>
    <d v="2025-10-06T00:00:00"/>
    <s v="PRODUITS KEENB"/>
    <m/>
    <e v="#N/A"/>
    <e v="#N/A"/>
    <n v="82908"/>
    <m/>
    <m/>
    <s v="Q4"/>
    <e v="#REF!"/>
    <e v="#REF!"/>
    <e v="#REF!"/>
  </r>
  <r>
    <s v="401000"/>
    <x v="6"/>
    <s v="FOURNISSEURS"/>
    <s v="BPRI"/>
    <n v="656.5"/>
    <d v="2025-07-02T00:00:00"/>
    <s v="PROFORMA 200005204 / 18.07.2025"/>
    <m/>
    <e v="#N/A"/>
    <e v="#N/A"/>
    <n v="76830"/>
    <m/>
    <m/>
    <s v="Q3"/>
    <e v="#REF!"/>
    <e v="#REF!"/>
    <e v="#REF!"/>
  </r>
  <r>
    <s v="401000"/>
    <x v="6"/>
    <s v="FOURNISSEURS"/>
    <s v="BPRI"/>
    <n v="658"/>
    <d v="2025-01-07T00:00:00"/>
    <s v="EVI REMISE"/>
    <m/>
    <e v="#N/A"/>
    <e v="#N/A"/>
    <n v="20916"/>
    <s v="0GL9V3K"/>
    <s v="ABEL CHRIST SOMPLEI"/>
    <s v="Q1"/>
    <e v="#REF!"/>
    <e v="#REF!"/>
    <e v="#REF!"/>
  </r>
  <r>
    <s v="401000"/>
    <x v="6"/>
    <s v="FOURNISSEURS"/>
    <s v="BPRI"/>
    <n v="660"/>
    <d v="2025-08-18T00:00:00"/>
    <s v="F2506/0476"/>
    <m/>
    <e v="#N/A"/>
    <e v="#N/A"/>
    <n v="81145"/>
    <m/>
    <m/>
    <s v="Q3"/>
    <e v="#REF!"/>
    <e v="#REF!"/>
    <e v="#REF!"/>
  </r>
  <r>
    <s v="401000"/>
    <x v="6"/>
    <s v="FOURNISSEURS"/>
    <s v="BPRI"/>
    <n v="661.69"/>
    <d v="2025-09-22T00:00:00"/>
    <s v="FILTRE DE PROTECTION POUR LA GC-MS (ARRIVÉ D'HÉLIUM + SORTIE DE LA POMPE)"/>
    <m/>
    <e v="#N/A"/>
    <e v="#N/A"/>
    <n v="82399"/>
    <m/>
    <m/>
    <s v="Q3"/>
    <e v="#REF!"/>
    <e v="#REF!"/>
    <e v="#REF!"/>
  </r>
  <r>
    <s v="401000"/>
    <x v="6"/>
    <s v="FOURNISSEURS"/>
    <s v="BPRI"/>
    <n v="664.8"/>
    <d v="2025-04-18T00:00:00"/>
    <s v="Invoice Payment by Pili"/>
    <m/>
    <e v="#N/A"/>
    <e v="#N/A"/>
    <n v="68176"/>
    <m/>
    <m/>
    <s v="Q2"/>
    <e v="#REF!"/>
    <e v="#REF!"/>
    <e v="#REF!"/>
  </r>
  <r>
    <s v="401000"/>
    <x v="6"/>
    <s v="FOURNISSEURS"/>
    <s v="BPRI"/>
    <n v="670.36"/>
    <d v="2025-01-15T00:00:00"/>
    <s v="EVI REMISE"/>
    <s v="Non"/>
    <s v="Non"/>
    <e v="#N/A"/>
    <n v="20984"/>
    <s v="0GLCS3U"/>
    <s v="OSIRIS"/>
    <s v="Q1"/>
    <e v="#REF!"/>
    <e v="#REF!"/>
    <e v="#REF!"/>
  </r>
  <r>
    <s v="401000"/>
    <x v="6"/>
    <s v="FOURNISSEURS"/>
    <s v="BPRI"/>
    <n v="690"/>
    <d v="2025-06-30T00:00:00"/>
    <s v="TRANSPORT COST"/>
    <m/>
    <e v="#N/A"/>
    <e v="#N/A"/>
    <n v="76859"/>
    <m/>
    <m/>
    <s v="Q2"/>
    <e v="#REF!"/>
    <e v="#REF!"/>
    <e v="#REF!"/>
  </r>
  <r>
    <s v="401000"/>
    <x v="6"/>
    <s v="FOURNISSEURS"/>
    <s v="BPRI"/>
    <n v="709.8"/>
    <d v="2025-05-07T00:00:00"/>
    <s v="MODIFICATION BUTÉE MONORAIL RÉACTEUR INOX"/>
    <m/>
    <e v="#N/A"/>
    <e v="#N/A"/>
    <n v="71769"/>
    <m/>
    <m/>
    <s v="Q2"/>
    <e v="#REF!"/>
    <e v="#REF!"/>
    <e v="#REF!"/>
  </r>
  <r>
    <s v="401000"/>
    <x v="6"/>
    <s v="FOURNISSEURS"/>
    <s v="BPRI"/>
    <n v="716.7"/>
    <d v="2025-04-29T00:00:00"/>
    <s v="Invoice Payment by Pili"/>
    <m/>
    <e v="#N/A"/>
    <e v="#N/A"/>
    <n v="70464"/>
    <m/>
    <m/>
    <s v="Q2"/>
    <e v="#REF!"/>
    <e v="#REF!"/>
    <e v="#REF!"/>
  </r>
  <r>
    <s v="401000"/>
    <x v="6"/>
    <s v="FOURNISSEURS"/>
    <s v="BPRI"/>
    <n v="720"/>
    <d v="2025-04-07T00:00:00"/>
    <s v="Prélèvement Eurecia"/>
    <m/>
    <e v="#N/A"/>
    <e v="#N/A"/>
    <n v="66594"/>
    <m/>
    <s v="EURECIA"/>
    <s v="Q2"/>
    <e v="#REF!"/>
    <e v="#REF!"/>
    <e v="#REF!"/>
  </r>
  <r>
    <s v="401000"/>
    <x v="6"/>
    <s v="FOURNISSEURS"/>
    <s v="BPRI"/>
    <n v="721"/>
    <d v="2025-06-16T00:00:00"/>
    <s v="TRANSPORT COSTS"/>
    <m/>
    <e v="#N/A"/>
    <e v="#N/A"/>
    <n v="76063"/>
    <m/>
    <m/>
    <s v="Q2"/>
    <e v="#REF!"/>
    <e v="#REF!"/>
    <e v="#REF!"/>
  </r>
  <r>
    <s v="401000"/>
    <x v="6"/>
    <s v="FOURNISSEURS"/>
    <s v="BPRI"/>
    <n v="723.6"/>
    <d v="2025-12-30T00:00:00"/>
    <s v="F00034250900145"/>
    <m/>
    <e v="#N/A"/>
    <e v="#N/A"/>
    <n v="93784"/>
    <m/>
    <m/>
    <s v="Q4"/>
    <e v="#REF!"/>
    <e v="#REF!"/>
    <e v="#REF!"/>
  </r>
  <r>
    <s v="401000"/>
    <x v="6"/>
    <s v="FOURNISSEURS"/>
    <s v="BPRI"/>
    <n v="736.02"/>
    <d v="2025-09-12T00:00:00"/>
    <s v="BENZENE SULFONYLE CHLORURE POUR KEENY STEP 3"/>
    <m/>
    <e v="#N/A"/>
    <e v="#N/A"/>
    <n v="81999"/>
    <m/>
    <m/>
    <s v="Q3"/>
    <e v="#REF!"/>
    <e v="#REF!"/>
    <e v="#REF!"/>
  </r>
  <r>
    <s v="401000"/>
    <x v="6"/>
    <s v="FOURNISSEURS"/>
    <s v="BPRI"/>
    <n v="736.03"/>
    <d v="2025-01-07T00:00:00"/>
    <s v="EVI REMISE"/>
    <m/>
    <e v="#N/A"/>
    <e v="#N/A"/>
    <n v="20922"/>
    <s v="0GL9V3N"/>
    <s v="VWR AVANTOR"/>
    <s v="Q1"/>
    <e v="#REF!"/>
    <e v="#REF!"/>
    <e v="#REF!"/>
  </r>
  <r>
    <s v="401000"/>
    <x v="6"/>
    <s v="FOURNISSEURS"/>
    <s v="BPRI"/>
    <n v="739.98"/>
    <d v="2025-12-10T00:00:00"/>
    <s v="SD 106 - 072025"/>
    <m/>
    <e v="#N/A"/>
    <e v="#N/A"/>
    <n v="92074"/>
    <m/>
    <m/>
    <s v="Q4"/>
    <e v="#REF!"/>
    <e v="#REF!"/>
    <e v="#REF!"/>
  </r>
  <r>
    <s v="401000"/>
    <x v="6"/>
    <s v="FOURNISSEURS"/>
    <s v="BPRI"/>
    <n v="742.8"/>
    <d v="2025-06-02T00:00:00"/>
    <s v="Invoice Payment By Pili"/>
    <m/>
    <e v="#N/A"/>
    <e v="#N/A"/>
    <n v="75296"/>
    <m/>
    <m/>
    <s v="Q2"/>
    <e v="#REF!"/>
    <e v="#REF!"/>
    <e v="#REF!"/>
  </r>
  <r>
    <s v="401000"/>
    <x v="6"/>
    <s v="FOURNISSEURS"/>
    <s v="BPRI"/>
    <n v="752"/>
    <d v="2025-10-06T00:00:00"/>
    <s v="ENTRETIEN MÉNAGER"/>
    <m/>
    <e v="#N/A"/>
    <e v="#N/A"/>
    <n v="82893"/>
    <m/>
    <m/>
    <s v="Q4"/>
    <e v="#REF!"/>
    <e v="#REF!"/>
    <e v="#REF!"/>
  </r>
  <r>
    <s v="401000"/>
    <x v="6"/>
    <s v="FOURNISSEURS"/>
    <s v="BPRI"/>
    <n v="752"/>
    <d v="2025-11-28T00:00:00"/>
    <s v="PILI-171125"/>
    <m/>
    <e v="#N/A"/>
    <e v="#N/A"/>
    <n v="91240"/>
    <m/>
    <m/>
    <s v="Q4"/>
    <e v="#REF!"/>
    <e v="#REF!"/>
    <e v="#REF!"/>
  </r>
  <r>
    <s v="401000"/>
    <x v="6"/>
    <s v="FOURNISSEURS"/>
    <s v="BPRI"/>
    <n v="760.83"/>
    <d v="2025-02-06T00:00:00"/>
    <s v="EVI REMISE"/>
    <m/>
    <e v="#N/A"/>
    <e v="#N/A"/>
    <n v="21224"/>
    <s v="0GLHS0T"/>
    <s v="VWR AVANTOR"/>
    <s v="Q1"/>
    <e v="#REF!"/>
    <e v="#REF!"/>
    <e v="#REF!"/>
  </r>
  <r>
    <s v="401000"/>
    <x v="6"/>
    <s v="FOURNISSEURS"/>
    <s v="BPRI"/>
    <n v="769.28"/>
    <d v="2025-03-18T00:00:00"/>
    <s v="Règlement Facture 4067634590"/>
    <m/>
    <e v="#N/A"/>
    <e v="#N/A"/>
    <n v="61864"/>
    <m/>
    <m/>
    <s v="Q1"/>
    <e v="#REF!"/>
    <e v="#REF!"/>
    <e v="#REF!"/>
  </r>
  <r>
    <s v="421000"/>
    <x v="6"/>
    <s v="PERSONNEL - RÉMUNÉRATIONS DUES"/>
    <s v="BPRI"/>
    <n v="128198.13"/>
    <d v="2025-11-24T00:00:00"/>
    <s v="/LIB/EVI REMISE/LIB/PILI-11202501270/LIB/REMISE/LIB/PILI-112025012708/LIB/ABSI253210000890935"/>
    <m/>
    <e v="#N/A"/>
    <e v="#N/A"/>
    <n v="91128"/>
    <m/>
    <m/>
    <s v="Q4"/>
    <e v="#REF!"/>
    <e v="#REF!"/>
    <e v="#REF!"/>
  </r>
  <r>
    <s v="401000"/>
    <x v="6"/>
    <s v="FOURNISSEURS"/>
    <s v="BPRI"/>
    <n v="792"/>
    <d v="2025-05-16T00:00:00"/>
    <s v="ELECTIONS CSE PAR VOIE ÉLECTRONIQUE SUR LA BASE DE 40 ÉLECTEURS"/>
    <m/>
    <s v="Non"/>
    <e v="#N/A"/>
    <n v="72835"/>
    <m/>
    <s v="AGRUME"/>
    <s v="Q2"/>
    <e v="#REF!"/>
    <e v="#REF!"/>
    <e v="#REF!"/>
  </r>
  <r>
    <s v="401000"/>
    <x v="6"/>
    <s v="FOURNISSEURS"/>
    <s v="BPRI"/>
    <n v="792"/>
    <d v="2025-11-17T00:00:00"/>
    <s v="ELECTIONS CSE PAR VOIE ÉLECTRONIQUE"/>
    <m/>
    <e v="#N/A"/>
    <e v="#N/A"/>
    <n v="90137"/>
    <m/>
    <m/>
    <s v="Q4"/>
    <e v="#REF!"/>
    <e v="#REF!"/>
    <e v="#REF!"/>
  </r>
  <r>
    <s v="401000"/>
    <x v="6"/>
    <s v="FOURNISSEURS"/>
    <s v="BPRI"/>
    <n v="796.3"/>
    <d v="2025-04-25T00:00:00"/>
    <s v="Invoice Payment by Pili"/>
    <m/>
    <e v="#N/A"/>
    <e v="#N/A"/>
    <n v="70196"/>
    <m/>
    <m/>
    <s v="Q2"/>
    <e v="#REF!"/>
    <e v="#REF!"/>
    <e v="#REF!"/>
  </r>
  <r>
    <s v="401000"/>
    <x v="6"/>
    <s v="FOURNISSEURS"/>
    <s v="BPRI"/>
    <n v="800"/>
    <d v="2025-08-18T00:00:00"/>
    <s v="FORMATION COMMUNICATION DE CRISE"/>
    <m/>
    <e v="#N/A"/>
    <e v="#N/A"/>
    <n v="81140"/>
    <m/>
    <m/>
    <s v="Q3"/>
    <e v="#REF!"/>
    <e v="#REF!"/>
    <e v="#REF!"/>
  </r>
  <r>
    <s v="401000"/>
    <x v="6"/>
    <s v="FOURNISSEURS"/>
    <s v="BPRI"/>
    <n v="810"/>
    <d v="2025-01-30T00:00:00"/>
    <s v="EVI REMISE"/>
    <m/>
    <e v="#N/A"/>
    <e v="#N/A"/>
    <n v="21139"/>
    <s v="0GLGCRV"/>
    <s v="SMTS"/>
    <s v="Q1"/>
    <e v="#REF!"/>
    <e v="#REF!"/>
    <e v="#REF!"/>
  </r>
  <r>
    <s v="401000"/>
    <x v="6"/>
    <s v="FOURNISSEURS"/>
    <s v="BPRI"/>
    <n v="818.4"/>
    <d v="2025-09-12T00:00:00"/>
    <s v="PAC 6500 SO2 0-100 PPM STANDARD"/>
    <m/>
    <e v="#N/A"/>
    <e v="#N/A"/>
    <n v="82009"/>
    <m/>
    <m/>
    <s v="Q3"/>
    <e v="#REF!"/>
    <e v="#REF!"/>
    <e v="#REF!"/>
  </r>
  <r>
    <s v="401000"/>
    <x v="6"/>
    <s v="FOURNISSEURS"/>
    <s v="BPRI"/>
    <n v="828"/>
    <d v="2025-08-21T00:00:00"/>
    <s v="UTILISATION LOGICIEL CHROMOLEON - NIVEAU 2 - 1 JOURNÉE"/>
    <m/>
    <e v="#N/A"/>
    <e v="#N/A"/>
    <n v="81478"/>
    <m/>
    <m/>
    <s v="Q3"/>
    <e v="#REF!"/>
    <e v="#REF!"/>
    <e v="#REF!"/>
  </r>
  <r>
    <s v="401000"/>
    <x v="6"/>
    <s v="FOURNISSEURS"/>
    <s v="BPRI"/>
    <n v="828.34"/>
    <d v="2025-11-19T00:00:00"/>
    <s v="F-1013-1766"/>
    <m/>
    <e v="#N/A"/>
    <e v="#N/A"/>
    <n v="90477"/>
    <m/>
    <m/>
    <s v="Q4"/>
    <e v="#REF!"/>
    <e v="#REF!"/>
    <e v="#REF!"/>
  </r>
  <r>
    <s v="401000"/>
    <x v="6"/>
    <s v="FOURNISSEURS"/>
    <s v="BPRI"/>
    <n v="832.2"/>
    <d v="2025-04-29T00:00:00"/>
    <s v="Invoice Payment by Pili"/>
    <m/>
    <e v="#N/A"/>
    <e v="#N/A"/>
    <n v="70491"/>
    <m/>
    <m/>
    <s v="Q2"/>
    <e v="#REF!"/>
    <e v="#REF!"/>
    <e v="#REF!"/>
  </r>
  <r>
    <s v="512100"/>
    <x v="6"/>
    <s v="BANQUE POPULAIRE RIVE DE PARIS"/>
    <s v="BPRI"/>
    <n v="-128198.13"/>
    <d v="2025-11-24T00:00:00"/>
    <s v="/LIB/EVI REMISE/LIB/PILI-11202501270/LIB/REMISE/LIB/PILI-112025012708/LIB/ABSI253210000890935"/>
    <m/>
    <e v="#N/A"/>
    <e v="#N/A"/>
    <n v="91127"/>
    <m/>
    <m/>
    <s v="Q4"/>
    <e v="#REF!"/>
    <e v="#REF!"/>
    <e v="#REF!"/>
  </r>
  <r>
    <s v="401000"/>
    <x v="6"/>
    <s v="FOURNISSEURS"/>
    <s v="BPRI"/>
    <n v="834"/>
    <d v="2025-11-17T00:00:00"/>
    <s v="RMN ESPCI"/>
    <m/>
    <e v="#N/A"/>
    <e v="#N/A"/>
    <n v="90143"/>
    <m/>
    <m/>
    <s v="Q4"/>
    <e v="#REF!"/>
    <e v="#REF!"/>
    <e v="#REF!"/>
  </r>
  <r>
    <s v="401000"/>
    <x v="6"/>
    <s v="FOURNISSEURS"/>
    <s v="BPRI"/>
    <n v="844.73"/>
    <d v="2025-08-21T00:00:00"/>
    <s v="COMMANDE CONSOMMABLES ET SOLVANTS POUR LABO"/>
    <m/>
    <e v="#N/A"/>
    <e v="#N/A"/>
    <n v="81510"/>
    <m/>
    <m/>
    <s v="Q3"/>
    <e v="#REF!"/>
    <e v="#REF!"/>
    <e v="#REF!"/>
  </r>
  <r>
    <s v="401000"/>
    <x v="6"/>
    <s v="FOURNISSEURS"/>
    <s v="BPRI"/>
    <n v="849.6"/>
    <d v="2025-03-11T00:00:00"/>
    <s v="Facture 9092929 "/>
    <m/>
    <e v="#N/A"/>
    <e v="#N/A"/>
    <n v="61234"/>
    <m/>
    <m/>
    <s v="Q1"/>
    <e v="#REF!"/>
    <e v="#REF!"/>
    <e v="#REF!"/>
  </r>
  <r>
    <s v="401000"/>
    <x v="6"/>
    <s v="FOURNISSEURS"/>
    <s v="BPRI"/>
    <n v="852"/>
    <d v="2025-09-12T00:00:00"/>
    <s v="FACTURE 910"/>
    <m/>
    <e v="#N/A"/>
    <e v="#N/A"/>
    <n v="82014"/>
    <m/>
    <m/>
    <s v="Q3"/>
    <e v="#REF!"/>
    <e v="#REF!"/>
    <e v="#REF!"/>
  </r>
  <r>
    <s v="401000"/>
    <x v="6"/>
    <s v="FOURNISSEURS"/>
    <s v="BPRI"/>
    <n v="858"/>
    <d v="2025-03-28T00:00:00"/>
    <s v="Invoice Payment by Pili"/>
    <m/>
    <e v="#N/A"/>
    <e v="#N/A"/>
    <n v="65009"/>
    <m/>
    <m/>
    <s v="Q1"/>
    <e v="#REF!"/>
    <e v="#REF!"/>
    <e v="#REF!"/>
  </r>
  <r>
    <s v="401000"/>
    <x v="6"/>
    <s v="FOURNISSEURS"/>
    <s v="BPRI"/>
    <n v="875"/>
    <d v="2025-01-03T00:00:00"/>
    <s v="PRLV SEPA BPIFRANCE"/>
    <m/>
    <e v="#N/A"/>
    <e v="#N/A"/>
    <n v="20878"/>
    <s v="06XHS4J"/>
    <s v="BPI FRANCE"/>
    <s v="Q1"/>
    <e v="#REF!"/>
    <e v="#REF!"/>
    <e v="#REF!"/>
  </r>
  <r>
    <s v="401000"/>
    <x v="6"/>
    <s v="FOURNISSEURS"/>
    <s v="BPRI"/>
    <n v="885.01"/>
    <d v="2025-02-10T00:00:00"/>
    <s v="EVI REMISE"/>
    <s v="Non"/>
    <s v="Non"/>
    <e v="#N/A"/>
    <n v="21248"/>
    <s v="0GLIF7H"/>
    <s v="ALTAIR AVOCATS"/>
    <s v="Q1"/>
    <e v="#REF!"/>
    <e v="#REF!"/>
    <e v="#REF!"/>
  </r>
  <r>
    <s v="401000"/>
    <x v="6"/>
    <s v="FOURNISSEURS"/>
    <s v="BPRI"/>
    <n v="885.18"/>
    <d v="2025-04-23T00:00:00"/>
    <s v="Prélèvement fournisseur"/>
    <m/>
    <s v="Non"/>
    <n v="0"/>
    <n v="68211"/>
    <m/>
    <s v="SERVICE ACTION SANTE"/>
    <s v="Q2"/>
    <e v="#REF!"/>
    <e v="#REF!"/>
    <e v="#REF!"/>
  </r>
  <r>
    <s v="401000"/>
    <x v="6"/>
    <s v="FOURNISSEURS"/>
    <s v="BPRI"/>
    <n v="888"/>
    <d v="2025-04-15T00:00:00"/>
    <s v="Cotisation 2025 Pili"/>
    <m/>
    <s v="Non"/>
    <s v="Oui"/>
    <n v="67558"/>
    <m/>
    <s v="BIOECONOMY FOR CHANGE"/>
    <s v="Q2"/>
    <e v="#REF!"/>
    <e v="#REF!"/>
    <e v="#REF!"/>
  </r>
  <r>
    <s v="401000"/>
    <x v="6"/>
    <s v="FOURNISSEURS"/>
    <s v="BPRI"/>
    <n v="888.06"/>
    <d v="2025-02-28T00:00:00"/>
    <s v="Règlement fournisseurs"/>
    <s v="Non"/>
    <s v="Non"/>
    <e v="#N/A"/>
    <n v="58931"/>
    <m/>
    <s v="OSIRIS"/>
    <s v="Q1"/>
    <e v="#REF!"/>
    <e v="#REF!"/>
    <e v="#REF!"/>
  </r>
  <r>
    <s v="401000"/>
    <x v="6"/>
    <s v="FOURNISSEURS"/>
    <s v="BPRI"/>
    <n v="900"/>
    <d v="2025-04-15T00:00:00"/>
    <s v="Invoice Payment by Pili"/>
    <m/>
    <e v="#N/A"/>
    <e v="#N/A"/>
    <n v="67962"/>
    <m/>
    <m/>
    <s v="Q2"/>
    <e v="#REF!"/>
    <e v="#REF!"/>
    <e v="#REF!"/>
  </r>
  <r>
    <s v="401000"/>
    <x v="6"/>
    <s v="FOURNISSEURS"/>
    <s v="BPRI"/>
    <n v="900"/>
    <d v="2025-06-16T00:00:00"/>
    <s v="CONSULTANTE E CHARRIÈRE"/>
    <m/>
    <e v="#N/A"/>
    <e v="#N/A"/>
    <n v="76073"/>
    <m/>
    <m/>
    <s v="Q2"/>
    <e v="#REF!"/>
    <e v="#REF!"/>
    <e v="#REF!"/>
  </r>
  <r>
    <s v="401000"/>
    <x v="6"/>
    <s v="FOURNISSEURS"/>
    <s v="BPRI"/>
    <n v="900"/>
    <d v="2025-07-31T00:00:00"/>
    <s v="COMMISSION ANNUELLE REPRÉSENTANT MASSE PORTEURS OC"/>
    <m/>
    <e v="#N/A"/>
    <e v="#N/A"/>
    <n v="79379"/>
    <m/>
    <m/>
    <s v="Q3"/>
    <e v="#REF!"/>
    <e v="#REF!"/>
    <e v="#REF!"/>
  </r>
  <r>
    <s v="401000"/>
    <x v="6"/>
    <s v="FOURNISSEURS"/>
    <s v="BPRI"/>
    <n v="907.2"/>
    <d v="2025-02-05T00:00:00"/>
    <s v="PRLV SEPA ORANGE SA"/>
    <m/>
    <e v="#N/A"/>
    <e v="#N/A"/>
    <n v="21190"/>
    <s v="07943OM"/>
    <s v="ORANGE"/>
    <s v="Q1"/>
    <e v="#REF!"/>
    <e v="#REF!"/>
    <e v="#REF!"/>
  </r>
  <r>
    <s v="401000"/>
    <x v="6"/>
    <s v="FOURNISSEURS"/>
    <s v="BPRI"/>
    <n v="907.2"/>
    <d v="2025-04-08T00:00:00"/>
    <s v="Prélèvement Orange"/>
    <m/>
    <e v="#N/A"/>
    <e v="#N/A"/>
    <n v="66708"/>
    <m/>
    <s v="ORANGE"/>
    <s v="Q2"/>
    <e v="#REF!"/>
    <e v="#REF!"/>
    <e v="#REF!"/>
  </r>
  <r>
    <s v="401000"/>
    <x v="6"/>
    <s v="FOURNISSEURS"/>
    <s v="BPRI"/>
    <n v="907.2"/>
    <d v="2025-06-04T00:00:00"/>
    <s v="Prélèvement Orange"/>
    <m/>
    <e v="#N/A"/>
    <e v="#N/A"/>
    <n v="75492"/>
    <m/>
    <s v="ORANGE"/>
    <s v="Q2"/>
    <e v="#REF!"/>
    <e v="#REF!"/>
    <e v="#REF!"/>
  </r>
  <r>
    <s v="421000"/>
    <x v="6"/>
    <s v="PERSONNEL - RÉMUNÉRATIONS DUES"/>
    <s v="BPRI"/>
    <n v="126799.96"/>
    <d v="2025-12-29T00:00:00"/>
    <s v="/LIB/EVI REMISE/LIB/PILI-12202510202/LIB/REMISE/LIB/PILI-122025102022/LIB/ABSI253530000334992"/>
    <m/>
    <e v="#N/A"/>
    <e v="#N/A"/>
    <n v="93714"/>
    <m/>
    <m/>
    <s v="Q4"/>
    <e v="#REF!"/>
    <e v="#REF!"/>
    <e v="#REF!"/>
  </r>
  <r>
    <s v="512100"/>
    <x v="6"/>
    <s v="BANQUE POPULAIRE RIVE DE PARIS"/>
    <s v="BPRI"/>
    <n v="-126799.96"/>
    <d v="2025-12-29T00:00:00"/>
    <s v="/LIB/EVI REMISE/LIB/PILI-12202510202/LIB/REMISE/LIB/PILI-122025102022/LIB/ABSI253530000334992"/>
    <m/>
    <e v="#N/A"/>
    <e v="#N/A"/>
    <n v="93713"/>
    <m/>
    <m/>
    <s v="Q4"/>
    <e v="#REF!"/>
    <e v="#REF!"/>
    <e v="#REF!"/>
  </r>
  <r>
    <s v="445830"/>
    <x v="6"/>
    <s v="TVA - REMBOURSEMENT DEMANDÉ"/>
    <s v="BPRI"/>
    <n v="-145385"/>
    <d v="2025-11-13T00:00:00"/>
    <s v="/LIB/EVI SIE TOULOUSE RANGUEIL/LIB/SIE TOULOUSE RANGUEIL/LIB/REMB. DGFIP - 811524545"/>
    <m/>
    <e v="#N/A"/>
    <e v="#N/A"/>
    <n v="90020"/>
    <m/>
    <m/>
    <s v="Q4"/>
    <e v="#REF!"/>
    <e v="#REF!"/>
    <e v="#REF!"/>
  </r>
  <r>
    <s v="401000"/>
    <x v="6"/>
    <s v="FOURNISSEURS"/>
    <s v="BPRI"/>
    <n v="911.94"/>
    <d v="2025-06-02T00:00:00"/>
    <s v="Encaissement partiel CIR 2024 Neftys"/>
    <m/>
    <e v="#N/A"/>
    <e v="#N/A"/>
    <n v="87293"/>
    <m/>
    <m/>
    <s v="Q2"/>
    <e v="#REF!"/>
    <e v="#REF!"/>
    <e v="#REF!"/>
  </r>
  <r>
    <s v="401000"/>
    <x v="6"/>
    <s v="FOURNISSEURS"/>
    <s v="BPRI"/>
    <n v="912"/>
    <d v="2025-01-30T00:00:00"/>
    <s v="EVI REMISE"/>
    <m/>
    <e v="#N/A"/>
    <e v="#N/A"/>
    <n v="21125"/>
    <s v="0GLGCRO"/>
    <s v="COFICIEL"/>
    <s v="Q1"/>
    <e v="#REF!"/>
    <e v="#REF!"/>
    <e v="#REF!"/>
  </r>
  <r>
    <s v="401000"/>
    <x v="6"/>
    <s v="FOURNISSEURS"/>
    <s v="BPRI"/>
    <n v="912"/>
    <d v="2025-03-28T00:00:00"/>
    <s v="Invoice Payment by Pili"/>
    <m/>
    <e v="#N/A"/>
    <e v="#N/A"/>
    <n v="65014"/>
    <m/>
    <m/>
    <s v="Q1"/>
    <e v="#REF!"/>
    <e v="#REF!"/>
    <e v="#REF!"/>
  </r>
  <r>
    <s v="401000"/>
    <x v="6"/>
    <s v="FOURNISSEURS"/>
    <s v="BPRI"/>
    <n v="912"/>
    <d v="2025-04-18T00:00:00"/>
    <s v="Invoice Payment by Pili"/>
    <m/>
    <e v="#N/A"/>
    <e v="#N/A"/>
    <n v="68161"/>
    <m/>
    <m/>
    <s v="Q2"/>
    <e v="#REF!"/>
    <e v="#REF!"/>
    <e v="#REF!"/>
  </r>
  <r>
    <s v="401000"/>
    <x v="6"/>
    <s v="FOURNISSEURS"/>
    <s v="BPRI"/>
    <n v="912"/>
    <d v="2025-06-02T00:00:00"/>
    <s v="Invoice Payment By Pili"/>
    <m/>
    <e v="#N/A"/>
    <e v="#N/A"/>
    <n v="75256"/>
    <m/>
    <m/>
    <s v="Q2"/>
    <e v="#REF!"/>
    <e v="#REF!"/>
    <e v="#REF!"/>
  </r>
  <r>
    <s v="401000"/>
    <x v="6"/>
    <s v="FOURNISSEURS"/>
    <s v="BPRI"/>
    <n v="912"/>
    <d v="2025-08-08T00:00:00"/>
    <s v="LOCATION ALGECO ROUSSILLON (PÉRIODE TRAVAUX)"/>
    <m/>
    <e v="#N/A"/>
    <e v="#N/A"/>
    <n v="80753"/>
    <m/>
    <m/>
    <s v="Q3"/>
    <e v="#REF!"/>
    <e v="#REF!"/>
    <e v="#REF!"/>
  </r>
  <r>
    <s v="401000"/>
    <x v="6"/>
    <s v="FOURNISSEURS"/>
    <s v="BPRI"/>
    <n v="912"/>
    <d v="2025-08-22T00:00:00"/>
    <s v="LOCATION ALGECO ROUSSILLON (PÉRIODE TRAVAUX)"/>
    <m/>
    <e v="#N/A"/>
    <e v="#N/A"/>
    <n v="81600"/>
    <m/>
    <m/>
    <s v="Q3"/>
    <e v="#REF!"/>
    <e v="#REF!"/>
    <e v="#REF!"/>
  </r>
  <r>
    <s v="401000"/>
    <x v="6"/>
    <s v="FOURNISSEURS"/>
    <s v="BPRI"/>
    <n v="912"/>
    <d v="2025-09-12T00:00:00"/>
    <s v="F2507/0532"/>
    <m/>
    <e v="#N/A"/>
    <e v="#N/A"/>
    <n v="81994"/>
    <m/>
    <m/>
    <s v="Q3"/>
    <e v="#REF!"/>
    <e v="#REF!"/>
    <e v="#REF!"/>
  </r>
  <r>
    <s v="401000"/>
    <x v="6"/>
    <s v="FOURNISSEURS"/>
    <s v="BPRI"/>
    <n v="912"/>
    <d v="2025-09-26T00:00:00"/>
    <s v="INVOICE PAYMENT BY PILI"/>
    <m/>
    <e v="#N/A"/>
    <e v="#N/A"/>
    <n v="82492"/>
    <m/>
    <m/>
    <s v="Q3"/>
    <e v="#REF!"/>
    <e v="#REF!"/>
    <e v="#REF!"/>
  </r>
  <r>
    <s v="401000"/>
    <x v="6"/>
    <s v="FOURNISSEURS"/>
    <s v="BPRI"/>
    <n v="912"/>
    <d v="2025-10-31T00:00:00"/>
    <s v="F2509/0832"/>
    <m/>
    <e v="#N/A"/>
    <e v="#N/A"/>
    <n v="87548"/>
    <m/>
    <m/>
    <s v="Q4"/>
    <e v="#REF!"/>
    <e v="#REF!"/>
    <e v="#REF!"/>
  </r>
  <r>
    <s v="401000"/>
    <x v="6"/>
    <s v="FOURNISSEURS"/>
    <s v="BPRI"/>
    <n v="912"/>
    <d v="2025-12-05T00:00:00"/>
    <s v="F2510/0735"/>
    <m/>
    <e v="#N/A"/>
    <e v="#N/A"/>
    <n v="91353"/>
    <m/>
    <m/>
    <s v="Q4"/>
    <e v="#REF!"/>
    <e v="#REF!"/>
    <e v="#REF!"/>
  </r>
  <r>
    <s v="401000"/>
    <x v="6"/>
    <s v="FOURNISSEURS"/>
    <s v="BPRI"/>
    <n v="912"/>
    <d v="2025-12-30T00:00:00"/>
    <s v="F2511/1366"/>
    <m/>
    <e v="#N/A"/>
    <e v="#N/A"/>
    <n v="93816"/>
    <m/>
    <m/>
    <s v="Q4"/>
    <e v="#REF!"/>
    <e v="#REF!"/>
    <e v="#REF!"/>
  </r>
  <r>
    <s v="401000"/>
    <x v="6"/>
    <s v="FOURNISSEURS"/>
    <s v="BPRI"/>
    <n v="918"/>
    <d v="2025-03-19T00:00:00"/>
    <s v="Invoice Payment by Pili"/>
    <m/>
    <e v="#N/A"/>
    <e v="#N/A"/>
    <n v="61886"/>
    <m/>
    <m/>
    <s v="Q1"/>
    <e v="#REF!"/>
    <e v="#REF!"/>
    <e v="#REF!"/>
  </r>
  <r>
    <s v="401000"/>
    <x v="6"/>
    <s v="FOURNISSEURS"/>
    <s v="BPRI"/>
    <n v="940"/>
    <d v="2025-10-31T00:00:00"/>
    <s v="ENTRETIEN MÉNAGER"/>
    <m/>
    <e v="#N/A"/>
    <e v="#N/A"/>
    <n v="87496"/>
    <m/>
    <m/>
    <s v="Q4"/>
    <e v="#REF!"/>
    <e v="#REF!"/>
    <e v="#REF!"/>
  </r>
  <r>
    <s v="401000"/>
    <x v="6"/>
    <s v="FOURNISSEURS"/>
    <s v="BPRI"/>
    <n v="940"/>
    <d v="2025-12-30T00:00:00"/>
    <s v="PILI-231225"/>
    <m/>
    <e v="#N/A"/>
    <e v="#N/A"/>
    <n v="93805"/>
    <m/>
    <m/>
    <s v="Q4"/>
    <e v="#REF!"/>
    <e v="#REF!"/>
    <e v="#REF!"/>
  </r>
  <r>
    <s v="401000"/>
    <x v="6"/>
    <s v="FOURNISSEURS"/>
    <s v="BPRI"/>
    <n v="960"/>
    <d v="2025-01-07T00:00:00"/>
    <s v="EVI REMISE"/>
    <s v="Non"/>
    <s v="Non"/>
    <e v="#N/A"/>
    <n v="20920"/>
    <s v="0GL9V3M"/>
    <s v="WE ARE BOLD"/>
    <s v="Q1"/>
    <e v="#REF!"/>
    <e v="#REF!"/>
    <e v="#REF!"/>
  </r>
  <r>
    <s v="401000"/>
    <x v="6"/>
    <s v="FOURNISSEURS"/>
    <s v="BPRI"/>
    <n v="960"/>
    <d v="2025-03-19T00:00:00"/>
    <s v="Invoice Payment by Pili"/>
    <m/>
    <e v="#N/A"/>
    <e v="#N/A"/>
    <n v="61883"/>
    <m/>
    <m/>
    <s v="Q1"/>
    <e v="#REF!"/>
    <e v="#REF!"/>
    <e v="#REF!"/>
  </r>
  <r>
    <s v="401000"/>
    <x v="6"/>
    <s v="FOURNISSEURS"/>
    <s v="BPRI"/>
    <n v="960"/>
    <d v="2025-12-30T00:00:00"/>
    <s v="BOLD-031819"/>
    <m/>
    <e v="#N/A"/>
    <e v="#N/A"/>
    <n v="93831"/>
    <m/>
    <m/>
    <s v="Q4"/>
    <e v="#REF!"/>
    <e v="#REF!"/>
    <e v="#REF!"/>
  </r>
  <r>
    <s v="401000"/>
    <x v="6"/>
    <s v="FOURNISSEURS"/>
    <s v="BPRI"/>
    <n v="980.67"/>
    <d v="2025-03-03T00:00:00"/>
    <s v="Règlement fournisseurs"/>
    <m/>
    <e v="#N/A"/>
    <e v="#N/A"/>
    <n v="58964"/>
    <m/>
    <s v="AIR LIQUIDE"/>
    <s v="Q1"/>
    <e v="#REF!"/>
    <e v="#REF!"/>
    <e v="#REF!"/>
  </r>
  <r>
    <s v="401000"/>
    <x v="6"/>
    <s v="FOURNISSEURS"/>
    <s v="BPRI"/>
    <n v="992.72"/>
    <d v="2025-07-22T00:00:00"/>
    <s v="MÉTHANOL 2MIN. 99 % EAU 5 ROTISOLV HPLC GRADIENT GRADE MÉTHYLE-2-TÉTRAHYDROFURANE"/>
    <m/>
    <e v="#N/A"/>
    <e v="#N/A"/>
    <n v="78284"/>
    <m/>
    <m/>
    <s v="Q3"/>
    <e v="#REF!"/>
    <e v="#REF!"/>
    <e v="#REF!"/>
  </r>
  <r>
    <s v="401000"/>
    <x v="6"/>
    <s v="FOURNISSEURS"/>
    <s v="BPRI"/>
    <n v="1000"/>
    <d v="2025-08-21T00:00:00"/>
    <s v="PARTICIPATION AU BOARD BUSINESS"/>
    <m/>
    <e v="#N/A"/>
    <e v="#N/A"/>
    <n v="81435"/>
    <m/>
    <m/>
    <s v="Q3"/>
    <e v="#REF!"/>
    <e v="#REF!"/>
    <e v="#REF!"/>
  </r>
  <r>
    <s v="401000"/>
    <x v="6"/>
    <s v="FOURNISSEURS"/>
    <s v="BPRI"/>
    <n v="1000"/>
    <d v="2025-12-11T00:00:00"/>
    <s v="20251002"/>
    <m/>
    <e v="#N/A"/>
    <e v="#N/A"/>
    <n v="92092"/>
    <m/>
    <m/>
    <s v="Q4"/>
    <e v="#REF!"/>
    <e v="#REF!"/>
    <e v="#REF!"/>
  </r>
  <r>
    <s v="401000"/>
    <x v="6"/>
    <s v="FOURNISSEURS"/>
    <s v="BPRI"/>
    <n v="1010.82"/>
    <d v="2025-06-16T00:00:00"/>
    <s v="PRLV SEPA ENGIE"/>
    <m/>
    <e v="#N/A"/>
    <e v="#N/A"/>
    <n v="76078"/>
    <m/>
    <s v="ENGIE"/>
    <s v="Q2"/>
    <e v="#REF!"/>
    <e v="#REF!"/>
    <e v="#REF!"/>
  </r>
  <r>
    <s v="401000"/>
    <x v="6"/>
    <s v="FOURNISSEURS"/>
    <s v="BPRI"/>
    <n v="1013.84"/>
    <d v="2025-12-11T00:00:00"/>
    <s v="254432"/>
    <m/>
    <e v="#N/A"/>
    <e v="#N/A"/>
    <n v="92102"/>
    <m/>
    <m/>
    <s v="Q4"/>
    <e v="#REF!"/>
    <e v="#REF!"/>
    <e v="#REF!"/>
  </r>
  <r>
    <s v="401000"/>
    <x v="6"/>
    <s v="FOURNISSEURS"/>
    <s v="BPRI"/>
    <n v="1022"/>
    <d v="2025-11-17T00:00:00"/>
    <s v="TRAITEUR SÉMINAIRE PILI (JEUDI 18 SEPT. SOIR)"/>
    <m/>
    <e v="#N/A"/>
    <e v="#N/A"/>
    <n v="90138"/>
    <m/>
    <m/>
    <s v="Q4"/>
    <e v="#REF!"/>
    <e v="#REF!"/>
    <e v="#REF!"/>
  </r>
  <r>
    <s v="401000"/>
    <x v="6"/>
    <s v="FOURNISSEURS"/>
    <s v="BPRI"/>
    <n v="1026"/>
    <d v="2025-03-19T00:00:00"/>
    <s v="Invoice Payment by Pili"/>
    <m/>
    <e v="#N/A"/>
    <e v="#N/A"/>
    <n v="61887"/>
    <m/>
    <m/>
    <s v="Q1"/>
    <e v="#REF!"/>
    <e v="#REF!"/>
    <e v="#REF!"/>
  </r>
  <r>
    <s v="401000"/>
    <x v="6"/>
    <s v="FOURNISSEURS"/>
    <s v="BPRI"/>
    <n v="1034"/>
    <d v="2025-02-28T00:00:00"/>
    <s v="Règlement fournisseurs"/>
    <m/>
    <e v="#N/A"/>
    <e v="#N/A"/>
    <n v="58928"/>
    <m/>
    <s v="ABEL CHRIST SOMPLEI"/>
    <s v="Q1"/>
    <e v="#REF!"/>
    <e v="#REF!"/>
    <e v="#REF!"/>
  </r>
  <r>
    <s v="401000"/>
    <x v="6"/>
    <s v="FOURNISSEURS"/>
    <s v="BPRI"/>
    <n v="1034"/>
    <d v="2025-04-02T00:00:00"/>
    <s v="Invoice Payment by Pili"/>
    <m/>
    <e v="#N/A"/>
    <e v="#N/A"/>
    <n v="66474"/>
    <m/>
    <m/>
    <s v="Q2"/>
    <e v="#REF!"/>
    <e v="#REF!"/>
    <e v="#REF!"/>
  </r>
  <r>
    <s v="401000"/>
    <x v="6"/>
    <s v="FOURNISSEURS"/>
    <s v="BPRI"/>
    <n v="1034"/>
    <d v="2025-07-04T00:00:00"/>
    <s v="ENTRETIEN MÉNAGER"/>
    <m/>
    <e v="#N/A"/>
    <e v="#N/A"/>
    <n v="77019"/>
    <m/>
    <s v="ABEL CHRIST SOMPLEI"/>
    <s v="Q3"/>
    <e v="#REF!"/>
    <e v="#REF!"/>
    <e v="#REF!"/>
  </r>
  <r>
    <s v="401000"/>
    <x v="6"/>
    <s v="FOURNISSEURS"/>
    <s v="BPRI"/>
    <n v="1037.4000000000001"/>
    <d v="2025-04-25T00:00:00"/>
    <s v="Invoice Payment by Pili"/>
    <m/>
    <e v="#N/A"/>
    <e v="#N/A"/>
    <n v="70155"/>
    <m/>
    <m/>
    <s v="Q2"/>
    <e v="#REF!"/>
    <e v="#REF!"/>
    <e v="#REF!"/>
  </r>
  <r>
    <s v="401000"/>
    <x v="6"/>
    <s v="FOURNISSEURS"/>
    <s v="BPRI"/>
    <n v="1050"/>
    <d v="2025-03-14T00:00:00"/>
    <s v="Paiement Locaprod"/>
    <m/>
    <e v="#N/A"/>
    <e v="#N/A"/>
    <n v="61674"/>
    <m/>
    <m/>
    <s v="Q1"/>
    <e v="#REF!"/>
    <e v="#REF!"/>
    <e v="#REF!"/>
  </r>
  <r>
    <s v="401000"/>
    <x v="6"/>
    <s v="FOURNISSEURS"/>
    <s v="BPRI"/>
    <n v="1050"/>
    <d v="2025-06-04T00:00:00"/>
    <s v="Invoice payment by Pili"/>
    <m/>
    <e v="#N/A"/>
    <e v="#N/A"/>
    <n v="75530"/>
    <m/>
    <m/>
    <s v="Q2"/>
    <e v="#REF!"/>
    <e v="#REF!"/>
    <e v="#REF!"/>
  </r>
  <r>
    <s v="401000"/>
    <x v="6"/>
    <s v="FOURNISSEURS"/>
    <s v="BPRI"/>
    <n v="1050"/>
    <d v="2025-11-28T00:00:00"/>
    <s v="F2025040078"/>
    <m/>
    <e v="#N/A"/>
    <e v="#N/A"/>
    <n v="91190"/>
    <m/>
    <m/>
    <s v="Q4"/>
    <e v="#REF!"/>
    <e v="#REF!"/>
    <e v="#REF!"/>
  </r>
  <r>
    <s v="401000"/>
    <x v="6"/>
    <s v="FOURNISSEURS"/>
    <s v="BPRI"/>
    <n v="1056"/>
    <d v="2025-05-14T00:00:00"/>
    <s v="Invoice Payment by Pili"/>
    <m/>
    <e v="#N/A"/>
    <e v="#N/A"/>
    <n v="72325"/>
    <m/>
    <m/>
    <s v="Q2"/>
    <e v="#REF!"/>
    <e v="#REF!"/>
    <e v="#REF!"/>
  </r>
  <r>
    <s v="401000"/>
    <x v="6"/>
    <s v="FOURNISSEURS"/>
    <s v="BPRI"/>
    <n v="1059.31"/>
    <d v="2025-02-28T00:00:00"/>
    <s v="Règlement fournisseurs"/>
    <m/>
    <e v="#N/A"/>
    <e v="#N/A"/>
    <n v="58949"/>
    <m/>
    <s v="AIR LIQUIDE"/>
    <s v="Q1"/>
    <e v="#REF!"/>
    <e v="#REF!"/>
    <e v="#REF!"/>
  </r>
  <r>
    <s v="401000"/>
    <x v="6"/>
    <s v="FOURNISSEURS"/>
    <s v="BPRI"/>
    <n v="1061.49"/>
    <d v="2025-04-10T00:00:00"/>
    <s v="Frais Bancaires BP"/>
    <m/>
    <e v="#N/A"/>
    <e v="#N/A"/>
    <n v="66727"/>
    <m/>
    <s v="Banque Populaire Rive de Paris"/>
    <s v="Q2"/>
    <e v="#REF!"/>
    <e v="#REF!"/>
    <e v="#REF!"/>
  </r>
  <r>
    <s v="401000"/>
    <x v="6"/>
    <s v="FOURNISSEURS"/>
    <s v="BPRI"/>
    <n v="1068.5999999999999"/>
    <d v="2025-07-31T00:00:00"/>
    <s v="TRANSMISSION ET ANALYSE DU RAPPORT DE RECHERCHE EUROPÉEN - BREVET BIOPIGMENTS"/>
    <m/>
    <e v="#N/A"/>
    <e v="#N/A"/>
    <n v="79244"/>
    <m/>
    <m/>
    <s v="Q3"/>
    <e v="#REF!"/>
    <e v="#REF!"/>
    <e v="#REF!"/>
  </r>
  <r>
    <s v="401000"/>
    <x v="6"/>
    <s v="FOURNISSEURS"/>
    <s v="BPRI"/>
    <n v="1080"/>
    <d v="2025-04-29T00:00:00"/>
    <s v="Invoice Payment by Pili"/>
    <m/>
    <e v="#N/A"/>
    <e v="#N/A"/>
    <n v="70481"/>
    <m/>
    <m/>
    <s v="Q2"/>
    <e v="#REF!"/>
    <e v="#REF!"/>
    <e v="#REF!"/>
  </r>
  <r>
    <s v="401000"/>
    <x v="6"/>
    <s v="FOURNISSEURS"/>
    <s v="BPRI"/>
    <n v="1080"/>
    <d v="2025-05-14T00:00:00"/>
    <s v="Invoice Payment by Pili"/>
    <m/>
    <e v="#N/A"/>
    <e v="#N/A"/>
    <n v="72350"/>
    <m/>
    <m/>
    <s v="Q2"/>
    <e v="#REF!"/>
    <e v="#REF!"/>
    <e v="#REF!"/>
  </r>
  <r>
    <s v="401000"/>
    <x v="6"/>
    <s v="FOURNISSEURS"/>
    <s v="BPRI"/>
    <n v="1086"/>
    <d v="2025-07-01T00:00:00"/>
    <s v="FORMATION 04/2025 : HABILITATION ÉLECTRIQUE BR BC B1V B2V BE ESSAI H"/>
    <m/>
    <e v="#N/A"/>
    <e v="#N/A"/>
    <n v="76838"/>
    <m/>
    <m/>
    <s v="Q3"/>
    <e v="#REF!"/>
    <e v="#REF!"/>
    <e v="#REF!"/>
  </r>
  <r>
    <s v="401000"/>
    <x v="6"/>
    <s v="FOURNISSEURS"/>
    <s v="BPRI"/>
    <n v="1104.5"/>
    <d v="2025-02-05T00:00:00"/>
    <s v="EVI REMISE"/>
    <m/>
    <e v="#N/A"/>
    <e v="#N/A"/>
    <n v="21206"/>
    <s v="0GLHPE0"/>
    <s v="ABEL CHRIST SOMPLEI"/>
    <s v="Q1"/>
    <e v="#REF!"/>
    <e v="#REF!"/>
    <e v="#REF!"/>
  </r>
  <r>
    <s v="401000"/>
    <x v="6"/>
    <s v="FOURNISSEURS"/>
    <s v="BPRI"/>
    <n v="1104.5"/>
    <d v="2025-06-02T00:00:00"/>
    <s v="Invoice Payment By Pili"/>
    <m/>
    <e v="#N/A"/>
    <e v="#N/A"/>
    <n v="75266"/>
    <m/>
    <m/>
    <s v="Q2"/>
    <e v="#REF!"/>
    <e v="#REF!"/>
    <e v="#REF!"/>
  </r>
  <r>
    <s v="401000"/>
    <x v="6"/>
    <s v="FOURNISSEURS"/>
    <s v="BPRI"/>
    <n v="1116"/>
    <d v="2025-01-30T00:00:00"/>
    <s v="EVI REMISE"/>
    <m/>
    <e v="#N/A"/>
    <e v="#N/A"/>
    <n v="21131"/>
    <s v="0GLGCRR"/>
    <s v="AGENCE DIVA"/>
    <s v="Q1"/>
    <e v="#REF!"/>
    <e v="#REF!"/>
    <e v="#REF!"/>
  </r>
  <r>
    <s v="401000"/>
    <x v="6"/>
    <s v="FOURNISSEURS"/>
    <s v="BPRI"/>
    <n v="1116"/>
    <d v="2025-03-03T00:00:00"/>
    <s v="Règlement fournisseurs"/>
    <m/>
    <e v="#N/A"/>
    <e v="#N/A"/>
    <n v="58937"/>
    <m/>
    <s v="AGENCE DIVA"/>
    <s v="Q1"/>
    <e v="#REF!"/>
    <e v="#REF!"/>
    <e v="#REF!"/>
  </r>
  <r>
    <s v="401000"/>
    <x v="6"/>
    <s v="FOURNISSEURS"/>
    <s v="BPRI"/>
    <n v="1116"/>
    <d v="2025-04-18T00:00:00"/>
    <s v="Invoice Payment by Pili"/>
    <m/>
    <e v="#N/A"/>
    <e v="#N/A"/>
    <n v="68166"/>
    <m/>
    <m/>
    <s v="Q2"/>
    <e v="#REF!"/>
    <e v="#REF!"/>
    <e v="#REF!"/>
  </r>
  <r>
    <s v="401000"/>
    <x v="6"/>
    <s v="FOURNISSEURS"/>
    <s v="BPRI"/>
    <n v="1116"/>
    <d v="2025-06-02T00:00:00"/>
    <s v="Invoice Payment By Pili"/>
    <m/>
    <e v="#N/A"/>
    <e v="#N/A"/>
    <n v="75261"/>
    <m/>
    <m/>
    <s v="Q2"/>
    <e v="#REF!"/>
    <e v="#REF!"/>
    <e v="#REF!"/>
  </r>
  <r>
    <s v="401000"/>
    <x v="6"/>
    <s v="FOURNISSEURS"/>
    <s v="BPRI"/>
    <n v="1116"/>
    <d v="2025-08-08T00:00:00"/>
    <s v="PRESTATION ASSISTANT(E) OFFICE MANAGER"/>
    <m/>
    <e v="#N/A"/>
    <e v="#N/A"/>
    <n v="80743"/>
    <m/>
    <m/>
    <s v="Q3"/>
    <e v="#REF!"/>
    <e v="#REF!"/>
    <e v="#REF!"/>
  </r>
  <r>
    <s v="401000"/>
    <x v="6"/>
    <s v="FOURNISSEURS"/>
    <s v="BPRI"/>
    <n v="1116"/>
    <d v="2025-08-21T00:00:00"/>
    <s v="PRESTATION ASSISTANT(E) OFFICE MANAGER"/>
    <m/>
    <e v="#N/A"/>
    <e v="#N/A"/>
    <n v="81445"/>
    <m/>
    <m/>
    <s v="Q3"/>
    <e v="#REF!"/>
    <e v="#REF!"/>
    <e v="#REF!"/>
  </r>
  <r>
    <s v="401000"/>
    <x v="6"/>
    <s v="FOURNISSEURS"/>
    <s v="BPRI"/>
    <n v="1116"/>
    <d v="2025-09-26T00:00:00"/>
    <s v="INVOICE PAYMENT BY PILI"/>
    <m/>
    <e v="#N/A"/>
    <e v="#N/A"/>
    <n v="82502"/>
    <m/>
    <m/>
    <s v="Q3"/>
    <e v="#REF!"/>
    <e v="#REF!"/>
    <e v="#REF!"/>
  </r>
  <r>
    <s v="401000"/>
    <x v="6"/>
    <s v="FOURNISSEURS"/>
    <s v="BPRI"/>
    <n v="1116"/>
    <d v="2025-11-04T00:00:00"/>
    <s v="PRESTATION ASSISTANT(E) OFFICE MANAGER"/>
    <m/>
    <e v="#N/A"/>
    <e v="#N/A"/>
    <n v="88041"/>
    <m/>
    <m/>
    <s v="Q4"/>
    <e v="#REF!"/>
    <e v="#REF!"/>
    <e v="#REF!"/>
  </r>
  <r>
    <s v="401000"/>
    <x v="6"/>
    <s v="FOURNISSEURS"/>
    <s v="BPRI"/>
    <n v="1116"/>
    <d v="2025-11-28T00:00:00"/>
    <s v="F-25100652"/>
    <m/>
    <e v="#N/A"/>
    <e v="#N/A"/>
    <n v="91215"/>
    <m/>
    <m/>
    <s v="Q4"/>
    <e v="#REF!"/>
    <e v="#REF!"/>
    <e v="#REF!"/>
  </r>
  <r>
    <s v="401000"/>
    <x v="6"/>
    <s v="FOURNISSEURS"/>
    <s v="BPRI"/>
    <n v="1116"/>
    <d v="2025-12-30T00:00:00"/>
    <s v="F-25110721"/>
    <m/>
    <e v="#N/A"/>
    <e v="#N/A"/>
    <n v="93811"/>
    <m/>
    <m/>
    <s v="Q4"/>
    <e v="#REF!"/>
    <e v="#REF!"/>
    <e v="#REF!"/>
  </r>
  <r>
    <s v="401000"/>
    <x v="6"/>
    <s v="FOURNISSEURS"/>
    <s v="BPRI"/>
    <n v="1129.2"/>
    <d v="2025-02-28T00:00:00"/>
    <s v="Règlement fournisseurs"/>
    <m/>
    <e v="#N/A"/>
    <e v="#N/A"/>
    <n v="58925"/>
    <m/>
    <s v="GAZ DETECT"/>
    <s v="Q1"/>
    <e v="#REF!"/>
    <e v="#REF!"/>
    <e v="#REF!"/>
  </r>
  <r>
    <s v="401000"/>
    <x v="6"/>
    <s v="FOURNISSEURS"/>
    <s v="BPRI"/>
    <n v="1131.31"/>
    <d v="2025-05-19T00:00:00"/>
    <s v="Prélèvement Engie"/>
    <m/>
    <e v="#N/A"/>
    <e v="#N/A"/>
    <n v="72912"/>
    <m/>
    <s v="ENGIE"/>
    <s v="Q2"/>
    <e v="#REF!"/>
    <e v="#REF!"/>
    <e v="#REF!"/>
  </r>
  <r>
    <s v="401000"/>
    <x v="6"/>
    <s v="FOURNISSEURS"/>
    <s v="BPRI"/>
    <n v="1158"/>
    <d v="2025-08-21T00:00:00"/>
    <s v="CONTRÔLE ANNUEL DES SORBONNES ET DES ARMOIRES"/>
    <m/>
    <e v="#N/A"/>
    <e v="#N/A"/>
    <n v="81425"/>
    <m/>
    <m/>
    <s v="Q3"/>
    <e v="#REF!"/>
    <e v="#REF!"/>
    <e v="#REF!"/>
  </r>
  <r>
    <s v="401000"/>
    <x v="6"/>
    <s v="FOURNISSEURS"/>
    <s v="BPRI"/>
    <n v="1168.02"/>
    <d v="2025-02-10T00:00:00"/>
    <s v="EVI REMISE"/>
    <m/>
    <e v="#N/A"/>
    <e v="#N/A"/>
    <n v="21256"/>
    <s v="0GLIZFJ"/>
    <s v="EXELL SECURITE"/>
    <s v="Q1"/>
    <e v="#REF!"/>
    <e v="#REF!"/>
    <e v="#REF!"/>
  </r>
  <r>
    <s v="512100"/>
    <x v="6"/>
    <s v="BANQUE POPULAIRE RIVE DE PARIS"/>
    <s v="BPRI"/>
    <n v="145385"/>
    <d v="2025-11-13T00:00:00"/>
    <s v="/LIB/EVI SIE TOULOUSE RANGUEIL/LIB/SIE TOULOUSE RANGUEIL/LIB/REMB. DGFIP - 811524545"/>
    <m/>
    <e v="#N/A"/>
    <e v="#N/A"/>
    <n v="90019"/>
    <m/>
    <m/>
    <s v="Q4"/>
    <e v="#REF!"/>
    <e v="#REF!"/>
    <e v="#REF!"/>
  </r>
  <r>
    <s v="401000"/>
    <x v="6"/>
    <s v="FOURNISSEURS"/>
    <s v="BPRI"/>
    <n v="1172.2"/>
    <d v="2025-12-19T00:00:00"/>
    <s v="01/11/2025"/>
    <m/>
    <e v="#N/A"/>
    <e v="#N/A"/>
    <n v="92682"/>
    <m/>
    <m/>
    <s v="Q4"/>
    <e v="#REF!"/>
    <e v="#REF!"/>
    <e v="#REF!"/>
  </r>
  <r>
    <s v="401000"/>
    <x v="6"/>
    <s v="FOURNISSEURS"/>
    <s v="BPRI"/>
    <n v="1173.5999999999999"/>
    <d v="2025-08-21T00:00:00"/>
    <s v="RÉPONSE À LA NOTIFICATION DE DEMANDE DE BREVET EUROPÉEN - BREVET PHOENIX"/>
    <m/>
    <e v="#N/A"/>
    <e v="#N/A"/>
    <n v="81484"/>
    <m/>
    <m/>
    <s v="Q3"/>
    <e v="#REF!"/>
    <e v="#REF!"/>
    <e v="#REF!"/>
  </r>
  <r>
    <s v="401000"/>
    <x v="6"/>
    <s v="FOURNISSEURS"/>
    <s v="BPRI"/>
    <n v="1176"/>
    <d v="2025-06-02T00:00:00"/>
    <s v="Invoice Payment By Pili"/>
    <m/>
    <e v="#N/A"/>
    <e v="#N/A"/>
    <n v="75220"/>
    <m/>
    <m/>
    <s v="Q2"/>
    <e v="#REF!"/>
    <e v="#REF!"/>
    <e v="#REF!"/>
  </r>
  <r>
    <s v="401000"/>
    <x v="6"/>
    <s v="FOURNISSEURS"/>
    <s v="BPRI"/>
    <n v="1188"/>
    <d v="2025-02-18T00:00:00"/>
    <s v="EVI REMISE"/>
    <m/>
    <s v="Non"/>
    <e v="#N/A"/>
    <n v="21344"/>
    <s v="0GLKPI4"/>
    <s v="AXE GESCOM"/>
    <s v="Q1"/>
    <e v="#REF!"/>
    <e v="#REF!"/>
    <e v="#REF!"/>
  </r>
  <r>
    <s v="401000"/>
    <x v="6"/>
    <s v="FOURNISSEURS"/>
    <s v="BPRI"/>
    <n v="1188"/>
    <d v="2025-06-02T00:00:00"/>
    <s v="Invoice Payment By Pili"/>
    <m/>
    <e v="#N/A"/>
    <e v="#N/A"/>
    <n v="75291"/>
    <m/>
    <m/>
    <s v="Q2"/>
    <e v="#REF!"/>
    <e v="#REF!"/>
    <e v="#REF!"/>
  </r>
  <r>
    <s v="401000"/>
    <x v="6"/>
    <s v="FOURNISSEURS"/>
    <s v="BPRI"/>
    <n v="1188"/>
    <d v="2025-08-21T00:00:00"/>
    <s v="FORMATION À DISTANCE SAGE"/>
    <m/>
    <e v="#N/A"/>
    <e v="#N/A"/>
    <n v="81379"/>
    <m/>
    <m/>
    <s v="Q3"/>
    <e v="#REF!"/>
    <e v="#REF!"/>
    <e v="#REF!"/>
  </r>
  <r>
    <s v="401000"/>
    <x v="6"/>
    <s v="FOURNISSEURS"/>
    <s v="BPRI"/>
    <n v="1188"/>
    <d v="2025-08-21T00:00:00"/>
    <s v="FORMATION À DISTANCE SAGE G. ZIANI"/>
    <m/>
    <e v="#N/A"/>
    <e v="#N/A"/>
    <n v="81384"/>
    <m/>
    <m/>
    <s v="Q3"/>
    <e v="#REF!"/>
    <e v="#REF!"/>
    <e v="#REF!"/>
  </r>
  <r>
    <s v="401000"/>
    <x v="6"/>
    <s v="FOURNISSEURS"/>
    <s v="BPRI"/>
    <n v="1200"/>
    <d v="2025-01-07T00:00:00"/>
    <s v="EVI REMISE"/>
    <s v="Non"/>
    <s v="Non"/>
    <e v="#N/A"/>
    <n v="20918"/>
    <s v="0GL9V3L"/>
    <s v="GARRIGUE CONSULTING"/>
    <s v="Q1"/>
    <e v="#REF!"/>
    <e v="#REF!"/>
    <e v="#REF!"/>
  </r>
  <r>
    <s v="401000"/>
    <x v="6"/>
    <s v="FOURNISSEURS"/>
    <s v="BPRI"/>
    <n v="1200"/>
    <d v="2025-03-07T00:00:00"/>
    <s v="INVOICE 20250220-0001"/>
    <m/>
    <e v="#N/A"/>
    <e v="#N/A"/>
    <n v="58780"/>
    <m/>
    <m/>
    <s v="Q1"/>
    <e v="#REF!"/>
    <e v="#REF!"/>
    <e v="#REF!"/>
  </r>
  <r>
    <s v="401000"/>
    <x v="6"/>
    <s v="FOURNISSEURS"/>
    <s v="BPRI"/>
    <n v="1200"/>
    <d v="2025-04-25T00:00:00"/>
    <s v="Invoice Payment by Pili"/>
    <m/>
    <e v="#N/A"/>
    <e v="#N/A"/>
    <n v="70170"/>
    <m/>
    <m/>
    <s v="Q2"/>
    <e v="#REF!"/>
    <e v="#REF!"/>
    <e v="#REF!"/>
  </r>
  <r>
    <s v="401000"/>
    <x v="6"/>
    <s v="FOURNISSEURS"/>
    <s v="BPRI"/>
    <n v="1200"/>
    <d v="2025-06-16T00:00:00"/>
    <s v="FOFAIT 1 BOARD -13/05/2025 - PILI BOARD SERIE B"/>
    <m/>
    <e v="#N/A"/>
    <e v="#N/A"/>
    <n v="76068"/>
    <m/>
    <m/>
    <s v="Q2"/>
    <e v="#REF!"/>
    <e v="#REF!"/>
    <e v="#REF!"/>
  </r>
  <r>
    <s v="401000"/>
    <x v="6"/>
    <s v="FOURNISSEURS"/>
    <s v="BPRI"/>
    <n v="1200"/>
    <d v="2025-08-21T00:00:00"/>
    <s v="FOFAIT 1 BOARD -10/06/2025 - PILI BOARD"/>
    <m/>
    <e v="#N/A"/>
    <e v="#N/A"/>
    <n v="81450"/>
    <m/>
    <m/>
    <s v="Q3"/>
    <e v="#REF!"/>
    <e v="#REF!"/>
    <e v="#REF!"/>
  </r>
  <r>
    <s v="401000"/>
    <x v="6"/>
    <s v="FOURNISSEURS"/>
    <s v="BPRI"/>
    <n v="1200"/>
    <d v="2025-08-22T00:00:00"/>
    <s v="LOYER ANNUEL OSIRIS"/>
    <m/>
    <e v="#N/A"/>
    <e v="#N/A"/>
    <n v="81574"/>
    <m/>
    <m/>
    <s v="Q3"/>
    <e v="#REF!"/>
    <e v="#REF!"/>
    <e v="#REF!"/>
  </r>
  <r>
    <s v="401000"/>
    <x v="6"/>
    <s v="FOURNISSEURS"/>
    <s v="BPRI"/>
    <n v="1200"/>
    <d v="2025-11-04T00:00:00"/>
    <s v="BUSINESS ADVISORY BOARD - E PETIOT."/>
    <m/>
    <e v="#N/A"/>
    <e v="#N/A"/>
    <n v="88031"/>
    <m/>
    <m/>
    <s v="Q4"/>
    <e v="#REF!"/>
    <e v="#REF!"/>
    <e v="#REF!"/>
  </r>
  <r>
    <s v="401000"/>
    <x v="6"/>
    <s v="FOURNISSEURS"/>
    <s v="BPRI"/>
    <n v="1200"/>
    <d v="2025-12-11T00:00:00"/>
    <s v="20251001-0001"/>
    <m/>
    <e v="#N/A"/>
    <e v="#N/A"/>
    <n v="92087"/>
    <m/>
    <m/>
    <s v="Q4"/>
    <e v="#REF!"/>
    <e v="#REF!"/>
    <e v="#REF!"/>
  </r>
  <r>
    <s v="401000"/>
    <x v="6"/>
    <s v="FOURNISSEURS"/>
    <s v="BPRI"/>
    <n v="1200"/>
    <d v="2025-12-11T00:00:00"/>
    <s v="F25X0003"/>
    <m/>
    <e v="#N/A"/>
    <e v="#N/A"/>
    <n v="92097"/>
    <m/>
    <m/>
    <s v="Q4"/>
    <e v="#REF!"/>
    <e v="#REF!"/>
    <e v="#REF!"/>
  </r>
  <r>
    <s v="401000"/>
    <x v="6"/>
    <s v="FOURNISSEURS"/>
    <s v="BPRI"/>
    <n v="-513.15"/>
    <d v="2025-07-31T00:00:00"/>
    <s v="/LIB/EVI THERMO FISHER (KANDEL) G/LIB/623535+ 31662846/LIB/THERMO FISHER (KANDEL) G/LIB/REPAYMENT DOUBLE PAYMENT INV. 31/LIB/623"/>
    <m/>
    <e v="#N/A"/>
    <e v="#N/A"/>
    <n v="79404"/>
    <m/>
    <s v="FISHER SCIENTIFIC"/>
    <s v="Q3"/>
    <e v="#REF!"/>
    <e v="#REF!"/>
    <e v="#REF!"/>
  </r>
  <r>
    <s v="401000"/>
    <x v="6"/>
    <s v="FOURNISSEURS"/>
    <s v="BPRI"/>
    <n v="1222"/>
    <d v="2025-04-25T00:00:00"/>
    <s v="Invoice Payment by Pili"/>
    <m/>
    <e v="#N/A"/>
    <e v="#N/A"/>
    <n v="70120"/>
    <m/>
    <m/>
    <s v="Q2"/>
    <e v="#REF!"/>
    <e v="#REF!"/>
    <e v="#REF!"/>
  </r>
  <r>
    <s v="401000"/>
    <x v="6"/>
    <s v="FOURNISSEURS"/>
    <s v="BPRI"/>
    <n v="1229.72"/>
    <d v="2025-02-18T00:00:00"/>
    <s v="PRLV SEPA ENGIE"/>
    <m/>
    <e v="#N/A"/>
    <e v="#N/A"/>
    <n v="21322"/>
    <s v="07D3HPG"/>
    <s v="ENGIE"/>
    <s v="Q1"/>
    <e v="#REF!"/>
    <e v="#REF!"/>
    <e v="#REF!"/>
  </r>
  <r>
    <s v="401000"/>
    <x v="6"/>
    <s v="FOURNISSEURS"/>
    <s v="BPRI"/>
    <n v="1236.8599999999999"/>
    <d v="2025-02-20T00:00:00"/>
    <s v="EVI REMISE"/>
    <m/>
    <e v="#N/A"/>
    <e v="#N/A"/>
    <n v="21382"/>
    <s v="0GLL6E3"/>
    <s v="RYTHMES ET SONS"/>
    <s v="Q1"/>
    <e v="#REF!"/>
    <e v="#REF!"/>
    <e v="#REF!"/>
  </r>
  <r>
    <s v="401000"/>
    <x v="6"/>
    <s v="FOURNISSEURS"/>
    <s v="BPRI"/>
    <n v="1249.19"/>
    <d v="2025-12-08T00:00:00"/>
    <s v="2025-Q100527"/>
    <m/>
    <e v="#N/A"/>
    <e v="#N/A"/>
    <n v="91334"/>
    <m/>
    <m/>
    <s v="Q4"/>
    <e v="#REF!"/>
    <e v="#REF!"/>
    <e v="#REF!"/>
  </r>
  <r>
    <s v="401000"/>
    <x v="6"/>
    <s v="FOURNISSEURS"/>
    <s v="BPRI"/>
    <n v="1268.52"/>
    <d v="2025-05-07T00:00:00"/>
    <s v="TURBINE RUSHTON - KL - PROJET KEENY ET AUTRES PROJETS"/>
    <m/>
    <e v="#N/A"/>
    <e v="#N/A"/>
    <n v="71794"/>
    <m/>
    <m/>
    <s v="Q2"/>
    <e v="#REF!"/>
    <e v="#REF!"/>
    <e v="#REF!"/>
  </r>
  <r>
    <s v="401000"/>
    <x v="6"/>
    <s v="FOURNISSEURS"/>
    <s v="BPRI"/>
    <n v="1288.3599999999999"/>
    <d v="2025-09-10T00:00:00"/>
    <s v="PRLV SEPA REGIE CONSEIL"/>
    <m/>
    <e v="#N/A"/>
    <e v="#N/A"/>
    <n v="82107"/>
    <m/>
    <s v="REGIE CONSEIL"/>
    <s v="Q3"/>
    <e v="#REF!"/>
    <e v="#REF!"/>
    <e v="#REF!"/>
  </r>
  <r>
    <s v="512100"/>
    <x v="6"/>
    <s v="BANQUE POPULAIRE RIVE DE PARIS"/>
    <s v="BPRI"/>
    <n v="513.15"/>
    <d v="2025-07-31T00:00:00"/>
    <s v="/LIB/EVI THERMO FISHER (KANDEL) G/LIB/623535+ 31662846/LIB/THERMO FISHER (KANDEL) G/LIB/REPAYMENT DOUBLE PAYMENT INV. 31/LIB/623"/>
    <m/>
    <e v="#N/A"/>
    <e v="#N/A"/>
    <n v="79403"/>
    <m/>
    <s v="FISHER SCIENTIFIC"/>
    <s v="Q3"/>
    <e v="#REF!"/>
    <e v="#REF!"/>
    <e v="#REF!"/>
  </r>
  <r>
    <s v="401000"/>
    <x v="6"/>
    <s v="FOURNISSEURS"/>
    <s v="BPRI"/>
    <n v="1292.5"/>
    <d v="2025-07-31T00:00:00"/>
    <s v="ENTRETIEN MÉNAGER"/>
    <m/>
    <e v="#N/A"/>
    <e v="#N/A"/>
    <n v="79374"/>
    <m/>
    <m/>
    <s v="Q3"/>
    <e v="#REF!"/>
    <e v="#REF!"/>
    <e v="#REF!"/>
  </r>
  <r>
    <s v="401000"/>
    <x v="6"/>
    <s v="FOURNISSEURS"/>
    <s v="BPRI"/>
    <n v="1300"/>
    <d v="2025-06-04T00:00:00"/>
    <s v="Invoice payment by Pili"/>
    <m/>
    <e v="#N/A"/>
    <e v="#N/A"/>
    <n v="75520"/>
    <m/>
    <m/>
    <s v="Q2"/>
    <e v="#REF!"/>
    <e v="#REF!"/>
    <e v="#REF!"/>
  </r>
  <r>
    <s v="401000"/>
    <x v="6"/>
    <s v="FOURNISSEURS"/>
    <s v="BPRI"/>
    <n v="1300"/>
    <d v="2025-12-30T00:00:00"/>
    <s v="2025/1219"/>
    <s v="Non"/>
    <s v="Non"/>
    <e v="#N/A"/>
    <n v="93753"/>
    <m/>
    <s v="CHEM"/>
    <s v="Q4"/>
    <e v="#REF!"/>
    <e v="#REF!"/>
    <e v="#REF!"/>
  </r>
  <r>
    <s v="401000"/>
    <x v="6"/>
    <s v="FOURNISSEURS"/>
    <s v="BPRI"/>
    <n v="1305.24"/>
    <d v="2025-11-04T00:00:00"/>
    <s v="SOLVANTS DEUTÉRÉS POUR ANALYSE RMN"/>
    <m/>
    <e v="#N/A"/>
    <e v="#N/A"/>
    <n v="88026"/>
    <m/>
    <m/>
    <s v="Q4"/>
    <e v="#REF!"/>
    <e v="#REF!"/>
    <e v="#REF!"/>
  </r>
  <r>
    <s v="401000"/>
    <x v="6"/>
    <s v="FOURNISSEURS"/>
    <s v="BPRI"/>
    <n v="1317.04"/>
    <d v="2025-07-16T00:00:00"/>
    <s v="PRLV SEPA ENGIE"/>
    <m/>
    <e v="#N/A"/>
    <e v="#N/A"/>
    <n v="77586"/>
    <m/>
    <s v="ENGIE"/>
    <s v="Q3"/>
    <e v="#REF!"/>
    <e v="#REF!"/>
    <e v="#REF!"/>
  </r>
  <r>
    <s v="401000"/>
    <x v="6"/>
    <s v="FOURNISSEURS"/>
    <s v="BPRI"/>
    <n v="1320.72"/>
    <d v="2025-07-22T00:00:00"/>
    <s v="ACCESSOIRES MAINTENANCE KL"/>
    <m/>
    <e v="#N/A"/>
    <e v="#N/A"/>
    <n v="78279"/>
    <m/>
    <m/>
    <s v="Q3"/>
    <e v="#REF!"/>
    <e v="#REF!"/>
    <e v="#REF!"/>
  </r>
  <r>
    <s v="401000"/>
    <x v="6"/>
    <s v="FOURNISSEURS"/>
    <s v="BPRI"/>
    <n v="1328.88"/>
    <d v="2025-11-04T00:00:00"/>
    <s v="MAINTENANCE GERBEUR ÉLECTRIQUE : CHANGEMENT CARTE DE COMMANDE ÉLECTRONIQUE"/>
    <m/>
    <e v="#N/A"/>
    <e v="#N/A"/>
    <n v="88009"/>
    <m/>
    <m/>
    <s v="Q4"/>
    <e v="#REF!"/>
    <e v="#REF!"/>
    <e v="#REF!"/>
  </r>
  <r>
    <s v="401000"/>
    <x v="6"/>
    <s v="FOURNISSEURS"/>
    <s v="BPRI"/>
    <n v="1330.62"/>
    <d v="2025-01-07T00:00:00"/>
    <s v="EVI REMISE"/>
    <m/>
    <e v="#N/A"/>
    <e v="#N/A"/>
    <n v="20926"/>
    <s v="0GL9V3P"/>
    <s v="REGIE CONSEIL"/>
    <s v="Q1"/>
    <e v="#REF!"/>
    <e v="#REF!"/>
    <e v="#REF!"/>
  </r>
  <r>
    <s v="411000"/>
    <x v="6"/>
    <s v="CLIENTS"/>
    <s v="BPRI"/>
    <n v="-312"/>
    <d v="2025-12-31T00:00:00"/>
    <s v="/LIB/EVI TOTALENERGIES ONETECH/LIB/TOTALENERGIES ONETECH/LIB/0500111540"/>
    <m/>
    <e v="#N/A"/>
    <e v="#N/A"/>
    <n v="93897"/>
    <m/>
    <s v="TOTALENERGIES ONETECH"/>
    <s v="Q4"/>
    <e v="#REF!"/>
    <e v="#REF!"/>
    <e v="#REF!"/>
  </r>
  <r>
    <s v="401000"/>
    <x v="6"/>
    <s v="FOURNISSEURS"/>
    <s v="BPRI"/>
    <n v="1335.78"/>
    <d v="2025-11-07T00:00:00"/>
    <s v="4067821369"/>
    <m/>
    <e v="#N/A"/>
    <e v="#N/A"/>
    <n v="89421"/>
    <m/>
    <m/>
    <s v="Q4"/>
    <e v="#REF!"/>
    <e v="#REF!"/>
    <e v="#REF!"/>
  </r>
  <r>
    <s v="401000"/>
    <x v="6"/>
    <s v="FOURNISSEURS"/>
    <s v="BPRI"/>
    <n v="1340.96"/>
    <d v="2025-03-06T00:00:00"/>
    <s v="Règlement REGIE CONSEIL par VIR "/>
    <m/>
    <e v="#N/A"/>
    <e v="#N/A"/>
    <n v="50028"/>
    <m/>
    <s v="REGIE CONSEIL"/>
    <s v="Q1"/>
    <e v="#REF!"/>
    <e v="#REF!"/>
    <e v="#REF!"/>
  </r>
  <r>
    <s v="401000"/>
    <x v="6"/>
    <s v="FOURNISSEURS"/>
    <s v="BPRI"/>
    <n v="1340.96"/>
    <d v="2025-03-14T00:00:00"/>
    <s v="Loyer Mars Pili"/>
    <m/>
    <e v="#N/A"/>
    <e v="#N/A"/>
    <n v="61660"/>
    <m/>
    <s v="REGIE CONSEIL"/>
    <s v="Q1"/>
    <e v="#REF!"/>
    <e v="#REF!"/>
    <e v="#REF!"/>
  </r>
  <r>
    <s v="401000"/>
    <x v="6"/>
    <s v="FOURNISSEURS"/>
    <s v="BPRI"/>
    <n v="1340.96"/>
    <d v="2025-04-18T00:00:00"/>
    <s v="Invoice Payment by Pili"/>
    <m/>
    <e v="#N/A"/>
    <e v="#N/A"/>
    <n v="68140"/>
    <m/>
    <m/>
    <s v="Q2"/>
    <e v="#REF!"/>
    <e v="#REF!"/>
    <e v="#REF!"/>
  </r>
  <r>
    <s v="401000"/>
    <x v="6"/>
    <s v="FOURNISSEURS"/>
    <s v="BPRI"/>
    <n v="1340.96"/>
    <d v="2025-05-10T00:00:00"/>
    <s v="Prélèvement Loyer Lyon"/>
    <m/>
    <e v="#N/A"/>
    <e v="#N/A"/>
    <n v="71880"/>
    <m/>
    <s v="REGIE CONSEIL"/>
    <s v="Q2"/>
    <e v="#REF!"/>
    <e v="#REF!"/>
    <e v="#REF!"/>
  </r>
  <r>
    <s v="401000"/>
    <x v="6"/>
    <s v="FOURNISSEURS"/>
    <s v="BPRI"/>
    <n v="1340.96"/>
    <d v="2025-06-10T00:00:00"/>
    <s v="PRLV SEPA ENGIE"/>
    <m/>
    <e v="#N/A"/>
    <e v="#N/A"/>
    <n v="75934"/>
    <m/>
    <s v="REGIE CONSEIL"/>
    <s v="Q2"/>
    <e v="#REF!"/>
    <e v="#REF!"/>
    <e v="#REF!"/>
  </r>
  <r>
    <s v="401000"/>
    <x v="6"/>
    <s v="FOURNISSEURS"/>
    <s v="BPRI"/>
    <n v="1340.96"/>
    <d v="2025-07-11T00:00:00"/>
    <s v="PRLV SEPA REGIE CONSEIL"/>
    <m/>
    <e v="#N/A"/>
    <e v="#N/A"/>
    <n v="77376"/>
    <m/>
    <s v="REGIE CONSEIL"/>
    <s v="Q3"/>
    <e v="#REF!"/>
    <e v="#REF!"/>
    <e v="#REF!"/>
  </r>
  <r>
    <s v="401000"/>
    <x v="6"/>
    <s v="FOURNISSEURS"/>
    <s v="BPRI"/>
    <n v="1341.96"/>
    <d v="2025-02-19T00:00:00"/>
    <s v="EVI REMISE"/>
    <s v="Non"/>
    <s v="Oui"/>
    <e v="#N/A"/>
    <n v="21374"/>
    <s v="0GLKQ4U"/>
    <s v="BECKER"/>
    <s v="Q1"/>
    <e v="#REF!"/>
    <e v="#REF!"/>
    <e v="#REF!"/>
  </r>
  <r>
    <s v="401000"/>
    <x v="6"/>
    <s v="FOURNISSEURS"/>
    <s v="BPRI"/>
    <n v="1348.8"/>
    <d v="2025-02-10T00:00:00"/>
    <s v="EVI REMISE"/>
    <m/>
    <s v="Non"/>
    <s v="Oui"/>
    <n v="21258"/>
    <s v="0GLIZFK"/>
    <s v="AXELERA"/>
    <s v="Q1"/>
    <e v="#REF!"/>
    <e v="#REF!"/>
    <e v="#REF!"/>
  </r>
  <r>
    <s v="401000"/>
    <x v="6"/>
    <s v="FOURNISSEURS"/>
    <s v="BPRI"/>
    <n v="1350"/>
    <d v="2025-12-23T00:00:00"/>
    <s v="C20251070"/>
    <m/>
    <e v="#N/A"/>
    <e v="#N/A"/>
    <n v="93630"/>
    <m/>
    <m/>
    <s v="Q4"/>
    <e v="#REF!"/>
    <e v="#REF!"/>
    <e v="#REF!"/>
  </r>
  <r>
    <s v="401000"/>
    <x v="6"/>
    <s v="FOURNISSEURS"/>
    <s v="BPRI"/>
    <n v="1370.76"/>
    <d v="2025-08-21T00:00:00"/>
    <s v="COUVERCLE DE RÉACTEUR 10L"/>
    <m/>
    <e v="#N/A"/>
    <e v="#N/A"/>
    <n v="81455"/>
    <m/>
    <m/>
    <s v="Q3"/>
    <e v="#REF!"/>
    <e v="#REF!"/>
    <e v="#REF!"/>
  </r>
  <r>
    <s v="401000"/>
    <x v="6"/>
    <s v="FOURNISSEURS"/>
    <s v="BPRI"/>
    <n v="1374.9"/>
    <d v="2025-08-21T00:00:00"/>
    <s v="PRÉSENTATION DE LA REQUÊTE EN EXAMEN - PHASES NATIONALES CHINE - BREVET PHOENIX"/>
    <m/>
    <e v="#N/A"/>
    <e v="#N/A"/>
    <n v="81389"/>
    <m/>
    <m/>
    <s v="Q3"/>
    <e v="#REF!"/>
    <e v="#REF!"/>
    <e v="#REF!"/>
  </r>
  <r>
    <s v="401000"/>
    <x v="6"/>
    <s v="FOURNISSEURS"/>
    <s v="BPRI"/>
    <n v="1387.56"/>
    <d v="2025-01-30T00:00:00"/>
    <s v="EVI REMISE"/>
    <s v="Non"/>
    <s v="Non"/>
    <e v="#N/A"/>
    <n v="21117"/>
    <s v="0GLGCN0"/>
    <s v="F2P AUDIT &amp; CONSEIL"/>
    <s v="Q1"/>
    <e v="#REF!"/>
    <e v="#REF!"/>
    <e v="#REF!"/>
  </r>
  <r>
    <s v="512100"/>
    <x v="6"/>
    <s v="BANQUE POPULAIRE RIVE DE PARIS"/>
    <s v="BPRI"/>
    <n v="312"/>
    <d v="2025-12-31T00:00:00"/>
    <s v="/LIB/EVI TOTALENERGIES ONETECH/LIB/TOTALENERGIES ONETECH/LIB/0500111540"/>
    <m/>
    <e v="#N/A"/>
    <e v="#N/A"/>
    <n v="93896"/>
    <m/>
    <s v="TOTALENERGIES ONETECH"/>
    <s v="Q4"/>
    <e v="#REF!"/>
    <e v="#REF!"/>
    <e v="#REF!"/>
  </r>
  <r>
    <s v="401000"/>
    <x v="6"/>
    <s v="FOURNISSEURS"/>
    <s v="BPRI"/>
    <n v="1400"/>
    <d v="2025-05-12T00:00:00"/>
    <s v="Invoice Payment By Pili"/>
    <s v="Non"/>
    <e v="#N/A"/>
    <e v="#N/A"/>
    <n v="71756"/>
    <m/>
    <s v="DOTMATICS LIMITED"/>
    <s v="Q2"/>
    <e v="#REF!"/>
    <e v="#REF!"/>
    <e v="#REF!"/>
  </r>
  <r>
    <s v="401000"/>
    <x v="6"/>
    <s v="FOURNISSEURS"/>
    <s v="BPRI"/>
    <n v="1404"/>
    <d v="2025-08-21T00:00:00"/>
    <s v="ESSAI ROUSSELET (APRÈS LYSE SOUDE)"/>
    <m/>
    <e v="#N/A"/>
    <e v="#N/A"/>
    <n v="81440"/>
    <m/>
    <m/>
    <s v="Q3"/>
    <e v="#REF!"/>
    <e v="#REF!"/>
    <e v="#REF!"/>
  </r>
  <r>
    <s v="401000"/>
    <x v="6"/>
    <s v="FOURNISSEURS"/>
    <s v="BPRI"/>
    <n v="1408.06"/>
    <d v="2025-04-14T00:00:00"/>
    <s v="Prélèvement fournisseur"/>
    <m/>
    <e v="#N/A"/>
    <e v="#N/A"/>
    <n v="67600"/>
    <m/>
    <s v="ENGIE"/>
    <s v="Q2"/>
    <e v="#REF!"/>
    <e v="#REF!"/>
    <e v="#REF!"/>
  </r>
  <r>
    <s v="401000"/>
    <x v="6"/>
    <s v="FOURNISSEURS"/>
    <s v="BPRI"/>
    <n v="1408.56"/>
    <d v="2025-06-02T00:00:00"/>
    <s v="Invoice Payment By Pili"/>
    <m/>
    <e v="#N/A"/>
    <e v="#N/A"/>
    <n v="75276"/>
    <m/>
    <m/>
    <s v="Q2"/>
    <e v="#REF!"/>
    <e v="#REF!"/>
    <e v="#REF!"/>
  </r>
  <r>
    <s v="431000"/>
    <x v="6"/>
    <s v="URSSAF"/>
    <s v="BPRI"/>
    <n v="-1269"/>
    <d v="2025-11-21T00:00:00"/>
    <s v="/LIB/EVI URSSAF MIDI PYRENEES/LIB/URSSAF MIDI PYRENEES/LIB/REMBT URSSAF 737000000182184531"/>
    <m/>
    <e v="#N/A"/>
    <e v="#N/A"/>
    <n v="90589"/>
    <m/>
    <m/>
    <s v="Q4"/>
    <e v="#REF!"/>
    <e v="#REF!"/>
    <e v="#REF!"/>
  </r>
  <r>
    <s v="401000"/>
    <x v="6"/>
    <s v="FOURNISSEURS"/>
    <s v="BPRI"/>
    <n v="1416"/>
    <d v="2025-08-21T00:00:00"/>
    <s v="CONTRÔLE AÉRAULIQUE D'ÉQUIPEMENTS DE PROTECTION COLLECTIVE VENTILÉS SUR SITE"/>
    <m/>
    <e v="#N/A"/>
    <e v="#N/A"/>
    <n v="81430"/>
    <m/>
    <m/>
    <s v="Q3"/>
    <e v="#REF!"/>
    <e v="#REF!"/>
    <e v="#REF!"/>
  </r>
  <r>
    <s v="401000"/>
    <x v="6"/>
    <s v="FOURNISSEURS"/>
    <s v="BPRI"/>
    <n v="1424.4"/>
    <d v="2025-01-09T00:00:00"/>
    <s v="EVI REMISE"/>
    <m/>
    <e v="#N/A"/>
    <e v="#N/A"/>
    <n v="20934"/>
    <s v="0GLA9RL"/>
    <s v="PHENOMENEX"/>
    <s v="Q1"/>
    <e v="#REF!"/>
    <e v="#REF!"/>
    <e v="#REF!"/>
  </r>
  <r>
    <s v="512100"/>
    <x v="6"/>
    <s v="BANQUE POPULAIRE RIVE DE PARIS"/>
    <s v="BPRI"/>
    <n v="1269"/>
    <d v="2025-11-21T00:00:00"/>
    <s v="/LIB/EVI URSSAF MIDI PYRENEES/LIB/URSSAF MIDI PYRENEES/LIB/REMBT URSSAF 737000000182184531"/>
    <m/>
    <e v="#N/A"/>
    <e v="#N/A"/>
    <n v="90588"/>
    <m/>
    <m/>
    <s v="Q4"/>
    <e v="#REF!"/>
    <e v="#REF!"/>
    <e v="#REF!"/>
  </r>
  <r>
    <s v="401000"/>
    <x v="6"/>
    <s v="FOURNISSEURS"/>
    <s v="BPRI"/>
    <n v="1428"/>
    <d v="2025-08-08T00:00:00"/>
    <s v="RACCORD / FLEXIBLE TCU F3000"/>
    <m/>
    <e v="#N/A"/>
    <e v="#N/A"/>
    <n v="80728"/>
    <m/>
    <m/>
    <s v="Q3"/>
    <e v="#REF!"/>
    <e v="#REF!"/>
    <e v="#REF!"/>
  </r>
  <r>
    <s v="401000"/>
    <x v="6"/>
    <s v="FOURNISSEURS"/>
    <s v="BPRI"/>
    <n v="17"/>
    <d v="2025-11-06T00:00:00"/>
    <s v="/LIB/FRAIS ACQUIS SWIFT/LIB/FRAIS ACQUIS SWIFT/LIB/XCVEP120 2025110500011414000001/LIB/REF OPERATION : L719180"/>
    <m/>
    <e v="#N/A"/>
    <e v="#N/A"/>
    <n v="89514"/>
    <m/>
    <s v="Banque Populaire Rive de Paris"/>
    <s v="Q4"/>
    <e v="#REF!"/>
    <e v="#REF!"/>
    <e v="#REF!"/>
  </r>
  <r>
    <s v="401000"/>
    <x v="6"/>
    <s v="FOURNISSEURS"/>
    <s v="BPRI"/>
    <n v="1440"/>
    <d v="2025-08-21T00:00:00"/>
    <s v="ETUDE ACV"/>
    <m/>
    <e v="#N/A"/>
    <e v="#N/A"/>
    <n v="81489"/>
    <m/>
    <m/>
    <s v="Q3"/>
    <e v="#REF!"/>
    <e v="#REF!"/>
    <e v="#REF!"/>
  </r>
  <r>
    <s v="401000"/>
    <x v="6"/>
    <s v="FOURNISSEURS"/>
    <s v="BPRI"/>
    <n v="1440"/>
    <d v="2025-09-12T00:00:00"/>
    <s v="MONTANT MINIMUM LORS DE LA PROLONGATION (PAR MOIS)"/>
    <m/>
    <e v="#N/A"/>
    <e v="#N/A"/>
    <n v="82081"/>
    <m/>
    <s v="DROOMS"/>
    <s v="Q3"/>
    <e v="#REF!"/>
    <e v="#REF!"/>
    <e v="#REF!"/>
  </r>
  <r>
    <s v="401000"/>
    <x v="6"/>
    <s v="FOURNISSEURS"/>
    <s v="BPRI"/>
    <n v="1440"/>
    <d v="2025-09-26T00:00:00"/>
    <s v="INVOICE PAYMENT BY PILI"/>
    <m/>
    <e v="#N/A"/>
    <e v="#N/A"/>
    <n v="82507"/>
    <m/>
    <m/>
    <s v="Q3"/>
    <e v="#REF!"/>
    <e v="#REF!"/>
    <e v="#REF!"/>
  </r>
  <r>
    <s v="401000"/>
    <x v="6"/>
    <s v="FOURNISSEURS"/>
    <s v="BPRI"/>
    <n v="1440"/>
    <d v="2025-11-19T00:00:00"/>
    <s v="1460273-FR"/>
    <m/>
    <e v="#N/A"/>
    <e v="#N/A"/>
    <n v="90482"/>
    <m/>
    <m/>
    <s v="Q4"/>
    <e v="#REF!"/>
    <e v="#REF!"/>
    <e v="#REF!"/>
  </r>
  <r>
    <s v="401000"/>
    <x v="6"/>
    <s v="FOURNISSEURS"/>
    <s v="BPRI"/>
    <n v="1440"/>
    <d v="2025-12-30T00:00:00"/>
    <s v="1460452-FR"/>
    <m/>
    <e v="#N/A"/>
    <e v="#N/A"/>
    <n v="93810"/>
    <m/>
    <m/>
    <s v="Q4"/>
    <e v="#REF!"/>
    <e v="#REF!"/>
    <e v="#REF!"/>
  </r>
  <r>
    <s v="401000"/>
    <x v="6"/>
    <s v="FOURNISSEURS"/>
    <s v="BPRI"/>
    <n v="1449.6"/>
    <d v="2025-01-31T00:00:00"/>
    <s v="EVI REMISE"/>
    <m/>
    <e v="#N/A"/>
    <e v="#N/A"/>
    <n v="21158"/>
    <s v="0GLGKJ3"/>
    <s v="DENIOS"/>
    <s v="Q1"/>
    <e v="#REF!"/>
    <e v="#REF!"/>
    <e v="#REF!"/>
  </r>
  <r>
    <s v="401000"/>
    <x v="6"/>
    <s v="FOURNISSEURS"/>
    <s v="BPRI"/>
    <n v="1452"/>
    <d v="2025-01-15T00:00:00"/>
    <s v="EVI REMISE"/>
    <m/>
    <e v="#N/A"/>
    <e v="#N/A"/>
    <n v="20988"/>
    <s v="0GLCS3W"/>
    <s v="AGELAB"/>
    <s v="Q1"/>
    <e v="#REF!"/>
    <e v="#REF!"/>
    <e v="#REF!"/>
  </r>
  <r>
    <s v="401000"/>
    <x v="6"/>
    <s v="FOURNISSEURS"/>
    <s v="BPRI"/>
    <n v="1464.24"/>
    <d v="2025-04-25T00:00:00"/>
    <s v="Invoice Payment by Pili"/>
    <s v="Non"/>
    <s v="Non"/>
    <e v="#N/A"/>
    <n v="70213"/>
    <m/>
    <s v="IN MANAGEMENT"/>
    <s v="Q2"/>
    <e v="#REF!"/>
    <e v="#REF!"/>
    <e v="#REF!"/>
  </r>
  <r>
    <s v="401000"/>
    <x v="6"/>
    <s v="FOURNISSEURS"/>
    <s v="BPRI"/>
    <n v="1486.97"/>
    <d v="2025-01-10T00:00:00"/>
    <s v="ARRETE COMPTE"/>
    <m/>
    <e v="#N/A"/>
    <e v="#N/A"/>
    <n v="20936"/>
    <s v="1133321"/>
    <s v="Banque Populaire Rive de Paris"/>
    <s v="Q1"/>
    <e v="#REF!"/>
    <e v="#REF!"/>
    <e v="#REF!"/>
  </r>
  <r>
    <s v="512100"/>
    <x v="6"/>
    <s v="BANQUE POPULAIRE RIVE DE PARIS"/>
    <s v="BPRI"/>
    <n v="-17"/>
    <d v="2025-11-06T00:00:00"/>
    <s v="/LIB/FRAIS ACQUIS SWIFT/LIB/FRAIS ACQUIS SWIFT/LIB/XCVEP120 2025110500011414000001/LIB/REF OPERATION : L719180"/>
    <m/>
    <e v="#N/A"/>
    <e v="#N/A"/>
    <n v="89513"/>
    <m/>
    <s v="Banque Populaire Rive de Paris"/>
    <s v="Q4"/>
    <e v="#REF!"/>
    <e v="#REF!"/>
    <e v="#REF!"/>
  </r>
  <r>
    <s v="401000"/>
    <x v="6"/>
    <s v="FOURNISSEURS"/>
    <s v="BPRI"/>
    <n v="1500"/>
    <d v="2025-04-18T00:00:00"/>
    <s v="Invoice Payment by Pili"/>
    <m/>
    <e v="#N/A"/>
    <e v="#N/A"/>
    <n v="68196"/>
    <m/>
    <m/>
    <s v="Q2"/>
    <e v="#REF!"/>
    <e v="#REF!"/>
    <e v="#REF!"/>
  </r>
  <r>
    <s v="401000"/>
    <x v="6"/>
    <s v="FOURNISSEURS"/>
    <s v="BPRI"/>
    <n v="1500"/>
    <d v="2025-06-10T00:00:00"/>
    <s v="START INDUSTRIE – COTISATION MEMBRE ACTIF 2025/2026"/>
    <m/>
    <e v="#N/A"/>
    <e v="#N/A"/>
    <n v="75919"/>
    <m/>
    <m/>
    <s v="Q2"/>
    <e v="#REF!"/>
    <e v="#REF!"/>
    <e v="#REF!"/>
  </r>
  <r>
    <s v="401000"/>
    <x v="6"/>
    <s v="FOURNISSEURS"/>
    <s v="BPRI"/>
    <n v="1500"/>
    <d v="2025-10-31T00:00:00"/>
    <s v="PHASE 2 ET FACTURE FINALE M WATIER"/>
    <m/>
    <e v="#N/A"/>
    <e v="#N/A"/>
    <n v="87588"/>
    <m/>
    <m/>
    <s v="Q4"/>
    <e v="#REF!"/>
    <e v="#REF!"/>
    <e v="#REF!"/>
  </r>
  <r>
    <s v="401000"/>
    <x v="6"/>
    <s v="FOURNISSEURS"/>
    <s v="BPRI"/>
    <n v="1502.09"/>
    <d v="2025-07-23T00:00:00"/>
    <s v="PRLV SEPA SERVICE ACTION SANTE FA2511788"/>
    <m/>
    <s v="Non"/>
    <n v="0"/>
    <n v="78425"/>
    <m/>
    <s v="SERVICE ACTION SANTE"/>
    <s v="Q3"/>
    <e v="#REF!"/>
    <e v="#REF!"/>
    <e v="#REF!"/>
  </r>
  <r>
    <s v="401000"/>
    <x v="6"/>
    <s v="FOURNISSEURS"/>
    <s v="BPRI"/>
    <n v="1504.2"/>
    <d v="2025-11-04T00:00:00"/>
    <s v="MODIFICATION FILTRE À PLAQUES :  - AJOUT BAC DE RÉTENTION - AJOUT SUPPORT SEAU 30L"/>
    <m/>
    <e v="#N/A"/>
    <e v="#N/A"/>
    <n v="88020"/>
    <m/>
    <m/>
    <s v="Q4"/>
    <e v="#REF!"/>
    <e v="#REF!"/>
    <e v="#REF!"/>
  </r>
  <r>
    <s v="401000"/>
    <x v="6"/>
    <s v="FOURNISSEURS"/>
    <s v="BPRI"/>
    <n v="1512"/>
    <d v="2025-02-18T00:00:00"/>
    <s v="EVI REMISE"/>
    <m/>
    <e v="#N/A"/>
    <e v="#N/A"/>
    <n v="21362"/>
    <s v="0GLKPIE"/>
    <s v="CIMEO"/>
    <s v="Q1"/>
    <e v="#REF!"/>
    <e v="#REF!"/>
    <e v="#REF!"/>
  </r>
  <r>
    <s v="401000"/>
    <x v="6"/>
    <s v="FOURNISSEURS"/>
    <s v="BPRI"/>
    <n v="1525.39"/>
    <d v="2025-02-18T00:00:00"/>
    <s v="EVI REMISE"/>
    <m/>
    <e v="#N/A"/>
    <e v="#N/A"/>
    <n v="21342"/>
    <s v="0GLKPI3"/>
    <s v="COTE"/>
    <s v="Q1"/>
    <e v="#REF!"/>
    <e v="#REF!"/>
    <e v="#REF!"/>
  </r>
  <r>
    <s v="401000"/>
    <x v="6"/>
    <s v="FOURNISSEURS"/>
    <s v="BPRI"/>
    <n v="1525.62"/>
    <d v="2025-09-16T00:00:00"/>
    <s v="PRLV SEPA ENGIE"/>
    <m/>
    <e v="#N/A"/>
    <e v="#N/A"/>
    <n v="82435"/>
    <m/>
    <s v="ENGIE"/>
    <s v="Q3"/>
    <e v="#REF!"/>
    <e v="#REF!"/>
    <e v="#REF!"/>
  </r>
  <r>
    <s v="401000"/>
    <x v="6"/>
    <s v="FOURNISSEURS"/>
    <s v="BPRI"/>
    <n v="1536"/>
    <d v="2025-12-23T00:00:00"/>
    <s v="FAR-2025-000748"/>
    <m/>
    <e v="#N/A"/>
    <e v="#N/A"/>
    <n v="93625"/>
    <m/>
    <m/>
    <s v="Q4"/>
    <e v="#REF!"/>
    <e v="#REF!"/>
    <e v="#REF!"/>
  </r>
  <r>
    <s v="401000"/>
    <x v="6"/>
    <s v="FOURNISSEURS"/>
    <s v="BPRI"/>
    <n v="1546.2"/>
    <d v="2025-09-26T00:00:00"/>
    <s v="INVOICE PAYMENT BY PILI"/>
    <m/>
    <e v="#N/A"/>
    <e v="#N/A"/>
    <n v="82481"/>
    <m/>
    <m/>
    <s v="Q3"/>
    <e v="#REF!"/>
    <e v="#REF!"/>
    <e v="#REF!"/>
  </r>
  <r>
    <s v="401000"/>
    <x v="6"/>
    <s v="FOURNISSEURS"/>
    <s v="BPRI"/>
    <n v="1562.4"/>
    <d v="2025-06-04T00:00:00"/>
    <s v="Invoice payment by Pili"/>
    <m/>
    <e v="#N/A"/>
    <e v="#N/A"/>
    <n v="75505"/>
    <m/>
    <m/>
    <s v="Q2"/>
    <e v="#REF!"/>
    <e v="#REF!"/>
    <e v="#REF!"/>
  </r>
  <r>
    <s v="401000"/>
    <x v="6"/>
    <s v="FOURNISSEURS"/>
    <s v="BPRI"/>
    <n v="1562.4"/>
    <d v="2025-08-21T00:00:00"/>
    <s v="CONTRAT DE MAINTENANCE PRO"/>
    <m/>
    <e v="#N/A"/>
    <e v="#N/A"/>
    <n v="81374"/>
    <m/>
    <m/>
    <s v="Q3"/>
    <e v="#REF!"/>
    <e v="#REF!"/>
    <e v="#REF!"/>
  </r>
  <r>
    <s v="401000"/>
    <x v="6"/>
    <s v="FOURNISSEURS"/>
    <s v="BPRI"/>
    <n v="1562.4"/>
    <d v="2025-09-26T00:00:00"/>
    <s v="INVOICE PAYMENT BY PILI"/>
    <m/>
    <e v="#N/A"/>
    <e v="#N/A"/>
    <n v="82471"/>
    <m/>
    <m/>
    <s v="Q3"/>
    <e v="#REF!"/>
    <e v="#REF!"/>
    <e v="#REF!"/>
  </r>
  <r>
    <s v="401000"/>
    <x v="6"/>
    <s v="FOURNISSEURS"/>
    <s v="BPRI"/>
    <n v="1577.31"/>
    <d v="2025-04-22T00:00:00"/>
    <s v="Règlement CB Air France"/>
    <m/>
    <e v="#N/A"/>
    <e v="#N/A"/>
    <n v="68209"/>
    <m/>
    <s v="AIR FRANCE"/>
    <s v="Q2"/>
    <e v="#REF!"/>
    <e v="#REF!"/>
    <e v="#REF!"/>
  </r>
  <r>
    <s v="401000"/>
    <x v="6"/>
    <s v="FOURNISSEURS"/>
    <s v="BPRI"/>
    <n v="1583.99"/>
    <d v="2025-09-26T00:00:00"/>
    <s v="INVOICE PAYMENT BY PILI"/>
    <m/>
    <e v="#N/A"/>
    <e v="#N/A"/>
    <n v="82538"/>
    <m/>
    <m/>
    <s v="Q3"/>
    <e v="#REF!"/>
    <e v="#REF!"/>
    <e v="#REF!"/>
  </r>
  <r>
    <s v="401000"/>
    <x v="6"/>
    <s v="FOURNISSEURS"/>
    <s v="BPRI"/>
    <n v="1584"/>
    <d v="2025-02-28T00:00:00"/>
    <s v="Règlement fournisseurs"/>
    <m/>
    <s v="Non"/>
    <n v="0"/>
    <n v="58919"/>
    <m/>
    <s v="APF SECURITE"/>
    <s v="Q1"/>
    <e v="#REF!"/>
    <e v="#REF!"/>
    <e v="#REF!"/>
  </r>
  <r>
    <s v="401000"/>
    <x v="6"/>
    <s v="FOURNISSEURS"/>
    <s v="BPRI"/>
    <n v="1589.28"/>
    <d v="2025-11-28T00:00:00"/>
    <s v="145044"/>
    <m/>
    <e v="#N/A"/>
    <e v="#N/A"/>
    <n v="91220"/>
    <m/>
    <m/>
    <s v="Q4"/>
    <e v="#REF!"/>
    <e v="#REF!"/>
    <e v="#REF!"/>
  </r>
  <r>
    <s v="401000"/>
    <x v="6"/>
    <s v="FOURNISSEURS"/>
    <s v="BPRI"/>
    <n v="1597.9"/>
    <d v="2025-11-04T00:00:00"/>
    <s v="CONTRAT DE MAINTENANCE PRO"/>
    <m/>
    <e v="#N/A"/>
    <e v="#N/A"/>
    <n v="88046"/>
    <m/>
    <m/>
    <s v="Q4"/>
    <e v="#REF!"/>
    <e v="#REF!"/>
    <e v="#REF!"/>
  </r>
  <r>
    <s v="401000"/>
    <x v="6"/>
    <s v="FOURNISSEURS"/>
    <s v="BPRI"/>
    <n v="1600.56"/>
    <d v="2025-12-10T00:00:00"/>
    <s v="N6171053-2025"/>
    <m/>
    <e v="#N/A"/>
    <e v="#N/A"/>
    <n v="92020"/>
    <m/>
    <m/>
    <s v="Q4"/>
    <e v="#REF!"/>
    <e v="#REF!"/>
    <e v="#REF!"/>
  </r>
  <r>
    <s v="401000"/>
    <x v="6"/>
    <s v="FOURNISSEURS"/>
    <s v="BPRI"/>
    <n v="1600.56"/>
    <d v="2025-12-30T00:00:00"/>
    <s v="N6171054-2025"/>
    <m/>
    <e v="#N/A"/>
    <e v="#N/A"/>
    <n v="93861"/>
    <m/>
    <m/>
    <s v="Q4"/>
    <e v="#REF!"/>
    <e v="#REF!"/>
    <e v="#REF!"/>
  </r>
  <r>
    <s v="401000"/>
    <x v="6"/>
    <s v="FOURNISSEURS"/>
    <s v="BPRI"/>
    <n v="1600.56"/>
    <d v="2025-12-30T00:00:00"/>
    <s v="N6171211-2025"/>
    <m/>
    <e v="#N/A"/>
    <e v="#N/A"/>
    <n v="93730"/>
    <m/>
    <m/>
    <s v="Q4"/>
    <e v="#REF!"/>
    <e v="#REF!"/>
    <e v="#REF!"/>
  </r>
  <r>
    <s v="401000"/>
    <x v="6"/>
    <s v="FOURNISSEURS"/>
    <s v="BPRI"/>
    <n v="1605.6"/>
    <d v="2025-08-21T00:00:00"/>
    <s v="PRESTATION COACHING DE LUCIE CREPIN"/>
    <m/>
    <e v="#N/A"/>
    <e v="#N/A"/>
    <n v="81424"/>
    <m/>
    <m/>
    <s v="Q3"/>
    <e v="#REF!"/>
    <e v="#REF!"/>
    <e v="#REF!"/>
  </r>
  <r>
    <s v="401000"/>
    <x v="6"/>
    <s v="FOURNISSEURS"/>
    <s v="BPRI"/>
    <n v="1608"/>
    <d v="2025-07-31T00:00:00"/>
    <s v="ESSAIS LABORATOIRE ESSOREUSE / DECANTEUSE À BOL POUR SÉPARATION INDIGO ET MOÛT DE FERMENTATION"/>
    <m/>
    <e v="#N/A"/>
    <e v="#N/A"/>
    <n v="79380"/>
    <m/>
    <m/>
    <s v="Q3"/>
    <e v="#REF!"/>
    <e v="#REF!"/>
    <e v="#REF!"/>
  </r>
  <r>
    <s v="401000"/>
    <x v="6"/>
    <s v="FOURNISSEURS"/>
    <s v="BPRI"/>
    <n v="1632.14"/>
    <d v="2025-02-10T00:00:00"/>
    <s v="EVI REMISE"/>
    <m/>
    <e v="#N/A"/>
    <e v="#N/A"/>
    <n v="21252"/>
    <s v="0GLIZFH"/>
    <s v="ARESCOM"/>
    <s v="Q1"/>
    <e v="#REF!"/>
    <e v="#REF!"/>
    <e v="#REF!"/>
  </r>
  <r>
    <s v="401000"/>
    <x v="6"/>
    <s v="FOURNISSEURS"/>
    <s v="BPRI"/>
    <n v="1636.05"/>
    <d v="2025-02-10T00:00:00"/>
    <s v="EVI REMISE"/>
    <m/>
    <e v="#N/A"/>
    <e v="#N/A"/>
    <n v="21254"/>
    <s v="0GLIZFI"/>
    <s v="ARESCOM"/>
    <s v="Q1"/>
    <e v="#REF!"/>
    <e v="#REF!"/>
    <e v="#REF!"/>
  </r>
  <r>
    <s v="401000"/>
    <x v="6"/>
    <s v="FOURNISSEURS"/>
    <s v="BPRI"/>
    <n v="1637.52"/>
    <d v="2025-03-06T00:00:00"/>
    <s v="INVOICE 140962"/>
    <m/>
    <e v="#N/A"/>
    <e v="#N/A"/>
    <n v="50024"/>
    <s v="Règlement"/>
    <m/>
    <s v="Q1"/>
    <e v="#REF!"/>
    <e v="#REF!"/>
    <e v="#REF!"/>
  </r>
  <r>
    <s v="401000"/>
    <x v="6"/>
    <s v="FOURNISSEURS"/>
    <s v="BPRI"/>
    <n v="1646.72"/>
    <d v="2025-12-30T00:00:00"/>
    <s v="145557"/>
    <m/>
    <e v="#N/A"/>
    <e v="#N/A"/>
    <n v="93764"/>
    <m/>
    <m/>
    <s v="Q4"/>
    <e v="#REF!"/>
    <e v="#REF!"/>
    <e v="#REF!"/>
  </r>
  <r>
    <s v="401000"/>
    <x v="6"/>
    <s v="FOURNISSEURS"/>
    <s v="BPRI"/>
    <n v="1648.56"/>
    <d v="2025-03-06T00:00:00"/>
    <s v="INVOICE 140833"/>
    <m/>
    <e v="#N/A"/>
    <e v="#N/A"/>
    <n v="50025"/>
    <s v="Règlement"/>
    <m/>
    <s v="Q1"/>
    <e v="#REF!"/>
    <e v="#REF!"/>
    <e v="#REF!"/>
  </r>
  <r>
    <s v="401000"/>
    <x v="6"/>
    <s v="FOURNISSEURS"/>
    <s v="BPRI"/>
    <n v="1648.56"/>
    <d v="2025-04-08T00:00:00"/>
    <s v="Invoice Payment By Pili"/>
    <m/>
    <e v="#N/A"/>
    <e v="#N/A"/>
    <n v="66698"/>
    <m/>
    <m/>
    <s v="Q2"/>
    <e v="#REF!"/>
    <e v="#REF!"/>
    <e v="#REF!"/>
  </r>
  <r>
    <s v="401000"/>
    <x v="6"/>
    <s v="FOURNISSEURS"/>
    <s v="BPRI"/>
    <n v="1648.56"/>
    <d v="2025-06-02T00:00:00"/>
    <s v="Invoice Payment By Pili"/>
    <m/>
    <e v="#N/A"/>
    <e v="#N/A"/>
    <n v="75230"/>
    <m/>
    <m/>
    <s v="Q2"/>
    <e v="#REF!"/>
    <e v="#REF!"/>
    <e v="#REF!"/>
  </r>
  <r>
    <s v="401000"/>
    <x v="6"/>
    <s v="FOURNISSEURS"/>
    <s v="BPRI"/>
    <n v="1652.73"/>
    <d v="2025-02-18T00:00:00"/>
    <s v="EVI REMISE"/>
    <m/>
    <e v="#N/A"/>
    <e v="#N/A"/>
    <n v="21338"/>
    <s v="0GLKPI0"/>
    <s v="ARESCOM"/>
    <s v="Q1"/>
    <e v="#REF!"/>
    <e v="#REF!"/>
    <e v="#REF!"/>
  </r>
  <r>
    <s v="401000"/>
    <x v="6"/>
    <s v="FOURNISSEURS"/>
    <s v="BPRI"/>
    <n v="1652.96"/>
    <d v="2025-08-21T00:00:00"/>
    <s v="GESTION DES ANNUITÉS"/>
    <m/>
    <e v="#N/A"/>
    <e v="#N/A"/>
    <n v="81409"/>
    <m/>
    <m/>
    <s v="Q3"/>
    <e v="#REF!"/>
    <e v="#REF!"/>
    <e v="#REF!"/>
  </r>
  <r>
    <s v="401000"/>
    <x v="6"/>
    <s v="FOURNISSEURS"/>
    <s v="BPRI"/>
    <n v="1657.05"/>
    <d v="2025-02-18T00:00:00"/>
    <s v="EVI REMISE"/>
    <m/>
    <e v="#N/A"/>
    <e v="#N/A"/>
    <n v="21340"/>
    <s v="0GLKPI2"/>
    <s v="ARESCOM"/>
    <s v="Q1"/>
    <e v="#REF!"/>
    <e v="#REF!"/>
    <e v="#REF!"/>
  </r>
  <r>
    <s v="401000"/>
    <x v="6"/>
    <s v="FOURNISSEURS"/>
    <s v="BPRI"/>
    <n v="1670.24"/>
    <d v="2025-03-21T00:00:00"/>
    <s v="Prélèvement fournisseurs"/>
    <m/>
    <s v="Non"/>
    <n v="0"/>
    <n v="61901"/>
    <m/>
    <s v="SERVICE ACTION SANTE"/>
    <s v="Q1"/>
    <e v="#REF!"/>
    <e v="#REF!"/>
    <e v="#REF!"/>
  </r>
  <r>
    <s v="401000"/>
    <x v="6"/>
    <s v="FOURNISSEURS"/>
    <s v="BPRI"/>
    <n v="85"/>
    <d v="2025-12-16T00:00:00"/>
    <s v="/LIB/FRAIS ADMINISTRATIF/LIB/FRAIS ADMINISTRATIF/LIB/XCOPZ110 2025121500036828000001"/>
    <m/>
    <e v="#N/A"/>
    <e v="#N/A"/>
    <n v="92220"/>
    <m/>
    <s v="Banque Populaire Rive de Paris"/>
    <s v="Q4"/>
    <e v="#REF!"/>
    <e v="#REF!"/>
    <e v="#REF!"/>
  </r>
  <r>
    <s v="401000"/>
    <x v="6"/>
    <s v="FOURNISSEURS"/>
    <s v="BPRI"/>
    <n v="1730.3"/>
    <d v="2025-08-21T00:00:00"/>
    <s v="HONORAIRES DE PROGRESSION SUR LA PÉRIODE DU 1ER AU 31 MAI 2025"/>
    <m/>
    <e v="#N/A"/>
    <e v="#N/A"/>
    <n v="81364"/>
    <m/>
    <m/>
    <s v="Q3"/>
    <e v="#REF!"/>
    <e v="#REF!"/>
    <e v="#REF!"/>
  </r>
  <r>
    <s v="401000"/>
    <x v="6"/>
    <s v="FOURNISSEURS"/>
    <s v="BPRI"/>
    <n v="1751.48"/>
    <d v="2025-04-08T00:00:00"/>
    <s v="Invoice Payment By Pili"/>
    <m/>
    <e v="#N/A"/>
    <e v="#N/A"/>
    <n v="66697"/>
    <m/>
    <m/>
    <s v="Q2"/>
    <e v="#REF!"/>
    <e v="#REF!"/>
    <e v="#REF!"/>
  </r>
  <r>
    <s v="401000"/>
    <x v="6"/>
    <s v="FOURNISSEURS"/>
    <s v="BPRI"/>
    <n v="1761.79"/>
    <d v="2025-09-08T00:00:00"/>
    <s v="TICKET CONFÉRENCE RMC GBW"/>
    <m/>
    <e v="#N/A"/>
    <e v="#N/A"/>
    <n v="81733"/>
    <m/>
    <m/>
    <s v="Q3"/>
    <e v="#REF!"/>
    <e v="#REF!"/>
    <e v="#REF!"/>
  </r>
  <r>
    <s v="401000"/>
    <x v="6"/>
    <s v="FOURNISSEURS"/>
    <s v="BPRI"/>
    <n v="1766.65"/>
    <d v="2025-04-02T00:00:00"/>
    <s v="Invoice Payment by Pili"/>
    <m/>
    <e v="#N/A"/>
    <e v="#N/A"/>
    <n v="66480"/>
    <m/>
    <m/>
    <s v="Q2"/>
    <e v="#REF!"/>
    <e v="#REF!"/>
    <e v="#REF!"/>
  </r>
  <r>
    <s v="401000"/>
    <x v="6"/>
    <s v="FOURNISSEURS"/>
    <s v="BPRI"/>
    <n v="1785.6"/>
    <d v="2025-02-07T00:00:00"/>
    <s v="PRLV SEPA PREVALY"/>
    <m/>
    <e v="#N/A"/>
    <e v="#N/A"/>
    <n v="21238"/>
    <s v="07AAG4Z"/>
    <s v="PREVALY"/>
    <s v="Q1"/>
    <e v="#REF!"/>
    <e v="#REF!"/>
    <e v="#REF!"/>
  </r>
  <r>
    <s v="401000"/>
    <x v="6"/>
    <s v="FOURNISSEURS"/>
    <s v="BPRI"/>
    <n v="1800"/>
    <d v="2025-02-05T00:00:00"/>
    <s v="EVI REMISE"/>
    <s v="Non"/>
    <s v="Non"/>
    <e v="#N/A"/>
    <n v="21208"/>
    <s v="0GLHPE1"/>
    <s v="WE ARE BOLD"/>
    <s v="Q1"/>
    <e v="#REF!"/>
    <e v="#REF!"/>
    <e v="#REF!"/>
  </r>
  <r>
    <s v="401000"/>
    <x v="6"/>
    <s v="FOURNISSEURS"/>
    <s v="BPRI"/>
    <n v="1800"/>
    <d v="2025-02-28T00:00:00"/>
    <s v="Règlement fournisseurs"/>
    <s v="Non"/>
    <s v="Non"/>
    <e v="#N/A"/>
    <n v="58895"/>
    <m/>
    <s v="WE ARE BOLD"/>
    <s v="Q1"/>
    <e v="#REF!"/>
    <e v="#REF!"/>
    <e v="#REF!"/>
  </r>
  <r>
    <s v="401000"/>
    <x v="6"/>
    <s v="FOURNISSEURS"/>
    <s v="BPRI"/>
    <n v="1800"/>
    <d v="2025-03-19T00:00:00"/>
    <s v="Invoice Payment by Pili - BOLD-027562"/>
    <m/>
    <e v="#N/A"/>
    <e v="#N/A"/>
    <n v="61881"/>
    <m/>
    <m/>
    <s v="Q1"/>
    <e v="#REF!"/>
    <e v="#REF!"/>
    <e v="#REF!"/>
  </r>
  <r>
    <s v="401000"/>
    <x v="6"/>
    <s v="FOURNISSEURS"/>
    <s v="BPRI"/>
    <n v="1800"/>
    <d v="2025-06-04T00:00:00"/>
    <s v="Invoice payment by Pili"/>
    <m/>
    <e v="#N/A"/>
    <e v="#N/A"/>
    <n v="75525"/>
    <m/>
    <m/>
    <s v="Q2"/>
    <e v="#REF!"/>
    <e v="#REF!"/>
    <e v="#REF!"/>
  </r>
  <r>
    <s v="401000"/>
    <x v="6"/>
    <s v="FOURNISSEURS"/>
    <s v="BPRI"/>
    <n v="1804.04"/>
    <d v="2025-06-04T00:00:00"/>
    <s v="Invoice payment by Pili"/>
    <m/>
    <e v="#N/A"/>
    <e v="#N/A"/>
    <n v="75500"/>
    <m/>
    <m/>
    <s v="Q2"/>
    <e v="#REF!"/>
    <e v="#REF!"/>
    <e v="#REF!"/>
  </r>
  <r>
    <s v="401000"/>
    <x v="6"/>
    <s v="FOURNISSEURS"/>
    <s v="BPRI"/>
    <n v="1804.04"/>
    <d v="2025-08-08T00:00:00"/>
    <s v="LICENCES OFFICE 365"/>
    <m/>
    <e v="#N/A"/>
    <e v="#N/A"/>
    <n v="80738"/>
    <m/>
    <m/>
    <s v="Q3"/>
    <e v="#REF!"/>
    <e v="#REF!"/>
    <e v="#REF!"/>
  </r>
  <r>
    <s v="401000"/>
    <x v="6"/>
    <s v="FOURNISSEURS"/>
    <s v="BPRI"/>
    <n v="1807.38"/>
    <d v="2025-12-10T00:00:00"/>
    <s v="E002VPR-26-10-0731"/>
    <m/>
    <e v="#N/A"/>
    <e v="#N/A"/>
    <n v="92025"/>
    <m/>
    <m/>
    <s v="Q4"/>
    <e v="#REF!"/>
    <e v="#REF!"/>
    <e v="#REF!"/>
  </r>
  <r>
    <s v="401000"/>
    <x v="6"/>
    <s v="FOURNISSEURS"/>
    <s v="BPRI"/>
    <n v="1812"/>
    <d v="2025-05-12T00:00:00"/>
    <s v="GESTION DE PROJET SÉCURISATION BÂTIMENT DÉMO"/>
    <m/>
    <e v="#N/A"/>
    <e v="#N/A"/>
    <n v="71750"/>
    <m/>
    <s v="AIGP INGENIERIE"/>
    <s v="Q2"/>
    <e v="#REF!"/>
    <e v="#REF!"/>
    <e v="#REF!"/>
  </r>
  <r>
    <s v="401000"/>
    <x v="6"/>
    <s v="FOURNISSEURS"/>
    <s v="BPRI"/>
    <n v="1812"/>
    <d v="2025-06-16T00:00:00"/>
    <s v="GESTION DE PROJET SÉCURISATION BÂTIMENT DÉMO"/>
    <m/>
    <e v="#N/A"/>
    <e v="#N/A"/>
    <n v="76028"/>
    <m/>
    <m/>
    <s v="Q2"/>
    <e v="#REF!"/>
    <e v="#REF!"/>
    <e v="#REF!"/>
  </r>
  <r>
    <s v="401000"/>
    <x v="6"/>
    <s v="FOURNISSEURS"/>
    <s v="BPRI"/>
    <n v="1825.81"/>
    <d v="2025-08-21T00:00:00"/>
    <s v="R1000 - VANNE À BOISSEAU SPHÉRIQUE KK/F DN40"/>
    <m/>
    <e v="#N/A"/>
    <e v="#N/A"/>
    <n v="81460"/>
    <m/>
    <m/>
    <s v="Q3"/>
    <e v="#REF!"/>
    <e v="#REF!"/>
    <e v="#REF!"/>
  </r>
  <r>
    <s v="401000"/>
    <x v="6"/>
    <s v="FOURNISSEURS"/>
    <s v="BPRI"/>
    <n v="1828.97"/>
    <d v="2025-06-02T00:00:00"/>
    <s v="Invoice Payment By Pili"/>
    <m/>
    <e v="#N/A"/>
    <e v="#N/A"/>
    <n v="75225"/>
    <m/>
    <m/>
    <s v="Q2"/>
    <e v="#REF!"/>
    <e v="#REF!"/>
    <e v="#REF!"/>
  </r>
  <r>
    <s v="401000"/>
    <x v="6"/>
    <s v="FOURNISSEURS"/>
    <s v="BPRI"/>
    <n v="1840"/>
    <d v="2025-07-09T00:00:00"/>
    <s v="TRANSPORT OF MATERIAL TO ALFA  LAVAL ITALY (MEDICAL LOGISTICS),"/>
    <s v="Non"/>
    <e v="#N/A"/>
    <e v="#N/A"/>
    <n v="77193"/>
    <m/>
    <s v="BIOTIKA"/>
    <s v="Q3"/>
    <e v="#REF!"/>
    <e v="#REF!"/>
    <e v="#REF!"/>
  </r>
  <r>
    <s v="401000"/>
    <x v="6"/>
    <s v="FOURNISSEURS"/>
    <s v="BPRI"/>
    <n v="1906.2"/>
    <d v="2025-01-10T00:00:00"/>
    <s v="EVI REMISE"/>
    <m/>
    <e v="#N/A"/>
    <e v="#N/A"/>
    <n v="20944"/>
    <s v="0GLAZ81"/>
    <s v="PHENOMENEX"/>
    <s v="Q1"/>
    <e v="#REF!"/>
    <e v="#REF!"/>
    <e v="#REF!"/>
  </r>
  <r>
    <s v="401000"/>
    <x v="6"/>
    <s v="FOURNISSEURS"/>
    <s v="BPRI"/>
    <n v="1945.3"/>
    <d v="2025-05-23T00:00:00"/>
    <s v="Invoice payment by Pili"/>
    <m/>
    <e v="#N/A"/>
    <e v="#N/A"/>
    <n v="74040"/>
    <m/>
    <m/>
    <s v="Q2"/>
    <e v="#REF!"/>
    <e v="#REF!"/>
    <e v="#REF!"/>
  </r>
  <r>
    <s v="401000"/>
    <x v="6"/>
    <s v="FOURNISSEURS"/>
    <s v="BPRI"/>
    <n v="1946.6"/>
    <d v="2025-06-04T00:00:00"/>
    <s v="Prélèvement AXA - assurance"/>
    <m/>
    <e v="#N/A"/>
    <e v="#N/A"/>
    <n v="75495"/>
    <m/>
    <s v="INITIATIVE &amp; RISK PARTNERS"/>
    <s v="Q2"/>
    <e v="#REF!"/>
    <e v="#REF!"/>
    <e v="#REF!"/>
  </r>
  <r>
    <s v="401000"/>
    <x v="6"/>
    <s v="FOURNISSEURS"/>
    <s v="BPRI"/>
    <n v="1946.6"/>
    <d v="2025-06-04T00:00:00"/>
    <s v="Prélèvement Initiative &amp; Risk Partners - DOUBLON"/>
    <m/>
    <e v="#N/A"/>
    <e v="#N/A"/>
    <n v="75498"/>
    <m/>
    <s v="INITIATIVE &amp; RISK PARTNERS"/>
    <s v="Q2"/>
    <e v="#REF!"/>
    <e v="#REF!"/>
    <e v="#REF!"/>
  </r>
  <r>
    <s v="401000"/>
    <x v="6"/>
    <s v="FOURNISSEURS"/>
    <s v="BPRI"/>
    <n v="1957.16"/>
    <d v="2025-03-18T00:00:00"/>
    <s v="Prélèvement Engie"/>
    <m/>
    <e v="#N/A"/>
    <e v="#N/A"/>
    <n v="61851"/>
    <m/>
    <s v="ENGIE"/>
    <s v="Q1"/>
    <e v="#REF!"/>
    <e v="#REF!"/>
    <e v="#REF!"/>
  </r>
  <r>
    <s v="401000"/>
    <x v="6"/>
    <s v="FOURNISSEURS"/>
    <s v="BPRI"/>
    <n v="1969.73"/>
    <d v="2025-03-28T00:00:00"/>
    <s v="Invoice Payment by Pili"/>
    <m/>
    <e v="#N/A"/>
    <e v="#N/A"/>
    <n v="65019"/>
    <m/>
    <m/>
    <s v="Q1"/>
    <e v="#REF!"/>
    <e v="#REF!"/>
    <e v="#REF!"/>
  </r>
  <r>
    <s v="401000"/>
    <x v="6"/>
    <s v="FOURNISSEURS"/>
    <s v="BPRI"/>
    <n v="1981.1"/>
    <d v="2025-09-26T00:00:00"/>
    <s v="INVOICE PAYMENT BY PILI"/>
    <m/>
    <e v="#N/A"/>
    <e v="#N/A"/>
    <n v="82476"/>
    <m/>
    <m/>
    <s v="Q3"/>
    <e v="#REF!"/>
    <e v="#REF!"/>
    <e v="#REF!"/>
  </r>
  <r>
    <s v="401000"/>
    <x v="6"/>
    <s v="FOURNISSEURS"/>
    <s v="BPRI"/>
    <n v="1981.1"/>
    <d v="2025-11-04T00:00:00"/>
    <s v="LICENCES OFFICE 365"/>
    <m/>
    <e v="#N/A"/>
    <e v="#N/A"/>
    <n v="88051"/>
    <m/>
    <m/>
    <s v="Q4"/>
    <e v="#REF!"/>
    <e v="#REF!"/>
    <e v="#REF!"/>
  </r>
  <r>
    <s v="401000"/>
    <x v="6"/>
    <s v="FOURNISSEURS"/>
    <s v="BPRI"/>
    <n v="1981.1"/>
    <d v="2025-11-28T00:00:00"/>
    <s v="145166"/>
    <m/>
    <e v="#N/A"/>
    <e v="#N/A"/>
    <n v="91225"/>
    <m/>
    <m/>
    <s v="Q4"/>
    <e v="#REF!"/>
    <e v="#REF!"/>
    <e v="#REF!"/>
  </r>
  <r>
    <s v="401000"/>
    <x v="6"/>
    <s v="FOURNISSEURS"/>
    <s v="BPRI"/>
    <n v="1981.1"/>
    <d v="2025-12-30T00:00:00"/>
    <s v="145679"/>
    <m/>
    <e v="#N/A"/>
    <e v="#N/A"/>
    <n v="93799"/>
    <m/>
    <m/>
    <s v="Q4"/>
    <e v="#REF!"/>
    <e v="#REF!"/>
    <e v="#REF!"/>
  </r>
  <r>
    <s v="401000"/>
    <x v="6"/>
    <s v="FOURNISSEURS"/>
    <s v="BPRI"/>
    <n v="2000"/>
    <d v="2025-08-08T00:00:00"/>
    <s v="REVUE DE LITT SCIENTIFIQUE INDIGO ET COLORANTS/PIGMENTS"/>
    <m/>
    <e v="#N/A"/>
    <e v="#N/A"/>
    <n v="80733"/>
    <m/>
    <m/>
    <s v="Q3"/>
    <e v="#REF!"/>
    <e v="#REF!"/>
    <e v="#REF!"/>
  </r>
  <r>
    <s v="401000"/>
    <x v="6"/>
    <s v="FOURNISSEURS"/>
    <s v="BPRI"/>
    <n v="2000"/>
    <d v="2025-09-22T00:00:00"/>
    <s v="PHOENIX VBIO - ESSAI DECANTEUR - CENTRIGUGE / MARINER"/>
    <m/>
    <e v="#N/A"/>
    <e v="#N/A"/>
    <n v="82374"/>
    <m/>
    <m/>
    <s v="Q3"/>
    <e v="#REF!"/>
    <e v="#REF!"/>
    <e v="#REF!"/>
  </r>
  <r>
    <s v="401000"/>
    <x v="6"/>
    <s v="FOURNISSEURS"/>
    <s v="BPRI"/>
    <n v="2034.4"/>
    <d v="2025-01-30T00:00:00"/>
    <s v="EVI REMISE"/>
    <m/>
    <e v="#N/A"/>
    <e v="#N/A"/>
    <n v="21123"/>
    <s v="0GLGCN3"/>
    <s v="FISHER SCIENTIFIC"/>
    <s v="Q1"/>
    <e v="#REF!"/>
    <e v="#REF!"/>
    <e v="#REF!"/>
  </r>
  <r>
    <s v="401000"/>
    <x v="6"/>
    <s v="FOURNISSEURS"/>
    <s v="BPRI"/>
    <n v="2052"/>
    <d v="2025-12-30T00:00:00"/>
    <s v="F00034250900143"/>
    <m/>
    <e v="#N/A"/>
    <e v="#N/A"/>
    <n v="93789"/>
    <m/>
    <m/>
    <s v="Q4"/>
    <e v="#REF!"/>
    <e v="#REF!"/>
    <e v="#REF!"/>
  </r>
  <r>
    <s v="401000"/>
    <x v="6"/>
    <s v="FOURNISSEURS"/>
    <s v="BPRI"/>
    <n v="2054.6999999999998"/>
    <d v="2025-01-31T00:00:00"/>
    <s v="EVI REMISE"/>
    <s v="Non"/>
    <s v="Non"/>
    <e v="#N/A"/>
    <n v="21164"/>
    <s v="0GLGKO7"/>
    <s v="OSIRIS"/>
    <s v="Q1"/>
    <e v="#REF!"/>
    <e v="#REF!"/>
    <e v="#REF!"/>
  </r>
  <r>
    <s v="401000"/>
    <x v="6"/>
    <s v="FOURNISSEURS"/>
    <s v="BPRI"/>
    <n v="2062.67"/>
    <d v="2025-04-29T00:00:00"/>
    <s v="Invoice Payment by Pili"/>
    <m/>
    <e v="#N/A"/>
    <e v="#N/A"/>
    <n v="70486"/>
    <m/>
    <m/>
    <s v="Q2"/>
    <e v="#REF!"/>
    <e v="#REF!"/>
    <e v="#REF!"/>
  </r>
  <r>
    <s v="401000"/>
    <x v="6"/>
    <s v="FOURNISSEURS"/>
    <s v="BPRI"/>
    <n v="2106.7600000000002"/>
    <d v="2025-09-12T00:00:00"/>
    <s v="LICENCES OFFICE 365"/>
    <m/>
    <e v="#N/A"/>
    <e v="#N/A"/>
    <n v="81984"/>
    <m/>
    <m/>
    <s v="Q3"/>
    <e v="#REF!"/>
    <e v="#REF!"/>
    <e v="#REF!"/>
  </r>
  <r>
    <s v="401000"/>
    <x v="6"/>
    <s v="FOURNISSEURS"/>
    <s v="BPRI"/>
    <n v="2136.4499999999998"/>
    <d v="2025-07-01T00:00:00"/>
    <s v="Invoice Payment by Pili"/>
    <s v="Non"/>
    <s v="Non"/>
    <e v="#N/A"/>
    <n v="76952"/>
    <m/>
    <s v="NEIL BELL"/>
    <s v="Q3"/>
    <e v="#REF!"/>
    <e v="#REF!"/>
    <e v="#REF!"/>
  </r>
  <r>
    <s v="401000"/>
    <x v="6"/>
    <s v="FOURNISSEURS"/>
    <s v="BPRI"/>
    <n v="2142.5"/>
    <d v="2025-03-07T00:00:00"/>
    <s v="Invoice 147037"/>
    <m/>
    <e v="#N/A"/>
    <e v="#N/A"/>
    <n v="58778"/>
    <m/>
    <m/>
    <s v="Q1"/>
    <e v="#REF!"/>
    <e v="#REF!"/>
    <e v="#REF!"/>
  </r>
  <r>
    <s v="401000"/>
    <x v="6"/>
    <s v="FOURNISSEURS"/>
    <s v="BPRI"/>
    <n v="2150"/>
    <d v="2025-01-15T00:00:00"/>
    <s v="EVI REMISE"/>
    <m/>
    <e v="#N/A"/>
    <e v="#N/A"/>
    <n v="20990"/>
    <s v="0GLCS43"/>
    <s v="NURNBERG"/>
    <s v="Q1"/>
    <e v="#REF!"/>
    <e v="#REF!"/>
    <e v="#REF!"/>
  </r>
  <r>
    <s v="401000"/>
    <x v="6"/>
    <s v="FOURNISSEURS"/>
    <s v="BPRI"/>
    <n v="2160"/>
    <d v="2025-06-02T00:00:00"/>
    <s v="Invoice Payment By Pili"/>
    <m/>
    <e v="#N/A"/>
    <e v="#N/A"/>
    <n v="75246"/>
    <m/>
    <m/>
    <s v="Q2"/>
    <e v="#REF!"/>
    <e v="#REF!"/>
    <e v="#REF!"/>
  </r>
  <r>
    <s v="401000"/>
    <x v="6"/>
    <s v="FOURNISSEURS"/>
    <s v="BPRI"/>
    <n v="2175.37"/>
    <d v="2025-08-21T00:00:00"/>
    <s v="INVOICE 10"/>
    <s v="Non"/>
    <s v="Non"/>
    <e v="#N/A"/>
    <n v="81720"/>
    <m/>
    <s v="NEIL BELL"/>
    <s v="Q3"/>
    <e v="#REF!"/>
    <e v="#REF!"/>
    <e v="#REF!"/>
  </r>
  <r>
    <s v="401000"/>
    <x v="6"/>
    <s v="FOURNISSEURS"/>
    <s v="BPRI"/>
    <n v="2185.1999999999998"/>
    <d v="2025-01-06T00:00:00"/>
    <s v="EVI REMISE"/>
    <s v="Non"/>
    <s v="Oui"/>
    <e v="#N/A"/>
    <n v="20898"/>
    <s v="0GL9637"/>
    <s v="BECKER"/>
    <s v="Q1"/>
    <e v="#REF!"/>
    <e v="#REF!"/>
    <e v="#REF!"/>
  </r>
  <r>
    <s v="401000"/>
    <x v="6"/>
    <s v="FOURNISSEURS"/>
    <s v="BPRI"/>
    <n v="2191.1999999999998"/>
    <d v="2025-03-14T00:00:00"/>
    <s v="facture F12114"/>
    <m/>
    <e v="#N/A"/>
    <e v="#N/A"/>
    <n v="61675"/>
    <m/>
    <m/>
    <s v="Q1"/>
    <e v="#REF!"/>
    <e v="#REF!"/>
    <e v="#REF!"/>
  </r>
  <r>
    <s v="401000"/>
    <x v="6"/>
    <s v="FOURNISSEURS"/>
    <s v="BPRI"/>
    <n v="2220"/>
    <d v="2025-09-22T00:00:00"/>
    <s v="FACTURE 0017360"/>
    <m/>
    <e v="#N/A"/>
    <e v="#N/A"/>
    <n v="82454"/>
    <m/>
    <s v="PIGNAT"/>
    <s v="Q3"/>
    <e v="#REF!"/>
    <e v="#REF!"/>
    <e v="#REF!"/>
  </r>
  <r>
    <s v="401000"/>
    <x v="6"/>
    <s v="FOURNISSEURS"/>
    <s v="BPRI"/>
    <n v="2232.13"/>
    <d v="2025-01-15T00:00:00"/>
    <s v="EVI REMISE"/>
    <m/>
    <e v="#N/A"/>
    <e v="#N/A"/>
    <n v="20994"/>
    <s v="0GLCS45"/>
    <s v="COTE"/>
    <s v="Q1"/>
    <e v="#REF!"/>
    <e v="#REF!"/>
    <e v="#REF!"/>
  </r>
  <r>
    <s v="401000"/>
    <x v="6"/>
    <s v="FOURNISSEURS"/>
    <s v="BPRI"/>
    <n v="2250"/>
    <d v="2025-07-31T00:00:00"/>
    <s v="PRESTATION CONSEIL DISTRIBUTION E. CHARRIERE"/>
    <m/>
    <e v="#N/A"/>
    <e v="#N/A"/>
    <n v="79259"/>
    <m/>
    <m/>
    <s v="Q3"/>
    <e v="#REF!"/>
    <e v="#REF!"/>
    <e v="#REF!"/>
  </r>
  <r>
    <s v="401000"/>
    <x v="6"/>
    <s v="FOURNISSEURS"/>
    <s v="BPRI"/>
    <n v="2308.36"/>
    <d v="2025-08-21T00:00:00"/>
    <s v="INTERVENTION SUR HPLC ROUSSILLON"/>
    <m/>
    <e v="#N/A"/>
    <e v="#N/A"/>
    <n v="81465"/>
    <m/>
    <m/>
    <s v="Q3"/>
    <e v="#REF!"/>
    <e v="#REF!"/>
    <e v="#REF!"/>
  </r>
  <r>
    <s v="401000"/>
    <x v="6"/>
    <s v="FOURNISSEURS"/>
    <s v="BPRI"/>
    <n v="2310.9899999999998"/>
    <d v="2025-08-18T00:00:00"/>
    <s v="MONTHLY CONSULTANCY SERVICES 2025_04"/>
    <s v="Non"/>
    <s v="Non"/>
    <e v="#N/A"/>
    <n v="81176"/>
    <m/>
    <s v="NEIL BELL"/>
    <s v="Q3"/>
    <e v="#REF!"/>
    <e v="#REF!"/>
    <e v="#REF!"/>
  </r>
  <r>
    <s v="401000"/>
    <x v="6"/>
    <s v="FOURNISSEURS"/>
    <s v="BPRI"/>
    <n v="2317.39"/>
    <d v="2025-04-02T00:00:00"/>
    <s v="Invoice Payment by Pili"/>
    <m/>
    <e v="#N/A"/>
    <e v="#N/A"/>
    <n v="66562"/>
    <m/>
    <m/>
    <s v="Q2"/>
    <e v="#REF!"/>
    <e v="#REF!"/>
    <e v="#REF!"/>
  </r>
  <r>
    <s v="401000"/>
    <x v="6"/>
    <s v="FOURNISSEURS"/>
    <s v="BPRI"/>
    <n v="2320"/>
    <d v="2025-06-30T00:00:00"/>
    <s v="LICENCES DOTMATICS 2026 - 2 ADDITIONAL CHEMISTRY"/>
    <s v="Non"/>
    <e v="#N/A"/>
    <e v="#N/A"/>
    <n v="76885"/>
    <m/>
    <s v="DOTMATICS LIMITED"/>
    <s v="Q2"/>
    <e v="#REF!"/>
    <e v="#REF!"/>
    <e v="#REF!"/>
  </r>
  <r>
    <s v="401000"/>
    <x v="6"/>
    <s v="FOURNISSEURS"/>
    <s v="BPRI"/>
    <n v="2326.1999999999998"/>
    <d v="2025-07-31T00:00:00"/>
    <s v="DEMO : SÉCURISATION ZONE DÉMONSTRATEUR : - FONDATION POTEAUX EXISTANTS - TERRASSEMENT"/>
    <m/>
    <e v="#N/A"/>
    <e v="#N/A"/>
    <n v="79289"/>
    <m/>
    <m/>
    <s v="Q3"/>
    <e v="#REF!"/>
    <e v="#REF!"/>
    <e v="#REF!"/>
  </r>
  <r>
    <s v="401000"/>
    <x v="6"/>
    <s v="FOURNISSEURS"/>
    <s v="BPRI"/>
    <n v="2328"/>
    <d v="2025-12-05T00:00:00"/>
    <s v="2025/156"/>
    <m/>
    <e v="#N/A"/>
    <e v="#N/A"/>
    <n v="91363"/>
    <m/>
    <m/>
    <s v="Q4"/>
    <e v="#REF!"/>
    <e v="#REF!"/>
    <e v="#REF!"/>
  </r>
  <r>
    <s v="401000"/>
    <x v="6"/>
    <s v="FOURNISSEURS"/>
    <s v="BPRI"/>
    <n v="2335.12"/>
    <d v="2025-12-30T00:00:00"/>
    <s v="0190171"/>
    <m/>
    <e v="#N/A"/>
    <e v="#N/A"/>
    <n v="93794"/>
    <m/>
    <m/>
    <s v="Q4"/>
    <e v="#REF!"/>
    <e v="#REF!"/>
    <e v="#REF!"/>
  </r>
  <r>
    <s v="401000"/>
    <x v="6"/>
    <s v="FOURNISSEURS"/>
    <s v="BPRI"/>
    <n v="2340"/>
    <d v="2025-01-17T00:00:00"/>
    <s v="EVI REMISE"/>
    <m/>
    <e v="#N/A"/>
    <e v="#N/A"/>
    <n v="21020"/>
    <s v="0GLDAE3"/>
    <s v="CIAMT"/>
    <s v="Q1"/>
    <e v="#REF!"/>
    <e v="#REF!"/>
    <e v="#REF!"/>
  </r>
  <r>
    <s v="401000"/>
    <x v="6"/>
    <s v="FOURNISSEURS"/>
    <s v="BPRI"/>
    <n v="2340"/>
    <d v="2025-02-18T00:00:00"/>
    <s v="Doublon paiement"/>
    <m/>
    <e v="#N/A"/>
    <e v="#N/A"/>
    <n v="21336"/>
    <s v="0GLKPHZ"/>
    <s v="CIAMT"/>
    <s v="Q1"/>
    <e v="#REF!"/>
    <e v="#REF!"/>
    <e v="#REF!"/>
  </r>
  <r>
    <s v="401000"/>
    <x v="6"/>
    <s v="FOURNISSEURS"/>
    <s v="BPRI"/>
    <n v="2350.5"/>
    <d v="2025-03-06T00:00:00"/>
    <s v="CMAP24094 - ChemMap Level 1"/>
    <m/>
    <e v="#N/A"/>
    <e v="#N/A"/>
    <n v="59012"/>
    <m/>
    <s v="Eurofins BLC Leather Technology Centre Limited"/>
    <s v="Q1"/>
    <e v="#REF!"/>
    <e v="#REF!"/>
    <e v="#REF!"/>
  </r>
  <r>
    <s v="401000"/>
    <x v="6"/>
    <s v="FOURNISSEURS"/>
    <s v="BPRI"/>
    <n v="2378.21"/>
    <d v="2025-01-16T00:00:00"/>
    <s v="VIR ETRANGER"/>
    <m/>
    <e v="#N/A"/>
    <e v="#N/A"/>
    <n v="21012"/>
    <s v="L688050"/>
    <s v="Eurofins BLC Leather Technology Centre Limited"/>
    <s v="Q1"/>
    <e v="#REF!"/>
    <e v="#REF!"/>
    <e v="#REF!"/>
  </r>
  <r>
    <s v="401000"/>
    <x v="6"/>
    <s v="FOURNISSEURS"/>
    <s v="BPRI"/>
    <n v="2385.4699999999998"/>
    <d v="2025-03-03T00:00:00"/>
    <s v="Paiement EUROFINS en double"/>
    <m/>
    <e v="#N/A"/>
    <e v="#N/A"/>
    <n v="59014"/>
    <m/>
    <s v="Eurofins BLC Leather Technology Centre Limited"/>
    <s v="Q1"/>
    <e v="#REF!"/>
    <e v="#REF!"/>
    <e v="#REF!"/>
  </r>
  <r>
    <s v="401000"/>
    <x v="6"/>
    <s v="FOURNISSEURS"/>
    <s v="BPRI"/>
    <n v="2400"/>
    <d v="2025-04-18T00:00:00"/>
    <s v="Invoice Payment by Pili"/>
    <m/>
    <e v="#N/A"/>
    <e v="#N/A"/>
    <n v="68146"/>
    <m/>
    <m/>
    <s v="Q2"/>
    <e v="#REF!"/>
    <e v="#REF!"/>
    <e v="#REF!"/>
  </r>
  <r>
    <s v="401000"/>
    <x v="6"/>
    <s v="FOURNISSEURS"/>
    <s v="BPRI"/>
    <n v="2400"/>
    <d v="2025-07-09T00:00:00"/>
    <s v="FACTURE N° FW-2025040²"/>
    <s v="Non"/>
    <s v="Non"/>
    <e v="#N/A"/>
    <n v="77255"/>
    <m/>
    <s v="WiSEED"/>
    <s v="Q3"/>
    <e v="#REF!"/>
    <e v="#REF!"/>
    <e v="#REF!"/>
  </r>
  <r>
    <s v="401000"/>
    <x v="6"/>
    <s v="FOURNISSEURS"/>
    <s v="BPRI"/>
    <n v="2408.88"/>
    <d v="2025-07-18T00:00:00"/>
    <s v="MONTHLY CONSULTANCE SERVICES 2025_03"/>
    <s v="Non"/>
    <s v="Non"/>
    <e v="#N/A"/>
    <n v="78320"/>
    <m/>
    <s v="NEIL BELL"/>
    <s v="Q3"/>
    <e v="#REF!"/>
    <e v="#REF!"/>
    <e v="#REF!"/>
  </r>
  <r>
    <s v="401000"/>
    <x v="6"/>
    <s v="FOURNISSEURS"/>
    <s v="BPRI"/>
    <n v="2450.7399999999998"/>
    <d v="2025-03-12T00:00:00"/>
    <s v="Acompte PO199"/>
    <m/>
    <e v="#N/A"/>
    <e v="#N/A"/>
    <n v="61608"/>
    <m/>
    <s v="DENIOS"/>
    <s v="Q1"/>
    <e v="#REF!"/>
    <e v="#REF!"/>
    <e v="#REF!"/>
  </r>
  <r>
    <s v="401000"/>
    <x v="6"/>
    <s v="FOURNISSEURS"/>
    <s v="BPRI"/>
    <n v="2472"/>
    <d v="2025-01-30T00:00:00"/>
    <s v="EVI REMISE"/>
    <m/>
    <e v="#N/A"/>
    <e v="#N/A"/>
    <n v="21141"/>
    <s v="0GLGCRW"/>
    <s v="SMTS"/>
    <s v="Q1"/>
    <e v="#REF!"/>
    <e v="#REF!"/>
    <e v="#REF!"/>
  </r>
  <r>
    <s v="401000"/>
    <x v="6"/>
    <s v="FOURNISSEURS"/>
    <s v="BPRI"/>
    <n v="2590"/>
    <d v="2025-07-09T00:00:00"/>
    <s v="TRANSPORTATION COSTS"/>
    <s v="Non"/>
    <e v="#N/A"/>
    <e v="#N/A"/>
    <n v="77203"/>
    <m/>
    <s v="BIOTIKA"/>
    <s v="Q3"/>
    <e v="#REF!"/>
    <e v="#REF!"/>
    <e v="#REF!"/>
  </r>
  <r>
    <s v="401000"/>
    <x v="6"/>
    <s v="FOURNISSEURS"/>
    <s v="BPRI"/>
    <n v="2628"/>
    <d v="2025-03-19T00:00:00"/>
    <s v="Invoice Payment by Pili"/>
    <m/>
    <e v="#N/A"/>
    <e v="#N/A"/>
    <n v="61891"/>
    <m/>
    <m/>
    <s v="Q1"/>
    <e v="#REF!"/>
    <e v="#REF!"/>
    <e v="#REF!"/>
  </r>
  <r>
    <s v="401000"/>
    <x v="6"/>
    <s v="FOURNISSEURS"/>
    <s v="BPRI"/>
    <n v="2684.62"/>
    <d v="2025-10-31T00:00:00"/>
    <s v="0189108"/>
    <m/>
    <e v="#N/A"/>
    <e v="#N/A"/>
    <n v="87538"/>
    <m/>
    <m/>
    <s v="Q4"/>
    <e v="#REF!"/>
    <e v="#REF!"/>
    <e v="#REF!"/>
  </r>
  <r>
    <s v="401000"/>
    <x v="6"/>
    <s v="FOURNISSEURS"/>
    <s v="BPRI"/>
    <n v="2700"/>
    <d v="2025-05-26T00:00:00"/>
    <s v="Règlement fournisseur"/>
    <m/>
    <s v="Non"/>
    <e v="#N/A"/>
    <n v="74098"/>
    <m/>
    <s v="AXE GESCOM"/>
    <s v="Q2"/>
    <e v="#REF!"/>
    <e v="#REF!"/>
    <e v="#REF!"/>
  </r>
  <r>
    <s v="401000"/>
    <x v="6"/>
    <s v="FOURNISSEURS"/>
    <s v="BPRI"/>
    <n v="2700"/>
    <d v="2025-08-28T00:00:00"/>
    <s v="PRLV SEPA AXE GESCOM"/>
    <m/>
    <s v="Non"/>
    <e v="#N/A"/>
    <n v="81656"/>
    <m/>
    <s v="AXE GESCOM"/>
    <s v="Q3"/>
    <e v="#REF!"/>
    <e v="#REF!"/>
    <e v="#REF!"/>
  </r>
  <r>
    <s v="512100"/>
    <x v="6"/>
    <s v="BANQUE POPULAIRE RIVE DE PARIS"/>
    <s v="BPRI"/>
    <n v="-85"/>
    <d v="2025-12-16T00:00:00"/>
    <s v="/LIB/FRAIS ADMINISTRATIF/LIB/FRAIS ADMINISTRATIF/LIB/XCOPZ110 2025121500036828000001"/>
    <m/>
    <e v="#N/A"/>
    <e v="#N/A"/>
    <n v="92219"/>
    <m/>
    <s v="Banque Populaire Rive de Paris"/>
    <s v="Q4"/>
    <e v="#REF!"/>
    <e v="#REF!"/>
    <e v="#REF!"/>
  </r>
  <r>
    <s v="401000"/>
    <x v="6"/>
    <s v="FOURNISSEURS"/>
    <s v="BPRI"/>
    <n v="2806.51"/>
    <d v="2025-02-18T00:00:00"/>
    <s v="EVI REMISE"/>
    <s v="Non"/>
    <s v="Non"/>
    <e v="#N/A"/>
    <n v="21366"/>
    <s v="0GLKPIH"/>
    <s v="F2P AUDIT &amp; CONSEIL"/>
    <s v="Q1"/>
    <e v="#REF!"/>
    <e v="#REF!"/>
    <e v="#REF!"/>
  </r>
  <r>
    <s v="401000"/>
    <x v="6"/>
    <s v="FOURNISSEURS"/>
    <s v="BPRI"/>
    <n v="17.170000000000002"/>
    <d v="2025-11-05T00:00:00"/>
    <s v="/LIB/FRAIS VIR ETRANGER EMIS/LIB/FRAIS VIR ETRANGER EMIS/LIB/XCVEP022 2025110400010675000001/LIB/REF OPERATION : L719180"/>
    <m/>
    <e v="#N/A"/>
    <e v="#N/A"/>
    <n v="89257"/>
    <m/>
    <s v="Banque Populaire Rive de Paris"/>
    <s v="Q4"/>
    <e v="#REF!"/>
    <e v="#REF!"/>
    <e v="#REF!"/>
  </r>
  <r>
    <s v="401000"/>
    <x v="6"/>
    <s v="FOURNISSEURS"/>
    <s v="BPRI"/>
    <n v="2875"/>
    <d v="2025-05-07T00:00:00"/>
    <s v="COTISATION 2025"/>
    <m/>
    <e v="#N/A"/>
    <e v="#N/A"/>
    <n v="71758"/>
    <m/>
    <m/>
    <s v="Q2"/>
    <e v="#REF!"/>
    <e v="#REF!"/>
    <e v="#REF!"/>
  </r>
  <r>
    <s v="401000"/>
    <x v="6"/>
    <s v="FOURNISSEURS"/>
    <s v="BPRI"/>
    <n v="2880"/>
    <d v="2025-10-03T00:00:00"/>
    <s v="FACT1901"/>
    <m/>
    <e v="#N/A"/>
    <e v="#N/A"/>
    <n v="82702"/>
    <m/>
    <s v="DMI"/>
    <s v="Q4"/>
    <e v="#REF!"/>
    <e v="#REF!"/>
    <e v="#REF!"/>
  </r>
  <r>
    <s v="401000"/>
    <x v="6"/>
    <s v="FOURNISSEURS"/>
    <s v="BPRI"/>
    <n v="2886.24"/>
    <d v="2025-10-31T00:00:00"/>
    <s v="LSE-049745"/>
    <m/>
    <e v="#N/A"/>
    <e v="#N/A"/>
    <n v="87558"/>
    <m/>
    <m/>
    <s v="Q4"/>
    <e v="#REF!"/>
    <e v="#REF!"/>
    <e v="#REF!"/>
  </r>
  <r>
    <s v="401000"/>
    <x v="6"/>
    <s v="FOURNISSEURS"/>
    <s v="BPRI"/>
    <n v="2896.04"/>
    <d v="2025-11-17T00:00:00"/>
    <s v="PRESTATION TRAITEUR SÉMINAIRE PILI"/>
    <m/>
    <e v="#N/A"/>
    <e v="#N/A"/>
    <n v="90125"/>
    <m/>
    <s v="TRAITEUR GRAND"/>
    <s v="Q4"/>
    <e v="#REF!"/>
    <e v="#REF!"/>
    <e v="#REF!"/>
  </r>
  <r>
    <s v="401000"/>
    <x v="6"/>
    <s v="FOURNISSEURS"/>
    <s v="BPRI"/>
    <n v="2904"/>
    <d v="2025-11-28T00:00:00"/>
    <s v="FAR-2025-000189"/>
    <m/>
    <e v="#N/A"/>
    <e v="#N/A"/>
    <n v="91205"/>
    <m/>
    <m/>
    <s v="Q4"/>
    <e v="#REF!"/>
    <e v="#REF!"/>
    <e v="#REF!"/>
  </r>
  <r>
    <s v="401000"/>
    <x v="6"/>
    <s v="FOURNISSEURS"/>
    <s v="BPRI"/>
    <n v="2904"/>
    <d v="2025-12-10T00:00:00"/>
    <s v="FAR-2025-000562"/>
    <m/>
    <e v="#N/A"/>
    <e v="#N/A"/>
    <n v="92068"/>
    <m/>
    <m/>
    <s v="Q4"/>
    <e v="#REF!"/>
    <e v="#REF!"/>
    <e v="#REF!"/>
  </r>
  <r>
    <s v="401000"/>
    <x v="6"/>
    <s v="FOURNISSEURS"/>
    <s v="BPRI"/>
    <n v="2904"/>
    <d v="2025-12-30T00:00:00"/>
    <s v="FAR-2025-000749"/>
    <m/>
    <e v="#N/A"/>
    <e v="#N/A"/>
    <n v="93725"/>
    <m/>
    <m/>
    <s v="Q4"/>
    <e v="#REF!"/>
    <e v="#REF!"/>
    <e v="#REF!"/>
  </r>
  <r>
    <s v="401000"/>
    <x v="6"/>
    <s v="FOURNISSEURS"/>
    <s v="BPRI"/>
    <n v="2907.91"/>
    <d v="2025-03-14T00:00:00"/>
    <s v="Facture  EXP0007594"/>
    <m/>
    <e v="#N/A"/>
    <e v="#N/A"/>
    <n v="61662"/>
    <m/>
    <m/>
    <s v="Q1"/>
    <e v="#REF!"/>
    <e v="#REF!"/>
    <e v="#REF!"/>
  </r>
  <r>
    <s v="401000"/>
    <x v="6"/>
    <s v="FOURNISSEURS"/>
    <s v="BPRI"/>
    <n v="3000"/>
    <d v="2025-01-15T00:00:00"/>
    <s v="EVI REMISE"/>
    <s v="Non"/>
    <s v="Non"/>
    <e v="#N/A"/>
    <n v="20992"/>
    <s v="0GLCS44"/>
    <s v="WE ARE BOLD"/>
    <s v="Q1"/>
    <e v="#REF!"/>
    <e v="#REF!"/>
    <e v="#REF!"/>
  </r>
  <r>
    <s v="401000"/>
    <x v="6"/>
    <s v="FOURNISSEURS"/>
    <s v="BPRI"/>
    <n v="3000"/>
    <d v="2025-02-18T00:00:00"/>
    <s v="EVI REMISE"/>
    <s v="Non"/>
    <s v="Non"/>
    <e v="#N/A"/>
    <n v="21356"/>
    <s v="0GLKPIA"/>
    <s v="WE ARE BOLD"/>
    <s v="Q1"/>
    <e v="#REF!"/>
    <e v="#REF!"/>
    <e v="#REF!"/>
  </r>
  <r>
    <s v="401000"/>
    <x v="6"/>
    <s v="FOURNISSEURS"/>
    <s v="BPRI"/>
    <n v="3000"/>
    <d v="2025-03-19T00:00:00"/>
    <s v="Invoice Payment by Pili - BOLD-027553"/>
    <m/>
    <e v="#N/A"/>
    <e v="#N/A"/>
    <n v="61880"/>
    <m/>
    <m/>
    <s v="Q1"/>
    <e v="#REF!"/>
    <e v="#REF!"/>
    <e v="#REF!"/>
  </r>
  <r>
    <s v="401000"/>
    <x v="6"/>
    <s v="FOURNISSEURS"/>
    <s v="BPRI"/>
    <n v="3000"/>
    <d v="2025-04-15T00:00:00"/>
    <s v="Invoice Payment by Pili"/>
    <m/>
    <e v="#N/A"/>
    <e v="#N/A"/>
    <n v="67965"/>
    <m/>
    <m/>
    <s v="Q2"/>
    <e v="#REF!"/>
    <e v="#REF!"/>
    <e v="#REF!"/>
  </r>
  <r>
    <s v="401000"/>
    <x v="6"/>
    <s v="FOURNISSEURS"/>
    <s v="BPRI"/>
    <n v="3000"/>
    <d v="2025-06-02T00:00:00"/>
    <s v="Invoice Payment By Pili"/>
    <m/>
    <e v="#N/A"/>
    <e v="#N/A"/>
    <n v="75235"/>
    <m/>
    <m/>
    <s v="Q2"/>
    <e v="#REF!"/>
    <e v="#REF!"/>
    <e v="#REF!"/>
  </r>
  <r>
    <s v="401000"/>
    <x v="6"/>
    <s v="FOURNISSEURS"/>
    <s v="BPRI"/>
    <n v="3000"/>
    <d v="2025-07-31T00:00:00"/>
    <s v="FORFAIT JURIDIQUE 2025_05"/>
    <m/>
    <e v="#N/A"/>
    <e v="#N/A"/>
    <n v="79254"/>
    <m/>
    <m/>
    <s v="Q3"/>
    <e v="#REF!"/>
    <e v="#REF!"/>
    <e v="#REF!"/>
  </r>
  <r>
    <s v="401000"/>
    <x v="6"/>
    <s v="FOURNISSEURS"/>
    <s v="BPRI"/>
    <n v="3000"/>
    <d v="2025-08-21T00:00:00"/>
    <s v="PRESTATION BOLD"/>
    <m/>
    <e v="#N/A"/>
    <e v="#N/A"/>
    <n v="81419"/>
    <m/>
    <m/>
    <s v="Q3"/>
    <e v="#REF!"/>
    <e v="#REF!"/>
    <e v="#REF!"/>
  </r>
  <r>
    <s v="401000"/>
    <x v="6"/>
    <s v="FOURNISSEURS"/>
    <s v="BPRI"/>
    <n v="3000"/>
    <d v="2025-09-12T00:00:00"/>
    <s v="FORFAIT JURIDIQUE"/>
    <m/>
    <e v="#N/A"/>
    <e v="#N/A"/>
    <n v="81989"/>
    <m/>
    <m/>
    <s v="Q3"/>
    <e v="#REF!"/>
    <e v="#REF!"/>
    <e v="#REF!"/>
  </r>
  <r>
    <s v="401000"/>
    <x v="6"/>
    <s v="FOURNISSEURS"/>
    <s v="BPRI"/>
    <n v="3000"/>
    <d v="2025-11-04T00:00:00"/>
    <s v="UNLIMITED EXPANSION"/>
    <m/>
    <e v="#N/A"/>
    <e v="#N/A"/>
    <n v="88025"/>
    <m/>
    <m/>
    <s v="Q4"/>
    <e v="#REF!"/>
    <e v="#REF!"/>
    <e v="#REF!"/>
  </r>
  <r>
    <s v="401000"/>
    <x v="6"/>
    <s v="FOURNISSEURS"/>
    <s v="BPRI"/>
    <n v="3000"/>
    <d v="2025-11-13T00:00:00"/>
    <s v="UNLIMITED EXPANSION"/>
    <m/>
    <e v="#N/A"/>
    <e v="#N/A"/>
    <n v="89934"/>
    <m/>
    <m/>
    <s v="Q4"/>
    <e v="#REF!"/>
    <e v="#REF!"/>
    <e v="#REF!"/>
  </r>
  <r>
    <s v="401000"/>
    <x v="6"/>
    <s v="FOURNISSEURS"/>
    <s v="BPRI"/>
    <n v="3000"/>
    <d v="2025-12-08T00:00:00"/>
    <s v="BOLD-031909"/>
    <m/>
    <e v="#N/A"/>
    <e v="#N/A"/>
    <n v="91340"/>
    <m/>
    <m/>
    <s v="Q4"/>
    <e v="#REF!"/>
    <e v="#REF!"/>
    <e v="#REF!"/>
  </r>
  <r>
    <s v="401000"/>
    <x v="6"/>
    <s v="FOURNISSEURS"/>
    <s v="BPRI"/>
    <n v="3027.91"/>
    <d v="2025-04-08T00:00:00"/>
    <s v="Invoice Payment By Pili"/>
    <m/>
    <e v="#N/A"/>
    <e v="#N/A"/>
    <n v="66694"/>
    <m/>
    <m/>
    <s v="Q2"/>
    <e v="#REF!"/>
    <e v="#REF!"/>
    <e v="#REF!"/>
  </r>
  <r>
    <s v="401000"/>
    <x v="6"/>
    <s v="FOURNISSEURS"/>
    <s v="BPRI"/>
    <n v="3120"/>
    <d v="2025-05-07T00:00:00"/>
    <s v="PACK EXPERT PLUSMP"/>
    <m/>
    <e v="#N/A"/>
    <e v="#N/A"/>
    <n v="71799"/>
    <m/>
    <m/>
    <s v="Q2"/>
    <e v="#REF!"/>
    <e v="#REF!"/>
    <e v="#REF!"/>
  </r>
  <r>
    <s v="401000"/>
    <x v="6"/>
    <s v="FOURNISSEURS"/>
    <s v="BPRI"/>
    <n v="3316.8"/>
    <d v="2025-01-02T00:00:00"/>
    <s v="PRLV SEPA BAIL ACTEA"/>
    <m/>
    <e v="#N/A"/>
    <e v="#N/A"/>
    <n v="20866"/>
    <s v="06XRKI5"/>
    <s v="ACTEA"/>
    <s v="Q1"/>
    <e v="#REF!"/>
    <e v="#REF!"/>
    <e v="#REF!"/>
  </r>
  <r>
    <s v="401000"/>
    <x v="6"/>
    <s v="FOURNISSEURS"/>
    <s v="BPRI"/>
    <n v="3316.8"/>
    <d v="2025-02-03T00:00:00"/>
    <s v="PRLV SEPA BAIL ACTEA"/>
    <m/>
    <e v="#N/A"/>
    <e v="#N/A"/>
    <n v="21174"/>
    <s v="077M93C"/>
    <s v="ACTEA"/>
    <s v="Q1"/>
    <e v="#REF!"/>
    <e v="#REF!"/>
    <e v="#REF!"/>
  </r>
  <r>
    <s v="401000"/>
    <x v="6"/>
    <s v="FOURNISSEURS"/>
    <s v="BPRI"/>
    <n v="3316.8"/>
    <d v="2025-03-03T00:00:00"/>
    <s v="Règlement fournisseurs"/>
    <m/>
    <e v="#N/A"/>
    <e v="#N/A"/>
    <n v="58970"/>
    <m/>
    <s v="ACTEA"/>
    <s v="Q1"/>
    <e v="#REF!"/>
    <e v="#REF!"/>
    <e v="#REF!"/>
  </r>
  <r>
    <s v="401000"/>
    <x v="6"/>
    <s v="FOURNISSEURS"/>
    <s v="BPRI"/>
    <n v="3316.8"/>
    <d v="2025-04-01T00:00:00"/>
    <s v="Prélèvement Actea"/>
    <m/>
    <e v="#N/A"/>
    <e v="#N/A"/>
    <n v="66460"/>
    <m/>
    <s v="ACTEA"/>
    <s v="Q2"/>
    <e v="#REF!"/>
    <e v="#REF!"/>
    <e v="#REF!"/>
  </r>
  <r>
    <s v="401000"/>
    <x v="6"/>
    <s v="FOURNISSEURS"/>
    <s v="BPRI"/>
    <n v="3316.8"/>
    <d v="2025-05-02T00:00:00"/>
    <s v="Prélèvement fournisseur"/>
    <m/>
    <e v="#N/A"/>
    <e v="#N/A"/>
    <n v="70624"/>
    <m/>
    <s v="ACTEA"/>
    <s v="Q2"/>
    <e v="#REF!"/>
    <e v="#REF!"/>
    <e v="#REF!"/>
  </r>
  <r>
    <s v="401000"/>
    <x v="6"/>
    <s v="FOURNISSEURS"/>
    <s v="BPRI"/>
    <n v="3316.8"/>
    <d v="2025-06-02T00:00:00"/>
    <s v="Prélèvement ACTEA"/>
    <m/>
    <e v="#N/A"/>
    <e v="#N/A"/>
    <n v="75196"/>
    <m/>
    <s v="ACTEA"/>
    <s v="Q2"/>
    <e v="#REF!"/>
    <e v="#REF!"/>
    <e v="#REF!"/>
  </r>
  <r>
    <s v="401000"/>
    <x v="6"/>
    <s v="FOURNISSEURS"/>
    <s v="BPRI"/>
    <n v="3316.8"/>
    <d v="2025-07-01T00:00:00"/>
    <s v="PRLV SEPA BAIL ACTEA"/>
    <m/>
    <e v="#N/A"/>
    <e v="#N/A"/>
    <n v="77074"/>
    <m/>
    <s v="ACTEA"/>
    <s v="Q3"/>
    <e v="#REF!"/>
    <e v="#REF!"/>
    <e v="#REF!"/>
  </r>
  <r>
    <s v="401000"/>
    <x v="6"/>
    <s v="FOURNISSEURS"/>
    <s v="BPRI"/>
    <n v="3316.8"/>
    <d v="2025-08-01T00:00:00"/>
    <s v="PRLV SEPA BAIL ACTEA"/>
    <m/>
    <e v="#N/A"/>
    <e v="#N/A"/>
    <n v="80673"/>
    <m/>
    <s v="ACTEA"/>
    <s v="Q3"/>
    <e v="#REF!"/>
    <e v="#REF!"/>
    <e v="#REF!"/>
  </r>
  <r>
    <s v="401000"/>
    <x v="6"/>
    <s v="FOURNISSEURS"/>
    <s v="BPRI"/>
    <n v="3316.8"/>
    <d v="2025-09-01T00:00:00"/>
    <s v="PRLV SEPA BAIL ACTEA"/>
    <m/>
    <e v="#N/A"/>
    <e v="#N/A"/>
    <n v="81685"/>
    <m/>
    <s v="ACTEA"/>
    <s v="Q3"/>
    <e v="#REF!"/>
    <e v="#REF!"/>
    <e v="#REF!"/>
  </r>
  <r>
    <s v="401000"/>
    <x v="6"/>
    <s v="FOURNISSEURS"/>
    <s v="BPRI"/>
    <n v="3316.8"/>
    <d v="2025-10-01T00:00:00"/>
    <s v="PRLV SEPA BAIL ACTEA"/>
    <m/>
    <e v="#N/A"/>
    <e v="#N/A"/>
    <n v="82571"/>
    <m/>
    <s v="ACTEA"/>
    <s v="Q4"/>
    <e v="#REF!"/>
    <e v="#REF!"/>
    <e v="#REF!"/>
  </r>
  <r>
    <s v="512100"/>
    <x v="6"/>
    <s v="BANQUE POPULAIRE RIVE DE PARIS"/>
    <s v="BPRI"/>
    <n v="-17.170000000000002"/>
    <d v="2025-11-05T00:00:00"/>
    <s v="/LIB/FRAIS VIR ETRANGER EMIS/LIB/FRAIS VIR ETRANGER EMIS/LIB/XCVEP022 2025110400010675000001/LIB/REF OPERATION : L719180"/>
    <m/>
    <e v="#N/A"/>
    <e v="#N/A"/>
    <n v="89256"/>
    <m/>
    <s v="Banque Populaire Rive de Paris"/>
    <s v="Q4"/>
    <e v="#REF!"/>
    <e v="#REF!"/>
    <e v="#REF!"/>
  </r>
  <r>
    <s v="401000"/>
    <x v="6"/>
    <s v="FOURNISSEURS"/>
    <s v="BPRI"/>
    <n v="13.15"/>
    <d v="2025-12-25T00:00:00"/>
    <s v="/LIB/FRAIS VIR ETRANGER EMIS/LIB/FRAIS VIR ETRANGER EMIS/LIB/XCVEP022 2025122400048603000001/LIB/REF OPERATION : L724573"/>
    <m/>
    <e v="#N/A"/>
    <e v="#N/A"/>
    <n v="93684"/>
    <m/>
    <s v="Banque Populaire Rive de Paris"/>
    <s v="Q4"/>
    <e v="#REF!"/>
    <e v="#REF!"/>
    <e v="#REF!"/>
  </r>
  <r>
    <s v="401000"/>
    <x v="6"/>
    <s v="FOURNISSEURS"/>
    <s v="BPRI"/>
    <n v="3408"/>
    <d v="2025-01-30T00:00:00"/>
    <s v="EVI REMISE"/>
    <m/>
    <e v="#N/A"/>
    <e v="#N/A"/>
    <n v="21129"/>
    <s v="0GLGCRQ"/>
    <s v="VALENTIN"/>
    <s v="Q1"/>
    <e v="#REF!"/>
    <e v="#REF!"/>
    <e v="#REF!"/>
  </r>
  <r>
    <s v="401000"/>
    <x v="6"/>
    <s v="FOURNISSEURS"/>
    <s v="BPRI"/>
    <n v="3462.75"/>
    <d v="2025-02-20T00:00:00"/>
    <s v="EVI REMISE"/>
    <m/>
    <e v="#N/A"/>
    <e v="#N/A"/>
    <n v="21384"/>
    <s v="0GLL6EM"/>
    <s v="NEGATIF -"/>
    <s v="Q1"/>
    <e v="#REF!"/>
    <e v="#REF!"/>
    <e v="#REF!"/>
  </r>
  <r>
    <s v="401000"/>
    <x v="6"/>
    <s v="FOURNISSEURS"/>
    <s v="BPRI"/>
    <n v="3499.2"/>
    <d v="2025-01-30T00:00:00"/>
    <s v="EVI REMISE"/>
    <m/>
    <e v="#N/A"/>
    <e v="#N/A"/>
    <n v="21133"/>
    <s v="0GLGCRS"/>
    <s v="ADVERIS"/>
    <s v="Q1"/>
    <e v="#REF!"/>
    <e v="#REF!"/>
    <e v="#REF!"/>
  </r>
  <r>
    <s v="401000"/>
    <x v="6"/>
    <s v="FOURNISSEURS"/>
    <s v="BPRI"/>
    <n v="3505"/>
    <d v="2025-02-05T00:00:00"/>
    <s v="EVI REMISE"/>
    <s v="Non"/>
    <s v="Non"/>
    <e v="#N/A"/>
    <n v="21198"/>
    <s v="0GLHKVZ"/>
    <s v="ALTAIR AVOCATS"/>
    <s v="Q1"/>
    <e v="#REF!"/>
    <e v="#REF!"/>
    <e v="#REF!"/>
  </r>
  <r>
    <s v="401000"/>
    <x v="6"/>
    <s v="FOURNISSEURS"/>
    <s v="BPRI"/>
    <n v="3516.48"/>
    <d v="2025-04-18T00:00:00"/>
    <s v="Invoice Payment by Pili"/>
    <m/>
    <e v="#N/A"/>
    <e v="#N/A"/>
    <n v="68156"/>
    <m/>
    <m/>
    <s v="Q2"/>
    <e v="#REF!"/>
    <e v="#REF!"/>
    <e v="#REF!"/>
  </r>
  <r>
    <s v="401000"/>
    <x v="6"/>
    <s v="FOURNISSEURS"/>
    <s v="BPRI"/>
    <n v="3547.5"/>
    <d v="2025-02-18T00:00:00"/>
    <s v="EVI REMISE"/>
    <s v="Non"/>
    <s v="Non"/>
    <e v="#N/A"/>
    <n v="21352"/>
    <s v="0GLKPI8"/>
    <s v="ALTAIR AVOCATS"/>
    <s v="Q1"/>
    <e v="#REF!"/>
    <e v="#REF!"/>
    <e v="#REF!"/>
  </r>
  <r>
    <s v="401000"/>
    <x v="6"/>
    <s v="FOURNISSEURS"/>
    <s v="BPRI"/>
    <n v="3568.48"/>
    <d v="2025-11-28T00:00:00"/>
    <s v="F061358047"/>
    <m/>
    <e v="#N/A"/>
    <e v="#N/A"/>
    <n v="91210"/>
    <m/>
    <m/>
    <s v="Q4"/>
    <e v="#REF!"/>
    <e v="#REF!"/>
    <e v="#REF!"/>
  </r>
  <r>
    <s v="401000"/>
    <x v="6"/>
    <s v="FOURNISSEURS"/>
    <s v="BPRI"/>
    <n v="3574.97"/>
    <d v="2025-12-30T00:00:00"/>
    <s v="91250196"/>
    <m/>
    <e v="#N/A"/>
    <e v="#N/A"/>
    <n v="93774"/>
    <m/>
    <m/>
    <s v="Q4"/>
    <e v="#REF!"/>
    <e v="#REF!"/>
    <e v="#REF!"/>
  </r>
  <r>
    <s v="401000"/>
    <x v="6"/>
    <s v="FOURNISSEURS"/>
    <s v="BPRI"/>
    <n v="3588"/>
    <d v="2025-04-18T00:00:00"/>
    <s v="Invoice Payment by Pili"/>
    <m/>
    <e v="#N/A"/>
    <e v="#N/A"/>
    <n v="68186"/>
    <m/>
    <m/>
    <s v="Q2"/>
    <e v="#REF!"/>
    <e v="#REF!"/>
    <e v="#REF!"/>
  </r>
  <r>
    <s v="401000"/>
    <x v="6"/>
    <s v="FOURNISSEURS"/>
    <s v="BPRI"/>
    <n v="3600"/>
    <d v="2025-12-16T00:00:00"/>
    <s v="PLICXEKPWZXQZZ F-2025-12467"/>
    <s v="Non"/>
    <s v="Non"/>
    <e v="#N/A"/>
    <n v="92217"/>
    <m/>
    <s v="BEEMYDESK"/>
    <s v="Q4"/>
    <e v="#REF!"/>
    <e v="#REF!"/>
    <e v="#REF!"/>
  </r>
  <r>
    <s v="401000"/>
    <x v="6"/>
    <s v="FOURNISSEURS"/>
    <s v="BPRI"/>
    <n v="3684"/>
    <d v="2025-11-28T00:00:00"/>
    <s v="FA006465"/>
    <m/>
    <e v="#N/A"/>
    <e v="#N/A"/>
    <n v="91265"/>
    <m/>
    <m/>
    <s v="Q4"/>
    <e v="#REF!"/>
    <e v="#REF!"/>
    <e v="#REF!"/>
  </r>
  <r>
    <s v="401000"/>
    <x v="6"/>
    <s v="FOURNISSEURS"/>
    <s v="BPRI"/>
    <n v="3840"/>
    <d v="2025-02-05T00:00:00"/>
    <s v="EVI REMISE"/>
    <m/>
    <s v="Non"/>
    <e v="#N/A"/>
    <n v="21214"/>
    <s v="0GLHQDP"/>
    <s v="AXE GESCOM"/>
    <s v="Q1"/>
    <e v="#REF!"/>
    <e v="#REF!"/>
    <e v="#REF!"/>
  </r>
  <r>
    <s v="401000"/>
    <x v="6"/>
    <s v="FOURNISSEURS"/>
    <s v="BPRI"/>
    <n v="3871.32"/>
    <d v="2025-02-28T00:00:00"/>
    <s v="Règlement fournisseurs"/>
    <m/>
    <e v="#N/A"/>
    <e v="#N/A"/>
    <n v="58910"/>
    <m/>
    <s v="FOURE LAGADEC"/>
    <s v="Q1"/>
    <e v="#REF!"/>
    <e v="#REF!"/>
    <e v="#REF!"/>
  </r>
  <r>
    <s v="401000"/>
    <x v="6"/>
    <s v="FOURNISSEURS"/>
    <s v="BPRI"/>
    <n v="3875"/>
    <d v="2025-06-16T00:00:00"/>
    <s v="TRANSPORT COSTS"/>
    <m/>
    <e v="#N/A"/>
    <e v="#N/A"/>
    <n v="76053"/>
    <m/>
    <m/>
    <s v="Q2"/>
    <e v="#REF!"/>
    <e v="#REF!"/>
    <e v="#REF!"/>
  </r>
  <r>
    <s v="401000"/>
    <x v="6"/>
    <s v="FOURNISSEURS"/>
    <s v="BPRI"/>
    <n v="4072"/>
    <d v="2025-09-22T00:00:00"/>
    <s v="LOCATION EQUIPEMENT FLOTWEG"/>
    <m/>
    <e v="#N/A"/>
    <e v="#N/A"/>
    <n v="82379"/>
    <m/>
    <m/>
    <s v="Q3"/>
    <e v="#REF!"/>
    <e v="#REF!"/>
    <e v="#REF!"/>
  </r>
  <r>
    <s v="401000"/>
    <x v="6"/>
    <s v="FOURNISSEURS"/>
    <s v="BPRI"/>
    <n v="4200"/>
    <d v="2025-12-10T00:00:00"/>
    <s v="PROJET VIDÉO PILI"/>
    <m/>
    <e v="#N/A"/>
    <e v="#N/A"/>
    <n v="92042"/>
    <m/>
    <m/>
    <s v="Q4"/>
    <e v="#REF!"/>
    <e v="#REF!"/>
    <e v="#REF!"/>
  </r>
  <r>
    <s v="401000"/>
    <x v="6"/>
    <s v="FOURNISSEURS"/>
    <s v="BPRI"/>
    <n v="4217.22"/>
    <d v="2025-06-16T00:00:00"/>
    <s v="AUDIT ERD BPI INOV"/>
    <m/>
    <e v="#N/A"/>
    <e v="#N/A"/>
    <n v="76043"/>
    <m/>
    <m/>
    <s v="Q2"/>
    <e v="#REF!"/>
    <e v="#REF!"/>
    <e v="#REF!"/>
  </r>
  <r>
    <s v="401000"/>
    <x v="6"/>
    <s v="FOURNISSEURS"/>
    <s v="BPRI"/>
    <n v="4344"/>
    <d v="2025-01-30T00:00:00"/>
    <s v="EVI REMISE"/>
    <s v="Non"/>
    <e v="#N/A"/>
    <e v="#N/A"/>
    <n v="21145"/>
    <s v="0GLGCRZ"/>
    <s v="LOPEZ PLOMBERIE ELECTRICITE"/>
    <s v="Q1"/>
    <e v="#REF!"/>
    <e v="#REF!"/>
    <e v="#REF!"/>
  </r>
  <r>
    <s v="401000"/>
    <x v="6"/>
    <s v="FOURNISSEURS"/>
    <s v="BPRI"/>
    <n v="4418.75"/>
    <d v="2025-02-18T00:00:00"/>
    <s v="EVI REMISE"/>
    <s v="Non"/>
    <e v="#N/A"/>
    <e v="#N/A"/>
    <n v="21354"/>
    <s v="0GLKPI9"/>
    <s v="DOTMATICS LIMITED"/>
    <s v="Q1"/>
    <e v="#REF!"/>
    <e v="#REF!"/>
    <e v="#REF!"/>
  </r>
  <r>
    <s v="401000"/>
    <x v="6"/>
    <s v="FOURNISSEURS"/>
    <s v="BPRI"/>
    <n v="4471.5600000000004"/>
    <d v="2025-04-15T00:00:00"/>
    <s v="Invoice Payment by Pili"/>
    <m/>
    <e v="#N/A"/>
    <e v="#N/A"/>
    <n v="67966"/>
    <m/>
    <m/>
    <s v="Q2"/>
    <e v="#REF!"/>
    <e v="#REF!"/>
    <e v="#REF!"/>
  </r>
  <r>
    <s v="401000"/>
    <x v="6"/>
    <s v="FOURNISSEURS"/>
    <s v="BPRI"/>
    <n v="4471.5600000000004"/>
    <d v="2025-04-18T00:00:00"/>
    <s v="Invoice Payment by Pili"/>
    <m/>
    <e v="#N/A"/>
    <e v="#N/A"/>
    <n v="68191"/>
    <m/>
    <m/>
    <s v="Q2"/>
    <e v="#REF!"/>
    <e v="#REF!"/>
    <e v="#REF!"/>
  </r>
  <r>
    <s v="401000"/>
    <x v="6"/>
    <s v="FOURNISSEURS"/>
    <s v="BPRI"/>
    <n v="4560"/>
    <d v="2025-02-28T00:00:00"/>
    <s v="Règlement fournisseurs"/>
    <m/>
    <e v="#N/A"/>
    <e v="#N/A"/>
    <n v="58898"/>
    <m/>
    <s v="DROOMS"/>
    <s v="Q1"/>
    <e v="#REF!"/>
    <e v="#REF!"/>
    <e v="#REF!"/>
  </r>
  <r>
    <s v="401000"/>
    <x v="6"/>
    <s v="FOURNISSEURS"/>
    <s v="BPRI"/>
    <n v="4632.59"/>
    <d v="2025-04-18T00:00:00"/>
    <s v="Invoice Payment by Pili"/>
    <m/>
    <e v="#N/A"/>
    <e v="#N/A"/>
    <n v="68141"/>
    <m/>
    <m/>
    <s v="Q2"/>
    <e v="#REF!"/>
    <e v="#REF!"/>
    <e v="#REF!"/>
  </r>
  <r>
    <s v="401000"/>
    <x v="6"/>
    <s v="FOURNISSEURS"/>
    <s v="BPRI"/>
    <n v="4691.68"/>
    <d v="2025-12-18T00:00:00"/>
    <s v="FAR-2025-000149 - ECHEANCE 1"/>
    <m/>
    <e v="#N/A"/>
    <e v="#N/A"/>
    <n v="92677"/>
    <m/>
    <s v="INSA TOULOUSE"/>
    <s v="Q4"/>
    <e v="#REF!"/>
    <e v="#REF!"/>
    <e v="#REF!"/>
  </r>
  <r>
    <s v="401000"/>
    <x v="6"/>
    <s v="FOURNISSEURS"/>
    <s v="BPRI"/>
    <n v="4752"/>
    <d v="2025-03-18T00:00:00"/>
    <s v="Règlement Facture FAP10672"/>
    <m/>
    <e v="#N/A"/>
    <e v="#N/A"/>
    <n v="61858"/>
    <m/>
    <m/>
    <s v="Q1"/>
    <e v="#REF!"/>
    <e v="#REF!"/>
    <e v="#REF!"/>
  </r>
  <r>
    <s v="401000"/>
    <x v="6"/>
    <s v="FOURNISSEURS"/>
    <s v="BPRI"/>
    <n v="4782.96"/>
    <d v="2025-02-18T00:00:00"/>
    <s v="EVI REMISE"/>
    <m/>
    <e v="#N/A"/>
    <e v="#N/A"/>
    <n v="21358"/>
    <s v="0GLKPIB"/>
    <s v="FOURE LAGADEC"/>
    <s v="Q1"/>
    <e v="#REF!"/>
    <e v="#REF!"/>
    <e v="#REF!"/>
  </r>
  <r>
    <s v="401000"/>
    <x v="6"/>
    <s v="FOURNISSEURS"/>
    <s v="BPRI"/>
    <n v="4931.26"/>
    <d v="2025-09-22T00:00:00"/>
    <s v="HOTLINE SUR LA PÉRIODE DU 1ER AU 31 JUILLET 2025"/>
    <m/>
    <e v="#N/A"/>
    <e v="#N/A"/>
    <n v="82368"/>
    <m/>
    <m/>
    <s v="Q3"/>
    <e v="#REF!"/>
    <e v="#REF!"/>
    <e v="#REF!"/>
  </r>
  <r>
    <s v="401000"/>
    <x v="6"/>
    <s v="FOURNISSEURS"/>
    <s v="BPRI"/>
    <n v="4979.78"/>
    <d v="2025-11-14T00:00:00"/>
    <s v="PRISES LABORATOIRE : 1775.13€ PRISES ATEX : 4130.91€ ALIMENTATION CLIM + AIR : 1501.94€ PLANS : 872.75€"/>
    <m/>
    <e v="#N/A"/>
    <e v="#N/A"/>
    <n v="90005"/>
    <m/>
    <m/>
    <s v="Q4"/>
    <e v="#REF!"/>
    <e v="#REF!"/>
    <e v="#REF!"/>
  </r>
  <r>
    <s v="401000"/>
    <x v="6"/>
    <s v="FOURNISSEURS"/>
    <s v="BPRI"/>
    <n v="5000"/>
    <d v="2025-06-30T00:00:00"/>
    <s v="SUMMARY REPORT - AGREEMENT"/>
    <m/>
    <e v="#N/A"/>
    <e v="#N/A"/>
    <n v="76879"/>
    <m/>
    <m/>
    <s v="Q2"/>
    <e v="#REF!"/>
    <e v="#REF!"/>
    <e v="#REF!"/>
  </r>
  <r>
    <s v="401000"/>
    <x v="6"/>
    <s v="FOURNISSEURS"/>
    <s v="BPRI"/>
    <n v="5000"/>
    <d v="2025-07-09T00:00:00"/>
    <s v="AGREEMENT  PHOENIX I - FACTURE FINALE - RAPPORT"/>
    <s v="Non"/>
    <e v="#N/A"/>
    <e v="#N/A"/>
    <n v="77198"/>
    <m/>
    <s v="BIOTIKA"/>
    <s v="Q3"/>
    <e v="#REF!"/>
    <e v="#REF!"/>
    <e v="#REF!"/>
  </r>
  <r>
    <s v="401000"/>
    <x v="6"/>
    <s v="FOURNISSEURS"/>
    <s v="BPRI"/>
    <n v="5000"/>
    <d v="2025-12-30T00:00:00"/>
    <s v="COTISATION PILI TWB 2025"/>
    <m/>
    <e v="#N/A"/>
    <e v="#N/A"/>
    <n v="93724"/>
    <m/>
    <m/>
    <s v="Q4"/>
    <e v="#REF!"/>
    <e v="#REF!"/>
    <e v="#REF!"/>
  </r>
  <r>
    <s v="401000"/>
    <x v="6"/>
    <s v="FOURNISSEURS"/>
    <s v="BPRI"/>
    <n v="5040"/>
    <d v="2025-10-03T00:00:00"/>
    <s v="FACT1903"/>
    <m/>
    <e v="#N/A"/>
    <e v="#N/A"/>
    <n v="82707"/>
    <m/>
    <s v="DMI"/>
    <s v="Q4"/>
    <e v="#REF!"/>
    <e v="#REF!"/>
    <e v="#REF!"/>
  </r>
  <r>
    <s v="401000"/>
    <x v="6"/>
    <s v="FOURNISSEURS"/>
    <s v="BPRI"/>
    <n v="5050.0200000000004"/>
    <d v="2025-11-13T00:00:00"/>
    <s v="HOTLINE POUR LA PÉRIODE DU 1ER AU 30 SEPTEMBRE 2025"/>
    <m/>
    <e v="#N/A"/>
    <e v="#N/A"/>
    <n v="89935"/>
    <m/>
    <m/>
    <s v="Q4"/>
    <e v="#REF!"/>
    <e v="#REF!"/>
    <e v="#REF!"/>
  </r>
  <r>
    <s v="401000"/>
    <x v="6"/>
    <s v="FOURNISSEURS"/>
    <s v="BPRI"/>
    <n v="5082.07"/>
    <d v="2025-01-30T00:00:00"/>
    <s v="EVI REMISE"/>
    <m/>
    <s v="Non"/>
    <n v="0"/>
    <n v="21121"/>
    <s v="0GLGCN2"/>
    <s v="CHIMIREC CENTRE EST"/>
    <s v="Q1"/>
    <e v="#REF!"/>
    <e v="#REF!"/>
    <e v="#REF!"/>
  </r>
  <r>
    <s v="401000"/>
    <x v="6"/>
    <s v="FOURNISSEURS"/>
    <s v="BPRI"/>
    <n v="5134.45"/>
    <d v="2025-12-24T00:00:00"/>
    <s v="1PZECRJE-0001"/>
    <m/>
    <e v="#N/A"/>
    <e v="#N/A"/>
    <n v="93666"/>
    <m/>
    <m/>
    <s v="Q4"/>
    <e v="#REF!"/>
    <e v="#REF!"/>
    <e v="#REF!"/>
  </r>
  <r>
    <s v="401000"/>
    <x v="6"/>
    <s v="FOURNISSEURS"/>
    <s v="BPRI"/>
    <n v="5217.95"/>
    <d v="2025-11-14T00:00:00"/>
    <s v="91250161"/>
    <m/>
    <e v="#N/A"/>
    <e v="#N/A"/>
    <n v="89994"/>
    <m/>
    <m/>
    <s v="Q4"/>
    <e v="#REF!"/>
    <e v="#REF!"/>
    <e v="#REF!"/>
  </r>
  <r>
    <s v="401000"/>
    <x v="6"/>
    <s v="FOURNISSEURS"/>
    <s v="BPRI"/>
    <n v="5328.4"/>
    <d v="2025-11-19T00:00:00"/>
    <s v="91250170"/>
    <s v="Non"/>
    <e v="#N/A"/>
    <e v="#N/A"/>
    <n v="90499"/>
    <m/>
    <s v="BIOTIKA"/>
    <s v="Q4"/>
    <e v="#REF!"/>
    <e v="#REF!"/>
    <e v="#REF!"/>
  </r>
  <r>
    <s v="401000"/>
    <x v="6"/>
    <s v="FOURNISSEURS"/>
    <s v="BPRI"/>
    <n v="5400"/>
    <d v="2025-03-18T00:00:00"/>
    <s v="Règlement Facture FAC0253"/>
    <m/>
    <e v="#N/A"/>
    <e v="#N/A"/>
    <n v="61856"/>
    <m/>
    <m/>
    <s v="Q1"/>
    <e v="#REF!"/>
    <e v="#REF!"/>
    <e v="#REF!"/>
  </r>
  <r>
    <s v="401000"/>
    <x v="6"/>
    <s v="FOURNISSEURS"/>
    <s v="BPRI"/>
    <n v="5412"/>
    <d v="2025-12-08T00:00:00"/>
    <s v="FA25-08-15222"/>
    <m/>
    <e v="#N/A"/>
    <e v="#N/A"/>
    <n v="91341"/>
    <m/>
    <m/>
    <s v="Q4"/>
    <e v="#REF!"/>
    <e v="#REF!"/>
    <e v="#REF!"/>
  </r>
  <r>
    <s v="401000"/>
    <x v="6"/>
    <s v="FOURNISSEURS"/>
    <s v="BPRI"/>
    <n v="5415.12"/>
    <d v="2025-04-15T00:00:00"/>
    <s v="Invoice Payment by Pili"/>
    <m/>
    <e v="#N/A"/>
    <e v="#N/A"/>
    <n v="67964"/>
    <m/>
    <m/>
    <s v="Q2"/>
    <e v="#REF!"/>
    <e v="#REF!"/>
    <e v="#REF!"/>
  </r>
  <r>
    <s v="401000"/>
    <x v="6"/>
    <s v="FOURNISSEURS"/>
    <s v="BPRI"/>
    <n v="5521.58"/>
    <d v="2025-11-04T00:00:00"/>
    <s v="DEMANDE ENTRÉE EN PHASE NATIONALE JAPON - BREVET PHOENIX"/>
    <m/>
    <e v="#N/A"/>
    <e v="#N/A"/>
    <n v="88014"/>
    <m/>
    <m/>
    <s v="Q4"/>
    <e v="#REF!"/>
    <e v="#REF!"/>
    <e v="#REF!"/>
  </r>
  <r>
    <s v="401000"/>
    <x v="6"/>
    <s v="FOURNISSEURS"/>
    <s v="BPRI"/>
    <n v="5532"/>
    <d v="2025-02-18T00:00:00"/>
    <s v="EVI REMISE"/>
    <m/>
    <e v="#N/A"/>
    <e v="#N/A"/>
    <n v="21364"/>
    <s v="0GLKPIG"/>
    <s v="REED EXHIBITIONS LTD"/>
    <s v="Q1"/>
    <e v="#REF!"/>
    <e v="#REF!"/>
    <e v="#REF!"/>
  </r>
  <r>
    <s v="401000"/>
    <x v="6"/>
    <s v="FOURNISSEURS"/>
    <s v="BPRI"/>
    <n v="5686.19"/>
    <d v="2025-12-08T00:00:00"/>
    <s v="F2025-013-PILI"/>
    <m/>
    <e v="#N/A"/>
    <e v="#N/A"/>
    <n v="91346"/>
    <m/>
    <m/>
    <s v="Q4"/>
    <e v="#REF!"/>
    <e v="#REF!"/>
    <e v="#REF!"/>
  </r>
  <r>
    <s v="401000"/>
    <x v="6"/>
    <s v="FOURNISSEURS"/>
    <s v="BPRI"/>
    <n v="5702.6"/>
    <d v="2025-02-05T00:00:00"/>
    <s v="EVI REMISE"/>
    <m/>
    <s v="Non"/>
    <e v="#N/A"/>
    <n v="21212"/>
    <s v="0GLHQDL"/>
    <s v="AXE GESCOM"/>
    <s v="Q1"/>
    <e v="#REF!"/>
    <e v="#REF!"/>
    <e v="#REF!"/>
  </r>
  <r>
    <s v="401000"/>
    <x v="6"/>
    <s v="FOURNISSEURS"/>
    <s v="BPRI"/>
    <n v="5720.71"/>
    <d v="2025-08-18T00:00:00"/>
    <s v="F061352698"/>
    <m/>
    <e v="#N/A"/>
    <e v="#N/A"/>
    <n v="81120"/>
    <m/>
    <m/>
    <s v="Q3"/>
    <e v="#REF!"/>
    <e v="#REF!"/>
    <e v="#REF!"/>
  </r>
  <r>
    <s v="401000"/>
    <x v="6"/>
    <s v="FOURNISSEURS"/>
    <s v="BPRI"/>
    <n v="5839.56"/>
    <d v="2025-11-14T00:00:00"/>
    <s v="B09169 - 254445 - 254045"/>
    <m/>
    <e v="#N/A"/>
    <e v="#N/A"/>
    <n v="90004"/>
    <m/>
    <m/>
    <s v="Q4"/>
    <e v="#REF!"/>
    <e v="#REF!"/>
    <e v="#REF!"/>
  </r>
  <r>
    <s v="401000"/>
    <x v="6"/>
    <s v="FOURNISSEURS"/>
    <s v="BPRI"/>
    <n v="5900.76"/>
    <d v="2025-03-03T00:00:00"/>
    <s v="Règlement fournisseurs"/>
    <s v="Non"/>
    <s v="Non"/>
    <e v="#N/A"/>
    <n v="58967"/>
    <m/>
    <s v="BDO EXPERTISE"/>
    <s v="Q1"/>
    <e v="#REF!"/>
    <e v="#REF!"/>
    <e v="#REF!"/>
  </r>
  <r>
    <s v="401000"/>
    <x v="6"/>
    <s v="FOURNISSEURS"/>
    <s v="BPRI"/>
    <n v="5940"/>
    <d v="2025-03-07T00:00:00"/>
    <s v="Facture FACT-20250305-21553"/>
    <m/>
    <e v="#N/A"/>
    <e v="#N/A"/>
    <n v="58785"/>
    <m/>
    <s v="Kymono"/>
    <s v="Q1"/>
    <e v="#REF!"/>
    <e v="#REF!"/>
    <e v="#REF!"/>
  </r>
  <r>
    <s v="401000"/>
    <x v="6"/>
    <s v="FOURNISSEURS"/>
    <s v="BPRI"/>
    <n v="6000"/>
    <d v="2025-02-28T00:00:00"/>
    <s v="Règlement fournisseurs"/>
    <m/>
    <e v="#N/A"/>
    <e v="#N/A"/>
    <n v="58934"/>
    <m/>
    <s v="UBIQUITIZ CONSULTING"/>
    <s v="Q1"/>
    <e v="#REF!"/>
    <e v="#REF!"/>
    <e v="#REF!"/>
  </r>
  <r>
    <s v="401000"/>
    <x v="6"/>
    <s v="FOURNISSEURS"/>
    <s v="BPRI"/>
    <n v="6171.17"/>
    <d v="2025-04-28T00:00:00"/>
    <s v="Prélèvement Fournisseur"/>
    <s v="Non"/>
    <s v="Non"/>
    <e v="#N/A"/>
    <n v="70454"/>
    <m/>
    <s v="BDO EXPERTISE"/>
    <s v="Q2"/>
    <e v="#REF!"/>
    <e v="#REF!"/>
    <e v="#REF!"/>
  </r>
  <r>
    <s v="401000"/>
    <x v="6"/>
    <s v="FOURNISSEURS"/>
    <s v="BPRI"/>
    <n v="6389.4"/>
    <d v="2025-11-04T00:00:00"/>
    <s v="ETUDE PI, FTO ET PRÉPARATION AU DÉPÔT D'EXTENSION PCT PALOMA CHIMIE"/>
    <m/>
    <e v="#N/A"/>
    <e v="#N/A"/>
    <n v="88015"/>
    <m/>
    <m/>
    <s v="Q4"/>
    <e v="#REF!"/>
    <e v="#REF!"/>
    <e v="#REF!"/>
  </r>
  <r>
    <s v="512100"/>
    <x v="6"/>
    <s v="BANQUE POPULAIRE RIVE DE PARIS"/>
    <s v="BPRI"/>
    <n v="-13.15"/>
    <d v="2025-12-25T00:00:00"/>
    <s v="/LIB/FRAIS VIR ETRANGER EMIS/LIB/FRAIS VIR ETRANGER EMIS/LIB/XCVEP022 2025122400048603000001/LIB/REF OPERATION : L724573"/>
    <m/>
    <e v="#N/A"/>
    <e v="#N/A"/>
    <n v="93683"/>
    <m/>
    <s v="Banque Populaire Rive de Paris"/>
    <s v="Q4"/>
    <e v="#REF!"/>
    <e v="#REF!"/>
    <e v="#REF!"/>
  </r>
  <r>
    <s v="401000"/>
    <x v="6"/>
    <s v="FOURNISSEURS"/>
    <s v="BPRI"/>
    <n v="6591.56"/>
    <d v="2025-08-18T00:00:00"/>
    <s v="FACTURE T CARREY CONSULTANTE GO TO MARKET INDIGO - FACTURE FINALE"/>
    <s v="Non"/>
    <s v="Non"/>
    <e v="#N/A"/>
    <n v="81109"/>
    <m/>
    <s v="TRICIA CAREY"/>
    <s v="Q3"/>
    <e v="#REF!"/>
    <e v="#REF!"/>
    <e v="#REF!"/>
  </r>
  <r>
    <s v="401000"/>
    <x v="6"/>
    <s v="FOURNISSEURS"/>
    <s v="BPRI"/>
    <n v="6610"/>
    <d v="2025-06-30T00:00:00"/>
    <s v="LICENCES DOTMATICS 2025_06 À 2026_05 - 1 READ ONLY - 5 ADDITIONAL CHEMISTRY"/>
    <s v="Non"/>
    <e v="#N/A"/>
    <e v="#N/A"/>
    <n v="76895"/>
    <m/>
    <s v="DOTMATICS LIMITED"/>
    <s v="Q2"/>
    <e v="#REF!"/>
    <e v="#REF!"/>
    <e v="#REF!"/>
  </r>
  <r>
    <s v="401000"/>
    <x v="6"/>
    <s v="FOURNISSEURS"/>
    <s v="BPRI"/>
    <n v="6623.52"/>
    <d v="2025-07-31T00:00:00"/>
    <s v="DIVERS OSIRIS"/>
    <m/>
    <e v="#N/A"/>
    <e v="#N/A"/>
    <n v="79284"/>
    <m/>
    <m/>
    <s v="Q3"/>
    <e v="#REF!"/>
    <e v="#REF!"/>
    <e v="#REF!"/>
  </r>
  <r>
    <s v="401000"/>
    <x v="6"/>
    <s v="FOURNISSEURS"/>
    <s v="BPRI"/>
    <n v="6736"/>
    <d v="2025-11-04T00:00:00"/>
    <s v="CONSEIL ET ASSISTANCE CONFORMÉMENT À LA LETTRE DE MISSION POUR LA PÉRIODE DU 1ER AU 30 SEPTEMBRE 2025"/>
    <m/>
    <e v="#N/A"/>
    <e v="#N/A"/>
    <n v="88056"/>
    <m/>
    <m/>
    <s v="Q4"/>
    <e v="#REF!"/>
    <e v="#REF!"/>
    <e v="#REF!"/>
  </r>
  <r>
    <s v="401000"/>
    <x v="6"/>
    <s v="FOURNISSEURS"/>
    <s v="BPRI"/>
    <n v="6859.79"/>
    <d v="2025-02-28T00:00:00"/>
    <s v="Règlement fournisseurs"/>
    <s v="Non"/>
    <s v="Non"/>
    <e v="#N/A"/>
    <n v="58922"/>
    <m/>
    <s v="OSIRIS"/>
    <s v="Q1"/>
    <e v="#REF!"/>
    <e v="#REF!"/>
    <e v="#REF!"/>
  </r>
  <r>
    <s v="401000"/>
    <x v="6"/>
    <s v="FOURNISSEURS"/>
    <s v="BPRI"/>
    <n v="6952.17"/>
    <d v="2025-04-02T00:00:00"/>
    <s v="Invoice Payment by Pili"/>
    <m/>
    <e v="#N/A"/>
    <e v="#N/A"/>
    <n v="66561"/>
    <m/>
    <m/>
    <s v="Q2"/>
    <e v="#REF!"/>
    <e v="#REF!"/>
    <e v="#REF!"/>
  </r>
  <r>
    <s v="401000"/>
    <x v="6"/>
    <s v="FOURNISSEURS"/>
    <s v="BPRI"/>
    <n v="13.15"/>
    <d v="2025-12-25T00:00:00"/>
    <s v="/LIB/FRAIS VIR ETRANGER EMIS/LIB/FRAIS VIR ETRANGER EMIS/LIB/XCVEP022 2025122400048604000001/LIB/REF OPERATION : L724572"/>
    <m/>
    <e v="#N/A"/>
    <e v="#N/A"/>
    <n v="93687"/>
    <m/>
    <s v="Banque Populaire Rive de Paris"/>
    <s v="Q4"/>
    <e v="#REF!"/>
    <e v="#REF!"/>
    <e v="#REF!"/>
  </r>
  <r>
    <s v="401000"/>
    <x v="6"/>
    <s v="FOURNISSEURS"/>
    <s v="BPRI"/>
    <n v="7437.6"/>
    <d v="2025-04-02T00:00:00"/>
    <s v="CONTRAT DE MAINTENANCE N°CT0662 - PÉRIODE DU 01/03/2025 AU 28/02/2026"/>
    <m/>
    <e v="#N/A"/>
    <e v="#N/A"/>
    <n v="66475"/>
    <m/>
    <m/>
    <s v="Q2"/>
    <e v="#REF!"/>
    <e v="#REF!"/>
    <e v="#REF!"/>
  </r>
  <r>
    <s v="401000"/>
    <x v="6"/>
    <s v="FOURNISSEURS"/>
    <s v="BPRI"/>
    <n v="7680"/>
    <d v="2025-01-07T00:00:00"/>
    <s v="EVI REMISE"/>
    <m/>
    <e v="#N/A"/>
    <e v="#N/A"/>
    <n v="20914"/>
    <s v="0GL9V3J"/>
    <s v="CISION"/>
    <s v="Q1"/>
    <e v="#REF!"/>
    <e v="#REF!"/>
    <e v="#REF!"/>
  </r>
  <r>
    <s v="401000"/>
    <x v="6"/>
    <s v="FOURNISSEURS"/>
    <s v="BPRI"/>
    <n v="7781.48"/>
    <d v="2025-08-22T00:00:00"/>
    <s v="DIVERS OSIRIS : PRESTATIONS DE SERVICE, LABORATOIRE, STOCKAGE PALETTES"/>
    <m/>
    <e v="#N/A"/>
    <e v="#N/A"/>
    <n v="81579"/>
    <m/>
    <m/>
    <s v="Q3"/>
    <e v="#REF!"/>
    <e v="#REF!"/>
    <e v="#REF!"/>
  </r>
  <r>
    <s v="401000"/>
    <x v="6"/>
    <s v="FOURNISSEURS"/>
    <s v="BPRI"/>
    <n v="7800"/>
    <d v="2025-12-10T00:00:00"/>
    <s v="OP_202509_00068"/>
    <m/>
    <e v="#N/A"/>
    <e v="#N/A"/>
    <n v="92073"/>
    <m/>
    <m/>
    <s v="Q4"/>
    <e v="#REF!"/>
    <e v="#REF!"/>
    <e v="#REF!"/>
  </r>
  <r>
    <s v="401000"/>
    <x v="6"/>
    <s v="FOURNISSEURS"/>
    <s v="BPRI"/>
    <n v="8148"/>
    <d v="2025-06-02T00:00:00"/>
    <s v="Invoice Payment By Pili"/>
    <m/>
    <e v="#N/A"/>
    <e v="#N/A"/>
    <n v="75240"/>
    <m/>
    <m/>
    <s v="Q2"/>
    <e v="#REF!"/>
    <e v="#REF!"/>
    <e v="#REF!"/>
  </r>
  <r>
    <s v="401000"/>
    <x v="6"/>
    <s v="FOURNISSEURS"/>
    <s v="BPRI"/>
    <n v="8400"/>
    <d v="2025-01-02T00:00:00"/>
    <s v="EVI REMISE"/>
    <m/>
    <e v="#N/A"/>
    <e v="#N/A"/>
    <n v="20870"/>
    <s v="0GL8HNS"/>
    <s v="TECHNIP ENERGIES FRANCE"/>
    <s v="Q1"/>
    <e v="#REF!"/>
    <e v="#REF!"/>
    <e v="#REF!"/>
  </r>
  <r>
    <s v="401000"/>
    <x v="6"/>
    <s v="FOURNISSEURS"/>
    <s v="BPRI"/>
    <n v="8400"/>
    <d v="2025-06-26T00:00:00"/>
    <s v="INVOICE PAYMENT BY PILI"/>
    <m/>
    <e v="#N/A"/>
    <e v="#N/A"/>
    <n v="76321"/>
    <m/>
    <m/>
    <s v="Q2"/>
    <e v="#REF!"/>
    <e v="#REF!"/>
    <e v="#REF!"/>
  </r>
  <r>
    <s v="401000"/>
    <x v="6"/>
    <s v="FOURNISSEURS"/>
    <s v="BPRI"/>
    <n v="8729.66"/>
    <d v="2025-06-02T00:00:00"/>
    <s v="Invoice Payment By Pili"/>
    <m/>
    <e v="#N/A"/>
    <e v="#N/A"/>
    <n v="75286"/>
    <m/>
    <m/>
    <s v="Q2"/>
    <e v="#REF!"/>
    <e v="#REF!"/>
    <e v="#REF!"/>
  </r>
  <r>
    <s v="401000"/>
    <x v="6"/>
    <s v="FOURNISSEURS"/>
    <s v="BPRI"/>
    <n v="8763.7000000000007"/>
    <d v="2025-08-21T00:00:00"/>
    <s v="SUITE ENTRÉE EN PHASE NATIONALE USA - BREVET PHOENIX"/>
    <m/>
    <e v="#N/A"/>
    <e v="#N/A"/>
    <n v="81414"/>
    <m/>
    <m/>
    <s v="Q3"/>
    <e v="#REF!"/>
    <e v="#REF!"/>
    <e v="#REF!"/>
  </r>
  <r>
    <s v="401000"/>
    <x v="6"/>
    <s v="FOURNISSEURS"/>
    <s v="BPRI"/>
    <n v="8926.7999999999993"/>
    <d v="2025-01-30T00:00:00"/>
    <s v="EVI REMISE"/>
    <s v="Non"/>
    <s v="Non"/>
    <e v="#N/A"/>
    <n v="21119"/>
    <s v="0GLGCN1"/>
    <s v="WE ARE BOLD"/>
    <s v="Q1"/>
    <e v="#REF!"/>
    <e v="#REF!"/>
    <e v="#REF!"/>
  </r>
  <r>
    <s v="401000"/>
    <x v="6"/>
    <s v="FOURNISSEURS"/>
    <s v="BPRI"/>
    <n v="8967.9"/>
    <d v="2025-07-25T00:00:00"/>
    <s v="Invoice payment by Pili "/>
    <s v="Non"/>
    <e v="#N/A"/>
    <e v="#N/A"/>
    <n v="78423"/>
    <m/>
    <s v="BIOTIKA"/>
    <s v="Q3"/>
    <e v="#REF!"/>
    <e v="#REF!"/>
    <e v="#REF!"/>
  </r>
  <r>
    <s v="401000"/>
    <x v="6"/>
    <s v="FOURNISSEURS"/>
    <s v="BPRI"/>
    <n v="9000"/>
    <d v="2025-02-18T00:00:00"/>
    <s v="EVI REMISE"/>
    <s v="Non"/>
    <s v="Non"/>
    <e v="#N/A"/>
    <n v="21360"/>
    <s v="0GLKPID"/>
    <s v="ALTAIR AVOCATS"/>
    <s v="Q1"/>
    <e v="#REF!"/>
    <e v="#REF!"/>
    <e v="#REF!"/>
  </r>
  <r>
    <s v="401000"/>
    <x v="6"/>
    <s v="FOURNISSEURS"/>
    <s v="BPRI"/>
    <n v="9000"/>
    <d v="2025-06-24T00:00:00"/>
    <s v="PARTICIPATION BOARD MICHEL MANACH"/>
    <s v="Non"/>
    <s v="Non"/>
    <e v="#N/A"/>
    <n v="76165"/>
    <m/>
    <s v="Michel Manach"/>
    <s v="Q2"/>
    <e v="#REF!"/>
    <e v="#REF!"/>
    <e v="#REF!"/>
  </r>
  <r>
    <s v="401000"/>
    <x v="6"/>
    <s v="FOURNISSEURS"/>
    <s v="BPRI"/>
    <n v="9000"/>
    <d v="2025-12-31T00:00:00"/>
    <s v="2110000565"/>
    <m/>
    <e v="#N/A"/>
    <e v="#N/A"/>
    <n v="93873"/>
    <m/>
    <s v="CNAM"/>
    <s v="Q4"/>
    <e v="#REF!"/>
    <e v="#REF!"/>
    <e v="#REF!"/>
  </r>
  <r>
    <s v="401000"/>
    <x v="6"/>
    <s v="FOURNISSEURS"/>
    <s v="BPRI"/>
    <n v="9444.6"/>
    <d v="2025-07-01T00:00:00"/>
    <s v="FACTURE MENSUELLE OSIRIS"/>
    <m/>
    <e v="#N/A"/>
    <e v="#N/A"/>
    <n v="76833"/>
    <m/>
    <m/>
    <s v="Q3"/>
    <e v="#REF!"/>
    <e v="#REF!"/>
    <e v="#REF!"/>
  </r>
  <r>
    <s v="401000"/>
    <x v="6"/>
    <s v="FOURNISSEURS"/>
    <s v="BPRI"/>
    <n v="9450"/>
    <d v="2025-11-28T00:00:00"/>
    <s v="F2025050087"/>
    <m/>
    <e v="#N/A"/>
    <e v="#N/A"/>
    <n v="91195"/>
    <m/>
    <m/>
    <s v="Q4"/>
    <e v="#REF!"/>
    <e v="#REF!"/>
    <e v="#REF!"/>
  </r>
  <r>
    <s v="401000"/>
    <x v="6"/>
    <s v="FOURNISSEURS"/>
    <s v="BPRI"/>
    <n v="9720"/>
    <d v="2025-07-31T00:00:00"/>
    <s v="ACTIVITÉ DE CONSEIL RÉALISÉE SOUS LA DIRECTION DE MONSIEUR GUILLAUME BOISSONNAT"/>
    <m/>
    <e v="#N/A"/>
    <e v="#N/A"/>
    <n v="79264"/>
    <m/>
    <m/>
    <s v="Q3"/>
    <e v="#REF!"/>
    <e v="#REF!"/>
    <e v="#REF!"/>
  </r>
  <r>
    <s v="401000"/>
    <x v="6"/>
    <s v="FOURNISSEURS"/>
    <s v="BPRI"/>
    <n v="9793"/>
    <d v="2025-02-06T00:00:00"/>
    <s v="EVI REMISE"/>
    <m/>
    <e v="#N/A"/>
    <e v="#N/A"/>
    <n v="21228"/>
    <s v="0GLHS45"/>
    <s v="Taros Chemicals GmbH &amp; Co. KG"/>
    <s v="Q1"/>
    <e v="#REF!"/>
    <e v="#REF!"/>
    <e v="#REF!"/>
  </r>
  <r>
    <s v="401000"/>
    <x v="6"/>
    <s v="FOURNISSEURS"/>
    <s v="BPRI"/>
    <n v="10000"/>
    <d v="2025-10-20T00:00:00"/>
    <s v="APPROVISIONNEMENT COMPTE SPENDESK"/>
    <m/>
    <e v="#N/A"/>
    <e v="#N/A"/>
    <n v="87153"/>
    <m/>
    <s v="SPENDESK"/>
    <s v="Q4"/>
    <e v="#REF!"/>
    <e v="#REF!"/>
    <e v="#REF!"/>
  </r>
  <r>
    <s v="401000"/>
    <x v="6"/>
    <s v="FOURNISSEURS"/>
    <s v="BPRI"/>
    <n v="10093.799999999999"/>
    <d v="2025-06-16T00:00:00"/>
    <s v="DEMO : SÉCURISATION ZONE DÉMONSTRATEUR : - FONDATION POTEAUX EXISTANTS - TERRASSEMENT"/>
    <m/>
    <e v="#N/A"/>
    <e v="#N/A"/>
    <n v="76023"/>
    <m/>
    <m/>
    <s v="Q2"/>
    <e v="#REF!"/>
    <e v="#REF!"/>
    <e v="#REF!"/>
  </r>
  <r>
    <s v="401000"/>
    <x v="6"/>
    <s v="FOURNISSEURS"/>
    <s v="BPRI"/>
    <n v="10200"/>
    <d v="2025-02-20T00:00:00"/>
    <s v="EVI REMISE"/>
    <s v="Non"/>
    <e v="#N/A"/>
    <e v="#N/A"/>
    <n v="21380"/>
    <s v="0GLKXYR"/>
    <s v="MAMA DATA"/>
    <s v="Q1"/>
    <e v="#REF!"/>
    <e v="#REF!"/>
    <e v="#REF!"/>
  </r>
  <r>
    <s v="401000"/>
    <x v="6"/>
    <s v="FOURNISSEURS"/>
    <s v="BPRI"/>
    <n v="10380"/>
    <d v="2025-11-28T00:00:00"/>
    <s v="FACT-20251103-23126"/>
    <m/>
    <e v="#N/A"/>
    <e v="#N/A"/>
    <n v="91200"/>
    <m/>
    <m/>
    <s v="Q4"/>
    <e v="#REF!"/>
    <e v="#REF!"/>
    <e v="#REF!"/>
  </r>
  <r>
    <s v="401000"/>
    <x v="6"/>
    <s v="FOURNISSEURS"/>
    <s v="BPRI"/>
    <n v="10500"/>
    <d v="2025-09-10T00:00:00"/>
    <s v="PRESTATION DE SERVICES, AVRIL 2025"/>
    <s v="Non"/>
    <s v="Non"/>
    <e v="#N/A"/>
    <n v="81978"/>
    <m/>
    <s v="QWINCY"/>
    <s v="Q3"/>
    <e v="#REF!"/>
    <e v="#REF!"/>
    <e v="#REF!"/>
  </r>
  <r>
    <s v="401000"/>
    <x v="6"/>
    <s v="FOURNISSEURS"/>
    <s v="BPRI"/>
    <n v="10500"/>
    <d v="2025-11-04T00:00:00"/>
    <s v="PRESTATION DE SERVICES, AVRIL 2025"/>
    <m/>
    <e v="#N/A"/>
    <e v="#N/A"/>
    <n v="88004"/>
    <m/>
    <m/>
    <s v="Q4"/>
    <e v="#REF!"/>
    <e v="#REF!"/>
    <e v="#REF!"/>
  </r>
  <r>
    <s v="401000"/>
    <x v="6"/>
    <s v="FOURNISSEURS"/>
    <s v="BPRI"/>
    <n v="10518.86"/>
    <d v="2025-11-28T00:00:00"/>
    <s v="93813582"/>
    <m/>
    <e v="#N/A"/>
    <e v="#N/A"/>
    <n v="91230"/>
    <m/>
    <m/>
    <s v="Q4"/>
    <e v="#REF!"/>
    <e v="#REF!"/>
    <e v="#REF!"/>
  </r>
  <r>
    <s v="401000"/>
    <x v="6"/>
    <s v="FOURNISSEURS"/>
    <s v="BPRI"/>
    <n v="10677.6"/>
    <d v="2025-06-30T00:00:00"/>
    <s v="INDIGO STADE 2"/>
    <m/>
    <e v="#N/A"/>
    <e v="#N/A"/>
    <n v="76869"/>
    <m/>
    <m/>
    <s v="Q2"/>
    <e v="#REF!"/>
    <e v="#REF!"/>
    <e v="#REF!"/>
  </r>
  <r>
    <s v="401000"/>
    <x v="6"/>
    <s v="FOURNISSEURS"/>
    <s v="BPRI"/>
    <n v="10714"/>
    <d v="2025-03-19T00:00:00"/>
    <s v="Invoice Payment by Pili"/>
    <m/>
    <e v="#N/A"/>
    <e v="#N/A"/>
    <n v="61879"/>
    <m/>
    <m/>
    <s v="Q1"/>
    <e v="#REF!"/>
    <e v="#REF!"/>
    <e v="#REF!"/>
  </r>
  <r>
    <s v="401000"/>
    <x v="6"/>
    <s v="FOURNISSEURS"/>
    <s v="BPRI"/>
    <n v="10715"/>
    <d v="2025-06-17T00:00:00"/>
    <s v="FIN DE LA SYNTHÈSE ET DÉVELOPPEMENT DE 1KG CYANOBENZOIC ACID - KEENB"/>
    <m/>
    <e v="#N/A"/>
    <e v="#N/A"/>
    <n v="76138"/>
    <m/>
    <s v="Taros Chemicals GmbH &amp; Co. KG"/>
    <s v="Q2"/>
    <e v="#REF!"/>
    <e v="#REF!"/>
    <e v="#REF!"/>
  </r>
  <r>
    <s v="401000"/>
    <x v="6"/>
    <s v="FOURNISSEURS"/>
    <s v="BPRI"/>
    <n v="10861.31"/>
    <d v="2025-11-04T00:00:00"/>
    <s v="DIVERS OSIRIS JUILLET 25"/>
    <m/>
    <e v="#N/A"/>
    <e v="#N/A"/>
    <n v="88036"/>
    <m/>
    <m/>
    <s v="Q4"/>
    <e v="#REF!"/>
    <e v="#REF!"/>
    <e v="#REF!"/>
  </r>
  <r>
    <s v="512100"/>
    <x v="6"/>
    <s v="BANQUE POPULAIRE RIVE DE PARIS"/>
    <s v="BPRI"/>
    <n v="-13.15"/>
    <d v="2025-12-25T00:00:00"/>
    <s v="/LIB/FRAIS VIR ETRANGER EMIS/LIB/FRAIS VIR ETRANGER EMIS/LIB/XCVEP022 2025122400048604000001/LIB/REF OPERATION : L724572"/>
    <m/>
    <e v="#N/A"/>
    <e v="#N/A"/>
    <n v="93686"/>
    <m/>
    <s v="Banque Populaire Rive de Paris"/>
    <s v="Q4"/>
    <e v="#REF!"/>
    <e v="#REF!"/>
    <e v="#REF!"/>
  </r>
  <r>
    <s v="401000"/>
    <x v="6"/>
    <s v="FOURNISSEURS"/>
    <s v="BPRI"/>
    <n v="11256"/>
    <d v="2025-06-02T00:00:00"/>
    <s v="Invoice Payment By Pili"/>
    <m/>
    <e v="#N/A"/>
    <e v="#N/A"/>
    <n v="75210"/>
    <m/>
    <m/>
    <s v="Q2"/>
    <e v="#REF!"/>
    <e v="#REF!"/>
    <e v="#REF!"/>
  </r>
  <r>
    <s v="401000"/>
    <x v="6"/>
    <s v="FOURNISSEURS"/>
    <s v="BPRI"/>
    <n v="11405.2"/>
    <d v="2025-03-06T00:00:00"/>
    <s v="INVOICIE FAP10636"/>
    <m/>
    <e v="#N/A"/>
    <e v="#N/A"/>
    <n v="50023"/>
    <s v="Règlement"/>
    <m/>
    <s v="Q1"/>
    <e v="#REF!"/>
    <e v="#REF!"/>
    <e v="#REF!"/>
  </r>
  <r>
    <s v="401000"/>
    <x v="6"/>
    <s v="FOURNISSEURS"/>
    <s v="BPRI"/>
    <n v="11578.3"/>
    <d v="2025-11-28T00:00:00"/>
    <s v="254096"/>
    <m/>
    <e v="#N/A"/>
    <e v="#N/A"/>
    <n v="91189"/>
    <m/>
    <m/>
    <s v="Q4"/>
    <e v="#REF!"/>
    <e v="#REF!"/>
    <e v="#REF!"/>
  </r>
  <r>
    <s v="401000"/>
    <x v="6"/>
    <s v="FOURNISSEURS"/>
    <s v="BPRI"/>
    <n v="11880"/>
    <d v="2025-01-15T00:00:00"/>
    <s v="EVI REMISE"/>
    <m/>
    <e v="#N/A"/>
    <e v="#N/A"/>
    <n v="20996"/>
    <s v="0GLCS48"/>
    <s v="Eurolysine"/>
    <s v="Q1"/>
    <e v="#REF!"/>
    <e v="#REF!"/>
    <e v="#REF!"/>
  </r>
  <r>
    <s v="401000"/>
    <x v="6"/>
    <s v="FOURNISSEURS"/>
    <s v="BPRI"/>
    <n v="11971.8"/>
    <d v="2025-09-15T00:00:00"/>
    <s v="Projet vidéo Pili"/>
    <m/>
    <e v="#N/A"/>
    <e v="#N/A"/>
    <n v="82158"/>
    <m/>
    <m/>
    <s v="Q3"/>
    <e v="#REF!"/>
    <e v="#REF!"/>
    <e v="#REF!"/>
  </r>
  <r>
    <s v="401000"/>
    <x v="6"/>
    <s v="FOURNISSEURS"/>
    <s v="BPRI"/>
    <n v="12000"/>
    <d v="2025-05-07T00:00:00"/>
    <s v="COMMISSARIAT AUX COMPTES AU TITRE DE L'EXERCICE CLOS LE 31 DÉCEMBRE 2024"/>
    <m/>
    <e v="#N/A"/>
    <e v="#N/A"/>
    <n v="71789"/>
    <m/>
    <m/>
    <s v="Q2"/>
    <e v="#REF!"/>
    <e v="#REF!"/>
    <e v="#REF!"/>
  </r>
  <r>
    <s v="401000"/>
    <x v="6"/>
    <s v="FOURNISSEURS"/>
    <s v="BPRI"/>
    <n v="12129.4"/>
    <d v="2025-05-23T00:00:00"/>
    <s v="Invoice payment by Pili"/>
    <m/>
    <e v="#N/A"/>
    <e v="#N/A"/>
    <n v="74045"/>
    <m/>
    <m/>
    <s v="Q2"/>
    <e v="#REF!"/>
    <e v="#REF!"/>
    <e v="#REF!"/>
  </r>
  <r>
    <s v="401000"/>
    <x v="6"/>
    <s v="FOURNISSEURS"/>
    <s v="BPRI"/>
    <n v="12500"/>
    <d v="2025-03-07T00:00:00"/>
    <s v="Règlement BIOTIKA par VIR "/>
    <s v="Non"/>
    <e v="#N/A"/>
    <e v="#N/A"/>
    <n v="58787"/>
    <m/>
    <s v="BIOTIKA"/>
    <s v="Q1"/>
    <e v="#REF!"/>
    <e v="#REF!"/>
    <e v="#REF!"/>
  </r>
  <r>
    <s v="401000"/>
    <x v="6"/>
    <s v="FOURNISSEURS"/>
    <s v="BPRI"/>
    <n v="12910.19"/>
    <d v="2025-09-08T00:00:00"/>
    <s v="COMMISSARIAT AUX COMPTES AU TITRE DE L'EXERCICE CLOS LE 31 DÉCEMBRE 2024 - SOLDE"/>
    <m/>
    <e v="#N/A"/>
    <e v="#N/A"/>
    <n v="81728"/>
    <m/>
    <m/>
    <s v="Q3"/>
    <e v="#REF!"/>
    <e v="#REF!"/>
    <e v="#REF!"/>
  </r>
  <r>
    <s v="401000"/>
    <x v="6"/>
    <s v="FOURNISSEURS"/>
    <s v="BPRI"/>
    <n v="13000"/>
    <d v="2025-03-19T00:00:00"/>
    <s v="Invoice Payment by Pili"/>
    <m/>
    <e v="#N/A"/>
    <e v="#N/A"/>
    <n v="61889"/>
    <m/>
    <m/>
    <s v="Q1"/>
    <e v="#REF!"/>
    <e v="#REF!"/>
    <e v="#REF!"/>
  </r>
  <r>
    <s v="401000"/>
    <x v="6"/>
    <s v="FOURNISSEURS"/>
    <s v="BPRI"/>
    <n v="13000.04"/>
    <d v="2025-03-07T00:00:00"/>
    <s v="Invoice Pili"/>
    <m/>
    <e v="#N/A"/>
    <e v="#N/A"/>
    <n v="58775"/>
    <m/>
    <s v="3BCLIM"/>
    <s v="Q1"/>
    <e v="#REF!"/>
    <e v="#REF!"/>
    <e v="#REF!"/>
  </r>
  <r>
    <s v="401000"/>
    <x v="6"/>
    <s v="FOURNISSEURS"/>
    <s v="BPRI"/>
    <n v="13068"/>
    <d v="2025-02-28T00:00:00"/>
    <s v="Règlement fournisseurs"/>
    <m/>
    <s v="Non"/>
    <e v="#N/A"/>
    <n v="58892"/>
    <m/>
    <s v="AXE GESCOM"/>
    <s v="Q1"/>
    <e v="#REF!"/>
    <e v="#REF!"/>
    <e v="#REF!"/>
  </r>
  <r>
    <s v="401000"/>
    <x v="6"/>
    <s v="FOURNISSEURS"/>
    <s v="BPRI"/>
    <n v="13500"/>
    <d v="2025-08-18T00:00:00"/>
    <s v="MISSION B. LAJUGIE - JUIN 2025"/>
    <m/>
    <e v="#N/A"/>
    <e v="#N/A"/>
    <n v="81115"/>
    <m/>
    <m/>
    <s v="Q3"/>
    <e v="#REF!"/>
    <e v="#REF!"/>
    <e v="#REF!"/>
  </r>
  <r>
    <s v="401000"/>
    <x v="6"/>
    <s v="FOURNISSEURS"/>
    <s v="BPRI"/>
    <n v="13800"/>
    <d v="2025-08-22T00:00:00"/>
    <s v="MP POUR FERMENTATION VBIO"/>
    <m/>
    <e v="#N/A"/>
    <e v="#N/A"/>
    <n v="81620"/>
    <m/>
    <m/>
    <s v="Q3"/>
    <e v="#REF!"/>
    <e v="#REF!"/>
    <e v="#REF!"/>
  </r>
  <r>
    <s v="401000"/>
    <x v="6"/>
    <s v="FOURNISSEURS"/>
    <s v="BPRI"/>
    <n v="13914.31"/>
    <d v="2025-01-31T00:00:00"/>
    <s v="EVI REMISE"/>
    <s v="Non"/>
    <s v="Non"/>
    <e v="#N/A"/>
    <n v="21162"/>
    <s v="0GLGKLQ"/>
    <s v="OSIRIS"/>
    <s v="Q1"/>
    <e v="#REF!"/>
    <e v="#REF!"/>
    <e v="#REF!"/>
  </r>
  <r>
    <s v="401000"/>
    <x v="6"/>
    <s v="FOURNISSEURS"/>
    <s v="BPRI"/>
    <n v="14205.23"/>
    <d v="2025-06-04T00:00:00"/>
    <s v="Invoice payment by Pili"/>
    <m/>
    <e v="#N/A"/>
    <e v="#N/A"/>
    <n v="75510"/>
    <m/>
    <m/>
    <s v="Q2"/>
    <e v="#REF!"/>
    <e v="#REF!"/>
    <e v="#REF!"/>
  </r>
  <r>
    <s v="401000"/>
    <x v="6"/>
    <s v="FOURNISSEURS"/>
    <s v="BPRI"/>
    <n v="14271.62"/>
    <d v="2025-09-15T00:00:00"/>
    <s v="2024 invoices payment by Pili"/>
    <m/>
    <e v="#N/A"/>
    <e v="#N/A"/>
    <n v="82159"/>
    <m/>
    <m/>
    <s v="Q3"/>
    <e v="#REF!"/>
    <e v="#REF!"/>
    <e v="#REF!"/>
  </r>
  <r>
    <s v="401000"/>
    <x v="6"/>
    <s v="FOURNISSEURS"/>
    <s v="BPRI"/>
    <n v="15848.51"/>
    <d v="2025-06-30T00:00:00"/>
    <s v="BROYAGE  AMORTISSEUR DU BROYEUR"/>
    <m/>
    <e v="#N/A"/>
    <e v="#N/A"/>
    <n v="76864"/>
    <m/>
    <m/>
    <s v="Q2"/>
    <e v="#REF!"/>
    <e v="#REF!"/>
    <e v="#REF!"/>
  </r>
  <r>
    <s v="401000"/>
    <x v="6"/>
    <s v="FOURNISSEURS"/>
    <s v="BPRI"/>
    <n v="16622.060000000001"/>
    <d v="2025-05-14T00:00:00"/>
    <s v="Règlement BIOTIKA par VIR "/>
    <s v="Non"/>
    <e v="#N/A"/>
    <e v="#N/A"/>
    <n v="72290"/>
    <m/>
    <s v="BIOTIKA"/>
    <s v="Q2"/>
    <e v="#REF!"/>
    <e v="#REF!"/>
    <e v="#REF!"/>
  </r>
  <r>
    <s v="401000"/>
    <x v="6"/>
    <s v="FOURNISSEURS"/>
    <s v="BPRI"/>
    <n v="16824"/>
    <d v="2025-06-02T00:00:00"/>
    <s v="Invoice Payment By Pili"/>
    <m/>
    <e v="#N/A"/>
    <e v="#N/A"/>
    <n v="75215"/>
    <m/>
    <m/>
    <s v="Q2"/>
    <e v="#REF!"/>
    <e v="#REF!"/>
    <e v="#REF!"/>
  </r>
  <r>
    <s v="401000"/>
    <x v="6"/>
    <s v="FOURNISSEURS"/>
    <s v="BPRI"/>
    <n v="17443"/>
    <d v="2025-10-31T00:00:00"/>
    <s v="INV/2025/00261"/>
    <m/>
    <e v="#N/A"/>
    <e v="#N/A"/>
    <n v="87563"/>
    <m/>
    <m/>
    <s v="Q4"/>
    <e v="#REF!"/>
    <e v="#REF!"/>
    <e v="#REF!"/>
  </r>
  <r>
    <s v="401000"/>
    <x v="6"/>
    <s v="FOURNISSEURS"/>
    <s v="BPRI"/>
    <n v="17444"/>
    <d v="2025-09-22T00:00:00"/>
    <s v="INV/2025/00193"/>
    <m/>
    <e v="#N/A"/>
    <e v="#N/A"/>
    <n v="82360"/>
    <m/>
    <s v="Taros Chemicals GmbH &amp; Co. KG"/>
    <s v="Q3"/>
    <e v="#REF!"/>
    <e v="#REF!"/>
    <e v="#REF!"/>
  </r>
  <r>
    <s v="401000"/>
    <x v="6"/>
    <s v="FOURNISSEURS"/>
    <s v="BPRI"/>
    <n v="18865.419999999998"/>
    <d v="2025-11-27T00:00:00"/>
    <s v="C20251003"/>
    <s v="Non"/>
    <s v="Non"/>
    <e v="#N/A"/>
    <n v="91169"/>
    <m/>
    <s v="ALTAIR AVOCATS"/>
    <s v="Q4"/>
    <e v="#REF!"/>
    <e v="#REF!"/>
    <e v="#REF!"/>
  </r>
  <r>
    <s v="401000"/>
    <x v="6"/>
    <s v="FOURNISSEURS"/>
    <s v="BPRI"/>
    <n v="20000"/>
    <d v="2025-03-10T00:00:00"/>
    <s v="Apport à spendesk"/>
    <m/>
    <e v="#N/A"/>
    <e v="#N/A"/>
    <n v="60052"/>
    <m/>
    <s v="SPENDESK"/>
    <s v="Q1"/>
    <e v="#REF!"/>
    <e v="#REF!"/>
    <e v="#REF!"/>
  </r>
  <r>
    <s v="401000"/>
    <x v="6"/>
    <s v="FOURNISSEURS"/>
    <s v="BPRI"/>
    <n v="20000"/>
    <d v="2025-05-30T00:00:00"/>
    <s v="Invoice Payment By Pili"/>
    <s v="Non"/>
    <e v="#N/A"/>
    <e v="#N/A"/>
    <n v="74894"/>
    <m/>
    <s v="BIOTIKA"/>
    <s v="Q2"/>
    <e v="#REF!"/>
    <e v="#REF!"/>
    <e v="#REF!"/>
  </r>
  <r>
    <s v="401000"/>
    <x v="6"/>
    <s v="FOURNISSEURS"/>
    <s v="BPRI"/>
    <n v="20000"/>
    <d v="2025-06-10T00:00:00"/>
    <s v="Apport Spendesk"/>
    <m/>
    <e v="#N/A"/>
    <e v="#N/A"/>
    <n v="75918"/>
    <m/>
    <m/>
    <s v="Q2"/>
    <e v="#REF!"/>
    <e v="#REF!"/>
    <e v="#REF!"/>
  </r>
  <r>
    <s v="401000"/>
    <x v="6"/>
    <s v="FOURNISSEURS"/>
    <s v="BPRI"/>
    <n v="20700"/>
    <d v="2025-03-20T00:00:00"/>
    <s v="Payment by Pili"/>
    <s v="Non"/>
    <s v="Non"/>
    <e v="#N/A"/>
    <n v="61915"/>
    <m/>
    <s v="INSIDE MANAGEMENT"/>
    <s v="Q1"/>
    <e v="#REF!"/>
    <e v="#REF!"/>
    <e v="#REF!"/>
  </r>
  <r>
    <s v="401000"/>
    <x v="6"/>
    <s v="FOURNISSEURS"/>
    <s v="BPRI"/>
    <n v="21000"/>
    <d v="2025-06-04T00:00:00"/>
    <s v="Invoice payment by Pili"/>
    <m/>
    <e v="#N/A"/>
    <e v="#N/A"/>
    <n v="75545"/>
    <m/>
    <m/>
    <s v="Q2"/>
    <e v="#REF!"/>
    <e v="#REF!"/>
    <e v="#REF!"/>
  </r>
  <r>
    <s v="401000"/>
    <x v="6"/>
    <s v="FOURNISSEURS"/>
    <s v="BPRI"/>
    <n v="22766.02"/>
    <d v="2025-06-02T00:00:00"/>
    <s v="Invoice Payment By Pili"/>
    <m/>
    <e v="#N/A"/>
    <e v="#N/A"/>
    <n v="75271"/>
    <m/>
    <m/>
    <s v="Q2"/>
    <e v="#REF!"/>
    <e v="#REF!"/>
    <e v="#REF!"/>
  </r>
  <r>
    <s v="401000"/>
    <x v="6"/>
    <s v="FOURNISSEURS"/>
    <s v="BPRI"/>
    <n v="23891"/>
    <d v="2025-03-19T00:00:00"/>
    <s v="Invoice Payment by Pili"/>
    <m/>
    <e v="#N/A"/>
    <e v="#N/A"/>
    <n v="61888"/>
    <m/>
    <m/>
    <s v="Q1"/>
    <e v="#REF!"/>
    <e v="#REF!"/>
    <e v="#REF!"/>
  </r>
  <r>
    <s v="401000"/>
    <x v="6"/>
    <s v="FOURNISSEURS"/>
    <s v="BPRI"/>
    <n v="24000"/>
    <d v="2025-09-26T00:00:00"/>
    <s v="INVOICE PAYMENT BY PILI"/>
    <m/>
    <e v="#N/A"/>
    <e v="#N/A"/>
    <n v="82470"/>
    <m/>
    <m/>
    <s v="Q3"/>
    <e v="#REF!"/>
    <e v="#REF!"/>
    <e v="#REF!"/>
  </r>
  <r>
    <s v="401000"/>
    <x v="6"/>
    <s v="FOURNISSEURS"/>
    <s v="BPRI"/>
    <n v="24562.880000000001"/>
    <d v="2025-02-18T00:00:00"/>
    <s v="EVI REMISE"/>
    <s v="Non"/>
    <s v="Non"/>
    <e v="#N/A"/>
    <n v="21350"/>
    <s v="0GLKPI7"/>
    <s v="AURIGNAC FINANCE"/>
    <s v="Q1"/>
    <e v="#REF!"/>
    <e v="#REF!"/>
    <e v="#REF!"/>
  </r>
  <r>
    <s v="401000"/>
    <x v="6"/>
    <s v="FOURNISSEURS"/>
    <s v="BPRI"/>
    <n v="24772.68"/>
    <d v="2025-06-02T00:00:00"/>
    <s v="Invoice Payment By Pili"/>
    <m/>
    <e v="#N/A"/>
    <e v="#N/A"/>
    <n v="75281"/>
    <m/>
    <m/>
    <s v="Q2"/>
    <e v="#REF!"/>
    <e v="#REF!"/>
    <e v="#REF!"/>
  </r>
  <r>
    <s v="401000"/>
    <x v="6"/>
    <s v="FOURNISSEURS"/>
    <s v="BPRI"/>
    <n v="24876"/>
    <d v="2025-06-02T00:00:00"/>
    <s v="Encaissement partiel CIR 2024 Neftys"/>
    <m/>
    <e v="#N/A"/>
    <e v="#N/A"/>
    <n v="87294"/>
    <m/>
    <m/>
    <s v="Q2"/>
    <e v="#REF!"/>
    <e v="#REF!"/>
    <e v="#REF!"/>
  </r>
  <r>
    <s v="401000"/>
    <x v="6"/>
    <s v="FOURNISSEURS"/>
    <s v="BPRI"/>
    <n v="25000"/>
    <d v="2025-02-05T00:00:00"/>
    <s v="EVI REMISE"/>
    <s v="Non"/>
    <e v="#N/A"/>
    <e v="#N/A"/>
    <n v="21200"/>
    <s v="0GLHKW0"/>
    <s v="BIOTIKA"/>
    <s v="Q1"/>
    <e v="#REF!"/>
    <e v="#REF!"/>
    <e v="#REF!"/>
  </r>
  <r>
    <s v="401000"/>
    <x v="6"/>
    <s v="FOURNISSEURS"/>
    <s v="BPRI"/>
    <n v="28000"/>
    <d v="2025-06-30T00:00:00"/>
    <s v="INVOICING AFTER FINISHING OF 2TRIALS IN 30L FERMENTER  INVOICING AFTER 3RD TRIAL IN LABORATORY FERMENTER"/>
    <m/>
    <e v="#N/A"/>
    <e v="#N/A"/>
    <n v="76849"/>
    <m/>
    <m/>
    <s v="Q2"/>
    <e v="#REF!"/>
    <e v="#REF!"/>
    <e v="#REF!"/>
  </r>
  <r>
    <s v="401000"/>
    <x v="6"/>
    <s v="FOURNISSEURS"/>
    <s v="BPRI"/>
    <n v="28620.53"/>
    <d v="2025-11-04T00:00:00"/>
    <s v="LICENCES SCIFINDER"/>
    <m/>
    <e v="#N/A"/>
    <e v="#N/A"/>
    <n v="88170"/>
    <m/>
    <s v="AMERICAN CHEMICAL SOCIETY"/>
    <s v="Q4"/>
    <e v="#REF!"/>
    <e v="#REF!"/>
    <e v="#REF!"/>
  </r>
  <r>
    <s v="401000"/>
    <x v="6"/>
    <s v="FOURNISSEURS"/>
    <s v="BPRI"/>
    <n v="29000"/>
    <d v="2025-07-23T00:00:00"/>
    <s v="Proforma Invoice 9912500013 - PILI"/>
    <s v="Non"/>
    <e v="#N/A"/>
    <e v="#N/A"/>
    <n v="78337"/>
    <m/>
    <s v="BIOTIKA"/>
    <s v="Q3"/>
    <e v="#REF!"/>
    <e v="#REF!"/>
    <e v="#REF!"/>
  </r>
  <r>
    <s v="401000"/>
    <x v="6"/>
    <s v="FOURNISSEURS"/>
    <s v="BPRI"/>
    <n v="30000"/>
    <d v="2025-01-17T00:00:00"/>
    <s v="EVI REMISE"/>
    <s v="Non"/>
    <s v="Non"/>
    <e v="#N/A"/>
    <n v="21022"/>
    <s v="0GLDAEM"/>
    <s v="INSIDE MANAGEMENT"/>
    <s v="Q1"/>
    <e v="#REF!"/>
    <e v="#REF!"/>
    <e v="#REF!"/>
  </r>
  <r>
    <s v="401000"/>
    <x v="6"/>
    <s v="FOURNISSEURS"/>
    <s v="BPRI"/>
    <n v="30000"/>
    <d v="2025-01-24T00:00:00"/>
    <s v="EVI REMISE"/>
    <s v="Non"/>
    <s v="Non"/>
    <e v="#N/A"/>
    <n v="21080"/>
    <s v="0GLEKYT"/>
    <s v="INSIDE MANAGEMENT"/>
    <s v="Q1"/>
    <e v="#REF!"/>
    <e v="#REF!"/>
    <e v="#REF!"/>
  </r>
  <r>
    <s v="401000"/>
    <x v="6"/>
    <s v="FOURNISSEURS"/>
    <s v="BPRI"/>
    <n v="30000"/>
    <d v="2025-05-23T00:00:00"/>
    <s v="Payment upon Purchase Order 186"/>
    <m/>
    <e v="#N/A"/>
    <e v="#N/A"/>
    <n v="74055"/>
    <m/>
    <m/>
    <s v="Q2"/>
    <e v="#REF!"/>
    <e v="#REF!"/>
    <e v="#REF!"/>
  </r>
  <r>
    <s v="401000"/>
    <x v="6"/>
    <s v="FOURNISSEURS"/>
    <s v="BPRI"/>
    <n v="30000"/>
    <d v="2025-05-30T00:00:00"/>
    <s v="Invoice Payment By Pili"/>
    <s v="Non"/>
    <e v="#N/A"/>
    <e v="#N/A"/>
    <n v="74893"/>
    <m/>
    <s v="BIOTIKA"/>
    <s v="Q2"/>
    <e v="#REF!"/>
    <e v="#REF!"/>
    <e v="#REF!"/>
  </r>
  <r>
    <s v="401000"/>
    <x v="6"/>
    <s v="FOURNISSEURS"/>
    <s v="BPRI"/>
    <n v="30000"/>
    <d v="2025-06-06T00:00:00"/>
    <s v="Invoice payment by Pili"/>
    <s v="Non"/>
    <e v="#N/A"/>
    <e v="#N/A"/>
    <n v="75635"/>
    <s v="PO 186"/>
    <s v="BIOTIKA"/>
    <s v="Q2"/>
    <e v="#REF!"/>
    <e v="#REF!"/>
    <e v="#REF!"/>
  </r>
  <r>
    <s v="401000"/>
    <x v="6"/>
    <s v="FOURNISSEURS"/>
    <s v="BPRI"/>
    <n v="30000"/>
    <d v="2025-06-13T00:00:00"/>
    <s v="Invoice payment by Pili"/>
    <s v="Non"/>
    <e v="#N/A"/>
    <e v="#N/A"/>
    <n v="76015"/>
    <m/>
    <s v="BIOTIKA"/>
    <s v="Q2"/>
    <e v="#REF!"/>
    <e v="#REF!"/>
    <e v="#REF!"/>
  </r>
  <r>
    <s v="401000"/>
    <x v="6"/>
    <s v="FOURNISSEURS"/>
    <s v="BPRI"/>
    <n v="30000"/>
    <d v="2025-06-19T00:00:00"/>
    <s v="Invoice payment by Pili - PO-186"/>
    <s v="Non"/>
    <e v="#N/A"/>
    <e v="#N/A"/>
    <n v="76158"/>
    <m/>
    <s v="BIOTIKA"/>
    <s v="Q2"/>
    <e v="#REF!"/>
    <e v="#REF!"/>
    <e v="#REF!"/>
  </r>
  <r>
    <s v="401000"/>
    <x v="6"/>
    <s v="FOURNISSEURS"/>
    <s v="BPRI"/>
    <n v="30000"/>
    <d v="2025-06-26T00:00:00"/>
    <s v="INVOICE PAYMENT BY PILI"/>
    <m/>
    <e v="#N/A"/>
    <e v="#N/A"/>
    <n v="76338"/>
    <m/>
    <m/>
    <s v="Q2"/>
    <e v="#REF!"/>
    <e v="#REF!"/>
    <e v="#REF!"/>
  </r>
  <r>
    <s v="401000"/>
    <x v="6"/>
    <s v="FOURNISSEURS"/>
    <s v="BPRI"/>
    <n v="30000"/>
    <d v="2025-07-03T00:00:00"/>
    <s v="invoice payment by Pili"/>
    <s v="Non"/>
    <e v="#N/A"/>
    <e v="#N/A"/>
    <n v="76903"/>
    <m/>
    <s v="BIOTIKA"/>
    <s v="Q3"/>
    <e v="#REF!"/>
    <e v="#REF!"/>
    <e v="#REF!"/>
  </r>
  <r>
    <s v="401000"/>
    <x v="6"/>
    <s v="FOURNISSEURS"/>
    <s v="BPRI"/>
    <n v="30000"/>
    <d v="2025-07-11T00:00:00"/>
    <s v="Invoice payment by Pili"/>
    <s v="Non"/>
    <e v="#N/A"/>
    <e v="#N/A"/>
    <n v="77357"/>
    <m/>
    <s v="BIOTIKA"/>
    <s v="Q3"/>
    <e v="#REF!"/>
    <e v="#REF!"/>
    <e v="#REF!"/>
  </r>
  <r>
    <s v="401000"/>
    <x v="6"/>
    <s v="FOURNISSEURS"/>
    <s v="BPRI"/>
    <n v="30000"/>
    <d v="2025-07-17T00:00:00"/>
    <s v="Invoice payment by Pili"/>
    <s v="Non"/>
    <e v="#N/A"/>
    <e v="#N/A"/>
    <n v="77581"/>
    <m/>
    <s v="BIOTIKA"/>
    <s v="Q3"/>
    <e v="#REF!"/>
    <e v="#REF!"/>
    <e v="#REF!"/>
  </r>
  <r>
    <s v="401000"/>
    <x v="6"/>
    <s v="FOURNISSEURS"/>
    <s v="BPRI"/>
    <n v="30000"/>
    <d v="2025-10-21T00:00:00"/>
    <s v="Facture Convention n°240011005"/>
    <m/>
    <e v="#N/A"/>
    <e v="#N/A"/>
    <n v="87202"/>
    <m/>
    <s v="CNAM"/>
    <s v="Q4"/>
    <e v="#REF!"/>
    <e v="#REF!"/>
    <e v="#REF!"/>
  </r>
  <r>
    <s v="401000"/>
    <x v="6"/>
    <s v="FOURNISSEURS"/>
    <s v="BPRI"/>
    <n v="30840"/>
    <d v="2025-06-30T00:00:00"/>
    <s v="LICENCES DOTMATICS 2026 - 1 READ ONLY - 21 CHEMISTRY - 7 BIOREGISTER"/>
    <s v="Non"/>
    <e v="#N/A"/>
    <e v="#N/A"/>
    <n v="76890"/>
    <m/>
    <s v="DOTMATICS LIMITED"/>
    <s v="Q2"/>
    <e v="#REF!"/>
    <e v="#REF!"/>
    <e v="#REF!"/>
  </r>
  <r>
    <s v="401000"/>
    <x v="6"/>
    <s v="FOURNISSEURS"/>
    <s v="BPRI"/>
    <n v="31200"/>
    <d v="2025-11-28T00:00:00"/>
    <s v="FC6781"/>
    <m/>
    <e v="#N/A"/>
    <e v="#N/A"/>
    <n v="91184"/>
    <m/>
    <m/>
    <s v="Q4"/>
    <e v="#REF!"/>
    <e v="#REF!"/>
    <e v="#REF!"/>
  </r>
  <r>
    <s v="401000"/>
    <x v="6"/>
    <s v="FOURNISSEURS"/>
    <s v="BPRI"/>
    <n v="31500"/>
    <d v="2025-11-14T00:00:00"/>
    <s v="DEVELOPMENT AGREEMENT PHOENIX VI, 3.1."/>
    <m/>
    <e v="#N/A"/>
    <e v="#N/A"/>
    <n v="89999"/>
    <m/>
    <m/>
    <s v="Q4"/>
    <e v="#REF!"/>
    <e v="#REF!"/>
    <e v="#REF!"/>
  </r>
  <r>
    <s v="401000"/>
    <x v="6"/>
    <s v="FOURNISSEURS"/>
    <s v="BPRI"/>
    <n v="34000"/>
    <d v="2025-08-08T00:00:00"/>
    <s v="PHOENIX III REPORT"/>
    <m/>
    <e v="#N/A"/>
    <e v="#N/A"/>
    <n v="80723"/>
    <m/>
    <m/>
    <s v="Q3"/>
    <e v="#REF!"/>
    <e v="#REF!"/>
    <e v="#REF!"/>
  </r>
  <r>
    <s v="401000"/>
    <x v="6"/>
    <s v="FOURNISSEURS"/>
    <s v="BPRI"/>
    <n v="35000"/>
    <d v="2025-01-10T00:00:00"/>
    <s v="EVI REMISE"/>
    <s v="Non"/>
    <e v="#N/A"/>
    <e v="#N/A"/>
    <n v="20946"/>
    <s v="0GLAZPX"/>
    <s v="BIOTIKA"/>
    <s v="Q1"/>
    <e v="#REF!"/>
    <e v="#REF!"/>
    <e v="#REF!"/>
  </r>
  <r>
    <s v="401000"/>
    <x v="6"/>
    <s v="FOURNISSEURS"/>
    <s v="BPRI"/>
    <n v="36000"/>
    <d v="2025-03-12T00:00:00"/>
    <s v="Pili - Facture 8743-1516-3"/>
    <s v="Non"/>
    <s v="Non"/>
    <e v="#N/A"/>
    <n v="61604"/>
    <m/>
    <s v="INSIDE MANAGEMENT"/>
    <s v="Q1"/>
    <e v="#REF!"/>
    <e v="#REF!"/>
    <e v="#REF!"/>
  </r>
  <r>
    <s v="401000"/>
    <x v="6"/>
    <s v="FOURNISSEURS"/>
    <s v="BPRI"/>
    <n v="36000"/>
    <d v="2025-03-13T00:00:00"/>
    <s v="MISSION B. LAJUGIE - FEVRIER 2025"/>
    <s v="Non"/>
    <s v="Non"/>
    <e v="#N/A"/>
    <n v="61644"/>
    <m/>
    <s v="INSIDE MANAGEMENT"/>
    <s v="Q1"/>
    <e v="#REF!"/>
    <e v="#REF!"/>
    <e v="#REF!"/>
  </r>
  <r>
    <s v="401000"/>
    <x v="6"/>
    <s v="FOURNISSEURS"/>
    <s v="BPRI"/>
    <n v="37800"/>
    <d v="2025-04-25T00:00:00"/>
    <s v="Invoice Payment by Pili"/>
    <m/>
    <e v="#N/A"/>
    <e v="#N/A"/>
    <n v="70195"/>
    <m/>
    <m/>
    <s v="Q2"/>
    <e v="#REF!"/>
    <e v="#REF!"/>
    <e v="#REF!"/>
  </r>
  <r>
    <s v="401000"/>
    <x v="6"/>
    <s v="FOURNISSEURS"/>
    <s v="BPRI"/>
    <n v="41676"/>
    <d v="2025-02-05T00:00:00"/>
    <s v="EVI REMISE"/>
    <m/>
    <e v="#N/A"/>
    <e v="#N/A"/>
    <n v="21204"/>
    <s v="0GLHKW3"/>
    <s v="AIGP INGENIERIE"/>
    <s v="Q1"/>
    <e v="#REF!"/>
    <e v="#REF!"/>
    <e v="#REF!"/>
  </r>
  <r>
    <s v="401000"/>
    <x v="6"/>
    <s v="FOURNISSEURS"/>
    <s v="BPRI"/>
    <n v="41843.51"/>
    <d v="2025-11-18T00:00:00"/>
    <s v="LOYER Q4 2025"/>
    <m/>
    <e v="#N/A"/>
    <e v="#N/A"/>
    <n v="90183"/>
    <m/>
    <s v="LIBERTY PM"/>
    <s v="Q4"/>
    <e v="#REF!"/>
    <e v="#REF!"/>
    <e v="#REF!"/>
  </r>
  <r>
    <s v="401000"/>
    <x v="6"/>
    <s v="FOURNISSEURS"/>
    <s v="BPRI"/>
    <n v="45360"/>
    <d v="2025-01-02T00:00:00"/>
    <s v="EVI REMISE"/>
    <m/>
    <e v="#N/A"/>
    <e v="#N/A"/>
    <n v="20872"/>
    <s v="0GL8HO6"/>
    <s v="TECHNIP ENERGIES FRANCE"/>
    <s v="Q1"/>
    <e v="#REF!"/>
    <e v="#REF!"/>
    <e v="#REF!"/>
  </r>
  <r>
    <s v="401000"/>
    <x v="6"/>
    <s v="FOURNISSEURS"/>
    <s v="BPRI"/>
    <n v="64720.5"/>
    <d v="2025-03-12T00:00:00"/>
    <s v="Loyer Q2 Pili - SNC Omega"/>
    <m/>
    <e v="#N/A"/>
    <e v="#N/A"/>
    <n v="61606"/>
    <m/>
    <s v="LIBERTY PM"/>
    <s v="Q1"/>
    <e v="#REF!"/>
    <e v="#REF!"/>
    <e v="#REF!"/>
  </r>
  <r>
    <s v="401000"/>
    <x v="6"/>
    <s v="FOURNISSEURS"/>
    <s v="BPRI"/>
    <n v="84963.42"/>
    <d v="2025-01-07T00:00:00"/>
    <s v="EVI REMISE"/>
    <m/>
    <e v="#N/A"/>
    <e v="#N/A"/>
    <n v="20924"/>
    <s v="0GL9V3O"/>
    <s v="LIBERTY PM"/>
    <s v="Q1"/>
    <e v="#REF!"/>
    <e v="#REF!"/>
    <e v="#REF!"/>
  </r>
  <r>
    <s v="401000"/>
    <x v="6"/>
    <s v="FOURNISSEURS"/>
    <s v="BPRI"/>
    <n v="99000"/>
    <d v="2025-03-07T00:00:00"/>
    <s v="Règlement BIOTIKA par VIR "/>
    <s v="Non"/>
    <e v="#N/A"/>
    <e v="#N/A"/>
    <n v="58788"/>
    <m/>
    <s v="BIOTIKA"/>
    <s v="Q1"/>
    <e v="#REF!"/>
    <e v="#REF!"/>
    <e v="#REF!"/>
  </r>
  <r>
    <s v="401000"/>
    <x v="6"/>
    <s v="FOURNISSEURS"/>
    <s v="BPRI"/>
    <n v="177590.39999999999"/>
    <d v="2025-06-30T00:00:00"/>
    <s v="COMMANDE 4-240154 DU 19/09/2024"/>
    <m/>
    <e v="#N/A"/>
    <e v="#N/A"/>
    <n v="76874"/>
    <m/>
    <m/>
    <s v="Q2"/>
    <e v="#REF!"/>
    <e v="#REF!"/>
    <e v="#REF!"/>
  </r>
  <r>
    <s v="401000"/>
    <x v="6"/>
    <s v="FOURNISSEURS"/>
    <s v="BPRI"/>
    <n v="177590.39999999999"/>
    <d v="2025-07-31T00:00:00"/>
    <s v="FC250025"/>
    <m/>
    <e v="#N/A"/>
    <e v="#N/A"/>
    <n v="79238"/>
    <m/>
    <m/>
    <s v="Q3"/>
    <e v="#REF!"/>
    <e v="#REF!"/>
    <e v="#REF!"/>
  </r>
  <r>
    <s v="401000"/>
    <x v="6"/>
    <s v="FOURNISSEURS"/>
    <s v="BPRI"/>
    <n v="177590.39999999999"/>
    <d v="2025-08-21T00:00:00"/>
    <s v="FC250025 3RD INSTALLMENT"/>
    <s v="Non"/>
    <e v="#N/A"/>
    <n v="0"/>
    <n v="81471"/>
    <m/>
    <s v="INTEROR"/>
    <s v="Q3"/>
    <e v="#REF!"/>
    <e v="#REF!"/>
    <e v="#REF!"/>
  </r>
  <r>
    <s v="401000"/>
    <x v="6"/>
    <s v="FOURNISSEURS"/>
    <s v="BPRI"/>
    <n v="177590.39999999999"/>
    <d v="2025-09-26T00:00:00"/>
    <s v="FC250025 FINAL INSTALLMENT"/>
    <s v="Non"/>
    <e v="#N/A"/>
    <n v="0"/>
    <n v="82540"/>
    <m/>
    <s v="INTEROR"/>
    <s v="Q3"/>
    <e v="#REF!"/>
    <e v="#REF!"/>
    <e v="#REF!"/>
  </r>
  <r>
    <s v="401000"/>
    <x v="6"/>
    <s v="FOURNISSEURS"/>
    <s v="BPRI"/>
    <n v="194000"/>
    <d v="2025-02-05T00:00:00"/>
    <s v="EVI REMISE"/>
    <m/>
    <e v="#N/A"/>
    <e v="#N/A"/>
    <n v="21210"/>
    <s v="0GLHQA1"/>
    <s v="GL FILTRATION"/>
    <s v="Q1"/>
    <e v="#REF!"/>
    <e v="#REF!"/>
    <e v="#REF!"/>
  </r>
  <r>
    <s v="401000"/>
    <x v="6"/>
    <s v="FOURNISSEURS"/>
    <s v="BPRI"/>
    <n v="240000"/>
    <d v="2025-10-01T00:00:00"/>
    <s v="PROFORMA FC250179"/>
    <s v="Non"/>
    <e v="#N/A"/>
    <n v="0"/>
    <n v="82542"/>
    <m/>
    <s v="INTEROR"/>
    <s v="Q4"/>
    <e v="#REF!"/>
    <e v="#REF!"/>
    <e v="#REF!"/>
  </r>
  <r>
    <s v="401000"/>
    <x v="6"/>
    <s v="FOURNISSEURS"/>
    <s v="OD"/>
    <n v="-532771.19999999995"/>
    <d v="2025-09-26T00:00:00"/>
    <s v="Liaison inter-établissement"/>
    <s v="Non"/>
    <e v="#N/A"/>
    <n v="0"/>
    <n v="86863"/>
    <m/>
    <s v="INTEROR"/>
    <s v="Q3"/>
    <e v="#REF!"/>
    <e v="#REF!"/>
    <e v="#REF!"/>
  </r>
  <r>
    <s v="401000"/>
    <x v="6"/>
    <s v="FOURNISSEURS"/>
    <s v="OD"/>
    <n v="-194000"/>
    <d v="2025-02-05T00:00:00"/>
    <s v="Liaison inter-établissement"/>
    <m/>
    <e v="#N/A"/>
    <e v="#N/A"/>
    <n v="63644"/>
    <m/>
    <s v="GL FILTRATION"/>
    <s v="Q1"/>
    <e v="#REF!"/>
    <e v="#REF!"/>
    <e v="#REF!"/>
  </r>
  <r>
    <s v="401000"/>
    <x v="6"/>
    <s v="FOURNISSEURS"/>
    <s v="OD"/>
    <n v="-177590.39999999999"/>
    <d v="2025-06-30T00:00:00"/>
    <s v="Liaison établissement 401000 INTEROR TO"/>
    <s v="Non"/>
    <e v="#N/A"/>
    <n v="0"/>
    <n v="76878"/>
    <s v="COMMANDE 4-240154 DU 19/09/2024"/>
    <s v="INTEROR"/>
    <s v="Q2"/>
    <e v="#REF!"/>
    <e v="#REF!"/>
    <e v="#REF!"/>
  </r>
  <r>
    <s v="401000"/>
    <x v="6"/>
    <s v="FOURNISSEURS"/>
    <s v="OD"/>
    <n v="-99000"/>
    <d v="2025-03-07T00:00:00"/>
    <s v="Acompte sur Proforma"/>
    <s v="Non"/>
    <e v="#N/A"/>
    <e v="#N/A"/>
    <n v="50459"/>
    <s v="9912500006"/>
    <s v="BIOTIKA"/>
    <s v="Q1"/>
    <e v="#REF!"/>
    <e v="#REF!"/>
    <e v="#REF!"/>
  </r>
  <r>
    <s v="401000"/>
    <x v="6"/>
    <s v="FOURNISSEURS"/>
    <s v="OD"/>
    <n v="-99000"/>
    <d v="2025-03-31T00:00:00"/>
    <s v="Liaison inter-établissement"/>
    <s v="Non"/>
    <e v="#N/A"/>
    <e v="#N/A"/>
    <n v="78569"/>
    <m/>
    <s v="BIOTIKA"/>
    <s v="Q1"/>
    <e v="#REF!"/>
    <e v="#REF!"/>
    <e v="#REF!"/>
  </r>
  <r>
    <s v="401000"/>
    <x v="6"/>
    <s v="FOURNISSEURS"/>
    <s v="OD"/>
    <n v="-64720.5"/>
    <d v="2025-03-12T00:00:00"/>
    <s v="Liaison inter-établissement"/>
    <m/>
    <e v="#N/A"/>
    <e v="#N/A"/>
    <n v="68033"/>
    <m/>
    <s v="LIBERTY PM"/>
    <s v="Q1"/>
    <e v="#REF!"/>
    <e v="#REF!"/>
    <e v="#REF!"/>
  </r>
  <r>
    <s v="401000"/>
    <x v="6"/>
    <s v="FOURNISSEURS"/>
    <s v="OD"/>
    <n v="-56362.01"/>
    <d v="2025-01-07T00:00:00"/>
    <s v="Liaison inter-établissement"/>
    <m/>
    <e v="#N/A"/>
    <e v="#N/A"/>
    <n v="63744"/>
    <m/>
    <s v="LIBERTY PM"/>
    <s v="Q1"/>
    <e v="#REF!"/>
    <e v="#REF!"/>
    <e v="#REF!"/>
  </r>
  <r>
    <s v="401000"/>
    <x v="6"/>
    <s v="FOURNISSEURS"/>
    <s v="OD"/>
    <n v="-45360"/>
    <d v="2025-01-02T00:00:00"/>
    <s v="Liaison inter-établissement"/>
    <m/>
    <e v="#N/A"/>
    <e v="#N/A"/>
    <n v="63914"/>
    <m/>
    <s v="TECHNIP ENERGIES FRANCE"/>
    <s v="Q1"/>
    <e v="#REF!"/>
    <e v="#REF!"/>
    <e v="#REF!"/>
  </r>
  <r>
    <s v="401000"/>
    <x v="6"/>
    <s v="FOURNISSEURS"/>
    <s v="BPRI"/>
    <n v="168.59"/>
    <d v="2025-07-28T00:00:00"/>
    <s v="/LIB/LINKEDIN RECRUIIE LINKEDIN.COM/"/>
    <s v="Non"/>
    <s v="Non"/>
    <e v="#N/A"/>
    <n v="78971"/>
    <m/>
    <s v="LINKEDIN"/>
    <s v="Q3"/>
    <e v="#REF!"/>
    <e v="#REF!"/>
    <e v="#REF!"/>
  </r>
  <r>
    <s v="401000"/>
    <x v="6"/>
    <s v="FOURNISSEURS"/>
    <s v="OD"/>
    <n v="-41676"/>
    <d v="2025-02-05T00:00:00"/>
    <s v="Liaison inter-établissement"/>
    <m/>
    <e v="#N/A"/>
    <e v="#N/A"/>
    <n v="71663"/>
    <m/>
    <s v="AIGP INGENIERIE"/>
    <s v="Q1"/>
    <e v="#REF!"/>
    <e v="#REF!"/>
    <e v="#REF!"/>
  </r>
  <r>
    <s v="401000"/>
    <x v="6"/>
    <s v="FOURNISSEURS"/>
    <s v="OD"/>
    <n v="-37800"/>
    <d v="2025-04-25T00:00:00"/>
    <s v="Liaison inter-établissement"/>
    <s v="Non"/>
    <s v="Non"/>
    <e v="#N/A"/>
    <n v="70553"/>
    <m/>
    <s v="INSIDE MANAGEMENT"/>
    <s v="Q2"/>
    <e v="#REF!"/>
    <e v="#REF!"/>
    <e v="#REF!"/>
  </r>
  <r>
    <s v="401000"/>
    <x v="6"/>
    <s v="FOURNISSEURS"/>
    <s v="OD"/>
    <n v="-36000"/>
    <d v="2025-03-12T00:00:00"/>
    <s v="Liaison inter-établissement"/>
    <s v="Non"/>
    <s v="Non"/>
    <e v="#N/A"/>
    <n v="63736"/>
    <m/>
    <s v="INSIDE MANAGEMENT"/>
    <s v="Q1"/>
    <e v="#REF!"/>
    <e v="#REF!"/>
    <e v="#REF!"/>
  </r>
  <r>
    <s v="401000"/>
    <x v="6"/>
    <s v="FOURNISSEURS"/>
    <s v="OD"/>
    <n v="-36000"/>
    <d v="2025-03-13T00:00:00"/>
    <s v="Liaison inter-établissement"/>
    <s v="Non"/>
    <s v="Non"/>
    <e v="#N/A"/>
    <n v="63740"/>
    <m/>
    <s v="INSIDE MANAGEMENT"/>
    <s v="Q1"/>
    <e v="#REF!"/>
    <e v="#REF!"/>
    <e v="#REF!"/>
  </r>
  <r>
    <s v="401000"/>
    <x v="6"/>
    <s v="FOURNISSEURS"/>
    <s v="OD"/>
    <n v="-34000"/>
    <d v="2025-08-08T00:00:00"/>
    <s v="Liaison établissement 401000 BIOTIKA TO"/>
    <s v="Non"/>
    <e v="#N/A"/>
    <e v="#N/A"/>
    <n v="80727"/>
    <s v="PHOENIX III REPORT"/>
    <s v="BIOTIKA"/>
    <s v="Q3"/>
    <e v="#REF!"/>
    <e v="#REF!"/>
    <e v="#REF!"/>
  </r>
  <r>
    <s v="401000"/>
    <x v="6"/>
    <s v="FOURNISSEURS"/>
    <s v="OD"/>
    <n v="-31500"/>
    <d v="2025-11-14T00:00:00"/>
    <s v="Liaison établissement 401000 BIOTIKA TO"/>
    <s v="Non"/>
    <e v="#N/A"/>
    <e v="#N/A"/>
    <n v="90003"/>
    <s v="DEVELOPMENT AGREEMENT PHOENIX VI, 3.1."/>
    <s v="BIOTIKA"/>
    <s v="Q4"/>
    <e v="#REF!"/>
    <e v="#REF!"/>
    <e v="#REF!"/>
  </r>
  <r>
    <s v="401000"/>
    <x v="6"/>
    <s v="FOURNISSEURS"/>
    <s v="OD"/>
    <n v="-31200"/>
    <d v="2025-11-28T00:00:00"/>
    <s v="Liaison établissement 401000 LOPEZ PLOMBERIE ELECTRICITE TO"/>
    <s v="Non"/>
    <e v="#N/A"/>
    <e v="#N/A"/>
    <n v="91188"/>
    <s v="FC6781"/>
    <s v="LOPEZ PLOMBERIE ELECTRICITE"/>
    <s v="Q4"/>
    <e v="#REF!"/>
    <e v="#REF!"/>
    <e v="#REF!"/>
  </r>
  <r>
    <s v="401000"/>
    <x v="6"/>
    <s v="FOURNISSEURS"/>
    <s v="OD"/>
    <n v="-30840"/>
    <d v="2025-06-30T00:00:00"/>
    <s v="Liaison établissement 401000 DOTMATICS TO"/>
    <s v="Non"/>
    <e v="#N/A"/>
    <e v="#N/A"/>
    <n v="76894"/>
    <s v="LICENCES DOTMATICS 2026 - 1 READ ONLY - 21 CHEMISTRY - 7 BIOREGISTER"/>
    <s v="DOTMATICS LIMITED"/>
    <s v="Q2"/>
    <e v="#REF!"/>
    <e v="#REF!"/>
    <e v="#REF!"/>
  </r>
  <r>
    <s v="401000"/>
    <x v="6"/>
    <s v="FOURNISSEURS"/>
    <s v="OD"/>
    <n v="-30000"/>
    <d v="2025-05-23T00:00:00"/>
    <s v="Liaison inter-établissement"/>
    <s v="Non"/>
    <e v="#N/A"/>
    <e v="#N/A"/>
    <n v="78573"/>
    <m/>
    <s v="BIOTIKA"/>
    <s v="Q2"/>
    <e v="#REF!"/>
    <e v="#REF!"/>
    <e v="#REF!"/>
  </r>
  <r>
    <s v="401000"/>
    <x v="6"/>
    <s v="FOURNISSEURS"/>
    <s v="OD"/>
    <n v="-30000"/>
    <d v="2025-05-30T00:00:00"/>
    <s v="Liaison inter-établissement"/>
    <s v="Non"/>
    <e v="#N/A"/>
    <e v="#N/A"/>
    <n v="78577"/>
    <m/>
    <s v="BIOTIKA"/>
    <s v="Q2"/>
    <e v="#REF!"/>
    <e v="#REF!"/>
    <e v="#REF!"/>
  </r>
  <r>
    <s v="401000"/>
    <x v="6"/>
    <s v="FOURNISSEURS"/>
    <s v="OD"/>
    <n v="-30000"/>
    <d v="2025-06-06T00:00:00"/>
    <s v="Liaison inter-établissement"/>
    <s v="Non"/>
    <e v="#N/A"/>
    <e v="#N/A"/>
    <n v="78581"/>
    <m/>
    <s v="BIOTIKA"/>
    <s v="Q2"/>
    <e v="#REF!"/>
    <e v="#REF!"/>
    <e v="#REF!"/>
  </r>
  <r>
    <s v="401000"/>
    <x v="6"/>
    <s v="FOURNISSEURS"/>
    <s v="OD"/>
    <n v="-30000"/>
    <d v="2025-06-13T00:00:00"/>
    <s v="Liaison inter-établissement"/>
    <s v="Non"/>
    <e v="#N/A"/>
    <e v="#N/A"/>
    <n v="78585"/>
    <m/>
    <s v="BIOTIKA"/>
    <s v="Q2"/>
    <e v="#REF!"/>
    <e v="#REF!"/>
    <e v="#REF!"/>
  </r>
  <r>
    <s v="401000"/>
    <x v="6"/>
    <s v="FOURNISSEURS"/>
    <s v="OD"/>
    <n v="-30000"/>
    <d v="2025-06-19T00:00:00"/>
    <s v="Liaison inter-établissement"/>
    <s v="Non"/>
    <e v="#N/A"/>
    <e v="#N/A"/>
    <n v="78589"/>
    <m/>
    <s v="BIOTIKA"/>
    <s v="Q2"/>
    <e v="#REF!"/>
    <e v="#REF!"/>
    <e v="#REF!"/>
  </r>
  <r>
    <s v="401000"/>
    <x v="6"/>
    <s v="FOURNISSEURS"/>
    <s v="OD"/>
    <n v="-30000"/>
    <d v="2025-06-26T00:00:00"/>
    <s v="Liaison inter-établissement"/>
    <s v="Non"/>
    <e v="#N/A"/>
    <e v="#N/A"/>
    <n v="78593"/>
    <m/>
    <s v="BIOTIKA"/>
    <s v="Q2"/>
    <e v="#REF!"/>
    <e v="#REF!"/>
    <e v="#REF!"/>
  </r>
  <r>
    <s v="401000"/>
    <x v="6"/>
    <s v="FOURNISSEURS"/>
    <s v="OD"/>
    <n v="-30000"/>
    <d v="2025-06-26T00:00:00"/>
    <s v="Liaison établissement 401000 INSIDE TO"/>
    <s v="Non"/>
    <s v="Non"/>
    <e v="#N/A"/>
    <n v="76325"/>
    <s v="INVOICE PAYMENT BY PILI"/>
    <s v="INSIDE MANAGEMENT"/>
    <s v="Q2"/>
    <e v="#REF!"/>
    <e v="#REF!"/>
    <e v="#REF!"/>
  </r>
  <r>
    <s v="401000"/>
    <x v="6"/>
    <s v="FOURNISSEURS"/>
    <s v="OD"/>
    <n v="-30000"/>
    <d v="2025-07-03T00:00:00"/>
    <s v="Liaison inter-établissement"/>
    <s v="Non"/>
    <e v="#N/A"/>
    <e v="#N/A"/>
    <n v="78597"/>
    <m/>
    <s v="BIOTIKA"/>
    <s v="Q3"/>
    <e v="#REF!"/>
    <e v="#REF!"/>
    <e v="#REF!"/>
  </r>
  <r>
    <s v="401000"/>
    <x v="6"/>
    <s v="FOURNISSEURS"/>
    <s v="OD"/>
    <n v="-30000"/>
    <d v="2025-07-11T00:00:00"/>
    <s v="Liaison inter-établissement"/>
    <s v="Non"/>
    <e v="#N/A"/>
    <e v="#N/A"/>
    <n v="78601"/>
    <m/>
    <s v="BIOTIKA"/>
    <s v="Q3"/>
    <e v="#REF!"/>
    <e v="#REF!"/>
    <e v="#REF!"/>
  </r>
  <r>
    <s v="401000"/>
    <x v="6"/>
    <s v="FOURNISSEURS"/>
    <s v="OD"/>
    <n v="-30000"/>
    <d v="2025-07-17T00:00:00"/>
    <s v="Liaison inter-établissement"/>
    <s v="Non"/>
    <e v="#N/A"/>
    <e v="#N/A"/>
    <n v="78605"/>
    <m/>
    <s v="BIOTIKA"/>
    <s v="Q3"/>
    <e v="#REF!"/>
    <e v="#REF!"/>
    <e v="#REF!"/>
  </r>
  <r>
    <s v="401000"/>
    <x v="6"/>
    <s v="FOURNISSEURS"/>
    <s v="OD"/>
    <n v="-30000"/>
    <d v="2025-10-21T00:00:00"/>
    <s v="Liaison établissement 401000 CNAM TO"/>
    <m/>
    <e v="#N/A"/>
    <e v="#N/A"/>
    <n v="87206"/>
    <s v="Facture Convention n°240011005"/>
    <s v="CNAM"/>
    <s v="Q4"/>
    <e v="#REF!"/>
    <e v="#REF!"/>
    <e v="#REF!"/>
  </r>
  <r>
    <s v="401000"/>
    <x v="6"/>
    <s v="FOURNISSEURS"/>
    <s v="OD"/>
    <n v="-29000"/>
    <d v="2025-08-14T00:00:00"/>
    <s v="Liaison inter-établissement"/>
    <s v="Non"/>
    <e v="#N/A"/>
    <e v="#N/A"/>
    <n v="81356"/>
    <m/>
    <s v="BIOTIKA"/>
    <s v="Q3"/>
    <e v="#REF!"/>
    <e v="#REF!"/>
    <e v="#REF!"/>
  </r>
  <r>
    <s v="401000"/>
    <x v="6"/>
    <s v="FOURNISSEURS"/>
    <s v="OD"/>
    <n v="-28000"/>
    <d v="2025-06-30T00:00:00"/>
    <s v="Liaison établissement 401000 BIOTIKA TO"/>
    <s v="Non"/>
    <e v="#N/A"/>
    <e v="#N/A"/>
    <n v="76853"/>
    <s v="INVOICING AFTER FINISHING OF 2TRIALS IN 30L FERMENTER  INVOICING AFTER 3RD TRIAL IN LABORATORY FERMENTER"/>
    <s v="BIOTIKA"/>
    <s v="Q2"/>
    <e v="#REF!"/>
    <e v="#REF!"/>
    <e v="#REF!"/>
  </r>
  <r>
    <s v="401000"/>
    <x v="6"/>
    <s v="FOURNISSEURS"/>
    <s v="OD"/>
    <n v="-27782.3"/>
    <d v="2025-11-04T00:00:00"/>
    <s v="Liaison établissement 401000 AMERICAN CHEMICAL SOCIETY TO"/>
    <m/>
    <e v="#N/A"/>
    <e v="#N/A"/>
    <n v="88174"/>
    <s v="LICENCES SCIFINDER"/>
    <s v="AMERICAN CHEMICAL SOCIETY"/>
    <s v="Q4"/>
    <e v="#REF!"/>
    <e v="#REF!"/>
    <e v="#REF!"/>
  </r>
  <r>
    <s v="401000"/>
    <x v="6"/>
    <s v="FOURNISSEURS"/>
    <s v="OD"/>
    <n v="-24772.68"/>
    <d v="2025-06-02T00:00:00"/>
    <s v="Liaison établissement 401000 OSIRIS TO"/>
    <s v="Non"/>
    <s v="Non"/>
    <e v="#N/A"/>
    <n v="75285"/>
    <s v="Invoice Payment By Pili"/>
    <s v="OSIRIS"/>
    <s v="Q2"/>
    <e v="#REF!"/>
    <e v="#REF!"/>
    <e v="#REF!"/>
  </r>
  <r>
    <s v="401000"/>
    <x v="6"/>
    <s v="FOURNISSEURS"/>
    <s v="OD"/>
    <n v="-24562.880000000001"/>
    <d v="2025-02-18T00:00:00"/>
    <s v="Liaison inter-établissement"/>
    <s v="Non"/>
    <s v="Non"/>
    <e v="#N/A"/>
    <n v="63560"/>
    <m/>
    <s v="AURIGNAC FINANCE"/>
    <s v="Q1"/>
    <e v="#REF!"/>
    <e v="#REF!"/>
    <e v="#REF!"/>
  </r>
  <r>
    <s v="401000"/>
    <x v="6"/>
    <s v="FOURNISSEURS"/>
    <s v="OD"/>
    <n v="-24391"/>
    <d v="2025-03-07T00:00:00"/>
    <s v="Liaison inter-établissement"/>
    <s v="Non"/>
    <e v="#N/A"/>
    <e v="#N/A"/>
    <n v="63580"/>
    <m/>
    <s v="BIOTIKA"/>
    <s v="Q1"/>
    <e v="#REF!"/>
    <e v="#REF!"/>
    <e v="#REF!"/>
  </r>
  <r>
    <s v="401000"/>
    <x v="6"/>
    <s v="FOURNISSEURS"/>
    <s v="OD"/>
    <n v="-24000"/>
    <d v="2025-09-26T00:00:00"/>
    <s v="Liaison inter-établissement"/>
    <s v="Non"/>
    <e v="#N/A"/>
    <n v="0"/>
    <n v="86867"/>
    <m/>
    <s v="INTEROR"/>
    <s v="Q3"/>
    <e v="#REF!"/>
    <e v="#REF!"/>
    <e v="#REF!"/>
  </r>
  <r>
    <s v="401000"/>
    <x v="6"/>
    <s v="FOURNISSEURS"/>
    <s v="OD"/>
    <n v="-23891"/>
    <d v="2025-02-17T00:00:00"/>
    <s v="Liaison inter-établissement vers TO "/>
    <s v="Non"/>
    <e v="#N/A"/>
    <e v="#N/A"/>
    <n v="95554"/>
    <m/>
    <s v="BIOTIKA"/>
    <s v="Q1"/>
    <e v="#REF!"/>
    <e v="#REF!"/>
    <e v="#REF!"/>
  </r>
  <r>
    <s v="401000"/>
    <x v="6"/>
    <s v="FOURNISSEURS"/>
    <s v="OD"/>
    <n v="-22766.02"/>
    <d v="2025-06-02T00:00:00"/>
    <s v="Liaison établissement 401000 OSIRIS TO"/>
    <s v="Non"/>
    <s v="Non"/>
    <e v="#N/A"/>
    <n v="75275"/>
    <s v="Invoice Payment By Pili"/>
    <s v="OSIRIS"/>
    <s v="Q2"/>
    <e v="#REF!"/>
    <e v="#REF!"/>
    <e v="#REF!"/>
  </r>
  <r>
    <s v="401000"/>
    <x v="6"/>
    <s v="FOURNISSEURS"/>
    <s v="OD"/>
    <n v="-20700"/>
    <d v="2025-03-20T00:00:00"/>
    <s v="Liaison inter-établissement"/>
    <s v="Non"/>
    <s v="Non"/>
    <e v="#N/A"/>
    <n v="69982"/>
    <m/>
    <s v="INSIDE MANAGEMENT"/>
    <s v="Q1"/>
    <e v="#REF!"/>
    <e v="#REF!"/>
    <e v="#REF!"/>
  </r>
  <r>
    <s v="401000"/>
    <x v="6"/>
    <s v="FOURNISSEURS"/>
    <s v="OD"/>
    <n v="-20000"/>
    <d v="2025-05-30T00:00:00"/>
    <s v="Liaison établissement 401000 BIOTIKA TO"/>
    <s v="Non"/>
    <e v="#N/A"/>
    <e v="#N/A"/>
    <n v="74898"/>
    <s v="Invoice Payment By Pili"/>
    <s v="BIOTIKA"/>
    <s v="Q2"/>
    <e v="#REF!"/>
    <e v="#REF!"/>
    <e v="#REF!"/>
  </r>
  <r>
    <s v="401000"/>
    <x v="6"/>
    <s v="FOURNISSEURS"/>
    <s v="OD"/>
    <n v="-17444"/>
    <d v="2025-09-22T00:00:00"/>
    <s v="Liaison établissement 401000 TAROS TO"/>
    <m/>
    <e v="#N/A"/>
    <e v="#N/A"/>
    <n v="82364"/>
    <s v="INV/2025/00193"/>
    <s v="Taros Chemicals GmbH &amp; Co. KG"/>
    <s v="Q3"/>
    <e v="#REF!"/>
    <e v="#REF!"/>
    <e v="#REF!"/>
  </r>
  <r>
    <s v="401000"/>
    <x v="6"/>
    <s v="FOURNISSEURS"/>
    <s v="OD"/>
    <n v="-17443"/>
    <d v="2025-10-31T00:00:00"/>
    <s v="Liaison établissement 401000 TAROS TO"/>
    <m/>
    <e v="#N/A"/>
    <e v="#N/A"/>
    <n v="87567"/>
    <s v="INV/2025/00261"/>
    <s v="Taros Chemicals GmbH &amp; Co. KG"/>
    <s v="Q4"/>
    <e v="#REF!"/>
    <e v="#REF!"/>
    <e v="#REF!"/>
  </r>
  <r>
    <s v="401000"/>
    <x v="6"/>
    <s v="FOURNISSEURS"/>
    <s v="OD"/>
    <n v="-16824"/>
    <d v="2025-06-02T00:00:00"/>
    <s v="Liaison établissement 401000 ACTIVATION TO"/>
    <m/>
    <e v="#N/A"/>
    <e v="#N/A"/>
    <n v="75219"/>
    <s v="Invoice Payment By Pili"/>
    <s v="ACTIVATION"/>
    <s v="Q2"/>
    <e v="#REF!"/>
    <e v="#REF!"/>
    <e v="#REF!"/>
  </r>
  <r>
    <s v="401000"/>
    <x v="6"/>
    <s v="FOURNISSEURS"/>
    <s v="OD"/>
    <n v="-16577.439999999999"/>
    <d v="2025-05-14T00:00:00"/>
    <s v="Liaison établissement 401000 BIOTIKA TO"/>
    <s v="Non"/>
    <e v="#N/A"/>
    <e v="#N/A"/>
    <n v="72318"/>
    <m/>
    <s v="BIOTIKA"/>
    <s v="Q2"/>
    <e v="#REF!"/>
    <e v="#REF!"/>
    <e v="#REF!"/>
  </r>
  <r>
    <s v="401000"/>
    <x v="6"/>
    <s v="FOURNISSEURS"/>
    <s v="OD"/>
    <n v="-15848.51"/>
    <d v="2025-06-30T00:00:00"/>
    <s v="Liaison établissement 401000 INTEROR TO"/>
    <s v="Non"/>
    <e v="#N/A"/>
    <n v="0"/>
    <n v="76868"/>
    <s v="BROYAGE  AMORTISSEUR DU BROYEUR"/>
    <s v="INTEROR"/>
    <s v="Q2"/>
    <e v="#REF!"/>
    <e v="#REF!"/>
    <e v="#REF!"/>
  </r>
  <r>
    <s v="401000"/>
    <x v="6"/>
    <s v="FOURNISSEURS"/>
    <s v="OD"/>
    <n v="-15840"/>
    <d v="2025-09-11T00:00:00"/>
    <s v="Liaison inter-établissement"/>
    <s v="Non"/>
    <e v="#N/A"/>
    <e v="#N/A"/>
    <n v="81968"/>
    <m/>
    <s v="KAPP"/>
    <s v="Q3"/>
    <e v="#REF!"/>
    <e v="#REF!"/>
    <e v="#REF!"/>
  </r>
  <r>
    <s v="401000"/>
    <x v="6"/>
    <s v="FOURNISSEURS"/>
    <s v="OD"/>
    <n v="-15000"/>
    <d v="2025-06-26T00:00:00"/>
    <s v="Liaison établissement 401000 INSIDE TO"/>
    <s v="Non"/>
    <s v="Non"/>
    <e v="#N/A"/>
    <n v="76333"/>
    <s v="INVOICE PAYMENT BY PILI"/>
    <s v="INSIDE MANAGEMENT"/>
    <s v="Q2"/>
    <e v="#REF!"/>
    <e v="#REF!"/>
    <e v="#REF!"/>
  </r>
  <r>
    <s v="401000"/>
    <x v="6"/>
    <s v="FOURNISSEURS"/>
    <s v="OD"/>
    <n v="-14271.62"/>
    <d v="2025-09-15T00:00:00"/>
    <s v="Rapprochement Becker"/>
    <s v="Non"/>
    <s v="Oui"/>
    <e v="#N/A"/>
    <n v="82134"/>
    <m/>
    <s v="BECKER"/>
    <s v="Q3"/>
    <e v="#REF!"/>
    <e v="#REF!"/>
    <e v="#REF!"/>
  </r>
  <r>
    <s v="401000"/>
    <x v="6"/>
    <s v="FOURNISSEURS"/>
    <s v="OD"/>
    <n v="-14205.23"/>
    <d v="2025-06-04T00:00:00"/>
    <s v="Liaison établissement 401000 BUSINOVE TO"/>
    <s v="Non"/>
    <s v="Non"/>
    <e v="#N/A"/>
    <n v="75514"/>
    <s v="Invoice payment by Pili"/>
    <s v="BUSINOVE"/>
    <s v="Q2"/>
    <e v="#REF!"/>
    <e v="#REF!"/>
    <e v="#REF!"/>
  </r>
  <r>
    <s v="401000"/>
    <x v="6"/>
    <s v="FOURNISSEURS"/>
    <s v="OD"/>
    <n v="-13914.31"/>
    <d v="2025-01-31T00:00:00"/>
    <s v="Liaison inter-établissement"/>
    <s v="Non"/>
    <s v="Non"/>
    <e v="#N/A"/>
    <n v="63788"/>
    <m/>
    <s v="OSIRIS"/>
    <s v="Q1"/>
    <e v="#REF!"/>
    <e v="#REF!"/>
    <e v="#REF!"/>
  </r>
  <r>
    <s v="401000"/>
    <x v="6"/>
    <s v="FOURNISSEURS"/>
    <s v="OD"/>
    <n v="-13800"/>
    <d v="2025-08-22T00:00:00"/>
    <s v="Liaison établissement 401000 EUROLYSINE TO"/>
    <m/>
    <e v="#N/A"/>
    <e v="#N/A"/>
    <n v="81624"/>
    <s v="MP POUR FERMENTATION VBIO"/>
    <s v="Eurolysine"/>
    <s v="Q3"/>
    <e v="#REF!"/>
    <e v="#REF!"/>
    <e v="#REF!"/>
  </r>
  <r>
    <s v="401000"/>
    <x v="6"/>
    <s v="FOURNISSEURS"/>
    <s v="OD"/>
    <n v="-13500"/>
    <d v="2025-08-18T00:00:00"/>
    <s v="Liaison établissement 401000 INSIDE TO"/>
    <s v="Non"/>
    <s v="Non"/>
    <e v="#N/A"/>
    <n v="81119"/>
    <s v="MISSION B. LAJUGIE - JUIN 2025"/>
    <s v="INSIDE MANAGEMENT"/>
    <s v="Q3"/>
    <e v="#REF!"/>
    <e v="#REF!"/>
    <e v="#REF!"/>
  </r>
  <r>
    <s v="401000"/>
    <x v="6"/>
    <s v="FOURNISSEURS"/>
    <s v="OD"/>
    <n v="-13500"/>
    <d v="2025-11-14T00:00:00"/>
    <s v="Liaison inter-établissement"/>
    <s v="Non"/>
    <e v="#N/A"/>
    <e v="#N/A"/>
    <n v="90017"/>
    <m/>
    <s v="BIOTIKA"/>
    <s v="Q4"/>
    <e v="#REF!"/>
    <e v="#REF!"/>
    <e v="#REF!"/>
  </r>
  <r>
    <s v="401000"/>
    <x v="6"/>
    <s v="FOURNISSEURS"/>
    <s v="OD"/>
    <n v="-13068"/>
    <d v="2025-02-28T00:00:00"/>
    <s v="Liaison inter-établissement"/>
    <m/>
    <s v="Non"/>
    <e v="#N/A"/>
    <n v="66545"/>
    <m/>
    <s v="AXE GESCOM"/>
    <s v="Q1"/>
    <e v="#REF!"/>
    <e v="#REF!"/>
    <e v="#REF!"/>
  </r>
  <r>
    <s v="401000"/>
    <x v="6"/>
    <s v="FOURNISSEURS"/>
    <s v="OD"/>
    <n v="-12910.19"/>
    <d v="2025-09-08T00:00:00"/>
    <s v="Liaison établissement 401000 MAZARS TO"/>
    <s v="Non"/>
    <s v="Non"/>
    <e v="#N/A"/>
    <n v="81732"/>
    <s v="COMMISSARIAT AUX COMPTES AU TITRE DE L'EXERCICE CLOS LE 31 DÉCEMBRE 2024 - SOLDE"/>
    <s v="FORVIS MAZARS"/>
    <s v="Q3"/>
    <e v="#REF!"/>
    <e v="#REF!"/>
    <e v="#REF!"/>
  </r>
  <r>
    <s v="401000"/>
    <x v="6"/>
    <s v="FOURNISSEURS"/>
    <s v="OD"/>
    <n v="-12500"/>
    <d v="2025-03-07T00:00:00"/>
    <s v="Acompte sur Proforma"/>
    <s v="Non"/>
    <e v="#N/A"/>
    <e v="#N/A"/>
    <n v="50457"/>
    <s v="9912500007"/>
    <s v="BIOTIKA"/>
    <s v="Q1"/>
    <e v="#REF!"/>
    <e v="#REF!"/>
    <e v="#REF!"/>
  </r>
  <r>
    <s v="401000"/>
    <x v="6"/>
    <s v="FOURNISSEURS"/>
    <s v="OD"/>
    <n v="-12500"/>
    <d v="2025-03-07T00:00:00"/>
    <s v="Liaison inter-établissement"/>
    <s v="Non"/>
    <e v="#N/A"/>
    <e v="#N/A"/>
    <n v="63576"/>
    <m/>
    <s v="BIOTIKA"/>
    <s v="Q1"/>
    <e v="#REF!"/>
    <e v="#REF!"/>
    <e v="#REF!"/>
  </r>
  <r>
    <s v="401000"/>
    <x v="6"/>
    <s v="FOURNISSEURS"/>
    <s v="OD"/>
    <n v="-12129.4"/>
    <d v="2025-05-23T00:00:00"/>
    <s v="Liaison établissement 401000 OSIRIS TO"/>
    <s v="Non"/>
    <s v="Non"/>
    <e v="#N/A"/>
    <n v="74049"/>
    <s v="Invoice payment by Pili"/>
    <s v="OSIRIS"/>
    <s v="Q2"/>
    <e v="#REF!"/>
    <e v="#REF!"/>
    <e v="#REF!"/>
  </r>
  <r>
    <s v="401000"/>
    <x v="6"/>
    <s v="FOURNISSEURS"/>
    <s v="OD"/>
    <n v="-12000"/>
    <d v="2025-05-07T00:00:00"/>
    <s v="Liaison établissement 401000 MAZARS TO"/>
    <s v="Non"/>
    <s v="Non"/>
    <e v="#N/A"/>
    <n v="71793"/>
    <s v="COMMISSARIAT AUX COMPTES AU TITRE DE L'EXERCICE CLOS LE 31 DÉCEMBRE 2024"/>
    <s v="FORVIS MAZARS"/>
    <s v="Q2"/>
    <e v="#REF!"/>
    <e v="#REF!"/>
    <e v="#REF!"/>
  </r>
  <r>
    <s v="401000"/>
    <x v="6"/>
    <s v="FOURNISSEURS"/>
    <s v="OD"/>
    <n v="-11880"/>
    <d v="2025-01-20T00:00:00"/>
    <s v="Liaison inter-établissement"/>
    <m/>
    <e v="#N/A"/>
    <e v="#N/A"/>
    <n v="63628"/>
    <m/>
    <s v="Eurolysine"/>
    <s v="Q1"/>
    <e v="#REF!"/>
    <e v="#REF!"/>
    <e v="#REF!"/>
  </r>
  <r>
    <s v="401000"/>
    <x v="6"/>
    <s v="FOURNISSEURS"/>
    <s v="OD"/>
    <n v="-11405.2"/>
    <d v="2025-03-06T00:00:00"/>
    <s v="Liaison inter-établissement"/>
    <m/>
    <s v="Non"/>
    <e v="#N/A"/>
    <n v="66534"/>
    <m/>
    <s v="AXE GESCOM"/>
    <s v="Q1"/>
    <e v="#REF!"/>
    <e v="#REF!"/>
    <e v="#REF!"/>
  </r>
  <r>
    <s v="401000"/>
    <x v="6"/>
    <s v="FOURNISSEURS"/>
    <s v="OD"/>
    <n v="-11256"/>
    <d v="2025-06-02T00:00:00"/>
    <s v="Liaison établissement 401000 ACTIVATION TO"/>
    <m/>
    <e v="#N/A"/>
    <e v="#N/A"/>
    <n v="75214"/>
    <s v="Invoice Payment By Pili"/>
    <s v="ACTIVATION"/>
    <s v="Q2"/>
    <e v="#REF!"/>
    <e v="#REF!"/>
    <e v="#REF!"/>
  </r>
  <r>
    <s v="401000"/>
    <x v="6"/>
    <s v="FOURNISSEURS"/>
    <s v="OD"/>
    <n v="-11211.25"/>
    <d v="2025-05-14T00:00:00"/>
    <s v="Liaison établissement 401000 BIOTIKA TO"/>
    <s v="Non"/>
    <e v="#N/A"/>
    <e v="#N/A"/>
    <n v="72314"/>
    <m/>
    <s v="BIOTIKA"/>
    <s v="Q2"/>
    <e v="#REF!"/>
    <e v="#REF!"/>
    <e v="#REF!"/>
  </r>
  <r>
    <s v="401000"/>
    <x v="6"/>
    <s v="FOURNISSEURS"/>
    <s v="OD"/>
    <n v="-11140.7"/>
    <d v="2025-10-15T00:00:00"/>
    <s v="Liaison inter-établissement"/>
    <m/>
    <e v="#N/A"/>
    <e v="#N/A"/>
    <n v="86969"/>
    <m/>
    <s v="EURECIA"/>
    <s v="Q4"/>
    <e v="#REF!"/>
    <e v="#REF!"/>
    <e v="#REF!"/>
  </r>
  <r>
    <s v="401000"/>
    <x v="6"/>
    <s v="FOURNISSEURS"/>
    <s v="OD"/>
    <n v="-10861.31"/>
    <d v="2025-11-04T00:00:00"/>
    <s v="Liaison établissement 401000 OSIRIS TO"/>
    <s v="Non"/>
    <s v="Non"/>
    <e v="#N/A"/>
    <n v="88040"/>
    <s v="DIVERS OSIRIS JUILLET 25"/>
    <s v="OSIRIS"/>
    <s v="Q4"/>
    <e v="#REF!"/>
    <e v="#REF!"/>
    <e v="#REF!"/>
  </r>
  <r>
    <s v="401000"/>
    <x v="6"/>
    <s v="FOURNISSEURS"/>
    <s v="OD"/>
    <n v="-10715"/>
    <d v="2025-06-17T00:00:00"/>
    <s v="Liaison établissement 401000 TAROS TO"/>
    <m/>
    <e v="#N/A"/>
    <e v="#N/A"/>
    <n v="76142"/>
    <s v="FIN DE LA SYNTHÈSE ET DÉVELOPPEMENT DE 1KG CYANOBENZOIC ACID - KEENB"/>
    <s v="Taros Chemicals GmbH &amp; Co. KG"/>
    <s v="Q2"/>
    <e v="#REF!"/>
    <e v="#REF!"/>
    <e v="#REF!"/>
  </r>
  <r>
    <s v="401000"/>
    <x v="6"/>
    <s v="FOURNISSEURS"/>
    <s v="OD"/>
    <n v="-10714"/>
    <d v="2025-03-19T00:00:00"/>
    <s v="Liaison inter-établissement"/>
    <m/>
    <e v="#N/A"/>
    <e v="#N/A"/>
    <n v="64454"/>
    <m/>
    <s v="Taros Chemicals GmbH &amp; Co. KG"/>
    <s v="Q1"/>
    <e v="#REF!"/>
    <e v="#REF!"/>
    <e v="#REF!"/>
  </r>
  <r>
    <s v="401000"/>
    <x v="6"/>
    <s v="FOURNISSEURS"/>
    <s v="OD"/>
    <n v="-10677.6"/>
    <d v="2025-06-30T00:00:00"/>
    <s v="Liaison établissement 401000 INTEROR TO"/>
    <s v="Non"/>
    <e v="#N/A"/>
    <n v="0"/>
    <n v="76873"/>
    <s v="INDIGO STADE 2"/>
    <s v="INTEROR"/>
    <s v="Q2"/>
    <e v="#REF!"/>
    <e v="#REF!"/>
    <e v="#REF!"/>
  </r>
  <r>
    <s v="401000"/>
    <x v="6"/>
    <s v="FOURNISSEURS"/>
    <s v="OD"/>
    <n v="-10518.86"/>
    <d v="2025-11-28T00:00:00"/>
    <s v="Liaison établissement 401000 OSIRIS TO"/>
    <s v="Non"/>
    <s v="Non"/>
    <e v="#N/A"/>
    <n v="91234"/>
    <s v="93813582"/>
    <s v="OSIRIS"/>
    <s v="Q4"/>
    <e v="#REF!"/>
    <e v="#REF!"/>
    <e v="#REF!"/>
  </r>
  <r>
    <s v="401000"/>
    <x v="6"/>
    <s v="FOURNISSEURS"/>
    <s v="OD"/>
    <n v="-10500"/>
    <d v="2025-09-10T00:00:00"/>
    <s v="Liaison établissement 401000 QWINCY TO"/>
    <s v="Non"/>
    <s v="Non"/>
    <e v="#N/A"/>
    <n v="81982"/>
    <s v="PRESTATION DE SERVICES, AVRIL 2025"/>
    <s v="QWINCY"/>
    <s v="Q3"/>
    <e v="#REF!"/>
    <e v="#REF!"/>
    <e v="#REF!"/>
  </r>
  <r>
    <s v="401000"/>
    <x v="6"/>
    <s v="FOURNISSEURS"/>
    <s v="OD"/>
    <n v="-10500"/>
    <d v="2025-11-04T00:00:00"/>
    <s v="Liaison établissement 401000 QWINCY TO"/>
    <s v="Non"/>
    <s v="Non"/>
    <e v="#N/A"/>
    <n v="88008"/>
    <s v="PRESTATION DE SERVICES, AVRIL 2025"/>
    <s v="QWINCY"/>
    <s v="Q4"/>
    <e v="#REF!"/>
    <e v="#REF!"/>
    <e v="#REF!"/>
  </r>
  <r>
    <s v="401000"/>
    <x v="6"/>
    <s v="FOURNISSEURS"/>
    <s v="OD"/>
    <n v="-10380"/>
    <d v="2025-11-28T00:00:00"/>
    <s v="Liaison établissement 401000 KYMONO TO"/>
    <m/>
    <e v="#N/A"/>
    <e v="#N/A"/>
    <n v="91204"/>
    <s v="FACT-20251103-23126"/>
    <s v="Kymono"/>
    <s v="Q4"/>
    <e v="#REF!"/>
    <e v="#REF!"/>
    <e v="#REF!"/>
  </r>
  <r>
    <s v="401000"/>
    <x v="6"/>
    <s v="FOURNISSEURS"/>
    <s v="OD"/>
    <n v="-10200"/>
    <d v="2025-02-20T00:00:00"/>
    <s v="Liaison inter-établissement"/>
    <s v="Non"/>
    <e v="#N/A"/>
    <e v="#N/A"/>
    <n v="63756"/>
    <m/>
    <s v="MAMA DATA"/>
    <s v="Q1"/>
    <e v="#REF!"/>
    <e v="#REF!"/>
    <e v="#REF!"/>
  </r>
  <r>
    <s v="401000"/>
    <x v="6"/>
    <s v="FOURNISSEURS"/>
    <s v="OD"/>
    <n v="-10093.799999999999"/>
    <d v="2025-06-16T00:00:00"/>
    <s v="Liaison établissement 401000 RIBIERE TO"/>
    <m/>
    <e v="#N/A"/>
    <e v="#N/A"/>
    <n v="76027"/>
    <s v="DEMO : SÉCURISATION ZONE DÉMONSTRATEUR : - FONDATION POTEAUX EXISTANTS - TERRASSEMENT"/>
    <s v="RIBIERE"/>
    <s v="Q2"/>
    <e v="#REF!"/>
    <e v="#REF!"/>
    <e v="#REF!"/>
  </r>
  <r>
    <s v="401000"/>
    <x v="6"/>
    <s v="FOURNISSEURS"/>
    <s v="OD"/>
    <n v="-10000"/>
    <d v="2025-10-20T00:00:00"/>
    <s v="Approvisionnement compte Spendesk"/>
    <m/>
    <e v="#N/A"/>
    <e v="#N/A"/>
    <n v="87335"/>
    <m/>
    <s v="SPENDESK"/>
    <s v="Q4"/>
    <e v="#REF!"/>
    <e v="#REF!"/>
    <e v="#REF!"/>
  </r>
  <r>
    <s v="401000"/>
    <x v="6"/>
    <s v="FOURNISSEURS"/>
    <s v="OD"/>
    <n v="-9720"/>
    <d v="2025-07-31T00:00:00"/>
    <s v="Liaison établissement 401000 CONSEILCPP TO"/>
    <s v="Oui"/>
    <s v="Non"/>
    <e v="#N/A"/>
    <n v="79268"/>
    <s v="ACTIVITÉ DE CONSEIL RÉALISÉE SOUS LA DIRECTION DE MONSIEUR GUILLAUME BOISSONNAT"/>
    <s v="CONSEIL CPP"/>
    <s v="Q3"/>
    <e v="#REF!"/>
    <e v="#REF!"/>
    <e v="#REF!"/>
  </r>
  <r>
    <s v="401000"/>
    <x v="6"/>
    <s v="FOURNISSEURS"/>
    <s v="OD"/>
    <n v="-9450"/>
    <d v="2025-11-28T00:00:00"/>
    <s v="Liaison établissement 401000 QWINCY TO"/>
    <s v="Non"/>
    <s v="Non"/>
    <e v="#N/A"/>
    <n v="91199"/>
    <s v="F2025050087"/>
    <s v="QWINCY"/>
    <s v="Q4"/>
    <e v="#REF!"/>
    <e v="#REF!"/>
    <e v="#REF!"/>
  </r>
  <r>
    <s v="401000"/>
    <x v="6"/>
    <s v="FOURNISSEURS"/>
    <s v="OD"/>
    <n v="-9444.6"/>
    <d v="2025-07-01T00:00:00"/>
    <s v="Liaison établissement 401000 OSIRIS TO"/>
    <s v="Non"/>
    <s v="Non"/>
    <e v="#N/A"/>
    <n v="76837"/>
    <s v="FACTURE MENSUELLE OSIRIS"/>
    <s v="OSIRIS"/>
    <s v="Q3"/>
    <e v="#REF!"/>
    <e v="#REF!"/>
    <e v="#REF!"/>
  </r>
  <r>
    <s v="401000"/>
    <x v="6"/>
    <s v="FOURNISSEURS"/>
    <s v="OD"/>
    <n v="-9000"/>
    <d v="2025-06-24T00:00:00"/>
    <s v="Liaison établissement 401000 MANACH TO"/>
    <s v="Non"/>
    <s v="Non"/>
    <e v="#N/A"/>
    <n v="76169"/>
    <s v="PARTICIPATION BOARD MICHEL MANACH"/>
    <s v="Michel Manach"/>
    <s v="Q2"/>
    <e v="#REF!"/>
    <e v="#REF!"/>
    <e v="#REF!"/>
  </r>
  <r>
    <s v="401000"/>
    <x v="6"/>
    <s v="FOURNISSEURS"/>
    <s v="OD"/>
    <n v="-9000"/>
    <d v="2025-12-31T00:00:00"/>
    <s v="Liaison établissement 401000 CNAM TO"/>
    <m/>
    <e v="#N/A"/>
    <e v="#N/A"/>
    <n v="93877"/>
    <s v="2110000565"/>
    <s v="CNAM"/>
    <s v="Q4"/>
    <e v="#REF!"/>
    <e v="#REF!"/>
    <e v="#REF!"/>
  </r>
  <r>
    <s v="401000"/>
    <x v="6"/>
    <s v="FOURNISSEURS"/>
    <s v="OD"/>
    <n v="-8967.9"/>
    <d v="2025-07-25T00:00:00"/>
    <s v="Liaison inter-établissement"/>
    <s v="Non"/>
    <e v="#N/A"/>
    <e v="#N/A"/>
    <n v="78609"/>
    <m/>
    <s v="BIOTIKA"/>
    <s v="Q3"/>
    <e v="#REF!"/>
    <e v="#REF!"/>
    <e v="#REF!"/>
  </r>
  <r>
    <s v="401000"/>
    <x v="6"/>
    <s v="FOURNISSEURS"/>
    <s v="OD"/>
    <n v="-8763.7000000000007"/>
    <d v="2025-08-21T00:00:00"/>
    <s v="Liaison établissement 401000 BECKER TO"/>
    <s v="Non"/>
    <s v="Oui"/>
    <e v="#N/A"/>
    <n v="81418"/>
    <s v="SUITE ENTRÉE EN PHASE NATIONALE USA - BREVET PHOENIX"/>
    <s v="BECKER"/>
    <s v="Q3"/>
    <e v="#REF!"/>
    <e v="#REF!"/>
    <e v="#REF!"/>
  </r>
  <r>
    <s v="401000"/>
    <x v="6"/>
    <s v="FOURNISSEURS"/>
    <s v="OD"/>
    <n v="-8729.66"/>
    <d v="2025-06-02T00:00:00"/>
    <s v="Liaison établissement 401000 OSIRIS TO"/>
    <s v="Non"/>
    <s v="Non"/>
    <e v="#N/A"/>
    <n v="75290"/>
    <s v="Invoice Payment By Pili"/>
    <s v="OSIRIS"/>
    <s v="Q2"/>
    <e v="#REF!"/>
    <e v="#REF!"/>
    <e v="#REF!"/>
  </r>
  <r>
    <s v="401000"/>
    <x v="6"/>
    <s v="FOURNISSEURS"/>
    <s v="OD"/>
    <n v="-8400"/>
    <d v="2025-01-02T00:00:00"/>
    <s v="Liaison inter-établissement"/>
    <m/>
    <e v="#N/A"/>
    <e v="#N/A"/>
    <n v="63918"/>
    <m/>
    <s v="TECHNIP ENERGIES FRANCE"/>
    <s v="Q1"/>
    <e v="#REF!"/>
    <e v="#REF!"/>
    <e v="#REF!"/>
  </r>
  <r>
    <s v="401000"/>
    <x v="6"/>
    <s v="FOURNISSEURS"/>
    <s v="OD"/>
    <n v="-8400"/>
    <d v="2025-06-26T00:00:00"/>
    <s v="Liaison établissement 401000 INSIDE TO"/>
    <s v="Non"/>
    <s v="Non"/>
    <e v="#N/A"/>
    <n v="76337"/>
    <s v="INVOICE PAYMENT BY PILI"/>
    <s v="INSIDE MANAGEMENT"/>
    <s v="Q2"/>
    <e v="#REF!"/>
    <e v="#REF!"/>
    <e v="#REF!"/>
  </r>
  <r>
    <s v="401000"/>
    <x v="6"/>
    <s v="FOURNISSEURS"/>
    <s v="OD"/>
    <n v="-7781.48"/>
    <d v="2025-08-22T00:00:00"/>
    <s v="Liaison établissement 401000 OSIRIS TO"/>
    <s v="Non"/>
    <s v="Non"/>
    <e v="#N/A"/>
    <n v="81583"/>
    <s v="DIVERS OSIRIS : PRESTATIONS DE SERVICE, LABORATOIRE, STOCKAGE PALETTES"/>
    <s v="OSIRIS"/>
    <s v="Q3"/>
    <e v="#REF!"/>
    <e v="#REF!"/>
    <e v="#REF!"/>
  </r>
  <r>
    <s v="401000"/>
    <x v="6"/>
    <s v="FOURNISSEURS"/>
    <s v="OD"/>
    <n v="-7680"/>
    <d v="2025-01-07T00:00:00"/>
    <s v="Liaison inter-établissement"/>
    <m/>
    <e v="#N/A"/>
    <e v="#N/A"/>
    <n v="63640"/>
    <m/>
    <s v="CISION"/>
    <s v="Q1"/>
    <e v="#REF!"/>
    <e v="#REF!"/>
    <e v="#REF!"/>
  </r>
  <r>
    <s v="401000"/>
    <x v="6"/>
    <s v="FOURNISSEURS"/>
    <s v="OD"/>
    <n v="-7437.6"/>
    <d v="2025-04-02T00:00:00"/>
    <s v="Liaison établissement 401000 3BCLIM TO"/>
    <m/>
    <e v="#N/A"/>
    <e v="#N/A"/>
    <n v="66479"/>
    <s v="CONTRAT DE MAINTENANCE N°CT0662 - PÉRIODE DU 01/03/2025 AU 28/02/2026"/>
    <s v="3BCLIM"/>
    <s v="Q2"/>
    <e v="#REF!"/>
    <e v="#REF!"/>
    <e v="#REF!"/>
  </r>
  <r>
    <s v="401000"/>
    <x v="6"/>
    <s v="FOURNISSEURS"/>
    <s v="OD"/>
    <n v="-6952.17"/>
    <d v="2025-04-02T00:00:00"/>
    <s v="Liaison inter-établissement"/>
    <s v="Non"/>
    <s v="Non"/>
    <e v="#N/A"/>
    <n v="68135"/>
    <m/>
    <s v="TRICIA CAREY"/>
    <s v="Q2"/>
    <e v="#REF!"/>
    <e v="#REF!"/>
    <e v="#REF!"/>
  </r>
  <r>
    <s v="401000"/>
    <x v="6"/>
    <s v="FOURNISSEURS"/>
    <s v="OD"/>
    <n v="-6859.79"/>
    <d v="2025-02-28T00:00:00"/>
    <s v="Liaison inter-établissement"/>
    <s v="Non"/>
    <s v="Non"/>
    <e v="#N/A"/>
    <n v="63776"/>
    <m/>
    <s v="OSIRIS"/>
    <s v="Q1"/>
    <e v="#REF!"/>
    <e v="#REF!"/>
    <e v="#REF!"/>
  </r>
  <r>
    <s v="401000"/>
    <x v="6"/>
    <s v="FOURNISSEURS"/>
    <s v="OD"/>
    <n v="-6623.52"/>
    <d v="2025-07-31T00:00:00"/>
    <s v="Liaison établissement 401000 OSIRIS TO"/>
    <s v="Non"/>
    <s v="Non"/>
    <e v="#N/A"/>
    <n v="79288"/>
    <s v="DIVERS OSIRIS"/>
    <s v="OSIRIS"/>
    <s v="Q3"/>
    <e v="#REF!"/>
    <e v="#REF!"/>
    <e v="#REF!"/>
  </r>
  <r>
    <s v="401000"/>
    <x v="6"/>
    <s v="FOURNISSEURS"/>
    <s v="OD"/>
    <n v="-6610"/>
    <d v="2025-06-30T00:00:00"/>
    <s v="Liaison établissement 401000 DOTMATICS TO"/>
    <s v="Non"/>
    <e v="#N/A"/>
    <e v="#N/A"/>
    <n v="76899"/>
    <s v="LICENCES DOTMATICS 2025_06 À 2026_05 - 1 READ ONLY - 5 ADDITIONAL CHEMISTRY"/>
    <s v="DOTMATICS LIMITED"/>
    <s v="Q2"/>
    <e v="#REF!"/>
    <e v="#REF!"/>
    <e v="#REF!"/>
  </r>
  <r>
    <s v="401000"/>
    <x v="6"/>
    <s v="FOURNISSEURS"/>
    <s v="OD"/>
    <n v="-6591.56"/>
    <d v="2025-08-18T00:00:00"/>
    <s v="Liaison établissement 401000 TRICIA CAREY TO"/>
    <s v="Non"/>
    <s v="Non"/>
    <e v="#N/A"/>
    <n v="81113"/>
    <s v="FACTURE T CARREY CONSULTANTE GO TO MARKET INDIGO - FACTURE FINALE"/>
    <s v="TRICIA CAREY"/>
    <s v="Q3"/>
    <e v="#REF!"/>
    <e v="#REF!"/>
    <e v="#REF!"/>
  </r>
  <r>
    <s v="401000"/>
    <x v="6"/>
    <s v="FOURNISSEURS"/>
    <s v="OD"/>
    <n v="-6389.4"/>
    <d v="2025-11-04T00:00:00"/>
    <s v="Liaison établissement 401000 BECKER TO"/>
    <s v="Non"/>
    <s v="Oui"/>
    <e v="#N/A"/>
    <n v="88019"/>
    <s v="ETUDE PI, FTO ET PRÉPARATION AU DÉPÔT D'EXTENSION PCT PALOMA CHIMIE"/>
    <s v="BECKER"/>
    <s v="Q4"/>
    <e v="#REF!"/>
    <e v="#REF!"/>
    <e v="#REF!"/>
  </r>
  <r>
    <s v="401000"/>
    <x v="6"/>
    <s v="FOURNISSEURS"/>
    <s v="OD"/>
    <n v="-6171.17"/>
    <d v="2025-04-28T00:00:00"/>
    <s v="Liaison inter-établissement"/>
    <s v="Non"/>
    <s v="Non"/>
    <e v="#N/A"/>
    <n v="70538"/>
    <m/>
    <s v="BDO EXPERTISE"/>
    <s v="Q2"/>
    <e v="#REF!"/>
    <e v="#REF!"/>
    <e v="#REF!"/>
  </r>
  <r>
    <s v="401000"/>
    <x v="6"/>
    <s v="FOURNISSEURS"/>
    <s v="OD"/>
    <n v="-6000"/>
    <d v="2025-02-28T00:00:00"/>
    <s v="Liaison inter-établissement"/>
    <m/>
    <e v="#N/A"/>
    <e v="#N/A"/>
    <n v="63926"/>
    <m/>
    <s v="UBIQUITIZ CONSULTING"/>
    <s v="Q1"/>
    <e v="#REF!"/>
    <e v="#REF!"/>
    <e v="#REF!"/>
  </r>
  <r>
    <s v="401000"/>
    <x v="6"/>
    <s v="FOURNISSEURS"/>
    <s v="OD"/>
    <n v="-6000"/>
    <d v="2025-06-26T00:00:00"/>
    <s v="Liaison établissement 401000 INSIDE TO"/>
    <s v="Non"/>
    <s v="Non"/>
    <e v="#N/A"/>
    <n v="76329"/>
    <s v="INVOICE PAYMENT BY PILI"/>
    <s v="INSIDE MANAGEMENT"/>
    <s v="Q2"/>
    <e v="#REF!"/>
    <e v="#REF!"/>
    <e v="#REF!"/>
  </r>
  <r>
    <s v="401000"/>
    <x v="6"/>
    <s v="FOURNISSEURS"/>
    <s v="OD"/>
    <n v="-5720.71"/>
    <d v="2025-08-18T00:00:00"/>
    <s v="Liaison établissement 401000 CHIMIREC TO"/>
    <m/>
    <s v="Non"/>
    <n v="0"/>
    <n v="81124"/>
    <s v="F061352698"/>
    <s v="CHIMIREC CENTRE EST"/>
    <s v="Q3"/>
    <e v="#REF!"/>
    <e v="#REF!"/>
    <e v="#REF!"/>
  </r>
  <r>
    <s v="401000"/>
    <x v="6"/>
    <s v="FOURNISSEURS"/>
    <s v="OD"/>
    <n v="-5702.6"/>
    <d v="2025-02-28T00:00:00"/>
    <s v="Liaison inter-établissement"/>
    <m/>
    <s v="Non"/>
    <e v="#N/A"/>
    <n v="66530"/>
    <m/>
    <s v="AXE GESCOM"/>
    <s v="Q1"/>
    <e v="#REF!"/>
    <e v="#REF!"/>
    <e v="#REF!"/>
  </r>
  <r>
    <s v="401000"/>
    <x v="6"/>
    <s v="FOURNISSEURS"/>
    <s v="OD"/>
    <n v="-5686.19"/>
    <d v="2025-12-08T00:00:00"/>
    <s v="Liaison établissement 401000 BIOADVICE TO"/>
    <s v="Non"/>
    <s v="Non"/>
    <e v="#N/A"/>
    <n v="91350"/>
    <s v="F2025-013-PILI"/>
    <s v="BIOADVICE"/>
    <s v="Q4"/>
    <e v="#REF!"/>
    <e v="#REF!"/>
    <e v="#REF!"/>
  </r>
  <r>
    <s v="401000"/>
    <x v="6"/>
    <s v="FOURNISSEURS"/>
    <s v="OD"/>
    <n v="-5532"/>
    <d v="2025-02-18T00:00:00"/>
    <s v="Liaison inter-établissement"/>
    <m/>
    <e v="#N/A"/>
    <e v="#N/A"/>
    <n v="63808"/>
    <m/>
    <s v="REED EXHIBITIONS LTD"/>
    <s v="Q1"/>
    <e v="#REF!"/>
    <e v="#REF!"/>
    <e v="#REF!"/>
  </r>
  <r>
    <s v="401000"/>
    <x v="6"/>
    <s v="FOURNISSEURS"/>
    <s v="OD"/>
    <n v="-5415.12"/>
    <d v="2025-04-15T00:00:00"/>
    <s v="Liaison inter-établissement"/>
    <m/>
    <e v="#N/A"/>
    <e v="#N/A"/>
    <n v="69974"/>
    <m/>
    <s v="FISHER SCIENTIFIC"/>
    <s v="Q2"/>
    <e v="#REF!"/>
    <e v="#REF!"/>
    <e v="#REF!"/>
  </r>
  <r>
    <s v="401000"/>
    <x v="6"/>
    <s v="FOURNISSEURS"/>
    <s v="OD"/>
    <n v="-5412"/>
    <d v="2025-12-08T00:00:00"/>
    <s v="Liaison établissement 401000 SCMI TO"/>
    <m/>
    <e v="#N/A"/>
    <e v="#N/A"/>
    <n v="91345"/>
    <s v="FA25-08-15222"/>
    <s v="SCMI"/>
    <s v="Q4"/>
    <e v="#REF!"/>
    <e v="#REF!"/>
    <e v="#REF!"/>
  </r>
  <r>
    <s v="401000"/>
    <x v="6"/>
    <s v="FOURNISSEURS"/>
    <s v="OD"/>
    <n v="-5400"/>
    <d v="2025-03-18T00:00:00"/>
    <s v="Liaison inter-établissement"/>
    <s v="Oui"/>
    <s v="Non"/>
    <e v="#N/A"/>
    <n v="70035"/>
    <m/>
    <s v="CONSEIL CPP"/>
    <s v="Q1"/>
    <e v="#REF!"/>
    <e v="#REF!"/>
    <e v="#REF!"/>
  </r>
  <r>
    <s v="401000"/>
    <x v="6"/>
    <s v="FOURNISSEURS"/>
    <s v="OD"/>
    <n v="-5328.4"/>
    <d v="2025-11-19T00:00:00"/>
    <s v="Liaison établissement 401000 BIOTIKA TO"/>
    <s v="Non"/>
    <e v="#N/A"/>
    <e v="#N/A"/>
    <n v="90503"/>
    <s v="91250170"/>
    <s v="BIOTIKA"/>
    <s v="Q4"/>
    <e v="#REF!"/>
    <e v="#REF!"/>
    <e v="#REF!"/>
  </r>
  <r>
    <s v="401000"/>
    <x v="6"/>
    <s v="FOURNISSEURS"/>
    <s v="OD"/>
    <n v="-5217.95"/>
    <d v="2025-11-14T00:00:00"/>
    <s v="Liaison établissement 401000 BIOTIKA TO"/>
    <s v="Non"/>
    <e v="#N/A"/>
    <e v="#N/A"/>
    <n v="89998"/>
    <s v="91250161"/>
    <s v="BIOTIKA"/>
    <s v="Q4"/>
    <e v="#REF!"/>
    <e v="#REF!"/>
    <e v="#REF!"/>
  </r>
  <r>
    <s v="401000"/>
    <x v="6"/>
    <s v="FOURNISSEURS"/>
    <s v="OD"/>
    <n v="-5082.07"/>
    <d v="2025-01-30T00:00:00"/>
    <s v="Liaison inter-établissement"/>
    <m/>
    <s v="Non"/>
    <n v="0"/>
    <n v="63672"/>
    <m/>
    <s v="CHIMIREC CENTRE EST"/>
    <s v="Q1"/>
    <e v="#REF!"/>
    <e v="#REF!"/>
    <e v="#REF!"/>
  </r>
  <r>
    <s v="401000"/>
    <x v="6"/>
    <s v="FOURNISSEURS"/>
    <s v="OD"/>
    <n v="-5040"/>
    <d v="2025-10-03T00:00:00"/>
    <s v="Liaison établissement 401000 DMI TO"/>
    <m/>
    <e v="#N/A"/>
    <e v="#N/A"/>
    <n v="82711"/>
    <s v="FACT1903"/>
    <s v="DMI"/>
    <s v="Q4"/>
    <e v="#REF!"/>
    <e v="#REF!"/>
    <e v="#REF!"/>
  </r>
  <r>
    <s v="401000"/>
    <x v="6"/>
    <s v="FOURNISSEURS"/>
    <s v="OD"/>
    <n v="-5000"/>
    <d v="2025-06-30T00:00:00"/>
    <s v="Liaison établissement 401000 BIOTIKA TO"/>
    <s v="Non"/>
    <e v="#N/A"/>
    <e v="#N/A"/>
    <n v="76883"/>
    <s v="SUMMARY REPORT - AGREEMENT"/>
    <s v="BIOTIKA"/>
    <s v="Q2"/>
    <e v="#REF!"/>
    <e v="#REF!"/>
    <e v="#REF!"/>
  </r>
  <r>
    <s v="401000"/>
    <x v="6"/>
    <s v="FOURNISSEURS"/>
    <s v="OD"/>
    <n v="-5000"/>
    <d v="2025-07-09T00:00:00"/>
    <s v="Liaison établissement 401000 BIOTIKA TO"/>
    <s v="Non"/>
    <e v="#N/A"/>
    <e v="#N/A"/>
    <n v="77202"/>
    <s v="AGREEMENT  PHOENIX I - FACTURE FINALE - RAPPORT"/>
    <s v="BIOTIKA"/>
    <s v="Q3"/>
    <e v="#REF!"/>
    <e v="#REF!"/>
    <e v="#REF!"/>
  </r>
  <r>
    <s v="401000"/>
    <x v="6"/>
    <s v="FOURNISSEURS"/>
    <s v="OD"/>
    <n v="-4979.78"/>
    <d v="2025-11-14T00:00:00"/>
    <s v="Liaison établissement 401000 COTE TO"/>
    <m/>
    <e v="#N/A"/>
    <e v="#N/A"/>
    <n v="90009"/>
    <s v="PRISES LABORATOIRE : 1775.13€ PRISES ATEX : 4130.91€ ALIMENTATION CLIM + AIR : 1501.94€ PLANS : 872.75€"/>
    <s v="COTE"/>
    <s v="Q4"/>
    <e v="#REF!"/>
    <e v="#REF!"/>
    <e v="#REF!"/>
  </r>
  <r>
    <s v="401000"/>
    <x v="6"/>
    <s v="FOURNISSEURS"/>
    <s v="OD"/>
    <n v="-4782.96"/>
    <d v="2025-02-18T00:00:00"/>
    <s v="Liaison inter-établissement"/>
    <m/>
    <e v="#N/A"/>
    <e v="#N/A"/>
    <n v="63668"/>
    <m/>
    <s v="FOURE LAGADEC"/>
    <s v="Q1"/>
    <e v="#REF!"/>
    <e v="#REF!"/>
    <e v="#REF!"/>
  </r>
  <r>
    <s v="401000"/>
    <x v="6"/>
    <s v="FOURNISSEURS"/>
    <s v="OD"/>
    <n v="-4752"/>
    <d v="2025-03-18T00:00:00"/>
    <s v="Liaison inter-établissement"/>
    <m/>
    <s v="Non"/>
    <e v="#N/A"/>
    <n v="66549"/>
    <m/>
    <s v="AXE GESCOM"/>
    <s v="Q1"/>
    <e v="#REF!"/>
    <e v="#REF!"/>
    <e v="#REF!"/>
  </r>
  <r>
    <s v="401000"/>
    <x v="6"/>
    <s v="FOURNISSEURS"/>
    <s v="OD"/>
    <n v="-4632.59"/>
    <d v="2025-04-18T00:00:00"/>
    <s v="Liaison établissement 401000 BIOADVICE TO"/>
    <s v="Non"/>
    <s v="Non"/>
    <e v="#N/A"/>
    <n v="68145"/>
    <s v="Invoice Payment by Pili"/>
    <s v="BIOADVICE"/>
    <s v="Q2"/>
    <e v="#REF!"/>
    <e v="#REF!"/>
    <e v="#REF!"/>
  </r>
  <r>
    <s v="401000"/>
    <x v="6"/>
    <s v="FOURNISSEURS"/>
    <s v="OD"/>
    <n v="-4560"/>
    <d v="2025-02-28T00:00:00"/>
    <s v="Liaison inter-établissement"/>
    <m/>
    <e v="#N/A"/>
    <e v="#N/A"/>
    <n v="63648"/>
    <m/>
    <s v="DROOMS"/>
    <s v="Q1"/>
    <e v="#REF!"/>
    <e v="#REF!"/>
    <e v="#REF!"/>
  </r>
  <r>
    <s v="401000"/>
    <x v="6"/>
    <s v="FOURNISSEURS"/>
    <s v="OD"/>
    <n v="-4471.5600000000004"/>
    <d v="2025-04-15T00:00:00"/>
    <s v="Reclassement paiement Hipolito"/>
    <m/>
    <e v="#N/A"/>
    <e v="#N/A"/>
    <n v="82261"/>
    <m/>
    <m/>
    <s v="Q2"/>
    <e v="#REF!"/>
    <e v="#REF!"/>
    <e v="#REF!"/>
  </r>
  <r>
    <s v="401000"/>
    <x v="6"/>
    <s v="FOURNISSEURS"/>
    <s v="OD"/>
    <n v="-4471.5600000000004"/>
    <d v="2025-04-18T00:00:00"/>
    <s v="Liaison établissement 401000 HIPOLITO TO"/>
    <m/>
    <e v="#N/A"/>
    <e v="#N/A"/>
    <n v="68195"/>
    <s v="Invoice Payment by Pili"/>
    <s v="HIPOLITO"/>
    <s v="Q2"/>
    <e v="#REF!"/>
    <e v="#REF!"/>
    <e v="#REF!"/>
  </r>
  <r>
    <s v="401000"/>
    <x v="6"/>
    <s v="FOURNISSEURS"/>
    <s v="OD"/>
    <n v="-4344"/>
    <d v="2025-01-30T00:00:00"/>
    <s v="Liaison inter-établissement"/>
    <s v="Non"/>
    <e v="#N/A"/>
    <e v="#N/A"/>
    <n v="63752"/>
    <m/>
    <s v="LOPEZ PLOMBERIE ELECTRICITE"/>
    <s v="Q1"/>
    <e v="#REF!"/>
    <e v="#REF!"/>
    <e v="#REF!"/>
  </r>
  <r>
    <s v="401000"/>
    <x v="6"/>
    <s v="FOURNISSEURS"/>
    <s v="OD"/>
    <n v="-4217.22"/>
    <d v="2025-06-16T00:00:00"/>
    <s v="Liaison établissement 401000 MAZARS TO"/>
    <s v="Non"/>
    <s v="Non"/>
    <e v="#N/A"/>
    <n v="76047"/>
    <s v="AUDIT ERD BPI INOV"/>
    <s v="FORVIS MAZARS"/>
    <s v="Q2"/>
    <e v="#REF!"/>
    <e v="#REF!"/>
    <e v="#REF!"/>
  </r>
  <r>
    <s v="401000"/>
    <x v="6"/>
    <s v="FOURNISSEURS"/>
    <s v="OD"/>
    <n v="-4200"/>
    <d v="2025-12-10T00:00:00"/>
    <s v="Liaison établissement 401000 HIPOLITO TO"/>
    <m/>
    <e v="#N/A"/>
    <e v="#N/A"/>
    <n v="92046"/>
    <s v="PROJET VIDÉO PILI"/>
    <s v="HIPOLITO"/>
    <s v="Q4"/>
    <e v="#REF!"/>
    <e v="#REF!"/>
    <e v="#REF!"/>
  </r>
  <r>
    <s v="401000"/>
    <x v="6"/>
    <s v="FOURNISSEURS"/>
    <s v="OD"/>
    <n v="-4072"/>
    <d v="2025-09-22T00:00:00"/>
    <s v="Liaison établissement 401000 BIOTIKA TO"/>
    <s v="Non"/>
    <e v="#N/A"/>
    <e v="#N/A"/>
    <n v="82383"/>
    <s v="LOCATION EQUIPEMENT FLOTWEG"/>
    <s v="BIOTIKA"/>
    <s v="Q3"/>
    <e v="#REF!"/>
    <e v="#REF!"/>
    <e v="#REF!"/>
  </r>
  <r>
    <s v="401000"/>
    <x v="6"/>
    <s v="FOURNISSEURS"/>
    <s v="OD"/>
    <n v="-3875"/>
    <d v="2025-06-16T00:00:00"/>
    <s v="Liaison établissement 401000 BIOTIKA TO"/>
    <s v="Non"/>
    <e v="#N/A"/>
    <e v="#N/A"/>
    <n v="76057"/>
    <s v="TRANSPORT COSTS"/>
    <s v="BIOTIKA"/>
    <s v="Q2"/>
    <e v="#REF!"/>
    <e v="#REF!"/>
    <e v="#REF!"/>
  </r>
  <r>
    <s v="401000"/>
    <x v="6"/>
    <s v="FOURNISSEURS"/>
    <s v="OD"/>
    <n v="-3871.32"/>
    <d v="2025-02-28T00:00:00"/>
    <s v="Liaison inter-établissement"/>
    <m/>
    <e v="#N/A"/>
    <e v="#N/A"/>
    <n v="63664"/>
    <m/>
    <s v="FOURE LAGADEC"/>
    <s v="Q1"/>
    <e v="#REF!"/>
    <e v="#REF!"/>
    <e v="#REF!"/>
  </r>
  <r>
    <s v="401000"/>
    <x v="6"/>
    <s v="FOURNISSEURS"/>
    <s v="OD"/>
    <n v="-3840"/>
    <d v="2025-02-28T00:00:00"/>
    <s v="Liaison inter-établissement"/>
    <m/>
    <s v="Non"/>
    <e v="#N/A"/>
    <n v="66556"/>
    <m/>
    <s v="AXE GESCOM"/>
    <s v="Q1"/>
    <e v="#REF!"/>
    <e v="#REF!"/>
    <e v="#REF!"/>
  </r>
  <r>
    <s v="401000"/>
    <x v="6"/>
    <s v="FOURNISSEURS"/>
    <s v="OD"/>
    <n v="-3684"/>
    <d v="2025-11-28T00:00:00"/>
    <s v="Liaison établissement 401000 ROUSSELET TO"/>
    <s v="Non"/>
    <e v="#N/A"/>
    <e v="#N/A"/>
    <n v="91269"/>
    <s v="FA006465"/>
    <s v="ROUSSELET CENTRIFUGATION"/>
    <s v="Q4"/>
    <e v="#REF!"/>
    <e v="#REF!"/>
    <e v="#REF!"/>
  </r>
  <r>
    <s v="401000"/>
    <x v="6"/>
    <s v="FOURNISSEURS"/>
    <s v="OD"/>
    <n v="-3588"/>
    <d v="2025-04-18T00:00:00"/>
    <s v="Liaison établissement 401000 HAYS TO"/>
    <m/>
    <s v="Non"/>
    <e v="#N/A"/>
    <n v="68190"/>
    <s v="Invoice Payment by Pili"/>
    <s v="HAYS"/>
    <s v="Q2"/>
    <e v="#REF!"/>
    <e v="#REF!"/>
    <e v="#REF!"/>
  </r>
  <r>
    <s v="401000"/>
    <x v="6"/>
    <s v="FOURNISSEURS"/>
    <s v="OD"/>
    <n v="-3574.97"/>
    <d v="2025-12-30T00:00:00"/>
    <s v="Liaison établissement 401000 BIOTIKA TO"/>
    <s v="Non"/>
    <e v="#N/A"/>
    <e v="#N/A"/>
    <n v="93778"/>
    <s v="91250196"/>
    <s v="BIOTIKA"/>
    <s v="Q4"/>
    <e v="#REF!"/>
    <e v="#REF!"/>
    <e v="#REF!"/>
  </r>
  <r>
    <s v="401000"/>
    <x v="6"/>
    <s v="FOURNISSEURS"/>
    <s v="OD"/>
    <n v="-3568.48"/>
    <d v="2025-11-28T00:00:00"/>
    <s v="Liaison établissement 401000 CHIMIREC TO"/>
    <m/>
    <s v="Non"/>
    <n v="0"/>
    <n v="91214"/>
    <s v="F061358047"/>
    <s v="CHIMIREC CENTRE EST"/>
    <s v="Q4"/>
    <e v="#REF!"/>
    <e v="#REF!"/>
    <e v="#REF!"/>
  </r>
  <r>
    <s v="401000"/>
    <x v="6"/>
    <s v="FOURNISSEURS"/>
    <s v="OD"/>
    <n v="-3547.5"/>
    <d v="2025-02-18T00:00:00"/>
    <s v="Liaison inter-établissement"/>
    <s v="Non"/>
    <s v="Non"/>
    <e v="#N/A"/>
    <n v="63516"/>
    <m/>
    <s v="ALTAIR AVOCATS"/>
    <s v="Q1"/>
    <e v="#REF!"/>
    <e v="#REF!"/>
    <e v="#REF!"/>
  </r>
  <r>
    <s v="401000"/>
    <x v="6"/>
    <s v="FOURNISSEURS"/>
    <s v="OD"/>
    <n v="-3516.48"/>
    <d v="2025-04-18T00:00:00"/>
    <s v="Liaison établissement 401000 CHIMIREC TO"/>
    <m/>
    <s v="Non"/>
    <n v="0"/>
    <n v="68160"/>
    <s v="Invoice Payment by Pili"/>
    <s v="CHIMIREC CENTRE EST"/>
    <s v="Q2"/>
    <e v="#REF!"/>
    <e v="#REF!"/>
    <e v="#REF!"/>
  </r>
  <r>
    <s v="401000"/>
    <x v="6"/>
    <s v="FOURNISSEURS"/>
    <s v="OD"/>
    <n v="-3499.2"/>
    <d v="2025-01-30T00:00:00"/>
    <s v="Liaison inter-établissement"/>
    <m/>
    <e v="#N/A"/>
    <e v="#N/A"/>
    <n v="63500"/>
    <m/>
    <s v="ADVERIS"/>
    <s v="Q1"/>
    <e v="#REF!"/>
    <e v="#REF!"/>
    <e v="#REF!"/>
  </r>
  <r>
    <s v="401000"/>
    <x v="6"/>
    <s v="FOURNISSEURS"/>
    <s v="OD"/>
    <n v="-3462.75"/>
    <d v="2025-02-25T00:00:00"/>
    <s v="Liaison inter-établissement"/>
    <m/>
    <e v="#N/A"/>
    <e v="#N/A"/>
    <n v="72803"/>
    <m/>
    <s v="NEGATIF -"/>
    <s v="Q1"/>
    <e v="#REF!"/>
    <e v="#REF!"/>
    <e v="#REF!"/>
  </r>
  <r>
    <s v="401000"/>
    <x v="6"/>
    <s v="FOURNISSEURS"/>
    <s v="OD"/>
    <n v="-3408"/>
    <d v="2025-01-30T00:00:00"/>
    <s v="Liaison inter-établissement"/>
    <m/>
    <e v="#N/A"/>
    <e v="#N/A"/>
    <n v="63930"/>
    <m/>
    <s v="VALENTIN"/>
    <s v="Q1"/>
    <e v="#REF!"/>
    <e v="#REF!"/>
    <e v="#REF!"/>
  </r>
  <r>
    <s v="401000"/>
    <x v="6"/>
    <s v="FOURNISSEURS"/>
    <s v="OD"/>
    <n v="-3316.8"/>
    <d v="2025-01-31T00:00:00"/>
    <s v="Liaison inter-établissement"/>
    <m/>
    <e v="#N/A"/>
    <e v="#N/A"/>
    <n v="64242"/>
    <m/>
    <s v="ACTEA"/>
    <s v="Q1"/>
    <e v="#REF!"/>
    <e v="#REF!"/>
    <e v="#REF!"/>
  </r>
  <r>
    <s v="401000"/>
    <x v="6"/>
    <s v="FOURNISSEURS"/>
    <s v="OD"/>
    <n v="-3316.8"/>
    <d v="2025-02-28T00:00:00"/>
    <s v="Liaison inter-établissement"/>
    <m/>
    <e v="#N/A"/>
    <e v="#N/A"/>
    <n v="64246"/>
    <m/>
    <s v="ACTEA"/>
    <s v="Q1"/>
    <e v="#REF!"/>
    <e v="#REF!"/>
    <e v="#REF!"/>
  </r>
  <r>
    <s v="401000"/>
    <x v="6"/>
    <s v="FOURNISSEURS"/>
    <s v="OD"/>
    <n v="-3316.8"/>
    <d v="2025-03-31T00:00:00"/>
    <s v="Liaison inter-établissement"/>
    <m/>
    <e v="#N/A"/>
    <e v="#N/A"/>
    <n v="64394"/>
    <m/>
    <s v="ACTEA"/>
    <s v="Q1"/>
    <e v="#REF!"/>
    <e v="#REF!"/>
    <e v="#REF!"/>
  </r>
  <r>
    <s v="401000"/>
    <x v="6"/>
    <s v="FOURNISSEURS"/>
    <s v="OD"/>
    <n v="-3316.8"/>
    <d v="2025-04-30T00:00:00"/>
    <s v="Liaison inter-établissement"/>
    <m/>
    <e v="#N/A"/>
    <e v="#N/A"/>
    <n v="67985"/>
    <m/>
    <s v="ACTEA"/>
    <s v="Q2"/>
    <e v="#REF!"/>
    <e v="#REF!"/>
    <e v="#REF!"/>
  </r>
  <r>
    <s v="401000"/>
    <x v="6"/>
    <s v="FOURNISSEURS"/>
    <s v="OD"/>
    <n v="-3316.8"/>
    <d v="2025-05-31T00:00:00"/>
    <s v="Liaison inter-établissement"/>
    <m/>
    <e v="#N/A"/>
    <e v="#N/A"/>
    <n v="71386"/>
    <m/>
    <s v="ACTEA"/>
    <s v="Q2"/>
    <e v="#REF!"/>
    <e v="#REF!"/>
    <e v="#REF!"/>
  </r>
  <r>
    <s v="401000"/>
    <x v="6"/>
    <s v="FOURNISSEURS"/>
    <s v="OD"/>
    <n v="-3316.8"/>
    <d v="2025-06-30T00:00:00"/>
    <s v="Liaison inter-établissement"/>
    <m/>
    <e v="#N/A"/>
    <e v="#N/A"/>
    <n v="75306"/>
    <m/>
    <s v="ACTEA"/>
    <s v="Q2"/>
    <e v="#REF!"/>
    <e v="#REF!"/>
    <e v="#REF!"/>
  </r>
  <r>
    <s v="401000"/>
    <x v="6"/>
    <s v="FOURNISSEURS"/>
    <s v="OD"/>
    <n v="-3316.8"/>
    <d v="2025-07-01T00:00:00"/>
    <s v="Liaison inter-établissement"/>
    <m/>
    <e v="#N/A"/>
    <e v="#N/A"/>
    <n v="77077"/>
    <m/>
    <s v="ACTEA"/>
    <s v="Q3"/>
    <e v="#REF!"/>
    <e v="#REF!"/>
    <e v="#REF!"/>
  </r>
  <r>
    <s v="401000"/>
    <x v="6"/>
    <s v="FOURNISSEURS"/>
    <s v="OD"/>
    <n v="-3316.8"/>
    <d v="2025-08-01T00:00:00"/>
    <s v="Liaison inter-établissement"/>
    <m/>
    <e v="#N/A"/>
    <e v="#N/A"/>
    <n v="80676"/>
    <m/>
    <s v="ACTEA"/>
    <s v="Q3"/>
    <e v="#REF!"/>
    <e v="#REF!"/>
    <e v="#REF!"/>
  </r>
  <r>
    <s v="401000"/>
    <x v="6"/>
    <s v="FOURNISSEURS"/>
    <s v="OD"/>
    <n v="-3316.8"/>
    <d v="2025-09-01T00:00:00"/>
    <s v="Liaison inter-établissement"/>
    <m/>
    <e v="#N/A"/>
    <e v="#N/A"/>
    <n v="81688"/>
    <m/>
    <s v="ACTEA"/>
    <s v="Q3"/>
    <e v="#REF!"/>
    <e v="#REF!"/>
    <e v="#REF!"/>
  </r>
  <r>
    <s v="401000"/>
    <x v="6"/>
    <s v="FOURNISSEURS"/>
    <s v="OD"/>
    <n v="-3316.8"/>
    <d v="2025-10-01T00:00:00"/>
    <s v="Liaison inter-établissement"/>
    <m/>
    <e v="#N/A"/>
    <e v="#N/A"/>
    <n v="82817"/>
    <m/>
    <s v="ACTEA"/>
    <s v="Q4"/>
    <e v="#REF!"/>
    <e v="#REF!"/>
    <e v="#REF!"/>
  </r>
  <r>
    <s v="401000"/>
    <x v="6"/>
    <s v="FOURNISSEURS"/>
    <s v="OD"/>
    <n v="-3316.8"/>
    <d v="2025-11-03T00:00:00"/>
    <s v="Liaison inter-établissement"/>
    <m/>
    <e v="#N/A"/>
    <e v="#N/A"/>
    <n v="87994"/>
    <m/>
    <s v="ACTEA"/>
    <s v="Q4"/>
    <e v="#REF!"/>
    <e v="#REF!"/>
    <e v="#REF!"/>
  </r>
  <r>
    <s v="401000"/>
    <x v="6"/>
    <s v="FOURNISSEURS"/>
    <s v="OD"/>
    <n v="-3316.8"/>
    <d v="2025-12-01T00:00:00"/>
    <s v="Liaison inter-établissement"/>
    <m/>
    <e v="#N/A"/>
    <e v="#N/A"/>
    <n v="91310"/>
    <m/>
    <s v="ACTEA"/>
    <s v="Q4"/>
    <e v="#REF!"/>
    <e v="#REF!"/>
    <e v="#REF!"/>
  </r>
  <r>
    <s v="401000"/>
    <x v="6"/>
    <s v="FOURNISSEURS"/>
    <s v="OD"/>
    <n v="-3120"/>
    <d v="2025-05-07T00:00:00"/>
    <s v="Liaison établissement 401000 PAGE TO"/>
    <s v="Non"/>
    <s v="Non"/>
    <e v="#N/A"/>
    <n v="71803"/>
    <s v="PACK EXPERT PLUSMP"/>
    <s v="MICHAEL PAGE"/>
    <s v="Q2"/>
    <e v="#REF!"/>
    <e v="#REF!"/>
    <e v="#REF!"/>
  </r>
  <r>
    <s v="401000"/>
    <x v="6"/>
    <s v="FOURNISSEURS"/>
    <s v="OD"/>
    <n v="-3027.91"/>
    <d v="2025-04-08T00:00:00"/>
    <s v="Liaison inter-établissement"/>
    <s v="Non"/>
    <s v="Non"/>
    <e v="#N/A"/>
    <n v="67997"/>
    <m/>
    <s v="F2P AUDIT &amp; CONSEIL"/>
    <s v="Q2"/>
    <e v="#REF!"/>
    <e v="#REF!"/>
    <e v="#REF!"/>
  </r>
  <r>
    <s v="401000"/>
    <x v="6"/>
    <s v="FOURNISSEURS"/>
    <s v="OD"/>
    <n v="-3000"/>
    <d v="2025-02-18T00:00:00"/>
    <s v="Liaison inter-établissement"/>
    <s v="Non"/>
    <s v="Non"/>
    <e v="#N/A"/>
    <n v="63604"/>
    <m/>
    <s v="WE ARE BOLD"/>
    <s v="Q1"/>
    <e v="#REF!"/>
    <e v="#REF!"/>
    <e v="#REF!"/>
  </r>
  <r>
    <s v="401000"/>
    <x v="6"/>
    <s v="FOURNISSEURS"/>
    <s v="OD"/>
    <n v="-3000"/>
    <d v="2025-03-19T00:00:00"/>
    <s v="Liaison inter-établissement"/>
    <s v="Non"/>
    <s v="Non"/>
    <e v="#N/A"/>
    <n v="63596"/>
    <m/>
    <s v="WE ARE BOLD"/>
    <s v="Q1"/>
    <e v="#REF!"/>
    <e v="#REF!"/>
    <e v="#REF!"/>
  </r>
  <r>
    <s v="401000"/>
    <x v="6"/>
    <s v="FOURNISSEURS"/>
    <s v="OD"/>
    <n v="-3000"/>
    <d v="2025-04-15T00:00:00"/>
    <s v="Liaison inter-établissement"/>
    <s v="Non"/>
    <s v="Non"/>
    <e v="#N/A"/>
    <n v="68025"/>
    <m/>
    <s v="WE ARE BOLD"/>
    <s v="Q2"/>
    <e v="#REF!"/>
    <e v="#REF!"/>
    <e v="#REF!"/>
  </r>
  <r>
    <s v="401000"/>
    <x v="6"/>
    <s v="FOURNISSEURS"/>
    <s v="OD"/>
    <n v="-3000"/>
    <d v="2025-06-02T00:00:00"/>
    <s v="Liaison établissement 401000 BOLD TO"/>
    <s v="Non"/>
    <s v="Non"/>
    <e v="#N/A"/>
    <n v="75239"/>
    <s v="Invoice Payment By Pili"/>
    <s v="WE ARE BOLD"/>
    <s v="Q2"/>
    <e v="#REF!"/>
    <e v="#REF!"/>
    <e v="#REF!"/>
  </r>
  <r>
    <s v="401000"/>
    <x v="6"/>
    <s v="FOURNISSEURS"/>
    <s v="OD"/>
    <n v="-3000"/>
    <d v="2025-07-31T00:00:00"/>
    <s v="Liaison établissement 401000 BOLD TO"/>
    <s v="Non"/>
    <s v="Non"/>
    <e v="#N/A"/>
    <n v="79258"/>
    <s v="FORFAIT JURIDIQUE 2025_05"/>
    <s v="WE ARE BOLD"/>
    <s v="Q3"/>
    <e v="#REF!"/>
    <e v="#REF!"/>
    <e v="#REF!"/>
  </r>
  <r>
    <s v="401000"/>
    <x v="6"/>
    <s v="FOURNISSEURS"/>
    <s v="OD"/>
    <n v="-3000"/>
    <d v="2025-08-21T00:00:00"/>
    <s v="Liaison établissement 401000 BOLD TO"/>
    <s v="Non"/>
    <s v="Non"/>
    <e v="#N/A"/>
    <n v="81423"/>
    <s v="PRESTATION BOLD"/>
    <s v="WE ARE BOLD"/>
    <s v="Q3"/>
    <e v="#REF!"/>
    <e v="#REF!"/>
    <e v="#REF!"/>
  </r>
  <r>
    <s v="401000"/>
    <x v="6"/>
    <s v="FOURNISSEURS"/>
    <s v="OD"/>
    <n v="-3000"/>
    <d v="2025-09-12T00:00:00"/>
    <s v="Liaison établissement 401000 BOLD TO"/>
    <s v="Non"/>
    <s v="Non"/>
    <e v="#N/A"/>
    <n v="81993"/>
    <s v="FORFAIT JURIDIQUE"/>
    <s v="WE ARE BOLD"/>
    <s v="Q3"/>
    <e v="#REF!"/>
    <e v="#REF!"/>
    <e v="#REF!"/>
  </r>
  <r>
    <s v="401000"/>
    <x v="6"/>
    <s v="FOURNISSEURS"/>
    <s v="OD"/>
    <n v="-2913.06"/>
    <d v="2025-01-17T00:00:00"/>
    <s v="Liaison inter-établissement"/>
    <m/>
    <e v="#N/A"/>
    <e v="#N/A"/>
    <n v="71898"/>
    <m/>
    <s v="PROMINENT"/>
    <s v="Q1"/>
    <e v="#REF!"/>
    <e v="#REF!"/>
    <e v="#REF!"/>
  </r>
  <r>
    <s v="401000"/>
    <x v="6"/>
    <s v="FOURNISSEURS"/>
    <s v="OD"/>
    <n v="-2907.91"/>
    <d v="2025-03-14T00:00:00"/>
    <s v="Liaison inter-établissement"/>
    <s v="Non"/>
    <s v="Non"/>
    <e v="#N/A"/>
    <n v="64426"/>
    <m/>
    <s v="F2P AUDIT &amp; CONSEIL"/>
    <s v="Q1"/>
    <e v="#REF!"/>
    <e v="#REF!"/>
    <e v="#REF!"/>
  </r>
  <r>
    <s v="401000"/>
    <x v="6"/>
    <s v="FOURNISSEURS"/>
    <s v="OD"/>
    <n v="-2904"/>
    <d v="2025-11-28T00:00:00"/>
    <s v="Liaison établissement 401000 INSAR TO"/>
    <m/>
    <e v="#N/A"/>
    <e v="#N/A"/>
    <n v="91209"/>
    <s v="FAR-2025-000189"/>
    <s v="INSA ROUEN"/>
    <s v="Q4"/>
    <e v="#REF!"/>
    <e v="#REF!"/>
    <e v="#REF!"/>
  </r>
  <r>
    <s v="401000"/>
    <x v="6"/>
    <s v="FOURNISSEURS"/>
    <s v="OD"/>
    <n v="-2904"/>
    <d v="2025-12-10T00:00:00"/>
    <s v="Liaison établissement 401000 INSAR TO"/>
    <m/>
    <e v="#N/A"/>
    <e v="#N/A"/>
    <n v="92072"/>
    <s v="FAR-2025-000562"/>
    <s v="INSA ROUEN"/>
    <s v="Q4"/>
    <e v="#REF!"/>
    <e v="#REF!"/>
    <e v="#REF!"/>
  </r>
  <r>
    <s v="401000"/>
    <x v="6"/>
    <s v="FOURNISSEURS"/>
    <s v="OD"/>
    <n v="-2904"/>
    <d v="2025-12-30T00:00:00"/>
    <s v="Liaison établissement 401000 INSAR TO"/>
    <m/>
    <e v="#N/A"/>
    <e v="#N/A"/>
    <n v="93729"/>
    <s v="FAR-2025-000749"/>
    <s v="INSA ROUEN"/>
    <s v="Q4"/>
    <e v="#REF!"/>
    <e v="#REF!"/>
    <e v="#REF!"/>
  </r>
  <r>
    <s v="401000"/>
    <x v="6"/>
    <s v="FOURNISSEURS"/>
    <s v="OD"/>
    <n v="-2896.04"/>
    <d v="2025-11-17T00:00:00"/>
    <s v="Liaison établissement 401000 TRAITEUR GRAND TO"/>
    <m/>
    <e v="#N/A"/>
    <e v="#N/A"/>
    <n v="90129"/>
    <s v="PRESTATION TRAITEUR SÉMINAIRE PILI"/>
    <s v="TRAITEUR GRAND"/>
    <s v="Q4"/>
    <e v="#REF!"/>
    <e v="#REF!"/>
    <e v="#REF!"/>
  </r>
  <r>
    <s v="401000"/>
    <x v="6"/>
    <s v="FOURNISSEURS"/>
    <s v="OD"/>
    <n v="-2886.24"/>
    <d v="2025-10-31T00:00:00"/>
    <s v="Liaison établissement 401000 LABSERVICES TO"/>
    <m/>
    <e v="#N/A"/>
    <e v="#N/A"/>
    <n v="87562"/>
    <s v="LSE-049745"/>
    <s v="LABSERVICES"/>
    <s v="Q4"/>
    <e v="#REF!"/>
    <e v="#REF!"/>
    <e v="#REF!"/>
  </r>
  <r>
    <s v="401000"/>
    <x v="6"/>
    <s v="FOURNISSEURS"/>
    <s v="OD"/>
    <n v="-2880"/>
    <d v="2025-10-03T00:00:00"/>
    <s v="Liaison établissement 401000 DMI TO"/>
    <m/>
    <e v="#N/A"/>
    <e v="#N/A"/>
    <n v="82706"/>
    <s v="FACT1901"/>
    <s v="DMI"/>
    <s v="Q4"/>
    <e v="#REF!"/>
    <e v="#REF!"/>
    <e v="#REF!"/>
  </r>
  <r>
    <s v="401000"/>
    <x v="6"/>
    <s v="FOURNISSEURS"/>
    <s v="OD"/>
    <n v="-2875"/>
    <d v="2025-05-07T00:00:00"/>
    <s v="Liaison établissement 401000 ACDV TO"/>
    <m/>
    <s v="Non"/>
    <s v="Oui"/>
    <n v="71762"/>
    <s v="COTISATION 2025"/>
    <s v="ASSOCIATION CHIMIE DU VEGETAL"/>
    <s v="Q2"/>
    <e v="#REF!"/>
    <e v="#REF!"/>
    <e v="#REF!"/>
  </r>
  <r>
    <s v="401000"/>
    <x v="6"/>
    <s v="FOURNISSEURS"/>
    <s v="OD"/>
    <n v="-2862"/>
    <d v="2025-12-29T00:00:00"/>
    <s v="Liaison inter-établissement"/>
    <m/>
    <s v="Non"/>
    <e v="#N/A"/>
    <n v="93710"/>
    <m/>
    <s v="AXE GESCOM"/>
    <s v="Q4"/>
    <e v="#REF!"/>
    <e v="#REF!"/>
    <e v="#REF!"/>
  </r>
  <r>
    <s v="401000"/>
    <x v="6"/>
    <s v="FOURNISSEURS"/>
    <s v="OD"/>
    <n v="-2806.51"/>
    <d v="2025-02-18T00:00:00"/>
    <s v="Liaison inter-établissement"/>
    <s v="Non"/>
    <s v="Non"/>
    <e v="#N/A"/>
    <n v="61650"/>
    <m/>
    <s v="F2P AUDIT &amp; CONSEIL"/>
    <s v="Q1"/>
    <e v="#REF!"/>
    <e v="#REF!"/>
    <e v="#REF!"/>
  </r>
  <r>
    <s v="401000"/>
    <x v="6"/>
    <s v="FOURNISSEURS"/>
    <s v="OD"/>
    <n v="-2700"/>
    <d v="2025-05-26T00:00:00"/>
    <s v="Liaison inter-établissement"/>
    <m/>
    <s v="Non"/>
    <e v="#N/A"/>
    <n v="74117"/>
    <m/>
    <s v="AXE GESCOM"/>
    <s v="Q2"/>
    <e v="#REF!"/>
    <e v="#REF!"/>
    <e v="#REF!"/>
  </r>
  <r>
    <s v="401000"/>
    <x v="6"/>
    <s v="FOURNISSEURS"/>
    <s v="OD"/>
    <n v="-2700"/>
    <d v="2025-08-28T00:00:00"/>
    <s v="Liaison inter-établissement"/>
    <m/>
    <s v="Non"/>
    <e v="#N/A"/>
    <n v="82140"/>
    <m/>
    <s v="AXE GESCOM"/>
    <s v="Q3"/>
    <e v="#REF!"/>
    <e v="#REF!"/>
    <e v="#REF!"/>
  </r>
  <r>
    <s v="401000"/>
    <x v="6"/>
    <s v="FOURNISSEURS"/>
    <s v="OD"/>
    <n v="-2700"/>
    <d v="2025-11-28T00:00:00"/>
    <s v="Liaison inter-établissement"/>
    <m/>
    <s v="Non"/>
    <e v="#N/A"/>
    <n v="91284"/>
    <m/>
    <s v="AXE GESCOM"/>
    <s v="Q4"/>
    <e v="#REF!"/>
    <e v="#REF!"/>
    <e v="#REF!"/>
  </r>
  <r>
    <s v="401000"/>
    <x v="6"/>
    <s v="FOURNISSEURS"/>
    <s v="OD"/>
    <n v="-2684.62"/>
    <d v="2025-10-31T00:00:00"/>
    <s v="Liaison établissement 401000 CLOUP TO"/>
    <m/>
    <e v="#N/A"/>
    <e v="#N/A"/>
    <n v="87542"/>
    <s v="0189108"/>
    <s v="CLOUP"/>
    <s v="Q4"/>
    <e v="#REF!"/>
    <e v="#REF!"/>
    <e v="#REF!"/>
  </r>
  <r>
    <s v="401000"/>
    <x v="6"/>
    <s v="FOURNISSEURS"/>
    <s v="OD"/>
    <n v="-2657.84"/>
    <d v="2025-02-15T00:00:00"/>
    <s v="Liaison inter-établissement"/>
    <m/>
    <s v="Non"/>
    <e v="#N/A"/>
    <n v="64290"/>
    <m/>
    <s v="DIVERS"/>
    <s v="Q1"/>
    <e v="#REF!"/>
    <e v="#REF!"/>
    <e v="#REF!"/>
  </r>
  <r>
    <s v="401000"/>
    <x v="6"/>
    <s v="FOURNISSEURS"/>
    <s v="OD"/>
    <n v="-2628"/>
    <d v="2025-03-19T00:00:00"/>
    <s v="Liaison inter-établissement"/>
    <m/>
    <s v="Non"/>
    <n v="0"/>
    <n v="64402"/>
    <m/>
    <s v="CEGOS"/>
    <s v="Q1"/>
    <e v="#REF!"/>
    <e v="#REF!"/>
    <e v="#REF!"/>
  </r>
  <r>
    <s v="401000"/>
    <x v="6"/>
    <s v="FOURNISSEURS"/>
    <s v="OD"/>
    <n v="-2590"/>
    <d v="2025-07-09T00:00:00"/>
    <s v="Liaison établissement 401000 BIOTIKA TO"/>
    <s v="Non"/>
    <e v="#N/A"/>
    <e v="#N/A"/>
    <n v="77207"/>
    <s v="TRANSPORTATION COSTS"/>
    <s v="BIOTIKA"/>
    <s v="Q3"/>
    <e v="#REF!"/>
    <e v="#REF!"/>
    <e v="#REF!"/>
  </r>
  <r>
    <s v="401000"/>
    <x v="6"/>
    <s v="FOURNISSEURS"/>
    <s v="OD"/>
    <n v="-2560.1"/>
    <d v="2025-09-03T00:00:00"/>
    <s v="Liaison inter-établissement"/>
    <m/>
    <e v="#N/A"/>
    <e v="#N/A"/>
    <n v="87482"/>
    <m/>
    <s v="DENIOS"/>
    <s v="Q3"/>
    <e v="#REF!"/>
    <e v="#REF!"/>
    <e v="#REF!"/>
  </r>
  <r>
    <s v="401000"/>
    <x v="6"/>
    <s v="FOURNISSEURS"/>
    <s v="OD"/>
    <n v="-2472"/>
    <d v="2025-01-30T00:00:00"/>
    <s v="Liaison inter-établissement"/>
    <m/>
    <e v="#N/A"/>
    <e v="#N/A"/>
    <n v="63878"/>
    <m/>
    <s v="SMTS"/>
    <s v="Q1"/>
    <e v="#REF!"/>
    <e v="#REF!"/>
    <e v="#REF!"/>
  </r>
  <r>
    <s v="401000"/>
    <x v="6"/>
    <s v="FOURNISSEURS"/>
    <s v="OD"/>
    <n v="-2450.7399999999998"/>
    <d v="2025-03-26T00:00:00"/>
    <s v="Liaison inter-établissement"/>
    <m/>
    <e v="#N/A"/>
    <e v="#N/A"/>
    <n v="68001"/>
    <m/>
    <s v="DENIOS"/>
    <s v="Q1"/>
    <e v="#REF!"/>
    <e v="#REF!"/>
    <e v="#REF!"/>
  </r>
  <r>
    <s v="401000"/>
    <x v="6"/>
    <s v="FOURNISSEURS"/>
    <s v="OD"/>
    <n v="-2412.63"/>
    <d v="2025-07-01T00:00:00"/>
    <s v="Liaison inter-établissement"/>
    <s v="Non"/>
    <s v="Non"/>
    <e v="#N/A"/>
    <n v="76957"/>
    <m/>
    <s v="NEIL BELL"/>
    <s v="Q3"/>
    <e v="#REF!"/>
    <e v="#REF!"/>
    <e v="#REF!"/>
  </r>
  <r>
    <s v="401000"/>
    <x v="6"/>
    <s v="FOURNISSEURS"/>
    <s v="OD"/>
    <n v="-2408.88"/>
    <d v="2025-07-18T00:00:00"/>
    <s v="Liaison établissement 401000 NEILB TO"/>
    <s v="Non"/>
    <s v="Non"/>
    <e v="#N/A"/>
    <n v="78324"/>
    <s v="MONTHLY CONSULTANCE SERVICES 2025_03"/>
    <s v="NEIL BELL"/>
    <s v="Q3"/>
    <e v="#REF!"/>
    <e v="#REF!"/>
    <e v="#REF!"/>
  </r>
  <r>
    <s v="401000"/>
    <x v="6"/>
    <s v="FOURNISSEURS"/>
    <s v="OD"/>
    <n v="-2402.54"/>
    <d v="2025-04-02T00:00:00"/>
    <s v="Liaison inter-établissement"/>
    <s v="Non"/>
    <s v="Non"/>
    <e v="#N/A"/>
    <n v="76933"/>
    <m/>
    <s v="NEIL BELL"/>
    <s v="Q2"/>
    <e v="#REF!"/>
    <e v="#REF!"/>
    <e v="#REF!"/>
  </r>
  <r>
    <s v="401000"/>
    <x v="6"/>
    <s v="FOURNISSEURS"/>
    <s v="OD"/>
    <n v="-2402.54"/>
    <d v="2025-04-02T00:00:00"/>
    <s v="Liaison inter-établissement"/>
    <s v="Non"/>
    <s v="Non"/>
    <e v="#N/A"/>
    <n v="76937"/>
    <m/>
    <s v="NEIL BELL"/>
    <s v="Q2"/>
    <e v="#REF!"/>
    <e v="#REF!"/>
    <e v="#REF!"/>
  </r>
  <r>
    <s v="401000"/>
    <x v="6"/>
    <s v="FOURNISSEURS"/>
    <s v="OD"/>
    <n v="-2402.54"/>
    <d v="2025-04-02T00:00:00"/>
    <s v="Liaison inter-établissement"/>
    <s v="Non"/>
    <s v="Non"/>
    <e v="#N/A"/>
    <n v="76941"/>
    <m/>
    <s v="NEIL BELL"/>
    <s v="Q2"/>
    <e v="#REF!"/>
    <e v="#REF!"/>
    <e v="#REF!"/>
  </r>
  <r>
    <s v="401000"/>
    <x v="6"/>
    <s v="FOURNISSEURS"/>
    <s v="OD"/>
    <n v="-2400"/>
    <d v="2025-04-18T00:00:00"/>
    <s v="Liaison établissement 401000 BUSINOVE TO"/>
    <s v="Non"/>
    <s v="Non"/>
    <e v="#N/A"/>
    <n v="68150"/>
    <s v="Invoice Payment by Pili"/>
    <s v="BUSINOVE"/>
    <s v="Q2"/>
    <e v="#REF!"/>
    <e v="#REF!"/>
    <e v="#REF!"/>
  </r>
  <r>
    <s v="401000"/>
    <x v="6"/>
    <s v="FOURNISSEURS"/>
    <s v="OD"/>
    <n v="-2350.5"/>
    <d v="2025-03-06T00:00:00"/>
    <s v="Liaison inter-établissement"/>
    <m/>
    <e v="#N/A"/>
    <e v="#N/A"/>
    <n v="69966"/>
    <m/>
    <s v="Eurofins BLC Leather Technology Centre Limited"/>
    <s v="Q1"/>
    <e v="#REF!"/>
    <e v="#REF!"/>
    <e v="#REF!"/>
  </r>
  <r>
    <s v="401000"/>
    <x v="6"/>
    <s v="FOURNISSEURS"/>
    <s v="OD"/>
    <n v="-2340"/>
    <d v="2025-01-18T00:00:00"/>
    <s v="Liaison inter-établissement"/>
    <m/>
    <e v="#N/A"/>
    <e v="#N/A"/>
    <n v="70107"/>
    <m/>
    <s v="CIAMT"/>
    <s v="Q1"/>
    <e v="#REF!"/>
    <e v="#REF!"/>
    <e v="#REF!"/>
  </r>
  <r>
    <s v="401000"/>
    <x v="6"/>
    <s v="FOURNISSEURS"/>
    <s v="OD"/>
    <n v="-2335.12"/>
    <d v="2025-12-30T00:00:00"/>
    <s v="Liaison établissement 401000 CLOUP TO"/>
    <m/>
    <e v="#N/A"/>
    <e v="#N/A"/>
    <n v="93798"/>
    <s v="0190171"/>
    <s v="CLOUP"/>
    <s v="Q4"/>
    <e v="#REF!"/>
    <e v="#REF!"/>
    <e v="#REF!"/>
  </r>
  <r>
    <s v="401000"/>
    <x v="6"/>
    <s v="FOURNISSEURS"/>
    <s v="OD"/>
    <n v="-2328"/>
    <d v="2025-12-05T00:00:00"/>
    <s v="Liaison établissement 401000 HIPOLITO TO"/>
    <m/>
    <e v="#N/A"/>
    <e v="#N/A"/>
    <n v="91367"/>
    <s v="2025/156"/>
    <s v="HIPOLITO"/>
    <s v="Q4"/>
    <e v="#REF!"/>
    <e v="#REF!"/>
    <e v="#REF!"/>
  </r>
  <r>
    <s v="401000"/>
    <x v="6"/>
    <s v="FOURNISSEURS"/>
    <s v="OD"/>
    <n v="-2326.1999999999998"/>
    <d v="2025-07-31T00:00:00"/>
    <s v="Liaison établissement 401000 RIBIERE TO"/>
    <m/>
    <e v="#N/A"/>
    <e v="#N/A"/>
    <n v="79293"/>
    <s v="DEMO : SÉCURISATION ZONE DÉMONSTRATEUR : - FONDATION POTEAUX EXISTANTS - TERRASSEMENT"/>
    <s v="RIBIERE"/>
    <s v="Q3"/>
    <e v="#REF!"/>
    <e v="#REF!"/>
    <e v="#REF!"/>
  </r>
  <r>
    <s v="401000"/>
    <x v="6"/>
    <s v="FOURNISSEURS"/>
    <s v="OD"/>
    <n v="-2320"/>
    <d v="2025-06-30T00:00:00"/>
    <s v="Liaison établissement 401000 DOTMATICS TO"/>
    <s v="Non"/>
    <e v="#N/A"/>
    <e v="#N/A"/>
    <n v="76889"/>
    <s v="LICENCES DOTMATICS 2026 - 2 ADDITIONAL CHEMISTRY"/>
    <s v="DOTMATICS LIMITED"/>
    <s v="Q2"/>
    <e v="#REF!"/>
    <e v="#REF!"/>
    <e v="#REF!"/>
  </r>
  <r>
    <s v="401000"/>
    <x v="6"/>
    <s v="FOURNISSEURS"/>
    <s v="OD"/>
    <n v="-2310.9899999999998"/>
    <d v="2025-08-18T00:00:00"/>
    <s v="Liaison établissement 401000 NEILB TO"/>
    <s v="Non"/>
    <s v="Non"/>
    <e v="#N/A"/>
    <n v="81180"/>
    <s v="MONTHLY CONSULTANCY SERVICES 2025_04"/>
    <s v="NEIL BELL"/>
    <s v="Q3"/>
    <e v="#REF!"/>
    <e v="#REF!"/>
    <e v="#REF!"/>
  </r>
  <r>
    <s v="401000"/>
    <x v="6"/>
    <s v="FOURNISSEURS"/>
    <s v="OD"/>
    <n v="-2308.36"/>
    <d v="2025-08-21T00:00:00"/>
    <s v="Liaison établissement 401000 CJLAB TO"/>
    <m/>
    <e v="#N/A"/>
    <e v="#N/A"/>
    <n v="81469"/>
    <s v="INTERVENTION SUR HPLC ROUSSILLON"/>
    <s v="C.J. LAB"/>
    <s v="Q3"/>
    <e v="#REF!"/>
    <e v="#REF!"/>
    <e v="#REF!"/>
  </r>
  <r>
    <s v="401000"/>
    <x v="6"/>
    <s v="FOURNISSEURS"/>
    <s v="OD"/>
    <n v="-2250"/>
    <d v="2025-07-31T00:00:00"/>
    <s v="Liaison établissement 401000 CHARRIERE TO"/>
    <s v="Non"/>
    <s v="Non"/>
    <e v="#N/A"/>
    <n v="79263"/>
    <s v="PRESTATION CONSEIL DISTRIBUTION E. CHARRIERE"/>
    <s v="CHARRIERE Eugenie"/>
    <s v="Q3"/>
    <e v="#REF!"/>
    <e v="#REF!"/>
    <e v="#REF!"/>
  </r>
  <r>
    <s v="401000"/>
    <x v="6"/>
    <s v="FOURNISSEURS"/>
    <s v="OD"/>
    <n v="-2232.13"/>
    <d v="2025-01-15T00:00:00"/>
    <s v="Liaison inter-établissement"/>
    <m/>
    <e v="#N/A"/>
    <e v="#N/A"/>
    <n v="63684"/>
    <m/>
    <s v="COTE"/>
    <s v="Q1"/>
    <e v="#REF!"/>
    <e v="#REF!"/>
    <e v="#REF!"/>
  </r>
  <r>
    <s v="401000"/>
    <x v="6"/>
    <s v="FOURNISSEURS"/>
    <s v="OD"/>
    <n v="-2220"/>
    <d v="2025-09-22T00:00:00"/>
    <s v="Liaison établissement 401000 PIGNAT TO"/>
    <m/>
    <e v="#N/A"/>
    <e v="#N/A"/>
    <n v="82458"/>
    <s v="FACTURE 0017360"/>
    <s v="PIGNAT"/>
    <s v="Q3"/>
    <e v="#REF!"/>
    <e v="#REF!"/>
    <e v="#REF!"/>
  </r>
  <r>
    <s v="401000"/>
    <x v="6"/>
    <s v="FOURNISSEURS"/>
    <s v="OD"/>
    <n v="-2214"/>
    <d v="2025-03-14T00:00:00"/>
    <s v="Liaison inter-établissement"/>
    <m/>
    <e v="#N/A"/>
    <e v="#N/A"/>
    <n v="68053"/>
    <m/>
    <s v="ARCANE INDUSTRIE"/>
    <s v="Q1"/>
    <e v="#REF!"/>
    <e v="#REF!"/>
    <e v="#REF!"/>
  </r>
  <r>
    <s v="401000"/>
    <x v="6"/>
    <s v="FOURNISSEURS"/>
    <s v="OD"/>
    <n v="-2191.1999999999998"/>
    <d v="2025-03-14T00:00:00"/>
    <s v="Liaison inter-établissement"/>
    <m/>
    <e v="#N/A"/>
    <e v="#N/A"/>
    <n v="68005"/>
    <m/>
    <s v="LE CURIEUX PROMOTION"/>
    <s v="Q1"/>
    <e v="#REF!"/>
    <e v="#REF!"/>
    <e v="#REF!"/>
  </r>
  <r>
    <s v="401000"/>
    <x v="6"/>
    <s v="FOURNISSEURS"/>
    <s v="OD"/>
    <n v="-2175.37"/>
    <d v="2025-08-21T00:00:00"/>
    <s v="Liaison inter-établissement"/>
    <s v="Non"/>
    <s v="Non"/>
    <e v="#N/A"/>
    <n v="81723"/>
    <m/>
    <s v="NEIL BELL"/>
    <s v="Q3"/>
    <e v="#REF!"/>
    <e v="#REF!"/>
    <e v="#REF!"/>
  </r>
  <r>
    <s v="401000"/>
    <x v="6"/>
    <s v="FOURNISSEURS"/>
    <s v="OD"/>
    <n v="-2160"/>
    <d v="2025-06-02T00:00:00"/>
    <s v="Liaison établissement 401000 COFICIEL TO"/>
    <m/>
    <e v="#N/A"/>
    <e v="#N/A"/>
    <n v="75250"/>
    <s v="Invoice Payment By Pili"/>
    <s v="COFICIEL"/>
    <s v="Q2"/>
    <e v="#REF!"/>
    <e v="#REF!"/>
    <e v="#REF!"/>
  </r>
  <r>
    <s v="401000"/>
    <x v="6"/>
    <s v="FOURNISSEURS"/>
    <s v="OD"/>
    <n v="-2142.5"/>
    <d v="2025-03-07T00:00:00"/>
    <s v="Liaison inter-établissement"/>
    <s v="Non"/>
    <e v="#N/A"/>
    <e v="#N/A"/>
    <n v="63942"/>
    <m/>
    <s v="ZDHC Gateway B.V."/>
    <s v="Q1"/>
    <e v="#REF!"/>
    <e v="#REF!"/>
    <e v="#REF!"/>
  </r>
  <r>
    <s v="401000"/>
    <x v="6"/>
    <s v="FOURNISSEURS"/>
    <s v="OD"/>
    <n v="-2106.7600000000002"/>
    <d v="2025-09-12T00:00:00"/>
    <s v="Liaison établissement 401000 ARESCOM TO"/>
    <m/>
    <e v="#N/A"/>
    <e v="#N/A"/>
    <n v="81988"/>
    <s v="LICENCES OFFICE 365"/>
    <s v="ARESCOM"/>
    <s v="Q3"/>
    <e v="#REF!"/>
    <e v="#REF!"/>
    <e v="#REF!"/>
  </r>
  <r>
    <s v="401000"/>
    <x v="6"/>
    <s v="FOURNISSEURS"/>
    <s v="OD"/>
    <n v="-2062.67"/>
    <d v="2025-04-29T00:00:00"/>
    <s v="Liaison établissement 401000 COTE TO"/>
    <m/>
    <e v="#N/A"/>
    <e v="#N/A"/>
    <n v="70490"/>
    <s v="Invocie Payment by Pili"/>
    <s v="COTE"/>
    <s v="Q2"/>
    <e v="#REF!"/>
    <e v="#REF!"/>
    <e v="#REF!"/>
  </r>
  <r>
    <s v="401000"/>
    <x v="6"/>
    <s v="FOURNISSEURS"/>
    <s v="OD"/>
    <n v="-2054.6999999999998"/>
    <d v="2025-01-31T00:00:00"/>
    <s v="Liaison inter-établissement"/>
    <s v="Non"/>
    <s v="Non"/>
    <e v="#N/A"/>
    <n v="63792"/>
    <m/>
    <s v="OSIRIS"/>
    <s v="Q1"/>
    <e v="#REF!"/>
    <e v="#REF!"/>
    <e v="#REF!"/>
  </r>
  <r>
    <s v="401000"/>
    <x v="6"/>
    <s v="FOURNISSEURS"/>
    <s v="OD"/>
    <n v="-2052"/>
    <d v="2025-12-30T00:00:00"/>
    <s v="Liaison établissement 401000 EIFFAGE ENERGIE SYSTEMES TO"/>
    <m/>
    <e v="#N/A"/>
    <e v="#N/A"/>
    <n v="93793"/>
    <s v="F00034250900143"/>
    <s v="EIFFAGE ENERGIE SYSTEMES"/>
    <s v="Q4"/>
    <e v="#REF!"/>
    <e v="#REF!"/>
    <e v="#REF!"/>
  </r>
  <r>
    <s v="401000"/>
    <x v="6"/>
    <s v="FOURNISSEURS"/>
    <s v="OD"/>
    <n v="-2034.4"/>
    <d v="2025-01-30T00:00:00"/>
    <s v="Liaison inter-établissement"/>
    <m/>
    <e v="#N/A"/>
    <e v="#N/A"/>
    <n v="63728"/>
    <m/>
    <s v="FISHER SCIENTIFIC"/>
    <s v="Q1"/>
    <e v="#REF!"/>
    <e v="#REF!"/>
    <e v="#REF!"/>
  </r>
  <r>
    <s v="401000"/>
    <x v="6"/>
    <s v="FOURNISSEURS"/>
    <s v="OD"/>
    <n v="-2000"/>
    <d v="2025-08-08T00:00:00"/>
    <s v="Liaison établissement 401000 WATIER TO"/>
    <s v="Non"/>
    <s v="Non"/>
    <e v="#N/A"/>
    <n v="80737"/>
    <s v="REVUE DE LITT SCIENTIFIQUE INDIGO ET COLORANTS/PIGMENTS"/>
    <s v="WATIER Marie"/>
    <s v="Q3"/>
    <e v="#REF!"/>
    <e v="#REF!"/>
    <e v="#REF!"/>
  </r>
  <r>
    <s v="401000"/>
    <x v="6"/>
    <s v="FOURNISSEURS"/>
    <s v="OD"/>
    <n v="-2000"/>
    <d v="2025-09-22T00:00:00"/>
    <s v="Liaison établissement 401000 BIOTIKA TO"/>
    <s v="Non"/>
    <e v="#N/A"/>
    <e v="#N/A"/>
    <n v="82378"/>
    <s v="PHOENIX VBIO - ESSAI DECANTEUR - CENTRIGUGE / MARINER"/>
    <s v="BIOTIKA"/>
    <s v="Q3"/>
    <e v="#REF!"/>
    <e v="#REF!"/>
    <e v="#REF!"/>
  </r>
  <r>
    <s v="401000"/>
    <x v="6"/>
    <s v="FOURNISSEURS"/>
    <s v="OD"/>
    <n v="-1981.1"/>
    <d v="2025-09-26T00:00:00"/>
    <s v="Liaison établissement 401000 ARESCOM TO"/>
    <m/>
    <e v="#N/A"/>
    <e v="#N/A"/>
    <n v="82480"/>
    <s v="INVOICE PAYMENT BY PILI"/>
    <s v="ARESCOM"/>
    <s v="Q3"/>
    <e v="#REF!"/>
    <e v="#REF!"/>
    <e v="#REF!"/>
  </r>
  <r>
    <s v="401000"/>
    <x v="6"/>
    <s v="FOURNISSEURS"/>
    <s v="OD"/>
    <n v="-1981.1"/>
    <d v="2025-11-04T00:00:00"/>
    <s v="Liaison établissement 401000 ARESCOM TO"/>
    <m/>
    <e v="#N/A"/>
    <e v="#N/A"/>
    <n v="88055"/>
    <s v="LICENCES OFFICE 365"/>
    <s v="ARESCOM"/>
    <s v="Q4"/>
    <e v="#REF!"/>
    <e v="#REF!"/>
    <e v="#REF!"/>
  </r>
  <r>
    <s v="401000"/>
    <x v="6"/>
    <s v="FOURNISSEURS"/>
    <s v="OD"/>
    <n v="-1981.1"/>
    <d v="2025-11-28T00:00:00"/>
    <s v="Liaison établissement 401000 ARESCOM TO"/>
    <m/>
    <e v="#N/A"/>
    <e v="#N/A"/>
    <n v="91229"/>
    <s v="145166"/>
    <s v="ARESCOM"/>
    <s v="Q4"/>
    <e v="#REF!"/>
    <e v="#REF!"/>
    <e v="#REF!"/>
  </r>
  <r>
    <s v="401000"/>
    <x v="6"/>
    <s v="FOURNISSEURS"/>
    <s v="OD"/>
    <n v="-1981.1"/>
    <d v="2025-12-30T00:00:00"/>
    <s v="Liaison établissement 401000 ARESCOM TO"/>
    <m/>
    <e v="#N/A"/>
    <e v="#N/A"/>
    <n v="93803"/>
    <s v="145679"/>
    <s v="ARESCOM"/>
    <s v="Q4"/>
    <e v="#REF!"/>
    <e v="#REF!"/>
    <e v="#REF!"/>
  </r>
  <r>
    <s v="401000"/>
    <x v="6"/>
    <s v="FOURNISSEURS"/>
    <s v="OD"/>
    <n v="-1969.73"/>
    <d v="2025-03-28T00:00:00"/>
    <s v="Liaison établissement 401000 COFICIEL TO"/>
    <m/>
    <e v="#N/A"/>
    <e v="#N/A"/>
    <n v="65023"/>
    <s v="Invoice Payment by Pili"/>
    <s v="COFICIEL"/>
    <s v="Q1"/>
    <e v="#REF!"/>
    <e v="#REF!"/>
    <e v="#REF!"/>
  </r>
  <r>
    <s v="401000"/>
    <x v="6"/>
    <s v="FOURNISSEURS"/>
    <s v="OD"/>
    <n v="-1957.16"/>
    <d v="2025-03-18T00:00:00"/>
    <s v="Liaison inter-établissement"/>
    <m/>
    <e v="#N/A"/>
    <e v="#N/A"/>
    <n v="72763"/>
    <m/>
    <s v="ENGIE"/>
    <s v="Q1"/>
    <e v="#REF!"/>
    <e v="#REF!"/>
    <e v="#REF!"/>
  </r>
  <r>
    <s v="401000"/>
    <x v="6"/>
    <s v="FOURNISSEURS"/>
    <s v="OD"/>
    <n v="-1946.6"/>
    <d v="2025-06-04T00:00:00"/>
    <s v="Liaison inter-établissement"/>
    <m/>
    <e v="#N/A"/>
    <e v="#N/A"/>
    <n v="81975"/>
    <m/>
    <s v="INITIATIVE &amp; RISK PARTNERS"/>
    <s v="Q2"/>
    <e v="#REF!"/>
    <e v="#REF!"/>
    <e v="#REF!"/>
  </r>
  <r>
    <s v="401000"/>
    <x v="6"/>
    <s v="FOURNISSEURS"/>
    <s v="OD"/>
    <n v="-1945.3"/>
    <d v="2025-05-23T00:00:00"/>
    <s v="Liaison établissement 401000 ALTAIR TO"/>
    <s v="Non"/>
    <s v="Non"/>
    <e v="#N/A"/>
    <n v="74044"/>
    <s v="Invoice payment by Pili"/>
    <s v="ALTAIR AVOCATS"/>
    <s v="Q2"/>
    <e v="#REF!"/>
    <e v="#REF!"/>
    <e v="#REF!"/>
  </r>
  <r>
    <s v="401000"/>
    <x v="6"/>
    <s v="FOURNISSEURS"/>
    <s v="OD"/>
    <n v="-1840"/>
    <d v="2025-07-09T00:00:00"/>
    <s v="Liaison établissement 401000 BIOTIKA TO"/>
    <s v="Non"/>
    <e v="#N/A"/>
    <e v="#N/A"/>
    <n v="77197"/>
    <s v="TRANSPORT OF MATERIAL TO ALFA  LAVAL ITALY (MEDICAL LOGISTICS),"/>
    <s v="BIOTIKA"/>
    <s v="Q3"/>
    <e v="#REF!"/>
    <e v="#REF!"/>
    <e v="#REF!"/>
  </r>
  <r>
    <s v="401000"/>
    <x v="6"/>
    <s v="FOURNISSEURS"/>
    <s v="OD"/>
    <n v="-1828.97"/>
    <d v="2025-06-02T00:00:00"/>
    <s v="Liaison établissement 401000 ARESCOM TO"/>
    <m/>
    <e v="#N/A"/>
    <e v="#N/A"/>
    <n v="75229"/>
    <s v="Invoice Payment By Pili"/>
    <s v="ARESCOM"/>
    <s v="Q2"/>
    <e v="#REF!"/>
    <e v="#REF!"/>
    <e v="#REF!"/>
  </r>
  <r>
    <s v="401000"/>
    <x v="6"/>
    <s v="FOURNISSEURS"/>
    <s v="OD"/>
    <n v="-1827.78"/>
    <d v="2025-05-22T00:00:00"/>
    <s v="Perte sur liquidiation Heidolph"/>
    <m/>
    <e v="#N/A"/>
    <e v="#N/A"/>
    <n v="73922"/>
    <m/>
    <s v="HEIDOLPH"/>
    <s v="Q2"/>
    <e v="#REF!"/>
    <e v="#REF!"/>
    <e v="#REF!"/>
  </r>
  <r>
    <s v="401000"/>
    <x v="6"/>
    <s v="FOURNISSEURS"/>
    <s v="OD"/>
    <n v="-1825.81"/>
    <d v="2025-08-21T00:00:00"/>
    <s v="Liaison établissement 401000 ACI TO"/>
    <m/>
    <e v="#N/A"/>
    <e v="#N/A"/>
    <n v="81464"/>
    <s v="R1000 - VANNE À BOISSEAU SPHÉRIQUE KK/F DN40"/>
    <s v="ACI"/>
    <s v="Q3"/>
    <e v="#REF!"/>
    <e v="#REF!"/>
    <e v="#REF!"/>
  </r>
  <r>
    <s v="401000"/>
    <x v="6"/>
    <s v="FOURNISSEURS"/>
    <s v="OD"/>
    <n v="-1812"/>
    <d v="2025-05-12T00:00:00"/>
    <s v="Liaison établissement 401000 AIGP TO"/>
    <m/>
    <e v="#N/A"/>
    <e v="#N/A"/>
    <n v="71754"/>
    <s v="GESTION DE PROJET SÉCURISATION BÂTIMENT DÉMO"/>
    <s v="AIGP INGENIERIE"/>
    <s v="Q2"/>
    <e v="#REF!"/>
    <e v="#REF!"/>
    <e v="#REF!"/>
  </r>
  <r>
    <s v="401000"/>
    <x v="6"/>
    <s v="FOURNISSEURS"/>
    <s v="OD"/>
    <n v="-1812"/>
    <d v="2025-06-16T00:00:00"/>
    <s v="Liaison établissement 401000 AIGP TO"/>
    <m/>
    <e v="#N/A"/>
    <e v="#N/A"/>
    <n v="76032"/>
    <s v="GESTION DE PROJET SÉCURISATION BÂTIMENT DÉMO"/>
    <s v="AIGP INGENIERIE"/>
    <s v="Q2"/>
    <e v="#REF!"/>
    <e v="#REF!"/>
    <e v="#REF!"/>
  </r>
  <r>
    <s v="401000"/>
    <x v="6"/>
    <s v="FOURNISSEURS"/>
    <s v="OD"/>
    <n v="-1804.04"/>
    <d v="2025-06-04T00:00:00"/>
    <s v="Liaison établissement 401000 ARESCOM TO"/>
    <m/>
    <e v="#N/A"/>
    <e v="#N/A"/>
    <n v="75504"/>
    <s v="Invoice payment by Pili"/>
    <s v="ARESCOM"/>
    <s v="Q2"/>
    <e v="#REF!"/>
    <e v="#REF!"/>
    <e v="#REF!"/>
  </r>
  <r>
    <s v="401000"/>
    <x v="6"/>
    <s v="FOURNISSEURS"/>
    <s v="OD"/>
    <n v="-1804.04"/>
    <d v="2025-08-08T00:00:00"/>
    <s v="Liaison établissement 401000 ARESCOM TO"/>
    <m/>
    <e v="#N/A"/>
    <e v="#N/A"/>
    <n v="80742"/>
    <s v="LICENCES OFFICE 365"/>
    <s v="ARESCOM"/>
    <s v="Q3"/>
    <e v="#REF!"/>
    <e v="#REF!"/>
    <e v="#REF!"/>
  </r>
  <r>
    <s v="401000"/>
    <x v="6"/>
    <s v="FOURNISSEURS"/>
    <s v="OD"/>
    <n v="-1800"/>
    <d v="2025-02-28T00:00:00"/>
    <s v="Liaison inter-établissement"/>
    <s v="Non"/>
    <s v="Non"/>
    <e v="#N/A"/>
    <n v="63600"/>
    <m/>
    <s v="WE ARE BOLD"/>
    <s v="Q1"/>
    <e v="#REF!"/>
    <e v="#REF!"/>
    <e v="#REF!"/>
  </r>
  <r>
    <s v="401000"/>
    <x v="6"/>
    <s v="FOURNISSEURS"/>
    <s v="OD"/>
    <n v="-1800"/>
    <d v="2025-03-19T00:00:00"/>
    <s v="Liaison inter-établissement"/>
    <s v="Non"/>
    <s v="Non"/>
    <e v="#N/A"/>
    <n v="63592"/>
    <m/>
    <s v="WE ARE BOLD"/>
    <s v="Q1"/>
    <e v="#REF!"/>
    <e v="#REF!"/>
    <e v="#REF!"/>
  </r>
  <r>
    <s v="401000"/>
    <x v="6"/>
    <s v="FOURNISSEURS"/>
    <s v="OD"/>
    <n v="-1800"/>
    <d v="2025-06-04T00:00:00"/>
    <s v="Liaison établissement 401000 MAGELAN TO"/>
    <s v="Non"/>
    <s v="Non"/>
    <e v="#N/A"/>
    <n v="75529"/>
    <s v="Invoice payment by Pili"/>
    <s v="MAGELAN"/>
    <s v="Q2"/>
    <e v="#REF!"/>
    <e v="#REF!"/>
    <e v="#REF!"/>
  </r>
  <r>
    <s v="401000"/>
    <x v="6"/>
    <s v="FOURNISSEURS"/>
    <s v="OD"/>
    <n v="-1766.65"/>
    <d v="2025-04-02T00:00:00"/>
    <s v="Liaison établissement 401000 CHIMIREC TO"/>
    <m/>
    <s v="Non"/>
    <n v="0"/>
    <n v="66484"/>
    <s v="Invoice Payment by Pili"/>
    <s v="CHIMIREC CENTRE EST"/>
    <s v="Q2"/>
    <e v="#REF!"/>
    <e v="#REF!"/>
    <e v="#REF!"/>
  </r>
  <r>
    <s v="401000"/>
    <x v="6"/>
    <s v="FOURNISSEURS"/>
    <s v="OD"/>
    <n v="-1761.79"/>
    <d v="2025-09-08T00:00:00"/>
    <s v="Liaison établissement 401000 NOVA TO"/>
    <m/>
    <e v="#N/A"/>
    <e v="#N/A"/>
    <n v="81737"/>
    <s v="TICKET CONFÉRENCE RMC GBW"/>
    <s v="NOVA-INSTITUT"/>
    <s v="Q3"/>
    <e v="#REF!"/>
    <e v="#REF!"/>
    <e v="#REF!"/>
  </r>
  <r>
    <s v="401000"/>
    <x v="6"/>
    <s v="FOURNISSEURS"/>
    <s v="OD"/>
    <n v="-1751.48"/>
    <d v="2025-04-08T00:00:00"/>
    <s v="Liaison inter-établissement"/>
    <m/>
    <e v="#N/A"/>
    <e v="#N/A"/>
    <n v="69914"/>
    <m/>
    <s v="ARESCOM"/>
    <s v="Q2"/>
    <e v="#REF!"/>
    <e v="#REF!"/>
    <e v="#REF!"/>
  </r>
  <r>
    <s v="401000"/>
    <x v="6"/>
    <s v="FOURNISSEURS"/>
    <s v="OD"/>
    <n v="-1730.3"/>
    <d v="2025-08-21T00:00:00"/>
    <s v="Liaison établissement 401000 ALTAIR TO"/>
    <s v="Non"/>
    <s v="Non"/>
    <e v="#N/A"/>
    <n v="81368"/>
    <s v="HONORAIRES DE PROGRESSION SUR LA PÉRIODE DU 1ER AU 31 MAI 2025"/>
    <s v="ALTAIR AVOCATS"/>
    <s v="Q3"/>
    <e v="#REF!"/>
    <e v="#REF!"/>
    <e v="#REF!"/>
  </r>
  <r>
    <s v="401000"/>
    <x v="6"/>
    <s v="FOURNISSEURS"/>
    <s v="OD"/>
    <n v="-1679.02"/>
    <d v="2025-12-16T00:00:00"/>
    <s v="Liaison inter-établissement"/>
    <m/>
    <e v="#N/A"/>
    <e v="#N/A"/>
    <n v="92240"/>
    <m/>
    <s v="ENGIE"/>
    <s v="Q4"/>
    <e v="#REF!"/>
    <e v="#REF!"/>
    <e v="#REF!"/>
  </r>
  <r>
    <s v="401000"/>
    <x v="6"/>
    <s v="FOURNISSEURS"/>
    <s v="OD"/>
    <n v="-1670.24"/>
    <d v="2025-03-21T00:00:00"/>
    <s v="Liaison inter-établissement"/>
    <m/>
    <s v="Non"/>
    <n v="0"/>
    <n v="67989"/>
    <m/>
    <s v="SERVICE ACTION SANTE"/>
    <s v="Q1"/>
    <e v="#REF!"/>
    <e v="#REF!"/>
    <e v="#REF!"/>
  </r>
  <r>
    <s v="401000"/>
    <x v="6"/>
    <s v="FOURNISSEURS"/>
    <s v="OD"/>
    <n v="-1657.05"/>
    <d v="2025-02-18T00:00:00"/>
    <s v="Liaison inter-établissement"/>
    <m/>
    <e v="#N/A"/>
    <e v="#N/A"/>
    <n v="63548"/>
    <m/>
    <s v="ARESCOM"/>
    <s v="Q1"/>
    <e v="#REF!"/>
    <e v="#REF!"/>
    <e v="#REF!"/>
  </r>
  <r>
    <s v="401000"/>
    <x v="6"/>
    <s v="FOURNISSEURS"/>
    <s v="OD"/>
    <n v="-1652.96"/>
    <d v="2025-08-21T00:00:00"/>
    <s v="Liaison établissement 401000 BECKER TO"/>
    <s v="Non"/>
    <s v="Oui"/>
    <e v="#N/A"/>
    <n v="81413"/>
    <s v="GESTION DES ANNUITÉS"/>
    <s v="BECKER"/>
    <s v="Q3"/>
    <e v="#REF!"/>
    <e v="#REF!"/>
    <e v="#REF!"/>
  </r>
  <r>
    <s v="401000"/>
    <x v="6"/>
    <s v="FOURNISSEURS"/>
    <s v="OD"/>
    <n v="-1652.73"/>
    <d v="2025-02-18T00:00:00"/>
    <s v="Liaison inter-établissement"/>
    <m/>
    <e v="#N/A"/>
    <e v="#N/A"/>
    <n v="63544"/>
    <m/>
    <s v="ARESCOM"/>
    <s v="Q1"/>
    <e v="#REF!"/>
    <e v="#REF!"/>
    <e v="#REF!"/>
  </r>
  <r>
    <s v="401000"/>
    <x v="6"/>
    <s v="FOURNISSEURS"/>
    <s v="OD"/>
    <n v="-1648.56"/>
    <d v="2025-03-06T00:00:00"/>
    <s v="Liaison inter-établissement"/>
    <m/>
    <e v="#N/A"/>
    <e v="#N/A"/>
    <n v="68061"/>
    <m/>
    <s v="ARESCOM"/>
    <s v="Q1"/>
    <e v="#REF!"/>
    <e v="#REF!"/>
    <e v="#REF!"/>
  </r>
  <r>
    <s v="401000"/>
    <x v="6"/>
    <s v="FOURNISSEURS"/>
    <s v="OD"/>
    <n v="-1648.56"/>
    <d v="2025-04-08T00:00:00"/>
    <s v="Liaison inter-établissement"/>
    <m/>
    <e v="#N/A"/>
    <e v="#N/A"/>
    <n v="69918"/>
    <m/>
    <s v="ARESCOM"/>
    <s v="Q2"/>
    <e v="#REF!"/>
    <e v="#REF!"/>
    <e v="#REF!"/>
  </r>
  <r>
    <s v="401000"/>
    <x v="6"/>
    <s v="FOURNISSEURS"/>
    <s v="OD"/>
    <n v="-1648.56"/>
    <d v="2025-06-02T00:00:00"/>
    <s v="Liaison établissement 401000 ARESCOM TO"/>
    <m/>
    <e v="#N/A"/>
    <e v="#N/A"/>
    <n v="75234"/>
    <s v="Invoice Payment By Pili"/>
    <s v="ARESCOM"/>
    <s v="Q2"/>
    <e v="#REF!"/>
    <e v="#REF!"/>
    <e v="#REF!"/>
  </r>
  <r>
    <s v="401000"/>
    <x v="6"/>
    <s v="FOURNISSEURS"/>
    <s v="OD"/>
    <n v="-1646.72"/>
    <d v="2025-12-30T00:00:00"/>
    <s v="Liaison établissement 401000 ARESCOM TO"/>
    <m/>
    <e v="#N/A"/>
    <e v="#N/A"/>
    <n v="93768"/>
    <s v="145557"/>
    <s v="ARESCOM"/>
    <s v="Q4"/>
    <e v="#REF!"/>
    <e v="#REF!"/>
    <e v="#REF!"/>
  </r>
  <r>
    <s v="401000"/>
    <x v="6"/>
    <s v="FOURNISSEURS"/>
    <s v="OD"/>
    <n v="-1637.52"/>
    <d v="2025-03-06T00:00:00"/>
    <s v="Liaison inter-établissement"/>
    <m/>
    <e v="#N/A"/>
    <e v="#N/A"/>
    <n v="68057"/>
    <m/>
    <s v="ARESCOM"/>
    <s v="Q1"/>
    <e v="#REF!"/>
    <e v="#REF!"/>
    <e v="#REF!"/>
  </r>
  <r>
    <s v="401000"/>
    <x v="6"/>
    <s v="FOURNISSEURS"/>
    <s v="OD"/>
    <n v="-1636.05"/>
    <d v="2025-02-10T00:00:00"/>
    <s v="Liaison inter-établissement"/>
    <m/>
    <e v="#N/A"/>
    <e v="#N/A"/>
    <n v="63540"/>
    <m/>
    <s v="ARESCOM"/>
    <s v="Q1"/>
    <e v="#REF!"/>
    <e v="#REF!"/>
    <e v="#REF!"/>
  </r>
  <r>
    <s v="401000"/>
    <x v="6"/>
    <s v="FOURNISSEURS"/>
    <s v="OD"/>
    <n v="-1632.14"/>
    <d v="2025-02-10T00:00:00"/>
    <s v="Liaison inter-établissement"/>
    <m/>
    <e v="#N/A"/>
    <e v="#N/A"/>
    <n v="63536"/>
    <m/>
    <s v="ARESCOM"/>
    <s v="Q1"/>
    <e v="#REF!"/>
    <e v="#REF!"/>
    <e v="#REF!"/>
  </r>
  <r>
    <s v="401000"/>
    <x v="6"/>
    <s v="FOURNISSEURS"/>
    <s v="OD"/>
    <n v="-1619.08"/>
    <d v="2025-03-21T00:00:00"/>
    <s v="Liaison inter-établissement"/>
    <m/>
    <e v="#N/A"/>
    <e v="#N/A"/>
    <n v="69950"/>
    <m/>
    <s v="AIR FRANCE"/>
    <s v="Q1"/>
    <e v="#REF!"/>
    <e v="#REF!"/>
    <e v="#REF!"/>
  </r>
  <r>
    <s v="401000"/>
    <x v="6"/>
    <s v="FOURNISSEURS"/>
    <s v="OD"/>
    <n v="-1610.66"/>
    <d v="2025-01-31T00:00:00"/>
    <s v="Liaison inter-établissement"/>
    <m/>
    <e v="#N/A"/>
    <e v="#N/A"/>
    <n v="82847"/>
    <m/>
    <s v="Banque Populaire Rive de Paris"/>
    <s v="Q1"/>
    <e v="#REF!"/>
    <e v="#REF!"/>
    <e v="#REF!"/>
  </r>
  <r>
    <s v="401000"/>
    <x v="6"/>
    <s v="FOURNISSEURS"/>
    <s v="OD"/>
    <n v="-1608"/>
    <d v="2025-07-31T00:00:00"/>
    <s v="Liaison établissement 401000 ROUSSELET TO"/>
    <s v="Non"/>
    <e v="#N/A"/>
    <e v="#N/A"/>
    <n v="79384"/>
    <s v="ESSAIS LABORATOIRE ESSOREUSE / DECANTEUSE À BOL POUR SÉPARATION INDIGO ET MOÛT DE FERMENTATION"/>
    <s v="ROUSSELET CENTRIFUGATION"/>
    <s v="Q3"/>
    <e v="#REF!"/>
    <e v="#REF!"/>
    <e v="#REF!"/>
  </r>
  <r>
    <s v="401000"/>
    <x v="6"/>
    <s v="FOURNISSEURS"/>
    <s v="OD"/>
    <n v="-1600.56"/>
    <d v="2025-12-10T00:00:00"/>
    <s v="Liaison établissement 401000 CRIT TO"/>
    <m/>
    <e v="#N/A"/>
    <e v="#N/A"/>
    <n v="92024"/>
    <s v="N6171053-2025"/>
    <s v="CRIT"/>
    <s v="Q4"/>
    <e v="#REF!"/>
    <e v="#REF!"/>
    <e v="#REF!"/>
  </r>
  <r>
    <s v="401000"/>
    <x v="6"/>
    <s v="FOURNISSEURS"/>
    <s v="OD"/>
    <n v="-1600.56"/>
    <d v="2025-12-30T00:00:00"/>
    <s v="Liaison établissement 401000 CRIT TO"/>
    <m/>
    <e v="#N/A"/>
    <e v="#N/A"/>
    <n v="93734"/>
    <s v="N6171211-2025"/>
    <s v="CRIT"/>
    <s v="Q4"/>
    <e v="#REF!"/>
    <e v="#REF!"/>
    <e v="#REF!"/>
  </r>
  <r>
    <s v="401000"/>
    <x v="6"/>
    <s v="FOURNISSEURS"/>
    <s v="OD"/>
    <n v="-1600.56"/>
    <d v="2025-12-30T00:00:00"/>
    <s v="Liaison établissement 401000 CRIT TO"/>
    <m/>
    <e v="#N/A"/>
    <e v="#N/A"/>
    <n v="93865"/>
    <s v="N6171054-2025"/>
    <s v="CRIT"/>
    <s v="Q4"/>
    <e v="#REF!"/>
    <e v="#REF!"/>
    <e v="#REF!"/>
  </r>
  <r>
    <s v="401000"/>
    <x v="6"/>
    <s v="FOURNISSEURS"/>
    <s v="OD"/>
    <n v="-1597.9"/>
    <d v="2025-11-04T00:00:00"/>
    <s v="Liaison établissement 401000 ARESCOM TO"/>
    <m/>
    <e v="#N/A"/>
    <e v="#N/A"/>
    <n v="88050"/>
    <s v="CONTRAT DE MAINTENANCE PRO"/>
    <s v="ARESCOM"/>
    <s v="Q4"/>
    <e v="#REF!"/>
    <e v="#REF!"/>
    <e v="#REF!"/>
  </r>
  <r>
    <s v="401000"/>
    <x v="6"/>
    <s v="FOURNISSEURS"/>
    <s v="OD"/>
    <n v="-1589.28"/>
    <d v="2025-11-28T00:00:00"/>
    <s v="Liaison établissement 401000 ARESCOM TO"/>
    <m/>
    <e v="#N/A"/>
    <e v="#N/A"/>
    <n v="91224"/>
    <s v="145044"/>
    <s v="ARESCOM"/>
    <s v="Q4"/>
    <e v="#REF!"/>
    <e v="#REF!"/>
    <e v="#REF!"/>
  </r>
  <r>
    <s v="401000"/>
    <x v="6"/>
    <s v="FOURNISSEURS"/>
    <s v="OD"/>
    <n v="-1584"/>
    <d v="2025-02-28T00:00:00"/>
    <s v="Liaison inter-établissement"/>
    <m/>
    <s v="Non"/>
    <n v="0"/>
    <n v="63520"/>
    <m/>
    <s v="APF SECURITE"/>
    <s v="Q1"/>
    <e v="#REF!"/>
    <e v="#REF!"/>
    <e v="#REF!"/>
  </r>
  <r>
    <s v="401000"/>
    <x v="6"/>
    <s v="FOURNISSEURS"/>
    <s v="OD"/>
    <n v="-1582.5"/>
    <d v="2025-06-15T00:00:00"/>
    <s v="Liaison inter-établissement"/>
    <m/>
    <e v="#N/A"/>
    <e v="#N/A"/>
    <n v="78250"/>
    <m/>
    <s v="GREENDELTA"/>
    <s v="Q2"/>
    <e v="#REF!"/>
    <e v="#REF!"/>
    <e v="#REF!"/>
  </r>
  <r>
    <s v="401000"/>
    <x v="6"/>
    <s v="FOURNISSEURS"/>
    <s v="OD"/>
    <n v="-1579.77"/>
    <d v="2025-04-11T00:00:00"/>
    <s v="Liaison inter-établissement"/>
    <m/>
    <e v="#N/A"/>
    <e v="#N/A"/>
    <n v="74834"/>
    <m/>
    <s v="AIR FRANCE"/>
    <s v="Q2"/>
    <e v="#REF!"/>
    <e v="#REF!"/>
    <e v="#REF!"/>
  </r>
  <r>
    <s v="401000"/>
    <x v="6"/>
    <s v="FOURNISSEURS"/>
    <s v="OD"/>
    <n v="-1562.4"/>
    <d v="2025-06-04T00:00:00"/>
    <s v="Liaison établissement 401000 ARESCOM TO"/>
    <m/>
    <e v="#N/A"/>
    <e v="#N/A"/>
    <n v="75509"/>
    <s v="Invoice payment by Pili"/>
    <s v="ARESCOM"/>
    <s v="Q2"/>
    <e v="#REF!"/>
    <e v="#REF!"/>
    <e v="#REF!"/>
  </r>
  <r>
    <s v="401000"/>
    <x v="6"/>
    <s v="FOURNISSEURS"/>
    <s v="OD"/>
    <n v="-1562.4"/>
    <d v="2025-08-21T00:00:00"/>
    <s v="Liaison établissement 401000 ARESCOM TO"/>
    <m/>
    <e v="#N/A"/>
    <e v="#N/A"/>
    <n v="81378"/>
    <s v="CONTRAT DE MAINTENANCE PRO"/>
    <s v="ARESCOM"/>
    <s v="Q3"/>
    <e v="#REF!"/>
    <e v="#REF!"/>
    <e v="#REF!"/>
  </r>
  <r>
    <s v="401000"/>
    <x v="6"/>
    <s v="FOURNISSEURS"/>
    <s v="OD"/>
    <n v="-1562.4"/>
    <d v="2025-09-26T00:00:00"/>
    <s v="Liaison établissement 401000 ARESCOM TO"/>
    <m/>
    <e v="#N/A"/>
    <e v="#N/A"/>
    <n v="82475"/>
    <s v="INVOICE PAYMENT BY PILI"/>
    <s v="ARESCOM"/>
    <s v="Q3"/>
    <e v="#REF!"/>
    <e v="#REF!"/>
    <e v="#REF!"/>
  </r>
  <r>
    <s v="401000"/>
    <x v="6"/>
    <s v="FOURNISSEURS"/>
    <s v="OD"/>
    <n v="-1548.62"/>
    <d v="2025-03-21T00:00:00"/>
    <s v="Liaison inter-établissement"/>
    <m/>
    <e v="#N/A"/>
    <e v="#N/A"/>
    <n v="68013"/>
    <m/>
    <s v="AIR FRANCE"/>
    <s v="Q1"/>
    <e v="#REF!"/>
    <e v="#REF!"/>
    <e v="#REF!"/>
  </r>
  <r>
    <s v="401000"/>
    <x v="6"/>
    <s v="FOURNISSEURS"/>
    <s v="OD"/>
    <n v="-1546.2"/>
    <d v="2025-09-26T00:00:00"/>
    <s v="Liaison établissement 401000 ARESCOM TO"/>
    <m/>
    <e v="#N/A"/>
    <e v="#N/A"/>
    <n v="82485"/>
    <s v="INVOICE PAYMENT BY PILI"/>
    <s v="ARESCOM"/>
    <s v="Q3"/>
    <e v="#REF!"/>
    <e v="#REF!"/>
    <e v="#REF!"/>
  </r>
  <r>
    <s v="401000"/>
    <x v="6"/>
    <s v="FOURNISSEURS"/>
    <s v="OD"/>
    <n v="-1536"/>
    <d v="2025-12-23T00:00:00"/>
    <s v="Liaison établissement 401000 INSAR TO"/>
    <m/>
    <e v="#N/A"/>
    <e v="#N/A"/>
    <n v="93629"/>
    <s v="FAR-2025-000748"/>
    <s v="INSA ROUEN"/>
    <s v="Q4"/>
    <e v="#REF!"/>
    <e v="#REF!"/>
    <e v="#REF!"/>
  </r>
  <r>
    <s v="401000"/>
    <x v="6"/>
    <s v="FOURNISSEURS"/>
    <s v="OD"/>
    <n v="-1525.62"/>
    <d v="2025-09-16T00:00:00"/>
    <s v="Liaison inter-établissement"/>
    <m/>
    <e v="#N/A"/>
    <e v="#N/A"/>
    <n v="82801"/>
    <m/>
    <s v="ENGIE"/>
    <s v="Q3"/>
    <e v="#REF!"/>
    <e v="#REF!"/>
    <e v="#REF!"/>
  </r>
  <r>
    <s v="401000"/>
    <x v="6"/>
    <s v="FOURNISSEURS"/>
    <s v="OD"/>
    <n v="-1525.39"/>
    <d v="2025-02-18T00:00:00"/>
    <s v="Liaison inter-établissement"/>
    <m/>
    <e v="#N/A"/>
    <e v="#N/A"/>
    <n v="63688"/>
    <m/>
    <s v="COTE"/>
    <s v="Q1"/>
    <e v="#REF!"/>
    <e v="#REF!"/>
    <e v="#REF!"/>
  </r>
  <r>
    <s v="401000"/>
    <x v="6"/>
    <s v="FOURNISSEURS"/>
    <s v="OD"/>
    <n v="-1512"/>
    <d v="2025-02-18T00:00:00"/>
    <s v="Liaison inter-établissement"/>
    <m/>
    <e v="#N/A"/>
    <e v="#N/A"/>
    <n v="63652"/>
    <m/>
    <s v="CIMEO"/>
    <s v="Q1"/>
    <e v="#REF!"/>
    <e v="#REF!"/>
    <e v="#REF!"/>
  </r>
  <r>
    <s v="401000"/>
    <x v="6"/>
    <s v="FOURNISSEURS"/>
    <s v="OD"/>
    <n v="-1504.2"/>
    <d v="2025-11-04T00:00:00"/>
    <s v="Liaison établissement 401000 RIVOIRE TO"/>
    <m/>
    <e v="#N/A"/>
    <e v="#N/A"/>
    <n v="88024"/>
    <s v="MODIFICATION FILTRE À PLAQUES :  - AJOUT BAC DE RÉTENTION - AJOUT SUPPORT SEAU 30L"/>
    <s v="RIVOIRE"/>
    <s v="Q4"/>
    <e v="#REF!"/>
    <e v="#REF!"/>
    <e v="#REF!"/>
  </r>
  <r>
    <s v="401000"/>
    <x v="6"/>
    <s v="FOURNISSEURS"/>
    <s v="OD"/>
    <n v="-1502.09"/>
    <d v="2025-07-23T00:00:00"/>
    <s v="Liaison inter-établissement"/>
    <m/>
    <s v="Non"/>
    <n v="0"/>
    <n v="81253"/>
    <m/>
    <s v="SERVICE ACTION SANTE"/>
    <s v="Q3"/>
    <e v="#REF!"/>
    <e v="#REF!"/>
    <e v="#REF!"/>
  </r>
  <r>
    <s v="401000"/>
    <x v="6"/>
    <s v="FOURNISSEURS"/>
    <s v="OD"/>
    <n v="-1500"/>
    <d v="2025-04-18T00:00:00"/>
    <s v="Liaison établissement 401000 LRC2 TO"/>
    <s v="Non"/>
    <s v="Non"/>
    <e v="#N/A"/>
    <n v="68200"/>
    <s v="Invoice Payment by Pili"/>
    <s v="LRC2"/>
    <s v="Q2"/>
    <e v="#REF!"/>
    <e v="#REF!"/>
    <e v="#REF!"/>
  </r>
  <r>
    <s v="401000"/>
    <x v="6"/>
    <s v="FOURNISSEURS"/>
    <s v="OD"/>
    <n v="-1500"/>
    <d v="2025-06-10T00:00:00"/>
    <s v="Liaison établissement 401000 START TO"/>
    <m/>
    <e v="#N/A"/>
    <e v="#N/A"/>
    <n v="75923"/>
    <s v="START INDUSTRIE – COTISATION MEMBRE ACTIF 2025/2026"/>
    <s v="STARTINDUSTRIE"/>
    <s v="Q2"/>
    <e v="#REF!"/>
    <e v="#REF!"/>
    <e v="#REF!"/>
  </r>
  <r>
    <s v="401000"/>
    <x v="6"/>
    <s v="FOURNISSEURS"/>
    <s v="OD"/>
    <n v="-1500"/>
    <d v="2025-10-31T00:00:00"/>
    <s v="Liaison établissement 401000 WATIER TO"/>
    <s v="Non"/>
    <s v="Non"/>
    <e v="#N/A"/>
    <n v="87592"/>
    <s v="PHASE 2 ET FACTURE FINALE M WATIER"/>
    <s v="WATIER Marie"/>
    <s v="Q4"/>
    <e v="#REF!"/>
    <e v="#REF!"/>
    <e v="#REF!"/>
  </r>
  <r>
    <s v="401000"/>
    <x v="6"/>
    <s v="FOURNISSEURS"/>
    <s v="OD"/>
    <n v="-1488.95"/>
    <d v="2025-10-16T00:00:00"/>
    <s v="Liaison inter-établissement"/>
    <m/>
    <e v="#N/A"/>
    <e v="#N/A"/>
    <n v="86961"/>
    <m/>
    <s v="ENGIE"/>
    <s v="Q4"/>
    <e v="#REF!"/>
    <e v="#REF!"/>
    <e v="#REF!"/>
  </r>
  <r>
    <s v="401000"/>
    <x v="6"/>
    <s v="FOURNISSEURS"/>
    <s v="OD"/>
    <n v="-1486.97"/>
    <d v="2025-01-10T00:00:00"/>
    <s v="Liaison inter-établissement"/>
    <m/>
    <e v="#N/A"/>
    <e v="#N/A"/>
    <n v="72718"/>
    <m/>
    <s v="Banque Populaire Rive de Paris"/>
    <s v="Q1"/>
    <e v="#REF!"/>
    <e v="#REF!"/>
    <e v="#REF!"/>
  </r>
  <r>
    <s v="401000"/>
    <x v="6"/>
    <s v="FOURNISSEURS"/>
    <s v="OD"/>
    <n v="-1464.24"/>
    <d v="2025-04-25T00:00:00"/>
    <s v="Liaison inter-établissement"/>
    <s v="Non"/>
    <s v="Non"/>
    <e v="#N/A"/>
    <n v="71423"/>
    <m/>
    <s v="IN MANAGEMENT"/>
    <s v="Q2"/>
    <e v="#REF!"/>
    <e v="#REF!"/>
    <e v="#REF!"/>
  </r>
  <r>
    <s v="401000"/>
    <x v="6"/>
    <s v="FOURNISSEURS"/>
    <s v="OD"/>
    <n v="-1452"/>
    <d v="2025-01-15T00:00:00"/>
    <s v="Liaison inter-établissement"/>
    <m/>
    <e v="#N/A"/>
    <e v="#N/A"/>
    <n v="62276"/>
    <m/>
    <s v="AGELAB"/>
    <s v="Q1"/>
    <e v="#REF!"/>
    <e v="#REF!"/>
    <e v="#REF!"/>
  </r>
  <r>
    <s v="401000"/>
    <x v="6"/>
    <s v="FOURNISSEURS"/>
    <s v="OD"/>
    <n v="-1449.6"/>
    <d v="2025-01-31T00:00:00"/>
    <s v="Liaison inter-établissement"/>
    <m/>
    <e v="#N/A"/>
    <e v="#N/A"/>
    <n v="63700"/>
    <m/>
    <s v="DENIOS"/>
    <s v="Q1"/>
    <e v="#REF!"/>
    <e v="#REF!"/>
    <e v="#REF!"/>
  </r>
  <r>
    <s v="401000"/>
    <x v="6"/>
    <s v="FOURNISSEURS"/>
    <s v="OD"/>
    <n v="-1431.04"/>
    <d v="2025-12-10T00:00:00"/>
    <s v="Liaison inter-établissement"/>
    <m/>
    <e v="#N/A"/>
    <e v="#N/A"/>
    <n v="92150"/>
    <m/>
    <s v="REGIE CONSEIL"/>
    <s v="Q4"/>
    <e v="#REF!"/>
    <e v="#REF!"/>
    <e v="#REF!"/>
  </r>
  <r>
    <s v="401000"/>
    <x v="6"/>
    <s v="FOURNISSEURS"/>
    <s v="OD"/>
    <n v="-1428"/>
    <d v="2025-08-08T00:00:00"/>
    <s v="Liaison établissement 401000 ALGOCHEM TO"/>
    <m/>
    <e v="#N/A"/>
    <e v="#N/A"/>
    <n v="80732"/>
    <s v="RACCORD / FLEXIBLE TCU F3000"/>
    <s v="ALGOCHEM"/>
    <s v="Q3"/>
    <e v="#REF!"/>
    <e v="#REF!"/>
    <e v="#REF!"/>
  </r>
  <r>
    <s v="401000"/>
    <x v="6"/>
    <s v="FOURNISSEURS"/>
    <s v="OD"/>
    <n v="-1426.11"/>
    <d v="2025-08-11T00:00:00"/>
    <s v="Liaison inter-établissement"/>
    <m/>
    <e v="#N/A"/>
    <e v="#N/A"/>
    <n v="81934"/>
    <m/>
    <s v="REGIE CONSEIL"/>
    <s v="Q3"/>
    <e v="#REF!"/>
    <e v="#REF!"/>
    <e v="#REF!"/>
  </r>
  <r>
    <s v="401000"/>
    <x v="6"/>
    <s v="FOURNISSEURS"/>
    <s v="OD"/>
    <n v="-1416"/>
    <d v="2025-08-21T00:00:00"/>
    <s v="Liaison établissement 401000 CONTROLAIR TO"/>
    <m/>
    <e v="#N/A"/>
    <e v="#N/A"/>
    <n v="81434"/>
    <s v="CONTRÔLE AÉRAULIQUE D'ÉQUIPEMENTS DE PROTECTION COLLECTIVE VENTILÉS SUR SITE"/>
    <s v="CONTROL'AIR"/>
    <s v="Q3"/>
    <e v="#REF!"/>
    <e v="#REF!"/>
    <e v="#REF!"/>
  </r>
  <r>
    <s v="401000"/>
    <x v="6"/>
    <s v="FOURNISSEURS"/>
    <s v="OD"/>
    <n v="-1411.13"/>
    <d v="2025-08-15T00:00:00"/>
    <s v="Liaison inter-établissement"/>
    <m/>
    <e v="#N/A"/>
    <e v="#N/A"/>
    <n v="81930"/>
    <m/>
    <s v="ENGIE"/>
    <s v="Q3"/>
    <e v="#REF!"/>
    <e v="#REF!"/>
    <e v="#REF!"/>
  </r>
  <r>
    <s v="401000"/>
    <x v="6"/>
    <s v="FOURNISSEURS"/>
    <s v="OD"/>
    <n v="-1408.56"/>
    <d v="2025-06-02T00:00:00"/>
    <s v="Liaison établissement 401000 OSIRIS TO"/>
    <s v="Non"/>
    <s v="Non"/>
    <e v="#N/A"/>
    <n v="75280"/>
    <s v="Invoice Payment By Pili"/>
    <s v="OSIRIS"/>
    <s v="Q2"/>
    <e v="#REF!"/>
    <e v="#REF!"/>
    <e v="#REF!"/>
  </r>
  <r>
    <s v="401000"/>
    <x v="6"/>
    <s v="FOURNISSEURS"/>
    <s v="OD"/>
    <n v="-1408.06"/>
    <d v="2025-04-14T00:00:00"/>
    <s v="Liaison inter-établissement"/>
    <m/>
    <e v="#N/A"/>
    <e v="#N/A"/>
    <n v="72783"/>
    <m/>
    <s v="ENGIE"/>
    <s v="Q2"/>
    <e v="#REF!"/>
    <e v="#REF!"/>
    <e v="#REF!"/>
  </r>
  <r>
    <s v="401000"/>
    <x v="6"/>
    <s v="FOURNISSEURS"/>
    <s v="OD"/>
    <n v="-1404"/>
    <d v="2025-08-21T00:00:00"/>
    <s v="Liaison établissement 401000 ROUSSELET TO"/>
    <s v="Non"/>
    <e v="#N/A"/>
    <e v="#N/A"/>
    <n v="81444"/>
    <s v="ESSAI ROUSSELET (APRÈS LYSE SOUDE)"/>
    <s v="ROUSSELET CENTRIFUGATION"/>
    <s v="Q3"/>
    <e v="#REF!"/>
    <e v="#REF!"/>
    <e v="#REF!"/>
  </r>
  <r>
    <s v="401000"/>
    <x v="6"/>
    <s v="FOURNISSEURS"/>
    <s v="OD"/>
    <n v="-1389.3"/>
    <d v="2025-10-10T00:00:00"/>
    <s v="Liaison inter-établissement"/>
    <m/>
    <e v="#N/A"/>
    <e v="#N/A"/>
    <n v="86977"/>
    <m/>
    <s v="REGIE CONSEIL"/>
    <s v="Q4"/>
    <e v="#REF!"/>
    <e v="#REF!"/>
    <e v="#REF!"/>
  </r>
  <r>
    <s v="401000"/>
    <x v="6"/>
    <s v="FOURNISSEURS"/>
    <s v="OD"/>
    <n v="-1375.17"/>
    <d v="2025-07-04T00:00:00"/>
    <s v="INTERETS CREDITEURS Q2 2025 - REPRISE"/>
    <m/>
    <e v="#N/A"/>
    <e v="#N/A"/>
    <n v="82946"/>
    <m/>
    <s v="Banque Populaire Rive de Paris"/>
    <s v="Q3"/>
    <e v="#REF!"/>
    <e v="#REF!"/>
    <e v="#REF!"/>
  </r>
  <r>
    <s v="401000"/>
    <x v="6"/>
    <s v="FOURNISSEURS"/>
    <s v="OD"/>
    <n v="-1374.9"/>
    <d v="2025-08-21T00:00:00"/>
    <s v="Liaison établissement 401000 BECKER TO"/>
    <s v="Non"/>
    <s v="Oui"/>
    <e v="#N/A"/>
    <n v="81393"/>
    <s v="PRÉSENTATION DE LA REQUÊTE EN EXAMEN - PHASES NATIONALES CHINE - BREVET PHOENIX"/>
    <s v="BECKER"/>
    <s v="Q3"/>
    <e v="#REF!"/>
    <e v="#REF!"/>
    <e v="#REF!"/>
  </r>
  <r>
    <s v="401000"/>
    <x v="6"/>
    <s v="FOURNISSEURS"/>
    <s v="OD"/>
    <n v="-1370.76"/>
    <d v="2025-08-21T00:00:00"/>
    <s v="Liaison établissement 401000 OPTIMUS TO"/>
    <m/>
    <e v="#N/A"/>
    <e v="#N/A"/>
    <n v="81459"/>
    <s v="COUVERCLE DE RÉACTEUR 10L"/>
    <s v="OPTIMUS"/>
    <s v="Q3"/>
    <e v="#REF!"/>
    <e v="#REF!"/>
    <e v="#REF!"/>
  </r>
  <r>
    <s v="401000"/>
    <x v="6"/>
    <s v="FOURNISSEURS"/>
    <s v="OD"/>
    <n v="-1356.48"/>
    <d v="2025-02-15T00:00:00"/>
    <s v="Liaison inter-établissement"/>
    <m/>
    <e v="#N/A"/>
    <e v="#N/A"/>
    <n v="64318"/>
    <m/>
    <s v="MANUTAN"/>
    <s v="Q1"/>
    <e v="#REF!"/>
    <e v="#REF!"/>
    <e v="#REF!"/>
  </r>
  <r>
    <s v="401000"/>
    <x v="6"/>
    <s v="FOURNISSEURS"/>
    <s v="OD"/>
    <n v="-1348.8"/>
    <d v="2025-02-10T00:00:00"/>
    <s v="Liaison inter-établissement"/>
    <m/>
    <s v="Non"/>
    <s v="Oui"/>
    <n v="63564"/>
    <m/>
    <s v="AXELERA"/>
    <s v="Q1"/>
    <e v="#REF!"/>
    <e v="#REF!"/>
    <e v="#REF!"/>
  </r>
  <r>
    <s v="401000"/>
    <x v="6"/>
    <s v="FOURNISSEURS"/>
    <s v="OD"/>
    <n v="-1340.96"/>
    <d v="2025-03-06T00:00:00"/>
    <s v="Liaison inter-établissement"/>
    <m/>
    <e v="#N/A"/>
    <e v="#N/A"/>
    <n v="64330"/>
    <m/>
    <s v="REGIE CONSEIL"/>
    <s v="Q1"/>
    <e v="#REF!"/>
    <e v="#REF!"/>
    <e v="#REF!"/>
  </r>
  <r>
    <s v="401000"/>
    <x v="6"/>
    <s v="FOURNISSEURS"/>
    <s v="OD"/>
    <n v="-1340.96"/>
    <d v="2025-03-14T00:00:00"/>
    <s v="Liaison inter-établissement"/>
    <m/>
    <e v="#N/A"/>
    <e v="#N/A"/>
    <n v="69994"/>
    <m/>
    <s v="REGIE CONSEIL"/>
    <s v="Q1"/>
    <e v="#REF!"/>
    <e v="#REF!"/>
    <e v="#REF!"/>
  </r>
  <r>
    <s v="401000"/>
    <x v="6"/>
    <s v="FOURNISSEURS"/>
    <s v="OD"/>
    <n v="-1340.96"/>
    <d v="2025-05-10T00:00:00"/>
    <s v="Liaison inter-établissement"/>
    <m/>
    <e v="#N/A"/>
    <e v="#N/A"/>
    <n v="72923"/>
    <m/>
    <s v="REGIE CONSEIL"/>
    <s v="Q2"/>
    <e v="#REF!"/>
    <e v="#REF!"/>
    <e v="#REF!"/>
  </r>
  <r>
    <s v="401000"/>
    <x v="6"/>
    <s v="FOURNISSEURS"/>
    <s v="OD"/>
    <n v="-1340.96"/>
    <d v="2025-06-10T00:00:00"/>
    <s v="Liaison inter-établissement"/>
    <m/>
    <e v="#N/A"/>
    <e v="#N/A"/>
    <n v="77360"/>
    <m/>
    <s v="REGIE CONSEIL"/>
    <s v="Q2"/>
    <e v="#REF!"/>
    <e v="#REF!"/>
    <e v="#REF!"/>
  </r>
  <r>
    <s v="401000"/>
    <x v="6"/>
    <s v="FOURNISSEURS"/>
    <s v="OD"/>
    <n v="-1340.96"/>
    <d v="2025-07-11T00:00:00"/>
    <s v="Liaison inter-établissement"/>
    <m/>
    <e v="#N/A"/>
    <e v="#N/A"/>
    <n v="78867"/>
    <m/>
    <s v="REGIE CONSEIL"/>
    <s v="Q3"/>
    <e v="#REF!"/>
    <e v="#REF!"/>
    <e v="#REF!"/>
  </r>
  <r>
    <s v="401000"/>
    <x v="6"/>
    <s v="FOURNISSEURS"/>
    <s v="OD"/>
    <n v="-1335.78"/>
    <d v="2025-11-07T00:00:00"/>
    <s v="Liaison établissement 401000 VWR TO"/>
    <m/>
    <e v="#N/A"/>
    <e v="#N/A"/>
    <n v="89425"/>
    <s v="4067821369"/>
    <s v="VWR AVANTOR"/>
    <s v="Q4"/>
    <e v="#REF!"/>
    <e v="#REF!"/>
    <e v="#REF!"/>
  </r>
  <r>
    <s v="401000"/>
    <x v="6"/>
    <s v="FOURNISSEURS"/>
    <s v="OD"/>
    <n v="-1335.65"/>
    <d v="2025-11-21T00:00:00"/>
    <s v="Liaison inter-établissement"/>
    <m/>
    <s v="Non"/>
    <n v="0"/>
    <n v="90604"/>
    <m/>
    <s v="SERVICE ACTION SANTE"/>
    <s v="Q4"/>
    <e v="#REF!"/>
    <e v="#REF!"/>
    <e v="#REF!"/>
  </r>
  <r>
    <s v="401000"/>
    <x v="6"/>
    <s v="FOURNISSEURS"/>
    <s v="OD"/>
    <n v="-1330.62"/>
    <d v="2025-01-07T00:00:00"/>
    <s v="Liaison inter-établissement"/>
    <m/>
    <e v="#N/A"/>
    <e v="#N/A"/>
    <n v="63812"/>
    <m/>
    <s v="REGIE CONSEIL"/>
    <s v="Q1"/>
    <e v="#REF!"/>
    <e v="#REF!"/>
    <e v="#REF!"/>
  </r>
  <r>
    <s v="401000"/>
    <x v="6"/>
    <s v="FOURNISSEURS"/>
    <s v="OD"/>
    <n v="-1328.88"/>
    <d v="2025-11-04T00:00:00"/>
    <s v="Liaison établissement 401000 FENWICK-LINDE TO"/>
    <m/>
    <e v="#N/A"/>
    <e v="#N/A"/>
    <n v="88013"/>
    <s v="MAINTENANCE GERBEUR ÉLECTRIQUE : CHANGEMENT CARTE DE COMMANDE ÉLECTRONIQUE"/>
    <s v="FENWICK-LINDE"/>
    <s v="Q4"/>
    <e v="#REF!"/>
    <e v="#REF!"/>
    <e v="#REF!"/>
  </r>
  <r>
    <s v="401000"/>
    <x v="6"/>
    <s v="FOURNISSEURS"/>
    <s v="OD"/>
    <n v="-1320.72"/>
    <d v="2025-07-22T00:00:00"/>
    <s v="Liaison établissement 401000 OPTIMUS TO"/>
    <m/>
    <e v="#N/A"/>
    <e v="#N/A"/>
    <n v="78283"/>
    <s v="ACCESSOIRES MAINTENANCE KL"/>
    <s v="OPTIMUS"/>
    <s v="Q3"/>
    <e v="#REF!"/>
    <e v="#REF!"/>
    <e v="#REF!"/>
  </r>
  <r>
    <s v="401000"/>
    <x v="6"/>
    <s v="FOURNISSEURS"/>
    <s v="OD"/>
    <n v="-1317.04"/>
    <d v="2025-07-16T00:00:00"/>
    <s v="Liaison inter-établissement"/>
    <m/>
    <e v="#N/A"/>
    <e v="#N/A"/>
    <n v="78815"/>
    <m/>
    <s v="ENGIE"/>
    <s v="Q3"/>
    <e v="#REF!"/>
    <e v="#REF!"/>
    <e v="#REF!"/>
  </r>
  <r>
    <s v="401000"/>
    <x v="6"/>
    <s v="FOURNISSEURS"/>
    <s v="OD"/>
    <n v="-1305.24"/>
    <d v="2025-11-04T00:00:00"/>
    <s v="Liaison établissement 401000 EURISOTOP TO"/>
    <m/>
    <e v="#N/A"/>
    <e v="#N/A"/>
    <n v="88030"/>
    <s v="SOLVANTS DEUTÉRÉS POUR ANALYSE RMN"/>
    <s v="EURISOTOP"/>
    <s v="Q4"/>
    <e v="#REF!"/>
    <e v="#REF!"/>
    <e v="#REF!"/>
  </r>
  <r>
    <s v="401000"/>
    <x v="6"/>
    <s v="FOURNISSEURS"/>
    <s v="OD"/>
    <n v="-1300"/>
    <d v="2025-06-04T00:00:00"/>
    <s v="Liaison établissement 401000 CHEM TO"/>
    <s v="Non"/>
    <s v="Non"/>
    <e v="#N/A"/>
    <n v="75524"/>
    <s v="Invoice payment by Pili"/>
    <s v="CHEM"/>
    <s v="Q2"/>
    <e v="#REF!"/>
    <e v="#REF!"/>
    <e v="#REF!"/>
  </r>
  <r>
    <s v="401000"/>
    <x v="6"/>
    <s v="FOURNISSEURS"/>
    <s v="OD"/>
    <n v="-1300"/>
    <d v="2025-12-30T00:00:00"/>
    <s v="Liaison établissement 401000 CHEM TO"/>
    <s v="Non"/>
    <s v="Non"/>
    <e v="#N/A"/>
    <n v="93757"/>
    <s v="2025/1219"/>
    <s v="CHEM"/>
    <s v="Q4"/>
    <e v="#REF!"/>
    <e v="#REF!"/>
    <e v="#REF!"/>
  </r>
  <r>
    <s v="401000"/>
    <x v="6"/>
    <s v="FOURNISSEURS"/>
    <s v="OD"/>
    <n v="-1292.5"/>
    <d v="2025-07-31T00:00:00"/>
    <s v="Liaison établissement 401000 ABELC TO"/>
    <m/>
    <e v="#N/A"/>
    <e v="#N/A"/>
    <n v="79378"/>
    <s v="ENTRETIEN MÉNAGER"/>
    <s v="ABEL CHRIST SOMPLEI"/>
    <s v="Q3"/>
    <e v="#REF!"/>
    <e v="#REF!"/>
    <e v="#REF!"/>
  </r>
  <r>
    <s v="401000"/>
    <x v="6"/>
    <s v="FOURNISSEURS"/>
    <s v="OD"/>
    <n v="-1288.3599999999999"/>
    <d v="2025-09-10T00:00:00"/>
    <s v="Liaison inter-établissement"/>
    <m/>
    <e v="#N/A"/>
    <e v="#N/A"/>
    <n v="82110"/>
    <m/>
    <s v="REGIE CONSEIL"/>
    <s v="Q3"/>
    <e v="#REF!"/>
    <e v="#REF!"/>
    <e v="#REF!"/>
  </r>
  <r>
    <s v="401000"/>
    <x v="6"/>
    <s v="FOURNISSEURS"/>
    <s v="OD"/>
    <n v="-1288.3599999999999"/>
    <d v="2025-11-10T00:00:00"/>
    <s v="Liaison inter-établissement"/>
    <m/>
    <e v="#N/A"/>
    <e v="#N/A"/>
    <n v="89543"/>
    <m/>
    <s v="REGIE CONSEIL"/>
    <s v="Q4"/>
    <e v="#REF!"/>
    <e v="#REF!"/>
    <e v="#REF!"/>
  </r>
  <r>
    <s v="401000"/>
    <x v="6"/>
    <s v="FOURNISSEURS"/>
    <s v="OD"/>
    <n v="-1268.52"/>
    <d v="2025-05-07T00:00:00"/>
    <s v="Liaison établissement 401000 OPTIMUS TO"/>
    <m/>
    <e v="#N/A"/>
    <e v="#N/A"/>
    <n v="71798"/>
    <s v="TURBINE RUSHTON - KL - PROJET KEENY ET AUTRES PROJETS"/>
    <s v="OPTIMUS"/>
    <s v="Q2"/>
    <e v="#REF!"/>
    <e v="#REF!"/>
    <e v="#REF!"/>
  </r>
  <r>
    <s v="401000"/>
    <x v="6"/>
    <s v="FOURNISSEURS"/>
    <s v="OD"/>
    <n v="-1265.82"/>
    <d v="2025-03-13T00:00:00"/>
    <s v="Liaison inter-établissement"/>
    <m/>
    <s v="Non"/>
    <e v="#N/A"/>
    <n v="71906"/>
    <m/>
    <s v="DIVERS"/>
    <s v="Q1"/>
    <e v="#REF!"/>
    <e v="#REF!"/>
    <e v="#REF!"/>
  </r>
  <r>
    <s v="401000"/>
    <x v="6"/>
    <s v="FOURNISSEURS"/>
    <s v="OD"/>
    <n v="-1243.02"/>
    <d v="2025-03-03T00:00:00"/>
    <s v="Liaison inter-établissement"/>
    <m/>
    <e v="#N/A"/>
    <e v="#N/A"/>
    <n v="68009"/>
    <m/>
    <s v="AIR FRANCE"/>
    <s v="Q1"/>
    <e v="#REF!"/>
    <e v="#REF!"/>
    <e v="#REF!"/>
  </r>
  <r>
    <s v="401000"/>
    <x v="6"/>
    <s v="FOURNISSEURS"/>
    <s v="OD"/>
    <n v="-1236.8599999999999"/>
    <d v="2025-02-20T00:00:00"/>
    <s v="Liaison inter-établissement"/>
    <m/>
    <e v="#N/A"/>
    <e v="#N/A"/>
    <n v="63824"/>
    <m/>
    <s v="RYTHMES ET SONS"/>
    <s v="Q1"/>
    <e v="#REF!"/>
    <e v="#REF!"/>
    <e v="#REF!"/>
  </r>
  <r>
    <s v="401000"/>
    <x v="6"/>
    <s v="FOURNISSEURS"/>
    <s v="OD"/>
    <n v="-1229.72"/>
    <d v="2025-02-18T00:00:00"/>
    <s v="Liaison inter-établissement"/>
    <m/>
    <e v="#N/A"/>
    <e v="#N/A"/>
    <n v="74957"/>
    <m/>
    <s v="ENGIE"/>
    <s v="Q1"/>
    <e v="#REF!"/>
    <e v="#REF!"/>
    <e v="#REF!"/>
  </r>
  <r>
    <s v="401000"/>
    <x v="6"/>
    <s v="FOURNISSEURS"/>
    <s v="OD"/>
    <n v="-1222"/>
    <d v="2025-04-25T00:00:00"/>
    <s v="Liaison établissement 401000 ABELC TO"/>
    <m/>
    <e v="#N/A"/>
    <e v="#N/A"/>
    <n v="70124"/>
    <s v="Invoice Payment by Pili"/>
    <s v="ABEL CHRIST SOMPLEI"/>
    <s v="Q2"/>
    <e v="#REF!"/>
    <e v="#REF!"/>
    <e v="#REF!"/>
  </r>
  <r>
    <s v="401000"/>
    <x v="6"/>
    <s v="FOURNISSEURS"/>
    <s v="OD"/>
    <n v="-1212.67"/>
    <d v="2025-10-31T00:00:00"/>
    <s v="Liaison inter-établissement"/>
    <m/>
    <e v="#N/A"/>
    <e v="#N/A"/>
    <n v="87609"/>
    <m/>
    <s v="AIR LIQUIDE"/>
    <s v="Q4"/>
    <e v="#REF!"/>
    <e v="#REF!"/>
    <e v="#REF!"/>
  </r>
  <r>
    <s v="401000"/>
    <x v="6"/>
    <s v="FOURNISSEURS"/>
    <s v="OD"/>
    <n v="-1200"/>
    <d v="2025-03-07T00:00:00"/>
    <s v="Liaison inter-établissement"/>
    <s v="Non"/>
    <s v="Non"/>
    <e v="#N/A"/>
    <n v="63636"/>
    <m/>
    <s v="GARRIGUE CONSULTING"/>
    <s v="Q1"/>
    <e v="#REF!"/>
    <e v="#REF!"/>
    <e v="#REF!"/>
  </r>
  <r>
    <s v="401000"/>
    <x v="6"/>
    <s v="FOURNISSEURS"/>
    <s v="OD"/>
    <n v="-1200"/>
    <d v="2025-04-25T00:00:00"/>
    <s v="Liaison établissement 401000 GARRIGUE TO"/>
    <s v="Non"/>
    <s v="Non"/>
    <e v="#N/A"/>
    <n v="70174"/>
    <s v="Invoice Payment by Pili"/>
    <s v="GARRIGUE CONSULTING"/>
    <s v="Q2"/>
    <e v="#REF!"/>
    <e v="#REF!"/>
    <e v="#REF!"/>
  </r>
  <r>
    <s v="401000"/>
    <x v="6"/>
    <s v="FOURNISSEURS"/>
    <s v="OD"/>
    <n v="-1200"/>
    <d v="2025-06-16T00:00:00"/>
    <s v="Liaison établissement 401000 GARRIGUE TO"/>
    <s v="Non"/>
    <s v="Non"/>
    <e v="#N/A"/>
    <n v="76072"/>
    <s v="FOFAIT 1 BOARD -13/05/2025 - PILI BOARD SERIE B"/>
    <s v="GARRIGUE CONSULTING"/>
    <s v="Q2"/>
    <e v="#REF!"/>
    <e v="#REF!"/>
    <e v="#REF!"/>
  </r>
  <r>
    <s v="401000"/>
    <x v="6"/>
    <s v="FOURNISSEURS"/>
    <s v="OD"/>
    <n v="-1200"/>
    <d v="2025-08-21T00:00:00"/>
    <s v="Liaison établissement 401000 GARRIGUE TO"/>
    <s v="Non"/>
    <s v="Non"/>
    <e v="#N/A"/>
    <n v="81454"/>
    <s v="FOFAIT 1 BOARD -10/06/2025 - PILI BOARD"/>
    <s v="GARRIGUE CONSULTING"/>
    <s v="Q3"/>
    <e v="#REF!"/>
    <e v="#REF!"/>
    <e v="#REF!"/>
  </r>
  <r>
    <s v="401000"/>
    <x v="6"/>
    <s v="FOURNISSEURS"/>
    <s v="OD"/>
    <n v="-1200"/>
    <d v="2025-08-22T00:00:00"/>
    <s v="Liaison établissement 401000 OSIRIS TO"/>
    <s v="Non"/>
    <s v="Non"/>
    <e v="#N/A"/>
    <n v="81578"/>
    <s v="LOYER ANNUEL OSIRIS"/>
    <s v="OSIRIS"/>
    <s v="Q3"/>
    <e v="#REF!"/>
    <e v="#REF!"/>
    <e v="#REF!"/>
  </r>
  <r>
    <s v="401000"/>
    <x v="6"/>
    <s v="FOURNISSEURS"/>
    <s v="OD"/>
    <n v="-1200"/>
    <d v="2025-11-04T00:00:00"/>
    <s v="Liaison établissement 401000 HELLITAX TO"/>
    <s v="Non"/>
    <s v="Non"/>
    <e v="#N/A"/>
    <n v="88035"/>
    <s v="BUSINESS ADVISORY BOARD - E PETIOT."/>
    <s v="HELLITAX"/>
    <s v="Q4"/>
    <e v="#REF!"/>
    <e v="#REF!"/>
    <e v="#REF!"/>
  </r>
  <r>
    <s v="401000"/>
    <x v="6"/>
    <s v="FOURNISSEURS"/>
    <s v="OD"/>
    <n v="-1200"/>
    <d v="2025-12-11T00:00:00"/>
    <s v="Liaison établissement 401000 GARRIGUE TO"/>
    <s v="Non"/>
    <s v="Non"/>
    <e v="#N/A"/>
    <n v="92091"/>
    <s v="20251001-0001"/>
    <s v="GARRIGUE CONSULTING"/>
    <s v="Q4"/>
    <e v="#REF!"/>
    <e v="#REF!"/>
    <e v="#REF!"/>
  </r>
  <r>
    <s v="401000"/>
    <x v="6"/>
    <s v="FOURNISSEURS"/>
    <s v="OD"/>
    <n v="-1200"/>
    <d v="2025-12-11T00:00:00"/>
    <s v="Liaison établissement 401000 HELLITAX TO"/>
    <s v="Non"/>
    <s v="Non"/>
    <e v="#N/A"/>
    <n v="92101"/>
    <s v="F25X0003"/>
    <s v="HELLITAX"/>
    <s v="Q4"/>
    <e v="#REF!"/>
    <e v="#REF!"/>
    <e v="#REF!"/>
  </r>
  <r>
    <s v="401000"/>
    <x v="6"/>
    <s v="FOURNISSEURS"/>
    <s v="OD"/>
    <n v="-1188"/>
    <d v="2025-02-18T00:00:00"/>
    <s v="Liaison inter-établissement"/>
    <m/>
    <s v="Non"/>
    <e v="#N/A"/>
    <n v="66541"/>
    <m/>
    <s v="AXE GESCOM"/>
    <s v="Q1"/>
    <e v="#REF!"/>
    <e v="#REF!"/>
    <e v="#REF!"/>
  </r>
  <r>
    <s v="401000"/>
    <x v="6"/>
    <s v="FOURNISSEURS"/>
    <s v="OD"/>
    <n v="-1188"/>
    <d v="2025-06-02T00:00:00"/>
    <s v="Liaison établissement 401000 AXEINFO TO"/>
    <m/>
    <s v="Non"/>
    <e v="#N/A"/>
    <n v="75295"/>
    <s v="Invoice Payment By Pili"/>
    <s v="AXE GESCOM"/>
    <s v="Q2"/>
    <e v="#REF!"/>
    <e v="#REF!"/>
    <e v="#REF!"/>
  </r>
  <r>
    <s v="401000"/>
    <x v="6"/>
    <s v="FOURNISSEURS"/>
    <s v="OD"/>
    <n v="-1188"/>
    <d v="2025-08-21T00:00:00"/>
    <s v="Liaison établissement 401000 AXEINFO TO"/>
    <m/>
    <s v="Non"/>
    <e v="#N/A"/>
    <n v="81383"/>
    <s v="FORMATION À DISTANCE SAGE"/>
    <s v="AXE GESCOM"/>
    <s v="Q3"/>
    <e v="#REF!"/>
    <e v="#REF!"/>
    <e v="#REF!"/>
  </r>
  <r>
    <s v="401000"/>
    <x v="6"/>
    <s v="FOURNISSEURS"/>
    <s v="OD"/>
    <n v="-1188"/>
    <d v="2025-08-21T00:00:00"/>
    <s v="Liaison établissement 401000 AXEINFO TO"/>
    <m/>
    <s v="Non"/>
    <e v="#N/A"/>
    <n v="81388"/>
    <s v="FORMATION À DISTANCE SAGE G. ZIANI"/>
    <s v="AXE GESCOM"/>
    <s v="Q3"/>
    <e v="#REF!"/>
    <e v="#REF!"/>
    <e v="#REF!"/>
  </r>
  <r>
    <s v="401000"/>
    <x v="6"/>
    <s v="FOURNISSEURS"/>
    <s v="OD"/>
    <n v="-1176"/>
    <d v="2025-06-02T00:00:00"/>
    <s v="Liaison établissement 401000 AFCIC TO"/>
    <m/>
    <s v="Non"/>
    <n v="0"/>
    <n v="75224"/>
    <s v="Invoice Payment By Pili"/>
    <s v="ASS FORMATION CONTINUE INDUS CHIMIQUES"/>
    <s v="Q2"/>
    <e v="#REF!"/>
    <e v="#REF!"/>
    <e v="#REF!"/>
  </r>
  <r>
    <s v="401000"/>
    <x v="6"/>
    <s v="FOURNISSEURS"/>
    <s v="OD"/>
    <n v="-1173.5999999999999"/>
    <d v="2025-08-21T00:00:00"/>
    <s v="Liaison établissement 401000 BECKER TO"/>
    <s v="Non"/>
    <s v="Oui"/>
    <e v="#N/A"/>
    <n v="81488"/>
    <s v="RÉPONSE À LA NOTIFICATION DE DEMANDE DE BREVET EUROPÉEN - BREVET PHOENIX"/>
    <s v="BECKER"/>
    <s v="Q3"/>
    <e v="#REF!"/>
    <e v="#REF!"/>
    <e v="#REF!"/>
  </r>
  <r>
    <s v="401000"/>
    <x v="6"/>
    <s v="FOURNISSEURS"/>
    <s v="OD"/>
    <n v="-1170.1600000000001"/>
    <d v="2025-11-17T00:00:00"/>
    <s v="Liaison inter-établissement"/>
    <m/>
    <e v="#N/A"/>
    <e v="#N/A"/>
    <n v="90170"/>
    <m/>
    <s v="ENGIE"/>
    <s v="Q4"/>
    <e v="#REF!"/>
    <e v="#REF!"/>
    <e v="#REF!"/>
  </r>
  <r>
    <s v="401000"/>
    <x v="6"/>
    <s v="FOURNISSEURS"/>
    <s v="OD"/>
    <n v="-1168.02"/>
    <d v="2025-02-10T00:00:00"/>
    <s v="Liaison inter-établissement"/>
    <m/>
    <e v="#N/A"/>
    <e v="#N/A"/>
    <n v="63660"/>
    <m/>
    <s v="EXELL SECURITE"/>
    <s v="Q1"/>
    <e v="#REF!"/>
    <e v="#REF!"/>
    <e v="#REF!"/>
  </r>
  <r>
    <s v="401000"/>
    <x v="6"/>
    <s v="FOURNISSEURS"/>
    <s v="OD"/>
    <n v="-1158"/>
    <d v="2025-08-21T00:00:00"/>
    <s v="Liaison établissement 401000 CONTROLAIR TO"/>
    <m/>
    <e v="#N/A"/>
    <e v="#N/A"/>
    <n v="81429"/>
    <s v="CONTRÔLE ANNUEL DES SORBONNES ET DES ARMOIRES"/>
    <s v="CONTROL'AIR"/>
    <s v="Q3"/>
    <e v="#REF!"/>
    <e v="#REF!"/>
    <e v="#REF!"/>
  </r>
  <r>
    <s v="401000"/>
    <x v="6"/>
    <s v="FOURNISSEURS"/>
    <s v="OD"/>
    <n v="-1131.31"/>
    <d v="2025-05-19T00:00:00"/>
    <s v="Liaison inter-établissement"/>
    <m/>
    <e v="#N/A"/>
    <e v="#N/A"/>
    <n v="78831"/>
    <m/>
    <s v="ENGIE"/>
    <s v="Q2"/>
    <e v="#REF!"/>
    <e v="#REF!"/>
    <e v="#REF!"/>
  </r>
  <r>
    <s v="401000"/>
    <x v="6"/>
    <s v="FOURNISSEURS"/>
    <s v="OD"/>
    <n v="-1129.2"/>
    <d v="2025-03-03T00:00:00"/>
    <s v="Liaison inter-établissement"/>
    <m/>
    <e v="#N/A"/>
    <e v="#N/A"/>
    <n v="68049"/>
    <m/>
    <s v="GAZ DETECT"/>
    <s v="Q1"/>
    <e v="#REF!"/>
    <e v="#REF!"/>
    <e v="#REF!"/>
  </r>
  <r>
    <s v="401000"/>
    <x v="6"/>
    <s v="FOURNISSEURS"/>
    <s v="OD"/>
    <n v="-1116"/>
    <d v="2025-01-30T00:00:00"/>
    <s v="Liaison inter-établissement"/>
    <m/>
    <e v="#N/A"/>
    <e v="#N/A"/>
    <n v="63708"/>
    <m/>
    <s v="AGENCE DIVA"/>
    <s v="Q1"/>
    <e v="#REF!"/>
    <e v="#REF!"/>
    <e v="#REF!"/>
  </r>
  <r>
    <s v="401000"/>
    <x v="6"/>
    <s v="FOURNISSEURS"/>
    <s v="OD"/>
    <n v="-1116"/>
    <d v="2025-03-03T00:00:00"/>
    <s v="Liaison inter-établissement"/>
    <m/>
    <e v="#N/A"/>
    <e v="#N/A"/>
    <n v="63704"/>
    <m/>
    <s v="AGENCE DIVA"/>
    <s v="Q1"/>
    <e v="#REF!"/>
    <e v="#REF!"/>
    <e v="#REF!"/>
  </r>
  <r>
    <s v="401000"/>
    <x v="6"/>
    <s v="FOURNISSEURS"/>
    <s v="OD"/>
    <n v="-1116"/>
    <d v="2025-04-18T00:00:00"/>
    <s v="Liaison établissement 401000 DIVA TO"/>
    <m/>
    <e v="#N/A"/>
    <e v="#N/A"/>
    <n v="68170"/>
    <s v="Invoice Payment by Pili"/>
    <s v="AGENCE DIVA"/>
    <s v="Q2"/>
    <e v="#REF!"/>
    <e v="#REF!"/>
    <e v="#REF!"/>
  </r>
  <r>
    <s v="401000"/>
    <x v="6"/>
    <s v="FOURNISSEURS"/>
    <s v="OD"/>
    <n v="-1116"/>
    <d v="2025-06-02T00:00:00"/>
    <s v="Liaison établissement 401000 DIVA TO"/>
    <m/>
    <e v="#N/A"/>
    <e v="#N/A"/>
    <n v="75265"/>
    <s v="Invoice Payment By Pili"/>
    <s v="AGENCE DIVA"/>
    <s v="Q2"/>
    <e v="#REF!"/>
    <e v="#REF!"/>
    <e v="#REF!"/>
  </r>
  <r>
    <s v="401000"/>
    <x v="6"/>
    <s v="FOURNISSEURS"/>
    <s v="OD"/>
    <n v="-1116"/>
    <d v="2025-08-08T00:00:00"/>
    <s v="Liaison établissement 401000 DIVA TO"/>
    <m/>
    <e v="#N/A"/>
    <e v="#N/A"/>
    <n v="80747"/>
    <s v="PRESTATION ASSISTANT(E) OFFICE MANAGER"/>
    <s v="AGENCE DIVA"/>
    <s v="Q3"/>
    <e v="#REF!"/>
    <e v="#REF!"/>
    <e v="#REF!"/>
  </r>
  <r>
    <s v="401000"/>
    <x v="6"/>
    <s v="FOURNISSEURS"/>
    <s v="OD"/>
    <n v="-1116"/>
    <d v="2025-08-21T00:00:00"/>
    <s v="Liaison établissement 401000 DIVA TO"/>
    <m/>
    <e v="#N/A"/>
    <e v="#N/A"/>
    <n v="81449"/>
    <s v="PRESTATION ASSISTANT(E) OFFICE MANAGER"/>
    <s v="AGENCE DIVA"/>
    <s v="Q3"/>
    <e v="#REF!"/>
    <e v="#REF!"/>
    <e v="#REF!"/>
  </r>
  <r>
    <s v="401000"/>
    <x v="6"/>
    <s v="FOURNISSEURS"/>
    <s v="OD"/>
    <n v="-1116"/>
    <d v="2025-09-26T00:00:00"/>
    <s v="Liaison établissement 401000 DIVA TO"/>
    <m/>
    <e v="#N/A"/>
    <e v="#N/A"/>
    <n v="82506"/>
    <s v="INVOICE PAYMENT BY PILI"/>
    <s v="AGENCE DIVA"/>
    <s v="Q3"/>
    <e v="#REF!"/>
    <e v="#REF!"/>
    <e v="#REF!"/>
  </r>
  <r>
    <s v="401000"/>
    <x v="6"/>
    <s v="FOURNISSEURS"/>
    <s v="OD"/>
    <n v="-1116"/>
    <d v="2025-11-04T00:00:00"/>
    <s v="Liaison établissement 401000 DIVA TO"/>
    <m/>
    <e v="#N/A"/>
    <e v="#N/A"/>
    <n v="88045"/>
    <s v="PRESTATION ASSISTANT(E) OFFICE MANAGER"/>
    <s v="AGENCE DIVA"/>
    <s v="Q4"/>
    <e v="#REF!"/>
    <e v="#REF!"/>
    <e v="#REF!"/>
  </r>
  <r>
    <s v="401000"/>
    <x v="6"/>
    <s v="FOURNISSEURS"/>
    <s v="OD"/>
    <n v="-1116"/>
    <d v="2025-11-28T00:00:00"/>
    <s v="Liaison établissement 401000 DIVA TO"/>
    <m/>
    <e v="#N/A"/>
    <e v="#N/A"/>
    <n v="91219"/>
    <s v="F-25100652"/>
    <s v="AGENCE DIVA"/>
    <s v="Q4"/>
    <e v="#REF!"/>
    <e v="#REF!"/>
    <e v="#REF!"/>
  </r>
  <r>
    <s v="401000"/>
    <x v="6"/>
    <s v="FOURNISSEURS"/>
    <s v="OD"/>
    <n v="-1116"/>
    <d v="2025-12-30T00:00:00"/>
    <s v="Liaison établissement 401000 DIVA TO"/>
    <m/>
    <e v="#N/A"/>
    <e v="#N/A"/>
    <n v="93815"/>
    <s v="F-25110721"/>
    <s v="AGENCE DIVA"/>
    <s v="Q4"/>
    <e v="#REF!"/>
    <e v="#REF!"/>
    <e v="#REF!"/>
  </r>
  <r>
    <s v="401000"/>
    <x v="6"/>
    <s v="FOURNISSEURS"/>
    <s v="OD"/>
    <n v="-1104.5"/>
    <d v="2025-02-05T00:00:00"/>
    <s v="Liaison inter-établissement"/>
    <m/>
    <e v="#N/A"/>
    <e v="#N/A"/>
    <n v="63484"/>
    <m/>
    <s v="ABEL CHRIST SOMPLEI"/>
    <s v="Q1"/>
    <e v="#REF!"/>
    <e v="#REF!"/>
    <e v="#REF!"/>
  </r>
  <r>
    <s v="401000"/>
    <x v="6"/>
    <s v="FOURNISSEURS"/>
    <s v="OD"/>
    <n v="-1104.5"/>
    <d v="2025-06-02T00:00:00"/>
    <s v="Liaison établissement 401000 ABELC TO"/>
    <m/>
    <e v="#N/A"/>
    <e v="#N/A"/>
    <n v="75270"/>
    <s v="Invoice Payment By Pili"/>
    <s v="ABEL CHRIST SOMPLEI"/>
    <s v="Q2"/>
    <e v="#REF!"/>
    <e v="#REF!"/>
    <e v="#REF!"/>
  </r>
  <r>
    <s v="401000"/>
    <x v="6"/>
    <s v="FOURNISSEURS"/>
    <s v="OD"/>
    <n v="-1086"/>
    <d v="2025-07-01T00:00:00"/>
    <s v="Liaison établissement 401000 OSIRIS TO"/>
    <s v="Non"/>
    <s v="Non"/>
    <e v="#N/A"/>
    <n v="76842"/>
    <s v="FORMATION 04/2025 : HABILITATION ÉLECTRIQUE BR BC B1V B2V BE ESSAI H"/>
    <s v="OSIRIS"/>
    <s v="Q3"/>
    <e v="#REF!"/>
    <e v="#REF!"/>
    <e v="#REF!"/>
  </r>
  <r>
    <s v="401000"/>
    <x v="6"/>
    <s v="FOURNISSEURS"/>
    <s v="OD"/>
    <n v="-1080"/>
    <d v="2025-04-29T00:00:00"/>
    <s v="Liaison établissement 401000 WOOSPEAK TO"/>
    <m/>
    <s v="Non"/>
    <e v="#N/A"/>
    <n v="70485"/>
    <s v="Invocie Payment by Pili"/>
    <s v="WOOSPEAK"/>
    <s v="Q2"/>
    <e v="#REF!"/>
    <e v="#REF!"/>
    <e v="#REF!"/>
  </r>
  <r>
    <s v="401000"/>
    <x v="6"/>
    <s v="FOURNISSEURS"/>
    <s v="OD"/>
    <n v="-1080"/>
    <d v="2025-05-14T00:00:00"/>
    <s v="Liaison établissement 401000 WOOSPEAK TO"/>
    <m/>
    <s v="Non"/>
    <e v="#N/A"/>
    <n v="72354"/>
    <s v="Invoice Payment by Pili"/>
    <s v="WOOSPEAK"/>
    <s v="Q2"/>
    <e v="#REF!"/>
    <e v="#REF!"/>
    <e v="#REF!"/>
  </r>
  <r>
    <s v="401000"/>
    <x v="6"/>
    <s v="FOURNISSEURS"/>
    <s v="OD"/>
    <n v="-1068.5999999999999"/>
    <d v="2025-07-31T00:00:00"/>
    <s v="Liaison établissement 401000 BECKER TO"/>
    <s v="Non"/>
    <s v="Oui"/>
    <e v="#N/A"/>
    <n v="79248"/>
    <s v="TRANSMISSION ET ANALYSE DU RAPPORT DE RECHERCHE EUROPÉEN - BREVET BIOPIGMENTS"/>
    <s v="BECKER"/>
    <s v="Q3"/>
    <e v="#REF!"/>
    <e v="#REF!"/>
    <e v="#REF!"/>
  </r>
  <r>
    <s v="401000"/>
    <x v="6"/>
    <s v="FOURNISSEURS"/>
    <s v="OD"/>
    <n v="-1061.49"/>
    <d v="2025-04-10T00:00:00"/>
    <s v="Liaison inter-établissement"/>
    <m/>
    <e v="#N/A"/>
    <e v="#N/A"/>
    <n v="72722"/>
    <m/>
    <s v="Banque Populaire Rive de Paris"/>
    <s v="Q2"/>
    <e v="#REF!"/>
    <e v="#REF!"/>
    <e v="#REF!"/>
  </r>
  <r>
    <s v="401000"/>
    <x v="6"/>
    <s v="FOURNISSEURS"/>
    <s v="OD"/>
    <n v="-1059.31"/>
    <d v="2025-02-28T00:00:00"/>
    <s v="Liaison inter-établissement"/>
    <m/>
    <e v="#N/A"/>
    <e v="#N/A"/>
    <n v="76220"/>
    <m/>
    <s v="AIR LIQUIDE"/>
    <s v="Q1"/>
    <e v="#REF!"/>
    <e v="#REF!"/>
    <e v="#REF!"/>
  </r>
  <r>
    <s v="401000"/>
    <x v="6"/>
    <s v="FOURNISSEURS"/>
    <s v="OD"/>
    <n v="-1056"/>
    <d v="2025-05-14T00:00:00"/>
    <s v="Liaison établissement 401000 ECHAFAUDAGE TO"/>
    <m/>
    <e v="#N/A"/>
    <e v="#N/A"/>
    <n v="72329"/>
    <s v="Invoice Payment by Pili"/>
    <s v="ECHAFAUDAGE"/>
    <s v="Q2"/>
    <e v="#REF!"/>
    <e v="#REF!"/>
    <e v="#REF!"/>
  </r>
  <r>
    <s v="401000"/>
    <x v="6"/>
    <s v="FOURNISSEURS"/>
    <s v="OD"/>
    <n v="-1050"/>
    <d v="2025-03-14T00:00:00"/>
    <s v="Liaison inter-établissement"/>
    <m/>
    <e v="#N/A"/>
    <n v="0"/>
    <n v="63748"/>
    <m/>
    <s v="LOCAPROD EVENEMENT"/>
    <s v="Q1"/>
    <e v="#REF!"/>
    <e v="#REF!"/>
    <e v="#REF!"/>
  </r>
  <r>
    <s v="401000"/>
    <x v="6"/>
    <s v="FOURNISSEURS"/>
    <s v="OD"/>
    <n v="-1050"/>
    <d v="2025-06-04T00:00:00"/>
    <s v="Liaison établissement 401000 QWINCY TO"/>
    <s v="Non"/>
    <s v="Non"/>
    <e v="#N/A"/>
    <n v="75534"/>
    <s v="Invoice payment by Pili"/>
    <s v="QWINCY"/>
    <s v="Q2"/>
    <e v="#REF!"/>
    <e v="#REF!"/>
    <e v="#REF!"/>
  </r>
  <r>
    <s v="401000"/>
    <x v="6"/>
    <s v="FOURNISSEURS"/>
    <s v="OD"/>
    <n v="-1050"/>
    <d v="2025-11-28T00:00:00"/>
    <s v="Liaison établissement 401000 QWINCY TO"/>
    <s v="Non"/>
    <s v="Non"/>
    <e v="#N/A"/>
    <n v="91194"/>
    <s v="F2025040078"/>
    <s v="QWINCY"/>
    <s v="Q4"/>
    <e v="#REF!"/>
    <e v="#REF!"/>
    <e v="#REF!"/>
  </r>
  <r>
    <s v="401000"/>
    <x v="6"/>
    <s v="FOURNISSEURS"/>
    <s v="OD"/>
    <n v="-1044"/>
    <d v="2025-07-31T00:00:00"/>
    <s v="Liaison inter-établissement"/>
    <m/>
    <e v="#N/A"/>
    <e v="#N/A"/>
    <n v="81056"/>
    <m/>
    <s v="SNCF"/>
    <s v="Q3"/>
    <e v="#REF!"/>
    <e v="#REF!"/>
    <e v="#REF!"/>
  </r>
  <r>
    <s v="401000"/>
    <x v="6"/>
    <s v="FOURNISSEURS"/>
    <s v="OD"/>
    <n v="-1037.4000000000001"/>
    <d v="2025-04-25T00:00:00"/>
    <s v="Liaison établissement 401000 DENIOS TO"/>
    <m/>
    <e v="#N/A"/>
    <e v="#N/A"/>
    <n v="70159"/>
    <s v="Invoice Payment by Pili"/>
    <s v="DENIOS"/>
    <s v="Q2"/>
    <e v="#REF!"/>
    <e v="#REF!"/>
    <e v="#REF!"/>
  </r>
  <r>
    <s v="401000"/>
    <x v="6"/>
    <s v="FOURNISSEURS"/>
    <s v="OD"/>
    <n v="-1034"/>
    <d v="2025-02-28T00:00:00"/>
    <s v="Liaison inter-établissement"/>
    <m/>
    <e v="#N/A"/>
    <e v="#N/A"/>
    <n v="63488"/>
    <m/>
    <s v="ABEL CHRIST SOMPLEI"/>
    <s v="Q1"/>
    <e v="#REF!"/>
    <e v="#REF!"/>
    <e v="#REF!"/>
  </r>
  <r>
    <s v="401000"/>
    <x v="6"/>
    <s v="FOURNISSEURS"/>
    <s v="OD"/>
    <n v="-1034"/>
    <d v="2025-04-02T00:00:00"/>
    <s v="Liaison inter-établissement"/>
    <m/>
    <e v="#N/A"/>
    <e v="#N/A"/>
    <n v="67981"/>
    <m/>
    <s v="ABEL CHRIST SOMPLEI"/>
    <s v="Q2"/>
    <e v="#REF!"/>
    <e v="#REF!"/>
    <e v="#REF!"/>
  </r>
  <r>
    <s v="401000"/>
    <x v="6"/>
    <s v="FOURNISSEURS"/>
    <s v="OD"/>
    <n v="-1034"/>
    <d v="2025-07-04T00:00:00"/>
    <s v="Liaison établissement 401000 ABELC TO"/>
    <m/>
    <e v="#N/A"/>
    <e v="#N/A"/>
    <n v="77023"/>
    <s v="ENTRETIEN MÉNAGER"/>
    <s v="ABEL CHRIST SOMPLEI"/>
    <s v="Q3"/>
    <e v="#REF!"/>
    <e v="#REF!"/>
    <e v="#REF!"/>
  </r>
  <r>
    <s v="401000"/>
    <x v="6"/>
    <s v="FOURNISSEURS"/>
    <s v="OD"/>
    <n v="-1026"/>
    <d v="2025-03-19T00:00:00"/>
    <s v="Liaison inter-établissement"/>
    <m/>
    <e v="#N/A"/>
    <e v="#N/A"/>
    <n v="63796"/>
    <m/>
    <s v="PHENOMENEX"/>
    <s v="Q1"/>
    <e v="#REF!"/>
    <e v="#REF!"/>
    <e v="#REF!"/>
  </r>
  <r>
    <s v="401000"/>
    <x v="6"/>
    <s v="FOURNISSEURS"/>
    <s v="OD"/>
    <n v="-1022"/>
    <d v="2025-11-17T00:00:00"/>
    <s v="Liaison établissement 401000 CANOVAS STEVE EI TO"/>
    <m/>
    <e v="#N/A"/>
    <e v="#N/A"/>
    <n v="90142"/>
    <s v="TRAITEUR SÉMINAIRE PILI (JEUDI 18 SEPT. SOIR)"/>
    <s v="CANOVAS STEVE EI"/>
    <s v="Q4"/>
    <e v="#REF!"/>
    <e v="#REF!"/>
    <e v="#REF!"/>
  </r>
  <r>
    <s v="401000"/>
    <x v="6"/>
    <s v="FOURNISSEURS"/>
    <s v="OD"/>
    <n v="-1013.84"/>
    <d v="2025-12-11T00:00:00"/>
    <s v="Liaison établissement 401000 BECKER TO"/>
    <s v="Non"/>
    <s v="Oui"/>
    <e v="#N/A"/>
    <n v="92106"/>
    <s v="254432"/>
    <s v="BECKER"/>
    <s v="Q4"/>
    <e v="#REF!"/>
    <e v="#REF!"/>
    <e v="#REF!"/>
  </r>
  <r>
    <s v="401000"/>
    <x v="6"/>
    <s v="FOURNISSEURS"/>
    <s v="OD"/>
    <n v="-1010.82"/>
    <d v="2025-06-16T00:00:00"/>
    <s v="Liaison inter-établissement"/>
    <m/>
    <e v="#N/A"/>
    <e v="#N/A"/>
    <n v="78843"/>
    <m/>
    <s v="ENGIE"/>
    <s v="Q2"/>
    <e v="#REF!"/>
    <e v="#REF!"/>
    <e v="#REF!"/>
  </r>
  <r>
    <s v="401000"/>
    <x v="6"/>
    <s v="FOURNISSEURS"/>
    <s v="OD"/>
    <n v="-1000"/>
    <d v="2025-08-21T00:00:00"/>
    <s v="Liaison établissement 401000 MANACH TO"/>
    <s v="Non"/>
    <s v="Non"/>
    <e v="#N/A"/>
    <n v="81439"/>
    <s v="PARTICIPATION AU BOARD BUSINESS"/>
    <s v="Michel Manach"/>
    <s v="Q3"/>
    <e v="#REF!"/>
    <e v="#REF!"/>
    <e v="#REF!"/>
  </r>
  <r>
    <s v="401000"/>
    <x v="6"/>
    <s v="FOURNISSEURS"/>
    <s v="OD"/>
    <n v="-1000"/>
    <d v="2025-12-11T00:00:00"/>
    <s v="Liaison établissement 401000 MANACH TO"/>
    <s v="Non"/>
    <s v="Non"/>
    <e v="#N/A"/>
    <n v="92096"/>
    <s v="20251002"/>
    <s v="Michel Manach"/>
    <s v="Q4"/>
    <e v="#REF!"/>
    <e v="#REF!"/>
    <e v="#REF!"/>
  </r>
  <r>
    <s v="401000"/>
    <x v="6"/>
    <s v="FOURNISSEURS"/>
    <s v="OD"/>
    <n v="-992.72"/>
    <d v="2025-07-22T00:00:00"/>
    <s v="Liaison établissement 401000 ROTH TO"/>
    <m/>
    <e v="#N/A"/>
    <e v="#N/A"/>
    <n v="78288"/>
    <s v="MÉTHANOL 2MIN. 99 % EAU 5 ROTISOLV HPLC GRADIENT GRADE MÉTHYLE-2-TÉTRAHYDROFURANE"/>
    <s v="ROTH SOCHIEL"/>
    <s v="Q3"/>
    <e v="#REF!"/>
    <e v="#REF!"/>
    <e v="#REF!"/>
  </r>
  <r>
    <s v="401000"/>
    <x v="6"/>
    <s v="FOURNISSEURS"/>
    <s v="OD"/>
    <n v="-980.67"/>
    <d v="2025-03-03T00:00:00"/>
    <s v="Liaison inter-établissement"/>
    <m/>
    <e v="#N/A"/>
    <e v="#N/A"/>
    <n v="87137"/>
    <m/>
    <s v="AIR LIQUIDE"/>
    <s v="Q1"/>
    <e v="#REF!"/>
    <e v="#REF!"/>
    <e v="#REF!"/>
  </r>
  <r>
    <s v="401000"/>
    <x v="6"/>
    <s v="FOURNISSEURS"/>
    <s v="OD"/>
    <n v="-960"/>
    <d v="2025-03-19T00:00:00"/>
    <s v="Liaison inter-établissement"/>
    <m/>
    <s v="Non"/>
    <n v="0"/>
    <n v="69946"/>
    <m/>
    <s v="ASS FORMATION CONTINUE INDUS CHIMIQUES"/>
    <s v="Q1"/>
    <e v="#REF!"/>
    <e v="#REF!"/>
    <e v="#REF!"/>
  </r>
  <r>
    <s v="401000"/>
    <x v="6"/>
    <s v="FOURNISSEURS"/>
    <s v="OD"/>
    <n v="-960"/>
    <d v="2025-12-30T00:00:00"/>
    <s v="Liaison établissement 401000 BOLD TO"/>
    <s v="Non"/>
    <s v="Non"/>
    <e v="#N/A"/>
    <n v="93835"/>
    <s v="BOLD-031819"/>
    <s v="WE ARE BOLD"/>
    <s v="Q4"/>
    <e v="#REF!"/>
    <e v="#REF!"/>
    <e v="#REF!"/>
  </r>
  <r>
    <s v="401000"/>
    <x v="6"/>
    <s v="FOURNISSEURS"/>
    <s v="OD"/>
    <n v="-940"/>
    <d v="2025-10-31T00:00:00"/>
    <s v="Liaison établissement 401000 ABELC TO"/>
    <m/>
    <e v="#N/A"/>
    <e v="#N/A"/>
    <n v="87500"/>
    <s v="ENTRETIEN MÉNAGER"/>
    <s v="ABEL CHRIST SOMPLEI"/>
    <s v="Q4"/>
    <e v="#REF!"/>
    <e v="#REF!"/>
    <e v="#REF!"/>
  </r>
  <r>
    <s v="401000"/>
    <x v="6"/>
    <s v="FOURNISSEURS"/>
    <s v="OD"/>
    <n v="-940"/>
    <d v="2025-12-30T00:00:00"/>
    <s v="Liaison établissement 401000 ABELC TO"/>
    <m/>
    <e v="#N/A"/>
    <e v="#N/A"/>
    <n v="93809"/>
    <s v="PILI-231225"/>
    <s v="ABEL CHRIST SOMPLEI"/>
    <s v="Q4"/>
    <e v="#REF!"/>
    <e v="#REF!"/>
    <e v="#REF!"/>
  </r>
  <r>
    <s v="401000"/>
    <x v="6"/>
    <s v="FOURNISSEURS"/>
    <s v="OD"/>
    <n v="-918"/>
    <d v="2025-03-19T00:00:00"/>
    <s v="Liaison inter-établissement"/>
    <m/>
    <e v="#N/A"/>
    <e v="#N/A"/>
    <n v="63800"/>
    <m/>
    <s v="PHENOMENEX"/>
    <s v="Q1"/>
    <e v="#REF!"/>
    <e v="#REF!"/>
    <e v="#REF!"/>
  </r>
  <r>
    <s v="401000"/>
    <x v="6"/>
    <s v="FOURNISSEURS"/>
    <s v="OD"/>
    <n v="-912"/>
    <d v="2025-01-30T00:00:00"/>
    <s v="Liaison inter-établissement"/>
    <m/>
    <e v="#N/A"/>
    <e v="#N/A"/>
    <n v="63676"/>
    <m/>
    <s v="COFICIEL"/>
    <s v="Q1"/>
    <e v="#REF!"/>
    <e v="#REF!"/>
    <e v="#REF!"/>
  </r>
  <r>
    <s v="401000"/>
    <x v="6"/>
    <s v="FOURNISSEURS"/>
    <s v="OD"/>
    <n v="-912"/>
    <d v="2025-03-28T00:00:00"/>
    <s v="Liaison établissement 401000 COFICIEL TO"/>
    <m/>
    <e v="#N/A"/>
    <e v="#N/A"/>
    <n v="65018"/>
    <s v="Invoice Payment by Pili"/>
    <s v="COFICIEL"/>
    <s v="Q1"/>
    <e v="#REF!"/>
    <e v="#REF!"/>
    <e v="#REF!"/>
  </r>
  <r>
    <s v="401000"/>
    <x v="6"/>
    <s v="FOURNISSEURS"/>
    <s v="OD"/>
    <n v="-912"/>
    <d v="2025-04-18T00:00:00"/>
    <s v="Liaison établissement 401000 COFICIEL TO"/>
    <m/>
    <e v="#N/A"/>
    <e v="#N/A"/>
    <n v="68165"/>
    <s v="Invoice Payment by Pili"/>
    <s v="COFICIEL"/>
    <s v="Q2"/>
    <e v="#REF!"/>
    <e v="#REF!"/>
    <e v="#REF!"/>
  </r>
  <r>
    <s v="401000"/>
    <x v="6"/>
    <s v="FOURNISSEURS"/>
    <s v="OD"/>
    <n v="-912"/>
    <d v="2025-06-02T00:00:00"/>
    <s v="Liaison établissement 401000 COFICIEL TO"/>
    <m/>
    <e v="#N/A"/>
    <e v="#N/A"/>
    <n v="75260"/>
    <s v="Invoice Payment By Pili"/>
    <s v="COFICIEL"/>
    <s v="Q2"/>
    <e v="#REF!"/>
    <e v="#REF!"/>
    <e v="#REF!"/>
  </r>
  <r>
    <s v="401000"/>
    <x v="6"/>
    <s v="FOURNISSEURS"/>
    <s v="OD"/>
    <n v="-912"/>
    <d v="2025-08-08T00:00:00"/>
    <s v="Liaison établissement 401000 COFICIEL TO"/>
    <m/>
    <e v="#N/A"/>
    <e v="#N/A"/>
    <n v="80757"/>
    <s v="LOCATION ALGECO ROUSSILLON (PÉRIODE TRAVAUX)"/>
    <s v="COFICIEL"/>
    <s v="Q3"/>
    <e v="#REF!"/>
    <e v="#REF!"/>
    <e v="#REF!"/>
  </r>
  <r>
    <s v="401000"/>
    <x v="6"/>
    <s v="FOURNISSEURS"/>
    <s v="OD"/>
    <n v="-912"/>
    <d v="2025-08-22T00:00:00"/>
    <s v="Liaison établissement 401000 COFICIEL TO"/>
    <m/>
    <e v="#N/A"/>
    <e v="#N/A"/>
    <n v="81604"/>
    <s v="LOCATION ALGECO ROUSSILLON (PÉRIODE TRAVAUX)"/>
    <s v="COFICIEL"/>
    <s v="Q3"/>
    <e v="#REF!"/>
    <e v="#REF!"/>
    <e v="#REF!"/>
  </r>
  <r>
    <s v="401000"/>
    <x v="6"/>
    <s v="FOURNISSEURS"/>
    <s v="OD"/>
    <n v="-912"/>
    <d v="2025-09-12T00:00:00"/>
    <s v="Liaison établissement 401000 COFICIEL TO"/>
    <m/>
    <e v="#N/A"/>
    <e v="#N/A"/>
    <n v="81998"/>
    <s v="F2507/0532"/>
    <s v="COFICIEL"/>
    <s v="Q3"/>
    <e v="#REF!"/>
    <e v="#REF!"/>
    <e v="#REF!"/>
  </r>
  <r>
    <s v="401000"/>
    <x v="6"/>
    <s v="FOURNISSEURS"/>
    <s v="OD"/>
    <n v="-912"/>
    <d v="2025-09-26T00:00:00"/>
    <s v="Liaison établissement 401000 COFICIEL TO"/>
    <m/>
    <e v="#N/A"/>
    <e v="#N/A"/>
    <n v="82496"/>
    <s v="INVOICE PAYMENT BY PILI"/>
    <s v="COFICIEL"/>
    <s v="Q3"/>
    <e v="#REF!"/>
    <e v="#REF!"/>
    <e v="#REF!"/>
  </r>
  <r>
    <s v="401000"/>
    <x v="6"/>
    <s v="FOURNISSEURS"/>
    <s v="OD"/>
    <n v="-912"/>
    <d v="2025-10-31T00:00:00"/>
    <s v="Liaison établissement 401000 COFICIEL TO"/>
    <m/>
    <e v="#N/A"/>
    <e v="#N/A"/>
    <n v="87552"/>
    <s v="F2509/0832"/>
    <s v="COFICIEL"/>
    <s v="Q4"/>
    <e v="#REF!"/>
    <e v="#REF!"/>
    <e v="#REF!"/>
  </r>
  <r>
    <s v="401000"/>
    <x v="6"/>
    <s v="FOURNISSEURS"/>
    <s v="OD"/>
    <n v="-912"/>
    <d v="2025-12-05T00:00:00"/>
    <s v="Liaison établissement 401000 COFICIEL TO"/>
    <m/>
    <e v="#N/A"/>
    <e v="#N/A"/>
    <n v="91357"/>
    <s v="F2510/0735"/>
    <s v="COFICIEL"/>
    <s v="Q4"/>
    <e v="#REF!"/>
    <e v="#REF!"/>
    <e v="#REF!"/>
  </r>
  <r>
    <s v="401000"/>
    <x v="6"/>
    <s v="FOURNISSEURS"/>
    <s v="OD"/>
    <n v="-912"/>
    <d v="2025-12-30T00:00:00"/>
    <s v="Liaison établissement 401000 COFICIEL TO"/>
    <m/>
    <e v="#N/A"/>
    <e v="#N/A"/>
    <n v="93820"/>
    <s v="F2511/1366"/>
    <s v="COFICIEL"/>
    <s v="Q4"/>
    <e v="#REF!"/>
    <e v="#REF!"/>
    <e v="#REF!"/>
  </r>
  <r>
    <s v="401000"/>
    <x v="6"/>
    <s v="FOURNISSEURS"/>
    <s v="OD"/>
    <n v="-907.2"/>
    <d v="2025-02-05T00:00:00"/>
    <s v="Liaison inter-établissement"/>
    <m/>
    <e v="#N/A"/>
    <e v="#N/A"/>
    <n v="74262"/>
    <m/>
    <s v="ORANGE"/>
    <s v="Q1"/>
    <e v="#REF!"/>
    <e v="#REF!"/>
    <e v="#REF!"/>
  </r>
  <r>
    <s v="401000"/>
    <x v="6"/>
    <s v="FOURNISSEURS"/>
    <s v="OD"/>
    <n v="-907.2"/>
    <d v="2025-04-08T00:00:00"/>
    <s v="Liaison inter-établissement"/>
    <m/>
    <e v="#N/A"/>
    <e v="#N/A"/>
    <n v="70059"/>
    <m/>
    <s v="ORANGE"/>
    <s v="Q2"/>
    <e v="#REF!"/>
    <e v="#REF!"/>
    <e v="#REF!"/>
  </r>
  <r>
    <s v="401000"/>
    <x v="6"/>
    <s v="FOURNISSEURS"/>
    <s v="OD"/>
    <n v="-907.2"/>
    <d v="2025-06-04T00:00:00"/>
    <s v="Liaison inter-établissement"/>
    <m/>
    <e v="#N/A"/>
    <e v="#N/A"/>
    <n v="78863"/>
    <m/>
    <s v="ORANGE"/>
    <s v="Q2"/>
    <e v="#REF!"/>
    <e v="#REF!"/>
    <e v="#REF!"/>
  </r>
  <r>
    <s v="401000"/>
    <x v="6"/>
    <s v="FOURNISSEURS"/>
    <s v="OD"/>
    <n v="-907.2"/>
    <d v="2025-10-06T00:00:00"/>
    <s v="Liaison inter-établissement"/>
    <m/>
    <e v="#N/A"/>
    <e v="#N/A"/>
    <n v="86965"/>
    <m/>
    <s v="ORANGE"/>
    <s v="Q4"/>
    <e v="#REF!"/>
    <e v="#REF!"/>
    <e v="#REF!"/>
  </r>
  <r>
    <s v="401000"/>
    <x v="6"/>
    <s v="FOURNISSEURS"/>
    <s v="OD"/>
    <n v="-907.2"/>
    <d v="2025-12-05T00:00:00"/>
    <s v="Liaison inter-établissement"/>
    <m/>
    <e v="#N/A"/>
    <e v="#N/A"/>
    <n v="91921"/>
    <m/>
    <s v="ORANGE"/>
    <s v="Q4"/>
    <e v="#REF!"/>
    <e v="#REF!"/>
    <e v="#REF!"/>
  </r>
  <r>
    <s v="401000"/>
    <x v="6"/>
    <s v="FOURNISSEURS"/>
    <s v="OD"/>
    <n v="-900"/>
    <d v="2025-04-15T00:00:00"/>
    <s v="Liaison inter-établissement"/>
    <m/>
    <e v="#N/A"/>
    <e v="#N/A"/>
    <n v="68089"/>
    <m/>
    <s v="CLOUP"/>
    <s v="Q2"/>
    <e v="#REF!"/>
    <e v="#REF!"/>
    <e v="#REF!"/>
  </r>
  <r>
    <s v="401000"/>
    <x v="6"/>
    <s v="FOURNISSEURS"/>
    <s v="OD"/>
    <n v="-900"/>
    <d v="2025-06-16T00:00:00"/>
    <s v="Liaison établissement 401000 CHARRIERE TO"/>
    <s v="Non"/>
    <s v="Non"/>
    <e v="#N/A"/>
    <n v="76077"/>
    <s v="CONSULTANTE E CHARRIÈRE"/>
    <s v="CHARRIERE Eugenie"/>
    <s v="Q2"/>
    <e v="#REF!"/>
    <e v="#REF!"/>
    <e v="#REF!"/>
  </r>
  <r>
    <s v="401000"/>
    <x v="6"/>
    <s v="FOURNISSEURS"/>
    <s v="OD"/>
    <n v="-888.06"/>
    <d v="2025-02-28T00:00:00"/>
    <s v="Liaison inter-établissement"/>
    <s v="Non"/>
    <s v="Non"/>
    <e v="#N/A"/>
    <n v="63780"/>
    <m/>
    <s v="OSIRIS"/>
    <s v="Q1"/>
    <e v="#REF!"/>
    <e v="#REF!"/>
    <e v="#REF!"/>
  </r>
  <r>
    <s v="401000"/>
    <x v="6"/>
    <s v="FOURNISSEURS"/>
    <s v="OD"/>
    <n v="-885.18"/>
    <d v="2025-04-23T00:00:00"/>
    <s v="Liaison inter-établissement"/>
    <m/>
    <s v="Non"/>
    <n v="0"/>
    <n v="68217"/>
    <m/>
    <s v="SERVICE ACTION SANTE"/>
    <s v="Q2"/>
    <e v="#REF!"/>
    <e v="#REF!"/>
    <e v="#REF!"/>
  </r>
  <r>
    <s v="401000"/>
    <x v="6"/>
    <s v="FOURNISSEURS"/>
    <s v="OD"/>
    <n v="-875"/>
    <d v="2025-01-03T00:00:00"/>
    <s v="Frais Bpifrance"/>
    <m/>
    <e v="#N/A"/>
    <e v="#N/A"/>
    <n v="90120"/>
    <m/>
    <s v="BPI FRANCE"/>
    <s v="Q1"/>
    <e v="#REF!"/>
    <e v="#REF!"/>
    <e v="#REF!"/>
  </r>
  <r>
    <s v="401000"/>
    <x v="6"/>
    <s v="FOURNISSEURS"/>
    <s v="OD"/>
    <n v="-859.07"/>
    <d v="2025-08-01T00:00:00"/>
    <s v="Liaison inter-établissement"/>
    <m/>
    <e v="#N/A"/>
    <e v="#N/A"/>
    <n v="85071"/>
    <m/>
    <s v="MAXOUTILS"/>
    <s v="Q3"/>
    <e v="#REF!"/>
    <e v="#REF!"/>
    <e v="#REF!"/>
  </r>
  <r>
    <s v="401000"/>
    <x v="6"/>
    <s v="FOURNISSEURS"/>
    <s v="OD"/>
    <n v="-858"/>
    <d v="2025-03-28T00:00:00"/>
    <s v="Liaison établissement 401000 DIVA TO"/>
    <m/>
    <e v="#N/A"/>
    <e v="#N/A"/>
    <n v="65013"/>
    <s v="Invoice Payment by Pili"/>
    <s v="AGENCE DIVA"/>
    <s v="Q1"/>
    <e v="#REF!"/>
    <e v="#REF!"/>
    <e v="#REF!"/>
  </r>
  <r>
    <s v="401000"/>
    <x v="6"/>
    <s v="FOURNISSEURS"/>
    <s v="OD"/>
    <n v="-852"/>
    <d v="2025-09-12T00:00:00"/>
    <s v="Liaison établissement 401000 ALGOCHEM TO"/>
    <m/>
    <e v="#N/A"/>
    <e v="#N/A"/>
    <n v="82018"/>
    <s v="FACTURE 910"/>
    <s v="ALGOCHEM"/>
    <s v="Q3"/>
    <e v="#REF!"/>
    <e v="#REF!"/>
    <e v="#REF!"/>
  </r>
  <r>
    <s v="401000"/>
    <x v="6"/>
    <s v="FOURNISSEURS"/>
    <s v="OD"/>
    <n v="-849.6"/>
    <d v="2025-03-11T00:00:00"/>
    <s v="Liaison inter-établissement"/>
    <m/>
    <e v="#N/A"/>
    <e v="#N/A"/>
    <n v="74065"/>
    <m/>
    <s v="BROSSIER TRANSPORTS"/>
    <s v="Q1"/>
    <e v="#REF!"/>
    <e v="#REF!"/>
    <e v="#REF!"/>
  </r>
  <r>
    <s v="401000"/>
    <x v="6"/>
    <s v="FOURNISSEURS"/>
    <s v="OD"/>
    <n v="-844.73"/>
    <d v="2025-08-21T00:00:00"/>
    <s v="Liaison établissement 401000 VWR TO"/>
    <m/>
    <e v="#N/A"/>
    <e v="#N/A"/>
    <n v="81514"/>
    <s v="COMMANDE CONSOMMABLES ET SOLVANTS POUR LABO"/>
    <s v="VWR AVANTOR"/>
    <s v="Q3"/>
    <e v="#REF!"/>
    <e v="#REF!"/>
    <e v="#REF!"/>
  </r>
  <r>
    <s v="401000"/>
    <x v="6"/>
    <s v="FOURNISSEURS"/>
    <s v="OD"/>
    <n v="-838.23"/>
    <d v="2025-11-04T00:00:00"/>
    <s v="Ecart de change"/>
    <m/>
    <e v="#N/A"/>
    <e v="#N/A"/>
    <n v="88175"/>
    <m/>
    <s v="AMERICAN CHEMICAL SOCIETY"/>
    <s v="Q4"/>
    <e v="#REF!"/>
    <e v="#REF!"/>
    <e v="#REF!"/>
  </r>
  <r>
    <s v="401000"/>
    <x v="6"/>
    <s v="FOURNISSEURS"/>
    <s v="OD"/>
    <n v="-834"/>
    <d v="2025-11-17T00:00:00"/>
    <s v="Liaison établissement 401000 SAESPCI TO"/>
    <m/>
    <e v="#N/A"/>
    <e v="#N/A"/>
    <n v="90147"/>
    <s v="RMN ESPCI"/>
    <s v="SAESPCI"/>
    <s v="Q4"/>
    <e v="#REF!"/>
    <e v="#REF!"/>
    <e v="#REF!"/>
  </r>
  <r>
    <s v="401000"/>
    <x v="6"/>
    <s v="FOURNISSEURS"/>
    <s v="OD"/>
    <n v="-832.2"/>
    <d v="2025-04-29T00:00:00"/>
    <s v="Liaison établissement 401000 SAESPCI TO"/>
    <m/>
    <e v="#N/A"/>
    <e v="#N/A"/>
    <n v="70495"/>
    <s v="Invocie Payment by Pili"/>
    <s v="SAESPCI"/>
    <s v="Q2"/>
    <e v="#REF!"/>
    <e v="#REF!"/>
    <e v="#REF!"/>
  </r>
  <r>
    <s v="401000"/>
    <x v="6"/>
    <s v="FOURNISSEURS"/>
    <s v="OD"/>
    <n v="-828.34"/>
    <d v="2025-11-19T00:00:00"/>
    <s v="Liaison établissement 401000 BOUFFE TO"/>
    <m/>
    <e v="#N/A"/>
    <e v="#N/A"/>
    <n v="90481"/>
    <s v="F-1013-1766"/>
    <s v="LES BOUFFESQUETAIRES"/>
    <s v="Q4"/>
    <e v="#REF!"/>
    <e v="#REF!"/>
    <e v="#REF!"/>
  </r>
  <r>
    <s v="401000"/>
    <x v="6"/>
    <s v="FOURNISSEURS"/>
    <s v="OD"/>
    <n v="-828"/>
    <d v="2025-08-21T00:00:00"/>
    <s v="Liaison établissement 401000 THERMOELECTRON TO"/>
    <m/>
    <s v="Non"/>
    <e v="#N/A"/>
    <n v="81482"/>
    <s v="UTILISATION LOGICIEL CHROMOLEON - NIVEAU 2 - 1 JOURNÉE"/>
    <s v="THERMOELECTRON"/>
    <s v="Q3"/>
    <e v="#REF!"/>
    <e v="#REF!"/>
    <e v="#REF!"/>
  </r>
  <r>
    <s v="401000"/>
    <x v="6"/>
    <s v="FOURNISSEURS"/>
    <s v="OD"/>
    <n v="-818.4"/>
    <d v="2025-09-12T00:00:00"/>
    <s v="Liaison établissement 401000 GAZDETECT TO"/>
    <m/>
    <e v="#N/A"/>
    <e v="#N/A"/>
    <n v="82013"/>
    <s v="PAC 6500 SO2 0-100 PPM STANDARD"/>
    <s v="GAZ DETECT"/>
    <s v="Q3"/>
    <e v="#REF!"/>
    <e v="#REF!"/>
    <e v="#REF!"/>
  </r>
  <r>
    <s v="401000"/>
    <x v="6"/>
    <s v="FOURNISSEURS"/>
    <s v="OD"/>
    <n v="-810"/>
    <d v="2025-01-30T00:00:00"/>
    <s v="Liaison inter-établissement"/>
    <m/>
    <e v="#N/A"/>
    <e v="#N/A"/>
    <n v="63874"/>
    <m/>
    <s v="SMTS"/>
    <s v="Q1"/>
    <e v="#REF!"/>
    <e v="#REF!"/>
    <e v="#REF!"/>
  </r>
  <r>
    <s v="401000"/>
    <x v="6"/>
    <s v="FOURNISSEURS"/>
    <s v="OD"/>
    <n v="-800.84"/>
    <d v="2025-01-25T00:00:00"/>
    <s v="Liaison inter-établissement"/>
    <m/>
    <e v="#N/A"/>
    <e v="#N/A"/>
    <n v="63508"/>
    <m/>
    <s v="AIR FRANCE"/>
    <s v="Q1"/>
    <e v="#REF!"/>
    <e v="#REF!"/>
    <e v="#REF!"/>
  </r>
  <r>
    <s v="401000"/>
    <x v="6"/>
    <s v="FOURNISSEURS"/>
    <s v="OD"/>
    <n v="-800.84"/>
    <d v="2025-01-25T00:00:00"/>
    <s v="Liaison inter-établissement"/>
    <m/>
    <e v="#N/A"/>
    <e v="#N/A"/>
    <n v="63512"/>
    <m/>
    <s v="AIR FRANCE"/>
    <s v="Q1"/>
    <e v="#REF!"/>
    <e v="#REF!"/>
    <e v="#REF!"/>
  </r>
  <r>
    <s v="401000"/>
    <x v="6"/>
    <s v="FOURNISSEURS"/>
    <s v="OD"/>
    <n v="-800"/>
    <d v="2025-08-18T00:00:00"/>
    <s v="Liaison établissement 401000 IRCOM TO"/>
    <m/>
    <s v="Non"/>
    <e v="#N/A"/>
    <n v="81144"/>
    <s v="FORMATION COMMUNICATION DE CRISE"/>
    <s v="IRCOM"/>
    <s v="Q3"/>
    <e v="#REF!"/>
    <e v="#REF!"/>
    <e v="#REF!"/>
  </r>
  <r>
    <s v="401000"/>
    <x v="6"/>
    <s v="FOURNISSEURS"/>
    <s v="OD"/>
    <n v="-797.01"/>
    <d v="2025-11-21T00:00:00"/>
    <s v="Liaison inter-établissement vers TO "/>
    <m/>
    <e v="#N/A"/>
    <e v="#N/A"/>
    <n v="97986"/>
    <m/>
    <s v="MAXIBURO"/>
    <s v="Q4"/>
    <e v="#REF!"/>
    <e v="#REF!"/>
    <e v="#REF!"/>
  </r>
  <r>
    <s v="401000"/>
    <x v="6"/>
    <s v="FOURNISSEURS"/>
    <s v="OD"/>
    <n v="-796.3"/>
    <d v="2025-04-25T00:00:00"/>
    <s v="Liaison établissement 401000 BOUFFE TO"/>
    <m/>
    <e v="#N/A"/>
    <e v="#N/A"/>
    <n v="70200"/>
    <s v="Invoice Payment by Pili"/>
    <s v="LES BOUFFESQUETAIRES"/>
    <s v="Q2"/>
    <e v="#REF!"/>
    <e v="#REF!"/>
    <e v="#REF!"/>
  </r>
  <r>
    <s v="401000"/>
    <x v="6"/>
    <s v="FOURNISSEURS"/>
    <s v="OD"/>
    <n v="-792"/>
    <d v="2025-05-16T00:00:00"/>
    <s v="Liaison établissement 401000 AGRUME TO"/>
    <m/>
    <s v="Non"/>
    <e v="#N/A"/>
    <n v="72839"/>
    <s v="ELECTIONS CSE PAR VOIE ÉLECTRONIQUE SUR LA BASE DE 40 ÉLECTEURS"/>
    <s v="AGRUME"/>
    <s v="Q2"/>
    <e v="#REF!"/>
    <e v="#REF!"/>
    <e v="#REF!"/>
  </r>
  <r>
    <s v="401000"/>
    <x v="6"/>
    <s v="FOURNISSEURS"/>
    <s v="OD"/>
    <n v="-778.8"/>
    <d v="2025-01-02T00:00:00"/>
    <s v="Liaison inter-établissement"/>
    <m/>
    <e v="#N/A"/>
    <e v="#N/A"/>
    <n v="63906"/>
    <m/>
    <s v="SPENDESK"/>
    <s v="Q1"/>
    <e v="#REF!"/>
    <e v="#REF!"/>
    <e v="#REF!"/>
  </r>
  <r>
    <s v="401000"/>
    <x v="6"/>
    <s v="FOURNISSEURS"/>
    <s v="OD"/>
    <n v="-778.8"/>
    <d v="2025-02-04T00:00:00"/>
    <s v="Liaison inter-établissement"/>
    <m/>
    <e v="#N/A"/>
    <e v="#N/A"/>
    <n v="64346"/>
    <m/>
    <s v="SPENDESK"/>
    <s v="Q1"/>
    <e v="#REF!"/>
    <e v="#REF!"/>
    <e v="#REF!"/>
  </r>
  <r>
    <s v="401000"/>
    <x v="6"/>
    <s v="FOURNISSEURS"/>
    <s v="OD"/>
    <n v="-778.8"/>
    <d v="2025-03-04T00:00:00"/>
    <s v="Liaison inter-établissement"/>
    <m/>
    <e v="#N/A"/>
    <e v="#N/A"/>
    <n v="70031"/>
    <m/>
    <s v="SPENDESK"/>
    <s v="Q1"/>
    <e v="#REF!"/>
    <e v="#REF!"/>
    <e v="#REF!"/>
  </r>
  <r>
    <s v="401000"/>
    <x v="6"/>
    <s v="FOURNISSEURS"/>
    <s v="OD"/>
    <n v="-778.8"/>
    <d v="2025-04-02T00:00:00"/>
    <s v="Liaison inter-établissement"/>
    <m/>
    <e v="#N/A"/>
    <e v="#N/A"/>
    <n v="74740"/>
    <m/>
    <s v="SPENDESK"/>
    <s v="Q2"/>
    <e v="#REF!"/>
    <e v="#REF!"/>
    <e v="#REF!"/>
  </r>
  <r>
    <s v="401000"/>
    <x v="6"/>
    <s v="FOURNISSEURS"/>
    <s v="OD"/>
    <n v="-778.8"/>
    <d v="2025-05-02T00:00:00"/>
    <s v="Liaison inter-établissement"/>
    <m/>
    <e v="#N/A"/>
    <e v="#N/A"/>
    <n v="75098"/>
    <m/>
    <s v="SPENDESK"/>
    <s v="Q2"/>
    <e v="#REF!"/>
    <e v="#REF!"/>
    <e v="#REF!"/>
  </r>
  <r>
    <s v="401000"/>
    <x v="6"/>
    <s v="FOURNISSEURS"/>
    <s v="OD"/>
    <n v="-778.8"/>
    <d v="2025-06-05T00:00:00"/>
    <s v="Liaison inter-établissement"/>
    <m/>
    <e v="#N/A"/>
    <e v="#N/A"/>
    <n v="78214"/>
    <m/>
    <s v="SPENDESK"/>
    <s v="Q2"/>
    <e v="#REF!"/>
    <e v="#REF!"/>
    <e v="#REF!"/>
  </r>
  <r>
    <s v="401000"/>
    <x v="6"/>
    <s v="FOURNISSEURS"/>
    <s v="OD"/>
    <n v="-778.8"/>
    <d v="2025-07-02T00:00:00"/>
    <s v="Liaison inter-établissement"/>
    <m/>
    <e v="#N/A"/>
    <e v="#N/A"/>
    <n v="81052"/>
    <m/>
    <s v="SPENDESK"/>
    <s v="Q3"/>
    <e v="#REF!"/>
    <e v="#REF!"/>
    <e v="#REF!"/>
  </r>
  <r>
    <s v="401000"/>
    <x v="6"/>
    <s v="FOURNISSEURS"/>
    <s v="OD"/>
    <n v="-778.8"/>
    <d v="2025-08-05T00:00:00"/>
    <s v="Liaison inter-établissement"/>
    <m/>
    <e v="#N/A"/>
    <e v="#N/A"/>
    <n v="83251"/>
    <m/>
    <s v="SPENDESK"/>
    <s v="Q3"/>
    <e v="#REF!"/>
    <e v="#REF!"/>
    <e v="#REF!"/>
  </r>
  <r>
    <s v="401000"/>
    <x v="6"/>
    <s v="FOURNISSEURS"/>
    <s v="OD"/>
    <n v="-778.8"/>
    <d v="2025-09-02T00:00:00"/>
    <s v="Liaison inter-établissement"/>
    <m/>
    <e v="#N/A"/>
    <e v="#N/A"/>
    <n v="83175"/>
    <m/>
    <s v="SPENDESK"/>
    <s v="Q3"/>
    <e v="#REF!"/>
    <e v="#REF!"/>
    <e v="#REF!"/>
  </r>
  <r>
    <s v="401000"/>
    <x v="6"/>
    <s v="FOURNISSEURS"/>
    <s v="OD"/>
    <n v="-778.8"/>
    <d v="2025-10-02T00:00:00"/>
    <s v="Liaison inter-établissement"/>
    <m/>
    <e v="#N/A"/>
    <e v="#N/A"/>
    <n v="89832"/>
    <m/>
    <s v="SPENDESK"/>
    <s v="Q4"/>
    <e v="#REF!"/>
    <e v="#REF!"/>
    <e v="#REF!"/>
  </r>
  <r>
    <s v="401000"/>
    <x v="6"/>
    <s v="FOURNISSEURS"/>
    <s v="OD"/>
    <n v="-778.8"/>
    <d v="2025-11-04T00:00:00"/>
    <s v="Liaison inter-établissement"/>
    <m/>
    <e v="#N/A"/>
    <e v="#N/A"/>
    <n v="91752"/>
    <m/>
    <s v="SPENDESK"/>
    <s v="Q4"/>
    <e v="#REF!"/>
    <e v="#REF!"/>
    <e v="#REF!"/>
  </r>
  <r>
    <s v="401000"/>
    <x v="6"/>
    <s v="FOURNISSEURS"/>
    <s v="OD"/>
    <n v="-778.8"/>
    <d v="2025-12-02T00:00:00"/>
    <s v="Liaison inter-établissement"/>
    <m/>
    <e v="#N/A"/>
    <e v="#N/A"/>
    <n v="94147"/>
    <m/>
    <s v="SPENDESK"/>
    <s v="Q4"/>
    <e v="#REF!"/>
    <e v="#REF!"/>
    <e v="#REF!"/>
  </r>
  <r>
    <s v="401000"/>
    <x v="6"/>
    <s v="FOURNISSEURS"/>
    <s v="OD"/>
    <n v="-769.28"/>
    <d v="2025-03-18T00:00:00"/>
    <s v="Liaison inter-établissement"/>
    <m/>
    <e v="#N/A"/>
    <e v="#N/A"/>
    <n v="64474"/>
    <m/>
    <s v="VWR AVANTOR"/>
    <s v="Q1"/>
    <e v="#REF!"/>
    <e v="#REF!"/>
    <e v="#REF!"/>
  </r>
  <r>
    <s v="401000"/>
    <x v="6"/>
    <s v="FOURNISSEURS"/>
    <s v="OD"/>
    <n v="-760.83"/>
    <d v="2025-02-06T00:00:00"/>
    <s v="Liaison inter-établissement"/>
    <m/>
    <e v="#N/A"/>
    <e v="#N/A"/>
    <n v="63934"/>
    <m/>
    <s v="VWR AVANTOR"/>
    <s v="Q1"/>
    <e v="#REF!"/>
    <e v="#REF!"/>
    <e v="#REF!"/>
  </r>
  <r>
    <s v="401000"/>
    <x v="6"/>
    <s v="FOURNISSEURS"/>
    <s v="OD"/>
    <n v="-760.57"/>
    <d v="2025-03-04T00:00:00"/>
    <s v="Liaison inter-établissement"/>
    <m/>
    <s v="Non"/>
    <e v="#N/A"/>
    <n v="71902"/>
    <m/>
    <s v="DIVERS"/>
    <s v="Q1"/>
    <e v="#REF!"/>
    <e v="#REF!"/>
    <e v="#REF!"/>
  </r>
  <r>
    <s v="401000"/>
    <x v="6"/>
    <s v="FOURNISSEURS"/>
    <s v="OD"/>
    <n v="-752"/>
    <d v="2025-10-06T00:00:00"/>
    <s v="Liaison établissement 401000 ABELC TO"/>
    <m/>
    <e v="#N/A"/>
    <e v="#N/A"/>
    <n v="82897"/>
    <s v="ENTRETIEN MÉNAGER"/>
    <s v="ABEL CHRIST SOMPLEI"/>
    <s v="Q4"/>
    <e v="#REF!"/>
    <e v="#REF!"/>
    <e v="#REF!"/>
  </r>
  <r>
    <s v="401000"/>
    <x v="6"/>
    <s v="FOURNISSEURS"/>
    <s v="OD"/>
    <n v="-752"/>
    <d v="2025-11-28T00:00:00"/>
    <s v="Liaison établissement 401000 ABELC TO"/>
    <m/>
    <e v="#N/A"/>
    <e v="#N/A"/>
    <n v="91244"/>
    <s v="PILI-171125"/>
    <s v="ABEL CHRIST SOMPLEI"/>
    <s v="Q4"/>
    <e v="#REF!"/>
    <e v="#REF!"/>
    <e v="#REF!"/>
  </r>
  <r>
    <s v="401000"/>
    <x v="6"/>
    <s v="FOURNISSEURS"/>
    <s v="OD"/>
    <n v="-747.97"/>
    <d v="2025-01-23T00:00:00"/>
    <s v="Liaison inter-établissement"/>
    <m/>
    <s v="Non"/>
    <e v="#N/A"/>
    <n v="63716"/>
    <m/>
    <s v="DIVERS"/>
    <s v="Q1"/>
    <e v="#REF!"/>
    <e v="#REF!"/>
    <e v="#REF!"/>
  </r>
  <r>
    <s v="401000"/>
    <x v="6"/>
    <s v="FOURNISSEURS"/>
    <s v="OD"/>
    <n v="-739.98"/>
    <d v="2025-12-10T00:00:00"/>
    <s v="Liaison établissement 401000 FRANCECHIMIE TO"/>
    <m/>
    <s v="Non"/>
    <s v="Oui"/>
    <n v="92078"/>
    <s v="SD 106 - 072025"/>
    <s v="FRANCE CHIMIE"/>
    <s v="Q4"/>
    <e v="#REF!"/>
    <e v="#REF!"/>
    <e v="#REF!"/>
  </r>
  <r>
    <s v="401000"/>
    <x v="6"/>
    <s v="FOURNISSEURS"/>
    <s v="OD"/>
    <n v="-736.02"/>
    <d v="2025-09-12T00:00:00"/>
    <s v="Liaison établissement 401000 FISHER TO"/>
    <m/>
    <e v="#N/A"/>
    <e v="#N/A"/>
    <n v="82003"/>
    <s v="BENZENE SULFONYLE CHLORURE POUR KEENY STEP 3"/>
    <s v="FISHER SCIENTIFIC"/>
    <s v="Q3"/>
    <e v="#REF!"/>
    <e v="#REF!"/>
    <e v="#REF!"/>
  </r>
  <r>
    <s v="401000"/>
    <x v="6"/>
    <s v="FOURNISSEURS"/>
    <s v="OD"/>
    <n v="-723.6"/>
    <d v="2025-12-30T00:00:00"/>
    <s v="Liaison établissement 401000 EIFFAGE ENERGIE SYSTEMES TO"/>
    <m/>
    <e v="#N/A"/>
    <e v="#N/A"/>
    <n v="93788"/>
    <s v="F00034250900145"/>
    <s v="EIFFAGE ENERGIE SYSTEMES"/>
    <s v="Q4"/>
    <e v="#REF!"/>
    <e v="#REF!"/>
    <e v="#REF!"/>
  </r>
  <r>
    <s v="401000"/>
    <x v="6"/>
    <s v="FOURNISSEURS"/>
    <s v="OD"/>
    <n v="-721"/>
    <d v="2025-04-25T00:00:00"/>
    <s v="Liaison inter-établissement"/>
    <m/>
    <e v="#N/A"/>
    <e v="#N/A"/>
    <n v="74786"/>
    <m/>
    <s v="SNCF"/>
    <s v="Q2"/>
    <e v="#REF!"/>
    <e v="#REF!"/>
    <e v="#REF!"/>
  </r>
  <r>
    <s v="401000"/>
    <x v="6"/>
    <s v="FOURNISSEURS"/>
    <s v="OD"/>
    <n v="-721"/>
    <d v="2025-06-16T00:00:00"/>
    <s v="Liaison établissement 401000 BIOTIKA TO"/>
    <s v="Non"/>
    <e v="#N/A"/>
    <e v="#N/A"/>
    <n v="76067"/>
    <s v="TRANSPORT COSTS"/>
    <s v="BIOTIKA"/>
    <s v="Q2"/>
    <e v="#REF!"/>
    <e v="#REF!"/>
    <e v="#REF!"/>
  </r>
  <r>
    <s v="401000"/>
    <x v="6"/>
    <s v="FOURNISSEURS"/>
    <s v="OD"/>
    <n v="-720"/>
    <d v="2025-04-07T00:00:00"/>
    <s v="Liaison inter-établissement"/>
    <m/>
    <e v="#N/A"/>
    <e v="#N/A"/>
    <n v="72915"/>
    <m/>
    <s v="EURECIA"/>
    <s v="Q2"/>
    <e v="#REF!"/>
    <e v="#REF!"/>
    <e v="#REF!"/>
  </r>
  <r>
    <s v="401000"/>
    <x v="6"/>
    <s v="FOURNISSEURS"/>
    <s v="OD"/>
    <n v="-716.7"/>
    <d v="2025-04-29T00:00:00"/>
    <s v="Liaison établissement 401000 METTLER TO"/>
    <m/>
    <e v="#N/A"/>
    <e v="#N/A"/>
    <n v="70468"/>
    <s v="Invocie Payment by Pili"/>
    <s v="METTLER TOLEDO"/>
    <s v="Q2"/>
    <e v="#REF!"/>
    <e v="#REF!"/>
    <e v="#REF!"/>
  </r>
  <r>
    <s v="401000"/>
    <x v="6"/>
    <s v="FOURNISSEURS"/>
    <s v="OD"/>
    <n v="-709.8"/>
    <d v="2025-05-07T00:00:00"/>
    <s v="Liaison établissement 401000 FOURE TO"/>
    <m/>
    <e v="#N/A"/>
    <e v="#N/A"/>
    <n v="71773"/>
    <s v="MODIFICATION BUTÉE MONORAIL RÉACTEUR INOX"/>
    <s v="FOURE LAGADEC"/>
    <s v="Q2"/>
    <e v="#REF!"/>
    <e v="#REF!"/>
    <e v="#REF!"/>
  </r>
  <r>
    <s v="401000"/>
    <x v="6"/>
    <s v="FOURNISSEURS"/>
    <s v="OD"/>
    <n v="-696.42"/>
    <d v="2025-03-12T00:00:00"/>
    <s v="Liaison inter-établissement"/>
    <m/>
    <s v="Non"/>
    <e v="#N/A"/>
    <n v="68109"/>
    <m/>
    <s v="DIVERS"/>
    <s v="Q1"/>
    <e v="#REF!"/>
    <e v="#REF!"/>
    <e v="#REF!"/>
  </r>
  <r>
    <s v="401000"/>
    <x v="6"/>
    <s v="FOURNISSEURS"/>
    <s v="OD"/>
    <n v="-690"/>
    <d v="2025-06-30T00:00:00"/>
    <s v="Liaison établissement 401000 BIOTIKA TO"/>
    <s v="Non"/>
    <e v="#N/A"/>
    <e v="#N/A"/>
    <n v="76863"/>
    <s v="TRANSPORT COST"/>
    <s v="BIOTIKA"/>
    <s v="Q2"/>
    <e v="#REF!"/>
    <e v="#REF!"/>
    <e v="#REF!"/>
  </r>
  <r>
    <s v="401000"/>
    <x v="6"/>
    <s v="FOURNISSEURS"/>
    <s v="OD"/>
    <n v="-664.8"/>
    <d v="2025-04-18T00:00:00"/>
    <s v="Liaison établissement 401000 GSF TO"/>
    <m/>
    <e v="#N/A"/>
    <e v="#N/A"/>
    <n v="68180"/>
    <s v="Invoice Payment by Pili"/>
    <s v="GSF"/>
    <s v="Q2"/>
    <e v="#REF!"/>
    <e v="#REF!"/>
    <e v="#REF!"/>
  </r>
  <r>
    <s v="401000"/>
    <x v="6"/>
    <s v="FOURNISSEURS"/>
    <s v="OD"/>
    <n v="-661.69"/>
    <d v="2025-09-22T00:00:00"/>
    <s v="Liaison établissement 401000 THERMOELECTRON TO"/>
    <m/>
    <s v="Non"/>
    <e v="#N/A"/>
    <n v="82403"/>
    <s v="FILTRE DE PROTECTION POUR LA GC-MS (ARRIVÉ D'HÉLIUM + SORTIE DE LA POMPE)"/>
    <s v="THERMOELECTRON"/>
    <s v="Q3"/>
    <e v="#REF!"/>
    <e v="#REF!"/>
    <e v="#REF!"/>
  </r>
  <r>
    <s v="401000"/>
    <x v="6"/>
    <s v="FOURNISSEURS"/>
    <s v="OD"/>
    <n v="-660"/>
    <d v="2025-08-18T00:00:00"/>
    <s v="Liaison établissement 401000 COFICIEL TO"/>
    <m/>
    <e v="#N/A"/>
    <e v="#N/A"/>
    <n v="81149"/>
    <s v="F2506/0476"/>
    <s v="COFICIEL"/>
    <s v="Q3"/>
    <e v="#REF!"/>
    <e v="#REF!"/>
    <e v="#REF!"/>
  </r>
  <r>
    <s v="401000"/>
    <x v="6"/>
    <s v="FOURNISSEURS"/>
    <s v="OD"/>
    <n v="-660"/>
    <d v="2025-10-03T00:00:00"/>
    <s v="Liaison inter-établissement"/>
    <m/>
    <e v="#N/A"/>
    <e v="#N/A"/>
    <n v="89734"/>
    <m/>
    <s v="HOTELS"/>
    <s v="Q4"/>
    <e v="#REF!"/>
    <e v="#REF!"/>
    <e v="#REF!"/>
  </r>
  <r>
    <s v="401000"/>
    <x v="6"/>
    <s v="FOURNISSEURS"/>
    <s v="OD"/>
    <n v="-658"/>
    <d v="2025-01-07T00:00:00"/>
    <s v="Liaison inter-établissement"/>
    <m/>
    <e v="#N/A"/>
    <e v="#N/A"/>
    <n v="63480"/>
    <m/>
    <s v="ABEL CHRIST SOMPLEI"/>
    <s v="Q1"/>
    <e v="#REF!"/>
    <e v="#REF!"/>
    <e v="#REF!"/>
  </r>
  <r>
    <s v="401000"/>
    <x v="6"/>
    <s v="FOURNISSEURS"/>
    <s v="OD"/>
    <n v="-656.5"/>
    <d v="2025-07-17T00:00:00"/>
    <s v="Liaison inter-établissement"/>
    <m/>
    <e v="#N/A"/>
    <e v="#N/A"/>
    <n v="81352"/>
    <m/>
    <s v="BRENNTAG"/>
    <s v="Q3"/>
    <e v="#REF!"/>
    <e v="#REF!"/>
    <e v="#REF!"/>
  </r>
  <r>
    <s v="401000"/>
    <x v="6"/>
    <s v="FOURNISSEURS"/>
    <s v="OD"/>
    <n v="-655.09"/>
    <d v="2025-12-22T00:00:00"/>
    <s v="Liaison inter-établissement"/>
    <m/>
    <e v="#N/A"/>
    <e v="#N/A"/>
    <n v="93029"/>
    <m/>
    <s v="ROTH SOCHIEL"/>
    <s v="Q4"/>
    <e v="#REF!"/>
    <e v="#REF!"/>
    <e v="#REF!"/>
  </r>
  <r>
    <s v="401000"/>
    <x v="6"/>
    <s v="FOURNISSEURS"/>
    <s v="OD"/>
    <n v="-652.63"/>
    <d v="2025-10-06T00:00:00"/>
    <s v="Liaison établissement 401000 VWR TO"/>
    <m/>
    <e v="#N/A"/>
    <e v="#N/A"/>
    <n v="82912"/>
    <s v="PRODUITS KEENB"/>
    <s v="VWR AVANTOR"/>
    <s v="Q4"/>
    <e v="#REF!"/>
    <e v="#REF!"/>
    <e v="#REF!"/>
  </r>
  <r>
    <s v="401000"/>
    <x v="6"/>
    <s v="FOURNISSEURS"/>
    <s v="OD"/>
    <n v="-651.6"/>
    <d v="2025-03-18T00:00:00"/>
    <s v="Liaison inter-établissement"/>
    <m/>
    <e v="#N/A"/>
    <e v="#N/A"/>
    <n v="64390"/>
    <m/>
    <s v="3BCLIM"/>
    <s v="Q1"/>
    <e v="#REF!"/>
    <e v="#REF!"/>
    <e v="#REF!"/>
  </r>
  <r>
    <s v="401000"/>
    <x v="6"/>
    <s v="FOURNISSEURS"/>
    <s v="OD"/>
    <n v="-649"/>
    <d v="2025-04-29T00:00:00"/>
    <s v="Liaison inter-établissement"/>
    <m/>
    <e v="#N/A"/>
    <e v="#N/A"/>
    <n v="71411"/>
    <m/>
    <s v="ETAI"/>
    <s v="Q2"/>
    <e v="#REF!"/>
    <e v="#REF!"/>
    <e v="#REF!"/>
  </r>
  <r>
    <s v="401000"/>
    <x v="6"/>
    <s v="FOURNISSEURS"/>
    <s v="OD"/>
    <n v="-644.83000000000004"/>
    <d v="2025-01-09T00:00:00"/>
    <s v="Liaison inter-établissement"/>
    <m/>
    <e v="#N/A"/>
    <e v="#N/A"/>
    <n v="63696"/>
    <m/>
    <s v="DENIOS"/>
    <s v="Q1"/>
    <e v="#REF!"/>
    <e v="#REF!"/>
    <e v="#REF!"/>
  </r>
  <r>
    <s v="401000"/>
    <x v="6"/>
    <s v="FOURNISSEURS"/>
    <s v="OD"/>
    <n v="-644.52"/>
    <d v="2025-04-18T00:00:00"/>
    <s v="Liaison établissement 401000 EURISOTOP TO"/>
    <m/>
    <e v="#N/A"/>
    <e v="#N/A"/>
    <n v="68175"/>
    <s v="Invoice Payment by Pili"/>
    <s v="EURISOTOP"/>
    <s v="Q2"/>
    <e v="#REF!"/>
    <e v="#REF!"/>
    <e v="#REF!"/>
  </r>
  <r>
    <s v="401000"/>
    <x v="6"/>
    <s v="FOURNISSEURS"/>
    <s v="OD"/>
    <n v="-638"/>
    <d v="2025-04-29T00:00:00"/>
    <s v="Liaison établissement 401000 NURNBERG TO"/>
    <m/>
    <e v="#N/A"/>
    <e v="#N/A"/>
    <n v="70480"/>
    <s v="Invocie Payment by Pili"/>
    <s v="NURNBERG"/>
    <s v="Q2"/>
    <e v="#REF!"/>
    <e v="#REF!"/>
    <e v="#REF!"/>
  </r>
  <r>
    <s v="401000"/>
    <x v="6"/>
    <s v="FOURNISSEURS"/>
    <s v="OD"/>
    <n v="-637.20000000000005"/>
    <d v="2025-06-04T00:00:00"/>
    <s v="Liaison établissement 401000 CHAUM TO"/>
    <m/>
    <e v="#N/A"/>
    <e v="#N/A"/>
    <n v="75519"/>
    <s v="Invoice payment by Pili"/>
    <s v="GROUPE CHAUMEIL"/>
    <s v="Q2"/>
    <e v="#REF!"/>
    <e v="#REF!"/>
    <e v="#REF!"/>
  </r>
  <r>
    <s v="401000"/>
    <x v="6"/>
    <s v="FOURNISSEURS"/>
    <s v="OD"/>
    <n v="-631.20000000000005"/>
    <d v="2025-01-31T00:00:00"/>
    <s v="Liaison inter-établissement"/>
    <s v="Non"/>
    <s v="Non"/>
    <e v="#N/A"/>
    <n v="63784"/>
    <m/>
    <s v="OSIRIS"/>
    <s v="Q1"/>
    <e v="#REF!"/>
    <e v="#REF!"/>
    <e v="#REF!"/>
  </r>
  <r>
    <s v="401000"/>
    <x v="6"/>
    <s v="FOURNISSEURS"/>
    <s v="OD"/>
    <n v="-623.4"/>
    <d v="2025-04-29T00:00:00"/>
    <s v="Liaison établissement 401000 BECKER TO"/>
    <s v="Non"/>
    <s v="Oui"/>
    <e v="#N/A"/>
    <n v="70475"/>
    <s v="Invocie Payment by Pili"/>
    <s v="BECKER"/>
    <s v="Q2"/>
    <e v="#REF!"/>
    <e v="#REF!"/>
    <e v="#REF!"/>
  </r>
  <r>
    <s v="401000"/>
    <x v="6"/>
    <s v="FOURNISSEURS"/>
    <s v="OD"/>
    <n v="-615"/>
    <d v="2025-08-21T00:00:00"/>
    <s v="Liaison établissement 401000 BECKER TO"/>
    <s v="Non"/>
    <s v="Oui"/>
    <e v="#N/A"/>
    <n v="81403"/>
    <s v="RAPPORT DE RECHERCHE - BREVET PALOMA CHIMIE"/>
    <s v="BECKER"/>
    <s v="Q3"/>
    <e v="#REF!"/>
    <e v="#REF!"/>
    <e v="#REF!"/>
  </r>
  <r>
    <s v="401000"/>
    <x v="6"/>
    <s v="FOURNISSEURS"/>
    <s v="OD"/>
    <n v="-614.4"/>
    <d v="2025-01-01T00:00:00"/>
    <s v="Arcane Industrie Ethanol"/>
    <m/>
    <e v="#N/A"/>
    <e v="#N/A"/>
    <n v="70533"/>
    <m/>
    <s v="ARCANE INDUSTRIE"/>
    <s v="Q1"/>
    <e v="#REF!"/>
    <e v="#REF!"/>
    <e v="#REF!"/>
  </r>
  <r>
    <s v="401000"/>
    <x v="6"/>
    <s v="FOURNISSEURS"/>
    <s v="OD"/>
    <n v="-614.4"/>
    <d v="2025-02-08T00:00:00"/>
    <s v="Liaison inter-établissement"/>
    <m/>
    <e v="#N/A"/>
    <e v="#N/A"/>
    <n v="64254"/>
    <m/>
    <s v="ARCANE INDUSTRIE"/>
    <s v="Q1"/>
    <e v="#REF!"/>
    <e v="#REF!"/>
    <e v="#REF!"/>
  </r>
  <r>
    <s v="401000"/>
    <x v="6"/>
    <s v="FOURNISSEURS"/>
    <s v="OD"/>
    <n v="-609.24"/>
    <d v="2025-09-22T00:00:00"/>
    <s v="Liaison établissement 401000 ACRITEC TO"/>
    <m/>
    <e v="#N/A"/>
    <e v="#N/A"/>
    <n v="82414"/>
    <s v="CONTRÔLE ANNUEL ÉLECTRIQUE + VGP GERBEUR ÉLECTRIQUE"/>
    <s v="ACRITEC"/>
    <s v="Q3"/>
    <e v="#REF!"/>
    <e v="#REF!"/>
    <e v="#REF!"/>
  </r>
  <r>
    <s v="401000"/>
    <x v="6"/>
    <s v="FOURNISSEURS"/>
    <s v="OD"/>
    <n v="-608.58000000000004"/>
    <d v="2025-01-31T00:00:00"/>
    <s v="AIRLIQUIDE DECEMBRE"/>
    <m/>
    <e v="#N/A"/>
    <e v="#N/A"/>
    <n v="87143"/>
    <m/>
    <s v="AIR LIQUIDE"/>
    <s v="Q1"/>
    <e v="#REF!"/>
    <e v="#REF!"/>
    <e v="#REF!"/>
  </r>
  <r>
    <s v="401000"/>
    <x v="6"/>
    <s v="FOURNISSEURS"/>
    <s v="OD"/>
    <n v="-608.58000000000004"/>
    <d v="2025-01-31T00:00:00"/>
    <s v="Liaison inter-établissement"/>
    <m/>
    <e v="#N/A"/>
    <e v="#N/A"/>
    <n v="89855"/>
    <m/>
    <s v="AIR LIQUIDE"/>
    <s v="Q1"/>
    <e v="#REF!"/>
    <e v="#REF!"/>
    <e v="#REF!"/>
  </r>
  <r>
    <s v="401000"/>
    <x v="6"/>
    <s v="FOURNISSEURS"/>
    <s v="OD"/>
    <n v="-607.51"/>
    <d v="2025-03-18T00:00:00"/>
    <s v="Liaison inter-établissement"/>
    <m/>
    <e v="#N/A"/>
    <e v="#N/A"/>
    <n v="64482"/>
    <m/>
    <s v="VWR AVANTOR"/>
    <s v="Q1"/>
    <e v="#REF!"/>
    <e v="#REF!"/>
    <e v="#REF!"/>
  </r>
  <r>
    <s v="401000"/>
    <x v="6"/>
    <s v="FOURNISSEURS"/>
    <s v="OD"/>
    <n v="-600"/>
    <d v="2025-08-08T00:00:00"/>
    <s v="Liaison établissement 401000 ALTAIR TO"/>
    <s v="Non"/>
    <s v="Non"/>
    <e v="#N/A"/>
    <n v="80783"/>
    <s v="HONORAIRE FORFAITAIRE ATTENDANCE TO THE BOARD 13/05/2025"/>
    <s v="ALTAIR AVOCATS"/>
    <s v="Q3"/>
    <e v="#REF!"/>
    <e v="#REF!"/>
    <e v="#REF!"/>
  </r>
  <r>
    <s v="401000"/>
    <x v="6"/>
    <s v="FOURNISSEURS"/>
    <s v="OD"/>
    <n v="-600"/>
    <d v="2025-08-18T00:00:00"/>
    <s v="Liaison établissement 401000 SOCIETE CHIMIQUE DE FRANCE TO"/>
    <m/>
    <s v="Non"/>
    <e v="#N/A"/>
    <n v="81154"/>
    <s v="ADHÉSION SFC"/>
    <s v="SOCIETE CHIMIQUE DE FRANCE"/>
    <s v="Q3"/>
    <e v="#REF!"/>
    <e v="#REF!"/>
    <e v="#REF!"/>
  </r>
  <r>
    <s v="401000"/>
    <x v="6"/>
    <s v="FOURNISSEURS"/>
    <s v="OD"/>
    <n v="-600"/>
    <d v="2025-08-21T00:00:00"/>
    <s v="Liaison établissement 401000 ALTAIR TO"/>
    <s v="Non"/>
    <s v="Non"/>
    <e v="#N/A"/>
    <n v="81373"/>
    <s v="HONORAIRE FORFAITAIRE ATTENDANCE TO THE BOARD 10/06/2025"/>
    <s v="ALTAIR AVOCATS"/>
    <s v="Q3"/>
    <e v="#REF!"/>
    <e v="#REF!"/>
    <e v="#REF!"/>
  </r>
  <r>
    <s v="401000"/>
    <x v="6"/>
    <s v="FOURNISSEURS"/>
    <s v="OD"/>
    <n v="-597.6"/>
    <d v="2025-09-16T00:00:00"/>
    <s v="Liaison inter-établissement"/>
    <m/>
    <e v="#N/A"/>
    <e v="#N/A"/>
    <n v="83247"/>
    <m/>
    <s v="ARCANE INDUSTRIE"/>
    <s v="Q3"/>
    <e v="#REF!"/>
    <e v="#REF!"/>
    <e v="#REF!"/>
  </r>
  <r>
    <s v="401000"/>
    <x v="6"/>
    <s v="FOURNISSEURS"/>
    <s v="OD"/>
    <n v="-594"/>
    <d v="2025-04-08T00:00:00"/>
    <s v="Liaison inter-établissement"/>
    <m/>
    <s v="Non"/>
    <e v="#N/A"/>
    <n v="68065"/>
    <m/>
    <s v="AXE GESCOM"/>
    <s v="Q2"/>
    <e v="#REF!"/>
    <e v="#REF!"/>
    <e v="#REF!"/>
  </r>
  <r>
    <s v="401000"/>
    <x v="6"/>
    <s v="FOURNISSEURS"/>
    <s v="OD"/>
    <n v="-594"/>
    <d v="2025-04-08T00:00:00"/>
    <s v="Liaison inter-établissement"/>
    <m/>
    <s v="Non"/>
    <e v="#N/A"/>
    <n v="68069"/>
    <m/>
    <s v="AXE GESCOM"/>
    <s v="Q2"/>
    <e v="#REF!"/>
    <e v="#REF!"/>
    <e v="#REF!"/>
  </r>
  <r>
    <s v="401000"/>
    <x v="6"/>
    <s v="FOURNISSEURS"/>
    <s v="OD"/>
    <n v="-585.01"/>
    <d v="2025-08-18T00:00:00"/>
    <s v="Liaison établissement 401000 ALTAIR TO"/>
    <s v="Non"/>
    <s v="Non"/>
    <e v="#N/A"/>
    <n v="81139"/>
    <s v="HOTLINE"/>
    <s v="ALTAIR AVOCATS"/>
    <s v="Q3"/>
    <e v="#REF!"/>
    <e v="#REF!"/>
    <e v="#REF!"/>
  </r>
  <r>
    <s v="401000"/>
    <x v="6"/>
    <s v="FOURNISSEURS"/>
    <s v="OD"/>
    <n v="-582"/>
    <d v="2025-01-01T00:00:00"/>
    <s v="Liaison inter-établissement vers RO "/>
    <m/>
    <e v="#N/A"/>
    <e v="#N/A"/>
    <n v="74072"/>
    <m/>
    <s v="BROSSIER TRANSPORTS"/>
    <s v="Q1"/>
    <e v="#REF!"/>
    <e v="#REF!"/>
    <e v="#REF!"/>
  </r>
  <r>
    <s v="401000"/>
    <x v="6"/>
    <s v="FOURNISSEURS"/>
    <s v="OD"/>
    <n v="-579.08000000000004"/>
    <d v="2025-04-09T00:00:00"/>
    <s v="Liaison inter-établissement"/>
    <m/>
    <e v="#N/A"/>
    <e v="#N/A"/>
    <n v="74826"/>
    <m/>
    <s v="MANUTAN"/>
    <s v="Q2"/>
    <e v="#REF!"/>
    <e v="#REF!"/>
    <e v="#REF!"/>
  </r>
  <r>
    <s v="401000"/>
    <x v="6"/>
    <s v="FOURNISSEURS"/>
    <s v="OD"/>
    <n v="-576"/>
    <d v="2025-01-30T00:00:00"/>
    <s v="Liaison inter-établissement"/>
    <m/>
    <e v="#N/A"/>
    <e v="#N/A"/>
    <n v="63568"/>
    <m/>
    <s v="BIOKAL"/>
    <s v="Q1"/>
    <e v="#REF!"/>
    <e v="#REF!"/>
    <e v="#REF!"/>
  </r>
  <r>
    <s v="401000"/>
    <x v="6"/>
    <s v="FOURNISSEURS"/>
    <s v="OD"/>
    <n v="-570"/>
    <d v="2025-04-08T00:00:00"/>
    <s v="Liaison inter-établissement"/>
    <s v="Non"/>
    <s v="Non"/>
    <e v="#N/A"/>
    <n v="71671"/>
    <m/>
    <s v="TESSIER PAUL"/>
    <s v="Q2"/>
    <e v="#REF!"/>
    <e v="#REF!"/>
    <e v="#REF!"/>
  </r>
  <r>
    <s v="401000"/>
    <x v="6"/>
    <s v="FOURNISSEURS"/>
    <s v="OD"/>
    <n v="-569.46"/>
    <d v="2025-04-30T00:00:00"/>
    <s v="Liaison inter-établissement"/>
    <m/>
    <e v="#N/A"/>
    <e v="#N/A"/>
    <n v="87141"/>
    <m/>
    <s v="AIR LIQUIDE"/>
    <s v="Q2"/>
    <e v="#REF!"/>
    <e v="#REF!"/>
    <e v="#REF!"/>
  </r>
  <r>
    <s v="401000"/>
    <x v="6"/>
    <s v="FOURNISSEURS"/>
    <s v="OD"/>
    <n v="-568.70000000000005"/>
    <d v="2025-01-16T00:00:00"/>
    <s v="Liaison inter-établissement"/>
    <m/>
    <s v="Non"/>
    <e v="#N/A"/>
    <n v="63712"/>
    <m/>
    <s v="DIVERS"/>
    <s v="Q1"/>
    <e v="#REF!"/>
    <e v="#REF!"/>
    <e v="#REF!"/>
  </r>
  <r>
    <s v="401000"/>
    <x v="6"/>
    <s v="FOURNISSEURS"/>
    <s v="OD"/>
    <n v="-566.26"/>
    <d v="2025-11-27T00:00:00"/>
    <s v="Liaison inter-établissement"/>
    <m/>
    <e v="#N/A"/>
    <e v="#N/A"/>
    <n v="94051"/>
    <m/>
    <s v="AIRBNB"/>
    <s v="Q4"/>
    <e v="#REF!"/>
    <e v="#REF!"/>
    <e v="#REF!"/>
  </r>
  <r>
    <s v="401000"/>
    <x v="6"/>
    <s v="FOURNISSEURS"/>
    <s v="OD"/>
    <n v="-564"/>
    <d v="2025-08-22T00:00:00"/>
    <s v="Liaison établissement 401000 ABELC TO"/>
    <m/>
    <e v="#N/A"/>
    <e v="#N/A"/>
    <n v="81568"/>
    <s v="ENTRETIEN MÉNAGER"/>
    <s v="ABEL CHRIST SOMPLEI"/>
    <s v="Q3"/>
    <e v="#REF!"/>
    <e v="#REF!"/>
    <e v="#REF!"/>
  </r>
  <r>
    <s v="401000"/>
    <x v="6"/>
    <s v="FOURNISSEURS"/>
    <s v="OD"/>
    <n v="-563.88"/>
    <d v="2025-06-28T00:00:00"/>
    <s v="Liaison inter-établissement"/>
    <m/>
    <e v="#N/A"/>
    <e v="#N/A"/>
    <n v="78270"/>
    <m/>
    <s v="ARCANE INDUSTRIE"/>
    <s v="Q2"/>
    <e v="#REF!"/>
    <e v="#REF!"/>
    <e v="#REF!"/>
  </r>
  <r>
    <s v="401000"/>
    <x v="6"/>
    <s v="FOURNISSEURS"/>
    <s v="OD"/>
    <n v="-563.17999999999995"/>
    <d v="2025-05-07T00:00:00"/>
    <s v="Liaison établissement 401000 VWR TO"/>
    <m/>
    <e v="#N/A"/>
    <e v="#N/A"/>
    <n v="71828"/>
    <s v="COMMANDE PRODUIT ET CONSOMMABLE LABO"/>
    <s v="VWR AVANTOR"/>
    <s v="Q2"/>
    <e v="#REF!"/>
    <e v="#REF!"/>
    <e v="#REF!"/>
  </r>
  <r>
    <s v="401000"/>
    <x v="6"/>
    <s v="FOURNISSEURS"/>
    <s v="OD"/>
    <n v="-561.89"/>
    <d v="2025-02-22T00:00:00"/>
    <s v="Liaison inter-établissement"/>
    <m/>
    <e v="#N/A"/>
    <e v="#N/A"/>
    <n v="70039"/>
    <m/>
    <s v="MANUTAN"/>
    <s v="Q1"/>
    <e v="#REF!"/>
    <e v="#REF!"/>
    <e v="#REF!"/>
  </r>
  <r>
    <s v="401000"/>
    <x v="6"/>
    <s v="FOURNISSEURS"/>
    <s v="OD"/>
    <n v="-543"/>
    <d v="2025-11-06T00:00:00"/>
    <s v="Liaison inter-établissement"/>
    <m/>
    <e v="#N/A"/>
    <e v="#N/A"/>
    <n v="91696"/>
    <m/>
    <s v="SNCF"/>
    <s v="Q4"/>
    <e v="#REF!"/>
    <e v="#REF!"/>
    <e v="#REF!"/>
  </r>
  <r>
    <s v="401000"/>
    <x v="6"/>
    <s v="FOURNISSEURS"/>
    <s v="OD"/>
    <n v="-540"/>
    <d v="2025-08-21T00:00:00"/>
    <s v="Liaison établissement 401000 AFTPVA TO"/>
    <m/>
    <e v="#N/A"/>
    <e v="#N/A"/>
    <n v="81477"/>
    <s v="FACTURE CONFÉRENCE PYB AFTPVA"/>
    <s v="AFTPVA"/>
    <s v="Q3"/>
    <e v="#REF!"/>
    <e v="#REF!"/>
    <e v="#REF!"/>
  </r>
  <r>
    <s v="401000"/>
    <x v="6"/>
    <s v="FOURNISSEURS"/>
    <s v="OD"/>
    <n v="-534"/>
    <d v="2025-12-10T00:00:00"/>
    <s v="Liaison établissement 401000 CHAUM TO"/>
    <m/>
    <e v="#N/A"/>
    <e v="#N/A"/>
    <n v="92030"/>
    <s v="FL260970"/>
    <s v="GROUPE CHAUMEIL"/>
    <s v="Q4"/>
    <e v="#REF!"/>
    <e v="#REF!"/>
    <e v="#REF!"/>
  </r>
  <r>
    <s v="401000"/>
    <x v="6"/>
    <s v="FOURNISSEURS"/>
    <s v="OD"/>
    <n v="-530.46"/>
    <d v="2025-05-26T00:00:00"/>
    <s v="Liaison inter-établissement"/>
    <m/>
    <e v="#N/A"/>
    <e v="#N/A"/>
    <n v="74266"/>
    <m/>
    <s v="ORANGE"/>
    <s v="Q2"/>
    <e v="#REF!"/>
    <e v="#REF!"/>
    <e v="#REF!"/>
  </r>
  <r>
    <s v="401000"/>
    <x v="6"/>
    <s v="FOURNISSEURS"/>
    <s v="OD"/>
    <n v="-529.20000000000005"/>
    <d v="2025-08-08T00:00:00"/>
    <s v="Liaison établissement 401000 VWR TO"/>
    <m/>
    <e v="#N/A"/>
    <e v="#N/A"/>
    <n v="80767"/>
    <s v="COMMANDE PRODUIT LABO"/>
    <s v="VWR AVANTOR"/>
    <s v="Q3"/>
    <e v="#REF!"/>
    <e v="#REF!"/>
    <e v="#REF!"/>
  </r>
  <r>
    <s v="401000"/>
    <x v="6"/>
    <s v="FOURNISSEURS"/>
    <s v="OD"/>
    <n v="-525"/>
    <d v="2025-10-31T00:00:00"/>
    <s v="Liaison établissement 401000 BECKER TO"/>
    <s v="Non"/>
    <s v="Oui"/>
    <e v="#N/A"/>
    <n v="87505"/>
    <s v="ETUDE RAPPORT DE RECHERCHE OEB"/>
    <s v="BECKER"/>
    <s v="Q4"/>
    <e v="#REF!"/>
    <e v="#REF!"/>
    <e v="#REF!"/>
  </r>
  <r>
    <s v="401000"/>
    <x v="6"/>
    <s v="FOURNISSEURS"/>
    <s v="OD"/>
    <n v="-523.20000000000005"/>
    <d v="2025-09-12T00:00:00"/>
    <s v="Liaison établissement 401000 SIGMA TO"/>
    <m/>
    <e v="#N/A"/>
    <e v="#N/A"/>
    <n v="82023"/>
    <s v="HYDROXYLAMINE SULFATE POUR KEENY STEP 2"/>
    <s v="Sigma-Aldrich chimie"/>
    <s v="Q3"/>
    <e v="#REF!"/>
    <e v="#REF!"/>
    <e v="#REF!"/>
  </r>
  <r>
    <s v="401000"/>
    <x v="6"/>
    <s v="FOURNISSEURS"/>
    <s v="OD"/>
    <n v="-516"/>
    <d v="2025-05-23T00:00:00"/>
    <s v="Liaison établissement 401000 OSIRIS TO"/>
    <s v="Non"/>
    <s v="Non"/>
    <e v="#N/A"/>
    <n v="74054"/>
    <s v="Invoice payment by Pili"/>
    <s v="OSIRIS"/>
    <s v="Q2"/>
    <e v="#REF!"/>
    <e v="#REF!"/>
    <e v="#REF!"/>
  </r>
  <r>
    <s v="401000"/>
    <x v="6"/>
    <s v="FOURNISSEURS"/>
    <s v="OD"/>
    <n v="-515.69000000000005"/>
    <d v="2025-03-28T00:00:00"/>
    <s v="Liaison établissement 401000 ROTH TO"/>
    <m/>
    <e v="#N/A"/>
    <e v="#N/A"/>
    <n v="64995"/>
    <s v="Invoice Payment by Pili"/>
    <s v="ROTH SOCHIEL"/>
    <s v="Q1"/>
    <e v="#REF!"/>
    <e v="#REF!"/>
    <e v="#REF!"/>
  </r>
  <r>
    <s v="401000"/>
    <x v="6"/>
    <s v="FOURNISSEURS"/>
    <s v="OD"/>
    <n v="-514.08000000000004"/>
    <d v="2025-09-29T00:00:00"/>
    <s v="Liaison inter-établissement"/>
    <m/>
    <e v="#N/A"/>
    <e v="#N/A"/>
    <n v="82673"/>
    <m/>
    <s v="ORANGE"/>
    <s v="Q3"/>
    <e v="#REF!"/>
    <e v="#REF!"/>
    <e v="#REF!"/>
  </r>
  <r>
    <s v="401000"/>
    <x v="6"/>
    <s v="FOURNISSEURS"/>
    <s v="OD"/>
    <n v="-512.04"/>
    <d v="2025-12-30T00:00:00"/>
    <s v="Liaison établissement 401000 ARESCOM TO"/>
    <m/>
    <e v="#N/A"/>
    <e v="#N/A"/>
    <n v="93763"/>
    <s v="145295"/>
    <s v="ARESCOM"/>
    <s v="Q4"/>
    <e v="#REF!"/>
    <e v="#REF!"/>
    <e v="#REF!"/>
  </r>
  <r>
    <s v="401000"/>
    <x v="6"/>
    <s v="FOURNISSEURS"/>
    <s v="OD"/>
    <n v="-509.96"/>
    <d v="2025-12-16T00:00:00"/>
    <s v="Liaison inter-établissement"/>
    <m/>
    <e v="#N/A"/>
    <e v="#N/A"/>
    <n v="92236"/>
    <m/>
    <s v="ENGIE"/>
    <s v="Q4"/>
    <e v="#REF!"/>
    <e v="#REF!"/>
    <e v="#REF!"/>
  </r>
  <r>
    <s v="401000"/>
    <x v="6"/>
    <s v="FOURNISSEURS"/>
    <s v="OD"/>
    <n v="-504"/>
    <d v="2025-12-11T00:00:00"/>
    <s v="Liaison établissement 401000 FMGE TO"/>
    <m/>
    <e v="#N/A"/>
    <e v="#N/A"/>
    <n v="92086"/>
    <s v="25-212"/>
    <s v="FMGE"/>
    <s v="Q4"/>
    <e v="#REF!"/>
    <e v="#REF!"/>
    <e v="#REF!"/>
  </r>
  <r>
    <s v="401000"/>
    <x v="6"/>
    <s v="FOURNISSEURS"/>
    <s v="OD"/>
    <n v="-500"/>
    <d v="2025-06-30T00:00:00"/>
    <s v="Liaison établissement 401000 BIOTIKA TO"/>
    <s v="Non"/>
    <e v="#N/A"/>
    <e v="#N/A"/>
    <n v="76848"/>
    <s v="TESTING OF MATERIAL BY MARINER"/>
    <s v="BIOTIKA"/>
    <s v="Q2"/>
    <e v="#REF!"/>
    <e v="#REF!"/>
    <e v="#REF!"/>
  </r>
  <r>
    <s v="401000"/>
    <x v="6"/>
    <s v="FOURNISSEURS"/>
    <s v="OD"/>
    <n v="-500"/>
    <d v="2025-07-23T00:00:00"/>
    <s v="Liaison établissement 401000 BIOTIKA TO"/>
    <s v="Non"/>
    <e v="#N/A"/>
    <e v="#N/A"/>
    <n v="78347"/>
    <s v="TESTING OF MATERIAL BY MARINER"/>
    <s v="BIOTIKA"/>
    <s v="Q3"/>
    <e v="#REF!"/>
    <e v="#REF!"/>
    <e v="#REF!"/>
  </r>
  <r>
    <s v="401000"/>
    <x v="6"/>
    <s v="FOURNISSEURS"/>
    <s v="OD"/>
    <n v="-498"/>
    <d v="2025-01-30T00:00:00"/>
    <s v="Liaison inter-établissement"/>
    <m/>
    <e v="#N/A"/>
    <e v="#N/A"/>
    <n v="63632"/>
    <m/>
    <s v="FMGE"/>
    <s v="Q1"/>
    <e v="#REF!"/>
    <e v="#REF!"/>
    <e v="#REF!"/>
  </r>
  <r>
    <s v="401000"/>
    <x v="6"/>
    <s v="FOURNISSEURS"/>
    <s v="OD"/>
    <n v="-493"/>
    <d v="2025-09-26T00:00:00"/>
    <s v="Liaison établissement 401000 TCI TO"/>
    <m/>
    <e v="#N/A"/>
    <e v="#N/A"/>
    <n v="82527"/>
    <s v="INVOICE PAYMENT BY PILI"/>
    <s v="TCI"/>
    <s v="Q3"/>
    <e v="#REF!"/>
    <e v="#REF!"/>
    <e v="#REF!"/>
  </r>
  <r>
    <s v="401000"/>
    <x v="6"/>
    <s v="FOURNISSEURS"/>
    <s v="OD"/>
    <n v="-492.8"/>
    <d v="2025-01-31T00:00:00"/>
    <s v="Liaison inter-établissement"/>
    <m/>
    <e v="#N/A"/>
    <e v="#N/A"/>
    <n v="82146"/>
    <m/>
    <s v="KILOUTOU"/>
    <s v="Q1"/>
    <e v="#REF!"/>
    <e v="#REF!"/>
    <e v="#REF!"/>
  </r>
  <r>
    <s v="401000"/>
    <x v="6"/>
    <s v="FOURNISSEURS"/>
    <s v="OD"/>
    <n v="-491.92"/>
    <d v="2025-09-18T00:00:00"/>
    <s v="Liaison inter-établissement"/>
    <m/>
    <e v="#N/A"/>
    <e v="#N/A"/>
    <n v="83395"/>
    <m/>
    <s v="INTERMARCHE"/>
    <s v="Q3"/>
    <e v="#REF!"/>
    <e v="#REF!"/>
    <e v="#REF!"/>
  </r>
  <r>
    <s v="401000"/>
    <x v="6"/>
    <s v="FOURNISSEURS"/>
    <s v="OD"/>
    <n v="-490.01"/>
    <d v="2025-04-25T00:00:00"/>
    <s v="Liaison établissement 401000 ALTAIR TO"/>
    <s v="Non"/>
    <s v="Non"/>
    <e v="#N/A"/>
    <n v="70139"/>
    <s v="Invoice Payment by Pili"/>
    <s v="ALTAIR AVOCATS"/>
    <s v="Q2"/>
    <e v="#REF!"/>
    <e v="#REF!"/>
    <e v="#REF!"/>
  </r>
  <r>
    <s v="401000"/>
    <x v="6"/>
    <s v="FOURNISSEURS"/>
    <s v="OD"/>
    <n v="-482.04"/>
    <d v="2025-08-22T00:00:00"/>
    <s v="Liaison établissement 401000 EXELL TO"/>
    <m/>
    <e v="#N/A"/>
    <e v="#N/A"/>
    <n v="81540"/>
    <s v="PRESTATION : SPS"/>
    <s v="EXELL SECURITE"/>
    <s v="Q3"/>
    <e v="#REF!"/>
    <e v="#REF!"/>
    <e v="#REF!"/>
  </r>
  <r>
    <s v="401000"/>
    <x v="6"/>
    <s v="FOURNISSEURS"/>
    <s v="OD"/>
    <n v="-480"/>
    <d v="2025-06-11T00:00:00"/>
    <s v="Liaison établissement 401000 F2P TO"/>
    <s v="Non"/>
    <s v="Non"/>
    <e v="#N/A"/>
    <n v="75949"/>
    <s v="ARRÊTÉ ANNUEL DES COMPTES 2024 : SOLDE"/>
    <s v="F2P AUDIT &amp; CONSEIL"/>
    <s v="Q2"/>
    <e v="#REF!"/>
    <e v="#REF!"/>
    <e v="#REF!"/>
  </r>
  <r>
    <s v="401000"/>
    <x v="6"/>
    <s v="FOURNISSEURS"/>
    <s v="OD"/>
    <n v="-476.52"/>
    <d v="2025-01-02T00:00:00"/>
    <s v="Liaison inter-établissement"/>
    <m/>
    <e v="#N/A"/>
    <e v="#N/A"/>
    <n v="87091"/>
    <m/>
    <s v="BNP PARIBAS LEASE GROUP"/>
    <s v="Q1"/>
    <e v="#REF!"/>
    <e v="#REF!"/>
    <e v="#REF!"/>
  </r>
  <r>
    <s v="401000"/>
    <x v="6"/>
    <s v="FOURNISSEURS"/>
    <s v="OD"/>
    <n v="-476.52"/>
    <d v="2025-04-01T00:00:00"/>
    <s v="Liaison inter-établissement"/>
    <m/>
    <e v="#N/A"/>
    <e v="#N/A"/>
    <n v="87095"/>
    <m/>
    <s v="BNP PARIBAS LEASE GROUP"/>
    <s v="Q2"/>
    <e v="#REF!"/>
    <e v="#REF!"/>
    <e v="#REF!"/>
  </r>
  <r>
    <s v="401000"/>
    <x v="6"/>
    <s v="FOURNISSEURS"/>
    <s v="OD"/>
    <n v="-476.52"/>
    <d v="2025-07-01T00:00:00"/>
    <s v="Liaison inter-établissement"/>
    <m/>
    <e v="#N/A"/>
    <e v="#N/A"/>
    <n v="87099"/>
    <m/>
    <s v="BNP PARIBAS LEASE GROUP"/>
    <s v="Q3"/>
    <e v="#REF!"/>
    <e v="#REF!"/>
    <e v="#REF!"/>
  </r>
  <r>
    <s v="401000"/>
    <x v="6"/>
    <s v="FOURNISSEURS"/>
    <s v="OD"/>
    <n v="-476.52"/>
    <d v="2025-10-01T00:00:00"/>
    <s v="Liaison inter-établissement"/>
    <m/>
    <e v="#N/A"/>
    <e v="#N/A"/>
    <n v="87103"/>
    <m/>
    <s v="BNP PARIBAS LEASE GROUP"/>
    <s v="Q4"/>
    <e v="#REF!"/>
    <e v="#REF!"/>
    <e v="#REF!"/>
  </r>
  <r>
    <s v="401000"/>
    <x v="6"/>
    <s v="FOURNISSEURS"/>
    <s v="OD"/>
    <n v="-475"/>
    <d v="2025-07-02T00:00:00"/>
    <s v="Liaison établissement 401000 HERPORT TO"/>
    <m/>
    <e v="#N/A"/>
    <e v="#N/A"/>
    <n v="76829"/>
    <s v="FACTURE 70002119"/>
    <s v="HERPORT"/>
    <s v="Q3"/>
    <e v="#REF!"/>
    <e v="#REF!"/>
    <e v="#REF!"/>
  </r>
  <r>
    <s v="401000"/>
    <x v="6"/>
    <s v="FOURNISSEURS"/>
    <s v="OD"/>
    <n v="-474.75"/>
    <d v="2025-09-26T00:00:00"/>
    <s v="Liaison inter-établissement"/>
    <m/>
    <e v="#N/A"/>
    <e v="#N/A"/>
    <n v="91587"/>
    <m/>
    <s v="AIRLINES"/>
    <s v="Q3"/>
    <e v="#REF!"/>
    <e v="#REF!"/>
    <e v="#REF!"/>
  </r>
  <r>
    <s v="401000"/>
    <x v="6"/>
    <s v="FOURNISSEURS"/>
    <s v="OD"/>
    <n v="-473.47"/>
    <d v="2025-12-05T00:00:00"/>
    <s v="Liaison établissement 401000 VWR TO"/>
    <m/>
    <e v="#N/A"/>
    <e v="#N/A"/>
    <n v="91378"/>
    <s v="4067854697"/>
    <s v="VWR AVANTOR"/>
    <s v="Q4"/>
    <e v="#REF!"/>
    <e v="#REF!"/>
    <e v="#REF!"/>
  </r>
  <r>
    <s v="401000"/>
    <x v="6"/>
    <s v="FOURNISSEURS"/>
    <s v="OD"/>
    <n v="-473"/>
    <d v="2025-11-25T00:00:00"/>
    <s v="Liaison établissement 401000 ROLAND GRANGIER TO"/>
    <m/>
    <e v="#N/A"/>
    <e v="#N/A"/>
    <n v="91140"/>
    <s v="COMMANDE VIN SOIRÉE 10 ANS PILI"/>
    <s v="ROLAND GRANGIER"/>
    <s v="Q4"/>
    <e v="#REF!"/>
    <e v="#REF!"/>
    <e v="#REF!"/>
  </r>
  <r>
    <s v="401000"/>
    <x v="6"/>
    <s v="FOURNISSEURS"/>
    <s v="OD"/>
    <n v="-469.32"/>
    <d v="2025-12-10T00:00:00"/>
    <s v="Liaison établissement 401000 CLOUP TO"/>
    <m/>
    <e v="#N/A"/>
    <e v="#N/A"/>
    <n v="92051"/>
    <s v="0190028"/>
    <s v="CLOUP"/>
    <s v="Q4"/>
    <e v="#REF!"/>
    <e v="#REF!"/>
    <e v="#REF!"/>
  </r>
  <r>
    <s v="401000"/>
    <x v="6"/>
    <s v="FOURNISSEURS"/>
    <s v="OD"/>
    <n v="-468"/>
    <d v="2025-04-25T00:00:00"/>
    <s v="Liaison établissement 401000 COFICIEL TO"/>
    <m/>
    <e v="#N/A"/>
    <e v="#N/A"/>
    <n v="70154"/>
    <s v="Invoice Payment by Pili"/>
    <s v="COFICIEL"/>
    <s v="Q2"/>
    <e v="#REF!"/>
    <e v="#REF!"/>
    <e v="#REF!"/>
  </r>
  <r>
    <s v="401000"/>
    <x v="6"/>
    <s v="FOURNISSEURS"/>
    <s v="OD"/>
    <n v="-468"/>
    <d v="2025-06-02T00:00:00"/>
    <s v="Liaison établissement 401000 COFICIEL TO"/>
    <m/>
    <e v="#N/A"/>
    <e v="#N/A"/>
    <n v="75255"/>
    <s v="Invoice Payment By Pili"/>
    <s v="COFICIEL"/>
    <s v="Q2"/>
    <e v="#REF!"/>
    <e v="#REF!"/>
    <e v="#REF!"/>
  </r>
  <r>
    <s v="401000"/>
    <x v="6"/>
    <s v="FOURNISSEURS"/>
    <s v="OD"/>
    <n v="-468"/>
    <d v="2025-08-08T00:00:00"/>
    <s v="Liaison établissement 401000 COFICIEL TO"/>
    <m/>
    <e v="#N/A"/>
    <e v="#N/A"/>
    <n v="80752"/>
    <s v="LOCATION ALGECO ROUSSILLON (PÉRIODE TRAVAUX)"/>
    <s v="COFICIEL"/>
    <s v="Q3"/>
    <e v="#REF!"/>
    <e v="#REF!"/>
    <e v="#REF!"/>
  </r>
  <r>
    <s v="401000"/>
    <x v="6"/>
    <s v="FOURNISSEURS"/>
    <s v="OD"/>
    <n v="-468"/>
    <d v="2025-08-22T00:00:00"/>
    <s v="Liaison établissement 401000 COFICIEL TO"/>
    <m/>
    <e v="#N/A"/>
    <e v="#N/A"/>
    <n v="81609"/>
    <s v="LOCATION ALGECO ROUSSILLON (PÉRIODE TRAVAUX)"/>
    <s v="COFICIEL"/>
    <s v="Q3"/>
    <e v="#REF!"/>
    <e v="#REF!"/>
    <e v="#REF!"/>
  </r>
  <r>
    <s v="401000"/>
    <x v="6"/>
    <s v="FOURNISSEURS"/>
    <s v="OD"/>
    <n v="-468"/>
    <d v="2025-09-26T00:00:00"/>
    <s v="Liaison établissement 401000 COFICIEL TO"/>
    <m/>
    <e v="#N/A"/>
    <e v="#N/A"/>
    <n v="82501"/>
    <s v="INVOICE PAYMENT BY PILI"/>
    <s v="COFICIEL"/>
    <s v="Q3"/>
    <e v="#REF!"/>
    <e v="#REF!"/>
    <e v="#REF!"/>
  </r>
  <r>
    <s v="401000"/>
    <x v="6"/>
    <s v="FOURNISSEURS"/>
    <s v="OD"/>
    <n v="-468"/>
    <d v="2025-10-31T00:00:00"/>
    <s v="Liaison établissement 401000 COFICIEL TO"/>
    <m/>
    <e v="#N/A"/>
    <e v="#N/A"/>
    <n v="87547"/>
    <s v="F2509/0833"/>
    <s v="COFICIEL"/>
    <s v="Q4"/>
    <e v="#REF!"/>
    <e v="#REF!"/>
    <e v="#REF!"/>
  </r>
  <r>
    <s v="401000"/>
    <x v="6"/>
    <s v="FOURNISSEURS"/>
    <s v="OD"/>
    <n v="-468"/>
    <d v="2025-12-05T00:00:00"/>
    <s v="Liaison établissement 401000 COFICIEL TO"/>
    <m/>
    <e v="#N/A"/>
    <e v="#N/A"/>
    <n v="91362"/>
    <s v="F2510/0736"/>
    <s v="COFICIEL"/>
    <s v="Q4"/>
    <e v="#REF!"/>
    <e v="#REF!"/>
    <e v="#REF!"/>
  </r>
  <r>
    <s v="401000"/>
    <x v="6"/>
    <s v="FOURNISSEURS"/>
    <s v="OD"/>
    <n v="-468"/>
    <d v="2025-12-30T00:00:00"/>
    <s v="Liaison établissement 401000 COFICIEL TO"/>
    <m/>
    <e v="#N/A"/>
    <e v="#N/A"/>
    <n v="93825"/>
    <s v="F2511/1367"/>
    <s v="COFICIEL"/>
    <s v="Q4"/>
    <e v="#REF!"/>
    <e v="#REF!"/>
    <e v="#REF!"/>
  </r>
  <r>
    <s v="401000"/>
    <x v="6"/>
    <s v="FOURNISSEURS"/>
    <s v="OD"/>
    <n v="-465.82"/>
    <d v="2025-11-06T00:00:00"/>
    <s v="Liaison inter-établissement"/>
    <m/>
    <e v="#N/A"/>
    <e v="#N/A"/>
    <n v="91583"/>
    <m/>
    <s v="AIRBNB"/>
    <s v="Q4"/>
    <e v="#REF!"/>
    <e v="#REF!"/>
    <e v="#REF!"/>
  </r>
  <r>
    <s v="401000"/>
    <x v="6"/>
    <s v="FOURNISSEURS"/>
    <s v="OD"/>
    <n v="-458.77"/>
    <d v="2025-05-07T00:00:00"/>
    <s v="Liaison établissement 401000 FRANCECHIMIE TO"/>
    <m/>
    <s v="Non"/>
    <s v="Oui"/>
    <n v="71778"/>
    <s v="ACOMPTE COTISATION SYNDICALE"/>
    <s v="FRANCE CHIMIE"/>
    <s v="Q2"/>
    <e v="#REF!"/>
    <e v="#REF!"/>
    <e v="#REF!"/>
  </r>
  <r>
    <s v="401000"/>
    <x v="6"/>
    <s v="FOURNISSEURS"/>
    <s v="OD"/>
    <n v="-457.2"/>
    <d v="2025-07-31T00:00:00"/>
    <s v="Liaison établissement 401000 VWR TO"/>
    <m/>
    <e v="#N/A"/>
    <e v="#N/A"/>
    <n v="79318"/>
    <s v="COMMANDE PRODUIT KEENB"/>
    <s v="VWR AVANTOR"/>
    <s v="Q3"/>
    <e v="#REF!"/>
    <e v="#REF!"/>
    <e v="#REF!"/>
  </r>
  <r>
    <s v="401000"/>
    <x v="6"/>
    <s v="FOURNISSEURS"/>
    <s v="OD"/>
    <n v="-456"/>
    <d v="2025-04-15T00:00:00"/>
    <s v="Liaison inter-établissement"/>
    <m/>
    <e v="#N/A"/>
    <e v="#N/A"/>
    <n v="69922"/>
    <m/>
    <s v="BROSSIER TRANSPORTS"/>
    <s v="Q2"/>
    <e v="#REF!"/>
    <e v="#REF!"/>
    <e v="#REF!"/>
  </r>
  <r>
    <s v="401000"/>
    <x v="6"/>
    <s v="FOURNISSEURS"/>
    <s v="OD"/>
    <n v="-452.02"/>
    <d v="2025-05-14T00:00:00"/>
    <s v="Liaison établissement 401000 FISHER TO"/>
    <m/>
    <e v="#N/A"/>
    <e v="#N/A"/>
    <n v="72339"/>
    <s v="Invoice Payment by Pili"/>
    <s v="FISHER SCIENTIFIC"/>
    <s v="Q2"/>
    <e v="#REF!"/>
    <e v="#REF!"/>
    <e v="#REF!"/>
  </r>
  <r>
    <s v="401000"/>
    <x v="6"/>
    <s v="FOURNISSEURS"/>
    <s v="OD"/>
    <n v="-449.4"/>
    <d v="2025-07-28T00:00:00"/>
    <s v="Liaison inter-établissement"/>
    <m/>
    <e v="#N/A"/>
    <e v="#N/A"/>
    <n v="81295"/>
    <m/>
    <s v="ORANGE"/>
    <s v="Q3"/>
    <e v="#REF!"/>
    <e v="#REF!"/>
    <e v="#REF!"/>
  </r>
  <r>
    <s v="401000"/>
    <x v="6"/>
    <s v="FOURNISSEURS"/>
    <s v="OD"/>
    <n v="-447"/>
    <d v="2025-02-06T00:00:00"/>
    <s v="Liaison inter-établissement"/>
    <m/>
    <s v="Non"/>
    <e v="#N/A"/>
    <n v="64302"/>
    <m/>
    <s v="DIVERS"/>
    <s v="Q1"/>
    <e v="#REF!"/>
    <e v="#REF!"/>
    <e v="#REF!"/>
  </r>
  <r>
    <s v="401000"/>
    <x v="6"/>
    <s v="FOURNISSEURS"/>
    <s v="OD"/>
    <n v="-443.1"/>
    <d v="2025-05-07T00:00:00"/>
    <s v="Liaison établissement 401000 CAWAT TO"/>
    <m/>
    <e v="#N/A"/>
    <e v="#N/A"/>
    <n v="71768"/>
    <s v="CAFÉ DES TERROIRS"/>
    <s v="CAWATOES"/>
    <s v="Q2"/>
    <e v="#REF!"/>
    <e v="#REF!"/>
    <e v="#REF!"/>
  </r>
  <r>
    <s v="401000"/>
    <x v="6"/>
    <s v="FOURNISSEURS"/>
    <s v="OD"/>
    <n v="-431.94"/>
    <d v="2025-11-19T00:00:00"/>
    <s v="Liaison établissement 401000 BIOTIKA TO"/>
    <s v="Non"/>
    <e v="#N/A"/>
    <e v="#N/A"/>
    <n v="90498"/>
    <s v="91250167"/>
    <s v="BIOTIKA"/>
    <s v="Q4"/>
    <e v="#REF!"/>
    <e v="#REF!"/>
    <e v="#REF!"/>
  </r>
  <r>
    <s v="401000"/>
    <x v="6"/>
    <s v="FOURNISSEURS"/>
    <s v="OD"/>
    <n v="-430.7"/>
    <d v="2025-09-11T00:00:00"/>
    <s v="Liaison inter-établissement"/>
    <m/>
    <e v="#N/A"/>
    <e v="#N/A"/>
    <n v="83387"/>
    <m/>
    <s v="GETAROUND"/>
    <s v="Q3"/>
    <e v="#REF!"/>
    <e v="#REF!"/>
    <e v="#REF!"/>
  </r>
  <r>
    <s v="401000"/>
    <x v="6"/>
    <s v="FOURNISSEURS"/>
    <s v="OD"/>
    <n v="-422.3"/>
    <d v="2025-06-16T00:00:00"/>
    <s v="Liaison établissement 401000 BIOTIKA TO"/>
    <s v="Non"/>
    <e v="#N/A"/>
    <e v="#N/A"/>
    <n v="76062"/>
    <s v="TRANSPORT COSTS"/>
    <s v="BIOTIKA"/>
    <s v="Q2"/>
    <e v="#REF!"/>
    <e v="#REF!"/>
    <e v="#REF!"/>
  </r>
  <r>
    <s v="401000"/>
    <x v="6"/>
    <s v="FOURNISSEURS"/>
    <s v="OD"/>
    <n v="-421.6"/>
    <d v="2025-11-28T00:00:00"/>
    <s v="Liaison établissement 401000 GUERLET-DEGUERNE TO"/>
    <m/>
    <e v="#N/A"/>
    <e v="#N/A"/>
    <n v="91182"/>
    <s v="20251089"/>
    <s v="GUERLET-DEGUERNE"/>
    <s v="Q4"/>
    <e v="#REF!"/>
    <e v="#REF!"/>
    <e v="#REF!"/>
  </r>
  <r>
    <s v="401000"/>
    <x v="6"/>
    <s v="FOURNISSEURS"/>
    <s v="OD"/>
    <n v="-419.05"/>
    <d v="2025-11-19T00:00:00"/>
    <s v="Liaison établissement 401000 BIOTIKA TO"/>
    <s v="Non"/>
    <e v="#N/A"/>
    <e v="#N/A"/>
    <n v="90493"/>
    <s v="91250166"/>
    <s v="BIOTIKA"/>
    <s v="Q4"/>
    <e v="#REF!"/>
    <e v="#REF!"/>
    <e v="#REF!"/>
  </r>
  <r>
    <s v="401000"/>
    <x v="6"/>
    <s v="FOURNISSEURS"/>
    <s v="OD"/>
    <n v="-418.37"/>
    <d v="2025-12-01T00:00:00"/>
    <s v="Liaison inter-établissement"/>
    <m/>
    <e v="#N/A"/>
    <e v="#N/A"/>
    <n v="94059"/>
    <m/>
    <s v="ARCANE INDUSTRIE"/>
    <s v="Q4"/>
    <e v="#REF!"/>
    <e v="#REF!"/>
    <e v="#REF!"/>
  </r>
  <r>
    <s v="401000"/>
    <x v="6"/>
    <s v="FOURNISSEURS"/>
    <s v="OD"/>
    <n v="-412.27"/>
    <d v="2025-06-30T00:00:00"/>
    <s v="Liaison établissement 401000 BIOTIKA TO"/>
    <s v="Non"/>
    <e v="#N/A"/>
    <e v="#N/A"/>
    <n v="76858"/>
    <s v="TRANSPORT COSTS"/>
    <s v="BIOTIKA"/>
    <s v="Q2"/>
    <e v="#REF!"/>
    <e v="#REF!"/>
    <e v="#REF!"/>
  </r>
  <r>
    <s v="401000"/>
    <x v="6"/>
    <s v="FOURNISSEURS"/>
    <s v="OD"/>
    <n v="-409.81"/>
    <d v="2025-11-07T00:00:00"/>
    <s v="Liaison établissement 401000 CLOUP TO"/>
    <m/>
    <e v="#N/A"/>
    <e v="#N/A"/>
    <n v="89420"/>
    <s v="0189538"/>
    <s v="CLOUP"/>
    <s v="Q4"/>
    <e v="#REF!"/>
    <e v="#REF!"/>
    <e v="#REF!"/>
  </r>
  <r>
    <s v="401000"/>
    <x v="6"/>
    <s v="FOURNISSEURS"/>
    <s v="OD"/>
    <n v="-406.8"/>
    <d v="2025-09-26T00:00:00"/>
    <s v="Liaison établissement 401000 CLOUP TO"/>
    <m/>
    <e v="#N/A"/>
    <e v="#N/A"/>
    <n v="82491"/>
    <s v="INVOICE PAYMENT BY PILI"/>
    <s v="CLOUP"/>
    <s v="Q3"/>
    <e v="#REF!"/>
    <e v="#REF!"/>
    <e v="#REF!"/>
  </r>
  <r>
    <s v="401000"/>
    <x v="6"/>
    <s v="FOURNISSEURS"/>
    <s v="OD"/>
    <n v="-406.01"/>
    <d v="2025-03-19T00:00:00"/>
    <s v="Liaison inter-établissement"/>
    <m/>
    <e v="#N/A"/>
    <e v="#N/A"/>
    <n v="63692"/>
    <m/>
    <s v="COTE"/>
    <s v="Q1"/>
    <e v="#REF!"/>
    <e v="#REF!"/>
    <e v="#REF!"/>
  </r>
  <r>
    <s v="401000"/>
    <x v="6"/>
    <s v="FOURNISSEURS"/>
    <s v="OD"/>
    <n v="-404.71"/>
    <d v="2025-03-18T00:00:00"/>
    <s v="Liaison inter-établissement"/>
    <m/>
    <e v="#N/A"/>
    <e v="#N/A"/>
    <n v="72775"/>
    <m/>
    <s v="ENGIE"/>
    <s v="Q1"/>
    <e v="#REF!"/>
    <e v="#REF!"/>
    <e v="#REF!"/>
  </r>
  <r>
    <s v="401000"/>
    <x v="6"/>
    <s v="FOURNISSEURS"/>
    <s v="OD"/>
    <n v="-404.49"/>
    <d v="2025-10-30T00:00:00"/>
    <s v="Liaison inter-établissement"/>
    <m/>
    <e v="#N/A"/>
    <e v="#N/A"/>
    <n v="91786"/>
    <m/>
    <s v="BACKMARKET"/>
    <s v="Q4"/>
    <e v="#REF!"/>
    <e v="#REF!"/>
    <e v="#REF!"/>
  </r>
  <r>
    <s v="401000"/>
    <x v="6"/>
    <s v="FOURNISSEURS"/>
    <s v="OD"/>
    <n v="-402.8"/>
    <d v="2025-11-17T00:00:00"/>
    <s v="Liaison inter-établissement"/>
    <m/>
    <e v="#N/A"/>
    <e v="#N/A"/>
    <n v="90174"/>
    <m/>
    <s v="ENGIE"/>
    <s v="Q4"/>
    <e v="#REF!"/>
    <e v="#REF!"/>
    <e v="#REF!"/>
  </r>
  <r>
    <s v="401000"/>
    <x v="6"/>
    <s v="FOURNISSEURS"/>
    <s v="OD"/>
    <n v="-396.6"/>
    <d v="2025-03-28T00:00:00"/>
    <s v="Liaison inter-établissement"/>
    <m/>
    <e v="#N/A"/>
    <e v="#N/A"/>
    <n v="70079"/>
    <m/>
    <s v="RS COMPONENT"/>
    <s v="Q1"/>
    <e v="#REF!"/>
    <e v="#REF!"/>
    <e v="#REF!"/>
  </r>
  <r>
    <s v="401000"/>
    <x v="6"/>
    <s v="FOURNISSEURS"/>
    <s v="OD"/>
    <n v="-393.92"/>
    <d v="2025-12-10T00:00:00"/>
    <s v="Liaison établissement 401000 ROTH TO"/>
    <m/>
    <e v="#N/A"/>
    <e v="#N/A"/>
    <n v="92041"/>
    <s v="4184079"/>
    <s v="ROTH SOCHIEL"/>
    <s v="Q4"/>
    <e v="#REF!"/>
    <e v="#REF!"/>
    <e v="#REF!"/>
  </r>
  <r>
    <s v="401000"/>
    <x v="6"/>
    <s v="FOURNISSEURS"/>
    <s v="OD"/>
    <n v="-392.44"/>
    <d v="2025-09-16T00:00:00"/>
    <s v="Liaison inter-établissement"/>
    <m/>
    <e v="#N/A"/>
    <e v="#N/A"/>
    <n v="82805"/>
    <m/>
    <s v="ENGIE"/>
    <s v="Q3"/>
    <e v="#REF!"/>
    <e v="#REF!"/>
    <e v="#REF!"/>
  </r>
  <r>
    <s v="401000"/>
    <x v="6"/>
    <s v="FOURNISSEURS"/>
    <s v="OD"/>
    <n v="-391.51"/>
    <d v="2025-10-30T00:00:00"/>
    <s v="Liaison inter-établissement"/>
    <m/>
    <e v="#N/A"/>
    <e v="#N/A"/>
    <n v="89742"/>
    <m/>
    <s v="INFORMA MARKETS"/>
    <s v="Q4"/>
    <e v="#REF!"/>
    <e v="#REF!"/>
    <e v="#REF!"/>
  </r>
  <r>
    <s v="401000"/>
    <x v="6"/>
    <s v="FOURNISSEURS"/>
    <s v="OD"/>
    <n v="-386.4"/>
    <d v="2025-08-21T00:00:00"/>
    <s v="Liaison établissement 401000 BECKER TO"/>
    <s v="Non"/>
    <s v="Oui"/>
    <e v="#N/A"/>
    <n v="81398"/>
    <s v="FRAIS PI LISA EN AMONT BREVET PALOMA CHIMIE"/>
    <s v="BECKER"/>
    <s v="Q3"/>
    <e v="#REF!"/>
    <e v="#REF!"/>
    <e v="#REF!"/>
  </r>
  <r>
    <s v="401000"/>
    <x v="6"/>
    <s v="FOURNISSEURS"/>
    <s v="OD"/>
    <n v="-380.53"/>
    <d v="2025-03-12T00:00:00"/>
    <s v="Liaison inter-établissement"/>
    <m/>
    <s v="Non"/>
    <e v="#N/A"/>
    <n v="71918"/>
    <m/>
    <s v="DIVERS"/>
    <s v="Q1"/>
    <e v="#REF!"/>
    <e v="#REF!"/>
    <e v="#REF!"/>
  </r>
  <r>
    <s v="401000"/>
    <x v="6"/>
    <s v="FOURNISSEURS"/>
    <s v="OD"/>
    <n v="-380"/>
    <d v="2025-05-14T00:00:00"/>
    <s v="Liaison établissement 401000 BIOTIKA TO"/>
    <s v="Non"/>
    <e v="#N/A"/>
    <e v="#N/A"/>
    <n v="72306"/>
    <m/>
    <s v="BIOTIKA"/>
    <s v="Q2"/>
    <e v="#REF!"/>
    <e v="#REF!"/>
    <e v="#REF!"/>
  </r>
  <r>
    <s v="401000"/>
    <x v="6"/>
    <s v="FOURNISSEURS"/>
    <s v="OD"/>
    <n v="-380"/>
    <d v="2025-09-26T00:00:00"/>
    <s v="Liaison inter-établissement"/>
    <m/>
    <e v="#N/A"/>
    <e v="#N/A"/>
    <n v="89792"/>
    <m/>
    <s v="SNCF"/>
    <s v="Q3"/>
    <e v="#REF!"/>
    <e v="#REF!"/>
    <e v="#REF!"/>
  </r>
  <r>
    <s v="401000"/>
    <x v="6"/>
    <s v="FOURNISSEURS"/>
    <s v="OD"/>
    <n v="-378"/>
    <d v="2025-03-07T00:00:00"/>
    <s v="Liaison inter-établissement"/>
    <m/>
    <e v="#N/A"/>
    <e v="#N/A"/>
    <n v="63828"/>
    <m/>
    <s v="SAESPCI"/>
    <s v="Q1"/>
    <e v="#REF!"/>
    <e v="#REF!"/>
    <e v="#REF!"/>
  </r>
  <r>
    <s v="401000"/>
    <x v="6"/>
    <s v="FOURNISSEURS"/>
    <s v="OD"/>
    <n v="-378"/>
    <d v="2025-09-25T00:00:00"/>
    <s v="Liaison inter-établissement"/>
    <m/>
    <e v="#N/A"/>
    <e v="#N/A"/>
    <n v="91640"/>
    <m/>
    <s v="HOTELS"/>
    <s v="Q3"/>
    <e v="#REF!"/>
    <e v="#REF!"/>
    <e v="#REF!"/>
  </r>
  <r>
    <s v="401000"/>
    <x v="6"/>
    <s v="FOURNISSEURS"/>
    <s v="OD"/>
    <n v="-376.96"/>
    <d v="2025-10-01T00:00:00"/>
    <s v="Liaison inter-établissement"/>
    <m/>
    <e v="#N/A"/>
    <e v="#N/A"/>
    <n v="89718"/>
    <m/>
    <s v="AVIS"/>
    <s v="Q4"/>
    <e v="#REF!"/>
    <e v="#REF!"/>
    <e v="#REF!"/>
  </r>
  <r>
    <s v="401000"/>
    <x v="6"/>
    <s v="FOURNISSEURS"/>
    <s v="OD"/>
    <n v="-373.2"/>
    <d v="2025-04-18T00:00:00"/>
    <s v="Liaison établissement 401000 GSF TO"/>
    <m/>
    <e v="#N/A"/>
    <e v="#N/A"/>
    <n v="68185"/>
    <s v="Invoice Payment by Pili"/>
    <s v="GSF"/>
    <s v="Q2"/>
    <e v="#REF!"/>
    <e v="#REF!"/>
    <e v="#REF!"/>
  </r>
  <r>
    <s v="401000"/>
    <x v="6"/>
    <s v="FOURNISSEURS"/>
    <s v="OD"/>
    <n v="-373.2"/>
    <d v="2025-05-07T00:00:00"/>
    <s v="Liaison établissement 401000 GSF TO"/>
    <m/>
    <e v="#N/A"/>
    <e v="#N/A"/>
    <n v="71788"/>
    <s v="ENTRETIEN DES LOCAUX ROUSSILLON AVRIL 2025"/>
    <s v="GSF"/>
    <s v="Q2"/>
    <e v="#REF!"/>
    <e v="#REF!"/>
    <e v="#REF!"/>
  </r>
  <r>
    <s v="401000"/>
    <x v="6"/>
    <s v="FOURNISSEURS"/>
    <s v="OD"/>
    <n v="-373.2"/>
    <d v="2025-07-22T00:00:00"/>
    <s v="Liaison établissement 401000 GSF TO"/>
    <m/>
    <e v="#N/A"/>
    <e v="#N/A"/>
    <n v="78318"/>
    <s v="ENTRETIEN LOCAUX ROUSSILLON"/>
    <s v="GSF"/>
    <s v="Q3"/>
    <e v="#REF!"/>
    <e v="#REF!"/>
    <e v="#REF!"/>
  </r>
  <r>
    <s v="401000"/>
    <x v="6"/>
    <s v="FOURNISSEURS"/>
    <s v="OD"/>
    <n v="-373.2"/>
    <d v="2025-08-22T00:00:00"/>
    <s v="Liaison établissement 401000 GSF TO"/>
    <m/>
    <e v="#N/A"/>
    <e v="#N/A"/>
    <n v="81598"/>
    <s v="CONTRAT DE NETTOYAGE DES ALGECOS - ROUSSILLON"/>
    <s v="GSF"/>
    <s v="Q3"/>
    <e v="#REF!"/>
    <e v="#REF!"/>
    <e v="#REF!"/>
  </r>
  <r>
    <s v="401000"/>
    <x v="6"/>
    <s v="FOURNISSEURS"/>
    <s v="OD"/>
    <n v="-373.2"/>
    <d v="2025-09-26T00:00:00"/>
    <s v="Liaison établissement 401000 GSF TO"/>
    <m/>
    <e v="#N/A"/>
    <e v="#N/A"/>
    <n v="82517"/>
    <s v="INVOICE PAYMENT BY PILI"/>
    <s v="GSF"/>
    <s v="Q3"/>
    <e v="#REF!"/>
    <e v="#REF!"/>
    <e v="#REF!"/>
  </r>
  <r>
    <s v="401000"/>
    <x v="6"/>
    <s v="FOURNISSEURS"/>
    <s v="OD"/>
    <n v="-373.2"/>
    <d v="2025-10-31T00:00:00"/>
    <s v="Liaison établissement 401000 GSF TO"/>
    <m/>
    <e v="#N/A"/>
    <e v="#N/A"/>
    <n v="87557"/>
    <s v="ENTRETIEN DES ALGÉCOS"/>
    <s v="GSF"/>
    <s v="Q4"/>
    <e v="#REF!"/>
    <e v="#REF!"/>
    <e v="#REF!"/>
  </r>
  <r>
    <s v="401000"/>
    <x v="6"/>
    <s v="FOURNISSEURS"/>
    <s v="OD"/>
    <n v="-373.2"/>
    <d v="2025-11-28T00:00:00"/>
    <s v="Liaison établissement 401000 GSF TO"/>
    <m/>
    <e v="#N/A"/>
    <e v="#N/A"/>
    <n v="91239"/>
    <s v="251P1464"/>
    <s v="GSF"/>
    <s v="Q4"/>
    <e v="#REF!"/>
    <e v="#REF!"/>
    <e v="#REF!"/>
  </r>
  <r>
    <s v="401000"/>
    <x v="6"/>
    <s v="FOURNISSEURS"/>
    <s v="OD"/>
    <n v="-373.2"/>
    <d v="2025-12-30T00:00:00"/>
    <s v="Liaison établissement 401000 GSF TO"/>
    <m/>
    <e v="#N/A"/>
    <e v="#N/A"/>
    <n v="93830"/>
    <s v="251P1661"/>
    <s v="GSF"/>
    <s v="Q4"/>
    <e v="#REF!"/>
    <e v="#REF!"/>
    <e v="#REF!"/>
  </r>
  <r>
    <s v="401000"/>
    <x v="6"/>
    <s v="FOURNISSEURS"/>
    <s v="OD"/>
    <n v="-373.14"/>
    <d v="2025-02-18T00:00:00"/>
    <s v="Liaison inter-établissement"/>
    <s v="Non"/>
    <e v="#N/A"/>
    <e v="#N/A"/>
    <n v="63572"/>
    <m/>
    <s v="BIOTIKA"/>
    <s v="Q1"/>
    <e v="#REF!"/>
    <e v="#REF!"/>
    <e v="#REF!"/>
  </r>
  <r>
    <s v="401000"/>
    <x v="6"/>
    <s v="FOURNISSEURS"/>
    <s v="OD"/>
    <n v="-371.26"/>
    <d v="2025-05-14T00:00:00"/>
    <s v="Liaison établissement 401000 BIOTIKA TO"/>
    <s v="Non"/>
    <e v="#N/A"/>
    <e v="#N/A"/>
    <n v="72298"/>
    <m/>
    <s v="BIOTIKA"/>
    <s v="Q2"/>
    <e v="#REF!"/>
    <e v="#REF!"/>
    <e v="#REF!"/>
  </r>
  <r>
    <s v="401000"/>
    <x v="6"/>
    <s v="FOURNISSEURS"/>
    <s v="OD"/>
    <n v="-364.78"/>
    <d v="2025-02-28T00:00:00"/>
    <s v="Liaison inter-établissement"/>
    <m/>
    <e v="#N/A"/>
    <e v="#N/A"/>
    <n v="64422"/>
    <m/>
    <s v="COTRAL LAB"/>
    <s v="Q1"/>
    <e v="#REF!"/>
    <e v="#REF!"/>
    <e v="#REF!"/>
  </r>
  <r>
    <s v="401000"/>
    <x v="6"/>
    <s v="FOURNISSEURS"/>
    <s v="OD"/>
    <n v="-362.31"/>
    <d v="2025-03-14T00:00:00"/>
    <s v="Liaison inter-établissement"/>
    <m/>
    <s v="Non"/>
    <e v="#N/A"/>
    <n v="71910"/>
    <m/>
    <s v="DIVERS"/>
    <s v="Q1"/>
    <e v="#REF!"/>
    <e v="#REF!"/>
    <e v="#REF!"/>
  </r>
  <r>
    <s v="401000"/>
    <x v="6"/>
    <s v="FOURNISSEURS"/>
    <s v="OD"/>
    <n v="-360.2"/>
    <d v="2025-11-13T00:00:00"/>
    <s v="Liaison établissement 401000 INITIATIVE TO"/>
    <m/>
    <e v="#N/A"/>
    <e v="#N/A"/>
    <n v="89956"/>
    <s v="COUVERTURE MULTIRISQUE PROFESSIONNELLE AV DE SULLY LYON"/>
    <s v="INITIATIVE &amp; RISK PARTNERS"/>
    <s v="Q4"/>
    <e v="#REF!"/>
    <e v="#REF!"/>
    <e v="#REF!"/>
  </r>
  <r>
    <s v="401000"/>
    <x v="6"/>
    <s v="FOURNISSEURS"/>
    <s v="OD"/>
    <n v="-360"/>
    <d v="2025-08-21T00:00:00"/>
    <s v="Liaison établissement 401000 BECKER TO"/>
    <s v="Non"/>
    <s v="Oui"/>
    <e v="#N/A"/>
    <n v="81408"/>
    <s v="SURVEILLANCE BREVET"/>
    <s v="BECKER"/>
    <s v="Q3"/>
    <e v="#REF!"/>
    <e v="#REF!"/>
    <e v="#REF!"/>
  </r>
  <r>
    <s v="401000"/>
    <x v="6"/>
    <s v="FOURNISSEURS"/>
    <s v="OD"/>
    <n v="-360"/>
    <d v="2025-09-25T00:00:00"/>
    <s v="Liaison inter-établissement"/>
    <m/>
    <e v="#N/A"/>
    <e v="#N/A"/>
    <n v="83399"/>
    <m/>
    <s v="BILLETWEB"/>
    <s v="Q3"/>
    <e v="#REF!"/>
    <e v="#REF!"/>
    <e v="#REF!"/>
  </r>
  <r>
    <s v="401000"/>
    <x v="6"/>
    <s v="FOURNISSEURS"/>
    <s v="OD"/>
    <n v="-360"/>
    <d v="2025-11-04T00:00:00"/>
    <s v="Liaison inter-établissement"/>
    <m/>
    <e v="#N/A"/>
    <e v="#N/A"/>
    <n v="91756"/>
    <m/>
    <s v="YOUSIGN"/>
    <s v="Q4"/>
    <e v="#REF!"/>
    <e v="#REF!"/>
    <e v="#REF!"/>
  </r>
  <r>
    <s v="401000"/>
    <x v="6"/>
    <s v="FOURNISSEURS"/>
    <s v="OD"/>
    <n v="-359.69"/>
    <d v="2025-04-25T00:00:00"/>
    <s v="Liaison établissement 401000 ROTH TO"/>
    <m/>
    <e v="#N/A"/>
    <e v="#N/A"/>
    <n v="70184"/>
    <s v="Invoice Payment by Pili"/>
    <s v="ROTH SOCHIEL"/>
    <s v="Q2"/>
    <e v="#REF!"/>
    <e v="#REF!"/>
    <e v="#REF!"/>
  </r>
  <r>
    <s v="401000"/>
    <x v="6"/>
    <s v="FOURNISSEURS"/>
    <s v="OD"/>
    <n v="-356.4"/>
    <d v="2025-08-21T00:00:00"/>
    <s v="Liaison établissement 401000 SAESPCI TO"/>
    <m/>
    <e v="#N/A"/>
    <e v="#N/A"/>
    <n v="81494"/>
    <s v="ANALYSE RMN ESPCI - AVR-JUIN 2025"/>
    <s v="SAESPCI"/>
    <s v="Q3"/>
    <e v="#REF!"/>
    <e v="#REF!"/>
    <e v="#REF!"/>
  </r>
  <r>
    <s v="401000"/>
    <x v="6"/>
    <s v="FOURNISSEURS"/>
    <s v="OD"/>
    <n v="-356.12"/>
    <d v="2025-12-30T00:00:00"/>
    <s v="Liaison établissement 401000 BIOTIKA TO"/>
    <s v="Non"/>
    <e v="#N/A"/>
    <e v="#N/A"/>
    <n v="93783"/>
    <s v="91250194"/>
    <s v="BIOTIKA"/>
    <s v="Q4"/>
    <e v="#REF!"/>
    <e v="#REF!"/>
    <e v="#REF!"/>
  </r>
  <r>
    <s v="401000"/>
    <x v="6"/>
    <s v="FOURNISSEURS"/>
    <s v="OD"/>
    <n v="-354.95"/>
    <d v="2025-03-07T00:00:00"/>
    <s v="Liaison inter-établissement"/>
    <m/>
    <e v="#N/A"/>
    <e v="#N/A"/>
    <n v="68073"/>
    <m/>
    <s v="BRUNEAU"/>
    <s v="Q1"/>
    <e v="#REF!"/>
    <e v="#REF!"/>
    <e v="#REF!"/>
  </r>
  <r>
    <s v="401000"/>
    <x v="6"/>
    <s v="FOURNISSEURS"/>
    <s v="OD"/>
    <n v="-350.44"/>
    <d v="2025-10-08T00:00:00"/>
    <s v="Liaison inter-établissement"/>
    <m/>
    <e v="#N/A"/>
    <e v="#N/A"/>
    <n v="89768"/>
    <m/>
    <s v="MANUTAN"/>
    <s v="Q4"/>
    <e v="#REF!"/>
    <e v="#REF!"/>
    <e v="#REF!"/>
  </r>
  <r>
    <s v="401000"/>
    <x v="6"/>
    <s v="FOURNISSEURS"/>
    <s v="OD"/>
    <n v="-349"/>
    <d v="2025-05-29T00:00:00"/>
    <s v="Liaison inter-établissement"/>
    <m/>
    <e v="#N/A"/>
    <e v="#N/A"/>
    <n v="78139"/>
    <m/>
    <s v="SNCF"/>
    <s v="Q2"/>
    <e v="#REF!"/>
    <e v="#REF!"/>
    <e v="#REF!"/>
  </r>
  <r>
    <s v="401000"/>
    <x v="6"/>
    <s v="FOURNISSEURS"/>
    <s v="OD"/>
    <n v="-349"/>
    <d v="2025-11-28T00:00:00"/>
    <s v="Liaison inter-établissement"/>
    <m/>
    <e v="#N/A"/>
    <e v="#N/A"/>
    <n v="91732"/>
    <m/>
    <s v="SNCF"/>
    <s v="Q4"/>
    <e v="#REF!"/>
    <e v="#REF!"/>
    <e v="#REF!"/>
  </r>
  <r>
    <s v="401000"/>
    <x v="6"/>
    <s v="FOURNISSEURS"/>
    <s v="OD"/>
    <n v="-349"/>
    <d v="2025-12-09T00:00:00"/>
    <s v="Liaison inter-établissement"/>
    <m/>
    <e v="#N/A"/>
    <e v="#N/A"/>
    <n v="94135"/>
    <m/>
    <s v="SNCF"/>
    <s v="Q4"/>
    <e v="#REF!"/>
    <e v="#REF!"/>
    <e v="#REF!"/>
  </r>
  <r>
    <s v="401000"/>
    <x v="6"/>
    <s v="FOURNISSEURS"/>
    <s v="OD"/>
    <n v="-348.34"/>
    <d v="2025-04-25T00:00:00"/>
    <s v="Liaison établissement 401000 ROTH TO"/>
    <m/>
    <e v="#N/A"/>
    <e v="#N/A"/>
    <n v="70179"/>
    <s v="Invoice Payment by Pili"/>
    <s v="ROTH SOCHIEL"/>
    <s v="Q2"/>
    <e v="#REF!"/>
    <e v="#REF!"/>
    <e v="#REF!"/>
  </r>
  <r>
    <s v="401000"/>
    <x v="6"/>
    <s v="FOURNISSEURS"/>
    <s v="OD"/>
    <n v="-346.55"/>
    <d v="2025-05-07T00:00:00"/>
    <s v="Liaison établissement 401000 VWR TO"/>
    <m/>
    <e v="#N/A"/>
    <e v="#N/A"/>
    <n v="71863"/>
    <s v="COMMANDE PRODUITS ET CONSOMMABLES LABO"/>
    <s v="VWR AVANTOR"/>
    <s v="Q2"/>
    <e v="#REF!"/>
    <e v="#REF!"/>
    <e v="#REF!"/>
  </r>
  <r>
    <s v="401000"/>
    <x v="6"/>
    <s v="FOURNISSEURS"/>
    <s v="OD"/>
    <n v="-344.4"/>
    <d v="2025-07-23T00:00:00"/>
    <s v="Liaison établissement 401000 BIOTIKA TO"/>
    <s v="Non"/>
    <e v="#N/A"/>
    <e v="#N/A"/>
    <n v="78352"/>
    <s v="TRANSPORT OF ADR MATERIAL TO MILANO ITALY"/>
    <s v="BIOTIKA"/>
    <s v="Q3"/>
    <e v="#REF!"/>
    <e v="#REF!"/>
    <e v="#REF!"/>
  </r>
  <r>
    <s v="401000"/>
    <x v="6"/>
    <s v="FOURNISSEURS"/>
    <s v="OD"/>
    <n v="-341.36"/>
    <d v="2025-05-30T00:00:00"/>
    <s v="Liaison inter-établissement"/>
    <m/>
    <e v="#N/A"/>
    <e v="#N/A"/>
    <n v="75023"/>
    <m/>
    <s v="AIR LIQUIDE"/>
    <s v="Q2"/>
    <e v="#REF!"/>
    <e v="#REF!"/>
    <e v="#REF!"/>
  </r>
  <r>
    <s v="401000"/>
    <x v="6"/>
    <s v="FOURNISSEURS"/>
    <s v="OD"/>
    <n v="-336.86"/>
    <d v="2025-03-19T00:00:00"/>
    <s v="Liaison inter-établissement"/>
    <m/>
    <e v="#N/A"/>
    <e v="#N/A"/>
    <n v="63760"/>
    <m/>
    <s v="MANUTAN"/>
    <s v="Q1"/>
    <e v="#REF!"/>
    <e v="#REF!"/>
    <e v="#REF!"/>
  </r>
  <r>
    <s v="401000"/>
    <x v="6"/>
    <s v="FOURNISSEURS"/>
    <s v="OD"/>
    <n v="-336"/>
    <d v="2025-10-31T00:00:00"/>
    <s v="Liaison établissement 401000 BECKER TO"/>
    <s v="Non"/>
    <s v="Oui"/>
    <e v="#N/A"/>
    <n v="87510"/>
    <s v="RETRAIT DEMANDE INITIALE EP AVANT PCT DE PALOMA CHIMIE"/>
    <s v="BECKER"/>
    <s v="Q4"/>
    <e v="#REF!"/>
    <e v="#REF!"/>
    <e v="#REF!"/>
  </r>
  <r>
    <s v="401000"/>
    <x v="6"/>
    <s v="FOURNISSEURS"/>
    <s v="OD"/>
    <n v="-334.19"/>
    <d v="2025-10-24T00:00:00"/>
    <s v="Liaison inter-établissement"/>
    <m/>
    <e v="#N/A"/>
    <e v="#N/A"/>
    <n v="94875"/>
    <m/>
    <s v="RICOH"/>
    <s v="Q4"/>
    <e v="#REF!"/>
    <e v="#REF!"/>
    <e v="#REF!"/>
  </r>
  <r>
    <s v="401000"/>
    <x v="6"/>
    <s v="FOURNISSEURS"/>
    <s v="OD"/>
    <n v="-333.2"/>
    <d v="2025-01-01T00:00:00"/>
    <s v="Liaison inter-établissement vers RO "/>
    <m/>
    <e v="#N/A"/>
    <e v="#N/A"/>
    <n v="74068"/>
    <m/>
    <s v="BROSSIER TRANSPORTS"/>
    <s v="Q1"/>
    <e v="#REF!"/>
    <e v="#REF!"/>
    <e v="#REF!"/>
  </r>
  <r>
    <s v="401000"/>
    <x v="6"/>
    <s v="FOURNISSEURS"/>
    <s v="OD"/>
    <n v="-330.2"/>
    <d v="2025-03-21T00:00:00"/>
    <s v="Liaison inter-établissement"/>
    <m/>
    <e v="#N/A"/>
    <e v="#N/A"/>
    <n v="68081"/>
    <m/>
    <s v="BRUNEAU"/>
    <s v="Q1"/>
    <e v="#REF!"/>
    <e v="#REF!"/>
    <e v="#REF!"/>
  </r>
  <r>
    <s v="401000"/>
    <x v="6"/>
    <s v="FOURNISSEURS"/>
    <s v="OD"/>
    <n v="-329.19"/>
    <d v="2025-08-15T00:00:00"/>
    <s v="Liaison inter-établissement"/>
    <m/>
    <e v="#N/A"/>
    <e v="#N/A"/>
    <n v="81926"/>
    <m/>
    <s v="ENGIE"/>
    <s v="Q3"/>
    <e v="#REF!"/>
    <e v="#REF!"/>
    <e v="#REF!"/>
  </r>
  <r>
    <s v="401000"/>
    <x v="6"/>
    <s v="FOURNISSEURS"/>
    <s v="OD"/>
    <n v="-328.09"/>
    <d v="2025-08-21T00:00:00"/>
    <s v="Liaison inter-établissement"/>
    <m/>
    <e v="#N/A"/>
    <e v="#N/A"/>
    <n v="83243"/>
    <m/>
    <s v="ARCANE INDUSTRIE"/>
    <s v="Q3"/>
    <e v="#REF!"/>
    <e v="#REF!"/>
    <e v="#REF!"/>
  </r>
  <r>
    <s v="401000"/>
    <x v="6"/>
    <s v="FOURNISSEURS"/>
    <s v="OD"/>
    <n v="-328.09"/>
    <d v="2025-11-05T00:00:00"/>
    <s v="Liaison inter-établissement"/>
    <m/>
    <e v="#N/A"/>
    <e v="#N/A"/>
    <n v="91599"/>
    <m/>
    <s v="ARCANE INDUSTRIE"/>
    <s v="Q4"/>
    <e v="#REF!"/>
    <e v="#REF!"/>
    <e v="#REF!"/>
  </r>
  <r>
    <s v="401000"/>
    <x v="6"/>
    <s v="FOURNISSEURS"/>
    <s v="OD"/>
    <n v="-325.93"/>
    <d v="2025-10-31T00:00:00"/>
    <s v="Liaison établissement 401000 BIOTIKA TO"/>
    <s v="Non"/>
    <e v="#N/A"/>
    <e v="#N/A"/>
    <n v="87526"/>
    <s v="TRANSPORT COSTS"/>
    <s v="BIOTIKA"/>
    <s v="Q4"/>
    <e v="#REF!"/>
    <e v="#REF!"/>
    <e v="#REF!"/>
  </r>
  <r>
    <s v="401000"/>
    <x v="6"/>
    <s v="FOURNISSEURS"/>
    <s v="OD"/>
    <n v="-321.35000000000002"/>
    <d v="2025-07-31T00:00:00"/>
    <s v="Liaison inter-établissement"/>
    <m/>
    <e v="#N/A"/>
    <e v="#N/A"/>
    <n v="81922"/>
    <m/>
    <s v="AIR LIQUIDE"/>
    <s v="Q3"/>
    <e v="#REF!"/>
    <e v="#REF!"/>
    <e v="#REF!"/>
  </r>
  <r>
    <s v="401000"/>
    <x v="6"/>
    <s v="FOURNISSEURS"/>
    <s v="OD"/>
    <n v="-321.18"/>
    <d v="2025-12-30T00:00:00"/>
    <s v="Liaison établissement 401000 VWR TO"/>
    <m/>
    <e v="#N/A"/>
    <e v="#N/A"/>
    <n v="93845"/>
    <s v="4067873149"/>
    <s v="VWR AVANTOR"/>
    <s v="Q4"/>
    <e v="#REF!"/>
    <e v="#REF!"/>
    <e v="#REF!"/>
  </r>
  <r>
    <s v="401000"/>
    <x v="6"/>
    <s v="FOURNISSEURS"/>
    <s v="OD"/>
    <n v="-319.43"/>
    <d v="2025-09-12T00:00:00"/>
    <s v="Liaison établissement 401000 VWR TO"/>
    <m/>
    <e v="#N/A"/>
    <e v="#N/A"/>
    <n v="82043"/>
    <s v="CONSOMMABLES LABO"/>
    <s v="VWR AVANTOR"/>
    <s v="Q3"/>
    <e v="#REF!"/>
    <e v="#REF!"/>
    <e v="#REF!"/>
  </r>
  <r>
    <s v="401000"/>
    <x v="6"/>
    <s v="FOURNISSEURS"/>
    <s v="OD"/>
    <n v="-318"/>
    <d v="2025-05-07T00:00:00"/>
    <s v="Liaison établissement 401000 GAZDETECT TO"/>
    <m/>
    <e v="#N/A"/>
    <e v="#N/A"/>
    <n v="71783"/>
    <s v="CARTOUCHE AX POUR MASQUE À GAZ"/>
    <s v="GAZ DETECT"/>
    <s v="Q2"/>
    <e v="#REF!"/>
    <e v="#REF!"/>
    <e v="#REF!"/>
  </r>
  <r>
    <s v="401000"/>
    <x v="6"/>
    <s v="FOURNISSEURS"/>
    <s v="OD"/>
    <n v="-316.7"/>
    <d v="2025-03-21T00:00:00"/>
    <s v="Liaison inter-établissement"/>
    <m/>
    <s v="Non"/>
    <e v="#N/A"/>
    <n v="68113"/>
    <m/>
    <s v="DIVERS"/>
    <s v="Q1"/>
    <e v="#REF!"/>
    <e v="#REF!"/>
    <e v="#REF!"/>
  </r>
  <r>
    <s v="401000"/>
    <x v="6"/>
    <s v="FOURNISSEURS"/>
    <s v="OD"/>
    <n v="-313.2"/>
    <d v="2025-05-07T00:00:00"/>
    <s v="Liaison établissement 401000 RAJA TO"/>
    <m/>
    <e v="#N/A"/>
    <e v="#N/A"/>
    <n v="71808"/>
    <s v="TUBE BRUN RAJA D60 LONG500"/>
    <s v="RAJA"/>
    <s v="Q2"/>
    <e v="#REF!"/>
    <e v="#REF!"/>
    <e v="#REF!"/>
  </r>
  <r>
    <s v="401000"/>
    <x v="6"/>
    <s v="FOURNISSEURS"/>
    <s v="OD"/>
    <n v="-313.2"/>
    <d v="2025-09-12T00:00:00"/>
    <s v="Liaison établissement 401000 FISHER TO"/>
    <m/>
    <e v="#N/A"/>
    <e v="#N/A"/>
    <n v="82008"/>
    <s v="HYDROXYLAMINE SULFATE POUR STEP 2 KEENY"/>
    <s v="FISHER SCIENTIFIC"/>
    <s v="Q3"/>
    <e v="#REF!"/>
    <e v="#REF!"/>
    <e v="#REF!"/>
  </r>
  <r>
    <s v="401000"/>
    <x v="6"/>
    <s v="FOURNISSEURS"/>
    <s v="OD"/>
    <n v="-313.2"/>
    <d v="2025-10-06T00:00:00"/>
    <s v="Liaison établissement 401000 FISHER TO"/>
    <m/>
    <e v="#N/A"/>
    <e v="#N/A"/>
    <n v="82932"/>
    <s v="HYDROXYLAMINE SULFATE POUR STEP 2 KEENY"/>
    <s v="FISHER SCIENTIFIC"/>
    <s v="Q4"/>
    <e v="#REF!"/>
    <e v="#REF!"/>
    <e v="#REF!"/>
  </r>
  <r>
    <s v="401000"/>
    <x v="6"/>
    <s v="FOURNISSEURS"/>
    <s v="OD"/>
    <n v="-309.12"/>
    <d v="2025-03-28T00:00:00"/>
    <s v="Liaison établissement 401000 CLOUP TO"/>
    <m/>
    <e v="#N/A"/>
    <e v="#N/A"/>
    <n v="65005"/>
    <s v="Invoice Payment by Pili"/>
    <s v="CLOUP"/>
    <s v="Q1"/>
    <e v="#REF!"/>
    <e v="#REF!"/>
    <e v="#REF!"/>
  </r>
  <r>
    <s v="401000"/>
    <x v="6"/>
    <s v="FOURNISSEURS"/>
    <s v="OD"/>
    <n v="-308.41000000000003"/>
    <d v="2025-11-13T00:00:00"/>
    <s v="Liaison établissement 401000 VWR TO"/>
    <m/>
    <e v="#N/A"/>
    <e v="#N/A"/>
    <n v="89950"/>
    <s v="CONSOMMABLE LABO"/>
    <s v="VWR AVANTOR"/>
    <s v="Q4"/>
    <e v="#REF!"/>
    <e v="#REF!"/>
    <e v="#REF!"/>
  </r>
  <r>
    <s v="401000"/>
    <x v="6"/>
    <s v="FOURNISSEURS"/>
    <s v="OD"/>
    <n v="-308.27"/>
    <d v="2025-04-14T00:00:00"/>
    <s v="Liaison inter-établissement"/>
    <m/>
    <e v="#N/A"/>
    <e v="#N/A"/>
    <n v="72779"/>
    <m/>
    <s v="ENGIE"/>
    <s v="Q2"/>
    <e v="#REF!"/>
    <e v="#REF!"/>
    <e v="#REF!"/>
  </r>
  <r>
    <s v="401000"/>
    <x v="6"/>
    <s v="FOURNISSEURS"/>
    <s v="OD"/>
    <n v="-305.92"/>
    <d v="2025-10-16T00:00:00"/>
    <s v="Liaison inter-établissement"/>
    <m/>
    <e v="#N/A"/>
    <e v="#N/A"/>
    <n v="86957"/>
    <m/>
    <s v="ENGIE"/>
    <s v="Q4"/>
    <e v="#REF!"/>
    <e v="#REF!"/>
    <e v="#REF!"/>
  </r>
  <r>
    <s v="401000"/>
    <x v="6"/>
    <s v="FOURNISSEURS"/>
    <s v="OD"/>
    <n v="-303.10000000000002"/>
    <d v="2025-07-16T00:00:00"/>
    <s v="Liaison inter-établissement"/>
    <m/>
    <e v="#N/A"/>
    <e v="#N/A"/>
    <n v="78859"/>
    <m/>
    <s v="ENGIE"/>
    <s v="Q3"/>
    <e v="#REF!"/>
    <e v="#REF!"/>
    <e v="#REF!"/>
  </r>
  <r>
    <s v="401000"/>
    <x v="6"/>
    <s v="FOURNISSEURS"/>
    <s v="OD"/>
    <n v="-302.39999999999998"/>
    <d v="2025-09-12T00:00:00"/>
    <s v="Liaison établissement 401000 VWR TO"/>
    <m/>
    <e v="#N/A"/>
    <e v="#N/A"/>
    <n v="82033"/>
    <s v="CONSOMMABLES LABO"/>
    <s v="VWR AVANTOR"/>
    <s v="Q3"/>
    <e v="#REF!"/>
    <e v="#REF!"/>
    <e v="#REF!"/>
  </r>
  <r>
    <s v="401000"/>
    <x v="6"/>
    <s v="FOURNISSEURS"/>
    <s v="OD"/>
    <n v="-300.89"/>
    <d v="2025-09-30T00:00:00"/>
    <s v="Liaison inter-établissement"/>
    <m/>
    <e v="#N/A"/>
    <e v="#N/A"/>
    <n v="82677"/>
    <m/>
    <s v="BRENNTAG"/>
    <s v="Q3"/>
    <e v="#REF!"/>
    <e v="#REF!"/>
    <e v="#REF!"/>
  </r>
  <r>
    <s v="401000"/>
    <x v="6"/>
    <s v="FOURNISSEURS"/>
    <s v="OD"/>
    <n v="-300"/>
    <d v="2025-07-31T00:00:00"/>
    <s v="Liaison établissement 401000 GONZALEZ TO"/>
    <s v="Non"/>
    <s v="Non"/>
    <e v="#N/A"/>
    <n v="79283"/>
    <s v="PRESTATION PHOTOGRAPHIQUE COMPRENANT LA PRISE DE VUES ET LA POST-PRODUCTION"/>
    <s v="GONZALEZ VICTOR"/>
    <s v="Q3"/>
    <e v="#REF!"/>
    <e v="#REF!"/>
    <e v="#REF!"/>
  </r>
  <r>
    <s v="401000"/>
    <x v="6"/>
    <s v="FOURNISSEURS"/>
    <s v="OD"/>
    <n v="-299.51"/>
    <d v="2025-12-24T00:00:00"/>
    <s v="Liaison établissement 401000 WARNER NORCROSS JUDD TO"/>
    <s v="Non"/>
    <s v="Non"/>
    <e v="#N/A"/>
    <n v="93671"/>
    <s v="2473501"/>
    <s v="WARNER NORCROSS JUDD"/>
    <s v="Q4"/>
    <e v="#REF!"/>
    <e v="#REF!"/>
    <e v="#REF!"/>
  </r>
  <r>
    <s v="401000"/>
    <x v="6"/>
    <s v="FOURNISSEURS"/>
    <s v="OD"/>
    <n v="-298.8"/>
    <d v="2025-03-03T00:00:00"/>
    <s v="Liaison inter-établissement"/>
    <m/>
    <e v="#N/A"/>
    <e v="#N/A"/>
    <n v="64406"/>
    <m/>
    <s v="CLOUP"/>
    <s v="Q1"/>
    <e v="#REF!"/>
    <e v="#REF!"/>
    <e v="#REF!"/>
  </r>
  <r>
    <s v="401000"/>
    <x v="6"/>
    <s v="FOURNISSEURS"/>
    <s v="OD"/>
    <n v="-298"/>
    <d v="2025-02-06T00:00:00"/>
    <s v="Liaison inter-établissement"/>
    <m/>
    <s v="Non"/>
    <e v="#N/A"/>
    <n v="64294"/>
    <m/>
    <s v="DIVERS"/>
    <s v="Q1"/>
    <e v="#REF!"/>
    <e v="#REF!"/>
    <e v="#REF!"/>
  </r>
  <r>
    <s v="401000"/>
    <x v="6"/>
    <s v="FOURNISSEURS"/>
    <s v="OD"/>
    <n v="-294.95999999999998"/>
    <d v="2025-10-25T00:00:00"/>
    <s v="Liaison inter-établissement"/>
    <m/>
    <e v="#N/A"/>
    <e v="#N/A"/>
    <n v="91595"/>
    <m/>
    <s v="AIRLINES"/>
    <s v="Q4"/>
    <e v="#REF!"/>
    <e v="#REF!"/>
    <e v="#REF!"/>
  </r>
  <r>
    <s v="401000"/>
    <x v="6"/>
    <s v="FOURNISSEURS"/>
    <s v="OD"/>
    <n v="-293.54000000000002"/>
    <d v="2025-02-18T00:00:00"/>
    <s v="Liaison inter-établissement"/>
    <m/>
    <e v="#N/A"/>
    <e v="#N/A"/>
    <n v="63764"/>
    <m/>
    <s v="MANUTAN"/>
    <s v="Q1"/>
    <e v="#REF!"/>
    <e v="#REF!"/>
    <e v="#REF!"/>
  </r>
  <r>
    <s v="401000"/>
    <x v="6"/>
    <s v="FOURNISSEURS"/>
    <s v="OD"/>
    <n v="-292"/>
    <d v="2025-11-28T00:00:00"/>
    <s v="Liaison établissement 401000 BLD PHARMATECH TO"/>
    <m/>
    <e v="#N/A"/>
    <e v="#N/A"/>
    <n v="91264"/>
    <s v="INGM238822"/>
    <s v="BLD PHARMATECH"/>
    <s v="Q4"/>
    <e v="#REF!"/>
    <e v="#REF!"/>
    <e v="#REF!"/>
  </r>
  <r>
    <s v="401000"/>
    <x v="6"/>
    <s v="FOURNISSEURS"/>
    <s v="OD"/>
    <n v="-290"/>
    <d v="2025-10-29T00:00:00"/>
    <s v="Liaison inter-établissement"/>
    <m/>
    <e v="#N/A"/>
    <e v="#N/A"/>
    <n v="89828"/>
    <m/>
    <s v="SNCF"/>
    <s v="Q4"/>
    <e v="#REF!"/>
    <e v="#REF!"/>
    <e v="#REF!"/>
  </r>
  <r>
    <s v="401000"/>
    <x v="6"/>
    <s v="FOURNISSEURS"/>
    <s v="OD"/>
    <n v="-288.27"/>
    <d v="2025-11-28T00:00:00"/>
    <s v="Liaison établissement 401000 VWR TO"/>
    <m/>
    <e v="#N/A"/>
    <e v="#N/A"/>
    <n v="91249"/>
    <s v="4067842722"/>
    <s v="VWR AVANTOR"/>
    <s v="Q4"/>
    <e v="#REF!"/>
    <e v="#REF!"/>
    <e v="#REF!"/>
  </r>
  <r>
    <s v="401000"/>
    <x v="6"/>
    <s v="FOURNISSEURS"/>
    <s v="OD"/>
    <n v="-288"/>
    <d v="2025-01-23T00:00:00"/>
    <s v="Liaison inter-établissement"/>
    <m/>
    <s v="Non"/>
    <e v="#N/A"/>
    <n v="63720"/>
    <m/>
    <s v="DIVERS"/>
    <s v="Q1"/>
    <e v="#REF!"/>
    <e v="#REF!"/>
    <e v="#REF!"/>
  </r>
  <r>
    <s v="401000"/>
    <x v="6"/>
    <s v="FOURNISSEURS"/>
    <s v="OD"/>
    <n v="-288"/>
    <d v="2025-09-26T00:00:00"/>
    <s v="Liaison établissement 401000 GSF TO"/>
    <m/>
    <e v="#N/A"/>
    <e v="#N/A"/>
    <n v="82522"/>
    <s v="INVOICE PAYMENT BY PILI"/>
    <s v="GSF"/>
    <s v="Q3"/>
    <e v="#REF!"/>
    <e v="#REF!"/>
    <e v="#REF!"/>
  </r>
  <r>
    <s v="401000"/>
    <x v="6"/>
    <s v="FOURNISSEURS"/>
    <s v="OD"/>
    <n v="-287.83999999999997"/>
    <d v="2025-12-14T00:00:00"/>
    <s v="Liaison inter-établissement"/>
    <m/>
    <e v="#N/A"/>
    <e v="#N/A"/>
    <n v="94103"/>
    <m/>
    <s v="BRADY GROUPE"/>
    <s v="Q4"/>
    <e v="#REF!"/>
    <e v="#REF!"/>
    <e v="#REF!"/>
  </r>
  <r>
    <s v="401000"/>
    <x v="6"/>
    <s v="FOURNISSEURS"/>
    <s v="OD"/>
    <n v="-286.08"/>
    <d v="2025-08-18T00:00:00"/>
    <s v="Liaison établissement 401000 VWR TO"/>
    <m/>
    <e v="#N/A"/>
    <e v="#N/A"/>
    <n v="81134"/>
    <s v="COMMANDE PRODUIT POUR LABO"/>
    <s v="VWR AVANTOR"/>
    <s v="Q3"/>
    <e v="#REF!"/>
    <e v="#REF!"/>
    <e v="#REF!"/>
  </r>
  <r>
    <s v="401000"/>
    <x v="6"/>
    <s v="FOURNISSEURS"/>
    <s v="OD"/>
    <n v="-283.39"/>
    <d v="2025-08-18T00:00:00"/>
    <s v="Liaison établissement 401000 VWR TO"/>
    <m/>
    <e v="#N/A"/>
    <e v="#N/A"/>
    <n v="81129"/>
    <s v="COMMANDE CONSOMMABLE LABO"/>
    <s v="VWR AVANTOR"/>
    <s v="Q3"/>
    <e v="#REF!"/>
    <e v="#REF!"/>
    <e v="#REF!"/>
  </r>
  <r>
    <s v="401000"/>
    <x v="6"/>
    <s v="FOURNISSEURS"/>
    <s v="OD"/>
    <n v="-279.74"/>
    <d v="2025-09-22T00:00:00"/>
    <s v="Liaison établissement 401000 OPTIMUS TO"/>
    <m/>
    <e v="#N/A"/>
    <e v="#N/A"/>
    <n v="82393"/>
    <s v="JOINTS ÉTANCHÉITÉ KL POUR MAINTENANCE JUILLET - URGENT"/>
    <s v="OPTIMUS"/>
    <s v="Q3"/>
    <e v="#REF!"/>
    <e v="#REF!"/>
    <e v="#REF!"/>
  </r>
  <r>
    <s v="401000"/>
    <x v="6"/>
    <s v="FOURNISSEURS"/>
    <s v="OD"/>
    <n v="-279.01"/>
    <d v="2025-06-28T00:00:00"/>
    <s v="Liaison inter-établissement"/>
    <m/>
    <e v="#N/A"/>
    <e v="#N/A"/>
    <n v="83307"/>
    <m/>
    <s v="FNAC"/>
    <s v="Q2"/>
    <e v="#REF!"/>
    <e v="#REF!"/>
    <e v="#REF!"/>
  </r>
  <r>
    <s v="401000"/>
    <x v="6"/>
    <s v="FOURNISSEURS"/>
    <s v="OD"/>
    <n v="-276.61"/>
    <d v="2025-06-16T00:00:00"/>
    <s v="Liaison inter-établissement"/>
    <m/>
    <e v="#N/A"/>
    <e v="#N/A"/>
    <n v="78847"/>
    <m/>
    <s v="ENGIE"/>
    <s v="Q2"/>
    <e v="#REF!"/>
    <e v="#REF!"/>
    <e v="#REF!"/>
  </r>
  <r>
    <s v="401000"/>
    <x v="6"/>
    <s v="FOURNISSEURS"/>
    <s v="OD"/>
    <n v="-276.45999999999998"/>
    <d v="2025-10-31T00:00:00"/>
    <s v="Liaison établissement 401000 BIOTIKA TO"/>
    <s v="Non"/>
    <e v="#N/A"/>
    <e v="#N/A"/>
    <n v="87521"/>
    <s v="TRANSPORT COSTS"/>
    <s v="BIOTIKA"/>
    <s v="Q4"/>
    <e v="#REF!"/>
    <e v="#REF!"/>
    <e v="#REF!"/>
  </r>
  <r>
    <s v="401000"/>
    <x v="6"/>
    <s v="FOURNISSEURS"/>
    <s v="OD"/>
    <n v="-275.89"/>
    <d v="2025-05-14T00:00:00"/>
    <s v="Liaison établissement 401000 BIOTIKA TO"/>
    <s v="Non"/>
    <e v="#N/A"/>
    <e v="#N/A"/>
    <n v="72302"/>
    <m/>
    <s v="BIOTIKA"/>
    <s v="Q2"/>
    <e v="#REF!"/>
    <e v="#REF!"/>
    <e v="#REF!"/>
  </r>
  <r>
    <s v="401000"/>
    <x v="6"/>
    <s v="FOURNISSEURS"/>
    <s v="OD"/>
    <n v="-274.56"/>
    <d v="2025-12-19T00:00:00"/>
    <s v="Liaison établissement 401000 OSIRIS TO"/>
    <s v="Non"/>
    <s v="Non"/>
    <e v="#N/A"/>
    <n v="92697"/>
    <s v="93813939"/>
    <s v="OSIRIS"/>
    <s v="Q4"/>
    <e v="#REF!"/>
    <e v="#REF!"/>
    <e v="#REF!"/>
  </r>
  <r>
    <s v="401000"/>
    <x v="6"/>
    <s v="FOURNISSEURS"/>
    <s v="OD"/>
    <n v="-274.29000000000002"/>
    <d v="2025-02-28T00:00:00"/>
    <s v="Liaison inter-établissement"/>
    <m/>
    <e v="#N/A"/>
    <e v="#N/A"/>
    <n v="74934"/>
    <m/>
    <s v="DHL"/>
    <s v="Q1"/>
    <e v="#REF!"/>
    <e v="#REF!"/>
    <e v="#REF!"/>
  </r>
  <r>
    <s v="401000"/>
    <x v="6"/>
    <s v="FOURNISSEURS"/>
    <s v="OD"/>
    <n v="-273.94"/>
    <d v="2025-05-28T00:00:00"/>
    <s v="Liaison inter-établissement"/>
    <m/>
    <e v="#N/A"/>
    <e v="#N/A"/>
    <n v="74254"/>
    <m/>
    <s v="ORANGE"/>
    <s v="Q2"/>
    <e v="#REF!"/>
    <e v="#REF!"/>
    <e v="#REF!"/>
  </r>
  <r>
    <s v="401000"/>
    <x v="6"/>
    <s v="FOURNISSEURS"/>
    <s v="OD"/>
    <n v="-267.22000000000003"/>
    <d v="2025-02-28T00:00:00"/>
    <s v="Liaison inter-établissement"/>
    <m/>
    <e v="#N/A"/>
    <e v="#N/A"/>
    <n v="90108"/>
    <m/>
    <s v="AIR LIQUIDE"/>
    <s v="Q1"/>
    <e v="#REF!"/>
    <e v="#REF!"/>
    <e v="#REF!"/>
  </r>
  <r>
    <s v="401000"/>
    <x v="6"/>
    <s v="FOURNISSEURS"/>
    <s v="OD"/>
    <n v="-266.8"/>
    <d v="2025-11-09T00:00:00"/>
    <s v="Liaison inter-établissement"/>
    <m/>
    <e v="#N/A"/>
    <e v="#N/A"/>
    <n v="91611"/>
    <m/>
    <s v="BOOKING"/>
    <s v="Q4"/>
    <e v="#REF!"/>
    <e v="#REF!"/>
    <e v="#REF!"/>
  </r>
  <r>
    <s v="401000"/>
    <x v="6"/>
    <s v="FOURNISSEURS"/>
    <s v="OD"/>
    <n v="-264.89999999999998"/>
    <d v="2025-11-06T00:00:00"/>
    <s v="Liaison inter-établissement"/>
    <m/>
    <e v="#N/A"/>
    <e v="#N/A"/>
    <n v="91644"/>
    <m/>
    <s v="HOTELS"/>
    <s v="Q4"/>
    <e v="#REF!"/>
    <e v="#REF!"/>
    <e v="#REF!"/>
  </r>
  <r>
    <s v="401000"/>
    <x v="6"/>
    <s v="FOURNISSEURS"/>
    <s v="OD"/>
    <n v="-264.88"/>
    <d v="2025-08-22T00:00:00"/>
    <s v="Liaison établissement 401000 FENWICK-LINDE TO"/>
    <m/>
    <e v="#N/A"/>
    <e v="#N/A"/>
    <n v="81619"/>
    <s v="MAINTENANCE GERBEUR : RÉPARATION BOUTON MONTÉE-BAISSE"/>
    <s v="FENWICK-LINDE"/>
    <s v="Q3"/>
    <e v="#REF!"/>
    <e v="#REF!"/>
    <e v="#REF!"/>
  </r>
  <r>
    <s v="401000"/>
    <x v="6"/>
    <s v="FOURNISSEURS"/>
    <s v="OD"/>
    <n v="-262.58999999999997"/>
    <d v="2025-09-12T00:00:00"/>
    <s v="Liaison établissement 401000 BIOTIKA TO"/>
    <s v="Non"/>
    <e v="#N/A"/>
    <e v="#N/A"/>
    <n v="82053"/>
    <s v="COÛTS DE TRANSPORT - ECHANTILLONS"/>
    <s v="BIOTIKA"/>
    <s v="Q3"/>
    <e v="#REF!"/>
    <e v="#REF!"/>
    <e v="#REF!"/>
  </r>
  <r>
    <s v="401000"/>
    <x v="6"/>
    <s v="FOURNISSEURS"/>
    <s v="OD"/>
    <n v="-262.58999999999997"/>
    <d v="2025-09-12T00:00:00"/>
    <s v="Liaison établissement 401000 BIOTIKA TO"/>
    <s v="Non"/>
    <e v="#N/A"/>
    <e v="#N/A"/>
    <n v="82058"/>
    <s v="COUTS DE TRANSPORT"/>
    <s v="BIOTIKA"/>
    <s v="Q3"/>
    <e v="#REF!"/>
    <e v="#REF!"/>
    <e v="#REF!"/>
  </r>
  <r>
    <s v="401000"/>
    <x v="6"/>
    <s v="FOURNISSEURS"/>
    <s v="OD"/>
    <n v="-259.2"/>
    <d v="2025-04-15T00:00:00"/>
    <s v="Liaison inter-établissement"/>
    <m/>
    <e v="#N/A"/>
    <e v="#N/A"/>
    <n v="68029"/>
    <m/>
    <s v="ALGOCHEM"/>
    <s v="Q2"/>
    <e v="#REF!"/>
    <e v="#REF!"/>
    <e v="#REF!"/>
  </r>
  <r>
    <s v="401000"/>
    <x v="6"/>
    <s v="FOURNISSEURS"/>
    <s v="OD"/>
    <n v="-258.72000000000003"/>
    <d v="2025-03-18T00:00:00"/>
    <s v="Liaison inter-établissement"/>
    <m/>
    <e v="#N/A"/>
    <e v="#N/A"/>
    <n v="64386"/>
    <m/>
    <s v="ABCR"/>
    <s v="Q1"/>
    <e v="#REF!"/>
    <e v="#REF!"/>
    <e v="#REF!"/>
  </r>
  <r>
    <s v="401000"/>
    <x v="6"/>
    <s v="FOURNISSEURS"/>
    <s v="OD"/>
    <n v="-258.27999999999997"/>
    <d v="2025-07-30T00:00:00"/>
    <s v="Liaison inter-établissement"/>
    <m/>
    <e v="#N/A"/>
    <e v="#N/A"/>
    <n v="80982"/>
    <m/>
    <s v="PTFE TUBE SHOP"/>
    <s v="Q3"/>
    <e v="#REF!"/>
    <e v="#REF!"/>
    <e v="#REF!"/>
  </r>
  <r>
    <s v="401000"/>
    <x v="6"/>
    <s v="FOURNISSEURS"/>
    <s v="OD"/>
    <n v="-258"/>
    <d v="2025-09-10T00:00:00"/>
    <s v="Liaison inter-établissement"/>
    <m/>
    <e v="#N/A"/>
    <e v="#N/A"/>
    <n v="83151"/>
    <m/>
    <s v="SNCF"/>
    <s v="Q3"/>
    <e v="#REF!"/>
    <e v="#REF!"/>
    <e v="#REF!"/>
  </r>
  <r>
    <s v="401000"/>
    <x v="6"/>
    <s v="FOURNISSEURS"/>
    <s v="OD"/>
    <n v="-257.47000000000003"/>
    <d v="2025-05-01T00:00:00"/>
    <s v="Liaison inter-établissement"/>
    <m/>
    <e v="#N/A"/>
    <e v="#N/A"/>
    <n v="74822"/>
    <m/>
    <s v="MANUTAN"/>
    <s v="Q2"/>
    <e v="#REF!"/>
    <e v="#REF!"/>
    <e v="#REF!"/>
  </r>
  <r>
    <s v="401000"/>
    <x v="6"/>
    <s v="FOURNISSEURS"/>
    <s v="OD"/>
    <n v="-257.41000000000003"/>
    <d v="2025-05-19T00:00:00"/>
    <s v="Liaison inter-établissement"/>
    <m/>
    <e v="#N/A"/>
    <e v="#N/A"/>
    <n v="78827"/>
    <m/>
    <s v="ENGIE"/>
    <s v="Q2"/>
    <e v="#REF!"/>
    <e v="#REF!"/>
    <e v="#REF!"/>
  </r>
  <r>
    <s v="401000"/>
    <x v="6"/>
    <s v="FOURNISSEURS"/>
    <s v="OD"/>
    <n v="-254.99"/>
    <d v="2025-02-20T00:00:00"/>
    <s v="Liaison inter-établissement"/>
    <m/>
    <s v="Non"/>
    <e v="#N/A"/>
    <n v="64286"/>
    <m/>
    <s v="DIVERS"/>
    <s v="Q1"/>
    <e v="#REF!"/>
    <e v="#REF!"/>
    <e v="#REF!"/>
  </r>
  <r>
    <s v="401000"/>
    <x v="6"/>
    <s v="FOURNISSEURS"/>
    <s v="OD"/>
    <n v="-250.8"/>
    <d v="2025-04-25T00:00:00"/>
    <s v="Liaison établissement 401000 DENIOS TO"/>
    <m/>
    <e v="#N/A"/>
    <e v="#N/A"/>
    <n v="70164"/>
    <s v="Invoice Payment by Pili"/>
    <s v="DENIOS"/>
    <s v="Q2"/>
    <e v="#REF!"/>
    <e v="#REF!"/>
    <e v="#REF!"/>
  </r>
  <r>
    <s v="401000"/>
    <x v="6"/>
    <s v="FOURNISSEURS"/>
    <s v="OD"/>
    <n v="-250.63"/>
    <d v="2025-03-18T00:00:00"/>
    <s v="Liaison inter-établissement"/>
    <m/>
    <e v="#N/A"/>
    <e v="#N/A"/>
    <n v="70047"/>
    <m/>
    <s v="MANUTAN"/>
    <s v="Q1"/>
    <e v="#REF!"/>
    <e v="#REF!"/>
    <e v="#REF!"/>
  </r>
  <r>
    <s v="401000"/>
    <x v="6"/>
    <s v="FOURNISSEURS"/>
    <s v="OD"/>
    <n v="-250.63"/>
    <d v="2025-07-25T00:00:00"/>
    <s v="Liaison inter-établissement"/>
    <m/>
    <e v="#N/A"/>
    <e v="#N/A"/>
    <n v="81002"/>
    <m/>
    <s v="MANUTAN"/>
    <s v="Q3"/>
    <e v="#REF!"/>
    <e v="#REF!"/>
    <e v="#REF!"/>
  </r>
  <r>
    <s v="401000"/>
    <x v="6"/>
    <s v="FOURNISSEURS"/>
    <s v="OD"/>
    <n v="-250.44"/>
    <d v="2025-12-30T00:00:00"/>
    <s v="Liaison établissement 401000 ABCR TO"/>
    <m/>
    <e v="#N/A"/>
    <e v="#N/A"/>
    <n v="93745"/>
    <s v="VRGG25-025479"/>
    <s v="ABCR"/>
    <s v="Q4"/>
    <e v="#REF!"/>
    <e v="#REF!"/>
    <e v="#REF!"/>
  </r>
  <r>
    <s v="401000"/>
    <x v="6"/>
    <s v="FOURNISSEURS"/>
    <s v="OD"/>
    <n v="-249.6"/>
    <d v="2025-03-11T00:00:00"/>
    <s v="Liaison inter-établissement"/>
    <m/>
    <e v="#N/A"/>
    <e v="#N/A"/>
    <n v="64450"/>
    <m/>
    <s v="Sigma-Aldrich chimie"/>
    <s v="Q1"/>
    <e v="#REF!"/>
    <e v="#REF!"/>
    <e v="#REF!"/>
  </r>
  <r>
    <s v="401000"/>
    <x v="6"/>
    <s v="FOURNISSEURS"/>
    <s v="OD"/>
    <n v="-249.6"/>
    <d v="2025-08-22T00:00:00"/>
    <s v="Liaison établissement 401000 GAZDETECT TO"/>
    <m/>
    <e v="#N/A"/>
    <e v="#N/A"/>
    <n v="81593"/>
    <s v="MAINTENANCE/RÉPARATION DES 4 DÉTECTEURS HCN DU LABO"/>
    <s v="GAZ DETECT"/>
    <s v="Q3"/>
    <e v="#REF!"/>
    <e v="#REF!"/>
    <e v="#REF!"/>
  </r>
  <r>
    <s v="401000"/>
    <x v="6"/>
    <s v="FOURNISSEURS"/>
    <s v="OD"/>
    <n v="-247.74"/>
    <d v="2025-09-12T00:00:00"/>
    <s v="Liaison établissement 401000 BIOTIKA TO"/>
    <s v="Non"/>
    <e v="#N/A"/>
    <e v="#N/A"/>
    <n v="82073"/>
    <s v="COÛT TRANSPORT"/>
    <s v="BIOTIKA"/>
    <s v="Q3"/>
    <e v="#REF!"/>
    <e v="#REF!"/>
    <e v="#REF!"/>
  </r>
  <r>
    <s v="401000"/>
    <x v="6"/>
    <s v="FOURNISSEURS"/>
    <s v="OD"/>
    <n v="-246"/>
    <d v="2025-10-24T00:00:00"/>
    <s v="Liaison inter-établissement"/>
    <m/>
    <e v="#N/A"/>
    <e v="#N/A"/>
    <n v="89820"/>
    <m/>
    <s v="SNCF"/>
    <s v="Q4"/>
    <e v="#REF!"/>
    <e v="#REF!"/>
    <e v="#REF!"/>
  </r>
  <r>
    <s v="401000"/>
    <x v="6"/>
    <s v="FOURNISSEURS"/>
    <s v="OD"/>
    <n v="-245.53"/>
    <d v="2025-11-24T00:00:00"/>
    <s v="INDIGO - ALTAIR - C2025990 "/>
    <s v="Non"/>
    <s v="Non"/>
    <e v="#N/A"/>
    <n v="90575"/>
    <m/>
    <s v="ALTAIR AVOCATS"/>
    <s v="Q4"/>
    <e v="#REF!"/>
    <e v="#REF!"/>
    <e v="#REF!"/>
  </r>
  <r>
    <s v="401000"/>
    <x v="6"/>
    <s v="FOURNISSEURS"/>
    <s v="OD"/>
    <n v="-244.12"/>
    <d v="2025-10-15T00:00:00"/>
    <s v="Liaison inter-établissement"/>
    <s v="Non"/>
    <s v="Non"/>
    <e v="#N/A"/>
    <n v="89694"/>
    <m/>
    <s v="LINKEDIN"/>
    <s v="Q4"/>
    <e v="#REF!"/>
    <e v="#REF!"/>
    <e v="#REF!"/>
  </r>
  <r>
    <s v="401000"/>
    <x v="6"/>
    <s v="FOURNISSEURS"/>
    <s v="OD"/>
    <n v="-243.98"/>
    <d v="2025-03-04T00:00:00"/>
    <s v="Liaison inter-établissement"/>
    <m/>
    <s v="Non"/>
    <e v="#N/A"/>
    <n v="68105"/>
    <m/>
    <s v="DIVERS"/>
    <s v="Q1"/>
    <e v="#REF!"/>
    <e v="#REF!"/>
    <e v="#REF!"/>
  </r>
  <r>
    <s v="401000"/>
    <x v="6"/>
    <s v="FOURNISSEURS"/>
    <s v="OD"/>
    <n v="-243.6"/>
    <d v="2025-08-21T00:00:00"/>
    <s v="Liaison établissement 401000 VWR TO"/>
    <m/>
    <e v="#N/A"/>
    <e v="#N/A"/>
    <n v="81504"/>
    <s v="COMMANDE CONSOMMABLE LABO"/>
    <s v="VWR AVANTOR"/>
    <s v="Q3"/>
    <e v="#REF!"/>
    <e v="#REF!"/>
    <e v="#REF!"/>
  </r>
  <r>
    <s v="401000"/>
    <x v="6"/>
    <s v="FOURNISSEURS"/>
    <s v="OD"/>
    <n v="-242.52"/>
    <d v="2025-04-28T00:00:00"/>
    <s v="Liaison inter-établissement"/>
    <m/>
    <e v="#N/A"/>
    <e v="#N/A"/>
    <n v="73134"/>
    <m/>
    <s v="ORANGE"/>
    <s v="Q2"/>
    <e v="#REF!"/>
    <e v="#REF!"/>
    <e v="#REF!"/>
  </r>
  <r>
    <s v="401000"/>
    <x v="6"/>
    <s v="FOURNISSEURS"/>
    <s v="OD"/>
    <n v="-242.14"/>
    <d v="2025-02-05T00:00:00"/>
    <s v="Liaison inter-établissement"/>
    <m/>
    <s v="Non"/>
    <e v="#N/A"/>
    <n v="68097"/>
    <m/>
    <s v="DIVERS"/>
    <s v="Q1"/>
    <e v="#REF!"/>
    <e v="#REF!"/>
    <e v="#REF!"/>
  </r>
  <r>
    <s v="401000"/>
    <x v="6"/>
    <s v="FOURNISSEURS"/>
    <s v="OD"/>
    <n v="-241.33"/>
    <d v="2025-07-25T00:00:00"/>
    <s v="Liaison inter-établissement"/>
    <m/>
    <e v="#N/A"/>
    <e v="#N/A"/>
    <n v="80810"/>
    <m/>
    <s v="RICOH"/>
    <s v="Q3"/>
    <e v="#REF!"/>
    <e v="#REF!"/>
    <e v="#REF!"/>
  </r>
  <r>
    <s v="401000"/>
    <x v="6"/>
    <s v="FOURNISSEURS"/>
    <s v="OD"/>
    <n v="-241.08"/>
    <d v="2025-01-27T00:00:00"/>
    <s v="Liaison inter-établissement"/>
    <m/>
    <e v="#N/A"/>
    <e v="#N/A"/>
    <n v="76240"/>
    <m/>
    <s v="ORANGE"/>
    <s v="Q1"/>
    <e v="#REF!"/>
    <e v="#REF!"/>
    <e v="#REF!"/>
  </r>
  <r>
    <s v="401000"/>
    <x v="6"/>
    <s v="FOURNISSEURS"/>
    <s v="OD"/>
    <n v="-241.08"/>
    <d v="2025-02-24T00:00:00"/>
    <s v="Liaison inter-établissement"/>
    <m/>
    <e v="#N/A"/>
    <e v="#N/A"/>
    <n v="76236"/>
    <m/>
    <s v="ORANGE"/>
    <s v="Q1"/>
    <e v="#REF!"/>
    <e v="#REF!"/>
    <e v="#REF!"/>
  </r>
  <r>
    <s v="401000"/>
    <x v="6"/>
    <s v="FOURNISSEURS"/>
    <s v="OD"/>
    <n v="-240"/>
    <d v="2025-02-18T00:00:00"/>
    <s v="Liaison inter-établissement"/>
    <m/>
    <s v="Non"/>
    <n v="0"/>
    <n v="63656"/>
    <m/>
    <s v="CNFSE RECYCLAGE"/>
    <s v="Q1"/>
    <e v="#REF!"/>
    <e v="#REF!"/>
    <e v="#REF!"/>
  </r>
  <r>
    <s v="401000"/>
    <x v="6"/>
    <s v="FOURNISSEURS"/>
    <s v="OD"/>
    <n v="-240"/>
    <d v="2025-04-22T00:00:00"/>
    <s v="Frais Bpifrance"/>
    <m/>
    <e v="#N/A"/>
    <e v="#N/A"/>
    <n v="90122"/>
    <m/>
    <s v="BPI FRANCE"/>
    <s v="Q2"/>
    <e v="#REF!"/>
    <e v="#REF!"/>
    <e v="#REF!"/>
  </r>
  <r>
    <s v="401000"/>
    <x v="6"/>
    <s v="FOURNISSEURS"/>
    <s v="OD"/>
    <n v="-240"/>
    <d v="2025-07-23T00:00:00"/>
    <s v="Liaison établissement 401000 BIOTIKA TO"/>
    <s v="Non"/>
    <e v="#N/A"/>
    <e v="#N/A"/>
    <n v="78342"/>
    <s v="TRANSPORT OF MATERIAL FROM GBELY SK TO SLOVENSKÁ"/>
    <s v="BIOTIKA"/>
    <s v="Q3"/>
    <e v="#REF!"/>
    <e v="#REF!"/>
    <e v="#REF!"/>
  </r>
  <r>
    <s v="401000"/>
    <x v="6"/>
    <s v="FOURNISSEURS"/>
    <s v="OD"/>
    <n v="-240"/>
    <d v="2025-12-10T00:00:00"/>
    <s v="Liaison établissement 401000 LEGICHEM SERVICES TO"/>
    <m/>
    <e v="#N/A"/>
    <e v="#N/A"/>
    <n v="92066"/>
    <s v="FA000262"/>
    <s v="LEGICHEM SERVICES"/>
    <s v="Q4"/>
    <e v="#REF!"/>
    <e v="#REF!"/>
    <e v="#REF!"/>
  </r>
  <r>
    <s v="401000"/>
    <x v="6"/>
    <s v="FOURNISSEURS"/>
    <s v="OD"/>
    <n v="-239.8"/>
    <d v="2025-02-05T00:00:00"/>
    <s v="Liaison inter-établissement"/>
    <m/>
    <e v="#N/A"/>
    <e v="#N/A"/>
    <n v="64350"/>
    <m/>
    <s v="SNCF"/>
    <s v="Q1"/>
    <e v="#REF!"/>
    <e v="#REF!"/>
    <e v="#REF!"/>
  </r>
  <r>
    <s v="401000"/>
    <x v="6"/>
    <s v="FOURNISSEURS"/>
    <s v="OD"/>
    <n v="-239.14"/>
    <d v="2025-07-09T00:00:00"/>
    <s v="Liaison établissement 401000 VWR TO"/>
    <m/>
    <e v="#N/A"/>
    <e v="#N/A"/>
    <n v="77253"/>
    <s v="COMMANDE PRODUIT LABO"/>
    <s v="VWR AVANTOR"/>
    <s v="Q3"/>
    <e v="#REF!"/>
    <e v="#REF!"/>
    <e v="#REF!"/>
  </r>
  <r>
    <s v="401000"/>
    <x v="6"/>
    <s v="FOURNISSEURS"/>
    <s v="OD"/>
    <n v="-237.13"/>
    <d v="2025-02-18T00:00:00"/>
    <s v="Liaison inter-établissement"/>
    <m/>
    <e v="#N/A"/>
    <e v="#N/A"/>
    <n v="74961"/>
    <m/>
    <s v="ENGIE"/>
    <s v="Q1"/>
    <e v="#REF!"/>
    <e v="#REF!"/>
    <e v="#REF!"/>
  </r>
  <r>
    <s v="401000"/>
    <x v="6"/>
    <s v="FOURNISSEURS"/>
    <s v="OD"/>
    <n v="-236.4"/>
    <d v="2025-11-07T00:00:00"/>
    <s v="Liaison établissement 401000 VWR TO"/>
    <m/>
    <e v="#N/A"/>
    <e v="#N/A"/>
    <n v="89440"/>
    <s v="4067827511"/>
    <s v="VWR AVANTOR"/>
    <s v="Q4"/>
    <e v="#REF!"/>
    <e v="#REF!"/>
    <e v="#REF!"/>
  </r>
  <r>
    <s v="401000"/>
    <x v="6"/>
    <s v="FOURNISSEURS"/>
    <s v="OD"/>
    <n v="-235.32"/>
    <d v="2025-03-28T00:00:00"/>
    <s v="Liaison inter-établissement"/>
    <m/>
    <e v="#N/A"/>
    <e v="#N/A"/>
    <n v="68121"/>
    <m/>
    <s v="Sigma-Aldrich chimie"/>
    <s v="Q1"/>
    <e v="#REF!"/>
    <e v="#REF!"/>
    <e v="#REF!"/>
  </r>
  <r>
    <s v="401000"/>
    <x v="6"/>
    <s v="FOURNISSEURS"/>
    <s v="OD"/>
    <n v="-235"/>
    <d v="2025-02-06T00:00:00"/>
    <s v="Liaison inter-établissement"/>
    <m/>
    <s v="Non"/>
    <e v="#N/A"/>
    <n v="64298"/>
    <m/>
    <s v="DIVERS"/>
    <s v="Q1"/>
    <e v="#REF!"/>
    <e v="#REF!"/>
    <e v="#REF!"/>
  </r>
  <r>
    <s v="401000"/>
    <x v="6"/>
    <s v="FOURNISSEURS"/>
    <s v="OD"/>
    <n v="-233.68"/>
    <d v="2025-06-24T00:00:00"/>
    <s v="Liaison inter-établissement"/>
    <m/>
    <e v="#N/A"/>
    <e v="#N/A"/>
    <n v="78266"/>
    <m/>
    <s v="BRUNEAU"/>
    <s v="Q2"/>
    <e v="#REF!"/>
    <e v="#REF!"/>
    <e v="#REF!"/>
  </r>
  <r>
    <s v="401000"/>
    <x v="6"/>
    <s v="FOURNISSEURS"/>
    <s v="OD"/>
    <n v="-233.11"/>
    <d v="2025-01-31T00:00:00"/>
    <s v="Liaison inter-établissement"/>
    <m/>
    <e v="#N/A"/>
    <e v="#N/A"/>
    <n v="63608"/>
    <m/>
    <s v="BRUNEAU"/>
    <s v="Q1"/>
    <e v="#REF!"/>
    <e v="#REF!"/>
    <e v="#REF!"/>
  </r>
  <r>
    <s v="401000"/>
    <x v="6"/>
    <s v="FOURNISSEURS"/>
    <s v="OD"/>
    <n v="-231.65"/>
    <d v="2025-04-22T00:00:00"/>
    <s v="Liaison inter-établissement"/>
    <m/>
    <e v="#N/A"/>
    <e v="#N/A"/>
    <n v="81202"/>
    <m/>
    <s v="RICOH"/>
    <s v="Q2"/>
    <e v="#REF!"/>
    <e v="#REF!"/>
    <e v="#REF!"/>
  </r>
  <r>
    <s v="401000"/>
    <x v="6"/>
    <s v="FOURNISSEURS"/>
    <s v="OD"/>
    <n v="-230.89"/>
    <d v="2025-07-13T00:00:00"/>
    <s v="Liaison inter-établissement"/>
    <m/>
    <e v="#N/A"/>
    <e v="#N/A"/>
    <n v="81024"/>
    <m/>
    <s v="RS COMPONENT"/>
    <s v="Q3"/>
    <e v="#REF!"/>
    <e v="#REF!"/>
    <e v="#REF!"/>
  </r>
  <r>
    <s v="401000"/>
    <x v="6"/>
    <s v="FOURNISSEURS"/>
    <s v="OD"/>
    <n v="-230.49"/>
    <d v="2025-11-26T00:00:00"/>
    <s v="Liaison inter-établissement"/>
    <m/>
    <e v="#N/A"/>
    <e v="#N/A"/>
    <n v="91579"/>
    <m/>
    <s v="AIRBNB"/>
    <s v="Q4"/>
    <e v="#REF!"/>
    <e v="#REF!"/>
    <e v="#REF!"/>
  </r>
  <r>
    <s v="401000"/>
    <x v="6"/>
    <s v="FOURNISSEURS"/>
    <s v="OD"/>
    <n v="-229.06"/>
    <d v="2025-09-30T00:00:00"/>
    <s v="Liaison inter-établissement"/>
    <m/>
    <e v="#N/A"/>
    <e v="#N/A"/>
    <n v="82669"/>
    <m/>
    <s v="AIR LIQUIDE"/>
    <s v="Q3"/>
    <e v="#REF!"/>
    <e v="#REF!"/>
    <e v="#REF!"/>
  </r>
  <r>
    <s v="401000"/>
    <x v="6"/>
    <s v="FOURNISSEURS"/>
    <s v="OD"/>
    <n v="-228.1"/>
    <d v="2025-04-25T00:00:00"/>
    <s v="Liaison établissement 401000 AIRLIQUIDE TO"/>
    <m/>
    <e v="#N/A"/>
    <e v="#N/A"/>
    <n v="70134"/>
    <s v="Invoice Payment by Pili"/>
    <s v="AIR LIQUIDE"/>
    <s v="Q2"/>
    <e v="#REF!"/>
    <e v="#REF!"/>
    <e v="#REF!"/>
  </r>
  <r>
    <s v="401000"/>
    <x v="6"/>
    <s v="FOURNISSEURS"/>
    <s v="OD"/>
    <n v="-228"/>
    <d v="2025-12-10T00:00:00"/>
    <s v="Liaison établissement 401000 ARESCOM TO"/>
    <m/>
    <e v="#N/A"/>
    <e v="#N/A"/>
    <n v="92035"/>
    <s v="144835"/>
    <s v="ARESCOM"/>
    <s v="Q4"/>
    <e v="#REF!"/>
    <e v="#REF!"/>
    <e v="#REF!"/>
  </r>
  <r>
    <s v="401000"/>
    <x v="6"/>
    <s v="FOURNISSEURS"/>
    <s v="OD"/>
    <n v="-228"/>
    <d v="2025-12-23T00:00:00"/>
    <s v="Liaison établissement 401000 HIPOLITO TO"/>
    <m/>
    <e v="#N/A"/>
    <e v="#N/A"/>
    <n v="93619"/>
    <s v="2025 / 177"/>
    <s v="HIPOLITO"/>
    <s v="Q4"/>
    <e v="#REF!"/>
    <e v="#REF!"/>
    <e v="#REF!"/>
  </r>
  <r>
    <s v="401000"/>
    <x v="6"/>
    <s v="FOURNISSEURS"/>
    <s v="OD"/>
    <n v="-227.61"/>
    <d v="2025-09-15T00:00:00"/>
    <s v="Liaison inter-établissement"/>
    <m/>
    <e v="#N/A"/>
    <e v="#N/A"/>
    <n v="82352"/>
    <m/>
    <s v="VWR AVANTOR"/>
    <s v="Q3"/>
    <e v="#REF!"/>
    <e v="#REF!"/>
    <e v="#REF!"/>
  </r>
  <r>
    <s v="401000"/>
    <x v="6"/>
    <s v="FOURNISSEURS"/>
    <s v="OD"/>
    <n v="-226.8"/>
    <d v="2025-08-08T00:00:00"/>
    <s v="Liaison établissement 401000 CLOUP TO"/>
    <m/>
    <e v="#N/A"/>
    <e v="#N/A"/>
    <n v="80762"/>
    <s v="CARTOUCHES POUR L'EAU DÉMINÉRALISÉE"/>
    <s v="CLOUP"/>
    <s v="Q3"/>
    <e v="#REF!"/>
    <e v="#REF!"/>
    <e v="#REF!"/>
  </r>
  <r>
    <s v="401000"/>
    <x v="6"/>
    <s v="FOURNISSEURS"/>
    <s v="OD"/>
    <n v="-223.02"/>
    <d v="2025-03-31T00:00:00"/>
    <s v="Liaison inter-établissement"/>
    <m/>
    <e v="#N/A"/>
    <e v="#N/A"/>
    <n v="70055"/>
    <m/>
    <s v="ORANGE"/>
    <s v="Q1"/>
    <e v="#REF!"/>
    <e v="#REF!"/>
    <e v="#REF!"/>
  </r>
  <r>
    <s v="401000"/>
    <x v="6"/>
    <s v="FOURNISSEURS"/>
    <s v="OD"/>
    <n v="-222.48"/>
    <d v="2025-09-22T00:00:00"/>
    <s v="Liaison établissement 401000 FENWICK-LINDE TO"/>
    <m/>
    <e v="#N/A"/>
    <e v="#N/A"/>
    <n v="82408"/>
    <s v="MAINTENANCE GERBEUR : RÉPARATION BOUTON MONTÉE-BAISSE"/>
    <s v="FENWICK-LINDE"/>
    <s v="Q3"/>
    <e v="#REF!"/>
    <e v="#REF!"/>
    <e v="#REF!"/>
  </r>
  <r>
    <s v="401000"/>
    <x v="6"/>
    <s v="FOURNISSEURS"/>
    <s v="OD"/>
    <n v="-220.4"/>
    <d v="2025-10-31T00:00:00"/>
    <s v="Liaison établissement 401000 BECKER TO"/>
    <s v="Non"/>
    <s v="Oui"/>
    <e v="#N/A"/>
    <n v="87515"/>
    <s v="EXTENSION BREVET PHOENIX V20 AUX US"/>
    <s v="BECKER"/>
    <s v="Q4"/>
    <e v="#REF!"/>
    <e v="#REF!"/>
    <e v="#REF!"/>
  </r>
  <r>
    <s v="401000"/>
    <x v="6"/>
    <s v="FOURNISSEURS"/>
    <s v="OD"/>
    <n v="-220.32"/>
    <d v="2025-03-18T00:00:00"/>
    <s v="Liaison inter-établissement"/>
    <m/>
    <e v="#N/A"/>
    <e v="#N/A"/>
    <n v="64382"/>
    <m/>
    <s v="ABCR"/>
    <s v="Q1"/>
    <e v="#REF!"/>
    <e v="#REF!"/>
    <e v="#REF!"/>
  </r>
  <r>
    <s v="401000"/>
    <x v="6"/>
    <s v="FOURNISSEURS"/>
    <s v="OD"/>
    <n v="-219.94"/>
    <d v="2025-09-12T00:00:00"/>
    <s v="Liaison établissement 401000 BIOTIKA TO"/>
    <s v="Non"/>
    <e v="#N/A"/>
    <e v="#N/A"/>
    <n v="82063"/>
    <s v="COÛTS DE TRANSPORT ECHANTILLONS"/>
    <s v="BIOTIKA"/>
    <s v="Q3"/>
    <e v="#REF!"/>
    <e v="#REF!"/>
    <e v="#REF!"/>
  </r>
  <r>
    <s v="401000"/>
    <x v="6"/>
    <s v="FOURNISSEURS"/>
    <s v="OD"/>
    <n v="-217.68"/>
    <d v="2025-12-30T00:00:00"/>
    <s v="Liaison établissement 401000 FISHER TO"/>
    <m/>
    <e v="#N/A"/>
    <e v="#N/A"/>
    <n v="93750"/>
    <s v="4175244732"/>
    <s v="FISHER SCIENTIFIC"/>
    <s v="Q4"/>
    <e v="#REF!"/>
    <e v="#REF!"/>
    <e v="#REF!"/>
  </r>
  <r>
    <s v="401000"/>
    <x v="6"/>
    <s v="FOURNISSEURS"/>
    <s v="OD"/>
    <n v="-216.24"/>
    <d v="2025-03-20T00:00:00"/>
    <s v="Liaison inter-établissement"/>
    <m/>
    <e v="#N/A"/>
    <e v="#N/A"/>
    <n v="64442"/>
    <m/>
    <s v="ROTH SOCHIEL"/>
    <s v="Q1"/>
    <e v="#REF!"/>
    <e v="#REF!"/>
    <e v="#REF!"/>
  </r>
  <r>
    <s v="401000"/>
    <x v="6"/>
    <s v="FOURNISSEURS"/>
    <s v="OD"/>
    <n v="-215.2"/>
    <d v="2025-03-18T00:00:00"/>
    <s v="Liaison inter-établissement"/>
    <m/>
    <e v="#N/A"/>
    <e v="#N/A"/>
    <n v="66762"/>
    <m/>
    <s v="SNCF"/>
    <s v="Q1"/>
    <e v="#REF!"/>
    <e v="#REF!"/>
    <e v="#REF!"/>
  </r>
  <r>
    <s v="401000"/>
    <x v="6"/>
    <s v="FOURNISSEURS"/>
    <s v="OD"/>
    <n v="-214.03"/>
    <d v="2025-09-08T00:00:00"/>
    <s v="Liaison inter-établissement"/>
    <m/>
    <e v="#N/A"/>
    <e v="#N/A"/>
    <n v="89836"/>
    <m/>
    <s v="LITFAD"/>
    <s v="Q3"/>
    <e v="#REF!"/>
    <e v="#REF!"/>
    <e v="#REF!"/>
  </r>
  <r>
    <s v="401000"/>
    <x v="6"/>
    <s v="FOURNISSEURS"/>
    <s v="OD"/>
    <n v="-213.71"/>
    <d v="2025-06-30T00:00:00"/>
    <s v="Liaison inter-établissement"/>
    <m/>
    <e v="#N/A"/>
    <e v="#N/A"/>
    <n v="77350"/>
    <m/>
    <s v="DHL"/>
    <s v="Q2"/>
    <e v="#REF!"/>
    <e v="#REF!"/>
    <e v="#REF!"/>
  </r>
  <r>
    <s v="401000"/>
    <x v="6"/>
    <s v="FOURNISSEURS"/>
    <s v="OD"/>
    <n v="-213.45"/>
    <d v="2025-07-03T00:00:00"/>
    <s v="Liaison inter-établissement"/>
    <m/>
    <e v="#N/A"/>
    <e v="#N/A"/>
    <n v="80978"/>
    <m/>
    <s v="PTFE TUBE SHOP"/>
    <s v="Q3"/>
    <e v="#REF!"/>
    <e v="#REF!"/>
    <e v="#REF!"/>
  </r>
  <r>
    <s v="401000"/>
    <x v="6"/>
    <s v="FOURNISSEURS"/>
    <s v="OD"/>
    <n v="-212.8"/>
    <d v="2025-05-29T00:00:00"/>
    <s v="Liaison inter-établissement"/>
    <m/>
    <e v="#N/A"/>
    <e v="#N/A"/>
    <n v="81064"/>
    <m/>
    <s v="EUROPCAR"/>
    <s v="Q2"/>
    <e v="#REF!"/>
    <e v="#REF!"/>
    <e v="#REF!"/>
  </r>
  <r>
    <s v="401000"/>
    <x v="6"/>
    <s v="FOURNISSEURS"/>
    <s v="OD"/>
    <n v="-211.5"/>
    <d v="2025-04-10T00:00:00"/>
    <s v="Liaison inter-établissement"/>
    <m/>
    <e v="#N/A"/>
    <e v="#N/A"/>
    <n v="74990"/>
    <m/>
    <s v="SNCF"/>
    <s v="Q2"/>
    <e v="#REF!"/>
    <e v="#REF!"/>
    <e v="#REF!"/>
  </r>
  <r>
    <s v="401000"/>
    <x v="6"/>
    <s v="FOURNISSEURS"/>
    <s v="OD"/>
    <n v="-210.7"/>
    <d v="2025-01-31T00:00:00"/>
    <s v="Liaison inter-établissement"/>
    <m/>
    <e v="#N/A"/>
    <e v="#N/A"/>
    <n v="76216"/>
    <m/>
    <s v="AIR LIQUIDE"/>
    <s v="Q1"/>
    <e v="#REF!"/>
    <e v="#REF!"/>
    <e v="#REF!"/>
  </r>
  <r>
    <s v="401000"/>
    <x v="6"/>
    <s v="FOURNISSEURS"/>
    <s v="OD"/>
    <n v="-210"/>
    <d v="2025-01-30T00:00:00"/>
    <s v="Liaison inter-établissement"/>
    <m/>
    <e v="#N/A"/>
    <e v="#N/A"/>
    <n v="70117"/>
    <m/>
    <s v="GSF"/>
    <s v="Q1"/>
    <e v="#REF!"/>
    <e v="#REF!"/>
    <e v="#REF!"/>
  </r>
  <r>
    <s v="401000"/>
    <x v="6"/>
    <s v="FOURNISSEURS"/>
    <s v="OD"/>
    <n v="-210"/>
    <d v="2025-01-31T00:00:00"/>
    <s v="Liaison inter-établissement"/>
    <m/>
    <e v="#N/A"/>
    <e v="#N/A"/>
    <n v="63732"/>
    <m/>
    <s v="GSF"/>
    <s v="Q1"/>
    <e v="#REF!"/>
    <e v="#REF!"/>
    <e v="#REF!"/>
  </r>
  <r>
    <s v="401000"/>
    <x v="6"/>
    <s v="FOURNISSEURS"/>
    <s v="OD"/>
    <n v="-210"/>
    <d v="2025-03-07T00:00:00"/>
    <s v="Liaison inter-établissement"/>
    <m/>
    <e v="#N/A"/>
    <e v="#N/A"/>
    <n v="63804"/>
    <m/>
    <s v="PHENOMENEX"/>
    <s v="Q1"/>
    <e v="#REF!"/>
    <e v="#REF!"/>
    <e v="#REF!"/>
  </r>
  <r>
    <s v="401000"/>
    <x v="6"/>
    <s v="FOURNISSEURS"/>
    <s v="OD"/>
    <n v="-210"/>
    <d v="2025-03-28T00:00:00"/>
    <s v="Liaison établissement 401000 ROTH TO"/>
    <m/>
    <e v="#N/A"/>
    <e v="#N/A"/>
    <n v="65000"/>
    <s v="Invoice Payment by Pili"/>
    <s v="ROTH SOCHIEL"/>
    <s v="Q1"/>
    <e v="#REF!"/>
    <e v="#REF!"/>
    <e v="#REF!"/>
  </r>
  <r>
    <s v="401000"/>
    <x v="6"/>
    <s v="FOURNISSEURS"/>
    <s v="OD"/>
    <n v="-209.16"/>
    <d v="2025-08-01T00:00:00"/>
    <s v="Liaison inter-établissement"/>
    <m/>
    <e v="#N/A"/>
    <e v="#N/A"/>
    <n v="83259"/>
    <m/>
    <s v="BRUNEAU"/>
    <s v="Q3"/>
    <e v="#REF!"/>
    <e v="#REF!"/>
    <e v="#REF!"/>
  </r>
  <r>
    <s v="401000"/>
    <x v="6"/>
    <s v="FOURNISSEURS"/>
    <s v="OD"/>
    <n v="-204.67"/>
    <d v="2025-04-04T00:00:00"/>
    <s v="Liaison inter-établissement"/>
    <m/>
    <e v="#N/A"/>
    <e v="#N/A"/>
    <n v="74794"/>
    <m/>
    <s v="FISHER SCIENTIFIC"/>
    <s v="Q2"/>
    <e v="#REF!"/>
    <e v="#REF!"/>
    <e v="#REF!"/>
  </r>
  <r>
    <s v="401000"/>
    <x v="6"/>
    <s v="FOURNISSEURS"/>
    <s v="OD"/>
    <n v="-202.68"/>
    <d v="2025-03-06T00:00:00"/>
    <s v="Liaison inter-établissement"/>
    <m/>
    <e v="#N/A"/>
    <e v="#N/A"/>
    <n v="63492"/>
    <m/>
    <s v="ACRITEC"/>
    <s v="Q1"/>
    <e v="#REF!"/>
    <e v="#REF!"/>
    <e v="#REF!"/>
  </r>
  <r>
    <s v="401000"/>
    <x v="6"/>
    <s v="FOURNISSEURS"/>
    <s v="OD"/>
    <n v="-201.24"/>
    <d v="2025-02-28T00:00:00"/>
    <s v="Liaison inter-établissement"/>
    <m/>
    <e v="#N/A"/>
    <e v="#N/A"/>
    <n v="63620"/>
    <m/>
    <s v="CAWATOES"/>
    <s v="Q1"/>
    <e v="#REF!"/>
    <e v="#REF!"/>
    <e v="#REF!"/>
  </r>
  <r>
    <s v="401000"/>
    <x v="6"/>
    <s v="FOURNISSEURS"/>
    <s v="OD"/>
    <n v="-201.24"/>
    <d v="2025-04-25T00:00:00"/>
    <s v="Liaison établissement 401000 CAWAT TO"/>
    <m/>
    <e v="#N/A"/>
    <e v="#N/A"/>
    <n v="70205"/>
    <s v="Invoice Payment by Pili"/>
    <s v="CAWATOES"/>
    <s v="Q2"/>
    <e v="#REF!"/>
    <e v="#REF!"/>
    <e v="#REF!"/>
  </r>
  <r>
    <s v="401000"/>
    <x v="6"/>
    <s v="FOURNISSEURS"/>
    <s v="OD"/>
    <n v="-200.94"/>
    <d v="2025-07-31T00:00:00"/>
    <s v="Liaison établissement 401000 FILHOL TO"/>
    <m/>
    <e v="#N/A"/>
    <e v="#N/A"/>
    <n v="79273"/>
    <s v="TRANSPORT PRODUITS POUR ESSAIS 2 CHEZ ROUSSELET"/>
    <s v="FILHOL"/>
    <s v="Q3"/>
    <e v="#REF!"/>
    <e v="#REF!"/>
    <e v="#REF!"/>
  </r>
  <r>
    <s v="401000"/>
    <x v="6"/>
    <s v="FOURNISSEURS"/>
    <s v="OD"/>
    <n v="-199.9"/>
    <d v="2025-09-27T00:00:00"/>
    <s v="Liaison inter-établissement"/>
    <m/>
    <e v="#N/A"/>
    <e v="#N/A"/>
    <n v="91688"/>
    <m/>
    <s v="SNCF"/>
    <s v="Q3"/>
    <e v="#REF!"/>
    <e v="#REF!"/>
    <e v="#REF!"/>
  </r>
  <r>
    <s v="401000"/>
    <x v="6"/>
    <s v="FOURNISSEURS"/>
    <s v="OD"/>
    <n v="-199.33"/>
    <d v="2025-02-14T00:00:00"/>
    <s v="Liaison inter-établissement"/>
    <m/>
    <e v="#N/A"/>
    <e v="#N/A"/>
    <n v="64266"/>
    <m/>
    <s v="BRUNEAU"/>
    <s v="Q1"/>
    <e v="#REF!"/>
    <e v="#REF!"/>
    <e v="#REF!"/>
  </r>
  <r>
    <s v="401000"/>
    <x v="6"/>
    <s v="FOURNISSEURS"/>
    <s v="OD"/>
    <n v="-198.28"/>
    <d v="2025-03-20T00:00:00"/>
    <s v="Liaison inter-établissement"/>
    <m/>
    <e v="#N/A"/>
    <e v="#N/A"/>
    <n v="64430"/>
    <m/>
    <s v="FISHER SCIENTIFIC"/>
    <s v="Q1"/>
    <e v="#REF!"/>
    <e v="#REF!"/>
    <e v="#REF!"/>
  </r>
  <r>
    <s v="401000"/>
    <x v="6"/>
    <s v="FOURNISSEURS"/>
    <s v="OD"/>
    <n v="-198"/>
    <d v="2025-02-21T00:00:00"/>
    <s v="Liaison inter-établissement"/>
    <m/>
    <s v="Non"/>
    <e v="#N/A"/>
    <n v="68101"/>
    <m/>
    <s v="DIVERS"/>
    <s v="Q1"/>
    <e v="#REF!"/>
    <e v="#REF!"/>
    <e v="#REF!"/>
  </r>
  <r>
    <s v="401000"/>
    <x v="6"/>
    <s v="FOURNISSEURS"/>
    <s v="OD"/>
    <n v="-198"/>
    <d v="2025-07-30T00:00:00"/>
    <s v="Liaison inter-établissement"/>
    <m/>
    <e v="#N/A"/>
    <e v="#N/A"/>
    <n v="81060"/>
    <m/>
    <s v="CHIMIE PROMOTION"/>
    <s v="Q3"/>
    <e v="#REF!"/>
    <e v="#REF!"/>
    <e v="#REF!"/>
  </r>
  <r>
    <s v="401000"/>
    <x v="6"/>
    <s v="FOURNISSEURS"/>
    <s v="OD"/>
    <n v="-198"/>
    <d v="2025-10-06T00:00:00"/>
    <s v="Liaison établissement 401000 F2P TO"/>
    <s v="Non"/>
    <s v="Non"/>
    <e v="#N/A"/>
    <n v="82892"/>
    <s v="ATTESTATION BPI JUILLET 2025"/>
    <s v="F2P AUDIT &amp; CONSEIL"/>
    <s v="Q4"/>
    <e v="#REF!"/>
    <e v="#REF!"/>
    <e v="#REF!"/>
  </r>
  <r>
    <s v="401000"/>
    <x v="6"/>
    <s v="FOURNISSEURS"/>
    <s v="OD"/>
    <n v="-195.54"/>
    <d v="2025-10-24T00:00:00"/>
    <s v="Liaison inter-établissement"/>
    <m/>
    <e v="#N/A"/>
    <e v="#N/A"/>
    <n v="89722"/>
    <m/>
    <s v="BRUNEAU"/>
    <s v="Q4"/>
    <e v="#REF!"/>
    <e v="#REF!"/>
    <e v="#REF!"/>
  </r>
  <r>
    <s v="401000"/>
    <x v="6"/>
    <s v="FOURNISSEURS"/>
    <s v="OD"/>
    <n v="-195.36"/>
    <d v="2025-04-08T00:00:00"/>
    <s v="Liaison établissement 401000 SIGMA TO"/>
    <m/>
    <e v="#N/A"/>
    <e v="#N/A"/>
    <n v="66705"/>
    <s v="Invoice Payment By Pili"/>
    <s v="Sigma-Aldrich chimie"/>
    <s v="Q2"/>
    <e v="#REF!"/>
    <e v="#REF!"/>
    <e v="#REF!"/>
  </r>
  <r>
    <s v="401000"/>
    <x v="6"/>
    <s v="FOURNISSEURS"/>
    <s v="OD"/>
    <n v="-194.88"/>
    <d v="2025-12-10T00:00:00"/>
    <s v="Liaison établissement 401000 VWR TO"/>
    <m/>
    <e v="#N/A"/>
    <e v="#N/A"/>
    <n v="92061"/>
    <s v="4067855750"/>
    <s v="VWR AVANTOR"/>
    <s v="Q4"/>
    <e v="#REF!"/>
    <e v="#REF!"/>
    <e v="#REF!"/>
  </r>
  <r>
    <s v="401000"/>
    <x v="6"/>
    <s v="FOURNISSEURS"/>
    <s v="OD"/>
    <n v="-194.2"/>
    <d v="2025-06-17T00:00:00"/>
    <s v="Liaison inter-établissement"/>
    <m/>
    <e v="#N/A"/>
    <e v="#N/A"/>
    <n v="78147"/>
    <m/>
    <s v="SNCF"/>
    <s v="Q2"/>
    <e v="#REF!"/>
    <e v="#REF!"/>
    <e v="#REF!"/>
  </r>
  <r>
    <s v="401000"/>
    <x v="6"/>
    <s v="FOURNISSEURS"/>
    <s v="OD"/>
    <n v="-194.04"/>
    <d v="2025-07-31T00:00:00"/>
    <s v="Liaison établissement 401000 VWR TO"/>
    <m/>
    <e v="#N/A"/>
    <e v="#N/A"/>
    <n v="79368"/>
    <s v="COMMANDE CONSOMMABLE LABO"/>
    <s v="VWR AVANTOR"/>
    <s v="Q3"/>
    <e v="#REF!"/>
    <e v="#REF!"/>
    <e v="#REF!"/>
  </r>
  <r>
    <s v="401000"/>
    <x v="6"/>
    <s v="FOURNISSEURS"/>
    <s v="OD"/>
    <n v="-194"/>
    <d v="2025-10-22T00:00:00"/>
    <s v="Liaison inter-établissement"/>
    <m/>
    <e v="#N/A"/>
    <e v="#N/A"/>
    <n v="89816"/>
    <m/>
    <s v="SNCF"/>
    <s v="Q4"/>
    <e v="#REF!"/>
    <e v="#REF!"/>
    <e v="#REF!"/>
  </r>
  <r>
    <s v="401000"/>
    <x v="6"/>
    <s v="FOURNISSEURS"/>
    <s v="OD"/>
    <n v="-191"/>
    <d v="2025-12-03T00:00:00"/>
    <s v="Liaison inter-établissement"/>
    <m/>
    <e v="#N/A"/>
    <e v="#N/A"/>
    <n v="94115"/>
    <m/>
    <s v="SNCF"/>
    <s v="Q4"/>
    <e v="#REF!"/>
    <e v="#REF!"/>
    <e v="#REF!"/>
  </r>
  <r>
    <s v="401000"/>
    <x v="6"/>
    <s v="FOURNISSEURS"/>
    <s v="OD"/>
    <n v="-189.6"/>
    <d v="2025-12-30T00:00:00"/>
    <s v="Liaison établissement 401000 ROTH TO"/>
    <m/>
    <e v="#N/A"/>
    <e v="#N/A"/>
    <n v="93860"/>
    <s v="4185754"/>
    <s v="ROTH SOCHIEL"/>
    <s v="Q4"/>
    <e v="#REF!"/>
    <e v="#REF!"/>
    <e v="#REF!"/>
  </r>
  <r>
    <s v="401000"/>
    <x v="6"/>
    <s v="FOURNISSEURS"/>
    <s v="OD"/>
    <n v="-188.58"/>
    <d v="2025-02-28T00:00:00"/>
    <s v="Liaison inter-établissement"/>
    <m/>
    <e v="#N/A"/>
    <e v="#N/A"/>
    <n v="63624"/>
    <m/>
    <s v="CAWATOES"/>
    <s v="Q1"/>
    <e v="#REF!"/>
    <e v="#REF!"/>
    <e v="#REF!"/>
  </r>
  <r>
    <s v="401000"/>
    <x v="6"/>
    <s v="FOURNISSEURS"/>
    <s v="OD"/>
    <n v="-188.55"/>
    <d v="2025-05-14T00:00:00"/>
    <s v="Liaison établissement 401000 BIOTIKA TO"/>
    <s v="Non"/>
    <e v="#N/A"/>
    <e v="#N/A"/>
    <n v="72294"/>
    <m/>
    <s v="BIOTIKA"/>
    <s v="Q2"/>
    <e v="#REF!"/>
    <e v="#REF!"/>
    <e v="#REF!"/>
  </r>
  <r>
    <s v="401000"/>
    <x v="6"/>
    <s v="FOURNISSEURS"/>
    <s v="OD"/>
    <n v="-188.52"/>
    <d v="2025-03-18T00:00:00"/>
    <s v="Liaison inter-établissement"/>
    <m/>
    <e v="#N/A"/>
    <e v="#N/A"/>
    <n v="64478"/>
    <m/>
    <s v="VWR AVANTOR"/>
    <s v="Q1"/>
    <e v="#REF!"/>
    <e v="#REF!"/>
    <e v="#REF!"/>
  </r>
  <r>
    <s v="401000"/>
    <x v="6"/>
    <s v="FOURNISSEURS"/>
    <s v="OD"/>
    <n v="-188.4"/>
    <d v="2025-02-28T00:00:00"/>
    <s v="Liaison inter-établissement"/>
    <m/>
    <e v="#N/A"/>
    <e v="#N/A"/>
    <n v="63552"/>
    <m/>
    <s v="ARESCOM"/>
    <s v="Q1"/>
    <e v="#REF!"/>
    <e v="#REF!"/>
    <e v="#REF!"/>
  </r>
  <r>
    <s v="401000"/>
    <x v="6"/>
    <s v="FOURNISSEURS"/>
    <s v="OD"/>
    <n v="-188"/>
    <d v="2025-11-15T00:00:00"/>
    <s v="Liaison inter-établissement"/>
    <m/>
    <e v="#N/A"/>
    <e v="#N/A"/>
    <n v="91700"/>
    <m/>
    <s v="SNCF"/>
    <s v="Q4"/>
    <e v="#REF!"/>
    <e v="#REF!"/>
    <e v="#REF!"/>
  </r>
  <r>
    <s v="401000"/>
    <x v="6"/>
    <s v="FOURNISSEURS"/>
    <s v="OD"/>
    <n v="-187.65"/>
    <d v="2025-12-03T00:00:00"/>
    <s v="Liaison inter-établissement"/>
    <m/>
    <e v="#N/A"/>
    <e v="#N/A"/>
    <n v="96039"/>
    <m/>
    <s v="AIRBNB"/>
    <s v="Q4"/>
    <e v="#REF!"/>
    <e v="#REF!"/>
    <e v="#REF!"/>
  </r>
  <r>
    <s v="401000"/>
    <x v="6"/>
    <s v="FOURNISSEURS"/>
    <s v="OD"/>
    <n v="-187.2"/>
    <d v="2025-03-31T00:00:00"/>
    <s v="Liaison inter-établissement"/>
    <m/>
    <e v="#N/A"/>
    <e v="#N/A"/>
    <n v="72734"/>
    <m/>
    <s v="Banque Populaire Rive de Paris"/>
    <s v="Q1"/>
    <e v="#REF!"/>
    <e v="#REF!"/>
    <e v="#REF!"/>
  </r>
  <r>
    <s v="401000"/>
    <x v="6"/>
    <s v="FOURNISSEURS"/>
    <s v="OD"/>
    <n v="-186.42"/>
    <d v="2025-07-09T00:00:00"/>
    <s v="Liaison établissement 401000 VWR TO"/>
    <m/>
    <e v="#N/A"/>
    <e v="#N/A"/>
    <n v="77248"/>
    <s v="DODÉCYLSULFATE SEL DE SODIUM LAB"/>
    <s v="VWR AVANTOR"/>
    <s v="Q3"/>
    <e v="#REF!"/>
    <e v="#REF!"/>
    <e v="#REF!"/>
  </r>
  <r>
    <s v="401000"/>
    <x v="6"/>
    <s v="FOURNISSEURS"/>
    <s v="OD"/>
    <n v="-186.02"/>
    <d v="2025-10-15T00:00:00"/>
    <s v="Liaison inter-établissement"/>
    <m/>
    <e v="#N/A"/>
    <e v="#N/A"/>
    <n v="89772"/>
    <m/>
    <s v="RS COMPONENT"/>
    <s v="Q4"/>
    <e v="#REF!"/>
    <e v="#REF!"/>
    <e v="#REF!"/>
  </r>
  <r>
    <s v="401000"/>
    <x v="6"/>
    <s v="FOURNISSEURS"/>
    <s v="OD"/>
    <n v="-186"/>
    <d v="2025-05-18T00:00:00"/>
    <s v="Liaison inter-établissement"/>
    <m/>
    <e v="#N/A"/>
    <e v="#N/A"/>
    <n v="78151"/>
    <m/>
    <s v="SNCF"/>
    <s v="Q2"/>
    <e v="#REF!"/>
    <e v="#REF!"/>
    <e v="#REF!"/>
  </r>
  <r>
    <s v="401000"/>
    <x v="6"/>
    <s v="FOURNISSEURS"/>
    <s v="OD"/>
    <n v="-184.75"/>
    <d v="2025-05-14T00:00:00"/>
    <s v="Liaison établissement 401000 ROTH TO"/>
    <m/>
    <e v="#N/A"/>
    <e v="#N/A"/>
    <n v="72344"/>
    <s v="Invoice Payment by Pili"/>
    <s v="ROTH SOCHIEL"/>
    <s v="Q2"/>
    <e v="#REF!"/>
    <e v="#REF!"/>
    <e v="#REF!"/>
  </r>
  <r>
    <s v="401000"/>
    <x v="6"/>
    <s v="FOURNISSEURS"/>
    <s v="OD"/>
    <n v="-184.32"/>
    <d v="2025-09-22T00:00:00"/>
    <s v="Liaison établissement 401000 OPTIMUS TO"/>
    <m/>
    <e v="#N/A"/>
    <e v="#N/A"/>
    <n v="82398"/>
    <s v="CLARINETTE POUR KL"/>
    <s v="OPTIMUS"/>
    <s v="Q3"/>
    <e v="#REF!"/>
    <e v="#REF!"/>
    <e v="#REF!"/>
  </r>
  <r>
    <s v="401000"/>
    <x v="6"/>
    <s v="FOURNISSEURS"/>
    <s v="OD"/>
    <n v="-183.02"/>
    <d v="2025-02-22T00:00:00"/>
    <s v="Liaison inter-établissement"/>
    <m/>
    <e v="#N/A"/>
    <e v="#N/A"/>
    <n v="74258"/>
    <m/>
    <s v="ORANGE"/>
    <s v="Q1"/>
    <e v="#REF!"/>
    <e v="#REF!"/>
    <e v="#REF!"/>
  </r>
  <r>
    <s v="401000"/>
    <x v="6"/>
    <s v="FOURNISSEURS"/>
    <s v="OD"/>
    <n v="-182.93"/>
    <d v="2025-02-14T00:00:00"/>
    <s v="Liaison inter-établissement"/>
    <m/>
    <e v="#N/A"/>
    <e v="#N/A"/>
    <n v="66774"/>
    <m/>
    <s v="AIRBNB"/>
    <s v="Q1"/>
    <e v="#REF!"/>
    <e v="#REF!"/>
    <e v="#REF!"/>
  </r>
  <r>
    <s v="401000"/>
    <x v="6"/>
    <s v="FOURNISSEURS"/>
    <s v="OD"/>
    <n v="-182.39"/>
    <d v="2025-10-16T00:00:00"/>
    <s v="Liaison inter-établissement"/>
    <s v="Non"/>
    <s v="Non"/>
    <e v="#N/A"/>
    <n v="89682"/>
    <m/>
    <s v="LINKEDIN"/>
    <s v="Q4"/>
    <e v="#REF!"/>
    <e v="#REF!"/>
    <e v="#REF!"/>
  </r>
  <r>
    <s v="401000"/>
    <x v="6"/>
    <s v="FOURNISSEURS"/>
    <s v="OD"/>
    <n v="-181.54"/>
    <d v="2025-09-19T00:00:00"/>
    <s v="Liaison inter-établissement"/>
    <m/>
    <s v="Non"/>
    <e v="#N/A"/>
    <n v="85063"/>
    <m/>
    <s v="DIVERS"/>
    <s v="Q3"/>
    <e v="#REF!"/>
    <e v="#REF!"/>
    <e v="#REF!"/>
  </r>
  <r>
    <s v="401000"/>
    <x v="6"/>
    <s v="FOURNISSEURS"/>
    <s v="OD"/>
    <n v="-181.2"/>
    <d v="2025-01-03T00:00:00"/>
    <s v="Liaison inter-établissement"/>
    <m/>
    <e v="#N/A"/>
    <e v="#N/A"/>
    <n v="63768"/>
    <m/>
    <s v="OPTIMUS"/>
    <s v="Q1"/>
    <e v="#REF!"/>
    <e v="#REF!"/>
    <e v="#REF!"/>
  </r>
  <r>
    <s v="401000"/>
    <x v="6"/>
    <s v="FOURNISSEURS"/>
    <s v="OD"/>
    <n v="-181.2"/>
    <d v="2025-04-15T00:00:00"/>
    <s v="Liaison inter-établissement"/>
    <m/>
    <e v="#N/A"/>
    <e v="#N/A"/>
    <n v="68093"/>
    <m/>
    <s v="CLOUP"/>
    <s v="Q2"/>
    <e v="#REF!"/>
    <e v="#REF!"/>
    <e v="#REF!"/>
  </r>
  <r>
    <s v="401000"/>
    <x v="6"/>
    <s v="FOURNISSEURS"/>
    <s v="OD"/>
    <n v="-180"/>
    <d v="2025-07-31T00:00:00"/>
    <s v="Liaison établissement 401000 BECKER TO"/>
    <s v="Non"/>
    <s v="Oui"/>
    <e v="#N/A"/>
    <n v="79253"/>
    <s v="DEMANDE DE BREVET EN INDE (ÉTAT DE LA FAMILLE) - BREVET PHOENIX"/>
    <s v="BECKER"/>
    <s v="Q3"/>
    <e v="#REF!"/>
    <e v="#REF!"/>
    <e v="#REF!"/>
  </r>
  <r>
    <s v="401000"/>
    <x v="6"/>
    <s v="FOURNISSEURS"/>
    <s v="OD"/>
    <n v="-178.8"/>
    <d v="2025-07-29T00:00:00"/>
    <s v="Liaison établissement 401000 SIGMA TO"/>
    <m/>
    <e v="#N/A"/>
    <e v="#N/A"/>
    <n v="78733"/>
    <s v="PRODUITS POUR VBIO ET V2020 AMINOIMINOMETHANESULFINIC ACID IRON II SULFATE HEPTAHYDRATE"/>
    <s v="Sigma-Aldrich chimie"/>
    <s v="Q3"/>
    <e v="#REF!"/>
    <e v="#REF!"/>
    <e v="#REF!"/>
  </r>
  <r>
    <s v="401000"/>
    <x v="6"/>
    <s v="FOURNISSEURS"/>
    <s v="OD"/>
    <n v="-178.61"/>
    <d v="2025-05-30T00:00:00"/>
    <s v="Liaison inter-établissement"/>
    <m/>
    <e v="#N/A"/>
    <e v="#N/A"/>
    <n v="75019"/>
    <m/>
    <s v="AIR LIQUIDE"/>
    <s v="Q2"/>
    <e v="#REF!"/>
    <e v="#REF!"/>
    <e v="#REF!"/>
  </r>
  <r>
    <s v="401000"/>
    <x v="6"/>
    <s v="FOURNISSEURS"/>
    <s v="OD"/>
    <n v="-178.61"/>
    <d v="2025-07-31T00:00:00"/>
    <s v="Liaison inter-établissement"/>
    <m/>
    <e v="#N/A"/>
    <e v="#N/A"/>
    <n v="81918"/>
    <m/>
    <s v="AIR LIQUIDE"/>
    <s v="Q3"/>
    <e v="#REF!"/>
    <e v="#REF!"/>
    <e v="#REF!"/>
  </r>
  <r>
    <s v="401000"/>
    <x v="6"/>
    <s v="FOURNISSEURS"/>
    <s v="OD"/>
    <n v="-178.61"/>
    <d v="2025-09-30T00:00:00"/>
    <s v="Liaison inter-établissement"/>
    <m/>
    <e v="#N/A"/>
    <e v="#N/A"/>
    <n v="82665"/>
    <m/>
    <s v="AIR LIQUIDE"/>
    <s v="Q3"/>
    <e v="#REF!"/>
    <e v="#REF!"/>
    <e v="#REF!"/>
  </r>
  <r>
    <s v="401000"/>
    <x v="6"/>
    <s v="FOURNISSEURS"/>
    <s v="OD"/>
    <n v="-178.61"/>
    <d v="2025-12-31T00:00:00"/>
    <s v="Liaison inter-établissement"/>
    <m/>
    <e v="#N/A"/>
    <e v="#N/A"/>
    <n v="95000"/>
    <m/>
    <s v="AIR LIQUIDE"/>
    <s v="Q4"/>
    <e v="#REF!"/>
    <e v="#REF!"/>
    <e v="#REF!"/>
  </r>
  <r>
    <s v="401000"/>
    <x v="6"/>
    <s v="FOURNISSEURS"/>
    <s v="OD"/>
    <n v="-178.36"/>
    <d v="2025-07-12T00:00:00"/>
    <s v="Liaison inter-établissement"/>
    <m/>
    <e v="#N/A"/>
    <e v="#N/A"/>
    <n v="81028"/>
    <m/>
    <s v="RS COMPONENT"/>
    <s v="Q3"/>
    <e v="#REF!"/>
    <e v="#REF!"/>
    <e v="#REF!"/>
  </r>
  <r>
    <s v="401000"/>
    <x v="6"/>
    <s v="FOURNISSEURS"/>
    <s v="OD"/>
    <n v="-177"/>
    <d v="2025-11-17T00:00:00"/>
    <s v="Liaison établissement 401000 GINELOG TO"/>
    <m/>
    <e v="#N/A"/>
    <e v="#N/A"/>
    <n v="90135"/>
    <s v="LOCATION MINIBUS ÉQUIPE ROUSSILLON DÉPLACEMENT SÉMINAIRE PILI"/>
    <s v="GINE-LOG"/>
    <s v="Q4"/>
    <e v="#REF!"/>
    <e v="#REF!"/>
    <e v="#REF!"/>
  </r>
  <r>
    <s v="401000"/>
    <x v="6"/>
    <s v="FOURNISSEURS"/>
    <s v="OD"/>
    <n v="-176"/>
    <d v="2025-01-23T00:00:00"/>
    <s v="Liaison inter-établissement"/>
    <m/>
    <e v="#N/A"/>
    <e v="#N/A"/>
    <n v="63898"/>
    <m/>
    <s v="SNCF"/>
    <s v="Q1"/>
    <e v="#REF!"/>
    <e v="#REF!"/>
    <e v="#REF!"/>
  </r>
  <r>
    <s v="401000"/>
    <x v="6"/>
    <s v="FOURNISSEURS"/>
    <s v="OD"/>
    <n v="-176"/>
    <d v="2025-02-12T00:00:00"/>
    <s v="Liaison inter-établissement"/>
    <m/>
    <e v="#N/A"/>
    <e v="#N/A"/>
    <n v="64374"/>
    <m/>
    <s v="SNCF"/>
    <s v="Q1"/>
    <e v="#REF!"/>
    <e v="#REF!"/>
    <e v="#REF!"/>
  </r>
  <r>
    <s v="401000"/>
    <x v="6"/>
    <s v="FOURNISSEURS"/>
    <s v="OD"/>
    <n v="-176"/>
    <d v="2025-05-24T00:00:00"/>
    <s v="Liaison inter-établissement"/>
    <m/>
    <e v="#N/A"/>
    <e v="#N/A"/>
    <n v="78171"/>
    <m/>
    <s v="SNCF"/>
    <s v="Q2"/>
    <e v="#REF!"/>
    <e v="#REF!"/>
    <e v="#REF!"/>
  </r>
  <r>
    <s v="401000"/>
    <x v="6"/>
    <s v="FOURNISSEURS"/>
    <s v="OD"/>
    <n v="-176"/>
    <d v="2025-05-27T00:00:00"/>
    <s v="Liaison inter-établissement"/>
    <m/>
    <e v="#N/A"/>
    <e v="#N/A"/>
    <n v="78135"/>
    <m/>
    <s v="SNCF"/>
    <s v="Q2"/>
    <e v="#REF!"/>
    <e v="#REF!"/>
    <e v="#REF!"/>
  </r>
  <r>
    <s v="401000"/>
    <x v="6"/>
    <s v="FOURNISSEURS"/>
    <s v="OD"/>
    <n v="-176"/>
    <d v="2025-09-15T00:00:00"/>
    <s v="Liaison inter-établissement"/>
    <m/>
    <e v="#N/A"/>
    <e v="#N/A"/>
    <n v="83139"/>
    <m/>
    <s v="SNCF"/>
    <s v="Q3"/>
    <e v="#REF!"/>
    <e v="#REF!"/>
    <e v="#REF!"/>
  </r>
  <r>
    <s v="401000"/>
    <x v="6"/>
    <s v="FOURNISSEURS"/>
    <s v="OD"/>
    <n v="-176"/>
    <d v="2025-10-21T00:00:00"/>
    <s v="Liaison inter-établissement"/>
    <m/>
    <e v="#N/A"/>
    <e v="#N/A"/>
    <n v="89812"/>
    <m/>
    <s v="SNCF"/>
    <s v="Q4"/>
    <e v="#REF!"/>
    <e v="#REF!"/>
    <e v="#REF!"/>
  </r>
  <r>
    <s v="401000"/>
    <x v="6"/>
    <s v="FOURNISSEURS"/>
    <s v="OD"/>
    <n v="-174.99"/>
    <d v="2025-06-12T00:00:00"/>
    <s v="Liaison inter-établissement"/>
    <m/>
    <e v="#N/A"/>
    <e v="#N/A"/>
    <n v="78202"/>
    <m/>
    <s v="AIChE"/>
    <s v="Q2"/>
    <e v="#REF!"/>
    <e v="#REF!"/>
    <e v="#REF!"/>
  </r>
  <r>
    <s v="401000"/>
    <x v="6"/>
    <s v="FOURNISSEURS"/>
    <s v="OD"/>
    <n v="-174.96"/>
    <d v="2025-02-15T00:00:00"/>
    <s v="Liaison inter-établissement"/>
    <m/>
    <e v="#N/A"/>
    <e v="#N/A"/>
    <n v="64326"/>
    <m/>
    <s v="PROLIANS"/>
    <s v="Q1"/>
    <e v="#REF!"/>
    <e v="#REF!"/>
    <e v="#REF!"/>
  </r>
  <r>
    <s v="401000"/>
    <x v="6"/>
    <s v="FOURNISSEURS"/>
    <s v="OD"/>
    <n v="-172.8"/>
    <d v="2025-07-16T00:00:00"/>
    <s v="Liaison inter-établissement"/>
    <m/>
    <e v="#N/A"/>
    <e v="#N/A"/>
    <n v="85059"/>
    <m/>
    <s v="MANUTAN"/>
    <s v="Q3"/>
    <e v="#REF!"/>
    <e v="#REF!"/>
    <e v="#REF!"/>
  </r>
  <r>
    <s v="401000"/>
    <x v="6"/>
    <s v="FOURNISSEURS"/>
    <s v="OD"/>
    <n v="-172.78"/>
    <d v="2025-12-04T00:00:00"/>
    <s v="Liaison inter-établissement"/>
    <m/>
    <e v="#N/A"/>
    <e v="#N/A"/>
    <n v="94079"/>
    <m/>
    <s v="GANDI"/>
    <s v="Q4"/>
    <e v="#REF!"/>
    <e v="#REF!"/>
    <e v="#REF!"/>
  </r>
  <r>
    <s v="401000"/>
    <x v="6"/>
    <s v="FOURNISSEURS"/>
    <s v="OD"/>
    <n v="-172"/>
    <d v="2025-10-29T00:00:00"/>
    <s v="Liaison inter-établissement"/>
    <m/>
    <e v="#N/A"/>
    <e v="#N/A"/>
    <n v="89824"/>
    <m/>
    <s v="SNCF"/>
    <s v="Q4"/>
    <e v="#REF!"/>
    <e v="#REF!"/>
    <e v="#REF!"/>
  </r>
  <r>
    <s v="401000"/>
    <x v="6"/>
    <s v="FOURNISSEURS"/>
    <s v="OD"/>
    <n v="-171.94"/>
    <d v="2025-04-25T00:00:00"/>
    <s v="Liaison établissement 401000 CLOUP TO"/>
    <m/>
    <e v="#N/A"/>
    <e v="#N/A"/>
    <n v="70149"/>
    <s v="Invoice Payment by Pili"/>
    <s v="CLOUP"/>
    <s v="Q2"/>
    <e v="#REF!"/>
    <e v="#REF!"/>
    <e v="#REF!"/>
  </r>
  <r>
    <s v="401000"/>
    <x v="6"/>
    <s v="FOURNISSEURS"/>
    <s v="OD"/>
    <n v="-171.22"/>
    <d v="2025-10-01T00:00:00"/>
    <s v="Liaison inter-établissement"/>
    <m/>
    <e v="#N/A"/>
    <e v="#N/A"/>
    <n v="89710"/>
    <m/>
    <s v="AIRLINES"/>
    <s v="Q4"/>
    <e v="#REF!"/>
    <e v="#REF!"/>
    <e v="#REF!"/>
  </r>
  <r>
    <s v="401000"/>
    <x v="6"/>
    <s v="FOURNISSEURS"/>
    <s v="OD"/>
    <n v="-170.04"/>
    <d v="2025-03-18T00:00:00"/>
    <s v="Liaison inter-établissement"/>
    <m/>
    <e v="#N/A"/>
    <e v="#N/A"/>
    <n v="64494"/>
    <m/>
    <s v="VWR AVANTOR"/>
    <s v="Q1"/>
    <e v="#REF!"/>
    <e v="#REF!"/>
    <e v="#REF!"/>
  </r>
  <r>
    <s v="401000"/>
    <x v="6"/>
    <s v="FOURNISSEURS"/>
    <s v="OD"/>
    <n v="-168.59"/>
    <d v="2025-02-26T00:00:00"/>
    <s v="Liaison inter-établissement"/>
    <s v="Non"/>
    <s v="Non"/>
    <e v="#N/A"/>
    <n v="72795"/>
    <m/>
    <s v="LINKEDIN"/>
    <s v="Q1"/>
    <e v="#REF!"/>
    <e v="#REF!"/>
    <e v="#REF!"/>
  </r>
  <r>
    <s v="401000"/>
    <x v="6"/>
    <s v="FOURNISSEURS"/>
    <s v="OD"/>
    <n v="-168.59"/>
    <d v="2025-02-28T00:00:00"/>
    <s v="Liaison inter-établissement"/>
    <s v="Non"/>
    <s v="Non"/>
    <e v="#N/A"/>
    <n v="72787"/>
    <m/>
    <s v="LINKEDIN"/>
    <s v="Q1"/>
    <e v="#REF!"/>
    <e v="#REF!"/>
    <e v="#REF!"/>
  </r>
  <r>
    <s v="401000"/>
    <x v="6"/>
    <s v="FOURNISSEURS"/>
    <s v="OD"/>
    <n v="-168.59"/>
    <d v="2025-03-27T00:00:00"/>
    <s v="Liaison inter-établissement"/>
    <s v="Non"/>
    <s v="Non"/>
    <e v="#N/A"/>
    <n v="72791"/>
    <m/>
    <s v="LINKEDIN"/>
    <s v="Q1"/>
    <e v="#REF!"/>
    <e v="#REF!"/>
    <e v="#REF!"/>
  </r>
  <r>
    <s v="401000"/>
    <x v="6"/>
    <s v="FOURNISSEURS"/>
    <s v="OD"/>
    <n v="-168.59"/>
    <d v="2025-10-30T00:00:00"/>
    <s v="Liaison inter-établissement"/>
    <s v="Non"/>
    <s v="Non"/>
    <e v="#N/A"/>
    <n v="91852"/>
    <m/>
    <s v="LINKEDIN"/>
    <s v="Q4"/>
    <e v="#REF!"/>
    <e v="#REF!"/>
    <e v="#REF!"/>
  </r>
  <r>
    <s v="401000"/>
    <x v="6"/>
    <s v="FOURNISSEURS"/>
    <s v="OD"/>
    <n v="-168.59"/>
    <d v="2025-11-27T00:00:00"/>
    <s v="Liaison inter-établissement"/>
    <s v="Non"/>
    <s v="Non"/>
    <e v="#N/A"/>
    <n v="91856"/>
    <m/>
    <s v="LINKEDIN"/>
    <s v="Q4"/>
    <e v="#REF!"/>
    <e v="#REF!"/>
    <e v="#REF!"/>
  </r>
  <r>
    <s v="401000"/>
    <x v="6"/>
    <s v="FOURNISSEURS"/>
    <s v="OD"/>
    <n v="-168.59"/>
    <d v="2025-12-27T00:00:00"/>
    <s v="Liaison inter-établissement"/>
    <s v="Non"/>
    <s v="Non"/>
    <e v="#N/A"/>
    <n v="96035"/>
    <m/>
    <s v="LINKEDIN"/>
    <s v="Q4"/>
    <e v="#REF!"/>
    <e v="#REF!"/>
    <e v="#REF!"/>
  </r>
  <r>
    <s v="401000"/>
    <x v="6"/>
    <s v="FOURNISSEURS"/>
    <s v="OD"/>
    <n v="-168"/>
    <d v="2025-07-31T00:00:00"/>
    <s v="Liaison établissement 401000 TRANSPERFECT TO"/>
    <m/>
    <e v="#N/A"/>
    <e v="#N/A"/>
    <n v="79213"/>
    <s v="RELECTURE TEXTE VOIX OFF ANGLAISE"/>
    <s v="TRANSPERFECT TRADUCTIONS"/>
    <s v="Q3"/>
    <e v="#REF!"/>
    <e v="#REF!"/>
    <e v="#REF!"/>
  </r>
  <r>
    <s v="401000"/>
    <x v="6"/>
    <s v="FOURNISSEURS"/>
    <s v="OD"/>
    <n v="-167.8"/>
    <d v="2025-06-20T00:00:00"/>
    <s v="Liaison inter-établissement"/>
    <m/>
    <e v="#N/A"/>
    <e v="#N/A"/>
    <n v="78262"/>
    <m/>
    <s v="NMMEDICAL"/>
    <s v="Q2"/>
    <e v="#REF!"/>
    <e v="#REF!"/>
    <e v="#REF!"/>
  </r>
  <r>
    <s v="401000"/>
    <x v="6"/>
    <s v="FOURNISSEURS"/>
    <s v="OD"/>
    <n v="-166.13"/>
    <d v="2025-01-31T00:00:00"/>
    <s v="Liaison inter-établissement"/>
    <m/>
    <e v="#N/A"/>
    <e v="#N/A"/>
    <n v="87133"/>
    <m/>
    <s v="AIR LIQUIDE"/>
    <s v="Q1"/>
    <e v="#REF!"/>
    <e v="#REF!"/>
    <e v="#REF!"/>
  </r>
  <r>
    <s v="401000"/>
    <x v="6"/>
    <s v="FOURNISSEURS"/>
    <s v="OD"/>
    <n v="-165.13"/>
    <d v="2025-06-02T00:00:00"/>
    <s v="Liaison établissement 401000 FISHER TO"/>
    <m/>
    <e v="#N/A"/>
    <e v="#N/A"/>
    <n v="75301"/>
    <s v="Invoice Payment By Pili"/>
    <s v="FISHER SCIENTIFIC"/>
    <s v="Q2"/>
    <e v="#REF!"/>
    <e v="#REF!"/>
    <e v="#REF!"/>
  </r>
  <r>
    <s v="401000"/>
    <x v="6"/>
    <s v="FOURNISSEURS"/>
    <s v="OD"/>
    <n v="-162.08000000000001"/>
    <d v="2025-02-28T00:00:00"/>
    <s v="Liaison inter-établissement"/>
    <m/>
    <e v="#N/A"/>
    <e v="#N/A"/>
    <n v="63724"/>
    <m/>
    <s v="FISHER SCIENTIFIC"/>
    <s v="Q1"/>
    <e v="#REF!"/>
    <e v="#REF!"/>
    <e v="#REF!"/>
  </r>
  <r>
    <s v="401000"/>
    <x v="6"/>
    <s v="FOURNISSEURS"/>
    <s v="OD"/>
    <n v="-160.80000000000001"/>
    <d v="2025-06-16T00:00:00"/>
    <s v="Liaison établissement 401000 SIGMA TO"/>
    <m/>
    <e v="#N/A"/>
    <e v="#N/A"/>
    <n v="76037"/>
    <s v="HYDROXYLAMINE SULFATE"/>
    <s v="Sigma-Aldrich chimie"/>
    <s v="Q2"/>
    <e v="#REF!"/>
    <e v="#REF!"/>
    <e v="#REF!"/>
  </r>
  <r>
    <s v="401000"/>
    <x v="6"/>
    <s v="FOURNISSEURS"/>
    <s v="OD"/>
    <n v="-160.80000000000001"/>
    <d v="2025-08-22T00:00:00"/>
    <s v="Liaison établissement 401000 SIGMA TO"/>
    <m/>
    <e v="#N/A"/>
    <e v="#N/A"/>
    <n v="81614"/>
    <s v="HYDROXYLAMINE SULFATE POUR KEENY STEP 2"/>
    <s v="Sigma-Aldrich chimie"/>
    <s v="Q3"/>
    <e v="#REF!"/>
    <e v="#REF!"/>
    <e v="#REF!"/>
  </r>
  <r>
    <s v="401000"/>
    <x v="6"/>
    <s v="FOURNISSEURS"/>
    <s v="OD"/>
    <n v="-160"/>
    <d v="2025-04-15T00:00:00"/>
    <s v="Liaison inter-établissement"/>
    <m/>
    <e v="#N/A"/>
    <e v="#N/A"/>
    <n v="74994"/>
    <m/>
    <s v="SNCF"/>
    <s v="Q2"/>
    <e v="#REF!"/>
    <e v="#REF!"/>
    <e v="#REF!"/>
  </r>
  <r>
    <s v="401000"/>
    <x v="6"/>
    <s v="FOURNISSEURS"/>
    <s v="OD"/>
    <n v="-159.5"/>
    <d v="2025-05-01T00:00:00"/>
    <s v="Liaison inter-établissement"/>
    <m/>
    <s v="Non"/>
    <e v="#N/A"/>
    <n v="74798"/>
    <m/>
    <s v="DIVERS"/>
    <s v="Q2"/>
    <e v="#REF!"/>
    <e v="#REF!"/>
    <e v="#REF!"/>
  </r>
  <r>
    <s v="401000"/>
    <x v="6"/>
    <s v="FOURNISSEURS"/>
    <s v="OD"/>
    <n v="-159"/>
    <d v="2025-02-14T00:00:00"/>
    <s v="Liaison inter-établissement"/>
    <m/>
    <e v="#N/A"/>
    <e v="#N/A"/>
    <n v="66750"/>
    <m/>
    <s v="SNCF"/>
    <s v="Q1"/>
    <e v="#REF!"/>
    <e v="#REF!"/>
    <e v="#REF!"/>
  </r>
  <r>
    <s v="401000"/>
    <x v="6"/>
    <s v="FOURNISSEURS"/>
    <s v="OD"/>
    <n v="-158.65"/>
    <d v="2025-01-31T00:00:00"/>
    <s v="Liaison inter-établissement"/>
    <m/>
    <e v="#N/A"/>
    <e v="#N/A"/>
    <n v="73105"/>
    <m/>
    <s v="FENWICK FINANCIAL SERVICES"/>
    <s v="Q1"/>
    <e v="#REF!"/>
    <e v="#REF!"/>
    <e v="#REF!"/>
  </r>
  <r>
    <s v="401000"/>
    <x v="6"/>
    <s v="FOURNISSEURS"/>
    <s v="OD"/>
    <n v="-158.65"/>
    <d v="2025-02-28T00:00:00"/>
    <s v="Liaison inter-établissement"/>
    <m/>
    <e v="#N/A"/>
    <e v="#N/A"/>
    <n v="73109"/>
    <m/>
    <s v="FENWICK FINANCIAL SERVICES"/>
    <s v="Q1"/>
    <e v="#REF!"/>
    <e v="#REF!"/>
    <e v="#REF!"/>
  </r>
  <r>
    <s v="401000"/>
    <x v="6"/>
    <s v="FOURNISSEURS"/>
    <s v="OD"/>
    <n v="-158.65"/>
    <d v="2025-03-31T00:00:00"/>
    <s v="Liaison inter-établissement"/>
    <m/>
    <e v="#N/A"/>
    <e v="#N/A"/>
    <n v="73113"/>
    <m/>
    <s v="FENWICK FINANCIAL SERVICES"/>
    <s v="Q1"/>
    <e v="#REF!"/>
    <e v="#REF!"/>
    <e v="#REF!"/>
  </r>
  <r>
    <s v="401000"/>
    <x v="6"/>
    <s v="FOURNISSEURS"/>
    <s v="OD"/>
    <n v="-158.65"/>
    <d v="2025-04-11T00:00:00"/>
    <s v="Liaison inter-établissement"/>
    <m/>
    <e v="#N/A"/>
    <e v="#N/A"/>
    <n v="70103"/>
    <m/>
    <s v="FENWICK FINANCIAL SERVICES"/>
    <s v="Q2"/>
    <e v="#REF!"/>
    <e v="#REF!"/>
    <e v="#REF!"/>
  </r>
  <r>
    <s v="401000"/>
    <x v="6"/>
    <s v="FOURNISSEURS"/>
    <s v="OD"/>
    <n v="-158.65"/>
    <d v="2025-05-13T00:00:00"/>
    <s v="Liaison inter-établissement"/>
    <m/>
    <e v="#N/A"/>
    <e v="#N/A"/>
    <n v="73117"/>
    <m/>
    <s v="FENWICK FINANCIAL SERVICES"/>
    <s v="Q2"/>
    <e v="#REF!"/>
    <e v="#REF!"/>
    <e v="#REF!"/>
  </r>
  <r>
    <s v="401000"/>
    <x v="6"/>
    <s v="FOURNISSEURS"/>
    <s v="OD"/>
    <n v="-158.65"/>
    <d v="2025-06-30T00:00:00"/>
    <s v="Liaison inter-établissement"/>
    <m/>
    <e v="#N/A"/>
    <e v="#N/A"/>
    <n v="76018"/>
    <m/>
    <s v="FENWICK FINANCIAL SERVICES"/>
    <s v="Q2"/>
    <e v="#REF!"/>
    <e v="#REF!"/>
    <e v="#REF!"/>
  </r>
  <r>
    <s v="401000"/>
    <x v="6"/>
    <s v="FOURNISSEURS"/>
    <s v="OD"/>
    <n v="-158.65"/>
    <d v="2025-07-11T00:00:00"/>
    <s v="Liaison inter-établissement"/>
    <m/>
    <e v="#N/A"/>
    <e v="#N/A"/>
    <n v="78879"/>
    <m/>
    <s v="FENWICK FINANCIAL SERVICES"/>
    <s v="Q3"/>
    <e v="#REF!"/>
    <e v="#REF!"/>
    <e v="#REF!"/>
  </r>
  <r>
    <s v="401000"/>
    <x v="6"/>
    <s v="FOURNISSEURS"/>
    <s v="OD"/>
    <n v="-158.65"/>
    <d v="2025-08-11T00:00:00"/>
    <s v="Liaison inter-établissement"/>
    <m/>
    <e v="#N/A"/>
    <e v="#N/A"/>
    <n v="81571"/>
    <m/>
    <s v="FENWICK FINANCIAL SERVICES"/>
    <s v="Q3"/>
    <e v="#REF!"/>
    <e v="#REF!"/>
    <e v="#REF!"/>
  </r>
  <r>
    <s v="401000"/>
    <x v="6"/>
    <s v="FOURNISSEURS"/>
    <s v="OD"/>
    <n v="-158.65"/>
    <d v="2025-09-11T00:00:00"/>
    <s v="Liaison inter-établissement"/>
    <m/>
    <e v="#N/A"/>
    <e v="#N/A"/>
    <n v="82103"/>
    <m/>
    <s v="FENWICK FINANCIAL SERVICES"/>
    <s v="Q3"/>
    <e v="#REF!"/>
    <e v="#REF!"/>
    <e v="#REF!"/>
  </r>
  <r>
    <s v="401000"/>
    <x v="6"/>
    <s v="FOURNISSEURS"/>
    <s v="OD"/>
    <n v="-158.65"/>
    <d v="2025-10-13T00:00:00"/>
    <s v="Liaison inter-établissement"/>
    <m/>
    <e v="#N/A"/>
    <e v="#N/A"/>
    <n v="86973"/>
    <m/>
    <s v="FENWICK FINANCIAL SERVICES"/>
    <s v="Q4"/>
    <e v="#REF!"/>
    <e v="#REF!"/>
    <e v="#REF!"/>
  </r>
  <r>
    <s v="401000"/>
    <x v="6"/>
    <s v="FOURNISSEURS"/>
    <s v="OD"/>
    <n v="-158.65"/>
    <d v="2025-11-13T00:00:00"/>
    <s v="Liaison inter-établissement"/>
    <m/>
    <e v="#N/A"/>
    <e v="#N/A"/>
    <n v="90025"/>
    <m/>
    <s v="FENWICK FINANCIAL SERVICES"/>
    <s v="Q4"/>
    <e v="#REF!"/>
    <e v="#REF!"/>
    <e v="#REF!"/>
  </r>
  <r>
    <s v="401000"/>
    <x v="6"/>
    <s v="FOURNISSEURS"/>
    <s v="OD"/>
    <n v="-158.65"/>
    <d v="2025-12-31T00:00:00"/>
    <s v="Liaison inter-établissement"/>
    <m/>
    <e v="#N/A"/>
    <e v="#N/A"/>
    <n v="92134"/>
    <m/>
    <s v="FENWICK FINANCIAL SERVICES"/>
    <s v="Q4"/>
    <e v="#REF!"/>
    <e v="#REF!"/>
    <e v="#REF!"/>
  </r>
  <r>
    <s v="401000"/>
    <x v="6"/>
    <s v="FOURNISSEURS"/>
    <s v="OD"/>
    <n v="-158.16999999999999"/>
    <d v="2025-12-30T00:00:00"/>
    <s v="Liaison établissement 401000 VWR TO"/>
    <m/>
    <e v="#N/A"/>
    <e v="#N/A"/>
    <n v="93840"/>
    <s v="4067869549"/>
    <s v="VWR AVANTOR"/>
    <s v="Q4"/>
    <e v="#REF!"/>
    <e v="#REF!"/>
    <e v="#REF!"/>
  </r>
  <r>
    <s v="401000"/>
    <x v="6"/>
    <s v="FOURNISSEURS"/>
    <s v="OD"/>
    <n v="-157.19999999999999"/>
    <d v="2025-02-20T00:00:00"/>
    <s v="Liaison inter-établissement"/>
    <m/>
    <e v="#N/A"/>
    <e v="#N/A"/>
    <n v="63850"/>
    <m/>
    <s v="Sigma-Aldrich chimie"/>
    <s v="Q1"/>
    <e v="#REF!"/>
    <e v="#REF!"/>
    <e v="#REF!"/>
  </r>
  <r>
    <s v="401000"/>
    <x v="6"/>
    <s v="FOURNISSEURS"/>
    <s v="OD"/>
    <n v="-157.19999999999999"/>
    <d v="2025-06-16T00:00:00"/>
    <s v="Liaison établissement 401000 SIGMA TO"/>
    <m/>
    <e v="#N/A"/>
    <e v="#N/A"/>
    <n v="76042"/>
    <s v="ACCESSOIRE LABO ANALYSES R."/>
    <s v="Sigma-Aldrich chimie"/>
    <s v="Q2"/>
    <e v="#REF!"/>
    <e v="#REF!"/>
    <e v="#REF!"/>
  </r>
  <r>
    <s v="401000"/>
    <x v="6"/>
    <s v="FOURNISSEURS"/>
    <s v="OD"/>
    <n v="-157.19999999999999"/>
    <d v="2025-07-11T00:00:00"/>
    <s v="Liaison inter-établissement"/>
    <m/>
    <e v="#N/A"/>
    <e v="#N/A"/>
    <n v="81257"/>
    <m/>
    <s v="ORANGE"/>
    <s v="Q3"/>
    <e v="#REF!"/>
    <e v="#REF!"/>
    <e v="#REF!"/>
  </r>
  <r>
    <s v="401000"/>
    <x v="6"/>
    <s v="FOURNISSEURS"/>
    <s v="OD"/>
    <n v="-157.19999999999999"/>
    <d v="2025-08-08T00:00:00"/>
    <s v="Liaison inter-établissement"/>
    <m/>
    <e v="#N/A"/>
    <e v="#N/A"/>
    <n v="87297"/>
    <m/>
    <s v="ORANGE"/>
    <s v="Q3"/>
    <e v="#REF!"/>
    <e v="#REF!"/>
    <e v="#REF!"/>
  </r>
  <r>
    <s v="401000"/>
    <x v="6"/>
    <s v="FOURNISSEURS"/>
    <s v="OD"/>
    <n v="-157.19999999999999"/>
    <d v="2025-09-08T00:00:00"/>
    <s v="Liaison inter-établissement"/>
    <m/>
    <e v="#N/A"/>
    <e v="#N/A"/>
    <n v="82259"/>
    <m/>
    <s v="ORANGE"/>
    <s v="Q3"/>
    <e v="#REF!"/>
    <e v="#REF!"/>
    <e v="#REF!"/>
  </r>
  <r>
    <s v="401000"/>
    <x v="6"/>
    <s v="FOURNISSEURS"/>
    <s v="OD"/>
    <n v="-157.19999999999999"/>
    <d v="2025-10-10T00:00:00"/>
    <s v="Liaison inter-établissement"/>
    <m/>
    <e v="#N/A"/>
    <e v="#N/A"/>
    <n v="90086"/>
    <m/>
    <s v="ORANGE"/>
    <s v="Q4"/>
    <e v="#REF!"/>
    <e v="#REF!"/>
    <e v="#REF!"/>
  </r>
  <r>
    <s v="401000"/>
    <x v="6"/>
    <s v="FOURNISSEURS"/>
    <s v="OD"/>
    <n v="-157.19999999999999"/>
    <d v="2025-11-07T00:00:00"/>
    <s v="Liaison inter-établissement"/>
    <m/>
    <e v="#N/A"/>
    <e v="#N/A"/>
    <n v="90090"/>
    <m/>
    <s v="ORANGE"/>
    <s v="Q4"/>
    <e v="#REF!"/>
    <e v="#REF!"/>
    <e v="#REF!"/>
  </r>
  <r>
    <s v="401000"/>
    <x v="6"/>
    <s v="FOURNISSEURS"/>
    <s v="OD"/>
    <n v="-157.19999999999999"/>
    <d v="2025-12-08T00:00:00"/>
    <s v="Liaison inter-établissement"/>
    <m/>
    <e v="#N/A"/>
    <e v="#N/A"/>
    <n v="92964"/>
    <m/>
    <s v="ORANGE"/>
    <s v="Q4"/>
    <e v="#REF!"/>
    <e v="#REF!"/>
    <e v="#REF!"/>
  </r>
  <r>
    <s v="401000"/>
    <x v="6"/>
    <s v="FOURNISSEURS"/>
    <s v="OD"/>
    <n v="-156.24"/>
    <d v="2025-02-04T00:00:00"/>
    <s v="Liaison inter-établissement"/>
    <m/>
    <e v="#N/A"/>
    <e v="#N/A"/>
    <n v="72759"/>
    <m/>
    <s v="ENGIE"/>
    <s v="Q1"/>
    <e v="#REF!"/>
    <e v="#REF!"/>
    <e v="#REF!"/>
  </r>
  <r>
    <s v="401000"/>
    <x v="6"/>
    <s v="FOURNISSEURS"/>
    <s v="OD"/>
    <n v="-156"/>
    <d v="2025-02-18T00:00:00"/>
    <s v="Liaison inter-établissement"/>
    <m/>
    <e v="#N/A"/>
    <e v="#N/A"/>
    <n v="70011"/>
    <m/>
    <s v="SNCF"/>
    <s v="Q1"/>
    <e v="#REF!"/>
    <e v="#REF!"/>
    <e v="#REF!"/>
  </r>
  <r>
    <s v="401000"/>
    <x v="6"/>
    <s v="FOURNISSEURS"/>
    <s v="OD"/>
    <n v="-156"/>
    <d v="2025-07-22T00:00:00"/>
    <s v="Liaison établissement 401000 BROSSIER TO"/>
    <m/>
    <e v="#N/A"/>
    <e v="#N/A"/>
    <n v="78313"/>
    <s v="TRANSPORT ESSAI 1 ROUSSELET ROBATEL"/>
    <s v="BROSSIER TRANSPORTS"/>
    <s v="Q3"/>
    <e v="#REF!"/>
    <e v="#REF!"/>
    <e v="#REF!"/>
  </r>
  <r>
    <s v="401000"/>
    <x v="6"/>
    <s v="FOURNISSEURS"/>
    <s v="OD"/>
    <n v="-154.97999999999999"/>
    <d v="2025-01-06T00:00:00"/>
    <s v="Liaison inter-établissement"/>
    <m/>
    <e v="#N/A"/>
    <e v="#N/A"/>
    <n v="63496"/>
    <m/>
    <s v="ADOBE"/>
    <s v="Q1"/>
    <e v="#REF!"/>
    <e v="#REF!"/>
    <e v="#REF!"/>
  </r>
  <r>
    <s v="401000"/>
    <x v="6"/>
    <s v="FOURNISSEURS"/>
    <s v="OD"/>
    <n v="-154.97999999999999"/>
    <d v="2025-02-06T00:00:00"/>
    <s v="Liaison inter-établissement"/>
    <m/>
    <e v="#N/A"/>
    <e v="#N/A"/>
    <n v="64250"/>
    <m/>
    <s v="ADOBE"/>
    <s v="Q1"/>
    <e v="#REF!"/>
    <e v="#REF!"/>
    <e v="#REF!"/>
  </r>
  <r>
    <s v="401000"/>
    <x v="6"/>
    <s v="FOURNISSEURS"/>
    <s v="OD"/>
    <n v="-154.97999999999999"/>
    <d v="2025-03-06T00:00:00"/>
    <s v="Liaison inter-établissement"/>
    <m/>
    <e v="#N/A"/>
    <e v="#N/A"/>
    <n v="67993"/>
    <m/>
    <s v="ADOBE"/>
    <s v="Q1"/>
    <e v="#REF!"/>
    <e v="#REF!"/>
    <e v="#REF!"/>
  </r>
  <r>
    <s v="401000"/>
    <x v="6"/>
    <s v="FOURNISSEURS"/>
    <s v="OD"/>
    <n v="-154.97999999999999"/>
    <d v="2025-04-06T00:00:00"/>
    <s v="Liaison inter-établissement"/>
    <m/>
    <e v="#N/A"/>
    <e v="#N/A"/>
    <n v="74818"/>
    <m/>
    <s v="ADOBE"/>
    <s v="Q2"/>
    <e v="#REF!"/>
    <e v="#REF!"/>
    <e v="#REF!"/>
  </r>
  <r>
    <s v="401000"/>
    <x v="6"/>
    <s v="FOURNISSEURS"/>
    <s v="OD"/>
    <n v="-154.97999999999999"/>
    <d v="2025-05-06T00:00:00"/>
    <s v="Liaison inter-établissement"/>
    <m/>
    <e v="#N/A"/>
    <e v="#N/A"/>
    <n v="75124"/>
    <m/>
    <s v="ADOBE"/>
    <s v="Q2"/>
    <e v="#REF!"/>
    <e v="#REF!"/>
    <e v="#REF!"/>
  </r>
  <r>
    <s v="401000"/>
    <x v="6"/>
    <s v="FOURNISSEURS"/>
    <s v="OD"/>
    <n v="-154.97999999999999"/>
    <d v="2025-06-06T00:00:00"/>
    <s v="Liaison inter-établissement"/>
    <m/>
    <e v="#N/A"/>
    <e v="#N/A"/>
    <n v="78230"/>
    <m/>
    <s v="ADOBE"/>
    <s v="Q2"/>
    <e v="#REF!"/>
    <e v="#REF!"/>
    <e v="#REF!"/>
  </r>
  <r>
    <s v="401000"/>
    <x v="6"/>
    <s v="FOURNISSEURS"/>
    <s v="OD"/>
    <n v="-154.97999999999999"/>
    <d v="2025-07-06T00:00:00"/>
    <s v="Liaison inter-établissement"/>
    <m/>
    <e v="#N/A"/>
    <e v="#N/A"/>
    <n v="81020"/>
    <m/>
    <s v="ADOBE"/>
    <s v="Q3"/>
    <e v="#REF!"/>
    <e v="#REF!"/>
    <e v="#REF!"/>
  </r>
  <r>
    <s v="401000"/>
    <x v="6"/>
    <s v="FOURNISSEURS"/>
    <s v="OD"/>
    <n v="-154.97999999999999"/>
    <d v="2025-08-06T00:00:00"/>
    <s v="Liaison inter-établissement"/>
    <m/>
    <e v="#N/A"/>
    <e v="#N/A"/>
    <n v="83319"/>
    <m/>
    <s v="ADOBE"/>
    <s v="Q3"/>
    <e v="#REF!"/>
    <e v="#REF!"/>
    <e v="#REF!"/>
  </r>
  <r>
    <s v="401000"/>
    <x v="6"/>
    <s v="FOURNISSEURS"/>
    <s v="OD"/>
    <n v="-154.97999999999999"/>
    <d v="2025-09-06T00:00:00"/>
    <s v="Liaison inter-établissement"/>
    <m/>
    <e v="#N/A"/>
    <e v="#N/A"/>
    <n v="83323"/>
    <m/>
    <s v="ADOBE"/>
    <s v="Q3"/>
    <e v="#REF!"/>
    <e v="#REF!"/>
    <e v="#REF!"/>
  </r>
  <r>
    <s v="401000"/>
    <x v="6"/>
    <s v="FOURNISSEURS"/>
    <s v="OD"/>
    <n v="-154.97999999999999"/>
    <d v="2025-10-06T00:00:00"/>
    <s v="Liaison inter-établissement"/>
    <m/>
    <e v="#N/A"/>
    <e v="#N/A"/>
    <n v="89698"/>
    <m/>
    <s v="ADOBE"/>
    <s v="Q4"/>
    <e v="#REF!"/>
    <e v="#REF!"/>
    <e v="#REF!"/>
  </r>
  <r>
    <s v="401000"/>
    <x v="6"/>
    <s v="FOURNISSEURS"/>
    <s v="OD"/>
    <n v="-154.97999999999999"/>
    <d v="2025-11-06T00:00:00"/>
    <s v="Liaison inter-établissement"/>
    <m/>
    <e v="#N/A"/>
    <e v="#N/A"/>
    <n v="91575"/>
    <m/>
    <s v="ADOBE"/>
    <s v="Q4"/>
    <e v="#REF!"/>
    <e v="#REF!"/>
    <e v="#REF!"/>
  </r>
  <r>
    <s v="401000"/>
    <x v="6"/>
    <s v="FOURNISSEURS"/>
    <s v="OD"/>
    <n v="-154.97999999999999"/>
    <d v="2025-12-06T00:00:00"/>
    <s v="Liaison inter-établissement"/>
    <m/>
    <e v="#N/A"/>
    <e v="#N/A"/>
    <n v="94063"/>
    <m/>
    <s v="ADOBE"/>
    <s v="Q4"/>
    <e v="#REF!"/>
    <e v="#REF!"/>
    <e v="#REF!"/>
  </r>
  <r>
    <s v="401000"/>
    <x v="6"/>
    <s v="FOURNISSEURS"/>
    <s v="OD"/>
    <n v="-154.72"/>
    <d v="2025-04-04T00:00:00"/>
    <s v="Liaison inter-établissement"/>
    <m/>
    <e v="#N/A"/>
    <e v="#N/A"/>
    <n v="74770"/>
    <m/>
    <s v="BOHLENDER"/>
    <s v="Q2"/>
    <e v="#REF!"/>
    <e v="#REF!"/>
    <e v="#REF!"/>
  </r>
  <r>
    <s v="401000"/>
    <x v="6"/>
    <s v="FOURNISSEURS"/>
    <s v="OD"/>
    <n v="-154.59"/>
    <d v="2025-05-31T00:00:00"/>
    <s v="Liaison inter-établissement"/>
    <m/>
    <e v="#N/A"/>
    <e v="#N/A"/>
    <n v="81072"/>
    <m/>
    <s v="ROUGIER ET PIE"/>
    <s v="Q2"/>
    <e v="#REF!"/>
    <e v="#REF!"/>
    <e v="#REF!"/>
  </r>
  <r>
    <s v="401000"/>
    <x v="6"/>
    <s v="FOURNISSEURS"/>
    <s v="OD"/>
    <n v="-152.41"/>
    <d v="2025-05-07T00:00:00"/>
    <s v="Liaison établissement 401000 VWR TO"/>
    <m/>
    <e v="#N/A"/>
    <e v="#N/A"/>
    <n v="71838"/>
    <s v="COMMANDE PRODUIT LABO"/>
    <s v="VWR AVANTOR"/>
    <s v="Q2"/>
    <e v="#REF!"/>
    <e v="#REF!"/>
    <e v="#REF!"/>
  </r>
  <r>
    <s v="401000"/>
    <x v="6"/>
    <s v="FOURNISSEURS"/>
    <s v="OD"/>
    <n v="-151.1"/>
    <d v="2025-02-24T00:00:00"/>
    <s v="Liaison inter-établissement"/>
    <m/>
    <s v="Non"/>
    <n v="0"/>
    <n v="71390"/>
    <m/>
    <s v="SERVICE ACTION SANTE"/>
    <s v="Q1"/>
    <e v="#REF!"/>
    <e v="#REF!"/>
    <e v="#REF!"/>
  </r>
  <r>
    <s v="401000"/>
    <x v="6"/>
    <s v="FOURNISSEURS"/>
    <s v="OD"/>
    <n v="-150"/>
    <d v="2025-02-24T00:00:00"/>
    <s v="Liaison inter-établissement"/>
    <m/>
    <s v="Non"/>
    <n v="0"/>
    <n v="69970"/>
    <m/>
    <s v="FORMATEC PRO SECURITE"/>
    <s v="Q1"/>
    <e v="#REF!"/>
    <e v="#REF!"/>
    <e v="#REF!"/>
  </r>
  <r>
    <s v="401000"/>
    <x v="6"/>
    <s v="FOURNISSEURS"/>
    <s v="OD"/>
    <n v="-149"/>
    <d v="2025-02-01T00:00:00"/>
    <s v="Liaison inter-établissement"/>
    <m/>
    <e v="#N/A"/>
    <e v="#N/A"/>
    <n v="64362"/>
    <m/>
    <s v="SNCF"/>
    <s v="Q1"/>
    <e v="#REF!"/>
    <e v="#REF!"/>
    <e v="#REF!"/>
  </r>
  <r>
    <s v="401000"/>
    <x v="6"/>
    <s v="FOURNISSEURS"/>
    <s v="OD"/>
    <n v="-147.69"/>
    <d v="2025-10-30T00:00:00"/>
    <s v="Liaison inter-établissement"/>
    <m/>
    <e v="#N/A"/>
    <e v="#N/A"/>
    <n v="89706"/>
    <m/>
    <s v="AIRBNB"/>
    <s v="Q4"/>
    <e v="#REF!"/>
    <e v="#REF!"/>
    <e v="#REF!"/>
  </r>
  <r>
    <s v="401000"/>
    <x v="6"/>
    <s v="FOURNISSEURS"/>
    <s v="OD"/>
    <n v="-147.12"/>
    <d v="2025-03-28T00:00:00"/>
    <s v="Liaison inter-établissement"/>
    <m/>
    <e v="#N/A"/>
    <e v="#N/A"/>
    <n v="68125"/>
    <m/>
    <s v="Sigma-Aldrich chimie"/>
    <s v="Q1"/>
    <e v="#REF!"/>
    <e v="#REF!"/>
    <e v="#REF!"/>
  </r>
  <r>
    <s v="401000"/>
    <x v="6"/>
    <s v="FOURNISSEURS"/>
    <s v="OD"/>
    <n v="-147"/>
    <d v="2025-02-18T00:00:00"/>
    <s v="Liaison inter-établissement"/>
    <m/>
    <e v="#N/A"/>
    <e v="#N/A"/>
    <n v="66746"/>
    <m/>
    <s v="SNCF"/>
    <s v="Q1"/>
    <e v="#REF!"/>
    <e v="#REF!"/>
    <e v="#REF!"/>
  </r>
  <r>
    <s v="401000"/>
    <x v="6"/>
    <s v="FOURNISSEURS"/>
    <s v="OD"/>
    <n v="-146.63"/>
    <d v="2025-07-31T00:00:00"/>
    <s v="Liaison établissement 401000 VWR TO"/>
    <m/>
    <e v="#N/A"/>
    <e v="#N/A"/>
    <n v="79353"/>
    <s v="COMMANDE PRODUIT LABO"/>
    <s v="VWR AVANTOR"/>
    <s v="Q3"/>
    <e v="#REF!"/>
    <e v="#REF!"/>
    <e v="#REF!"/>
  </r>
  <r>
    <s v="401000"/>
    <x v="6"/>
    <s v="FOURNISSEURS"/>
    <s v="OD"/>
    <n v="-146.1"/>
    <d v="2025-05-24T00:00:00"/>
    <s v="Liaison inter-établissement"/>
    <m/>
    <e v="#N/A"/>
    <e v="#N/A"/>
    <n v="81068"/>
    <m/>
    <s v="WURTH FRANCE"/>
    <s v="Q2"/>
    <e v="#REF!"/>
    <e v="#REF!"/>
    <e v="#REF!"/>
  </r>
  <r>
    <s v="401000"/>
    <x v="6"/>
    <s v="FOURNISSEURS"/>
    <s v="OD"/>
    <n v="-146.06"/>
    <d v="2025-07-31T00:00:00"/>
    <s v="Liaison établissement 401000 VWR TO"/>
    <m/>
    <e v="#N/A"/>
    <e v="#N/A"/>
    <n v="79343"/>
    <s v="COMMANDE PRODUIT LABO"/>
    <s v="VWR AVANTOR"/>
    <s v="Q3"/>
    <e v="#REF!"/>
    <e v="#REF!"/>
    <e v="#REF!"/>
  </r>
  <r>
    <s v="401000"/>
    <x v="6"/>
    <s v="FOURNISSEURS"/>
    <s v="OD"/>
    <n v="-145.03"/>
    <d v="2025-08-21T00:00:00"/>
    <s v="Liaison établissement 401000 VWR TO"/>
    <m/>
    <e v="#N/A"/>
    <e v="#N/A"/>
    <n v="81519"/>
    <s v="COMMANDE CONSOMMABLES LABO"/>
    <s v="VWR AVANTOR"/>
    <s v="Q3"/>
    <e v="#REF!"/>
    <e v="#REF!"/>
    <e v="#REF!"/>
  </r>
  <r>
    <s v="401000"/>
    <x v="6"/>
    <s v="FOURNISSEURS"/>
    <s v="OD"/>
    <n v="-145"/>
    <d v="2025-12-31T00:00:00"/>
    <s v="Liaison inter-établissement"/>
    <s v="Non"/>
    <s v="Non"/>
    <e v="#N/A"/>
    <n v="97673"/>
    <m/>
    <s v="Michel Manach"/>
    <s v="Q4"/>
    <e v="#REF!"/>
    <e v="#REF!"/>
    <e v="#REF!"/>
  </r>
  <r>
    <s v="401000"/>
    <x v="6"/>
    <s v="FOURNISSEURS"/>
    <s v="OD"/>
    <n v="-144.30000000000001"/>
    <d v="2025-09-11T00:00:00"/>
    <s v="Liaison inter-établissement"/>
    <m/>
    <e v="#N/A"/>
    <e v="#N/A"/>
    <n v="83383"/>
    <m/>
    <s v="AIRBNB"/>
    <s v="Q3"/>
    <e v="#REF!"/>
    <e v="#REF!"/>
    <e v="#REF!"/>
  </r>
  <r>
    <s v="401000"/>
    <x v="6"/>
    <s v="FOURNISSEURS"/>
    <s v="OD"/>
    <n v="-144"/>
    <d v="2025-03-18T00:00:00"/>
    <s v="Liaison inter-établissement"/>
    <m/>
    <e v="#N/A"/>
    <e v="#N/A"/>
    <n v="64410"/>
    <m/>
    <s v="CLOUP"/>
    <s v="Q1"/>
    <e v="#REF!"/>
    <e v="#REF!"/>
    <e v="#REF!"/>
  </r>
  <r>
    <s v="401000"/>
    <x v="6"/>
    <s v="FOURNISSEURS"/>
    <s v="OD"/>
    <n v="-144"/>
    <d v="2025-12-15T00:00:00"/>
    <s v="Liaison inter-établissement"/>
    <m/>
    <e v="#N/A"/>
    <e v="#N/A"/>
    <n v="94871"/>
    <m/>
    <s v="RICOH"/>
    <s v="Q4"/>
    <e v="#REF!"/>
    <e v="#REF!"/>
    <e v="#REF!"/>
  </r>
  <r>
    <s v="401000"/>
    <x v="6"/>
    <s v="FOURNISSEURS"/>
    <s v="OD"/>
    <n v="-143.47"/>
    <d v="2025-03-14T00:00:00"/>
    <s v="Liaison établissement 401000 ROTH TO"/>
    <m/>
    <e v="#N/A"/>
    <e v="#N/A"/>
    <n v="61673"/>
    <s v="Paiement Roth"/>
    <s v="ROTH SOCHIEL"/>
    <s v="Q1"/>
    <e v="#REF!"/>
    <e v="#REF!"/>
    <e v="#REF!"/>
  </r>
  <r>
    <s v="401000"/>
    <x v="6"/>
    <s v="FOURNISSEURS"/>
    <s v="OD"/>
    <n v="-143.28"/>
    <d v="2025-05-14T00:00:00"/>
    <s v="Liaison établissement 401000 SIGMA TO"/>
    <m/>
    <e v="#N/A"/>
    <e v="#N/A"/>
    <n v="72349"/>
    <s v="Invoice Payment by Pili"/>
    <s v="Sigma-Aldrich chimie"/>
    <s v="Q2"/>
    <e v="#REF!"/>
    <e v="#REF!"/>
    <e v="#REF!"/>
  </r>
  <r>
    <s v="401000"/>
    <x v="6"/>
    <s v="FOURNISSEURS"/>
    <s v="OD"/>
    <n v="-142.86000000000001"/>
    <d v="2025-11-14T00:00:00"/>
    <s v="Liaison inter-établissement"/>
    <m/>
    <e v="#N/A"/>
    <e v="#N/A"/>
    <n v="91624"/>
    <m/>
    <s v="BRUNEAU"/>
    <s v="Q4"/>
    <e v="#REF!"/>
    <e v="#REF!"/>
    <e v="#REF!"/>
  </r>
  <r>
    <s v="401000"/>
    <x v="6"/>
    <s v="FOURNISSEURS"/>
    <s v="OD"/>
    <n v="-142.27000000000001"/>
    <d v="2025-12-05T00:00:00"/>
    <s v="Liaison établissement 401000 VWR TO"/>
    <m/>
    <e v="#N/A"/>
    <e v="#N/A"/>
    <n v="91373"/>
    <s v="4067849964"/>
    <s v="VWR AVANTOR"/>
    <s v="Q4"/>
    <e v="#REF!"/>
    <e v="#REF!"/>
    <e v="#REF!"/>
  </r>
  <r>
    <s v="401000"/>
    <x v="6"/>
    <s v="FOURNISSEURS"/>
    <s v="OD"/>
    <n v="-141.66"/>
    <d v="2025-01-01T00:00:00"/>
    <s v="Liaison inter-établissement vers RO "/>
    <m/>
    <e v="#N/A"/>
    <e v="#N/A"/>
    <n v="64433"/>
    <m/>
    <s v="MANO MANO"/>
    <s v="Q1"/>
    <e v="#REF!"/>
    <e v="#REF!"/>
    <e v="#REF!"/>
  </r>
  <r>
    <s v="401000"/>
    <x v="6"/>
    <s v="FOURNISSEURS"/>
    <s v="OD"/>
    <n v="-141.6"/>
    <d v="2025-03-19T00:00:00"/>
    <s v="Liaison inter-établissement"/>
    <m/>
    <e v="#N/A"/>
    <e v="#N/A"/>
    <n v="63862"/>
    <m/>
    <s v="Sigma-Aldrich chimie"/>
    <s v="Q1"/>
    <e v="#REF!"/>
    <e v="#REF!"/>
    <e v="#REF!"/>
  </r>
  <r>
    <s v="401000"/>
    <x v="6"/>
    <s v="FOURNISSEURS"/>
    <s v="OD"/>
    <n v="-140.74"/>
    <d v="2025-03-27T00:00:00"/>
    <s v="Liaison inter-établissement"/>
    <m/>
    <e v="#N/A"/>
    <e v="#N/A"/>
    <n v="69978"/>
    <m/>
    <s v="FISHER SCIENTIFIC"/>
    <s v="Q1"/>
    <e v="#REF!"/>
    <e v="#REF!"/>
    <e v="#REF!"/>
  </r>
  <r>
    <s v="401000"/>
    <x v="6"/>
    <s v="FOURNISSEURS"/>
    <s v="OD"/>
    <n v="-140.74"/>
    <d v="2025-05-14T00:00:00"/>
    <s v="Liaison établissement 401000 FISHER TO"/>
    <m/>
    <e v="#N/A"/>
    <e v="#N/A"/>
    <n v="72334"/>
    <s v="Invoice Payment by Pili"/>
    <s v="FISHER SCIENTIFIC"/>
    <s v="Q2"/>
    <e v="#REF!"/>
    <e v="#REF!"/>
    <e v="#REF!"/>
  </r>
  <r>
    <s v="401000"/>
    <x v="6"/>
    <s v="FOURNISSEURS"/>
    <s v="OD"/>
    <n v="-140.02000000000001"/>
    <d v="2025-09-22T00:00:00"/>
    <s v="Liaison établissement 401000 BIOTIKA TO"/>
    <s v="Non"/>
    <e v="#N/A"/>
    <e v="#N/A"/>
    <n v="82373"/>
    <s v="TRANSPORT ECHANTILLON"/>
    <s v="BIOTIKA"/>
    <s v="Q3"/>
    <e v="#REF!"/>
    <e v="#REF!"/>
    <e v="#REF!"/>
  </r>
  <r>
    <s v="401000"/>
    <x v="6"/>
    <s v="FOURNISSEURS"/>
    <s v="OD"/>
    <n v="-139.49"/>
    <d v="2025-08-29T00:00:00"/>
    <s v="Liaison inter-établissement"/>
    <m/>
    <e v="#N/A"/>
    <e v="#N/A"/>
    <n v="81668"/>
    <m/>
    <s v="AIR LIQUIDE"/>
    <s v="Q3"/>
    <e v="#REF!"/>
    <e v="#REF!"/>
    <e v="#REF!"/>
  </r>
  <r>
    <s v="401000"/>
    <x v="6"/>
    <s v="FOURNISSEURS"/>
    <s v="OD"/>
    <n v="-137.04"/>
    <d v="2025-06-04T00:00:00"/>
    <s v="Liaison établissement 401000 SIGMA TO"/>
    <m/>
    <e v="#N/A"/>
    <e v="#N/A"/>
    <n v="75539"/>
    <s v="Invoice payment by Pili"/>
    <s v="Sigma-Aldrich chimie"/>
    <s v="Q2"/>
    <e v="#REF!"/>
    <e v="#REF!"/>
    <e v="#REF!"/>
  </r>
  <r>
    <s v="401000"/>
    <x v="6"/>
    <s v="FOURNISSEURS"/>
    <s v="OD"/>
    <n v="-136.91999999999999"/>
    <d v="2025-02-18T00:00:00"/>
    <s v="Liaison inter-établissement"/>
    <m/>
    <e v="#N/A"/>
    <e v="#N/A"/>
    <n v="63854"/>
    <m/>
    <s v="Sigma-Aldrich chimie"/>
    <s v="Q1"/>
    <e v="#REF!"/>
    <e v="#REF!"/>
    <e v="#REF!"/>
  </r>
  <r>
    <s v="401000"/>
    <x v="6"/>
    <s v="FOURNISSEURS"/>
    <s v="OD"/>
    <n v="-136.80000000000001"/>
    <d v="2025-04-08T00:00:00"/>
    <s v="Liaison inter-établissement"/>
    <m/>
    <e v="#N/A"/>
    <e v="#N/A"/>
    <n v="70002"/>
    <m/>
    <s v="ROTH SOCHIEL"/>
    <s v="Q2"/>
    <e v="#REF!"/>
    <e v="#REF!"/>
    <e v="#REF!"/>
  </r>
  <r>
    <s v="401000"/>
    <x v="6"/>
    <s v="FOURNISSEURS"/>
    <s v="OD"/>
    <n v="-136.56"/>
    <d v="2025-12-03T00:00:00"/>
    <s v="Liaison inter-établissement"/>
    <m/>
    <s v="Non"/>
    <e v="#N/A"/>
    <n v="91848"/>
    <m/>
    <s v="HELLOCSE"/>
    <s v="Q4"/>
    <e v="#REF!"/>
    <e v="#REF!"/>
    <e v="#REF!"/>
  </r>
  <r>
    <s v="401000"/>
    <x v="6"/>
    <s v="FOURNISSEURS"/>
    <s v="OD"/>
    <n v="-135.69999999999999"/>
    <d v="2025-01-03T00:00:00"/>
    <s v="Frais Bpifrance"/>
    <m/>
    <e v="#N/A"/>
    <e v="#N/A"/>
    <n v="90118"/>
    <m/>
    <s v="BPI FRANCE"/>
    <s v="Q1"/>
    <e v="#REF!"/>
    <e v="#REF!"/>
    <e v="#REF!"/>
  </r>
  <r>
    <s v="401000"/>
    <x v="6"/>
    <s v="FOURNISSEURS"/>
    <s v="OD"/>
    <n v="-135"/>
    <d v="2025-07-31T00:00:00"/>
    <s v="Liaison établissement 401000 FISHER TO"/>
    <m/>
    <e v="#N/A"/>
    <e v="#N/A"/>
    <n v="79278"/>
    <s v="ÉQUIPEMENT POUR LABO"/>
    <s v="FISHER SCIENTIFIC"/>
    <s v="Q3"/>
    <e v="#REF!"/>
    <e v="#REF!"/>
    <e v="#REF!"/>
  </r>
  <r>
    <s v="401000"/>
    <x v="6"/>
    <s v="FOURNISSEURS"/>
    <s v="OD"/>
    <n v="-134.80000000000001"/>
    <d v="2025-06-10T00:00:00"/>
    <s v="Liaison inter-établissement"/>
    <m/>
    <e v="#N/A"/>
    <e v="#N/A"/>
    <n v="81303"/>
    <m/>
    <s v="ORANGE"/>
    <s v="Q2"/>
    <e v="#REF!"/>
    <e v="#REF!"/>
    <e v="#REF!"/>
  </r>
  <r>
    <s v="401000"/>
    <x v="6"/>
    <s v="FOURNISSEURS"/>
    <s v="OD"/>
    <n v="-134.76"/>
    <d v="2025-03-06T00:00:00"/>
    <s v="Liaison inter-établissement"/>
    <m/>
    <e v="#N/A"/>
    <e v="#N/A"/>
    <n v="63870"/>
    <m/>
    <s v="Sigma-Aldrich chimie"/>
    <s v="Q1"/>
    <e v="#REF!"/>
    <e v="#REF!"/>
    <e v="#REF!"/>
  </r>
  <r>
    <s v="401000"/>
    <x v="6"/>
    <s v="FOURNISSEURS"/>
    <s v="OD"/>
    <n v="-134.30000000000001"/>
    <d v="2025-05-13T00:00:00"/>
    <s v="Liaison inter-établissement"/>
    <m/>
    <e v="#N/A"/>
    <e v="#N/A"/>
    <n v="75136"/>
    <m/>
    <s v="GANDI"/>
    <s v="Q2"/>
    <e v="#REF!"/>
    <e v="#REF!"/>
    <e v="#REF!"/>
  </r>
  <r>
    <s v="401000"/>
    <x v="6"/>
    <s v="FOURNISSEURS"/>
    <s v="OD"/>
    <n v="-134"/>
    <d v="2025-04-10T00:00:00"/>
    <s v="Liaison inter-établissement"/>
    <m/>
    <e v="#N/A"/>
    <e v="#N/A"/>
    <n v="78185"/>
    <m/>
    <s v="SNCF"/>
    <s v="Q2"/>
    <e v="#REF!"/>
    <e v="#REF!"/>
    <e v="#REF!"/>
  </r>
  <r>
    <s v="401000"/>
    <x v="6"/>
    <s v="FOURNISSEURS"/>
    <s v="OD"/>
    <n v="-133.86000000000001"/>
    <d v="2025-12-30T00:00:00"/>
    <s v="Liaison établissement 401000 BIOTIKA TO"/>
    <s v="Non"/>
    <e v="#N/A"/>
    <e v="#N/A"/>
    <n v="93773"/>
    <s v="91250200"/>
    <s v="BIOTIKA"/>
    <s v="Q4"/>
    <e v="#REF!"/>
    <e v="#REF!"/>
    <e v="#REF!"/>
  </r>
  <r>
    <s v="401000"/>
    <x v="6"/>
    <s v="FOURNISSEURS"/>
    <s v="OD"/>
    <n v="-133.19999999999999"/>
    <d v="2025-02-10T00:00:00"/>
    <s v="Liaison inter-établissement"/>
    <m/>
    <e v="#N/A"/>
    <e v="#N/A"/>
    <n v="73130"/>
    <m/>
    <s v="ORANGE"/>
    <s v="Q1"/>
    <e v="#REF!"/>
    <e v="#REF!"/>
    <e v="#REF!"/>
  </r>
  <r>
    <s v="401000"/>
    <x v="6"/>
    <s v="FOURNISSEURS"/>
    <s v="OD"/>
    <n v="-133.19999999999999"/>
    <d v="2025-03-13T00:00:00"/>
    <s v="Liaison inter-établissement"/>
    <m/>
    <e v="#N/A"/>
    <e v="#N/A"/>
    <n v="81299"/>
    <m/>
    <s v="ORANGE"/>
    <s v="Q1"/>
    <e v="#REF!"/>
    <e v="#REF!"/>
    <e v="#REF!"/>
  </r>
  <r>
    <s v="401000"/>
    <x v="6"/>
    <s v="FOURNISSEURS"/>
    <s v="OD"/>
    <n v="-133.19999999999999"/>
    <d v="2025-04-10T00:00:00"/>
    <s v="Liaison inter-établissement"/>
    <m/>
    <e v="#N/A"/>
    <e v="#N/A"/>
    <n v="87398"/>
    <m/>
    <s v="ORANGE"/>
    <s v="Q2"/>
    <e v="#REF!"/>
    <e v="#REF!"/>
    <e v="#REF!"/>
  </r>
  <r>
    <s v="401000"/>
    <x v="6"/>
    <s v="FOURNISSEURS"/>
    <s v="OD"/>
    <n v="-133.19999999999999"/>
    <d v="2025-05-12T00:00:00"/>
    <s v="Liaison inter-établissement"/>
    <m/>
    <e v="#N/A"/>
    <e v="#N/A"/>
    <n v="81261"/>
    <m/>
    <s v="ORANGE"/>
    <s v="Q2"/>
    <e v="#REF!"/>
    <e v="#REF!"/>
    <e v="#REF!"/>
  </r>
  <r>
    <s v="401000"/>
    <x v="6"/>
    <s v="FOURNISSEURS"/>
    <s v="OD"/>
    <n v="-132.97999999999999"/>
    <d v="2025-12-08T00:00:00"/>
    <s v="Liaison établissement 401000 BIOTIKA TO"/>
    <s v="Non"/>
    <e v="#N/A"/>
    <e v="#N/A"/>
    <n v="91339"/>
    <s v="2025-Q100527"/>
    <s v="BIOTIKA"/>
    <s v="Q4"/>
    <e v="#REF!"/>
    <e v="#REF!"/>
    <e v="#REF!"/>
  </r>
  <r>
    <s v="401000"/>
    <x v="6"/>
    <s v="FOURNISSEURS"/>
    <s v="OD"/>
    <n v="-132.47999999999999"/>
    <d v="2025-07-31T00:00:00"/>
    <s v="Liaison établissement 401000 ROTH TO"/>
    <m/>
    <e v="#N/A"/>
    <e v="#N/A"/>
    <n v="79298"/>
    <s v="RÉACTIFS KL VBIO"/>
    <s v="ROTH SOCHIEL"/>
    <s v="Q3"/>
    <e v="#REF!"/>
    <e v="#REF!"/>
    <e v="#REF!"/>
  </r>
  <r>
    <s v="401000"/>
    <x v="6"/>
    <s v="FOURNISSEURS"/>
    <s v="OD"/>
    <n v="-132"/>
    <d v="2025-01-07T00:00:00"/>
    <s v="Liaison inter-établissement"/>
    <m/>
    <e v="#N/A"/>
    <e v="#N/A"/>
    <n v="74874"/>
    <m/>
    <s v="HOPER"/>
    <s v="Q1"/>
    <e v="#REF!"/>
    <e v="#REF!"/>
    <e v="#REF!"/>
  </r>
  <r>
    <s v="401000"/>
    <x v="6"/>
    <s v="FOURNISSEURS"/>
    <s v="OD"/>
    <n v="-132"/>
    <d v="2025-04-07T00:00:00"/>
    <s v="Liaison inter-établissement"/>
    <m/>
    <e v="#N/A"/>
    <e v="#N/A"/>
    <n v="71419"/>
    <m/>
    <s v="HOPER"/>
    <s v="Q2"/>
    <e v="#REF!"/>
    <e v="#REF!"/>
    <e v="#REF!"/>
  </r>
  <r>
    <s v="401000"/>
    <x v="6"/>
    <s v="FOURNISSEURS"/>
    <s v="OD"/>
    <n v="-130"/>
    <d v="2025-07-31T00:00:00"/>
    <s v="Liaison établissement 401000 ALTAIR TO"/>
    <s v="Non"/>
    <s v="Non"/>
    <e v="#N/A"/>
    <n v="79243"/>
    <s v="CONSEIL ET ASSISTANCE DANS LE CADRE DU SUIVI DES BSPCE"/>
    <s v="ALTAIR AVOCATS"/>
    <s v="Q3"/>
    <e v="#REF!"/>
    <e v="#REF!"/>
    <e v="#REF!"/>
  </r>
  <r>
    <s v="401000"/>
    <x v="6"/>
    <s v="FOURNISSEURS"/>
    <s v="OD"/>
    <n v="-129.41999999999999"/>
    <d v="2025-03-18T00:00:00"/>
    <s v="Liaison inter-établissement"/>
    <m/>
    <e v="#N/A"/>
    <e v="#N/A"/>
    <n v="64490"/>
    <m/>
    <s v="VWR AVANTOR"/>
    <s v="Q1"/>
    <e v="#REF!"/>
    <e v="#REF!"/>
    <e v="#REF!"/>
  </r>
  <r>
    <s v="401000"/>
    <x v="6"/>
    <s v="FOURNISSEURS"/>
    <s v="OD"/>
    <n v="-128.93"/>
    <d v="2025-10-25T00:00:00"/>
    <s v="Liaison inter-établissement"/>
    <m/>
    <e v="#N/A"/>
    <e v="#N/A"/>
    <n v="91591"/>
    <m/>
    <s v="AIRLINES"/>
    <s v="Q4"/>
    <e v="#REF!"/>
    <e v="#REF!"/>
    <e v="#REF!"/>
  </r>
  <r>
    <s v="401000"/>
    <x v="6"/>
    <s v="FOURNISSEURS"/>
    <s v="OD"/>
    <n v="-128"/>
    <d v="2025-03-18T00:00:00"/>
    <s v="Liaison inter-établissement"/>
    <m/>
    <e v="#N/A"/>
    <e v="#N/A"/>
    <n v="64458"/>
    <m/>
    <s v="TCI"/>
    <s v="Q1"/>
    <e v="#REF!"/>
    <e v="#REF!"/>
    <e v="#REF!"/>
  </r>
  <r>
    <s v="401000"/>
    <x v="6"/>
    <s v="FOURNISSEURS"/>
    <s v="OD"/>
    <n v="-128"/>
    <d v="2025-09-05T00:00:00"/>
    <s v="Liaison inter-établissement"/>
    <m/>
    <e v="#N/A"/>
    <e v="#N/A"/>
    <n v="83143"/>
    <m/>
    <s v="SNCF"/>
    <s v="Q3"/>
    <e v="#REF!"/>
    <e v="#REF!"/>
    <e v="#REF!"/>
  </r>
  <r>
    <s v="401000"/>
    <x v="6"/>
    <s v="FOURNISSEURS"/>
    <s v="OD"/>
    <n v="-128"/>
    <d v="2025-10-09T00:00:00"/>
    <s v="Liaison inter-établissement"/>
    <m/>
    <e v="#N/A"/>
    <e v="#N/A"/>
    <n v="89808"/>
    <m/>
    <s v="SNCF"/>
    <s v="Q4"/>
    <e v="#REF!"/>
    <e v="#REF!"/>
    <e v="#REF!"/>
  </r>
  <r>
    <s v="401000"/>
    <x v="6"/>
    <s v="FOURNISSEURS"/>
    <s v="OD"/>
    <n v="-128"/>
    <d v="2025-11-18T00:00:00"/>
    <s v="Liaison inter-établissement"/>
    <m/>
    <e v="#N/A"/>
    <e v="#N/A"/>
    <n v="91720"/>
    <m/>
    <s v="SNCF"/>
    <s v="Q4"/>
    <e v="#REF!"/>
    <e v="#REF!"/>
    <e v="#REF!"/>
  </r>
  <r>
    <s v="401000"/>
    <x v="6"/>
    <s v="FOURNISSEURS"/>
    <s v="OD"/>
    <n v="-128"/>
    <d v="2025-11-25T00:00:00"/>
    <s v="Liaison inter-établissement"/>
    <m/>
    <e v="#N/A"/>
    <e v="#N/A"/>
    <n v="91716"/>
    <m/>
    <s v="SNCF"/>
    <s v="Q4"/>
    <e v="#REF!"/>
    <e v="#REF!"/>
    <e v="#REF!"/>
  </r>
  <r>
    <s v="401000"/>
    <x v="6"/>
    <s v="FOURNISSEURS"/>
    <s v="OD"/>
    <n v="-127"/>
    <d v="2025-09-12T00:00:00"/>
    <s v="Liaison établissement 401000 TCI TO"/>
    <m/>
    <e v="#N/A"/>
    <e v="#N/A"/>
    <n v="82028"/>
    <s v="COMMANDE PRODUIT KEENB"/>
    <s v="TCI"/>
    <s v="Q3"/>
    <e v="#REF!"/>
    <e v="#REF!"/>
    <e v="#REF!"/>
  </r>
  <r>
    <s v="401000"/>
    <x v="6"/>
    <s v="FOURNISSEURS"/>
    <s v="OD"/>
    <n v="-126.59"/>
    <d v="2025-01-26T00:00:00"/>
    <s v="Liaison inter-établissement"/>
    <m/>
    <e v="#N/A"/>
    <e v="#N/A"/>
    <n v="63820"/>
    <m/>
    <s v="RS COMPONENT"/>
    <s v="Q1"/>
    <e v="#REF!"/>
    <e v="#REF!"/>
    <e v="#REF!"/>
  </r>
  <r>
    <s v="401000"/>
    <x v="6"/>
    <s v="FOURNISSEURS"/>
    <s v="OD"/>
    <n v="-125.83"/>
    <d v="2025-10-14T00:00:00"/>
    <s v="Liaison inter-établissement"/>
    <s v="Non"/>
    <s v="Non"/>
    <e v="#N/A"/>
    <n v="89690"/>
    <m/>
    <s v="LINKEDIN"/>
    <s v="Q4"/>
    <e v="#REF!"/>
    <e v="#REF!"/>
    <e v="#REF!"/>
  </r>
  <r>
    <s v="401000"/>
    <x v="6"/>
    <s v="FOURNISSEURS"/>
    <s v="OD"/>
    <n v="-124.06"/>
    <d v="2025-08-18T00:00:00"/>
    <s v="Liaison établissement 401000 VWR TO"/>
    <m/>
    <e v="#N/A"/>
    <e v="#N/A"/>
    <n v="81169"/>
    <s v="COMMANDE PRODUITS LABO"/>
    <s v="VWR AVANTOR"/>
    <s v="Q3"/>
    <e v="#REF!"/>
    <e v="#REF!"/>
    <e v="#REF!"/>
  </r>
  <r>
    <s v="401000"/>
    <x v="6"/>
    <s v="FOURNISSEURS"/>
    <s v="OD"/>
    <n v="-124"/>
    <d v="2025-01-29T00:00:00"/>
    <s v="Liaison inter-établissement"/>
    <m/>
    <e v="#N/A"/>
    <e v="#N/A"/>
    <n v="66742"/>
    <m/>
    <s v="SNCF"/>
    <s v="Q1"/>
    <e v="#REF!"/>
    <e v="#REF!"/>
    <e v="#REF!"/>
  </r>
  <r>
    <s v="401000"/>
    <x v="6"/>
    <s v="FOURNISSEURS"/>
    <s v="OD"/>
    <n v="-124"/>
    <d v="2025-12-09T00:00:00"/>
    <s v="Liaison inter-établissement"/>
    <m/>
    <e v="#N/A"/>
    <e v="#N/A"/>
    <n v="94139"/>
    <m/>
    <s v="SNCF"/>
    <s v="Q4"/>
    <e v="#REF!"/>
    <e v="#REF!"/>
    <e v="#REF!"/>
  </r>
  <r>
    <s v="401000"/>
    <x v="6"/>
    <s v="FOURNISSEURS"/>
    <s v="OD"/>
    <n v="-122.65"/>
    <d v="2025-05-23T00:00:00"/>
    <s v="Liaison inter-établissement"/>
    <m/>
    <e v="#N/A"/>
    <e v="#N/A"/>
    <n v="74902"/>
    <m/>
    <s v="DHL"/>
    <s v="Q2"/>
    <e v="#REF!"/>
    <e v="#REF!"/>
    <e v="#REF!"/>
  </r>
  <r>
    <s v="401000"/>
    <x v="6"/>
    <s v="FOURNISSEURS"/>
    <s v="OD"/>
    <n v="-122.56"/>
    <d v="2025-02-06T00:00:00"/>
    <s v="Liaison inter-établissement"/>
    <m/>
    <e v="#N/A"/>
    <e v="#N/A"/>
    <n v="63816"/>
    <m/>
    <s v="ROTH SOCHIEL"/>
    <s v="Q1"/>
    <e v="#REF!"/>
    <e v="#REF!"/>
    <e v="#REF!"/>
  </r>
  <r>
    <s v="401000"/>
    <x v="6"/>
    <s v="FOURNISSEURS"/>
    <s v="OD"/>
    <n v="-122.54"/>
    <d v="2025-03-18T00:00:00"/>
    <s v="Liaison inter-établissement"/>
    <m/>
    <e v="#N/A"/>
    <e v="#N/A"/>
    <n v="64462"/>
    <m/>
    <s v="VWR AVANTOR"/>
    <s v="Q1"/>
    <e v="#REF!"/>
    <e v="#REF!"/>
    <e v="#REF!"/>
  </r>
  <r>
    <s v="401000"/>
    <x v="6"/>
    <s v="FOURNISSEURS"/>
    <s v="OD"/>
    <n v="-122"/>
    <d v="2025-04-04T00:00:00"/>
    <s v="Liaison inter-établissement"/>
    <m/>
    <e v="#N/A"/>
    <e v="#N/A"/>
    <n v="74778"/>
    <m/>
    <s v="SNCF"/>
    <s v="Q2"/>
    <e v="#REF!"/>
    <e v="#REF!"/>
    <e v="#REF!"/>
  </r>
  <r>
    <s v="401000"/>
    <x v="6"/>
    <s v="FOURNISSEURS"/>
    <s v="OD"/>
    <n v="-122"/>
    <d v="2025-09-03T00:00:00"/>
    <s v="Liaison inter-établissement"/>
    <m/>
    <e v="#N/A"/>
    <e v="#N/A"/>
    <n v="83147"/>
    <m/>
    <s v="SNCF"/>
    <s v="Q3"/>
    <e v="#REF!"/>
    <e v="#REF!"/>
    <e v="#REF!"/>
  </r>
  <r>
    <s v="401000"/>
    <x v="6"/>
    <s v="FOURNISSEURS"/>
    <s v="OD"/>
    <n v="-121.85"/>
    <d v="2025-07-31T00:00:00"/>
    <s v="Liaison établissement 401000 VWR TO"/>
    <m/>
    <e v="#N/A"/>
    <e v="#N/A"/>
    <n v="79363"/>
    <s v="COMMANDE CONSOMMABLE LABO"/>
    <s v="VWR AVANTOR"/>
    <s v="Q3"/>
    <e v="#REF!"/>
    <e v="#REF!"/>
    <e v="#REF!"/>
  </r>
  <r>
    <s v="401000"/>
    <x v="6"/>
    <s v="FOURNISSEURS"/>
    <s v="OD"/>
    <n v="-120.36"/>
    <d v="2025-04-02T00:00:00"/>
    <s v="Liaison établissement 401000 VWR TO"/>
    <m/>
    <e v="#N/A"/>
    <e v="#N/A"/>
    <n v="66499"/>
    <s v="Invoice Payment by Pili"/>
    <s v="VWR AVANTOR"/>
    <s v="Q2"/>
    <e v="#REF!"/>
    <e v="#REF!"/>
    <e v="#REF!"/>
  </r>
  <r>
    <s v="401000"/>
    <x v="6"/>
    <s v="FOURNISSEURS"/>
    <s v="OD"/>
    <n v="-120"/>
    <d v="2025-06-04T00:00:00"/>
    <s v="Liaison établissement 401000 SIGMA TO"/>
    <m/>
    <e v="#N/A"/>
    <e v="#N/A"/>
    <n v="75544"/>
    <s v="Invoice payment by Pili"/>
    <s v="Sigma-Aldrich chimie"/>
    <s v="Q2"/>
    <e v="#REF!"/>
    <e v="#REF!"/>
    <e v="#REF!"/>
  </r>
  <r>
    <s v="401000"/>
    <x v="6"/>
    <s v="FOURNISSEURS"/>
    <s v="OD"/>
    <n v="-119.99"/>
    <d v="2025-02-09T00:00:00"/>
    <s v="Liaison inter-établissement"/>
    <m/>
    <e v="#N/A"/>
    <e v="#N/A"/>
    <n v="64278"/>
    <m/>
    <s v="DARTY"/>
    <s v="Q1"/>
    <e v="#REF!"/>
    <e v="#REF!"/>
    <e v="#REF!"/>
  </r>
  <r>
    <s v="401000"/>
    <x v="6"/>
    <s v="FOURNISSEURS"/>
    <s v="OD"/>
    <n v="-119.41"/>
    <d v="2025-11-18T00:00:00"/>
    <s v="Liaison inter-établissement"/>
    <m/>
    <e v="#N/A"/>
    <e v="#N/A"/>
    <n v="91607"/>
    <m/>
    <s v="BOOKING"/>
    <s v="Q4"/>
    <e v="#REF!"/>
    <e v="#REF!"/>
    <e v="#REF!"/>
  </r>
  <r>
    <s v="401000"/>
    <x v="6"/>
    <s v="FOURNISSEURS"/>
    <s v="OD"/>
    <n v="-119.4"/>
    <d v="2025-11-19T00:00:00"/>
    <s v="Liaison inter-établissement"/>
    <m/>
    <e v="#N/A"/>
    <e v="#N/A"/>
    <n v="91676"/>
    <m/>
    <s v="MONDROGUISTE"/>
    <s v="Q4"/>
    <e v="#REF!"/>
    <e v="#REF!"/>
    <e v="#REF!"/>
  </r>
  <r>
    <s v="401000"/>
    <x v="6"/>
    <s v="FOURNISSEURS"/>
    <s v="OD"/>
    <n v="-118.96"/>
    <d v="2025-09-12T00:00:00"/>
    <s v="Liaison établissement 401000 BIOTIKA TO"/>
    <s v="Non"/>
    <e v="#N/A"/>
    <e v="#N/A"/>
    <n v="82068"/>
    <s v="COUTS DE TRANSPORT - ECHANTILLONS"/>
    <s v="BIOTIKA"/>
    <s v="Q3"/>
    <e v="#REF!"/>
    <e v="#REF!"/>
    <e v="#REF!"/>
  </r>
  <r>
    <s v="401000"/>
    <x v="6"/>
    <s v="FOURNISSEURS"/>
    <s v="OD"/>
    <n v="-118.04"/>
    <d v="2025-07-31T00:00:00"/>
    <s v="Liaison établissement 401000 VWR TO"/>
    <m/>
    <e v="#N/A"/>
    <e v="#N/A"/>
    <n v="79303"/>
    <s v="COMMANDE PRODUIT LABO"/>
    <s v="VWR AVANTOR"/>
    <s v="Q3"/>
    <e v="#REF!"/>
    <e v="#REF!"/>
    <e v="#REF!"/>
  </r>
  <r>
    <s v="401000"/>
    <x v="6"/>
    <s v="FOURNISSEURS"/>
    <s v="OD"/>
    <n v="-117.6"/>
    <d v="2025-04-25T00:00:00"/>
    <s v="Liaison établissement 401000 CHAUM TO"/>
    <m/>
    <e v="#N/A"/>
    <e v="#N/A"/>
    <n v="70144"/>
    <s v="Invoice Payment by Pili"/>
    <s v="GROUPE CHAUMEIL"/>
    <s v="Q2"/>
    <e v="#REF!"/>
    <e v="#REF!"/>
    <e v="#REF!"/>
  </r>
  <r>
    <s v="401000"/>
    <x v="6"/>
    <s v="FOURNISSEURS"/>
    <s v="OD"/>
    <n v="-117"/>
    <d v="2025-04-25T00:00:00"/>
    <s v="Liaison établissement 401000 RUF TO"/>
    <m/>
    <e v="#N/A"/>
    <e v="#N/A"/>
    <n v="70189"/>
    <s v="Invoice Payment by Pili"/>
    <s v="RUF POSEUR D'EMPREINTES"/>
    <s v="Q2"/>
    <e v="#REF!"/>
    <e v="#REF!"/>
    <e v="#REF!"/>
  </r>
  <r>
    <s v="401000"/>
    <x v="6"/>
    <s v="FOURNISSEURS"/>
    <s v="OD"/>
    <n v="-116.97"/>
    <d v="2025-04-15T00:00:00"/>
    <s v="Liaison inter-établissement"/>
    <m/>
    <e v="#N/A"/>
    <e v="#N/A"/>
    <n v="74858"/>
    <m/>
    <s v="American Airlines"/>
    <s v="Q2"/>
    <e v="#REF!"/>
    <e v="#REF!"/>
    <e v="#REF!"/>
  </r>
  <r>
    <s v="401000"/>
    <x v="6"/>
    <s v="FOURNISSEURS"/>
    <s v="OD"/>
    <n v="-116.97"/>
    <d v="2025-04-15T00:00:00"/>
    <s v="Liaison inter-établissement"/>
    <m/>
    <e v="#N/A"/>
    <e v="#N/A"/>
    <n v="74862"/>
    <m/>
    <s v="American Airlines"/>
    <s v="Q2"/>
    <e v="#REF!"/>
    <e v="#REF!"/>
    <e v="#REF!"/>
  </r>
  <r>
    <s v="401000"/>
    <x v="6"/>
    <s v="FOURNISSEURS"/>
    <s v="OD"/>
    <n v="-116.53"/>
    <d v="2025-09-19T00:00:00"/>
    <s v="Liaison inter-établissement"/>
    <m/>
    <e v="#N/A"/>
    <e v="#N/A"/>
    <n v="83267"/>
    <m/>
    <s v="BRUNEAU"/>
    <s v="Q3"/>
    <e v="#REF!"/>
    <e v="#REF!"/>
    <e v="#REF!"/>
  </r>
  <r>
    <s v="401000"/>
    <x v="6"/>
    <s v="FOURNISSEURS"/>
    <s v="OD"/>
    <n v="-116.5"/>
    <d v="2025-03-11T00:00:00"/>
    <s v="Liaison inter-établissement"/>
    <m/>
    <e v="#N/A"/>
    <e v="#N/A"/>
    <n v="70019"/>
    <m/>
    <s v="SNCF"/>
    <s v="Q1"/>
    <e v="#REF!"/>
    <e v="#REF!"/>
    <e v="#REF!"/>
  </r>
  <r>
    <s v="401000"/>
    <x v="6"/>
    <s v="FOURNISSEURS"/>
    <s v="OD"/>
    <n v="-116"/>
    <d v="2025-01-14T00:00:00"/>
    <s v="Liaison inter-établissement"/>
    <m/>
    <e v="#N/A"/>
    <e v="#N/A"/>
    <n v="63890"/>
    <m/>
    <s v="SNCF"/>
    <s v="Q1"/>
    <e v="#REF!"/>
    <e v="#REF!"/>
    <e v="#REF!"/>
  </r>
  <r>
    <s v="401000"/>
    <x v="6"/>
    <s v="FOURNISSEURS"/>
    <s v="OD"/>
    <n v="-116"/>
    <d v="2025-01-21T00:00:00"/>
    <s v="Liaison inter-établissement"/>
    <m/>
    <e v="#N/A"/>
    <e v="#N/A"/>
    <n v="63894"/>
    <m/>
    <s v="SNCF"/>
    <s v="Q1"/>
    <e v="#REF!"/>
    <e v="#REF!"/>
    <e v="#REF!"/>
  </r>
  <r>
    <s v="401000"/>
    <x v="6"/>
    <s v="FOURNISSEURS"/>
    <s v="OD"/>
    <n v="-116"/>
    <d v="2025-02-12T00:00:00"/>
    <s v="Liaison inter-établissement"/>
    <m/>
    <e v="#N/A"/>
    <e v="#N/A"/>
    <n v="64378"/>
    <m/>
    <s v="SNCF"/>
    <s v="Q1"/>
    <e v="#REF!"/>
    <e v="#REF!"/>
    <e v="#REF!"/>
  </r>
  <r>
    <s v="401000"/>
    <x v="6"/>
    <s v="FOURNISSEURS"/>
    <s v="OD"/>
    <n v="-116"/>
    <d v="2025-05-13T00:00:00"/>
    <s v="Liaison inter-établissement"/>
    <m/>
    <e v="#N/A"/>
    <e v="#N/A"/>
    <n v="78159"/>
    <m/>
    <s v="SNCF"/>
    <s v="Q2"/>
    <e v="#REF!"/>
    <e v="#REF!"/>
    <e v="#REF!"/>
  </r>
  <r>
    <s v="401000"/>
    <x v="6"/>
    <s v="FOURNISSEURS"/>
    <s v="OD"/>
    <n v="-116"/>
    <d v="2025-10-11T00:00:00"/>
    <s v="Liaison inter-établissement"/>
    <m/>
    <e v="#N/A"/>
    <e v="#N/A"/>
    <n v="89796"/>
    <m/>
    <s v="SNCF"/>
    <s v="Q4"/>
    <e v="#REF!"/>
    <e v="#REF!"/>
    <e v="#REF!"/>
  </r>
  <r>
    <s v="401000"/>
    <x v="6"/>
    <s v="FOURNISSEURS"/>
    <s v="OD"/>
    <n v="-116"/>
    <d v="2025-10-30T00:00:00"/>
    <s v="Liaison inter-établissement"/>
    <m/>
    <e v="#N/A"/>
    <e v="#N/A"/>
    <n v="91684"/>
    <m/>
    <s v="SNCF"/>
    <s v="Q4"/>
    <e v="#REF!"/>
    <e v="#REF!"/>
    <e v="#REF!"/>
  </r>
  <r>
    <s v="401000"/>
    <x v="6"/>
    <s v="FOURNISSEURS"/>
    <s v="OD"/>
    <n v="-116"/>
    <d v="2025-11-01T00:00:00"/>
    <s v="Liaison inter-établissement"/>
    <m/>
    <e v="#N/A"/>
    <e v="#N/A"/>
    <n v="91800"/>
    <m/>
    <s v="SNCF"/>
    <s v="Q4"/>
    <e v="#REF!"/>
    <e v="#REF!"/>
    <e v="#REF!"/>
  </r>
  <r>
    <s v="401000"/>
    <x v="6"/>
    <s v="FOURNISSEURS"/>
    <s v="OD"/>
    <n v="-116"/>
    <d v="2025-11-02T00:00:00"/>
    <s v="Liaison inter-établissement"/>
    <m/>
    <e v="#N/A"/>
    <e v="#N/A"/>
    <n v="91692"/>
    <m/>
    <s v="SNCF"/>
    <s v="Q4"/>
    <e v="#REF!"/>
    <e v="#REF!"/>
    <e v="#REF!"/>
  </r>
  <r>
    <s v="401000"/>
    <x v="6"/>
    <s v="FOURNISSEURS"/>
    <s v="OD"/>
    <n v="-116"/>
    <d v="2025-11-29T00:00:00"/>
    <s v="Liaison inter-établissement"/>
    <m/>
    <e v="#N/A"/>
    <e v="#N/A"/>
    <n v="91708"/>
    <m/>
    <s v="SNCF"/>
    <s v="Q4"/>
    <e v="#REF!"/>
    <e v="#REF!"/>
    <e v="#REF!"/>
  </r>
  <r>
    <s v="401000"/>
    <x v="6"/>
    <s v="FOURNISSEURS"/>
    <s v="OD"/>
    <n v="-116"/>
    <d v="2025-11-29T00:00:00"/>
    <s v="Liaison inter-établissement"/>
    <m/>
    <e v="#N/A"/>
    <e v="#N/A"/>
    <n v="91712"/>
    <m/>
    <s v="SNCF"/>
    <s v="Q4"/>
    <e v="#REF!"/>
    <e v="#REF!"/>
    <e v="#REF!"/>
  </r>
  <r>
    <s v="401000"/>
    <x v="6"/>
    <s v="FOURNISSEURS"/>
    <s v="OD"/>
    <n v="-115.61"/>
    <d v="2025-10-12T00:00:00"/>
    <s v="Liaison inter-établissement"/>
    <s v="Non"/>
    <s v="Non"/>
    <e v="#N/A"/>
    <n v="89686"/>
    <m/>
    <s v="LINKEDIN"/>
    <s v="Q4"/>
    <e v="#REF!"/>
    <e v="#REF!"/>
    <e v="#REF!"/>
  </r>
  <r>
    <s v="401000"/>
    <x v="6"/>
    <s v="FOURNISSEURS"/>
    <s v="OD"/>
    <n v="-115.21"/>
    <d v="2025-07-05T00:00:00"/>
    <s v="Liaison inter-établissement"/>
    <m/>
    <e v="#N/A"/>
    <e v="#N/A"/>
    <n v="85067"/>
    <m/>
    <s v="CASTORAMA"/>
    <s v="Q3"/>
    <e v="#REF!"/>
    <e v="#REF!"/>
    <e v="#REF!"/>
  </r>
  <r>
    <s v="401000"/>
    <x v="6"/>
    <s v="FOURNISSEURS"/>
    <s v="OD"/>
    <n v="-114.38"/>
    <d v="2025-03-25T00:00:00"/>
    <s v="Liaison inter-établissement"/>
    <m/>
    <e v="#N/A"/>
    <e v="#N/A"/>
    <n v="70051"/>
    <m/>
    <s v="MANUTAN"/>
    <s v="Q1"/>
    <e v="#REF!"/>
    <e v="#REF!"/>
    <e v="#REF!"/>
  </r>
  <r>
    <s v="401000"/>
    <x v="6"/>
    <s v="FOURNISSEURS"/>
    <s v="OD"/>
    <n v="-114.21"/>
    <d v="2025-04-07T00:00:00"/>
    <s v="Liaison inter-établissement"/>
    <m/>
    <e v="#N/A"/>
    <e v="#N/A"/>
    <n v="72767"/>
    <m/>
    <s v="ENGIE"/>
    <s v="Q2"/>
    <e v="#REF!"/>
    <e v="#REF!"/>
    <e v="#REF!"/>
  </r>
  <r>
    <s v="401000"/>
    <x v="6"/>
    <s v="FOURNISSEURS"/>
    <s v="OD"/>
    <n v="-113.74"/>
    <d v="2025-12-19T00:00:00"/>
    <s v="Liaison inter-établissement"/>
    <m/>
    <e v="#N/A"/>
    <e v="#N/A"/>
    <n v="92925"/>
    <m/>
    <s v="DHL"/>
    <s v="Q4"/>
    <e v="#REF!"/>
    <e v="#REF!"/>
    <e v="#REF!"/>
  </r>
  <r>
    <s v="401000"/>
    <x v="6"/>
    <s v="FOURNISSEURS"/>
    <s v="OD"/>
    <n v="-113.26"/>
    <d v="2025-04-25T00:00:00"/>
    <s v="Liaison établissement 401000 AIRLIQUIDE TO"/>
    <m/>
    <e v="#N/A"/>
    <e v="#N/A"/>
    <n v="70129"/>
    <s v="Invoice Payment by Pili"/>
    <s v="AIR LIQUIDE"/>
    <s v="Q2"/>
    <e v="#REF!"/>
    <e v="#REF!"/>
    <e v="#REF!"/>
  </r>
  <r>
    <s v="401000"/>
    <x v="6"/>
    <s v="FOURNISSEURS"/>
    <s v="OD"/>
    <n v="-113"/>
    <d v="2025-04-28T00:00:00"/>
    <s v="Liaison inter-établissement"/>
    <m/>
    <e v="#N/A"/>
    <e v="#N/A"/>
    <n v="74790"/>
    <m/>
    <s v="SNCF"/>
    <s v="Q2"/>
    <e v="#REF!"/>
    <e v="#REF!"/>
    <e v="#REF!"/>
  </r>
  <r>
    <s v="401000"/>
    <x v="6"/>
    <s v="FOURNISSEURS"/>
    <s v="OD"/>
    <n v="-112.8"/>
    <d v="2025-04-25T00:00:00"/>
    <s v="Liaison établissement 401000 DENIOS TO"/>
    <m/>
    <e v="#N/A"/>
    <e v="#N/A"/>
    <n v="70169"/>
    <s v="Invoice Payment by Pili"/>
    <s v="DENIOS"/>
    <s v="Q2"/>
    <e v="#REF!"/>
    <e v="#REF!"/>
    <e v="#REF!"/>
  </r>
  <r>
    <s v="401000"/>
    <x v="6"/>
    <s v="FOURNISSEURS"/>
    <s v="OD"/>
    <n v="-111.83"/>
    <d v="2025-07-12T00:00:00"/>
    <s v="Liaison inter-établissement"/>
    <m/>
    <e v="#N/A"/>
    <e v="#N/A"/>
    <n v="81036"/>
    <m/>
    <s v="RS COMPONENT"/>
    <s v="Q3"/>
    <e v="#REF!"/>
    <e v="#REF!"/>
    <e v="#REF!"/>
  </r>
  <r>
    <s v="401000"/>
    <x v="6"/>
    <s v="FOURNISSEURS"/>
    <s v="OD"/>
    <n v="-111.45"/>
    <d v="2025-03-29T00:00:00"/>
    <s v="Liaison inter-établissement"/>
    <m/>
    <e v="#N/A"/>
    <e v="#N/A"/>
    <n v="71394"/>
    <m/>
    <s v="AIRBNB"/>
    <s v="Q1"/>
    <e v="#REF!"/>
    <e v="#REF!"/>
    <e v="#REF!"/>
  </r>
  <r>
    <s v="401000"/>
    <x v="6"/>
    <s v="FOURNISSEURS"/>
    <s v="OD"/>
    <n v="-111.05"/>
    <d v="2025-02-22T00:00:00"/>
    <s v="Liaison inter-établissement"/>
    <m/>
    <e v="#N/A"/>
    <e v="#N/A"/>
    <n v="64274"/>
    <m/>
    <s v="CHATEAUDEAU"/>
    <s v="Q1"/>
    <e v="#REF!"/>
    <e v="#REF!"/>
    <e v="#REF!"/>
  </r>
  <r>
    <s v="401000"/>
    <x v="6"/>
    <s v="FOURNISSEURS"/>
    <s v="OD"/>
    <n v="-111"/>
    <d v="2025-04-09T00:00:00"/>
    <s v="Liaison inter-établissement"/>
    <m/>
    <e v="#N/A"/>
    <e v="#N/A"/>
    <n v="78167"/>
    <m/>
    <s v="SNCF"/>
    <s v="Q2"/>
    <e v="#REF!"/>
    <e v="#REF!"/>
    <e v="#REF!"/>
  </r>
  <r>
    <s v="401000"/>
    <x v="6"/>
    <s v="FOURNISSEURS"/>
    <s v="OD"/>
    <n v="-110.59"/>
    <d v="2025-08-21T00:00:00"/>
    <s v="Liaison établissement 401000 VWR TO"/>
    <m/>
    <e v="#N/A"/>
    <e v="#N/A"/>
    <n v="81529"/>
    <s v="COMMANDE CONSOMMABLES LABO"/>
    <s v="VWR AVANTOR"/>
    <s v="Q3"/>
    <e v="#REF!"/>
    <e v="#REF!"/>
    <e v="#REF!"/>
  </r>
  <r>
    <s v="401000"/>
    <x v="6"/>
    <s v="FOURNISSEURS"/>
    <s v="OD"/>
    <n v="-110.52"/>
    <d v="2025-07-09T00:00:00"/>
    <s v="Liaison établissement 401000 SIGMA TO"/>
    <m/>
    <e v="#N/A"/>
    <e v="#N/A"/>
    <n v="77238"/>
    <s v="PRODUITS POUR VBIO ET V2020 AMINOIMINOMETHANESULFINIC ACID IRON II SULFATE HEPTAHYDRATE"/>
    <s v="Sigma-Aldrich chimie"/>
    <s v="Q3"/>
    <e v="#REF!"/>
    <e v="#REF!"/>
    <e v="#REF!"/>
  </r>
  <r>
    <s v="401000"/>
    <x v="6"/>
    <s v="FOURNISSEURS"/>
    <s v="OD"/>
    <n v="-110.17"/>
    <d v="2025-09-26T00:00:00"/>
    <s v="Liaison inter-établissement"/>
    <m/>
    <e v="#N/A"/>
    <e v="#N/A"/>
    <n v="89738"/>
    <m/>
    <s v="BOOKING"/>
    <s v="Q3"/>
    <e v="#REF!"/>
    <e v="#REF!"/>
    <e v="#REF!"/>
  </r>
  <r>
    <s v="401000"/>
    <x v="6"/>
    <s v="FOURNISSEURS"/>
    <s v="OD"/>
    <n v="-109"/>
    <d v="2025-03-19T00:00:00"/>
    <s v="Liaison inter-établissement"/>
    <m/>
    <e v="#N/A"/>
    <e v="#N/A"/>
    <n v="70027"/>
    <m/>
    <s v="SNCF"/>
    <s v="Q1"/>
    <e v="#REF!"/>
    <e v="#REF!"/>
    <e v="#REF!"/>
  </r>
  <r>
    <s v="401000"/>
    <x v="6"/>
    <s v="FOURNISSEURS"/>
    <s v="OD"/>
    <n v="-109"/>
    <d v="2025-05-07T00:00:00"/>
    <s v="Liaison inter-établissement"/>
    <m/>
    <e v="#N/A"/>
    <e v="#N/A"/>
    <n v="78155"/>
    <m/>
    <s v="SNCF"/>
    <s v="Q2"/>
    <e v="#REF!"/>
    <e v="#REF!"/>
    <e v="#REF!"/>
  </r>
  <r>
    <s v="401000"/>
    <x v="6"/>
    <s v="FOURNISSEURS"/>
    <s v="OD"/>
    <n v="-109"/>
    <d v="2025-05-13T00:00:00"/>
    <s v="Liaison inter-établissement"/>
    <m/>
    <e v="#N/A"/>
    <e v="#N/A"/>
    <n v="78163"/>
    <m/>
    <s v="SNCF"/>
    <s v="Q2"/>
    <e v="#REF!"/>
    <e v="#REF!"/>
    <e v="#REF!"/>
  </r>
  <r>
    <s v="401000"/>
    <x v="6"/>
    <s v="FOURNISSEURS"/>
    <s v="OD"/>
    <n v="-109"/>
    <d v="2025-12-09T00:00:00"/>
    <s v="Liaison inter-établissement"/>
    <m/>
    <e v="#N/A"/>
    <e v="#N/A"/>
    <n v="94131"/>
    <m/>
    <s v="SNCF"/>
    <s v="Q4"/>
    <e v="#REF!"/>
    <e v="#REF!"/>
    <e v="#REF!"/>
  </r>
  <r>
    <s v="401000"/>
    <x v="6"/>
    <s v="FOURNISSEURS"/>
    <s v="OD"/>
    <n v="-109"/>
    <d v="2025-12-11T00:00:00"/>
    <s v="Liaison inter-établissement"/>
    <m/>
    <e v="#N/A"/>
    <e v="#N/A"/>
    <n v="94143"/>
    <m/>
    <s v="SNCF"/>
    <s v="Q4"/>
    <e v="#REF!"/>
    <e v="#REF!"/>
    <e v="#REF!"/>
  </r>
  <r>
    <s v="401000"/>
    <x v="6"/>
    <s v="FOURNISSEURS"/>
    <s v="OD"/>
    <n v="-108.81"/>
    <d v="2025-08-22T00:00:00"/>
    <s v="Liaison inter-établissement"/>
    <m/>
    <e v="#N/A"/>
    <e v="#N/A"/>
    <n v="83255"/>
    <m/>
    <s v="BRUNEAU"/>
    <s v="Q3"/>
    <e v="#REF!"/>
    <e v="#REF!"/>
    <e v="#REF!"/>
  </r>
  <r>
    <s v="401000"/>
    <x v="6"/>
    <s v="FOURNISSEURS"/>
    <s v="OD"/>
    <n v="-108.45"/>
    <d v="2025-03-10T00:00:00"/>
    <s v="Liaison inter-établissement"/>
    <m/>
    <e v="#N/A"/>
    <e v="#N/A"/>
    <n v="74969"/>
    <m/>
    <s v="ENGIE"/>
    <s v="Q1"/>
    <e v="#REF!"/>
    <e v="#REF!"/>
    <e v="#REF!"/>
  </r>
  <r>
    <s v="401000"/>
    <x v="6"/>
    <s v="FOURNISSEURS"/>
    <s v="OD"/>
    <n v="-108"/>
    <d v="2025-03-28T00:00:00"/>
    <s v="Liaison inter-établissement"/>
    <m/>
    <e v="#N/A"/>
    <e v="#N/A"/>
    <n v="68021"/>
    <m/>
    <s v="BLD PHARMATECH"/>
    <s v="Q1"/>
    <e v="#REF!"/>
    <e v="#REF!"/>
    <e v="#REF!"/>
  </r>
  <r>
    <s v="401000"/>
    <x v="6"/>
    <s v="FOURNISSEURS"/>
    <s v="OD"/>
    <n v="-107.99"/>
    <d v="2025-02-04T00:00:00"/>
    <s v="Liaison inter-établissement"/>
    <m/>
    <e v="#N/A"/>
    <e v="#N/A"/>
    <n v="71398"/>
    <m/>
    <s v="DATACAMPUS"/>
    <s v="Q1"/>
    <e v="#REF!"/>
    <e v="#REF!"/>
    <e v="#REF!"/>
  </r>
  <r>
    <s v="401000"/>
    <x v="6"/>
    <s v="FOURNISSEURS"/>
    <s v="OD"/>
    <n v="-107.99"/>
    <d v="2025-02-19T00:00:00"/>
    <s v="Liaison inter-établissement"/>
    <m/>
    <e v="#N/A"/>
    <e v="#N/A"/>
    <n v="71402"/>
    <m/>
    <s v="DATACAMPUS"/>
    <s v="Q1"/>
    <e v="#REF!"/>
    <e v="#REF!"/>
    <e v="#REF!"/>
  </r>
  <r>
    <s v="401000"/>
    <x v="6"/>
    <s v="FOURNISSEURS"/>
    <s v="OD"/>
    <n v="-107.99"/>
    <d v="2025-03-21T00:00:00"/>
    <s v="Liaison inter-établissement"/>
    <m/>
    <e v="#N/A"/>
    <e v="#N/A"/>
    <n v="71406"/>
    <m/>
    <s v="DATACAMPUS"/>
    <s v="Q1"/>
    <e v="#REF!"/>
    <e v="#REF!"/>
    <e v="#REF!"/>
  </r>
  <r>
    <s v="401000"/>
    <x v="6"/>
    <s v="FOURNISSEURS"/>
    <s v="OD"/>
    <n v="-107.99"/>
    <d v="2025-04-24T00:00:00"/>
    <s v="Liaison inter-établissement"/>
    <m/>
    <e v="#N/A"/>
    <e v="#N/A"/>
    <n v="70099"/>
    <m/>
    <s v="DATACAMPUS"/>
    <s v="Q2"/>
    <e v="#REF!"/>
    <e v="#REF!"/>
    <e v="#REF!"/>
  </r>
  <r>
    <s v="401000"/>
    <x v="6"/>
    <s v="FOURNISSEURS"/>
    <s v="OD"/>
    <n v="-107.99"/>
    <d v="2025-05-21T00:00:00"/>
    <s v="Liaison inter-établissement"/>
    <m/>
    <e v="#N/A"/>
    <e v="#N/A"/>
    <n v="74077"/>
    <m/>
    <s v="DATACAMPUS"/>
    <s v="Q2"/>
    <e v="#REF!"/>
    <e v="#REF!"/>
    <e v="#REF!"/>
  </r>
  <r>
    <s v="401000"/>
    <x v="6"/>
    <s v="FOURNISSEURS"/>
    <s v="OD"/>
    <n v="-107.99"/>
    <d v="2025-06-19T00:00:00"/>
    <s v="Liaison inter-établissement"/>
    <m/>
    <e v="#N/A"/>
    <e v="#N/A"/>
    <n v="76224"/>
    <m/>
    <s v="DATACAMPUS"/>
    <s v="Q2"/>
    <e v="#REF!"/>
    <e v="#REF!"/>
    <e v="#REF!"/>
  </r>
  <r>
    <s v="401000"/>
    <x v="6"/>
    <s v="FOURNISSEURS"/>
    <s v="OD"/>
    <n v="-107.99"/>
    <d v="2025-07-09T00:00:00"/>
    <s v="Liaison inter-établissement"/>
    <m/>
    <e v="#N/A"/>
    <e v="#N/A"/>
    <n v="78875"/>
    <m/>
    <s v="DATACAMPUS"/>
    <s v="Q3"/>
    <e v="#REF!"/>
    <e v="#REF!"/>
    <e v="#REF!"/>
  </r>
  <r>
    <s v="401000"/>
    <x v="6"/>
    <s v="FOURNISSEURS"/>
    <s v="OD"/>
    <n v="-107.99"/>
    <d v="2025-08-25T00:00:00"/>
    <s v="Liaison inter-établissement"/>
    <m/>
    <e v="#N/A"/>
    <e v="#N/A"/>
    <n v="82821"/>
    <m/>
    <s v="DATACAMPUS"/>
    <s v="Q3"/>
    <e v="#REF!"/>
    <e v="#REF!"/>
    <e v="#REF!"/>
  </r>
  <r>
    <s v="401000"/>
    <x v="6"/>
    <s v="FOURNISSEURS"/>
    <s v="OD"/>
    <n v="-107.99"/>
    <d v="2025-09-25T00:00:00"/>
    <s v="Liaison inter-établissement"/>
    <m/>
    <e v="#N/A"/>
    <e v="#N/A"/>
    <n v="82825"/>
    <m/>
    <s v="DATACAMPUS"/>
    <s v="Q3"/>
    <e v="#REF!"/>
    <e v="#REF!"/>
    <e v="#REF!"/>
  </r>
  <r>
    <s v="401000"/>
    <x v="6"/>
    <s v="FOURNISSEURS"/>
    <s v="OD"/>
    <n v="-107.99"/>
    <d v="2025-10-17T00:00:00"/>
    <s v="Liaison inter-établissement"/>
    <m/>
    <e v="#N/A"/>
    <e v="#N/A"/>
    <n v="89337"/>
    <m/>
    <s v="DATACAMPUS"/>
    <s v="Q4"/>
    <e v="#REF!"/>
    <e v="#REF!"/>
    <e v="#REF!"/>
  </r>
  <r>
    <s v="401000"/>
    <x v="6"/>
    <s v="FOURNISSEURS"/>
    <s v="OD"/>
    <n v="-107.99"/>
    <d v="2025-11-19T00:00:00"/>
    <s v="Liaison inter-établissement"/>
    <m/>
    <e v="#N/A"/>
    <e v="#N/A"/>
    <n v="90566"/>
    <m/>
    <s v="DATACAMPUS"/>
    <s v="Q4"/>
    <e v="#REF!"/>
    <e v="#REF!"/>
    <e v="#REF!"/>
  </r>
  <r>
    <s v="401000"/>
    <x v="6"/>
    <s v="FOURNISSEURS"/>
    <s v="OD"/>
    <n v="-107.99"/>
    <d v="2025-12-18T00:00:00"/>
    <s v="Liaison inter-établissement"/>
    <m/>
    <e v="#N/A"/>
    <e v="#N/A"/>
    <n v="93717"/>
    <m/>
    <s v="DATACAMPUS"/>
    <s v="Q4"/>
    <e v="#REF!"/>
    <e v="#REF!"/>
    <e v="#REF!"/>
  </r>
  <r>
    <s v="401000"/>
    <x v="6"/>
    <s v="FOURNISSEURS"/>
    <s v="OD"/>
    <n v="-107.64"/>
    <d v="2025-04-28T00:00:00"/>
    <s v="Liaison inter-établissement"/>
    <m/>
    <e v="#N/A"/>
    <e v="#N/A"/>
    <n v="74866"/>
    <m/>
    <s v="ARCANE INDUSTRIE"/>
    <s v="Q2"/>
    <e v="#REF!"/>
    <e v="#REF!"/>
    <e v="#REF!"/>
  </r>
  <r>
    <s v="401000"/>
    <x v="6"/>
    <s v="FOURNISSEURS"/>
    <s v="OD"/>
    <n v="-107.39"/>
    <d v="2025-11-07T00:00:00"/>
    <s v="Liaison établissement 401000 VWR TO"/>
    <m/>
    <e v="#N/A"/>
    <e v="#N/A"/>
    <n v="89430"/>
    <s v="4067821368"/>
    <s v="VWR AVANTOR"/>
    <s v="Q4"/>
    <e v="#REF!"/>
    <e v="#REF!"/>
    <e v="#REF!"/>
  </r>
  <r>
    <s v="401000"/>
    <x v="6"/>
    <s v="FOURNISSEURS"/>
    <s v="OD"/>
    <n v="-107.17"/>
    <d v="2025-05-16T00:00:00"/>
    <s v="Liaison inter-établissement"/>
    <m/>
    <e v="#N/A"/>
    <e v="#N/A"/>
    <n v="74946"/>
    <m/>
    <s v="DHL"/>
    <s v="Q2"/>
    <e v="#REF!"/>
    <e v="#REF!"/>
    <e v="#REF!"/>
  </r>
  <r>
    <s v="401000"/>
    <x v="6"/>
    <s v="FOURNISSEURS"/>
    <s v="OD"/>
    <n v="-106.82"/>
    <d v="2025-12-12T00:00:00"/>
    <s v="Liaison inter-établissement"/>
    <m/>
    <e v="#N/A"/>
    <e v="#N/A"/>
    <n v="94067"/>
    <m/>
    <s v="BRUNEAU"/>
    <s v="Q4"/>
    <e v="#REF!"/>
    <e v="#REF!"/>
    <e v="#REF!"/>
  </r>
  <r>
    <s v="401000"/>
    <x v="6"/>
    <s v="FOURNISSEURS"/>
    <s v="OD"/>
    <n v="-106.5"/>
    <d v="2025-03-19T00:00:00"/>
    <s v="Liaison inter-établissement"/>
    <m/>
    <e v="#N/A"/>
    <e v="#N/A"/>
    <n v="70067"/>
    <m/>
    <s v="RS COMPONENT"/>
    <s v="Q1"/>
    <e v="#REF!"/>
    <e v="#REF!"/>
    <e v="#REF!"/>
  </r>
  <r>
    <s v="401000"/>
    <x v="6"/>
    <s v="FOURNISSEURS"/>
    <s v="OD"/>
    <n v="-106.39"/>
    <d v="2025-02-07T00:00:00"/>
    <s v="Liaison inter-établissement"/>
    <m/>
    <e v="#N/A"/>
    <e v="#N/A"/>
    <n v="64258"/>
    <m/>
    <s v="BOHLENDER"/>
    <s v="Q1"/>
    <e v="#REF!"/>
    <e v="#REF!"/>
    <e v="#REF!"/>
  </r>
  <r>
    <s v="401000"/>
    <x v="6"/>
    <s v="FOURNISSEURS"/>
    <s v="OD"/>
    <n v="-105.5"/>
    <d v="2025-07-31T00:00:00"/>
    <s v="Liaison établissement 401000 VWR TO"/>
    <m/>
    <e v="#N/A"/>
    <e v="#N/A"/>
    <n v="79328"/>
    <s v="COMMANDE SOLVANT LABO"/>
    <s v="VWR AVANTOR"/>
    <s v="Q3"/>
    <e v="#REF!"/>
    <e v="#REF!"/>
    <e v="#REF!"/>
  </r>
  <r>
    <s v="401000"/>
    <x v="6"/>
    <s v="FOURNISSEURS"/>
    <s v="OD"/>
    <n v="-104.72"/>
    <d v="2025-10-31T00:00:00"/>
    <s v="Liaison établissement 401000 VWR TO"/>
    <m/>
    <e v="#N/A"/>
    <e v="#N/A"/>
    <n v="87572"/>
    <s v="SOLVANT LABO"/>
    <s v="VWR AVANTOR"/>
    <s v="Q4"/>
    <e v="#REF!"/>
    <e v="#REF!"/>
    <e v="#REF!"/>
  </r>
  <r>
    <s v="401000"/>
    <x v="6"/>
    <s v="FOURNISSEURS"/>
    <s v="OD"/>
    <n v="-104"/>
    <d v="2025-10-31T00:00:00"/>
    <s v="Liaison établissement 401000 BLD PHARMATECH TO"/>
    <m/>
    <e v="#N/A"/>
    <e v="#N/A"/>
    <n v="87531"/>
    <s v="INGM232808"/>
    <s v="BLD PHARMATECH"/>
    <s v="Q4"/>
    <e v="#REF!"/>
    <e v="#REF!"/>
    <e v="#REF!"/>
  </r>
  <r>
    <s v="401000"/>
    <x v="6"/>
    <s v="FOURNISSEURS"/>
    <s v="OD"/>
    <n v="-102.98"/>
    <d v="2025-06-25T00:00:00"/>
    <s v="Liaison inter-établissement"/>
    <m/>
    <e v="#N/A"/>
    <e v="#N/A"/>
    <n v="82223"/>
    <m/>
    <s v="BRUNEAU"/>
    <s v="Q2"/>
    <e v="#REF!"/>
    <e v="#REF!"/>
    <e v="#REF!"/>
  </r>
  <r>
    <s v="401000"/>
    <x v="6"/>
    <s v="FOURNISSEURS"/>
    <s v="OD"/>
    <n v="-102"/>
    <d v="2025-06-26T00:00:00"/>
    <s v="Liaison inter-établissement"/>
    <m/>
    <e v="#N/A"/>
    <e v="#N/A"/>
    <n v="78127"/>
    <m/>
    <s v="SNCF"/>
    <s v="Q2"/>
    <e v="#REF!"/>
    <e v="#REF!"/>
    <e v="#REF!"/>
  </r>
  <r>
    <s v="401000"/>
    <x v="6"/>
    <s v="FOURNISSEURS"/>
    <s v="OD"/>
    <n v="-102"/>
    <d v="2025-07-31T00:00:00"/>
    <s v="Liaison établissement 401000 VWR TO"/>
    <m/>
    <e v="#N/A"/>
    <e v="#N/A"/>
    <n v="79333"/>
    <s v="COMMANDE PRODUIT POUR LABO"/>
    <s v="VWR AVANTOR"/>
    <s v="Q3"/>
    <e v="#REF!"/>
    <e v="#REF!"/>
    <e v="#REF!"/>
  </r>
  <r>
    <s v="401000"/>
    <x v="6"/>
    <s v="FOURNISSEURS"/>
    <s v="OD"/>
    <n v="-101.8"/>
    <d v="2025-12-02T00:00:00"/>
    <s v="Liaison inter-établissement"/>
    <m/>
    <e v="#N/A"/>
    <e v="#N/A"/>
    <n v="94119"/>
    <m/>
    <s v="SNCF"/>
    <s v="Q4"/>
    <e v="#REF!"/>
    <e v="#REF!"/>
    <e v="#REF!"/>
  </r>
  <r>
    <s v="401000"/>
    <x v="6"/>
    <s v="FOURNISSEURS"/>
    <s v="OD"/>
    <n v="-101.76"/>
    <d v="2025-05-07T00:00:00"/>
    <s v="Liaison établissement 401000 VWR TO"/>
    <m/>
    <e v="#N/A"/>
    <e v="#N/A"/>
    <n v="71843"/>
    <s v="COMMANDE PRODUIT LABO"/>
    <s v="VWR AVANTOR"/>
    <s v="Q2"/>
    <e v="#REF!"/>
    <e v="#REF!"/>
    <e v="#REF!"/>
  </r>
  <r>
    <s v="401000"/>
    <x v="6"/>
    <s v="FOURNISSEURS"/>
    <s v="OD"/>
    <n v="-101.16"/>
    <d v="2025-01-30T00:00:00"/>
    <s v="Liaison inter-établissement"/>
    <m/>
    <e v="#N/A"/>
    <e v="#N/A"/>
    <n v="63588"/>
    <m/>
    <s v="BOHLENDER"/>
    <s v="Q1"/>
    <e v="#REF!"/>
    <e v="#REF!"/>
    <e v="#REF!"/>
  </r>
  <r>
    <s v="401000"/>
    <x v="6"/>
    <s v="FOURNISSEURS"/>
    <s v="OD"/>
    <n v="-100.16"/>
    <d v="2025-01-07T00:00:00"/>
    <s v="Liaison inter-établissement"/>
    <m/>
    <e v="#N/A"/>
    <e v="#N/A"/>
    <n v="63504"/>
    <m/>
    <s v="AIRBNB"/>
    <s v="Q1"/>
    <e v="#REF!"/>
    <e v="#REF!"/>
    <e v="#REF!"/>
  </r>
  <r>
    <s v="401000"/>
    <x v="6"/>
    <s v="FOURNISSEURS"/>
    <s v="OD"/>
    <n v="-99.72"/>
    <d v="2025-09-11T00:00:00"/>
    <s v="Liaison inter-établissement"/>
    <m/>
    <e v="#N/A"/>
    <e v="#N/A"/>
    <n v="83391"/>
    <m/>
    <s v="RAPTOR FRANCE"/>
    <s v="Q3"/>
    <e v="#REF!"/>
    <e v="#REF!"/>
    <e v="#REF!"/>
  </r>
  <r>
    <s v="401000"/>
    <x v="6"/>
    <s v="FOURNISSEURS"/>
    <s v="OD"/>
    <n v="-97.98"/>
    <d v="2025-04-08T00:00:00"/>
    <s v="Liaison inter-établissement"/>
    <m/>
    <e v="#N/A"/>
    <e v="#N/A"/>
    <n v="68085"/>
    <m/>
    <s v="CHATEAUDEAU"/>
    <s v="Q2"/>
    <e v="#REF!"/>
    <e v="#REF!"/>
    <e v="#REF!"/>
  </r>
  <r>
    <s v="401000"/>
    <x v="6"/>
    <s v="FOURNISSEURS"/>
    <s v="OD"/>
    <n v="-96.89"/>
    <d v="2025-03-18T00:00:00"/>
    <s v="Liaison inter-établissement"/>
    <m/>
    <e v="#N/A"/>
    <e v="#N/A"/>
    <n v="64486"/>
    <m/>
    <s v="VWR AVANTOR"/>
    <s v="Q1"/>
    <e v="#REF!"/>
    <e v="#REF!"/>
    <e v="#REF!"/>
  </r>
  <r>
    <s v="401000"/>
    <x v="6"/>
    <s v="FOURNISSEURS"/>
    <s v="OD"/>
    <n v="-96.84"/>
    <d v="2025-05-02T00:00:00"/>
    <s v="Ecart de change"/>
    <m/>
    <e v="#N/A"/>
    <e v="#N/A"/>
    <n v="70661"/>
    <m/>
    <s v="Eurofins BLC Leather Technology Centre Limited"/>
    <s v="Q2"/>
    <e v="#REF!"/>
    <e v="#REF!"/>
    <e v="#REF!"/>
  </r>
  <r>
    <s v="401000"/>
    <x v="6"/>
    <s v="FOURNISSEURS"/>
    <s v="OD"/>
    <n v="-96"/>
    <d v="2025-11-01T00:00:00"/>
    <s v="Liaison inter-établissement"/>
    <m/>
    <s v="Non"/>
    <s v="Oui"/>
    <n v="91603"/>
    <m/>
    <s v="AXELERA"/>
    <s v="Q4"/>
    <e v="#REF!"/>
    <e v="#REF!"/>
    <e v="#REF!"/>
  </r>
  <r>
    <s v="401000"/>
    <x v="6"/>
    <s v="FOURNISSEURS"/>
    <s v="OD"/>
    <n v="-95.14"/>
    <d v="2025-02-28T00:00:00"/>
    <s v="Liaison inter-établissement"/>
    <m/>
    <e v="#N/A"/>
    <e v="#N/A"/>
    <n v="72726"/>
    <m/>
    <s v="Banque Populaire Rive de Paris"/>
    <s v="Q1"/>
    <e v="#REF!"/>
    <e v="#REF!"/>
    <e v="#REF!"/>
  </r>
  <r>
    <s v="401000"/>
    <x v="6"/>
    <s v="FOURNISSEURS"/>
    <s v="OD"/>
    <n v="-95.14"/>
    <d v="2025-03-31T00:00:00"/>
    <s v="Liaison inter-établissement"/>
    <m/>
    <e v="#N/A"/>
    <e v="#N/A"/>
    <n v="72746"/>
    <m/>
    <s v="Banque Populaire Rive de Paris"/>
    <s v="Q1"/>
    <e v="#REF!"/>
    <e v="#REF!"/>
    <e v="#REF!"/>
  </r>
  <r>
    <s v="401000"/>
    <x v="6"/>
    <s v="FOURNISSEURS"/>
    <s v="OD"/>
    <n v="-95"/>
    <d v="2025-08-27T00:00:00"/>
    <s v="Liaison inter-établissement"/>
    <m/>
    <e v="#N/A"/>
    <e v="#N/A"/>
    <n v="83287"/>
    <m/>
    <s v="SNCF"/>
    <s v="Q3"/>
    <e v="#REF!"/>
    <e v="#REF!"/>
    <e v="#REF!"/>
  </r>
  <r>
    <s v="401000"/>
    <x v="6"/>
    <s v="FOURNISSEURS"/>
    <s v="OD"/>
    <n v="-95"/>
    <d v="2025-09-27T00:00:00"/>
    <s v="Liaison inter-établissement"/>
    <m/>
    <e v="#N/A"/>
    <e v="#N/A"/>
    <n v="83171"/>
    <m/>
    <s v="SNCF"/>
    <s v="Q3"/>
    <e v="#REF!"/>
    <e v="#REF!"/>
    <e v="#REF!"/>
  </r>
  <r>
    <s v="401000"/>
    <x v="6"/>
    <s v="FOURNISSEURS"/>
    <s v="OD"/>
    <n v="-95"/>
    <d v="2025-10-31T00:00:00"/>
    <s v="Liaison inter-établissement"/>
    <m/>
    <e v="#N/A"/>
    <e v="#N/A"/>
    <n v="89788"/>
    <m/>
    <s v="SNCF"/>
    <s v="Q4"/>
    <e v="#REF!"/>
    <e v="#REF!"/>
    <e v="#REF!"/>
  </r>
  <r>
    <s v="401000"/>
    <x v="6"/>
    <s v="FOURNISSEURS"/>
    <s v="OD"/>
    <n v="-95"/>
    <d v="2025-11-18T00:00:00"/>
    <s v="Liaison inter-établissement"/>
    <m/>
    <e v="#N/A"/>
    <e v="#N/A"/>
    <n v="91704"/>
    <m/>
    <s v="SNCF"/>
    <s v="Q4"/>
    <e v="#REF!"/>
    <e v="#REF!"/>
    <e v="#REF!"/>
  </r>
  <r>
    <s v="401000"/>
    <x v="6"/>
    <s v="FOURNISSEURS"/>
    <s v="OD"/>
    <n v="-94.78"/>
    <d v="2025-10-28T00:00:00"/>
    <s v="Liaison inter-établissement"/>
    <m/>
    <e v="#N/A"/>
    <e v="#N/A"/>
    <n v="91628"/>
    <m/>
    <s v="CHATEAUDEAU"/>
    <s v="Q4"/>
    <e v="#REF!"/>
    <e v="#REF!"/>
    <e v="#REF!"/>
  </r>
  <r>
    <s v="401000"/>
    <x v="6"/>
    <s v="FOURNISSEURS"/>
    <s v="OD"/>
    <n v="-94.17"/>
    <d v="2025-01-14T00:00:00"/>
    <s v="Liaison inter-établissement"/>
    <m/>
    <e v="#N/A"/>
    <e v="#N/A"/>
    <n v="66770"/>
    <m/>
    <s v="AIRBNB"/>
    <s v="Q1"/>
    <e v="#REF!"/>
    <e v="#REF!"/>
    <e v="#REF!"/>
  </r>
  <r>
    <s v="401000"/>
    <x v="6"/>
    <s v="FOURNISSEURS"/>
    <s v="OD"/>
    <n v="-94.12"/>
    <d v="2025-04-15T00:00:00"/>
    <s v="Liaison inter-établissement"/>
    <m/>
    <e v="#N/A"/>
    <e v="#N/A"/>
    <n v="74854"/>
    <m/>
    <s v="AIRBNB"/>
    <s v="Q2"/>
    <e v="#REF!"/>
    <e v="#REF!"/>
    <e v="#REF!"/>
  </r>
  <r>
    <s v="401000"/>
    <x v="6"/>
    <s v="FOURNISSEURS"/>
    <s v="OD"/>
    <n v="-93.9"/>
    <d v="2025-05-07T00:00:00"/>
    <s v="Liaison établissement 401000 VWR TO"/>
    <m/>
    <e v="#N/A"/>
    <e v="#N/A"/>
    <n v="71868"/>
    <s v="COMMANDE PRODUIT LABO"/>
    <s v="VWR AVANTOR"/>
    <s v="Q2"/>
    <e v="#REF!"/>
    <e v="#REF!"/>
    <e v="#REF!"/>
  </r>
  <r>
    <s v="401000"/>
    <x v="6"/>
    <s v="FOURNISSEURS"/>
    <s v="OD"/>
    <n v="-93.84"/>
    <d v="2025-08-08T00:00:00"/>
    <s v="Liaison établissement 401000 ROTH TO"/>
    <m/>
    <e v="#N/A"/>
    <e v="#N/A"/>
    <n v="80788"/>
    <s v="GLYCEROL _x0009_ ETHYLENE GLYCOL_x0009_ 1 3-PROPANEDIOL_x0009_ CALCIUM CHLORIDE ANHYDROUS_x0009_ SODIUM SULFITE"/>
    <s v="ROTH SOCHIEL"/>
    <s v="Q3"/>
    <e v="#REF!"/>
    <e v="#REF!"/>
    <e v="#REF!"/>
  </r>
  <r>
    <s v="401000"/>
    <x v="6"/>
    <s v="FOURNISSEURS"/>
    <s v="OD"/>
    <n v="-93.23"/>
    <d v="2025-12-31T00:00:00"/>
    <s v="Liaison inter-établissement"/>
    <m/>
    <e v="#N/A"/>
    <e v="#N/A"/>
    <n v="93900"/>
    <m/>
    <s v="DHL"/>
    <s v="Q4"/>
    <e v="#REF!"/>
    <e v="#REF!"/>
    <e v="#REF!"/>
  </r>
  <r>
    <s v="401000"/>
    <x v="6"/>
    <s v="FOURNISSEURS"/>
    <s v="OD"/>
    <n v="-92.67"/>
    <d v="2025-10-22T00:00:00"/>
    <s v="Liaison inter-établissement"/>
    <m/>
    <e v="#N/A"/>
    <e v="#N/A"/>
    <n v="89702"/>
    <m/>
    <s v="AIRBNB"/>
    <s v="Q4"/>
    <e v="#REF!"/>
    <e v="#REF!"/>
    <e v="#REF!"/>
  </r>
  <r>
    <s v="401000"/>
    <x v="6"/>
    <s v="FOURNISSEURS"/>
    <s v="OD"/>
    <n v="-92.67"/>
    <d v="2025-11-15T00:00:00"/>
    <s v="Liaison inter-établissement"/>
    <m/>
    <e v="#N/A"/>
    <e v="#N/A"/>
    <n v="97419"/>
    <m/>
    <s v="AIRBNB"/>
    <s v="Q4"/>
    <e v="#REF!"/>
    <e v="#REF!"/>
    <e v="#REF!"/>
  </r>
  <r>
    <s v="401000"/>
    <x v="6"/>
    <s v="FOURNISSEURS"/>
    <s v="OD"/>
    <n v="-92.16"/>
    <d v="2025-08-21T00:00:00"/>
    <s v="Liaison établissement 401000 VWR TO"/>
    <m/>
    <e v="#N/A"/>
    <e v="#N/A"/>
    <n v="81534"/>
    <s v="COMMANDE CONSOMMABLES LABO"/>
    <s v="VWR AVANTOR"/>
    <s v="Q3"/>
    <e v="#REF!"/>
    <e v="#REF!"/>
    <e v="#REF!"/>
  </r>
  <r>
    <s v="401000"/>
    <x v="6"/>
    <s v="FOURNISSEURS"/>
    <s v="OD"/>
    <n v="-91.5"/>
    <d v="2025-07-25T00:00:00"/>
    <s v="Liaison inter-établissement"/>
    <m/>
    <e v="#N/A"/>
    <e v="#N/A"/>
    <n v="81287"/>
    <m/>
    <s v="DHL"/>
    <s v="Q3"/>
    <e v="#REF!"/>
    <e v="#REF!"/>
    <e v="#REF!"/>
  </r>
  <r>
    <s v="401000"/>
    <x v="6"/>
    <s v="FOURNISSEURS"/>
    <s v="OD"/>
    <n v="-91.08"/>
    <d v="2025-05-31T00:00:00"/>
    <s v="Liaison inter-établissement"/>
    <m/>
    <e v="#N/A"/>
    <e v="#N/A"/>
    <n v="78238"/>
    <m/>
    <s v="LA FOURCHE"/>
    <s v="Q2"/>
    <e v="#REF!"/>
    <e v="#REF!"/>
    <e v="#REF!"/>
  </r>
  <r>
    <s v="401000"/>
    <x v="6"/>
    <s v="FOURNISSEURS"/>
    <s v="OD"/>
    <n v="-90.42"/>
    <d v="2025-03-20T00:00:00"/>
    <s v="Liaison inter-établissement"/>
    <m/>
    <e v="#N/A"/>
    <e v="#N/A"/>
    <n v="70071"/>
    <m/>
    <s v="RS COMPONENT"/>
    <s v="Q1"/>
    <e v="#REF!"/>
    <e v="#REF!"/>
    <e v="#REF!"/>
  </r>
  <r>
    <s v="401000"/>
    <x v="6"/>
    <s v="FOURNISSEURS"/>
    <s v="OD"/>
    <n v="-90.2"/>
    <d v="2025-04-12T00:00:00"/>
    <s v="Liaison inter-établissement"/>
    <m/>
    <e v="#N/A"/>
    <e v="#N/A"/>
    <n v="74846"/>
    <m/>
    <s v="LEROY MERLIN"/>
    <s v="Q2"/>
    <e v="#REF!"/>
    <e v="#REF!"/>
    <e v="#REF!"/>
  </r>
  <r>
    <s v="401000"/>
    <x v="6"/>
    <s v="FOURNISSEURS"/>
    <s v="OD"/>
    <n v="-90.01"/>
    <d v="2025-11-24T00:00:00"/>
    <s v="Reliquat sur facture C30084 (débours GTC)"/>
    <s v="Non"/>
    <s v="Non"/>
    <e v="#N/A"/>
    <n v="90573"/>
    <m/>
    <s v="ALTAIR AVOCATS"/>
    <s v="Q4"/>
    <e v="#REF!"/>
    <e v="#REF!"/>
    <e v="#REF!"/>
  </r>
  <r>
    <s v="401000"/>
    <x v="6"/>
    <s v="FOURNISSEURS"/>
    <s v="OD"/>
    <n v="-90"/>
    <d v="2025-03-14T00:00:00"/>
    <s v="Liaison inter-établissement"/>
    <m/>
    <e v="#N/A"/>
    <e v="#N/A"/>
    <n v="63910"/>
    <m/>
    <s v="TCI"/>
    <s v="Q1"/>
    <e v="#REF!"/>
    <e v="#REF!"/>
    <e v="#REF!"/>
  </r>
  <r>
    <s v="401000"/>
    <x v="6"/>
    <s v="FOURNISSEURS"/>
    <s v="OD"/>
    <n v="-90"/>
    <d v="2025-08-22T00:00:00"/>
    <s v="Liaison établissement 401000 DENIOS TO"/>
    <m/>
    <e v="#N/A"/>
    <e v="#N/A"/>
    <n v="81588"/>
    <s v="COMMANDE ABSORBANT POUR LABO"/>
    <s v="DENIOS"/>
    <s v="Q3"/>
    <e v="#REF!"/>
    <e v="#REF!"/>
    <e v="#REF!"/>
  </r>
  <r>
    <s v="401000"/>
    <x v="6"/>
    <s v="FOURNISSEURS"/>
    <s v="OD"/>
    <n v="-89.99"/>
    <d v="2025-03-11T00:00:00"/>
    <s v="Liaison inter-établissement"/>
    <m/>
    <e v="#N/A"/>
    <e v="#N/A"/>
    <n v="68037"/>
    <m/>
    <s v="DB"/>
    <s v="Q1"/>
    <e v="#REF!"/>
    <e v="#REF!"/>
    <e v="#REF!"/>
  </r>
  <r>
    <s v="401000"/>
    <x v="6"/>
    <s v="FOURNISSEURS"/>
    <s v="OD"/>
    <n v="-89.65"/>
    <d v="2025-02-21T00:00:00"/>
    <s v="Liaison inter-établissement"/>
    <m/>
    <e v="#N/A"/>
    <e v="#N/A"/>
    <n v="74918"/>
    <m/>
    <s v="DHL"/>
    <s v="Q1"/>
    <e v="#REF!"/>
    <e v="#REF!"/>
    <e v="#REF!"/>
  </r>
  <r>
    <s v="401000"/>
    <x v="6"/>
    <s v="FOURNISSEURS"/>
    <s v="OD"/>
    <n v="-89.17"/>
    <d v="2025-05-07T00:00:00"/>
    <s v="Liaison inter-établissement"/>
    <m/>
    <e v="#N/A"/>
    <e v="#N/A"/>
    <n v="75132"/>
    <m/>
    <s v="AIRBNB"/>
    <s v="Q2"/>
    <e v="#REF!"/>
    <e v="#REF!"/>
    <e v="#REF!"/>
  </r>
  <r>
    <s v="401000"/>
    <x v="6"/>
    <s v="FOURNISSEURS"/>
    <s v="OD"/>
    <n v="-88.8"/>
    <d v="2025-03-18T00:00:00"/>
    <s v="Liaison inter-établissement"/>
    <m/>
    <e v="#N/A"/>
    <e v="#N/A"/>
    <n v="64414"/>
    <m/>
    <s v="CLOUP"/>
    <s v="Q1"/>
    <e v="#REF!"/>
    <e v="#REF!"/>
    <e v="#REF!"/>
  </r>
  <r>
    <s v="401000"/>
    <x v="6"/>
    <s v="FOURNISSEURS"/>
    <s v="OD"/>
    <n v="-88.12"/>
    <d v="2025-08-23T00:00:00"/>
    <s v="Liaison inter-établissement"/>
    <m/>
    <e v="#N/A"/>
    <e v="#N/A"/>
    <n v="83343"/>
    <m/>
    <s v="CHATEAUDEAU"/>
    <s v="Q3"/>
    <e v="#REF!"/>
    <e v="#REF!"/>
    <e v="#REF!"/>
  </r>
  <r>
    <s v="401000"/>
    <x v="6"/>
    <s v="FOURNISSEURS"/>
    <s v="OD"/>
    <n v="-88.12"/>
    <d v="2025-10-31T00:00:00"/>
    <s v="Liaison établissement 401000 CHATEAU TO"/>
    <m/>
    <e v="#N/A"/>
    <e v="#N/A"/>
    <n v="87537"/>
    <s v="LIVRAISON EAU SUR SITE ROUSSILLON"/>
    <s v="CHATEAUDEAU"/>
    <s v="Q4"/>
    <e v="#REF!"/>
    <e v="#REF!"/>
    <e v="#REF!"/>
  </r>
  <r>
    <s v="401000"/>
    <x v="6"/>
    <s v="FOURNISSEURS"/>
    <s v="OD"/>
    <n v="-88"/>
    <d v="2025-01-24T00:00:00"/>
    <s v="Liaison inter-établissement"/>
    <m/>
    <e v="#N/A"/>
    <e v="#N/A"/>
    <n v="63902"/>
    <m/>
    <s v="SNCF"/>
    <s v="Q1"/>
    <e v="#REF!"/>
    <e v="#REF!"/>
    <e v="#REF!"/>
  </r>
  <r>
    <s v="401000"/>
    <x v="6"/>
    <s v="FOURNISSEURS"/>
    <s v="OD"/>
    <n v="-88"/>
    <d v="2025-02-06T00:00:00"/>
    <s v="Liaison inter-établissement"/>
    <m/>
    <e v="#N/A"/>
    <e v="#N/A"/>
    <n v="74878"/>
    <m/>
    <s v="HOPER"/>
    <s v="Q1"/>
    <e v="#REF!"/>
    <e v="#REF!"/>
    <e v="#REF!"/>
  </r>
  <r>
    <s v="401000"/>
    <x v="6"/>
    <s v="FOURNISSEURS"/>
    <s v="OD"/>
    <n v="-88"/>
    <d v="2025-02-14T00:00:00"/>
    <s v="Liaison inter-établissement"/>
    <m/>
    <e v="#N/A"/>
    <e v="#N/A"/>
    <n v="64366"/>
    <m/>
    <s v="SNCF"/>
    <s v="Q1"/>
    <e v="#REF!"/>
    <e v="#REF!"/>
    <e v="#REF!"/>
  </r>
  <r>
    <s v="401000"/>
    <x v="6"/>
    <s v="FOURNISSEURS"/>
    <s v="OD"/>
    <n v="-88"/>
    <d v="2025-02-14T00:00:00"/>
    <s v="Liaison inter-établissement"/>
    <m/>
    <e v="#N/A"/>
    <e v="#N/A"/>
    <n v="64370"/>
    <m/>
    <s v="SNCF"/>
    <s v="Q1"/>
    <e v="#REF!"/>
    <e v="#REF!"/>
    <e v="#REF!"/>
  </r>
  <r>
    <s v="401000"/>
    <x v="6"/>
    <s v="FOURNISSEURS"/>
    <s v="OD"/>
    <n v="-88"/>
    <d v="2025-03-06T00:00:00"/>
    <s v="Liaison inter-établissement"/>
    <m/>
    <e v="#N/A"/>
    <e v="#N/A"/>
    <n v="71415"/>
    <m/>
    <s v="HOPER"/>
    <s v="Q1"/>
    <e v="#REF!"/>
    <e v="#REF!"/>
    <e v="#REF!"/>
  </r>
  <r>
    <s v="401000"/>
    <x v="6"/>
    <s v="FOURNISSEURS"/>
    <s v="OD"/>
    <n v="-88"/>
    <d v="2025-04-04T00:00:00"/>
    <s v="Liaison inter-établissement"/>
    <m/>
    <e v="#N/A"/>
    <e v="#N/A"/>
    <n v="74774"/>
    <m/>
    <s v="SNCF"/>
    <s v="Q2"/>
    <e v="#REF!"/>
    <e v="#REF!"/>
    <e v="#REF!"/>
  </r>
  <r>
    <s v="401000"/>
    <x v="6"/>
    <s v="FOURNISSEURS"/>
    <s v="OD"/>
    <n v="-88"/>
    <d v="2025-04-09T00:00:00"/>
    <s v="Liaison inter-établissement"/>
    <m/>
    <e v="#N/A"/>
    <e v="#N/A"/>
    <n v="74782"/>
    <m/>
    <s v="SNCF"/>
    <s v="Q2"/>
    <e v="#REF!"/>
    <e v="#REF!"/>
    <e v="#REF!"/>
  </r>
  <r>
    <s v="401000"/>
    <x v="6"/>
    <s v="FOURNISSEURS"/>
    <s v="OD"/>
    <n v="-88"/>
    <d v="2025-06-13T00:00:00"/>
    <s v="Liaison inter-établissement"/>
    <m/>
    <e v="#N/A"/>
    <e v="#N/A"/>
    <n v="78131"/>
    <m/>
    <s v="SNCF"/>
    <s v="Q2"/>
    <e v="#REF!"/>
    <e v="#REF!"/>
    <e v="#REF!"/>
  </r>
  <r>
    <s v="401000"/>
    <x v="6"/>
    <s v="FOURNISSEURS"/>
    <s v="OD"/>
    <n v="-88"/>
    <d v="2025-09-10T00:00:00"/>
    <s v="Liaison inter-établissement"/>
    <m/>
    <e v="#N/A"/>
    <e v="#N/A"/>
    <n v="83155"/>
    <m/>
    <s v="SNCF"/>
    <s v="Q3"/>
    <e v="#REF!"/>
    <e v="#REF!"/>
    <e v="#REF!"/>
  </r>
  <r>
    <s v="401000"/>
    <x v="6"/>
    <s v="FOURNISSEURS"/>
    <s v="OD"/>
    <n v="-88"/>
    <d v="2025-09-10T00:00:00"/>
    <s v="Liaison inter-établissement"/>
    <m/>
    <e v="#N/A"/>
    <e v="#N/A"/>
    <n v="83163"/>
    <m/>
    <s v="SNCF"/>
    <s v="Q3"/>
    <e v="#REF!"/>
    <e v="#REF!"/>
    <e v="#REF!"/>
  </r>
  <r>
    <s v="401000"/>
    <x v="6"/>
    <s v="FOURNISSEURS"/>
    <s v="OD"/>
    <n v="-88"/>
    <d v="2025-10-09T00:00:00"/>
    <s v="Liaison inter-établissement"/>
    <m/>
    <e v="#N/A"/>
    <e v="#N/A"/>
    <n v="89800"/>
    <m/>
    <s v="SNCF"/>
    <s v="Q4"/>
    <e v="#REF!"/>
    <e v="#REF!"/>
    <e v="#REF!"/>
  </r>
  <r>
    <s v="401000"/>
    <x v="6"/>
    <s v="FOURNISSEURS"/>
    <s v="OD"/>
    <n v="-88"/>
    <d v="2025-10-09T00:00:00"/>
    <s v="Liaison inter-établissement"/>
    <m/>
    <e v="#N/A"/>
    <e v="#N/A"/>
    <n v="89804"/>
    <m/>
    <s v="SNCF"/>
    <s v="Q4"/>
    <e v="#REF!"/>
    <e v="#REF!"/>
    <e v="#REF!"/>
  </r>
  <r>
    <s v="401000"/>
    <x v="6"/>
    <s v="FOURNISSEURS"/>
    <s v="OD"/>
    <n v="-88"/>
    <d v="2025-11-17T00:00:00"/>
    <s v="Liaison inter-établissement vers LY "/>
    <m/>
    <e v="#N/A"/>
    <e v="#N/A"/>
    <n v="91795"/>
    <m/>
    <s v="SNCF"/>
    <s v="Q4"/>
    <e v="#REF!"/>
    <e v="#REF!"/>
    <e v="#REF!"/>
  </r>
  <r>
    <s v="401000"/>
    <x v="6"/>
    <s v="FOURNISSEURS"/>
    <s v="OD"/>
    <n v="-86.4"/>
    <d v="2025-03-28T00:00:00"/>
    <s v="Liaison établissement 401000 ROTH TO"/>
    <m/>
    <e v="#N/A"/>
    <e v="#N/A"/>
    <n v="64990"/>
    <s v="Invoice Payment by Pili"/>
    <s v="ROTH SOCHIEL"/>
    <s v="Q1"/>
    <e v="#REF!"/>
    <e v="#REF!"/>
    <e v="#REF!"/>
  </r>
  <r>
    <s v="401000"/>
    <x v="6"/>
    <s v="FOURNISSEURS"/>
    <s v="OD"/>
    <n v="-86.4"/>
    <d v="2025-12-23T00:00:00"/>
    <s v="Liaison établissement 401000 KYMONO TO"/>
    <m/>
    <e v="#N/A"/>
    <e v="#N/A"/>
    <n v="93624"/>
    <s v="FACT-20251208-23397"/>
    <s v="Kymono"/>
    <s v="Q4"/>
    <e v="#REF!"/>
    <e v="#REF!"/>
    <e v="#REF!"/>
  </r>
  <r>
    <s v="401000"/>
    <x v="6"/>
    <s v="FOURNISSEURS"/>
    <s v="OD"/>
    <n v="-86.28"/>
    <d v="2025-07-18T00:00:00"/>
    <s v="Liaison établissement 401000 SIGMA TO"/>
    <m/>
    <e v="#N/A"/>
    <e v="#N/A"/>
    <n v="78277"/>
    <s v="CELITE S POUR VBIO KL"/>
    <s v="Sigma-Aldrich chimie"/>
    <s v="Q3"/>
    <e v="#REF!"/>
    <e v="#REF!"/>
    <e v="#REF!"/>
  </r>
  <r>
    <s v="401000"/>
    <x v="6"/>
    <s v="FOURNISSEURS"/>
    <s v="OD"/>
    <n v="-86"/>
    <d v="2025-02-19T00:00:00"/>
    <s v="Liaison inter-établissement"/>
    <m/>
    <e v="#N/A"/>
    <e v="#N/A"/>
    <n v="63584"/>
    <m/>
    <s v="BLD PHARMATECH"/>
    <s v="Q1"/>
    <e v="#REF!"/>
    <e v="#REF!"/>
    <e v="#REF!"/>
  </r>
  <r>
    <s v="401000"/>
    <x v="6"/>
    <s v="FOURNISSEURS"/>
    <s v="OD"/>
    <n v="-85.38"/>
    <d v="2025-10-06T00:00:00"/>
    <s v="Liaison établissement 401000 FISHER TO"/>
    <m/>
    <e v="#N/A"/>
    <e v="#N/A"/>
    <n v="82927"/>
    <s v="PRODUIT LISA"/>
    <s v="FISHER SCIENTIFIC"/>
    <s v="Q4"/>
    <e v="#REF!"/>
    <e v="#REF!"/>
    <e v="#REF!"/>
  </r>
  <r>
    <s v="401000"/>
    <x v="6"/>
    <s v="FOURNISSEURS"/>
    <s v="OD"/>
    <n v="-84.62"/>
    <d v="2025-06-17T00:00:00"/>
    <s v="Liaison inter-établissement"/>
    <m/>
    <e v="#N/A"/>
    <e v="#N/A"/>
    <n v="78254"/>
    <m/>
    <s v="BOOKING"/>
    <s v="Q2"/>
    <e v="#REF!"/>
    <e v="#REF!"/>
    <e v="#REF!"/>
  </r>
  <r>
    <s v="401000"/>
    <x v="6"/>
    <s v="FOURNISSEURS"/>
    <s v="OD"/>
    <n v="-83.49"/>
    <d v="2025-11-29T00:00:00"/>
    <s v="Liaison inter-établissement"/>
    <m/>
    <e v="#N/A"/>
    <e v="#N/A"/>
    <n v="91648"/>
    <m/>
    <s v="LA FOURCHE"/>
    <s v="Q4"/>
    <e v="#REF!"/>
    <e v="#REF!"/>
    <e v="#REF!"/>
  </r>
  <r>
    <s v="401000"/>
    <x v="6"/>
    <s v="FOURNISSEURS"/>
    <s v="OD"/>
    <n v="-83.34"/>
    <d v="2025-09-22T00:00:00"/>
    <s v="Liaison établissement 401000 FISHER TO"/>
    <m/>
    <e v="#N/A"/>
    <e v="#N/A"/>
    <n v="82388"/>
    <s v="BILLES POUR LE BROYEUR"/>
    <s v="FISHER SCIENTIFIC"/>
    <s v="Q3"/>
    <e v="#REF!"/>
    <e v="#REF!"/>
    <e v="#REF!"/>
  </r>
  <r>
    <s v="401000"/>
    <x v="6"/>
    <s v="FOURNISSEURS"/>
    <s v="OD"/>
    <n v="-82.78"/>
    <d v="2025-04-22T00:00:00"/>
    <s v="Liaison inter-établissement"/>
    <m/>
    <e v="#N/A"/>
    <e v="#N/A"/>
    <n v="74938"/>
    <m/>
    <s v="DHL"/>
    <s v="Q2"/>
    <e v="#REF!"/>
    <e v="#REF!"/>
    <e v="#REF!"/>
  </r>
  <r>
    <s v="401000"/>
    <x v="6"/>
    <s v="FOURNISSEURS"/>
    <s v="OD"/>
    <n v="-82.32"/>
    <d v="2025-12-19T00:00:00"/>
    <s v="Liaison établissement 401000 ROTH TO"/>
    <m/>
    <e v="#N/A"/>
    <e v="#N/A"/>
    <n v="92692"/>
    <s v="4184627"/>
    <s v="ROTH SOCHIEL"/>
    <s v="Q4"/>
    <e v="#REF!"/>
    <e v="#REF!"/>
    <e v="#REF!"/>
  </r>
  <r>
    <s v="401000"/>
    <x v="6"/>
    <s v="FOURNISSEURS"/>
    <s v="OD"/>
    <n v="-81.900000000000006"/>
    <d v="2025-11-04T00:00:00"/>
    <s v="Liaison inter-établissement"/>
    <m/>
    <e v="#N/A"/>
    <e v="#N/A"/>
    <n v="91680"/>
    <m/>
    <s v="MONDROGUISTE"/>
    <s v="Q4"/>
    <e v="#REF!"/>
    <e v="#REF!"/>
    <e v="#REF!"/>
  </r>
  <r>
    <s v="401000"/>
    <x v="6"/>
    <s v="FOURNISSEURS"/>
    <s v="OD"/>
    <n v="-81.7"/>
    <d v="2025-04-01T00:00:00"/>
    <s v="Liaison inter-établissement"/>
    <m/>
    <e v="#N/A"/>
    <e v="#N/A"/>
    <n v="74926"/>
    <m/>
    <s v="DHL"/>
    <s v="Q2"/>
    <e v="#REF!"/>
    <e v="#REF!"/>
    <e v="#REF!"/>
  </r>
  <r>
    <s v="401000"/>
    <x v="6"/>
    <s v="FOURNISSEURS"/>
    <s v="OD"/>
    <n v="-81.23"/>
    <d v="2025-03-06T00:00:00"/>
    <s v="Liaison inter-établissement"/>
    <m/>
    <s v="Non"/>
    <e v="#N/A"/>
    <n v="71914"/>
    <m/>
    <s v="DIVERS"/>
    <s v="Q1"/>
    <e v="#REF!"/>
    <e v="#REF!"/>
    <e v="#REF!"/>
  </r>
  <r>
    <s v="401000"/>
    <x v="6"/>
    <s v="FOURNISSEURS"/>
    <s v="OD"/>
    <n v="-81.180000000000007"/>
    <d v="2025-07-31T00:00:00"/>
    <s v="Liaison établissement 401000 VWR TO"/>
    <m/>
    <e v="#N/A"/>
    <e v="#N/A"/>
    <n v="79338"/>
    <s v="COMMANDE PRODUIT KEENY"/>
    <s v="VWR AVANTOR"/>
    <s v="Q3"/>
    <e v="#REF!"/>
    <e v="#REF!"/>
    <e v="#REF!"/>
  </r>
  <r>
    <s v="401000"/>
    <x v="6"/>
    <s v="FOURNISSEURS"/>
    <s v="OD"/>
    <n v="-80.84"/>
    <d v="2025-08-11T00:00:00"/>
    <s v="Liaison inter-établissement"/>
    <m/>
    <e v="#N/A"/>
    <e v="#N/A"/>
    <n v="83327"/>
    <m/>
    <s v="ORANGE"/>
    <s v="Q3"/>
    <e v="#REF!"/>
    <e v="#REF!"/>
    <e v="#REF!"/>
  </r>
  <r>
    <s v="401000"/>
    <x v="6"/>
    <s v="FOURNISSEURS"/>
    <s v="OD"/>
    <n v="-80.5"/>
    <d v="2025-05-07T00:00:00"/>
    <s v="Liaison établissement 401000 VWR TO"/>
    <m/>
    <e v="#N/A"/>
    <e v="#N/A"/>
    <n v="71818"/>
    <s v="COMMANDE PRODUIT KEENB"/>
    <s v="VWR AVANTOR"/>
    <s v="Q2"/>
    <e v="#REF!"/>
    <e v="#REF!"/>
    <e v="#REF!"/>
  </r>
  <r>
    <s v="401000"/>
    <x v="6"/>
    <s v="FOURNISSEURS"/>
    <s v="OD"/>
    <n v="-80.2"/>
    <d v="2025-04-24T00:00:00"/>
    <s v="Liaison inter-établissement"/>
    <m/>
    <e v="#N/A"/>
    <e v="#N/A"/>
    <n v="74830"/>
    <m/>
    <s v="MANUTAN"/>
    <s v="Q2"/>
    <e v="#REF!"/>
    <e v="#REF!"/>
    <e v="#REF!"/>
  </r>
  <r>
    <s v="401000"/>
    <x v="6"/>
    <s v="FOURNISSEURS"/>
    <s v="OD"/>
    <n v="-80"/>
    <d v="2025-11-18T00:00:00"/>
    <s v="Liaison inter-établissement"/>
    <m/>
    <e v="#N/A"/>
    <e v="#N/A"/>
    <n v="91736"/>
    <m/>
    <s v="SNCF"/>
    <s v="Q4"/>
    <e v="#REF!"/>
    <e v="#REF!"/>
    <e v="#REF!"/>
  </r>
  <r>
    <s v="401000"/>
    <x v="6"/>
    <s v="FOURNISSEURS"/>
    <s v="OD"/>
    <n v="-79.989999999999995"/>
    <d v="2025-05-13T00:00:00"/>
    <s v="Liaison inter-établissement"/>
    <m/>
    <e v="#N/A"/>
    <e v="#N/A"/>
    <n v="75128"/>
    <m/>
    <s v="AIRBNB"/>
    <s v="Q2"/>
    <e v="#REF!"/>
    <e v="#REF!"/>
    <e v="#REF!"/>
  </r>
  <r>
    <s v="401000"/>
    <x v="6"/>
    <s v="FOURNISSEURS"/>
    <s v="OD"/>
    <n v="-79.2"/>
    <d v="2025-04-11T00:00:00"/>
    <s v="Liaison inter-établissement"/>
    <m/>
    <s v="Non"/>
    <e v="#N/A"/>
    <n v="72799"/>
    <m/>
    <s v="DIVERS"/>
    <s v="Q2"/>
    <e v="#REF!"/>
    <e v="#REF!"/>
    <e v="#REF!"/>
  </r>
  <r>
    <s v="401000"/>
    <x v="6"/>
    <s v="FOURNISSEURS"/>
    <s v="OD"/>
    <n v="-79"/>
    <d v="2025-03-17T00:00:00"/>
    <s v="Liaison inter-établissement"/>
    <m/>
    <e v="#N/A"/>
    <e v="#N/A"/>
    <n v="70023"/>
    <m/>
    <s v="SNCF"/>
    <s v="Q1"/>
    <e v="#REF!"/>
    <e v="#REF!"/>
    <e v="#REF!"/>
  </r>
  <r>
    <s v="401000"/>
    <x v="6"/>
    <s v="FOURNISSEURS"/>
    <s v="OD"/>
    <n v="-78.260000000000005"/>
    <d v="2025-10-06T00:00:00"/>
    <s v="Liaison établissement 401000 CHATEAU TO"/>
    <m/>
    <e v="#N/A"/>
    <e v="#N/A"/>
    <n v="82902"/>
    <s v="LIVRAISON EAU ROUSSILLON"/>
    <s v="CHATEAUDEAU"/>
    <s v="Q4"/>
    <e v="#REF!"/>
    <e v="#REF!"/>
    <e v="#REF!"/>
  </r>
  <r>
    <s v="401000"/>
    <x v="6"/>
    <s v="FOURNISSEURS"/>
    <s v="OD"/>
    <n v="-78"/>
    <d v="2025-01-14T00:00:00"/>
    <s v="Liaison inter-établissement"/>
    <m/>
    <e v="#N/A"/>
    <e v="#N/A"/>
    <n v="66766"/>
    <m/>
    <s v="SNCF"/>
    <s v="Q1"/>
    <e v="#REF!"/>
    <e v="#REF!"/>
    <e v="#REF!"/>
  </r>
  <r>
    <s v="401000"/>
    <x v="6"/>
    <s v="FOURNISSEURS"/>
    <s v="OD"/>
    <n v="-76.98"/>
    <d v="2025-04-02T00:00:00"/>
    <s v="Liaison établissement 401000 VWR TO"/>
    <m/>
    <e v="#N/A"/>
    <e v="#N/A"/>
    <n v="66489"/>
    <s v="Invoice Payment by Pili"/>
    <s v="VWR AVANTOR"/>
    <s v="Q2"/>
    <e v="#REF!"/>
    <e v="#REF!"/>
    <e v="#REF!"/>
  </r>
  <r>
    <s v="401000"/>
    <x v="6"/>
    <s v="FOURNISSEURS"/>
    <s v="OD"/>
    <n v="-76.63"/>
    <d v="2025-11-28T00:00:00"/>
    <s v="Liaison inter-établissement"/>
    <m/>
    <e v="#N/A"/>
    <e v="#N/A"/>
    <n v="91293"/>
    <m/>
    <s v="DHL"/>
    <s v="Q4"/>
    <e v="#REF!"/>
    <e v="#REF!"/>
    <e v="#REF!"/>
  </r>
  <r>
    <s v="401000"/>
    <x v="6"/>
    <s v="FOURNISSEURS"/>
    <s v="OD"/>
    <n v="-75.849999999999994"/>
    <d v="2025-04-25T00:00:00"/>
    <s v="Liaison établissement 401000 VWR TO"/>
    <m/>
    <e v="#N/A"/>
    <e v="#N/A"/>
    <n v="70211"/>
    <s v="Invoice Payment by Pili"/>
    <s v="VWR AVANTOR"/>
    <s v="Q2"/>
    <e v="#REF!"/>
    <e v="#REF!"/>
    <e v="#REF!"/>
  </r>
  <r>
    <s v="401000"/>
    <x v="6"/>
    <s v="FOURNISSEURS"/>
    <s v="OD"/>
    <n v="-75.599999999999994"/>
    <d v="2025-11-28T00:00:00"/>
    <s v="Liaison établissement 401000 CHAUM TO"/>
    <m/>
    <e v="#N/A"/>
    <e v="#N/A"/>
    <n v="91259"/>
    <s v="FL260494"/>
    <s v="GROUPE CHAUMEIL"/>
    <s v="Q4"/>
    <e v="#REF!"/>
    <e v="#REF!"/>
    <e v="#REF!"/>
  </r>
  <r>
    <s v="401000"/>
    <x v="6"/>
    <s v="FOURNISSEURS"/>
    <s v="OD"/>
    <n v="-75.239999999999995"/>
    <d v="2025-03-20T00:00:00"/>
    <s v="Liaison inter-établissement"/>
    <m/>
    <e v="#N/A"/>
    <e v="#N/A"/>
    <n v="63858"/>
    <m/>
    <s v="Sigma-Aldrich chimie"/>
    <s v="Q1"/>
    <e v="#REF!"/>
    <e v="#REF!"/>
    <e v="#REF!"/>
  </r>
  <r>
    <s v="401000"/>
    <x v="6"/>
    <s v="FOURNISSEURS"/>
    <s v="OD"/>
    <n v="-74.78"/>
    <d v="2025-07-22T00:00:00"/>
    <s v="Liaison établissement 401000 ROTH TO"/>
    <m/>
    <e v="#N/A"/>
    <e v="#N/A"/>
    <n v="78303"/>
    <s v="PRODUITS CHIMIQUES KL"/>
    <s v="ROTH SOCHIEL"/>
    <s v="Q3"/>
    <e v="#REF!"/>
    <e v="#REF!"/>
    <e v="#REF!"/>
  </r>
  <r>
    <s v="401000"/>
    <x v="6"/>
    <s v="FOURNISSEURS"/>
    <s v="OD"/>
    <n v="-73.69"/>
    <d v="2025-11-13T00:00:00"/>
    <s v="Liaison établissement 401000 VWR TO"/>
    <m/>
    <e v="#N/A"/>
    <e v="#N/A"/>
    <n v="89940"/>
    <s v="CONSOMMABLE LABO"/>
    <s v="VWR AVANTOR"/>
    <s v="Q4"/>
    <e v="#REF!"/>
    <e v="#REF!"/>
    <e v="#REF!"/>
  </r>
  <r>
    <s v="401000"/>
    <x v="6"/>
    <s v="FOURNISSEURS"/>
    <s v="OD"/>
    <n v="-73.05"/>
    <d v="2025-05-14T00:00:00"/>
    <s v="Liaison établissement 401000 BIOTIKA TO"/>
    <s v="Non"/>
    <e v="#N/A"/>
    <e v="#N/A"/>
    <n v="72310"/>
    <m/>
    <s v="BIOTIKA"/>
    <s v="Q2"/>
    <e v="#REF!"/>
    <e v="#REF!"/>
    <e v="#REF!"/>
  </r>
  <r>
    <s v="401000"/>
    <x v="6"/>
    <s v="FOURNISSEURS"/>
    <s v="OD"/>
    <n v="-73"/>
    <d v="2025-01-10T00:00:00"/>
    <s v="Liaison inter-établissement"/>
    <m/>
    <e v="#N/A"/>
    <e v="#N/A"/>
    <n v="71440"/>
    <m/>
    <s v="SNCF"/>
    <s v="Q1"/>
    <e v="#REF!"/>
    <e v="#REF!"/>
    <e v="#REF!"/>
  </r>
  <r>
    <s v="401000"/>
    <x v="6"/>
    <s v="FOURNISSEURS"/>
    <s v="OD"/>
    <n v="-73"/>
    <d v="2025-01-10T00:00:00"/>
    <s v="Liaison inter-établissement"/>
    <m/>
    <e v="#N/A"/>
    <e v="#N/A"/>
    <n v="71444"/>
    <m/>
    <s v="SNCF"/>
    <s v="Q1"/>
    <e v="#REF!"/>
    <e v="#REF!"/>
    <e v="#REF!"/>
  </r>
  <r>
    <s v="401000"/>
    <x v="6"/>
    <s v="FOURNISSEURS"/>
    <s v="OD"/>
    <n v="-72.67"/>
    <d v="2025-07-22T00:00:00"/>
    <s v="Liaison établissement 401000 ROTH TO"/>
    <m/>
    <e v="#N/A"/>
    <e v="#N/A"/>
    <n v="78298"/>
    <s v="MATIÈRES PREMIÈRES KEENY ROUSSILLON"/>
    <s v="ROTH SOCHIEL"/>
    <s v="Q3"/>
    <e v="#REF!"/>
    <e v="#REF!"/>
    <e v="#REF!"/>
  </r>
  <r>
    <s v="401000"/>
    <x v="6"/>
    <s v="FOURNISSEURS"/>
    <s v="OD"/>
    <n v="-72"/>
    <d v="2025-05-14T00:00:00"/>
    <s v="Liaison établissement 401000 ECHAFAUDAGE TO"/>
    <m/>
    <e v="#N/A"/>
    <e v="#N/A"/>
    <n v="72324"/>
    <s v="Invoice Payment by Pili"/>
    <s v="ECHAFAUDAGE"/>
    <s v="Q2"/>
    <e v="#REF!"/>
    <e v="#REF!"/>
    <e v="#REF!"/>
  </r>
  <r>
    <s v="401000"/>
    <x v="6"/>
    <s v="FOURNISSEURS"/>
    <s v="OD"/>
    <n v="-71.900000000000006"/>
    <d v="2025-09-12T00:00:00"/>
    <s v="Liaison établissement 401000 VWR TO"/>
    <m/>
    <e v="#N/A"/>
    <e v="#N/A"/>
    <n v="82048"/>
    <s v="PRODUIT KEENB"/>
    <s v="VWR AVANTOR"/>
    <s v="Q3"/>
    <e v="#REF!"/>
    <e v="#REF!"/>
    <e v="#REF!"/>
  </r>
  <r>
    <s v="401000"/>
    <x v="6"/>
    <s v="FOURNISSEURS"/>
    <s v="OD"/>
    <n v="-71.88"/>
    <d v="2025-09-12T00:00:00"/>
    <s v="Liaison établissement 401000 BRUNEAU TO"/>
    <m/>
    <e v="#N/A"/>
    <e v="#N/A"/>
    <n v="82079"/>
    <s v="AFFICHE"/>
    <s v="BRUNEAU"/>
    <s v="Q3"/>
    <e v="#REF!"/>
    <e v="#REF!"/>
    <e v="#REF!"/>
  </r>
  <r>
    <s v="401000"/>
    <x v="6"/>
    <s v="FOURNISSEURS"/>
    <s v="OD"/>
    <n v="-71.86"/>
    <d v="2025-06-11T00:00:00"/>
    <s v="Liaison inter-établissement"/>
    <m/>
    <e v="#N/A"/>
    <e v="#N/A"/>
    <n v="78242"/>
    <m/>
    <s v="GANDI"/>
    <s v="Q2"/>
    <e v="#REF!"/>
    <e v="#REF!"/>
    <e v="#REF!"/>
  </r>
  <r>
    <s v="401000"/>
    <x v="6"/>
    <s v="FOURNISSEURS"/>
    <s v="OD"/>
    <n v="-71.36"/>
    <d v="2025-07-31T00:00:00"/>
    <s v="Liaison établissement 401000 VWR TO"/>
    <m/>
    <e v="#N/A"/>
    <e v="#N/A"/>
    <n v="79308"/>
    <s v="COMMANDE PRODUIT KEENY"/>
    <s v="VWR AVANTOR"/>
    <s v="Q3"/>
    <e v="#REF!"/>
    <e v="#REF!"/>
    <e v="#REF!"/>
  </r>
  <r>
    <s v="401000"/>
    <x v="6"/>
    <s v="FOURNISSEURS"/>
    <s v="OD"/>
    <n v="-71"/>
    <d v="2025-01-02T00:00:00"/>
    <s v="Liaison inter-établissement"/>
    <m/>
    <e v="#N/A"/>
    <e v="#N/A"/>
    <n v="71432"/>
    <m/>
    <s v="SNCF"/>
    <s v="Q1"/>
    <e v="#REF!"/>
    <e v="#REF!"/>
    <e v="#REF!"/>
  </r>
  <r>
    <s v="401000"/>
    <x v="6"/>
    <s v="FOURNISSEURS"/>
    <s v="OD"/>
    <n v="-71"/>
    <d v="2025-01-02T00:00:00"/>
    <s v="Liaison inter-établissement"/>
    <m/>
    <e v="#N/A"/>
    <e v="#N/A"/>
    <n v="71436"/>
    <m/>
    <s v="SNCF"/>
    <s v="Q1"/>
    <e v="#REF!"/>
    <e v="#REF!"/>
    <e v="#REF!"/>
  </r>
  <r>
    <s v="401000"/>
    <x v="6"/>
    <s v="FOURNISSEURS"/>
    <s v="OD"/>
    <n v="-70"/>
    <d v="2025-10-01T00:00:00"/>
    <s v="Liaison inter-établissement"/>
    <m/>
    <e v="#N/A"/>
    <e v="#N/A"/>
    <n v="89714"/>
    <m/>
    <s v="AIRLINES"/>
    <s v="Q4"/>
    <e v="#REF!"/>
    <e v="#REF!"/>
    <e v="#REF!"/>
  </r>
  <r>
    <s v="401000"/>
    <x v="6"/>
    <s v="FOURNISSEURS"/>
    <s v="OD"/>
    <n v="-69.900000000000006"/>
    <d v="2025-05-15T00:00:00"/>
    <s v="Liaison inter-établissement"/>
    <m/>
    <e v="#N/A"/>
    <e v="#N/A"/>
    <n v="81006"/>
    <m/>
    <s v="LEROY MERLIN"/>
    <s v="Q2"/>
    <e v="#REF!"/>
    <e v="#REF!"/>
    <e v="#REF!"/>
  </r>
  <r>
    <s v="401000"/>
    <x v="6"/>
    <s v="FOURNISSEURS"/>
    <s v="OD"/>
    <n v="-69.16"/>
    <d v="2025-05-08T00:00:00"/>
    <s v="Liaison inter-établissement"/>
    <m/>
    <e v="#N/A"/>
    <e v="#N/A"/>
    <n v="78823"/>
    <m/>
    <s v="ENGIE"/>
    <s v="Q2"/>
    <e v="#REF!"/>
    <e v="#REF!"/>
    <e v="#REF!"/>
  </r>
  <r>
    <s v="401000"/>
    <x v="6"/>
    <s v="FOURNISSEURS"/>
    <s v="OD"/>
    <n v="-68.39"/>
    <d v="2025-04-18T00:00:00"/>
    <s v="Liaison établissement 401000 CHATEAU TO"/>
    <m/>
    <e v="#N/A"/>
    <e v="#N/A"/>
    <n v="68155"/>
    <s v="Invoice Payment by Pili"/>
    <s v="CHATEAUDEAU"/>
    <s v="Q2"/>
    <e v="#REF!"/>
    <e v="#REF!"/>
    <e v="#REF!"/>
  </r>
  <r>
    <s v="401000"/>
    <x v="6"/>
    <s v="FOURNISSEURS"/>
    <s v="OD"/>
    <n v="-68.39"/>
    <d v="2025-06-02T00:00:00"/>
    <s v="Liaison établissement 401000 CHATEAU TO"/>
    <m/>
    <e v="#N/A"/>
    <e v="#N/A"/>
    <n v="75245"/>
    <s v="Invoice Payment By Pili"/>
    <s v="CHATEAUDEAU"/>
    <s v="Q2"/>
    <e v="#REF!"/>
    <e v="#REF!"/>
    <e v="#REF!"/>
  </r>
  <r>
    <s v="401000"/>
    <x v="6"/>
    <s v="FOURNISSEURS"/>
    <s v="OD"/>
    <n v="-68.39"/>
    <d v="2025-07-22T00:00:00"/>
    <s v="Liaison établissement 401000 CHATEAU TO"/>
    <m/>
    <e v="#N/A"/>
    <e v="#N/A"/>
    <n v="78308"/>
    <s v="LIVRAISON EAU ROUSSILLON"/>
    <s v="CHATEAUDEAU"/>
    <s v="Q3"/>
    <e v="#REF!"/>
    <e v="#REF!"/>
    <e v="#REF!"/>
  </r>
  <r>
    <s v="401000"/>
    <x v="6"/>
    <s v="FOURNISSEURS"/>
    <s v="OD"/>
    <n v="-68.23"/>
    <d v="2025-06-14T00:00:00"/>
    <s v="Liaison inter-établissement"/>
    <m/>
    <e v="#N/A"/>
    <e v="#N/A"/>
    <n v="78234"/>
    <m/>
    <s v="LA FOURCHE"/>
    <s v="Q2"/>
    <e v="#REF!"/>
    <e v="#REF!"/>
    <e v="#REF!"/>
  </r>
  <r>
    <s v="401000"/>
    <x v="6"/>
    <s v="FOURNISSEURS"/>
    <s v="OD"/>
    <n v="-67.08"/>
    <d v="2025-05-07T00:00:00"/>
    <s v="Liaison établissement 401000 VWR TO"/>
    <m/>
    <e v="#N/A"/>
    <e v="#N/A"/>
    <n v="71833"/>
    <s v="COMMANDE PRODUIT KEENB"/>
    <s v="VWR AVANTOR"/>
    <s v="Q2"/>
    <e v="#REF!"/>
    <e v="#REF!"/>
    <e v="#REF!"/>
  </r>
  <r>
    <s v="401000"/>
    <x v="6"/>
    <s v="FOURNISSEURS"/>
    <s v="OD"/>
    <n v="-67"/>
    <d v="2025-11-28T00:00:00"/>
    <s v="Liaison inter-établissement"/>
    <m/>
    <e v="#N/A"/>
    <e v="#N/A"/>
    <n v="91297"/>
    <m/>
    <s v="AIR LIQUIDE"/>
    <s v="Q4"/>
    <e v="#REF!"/>
    <e v="#REF!"/>
    <e v="#REF!"/>
  </r>
  <r>
    <s v="401000"/>
    <x v="6"/>
    <s v="FOURNISSEURS"/>
    <s v="OD"/>
    <n v="-66.959999999999994"/>
    <d v="2025-03-28T00:00:00"/>
    <s v="Liaison inter-établissement"/>
    <m/>
    <e v="#N/A"/>
    <e v="#N/A"/>
    <n v="69958"/>
    <m/>
    <s v="BRUNEAU"/>
    <s v="Q1"/>
    <e v="#REF!"/>
    <e v="#REF!"/>
    <e v="#REF!"/>
  </r>
  <r>
    <s v="401000"/>
    <x v="6"/>
    <s v="FOURNISSEURS"/>
    <s v="OD"/>
    <n v="-66.959999999999994"/>
    <d v="2025-04-08T00:00:00"/>
    <s v="Liaison inter-établissement"/>
    <m/>
    <e v="#N/A"/>
    <e v="#N/A"/>
    <n v="69962"/>
    <m/>
    <s v="BRUNEAU"/>
    <s v="Q2"/>
    <e v="#REF!"/>
    <e v="#REF!"/>
    <e v="#REF!"/>
  </r>
  <r>
    <s v="401000"/>
    <x v="6"/>
    <s v="FOURNISSEURS"/>
    <s v="OD"/>
    <n v="-66.38"/>
    <d v="2025-01-24T00:00:00"/>
    <s v="Liaison inter-établissement"/>
    <m/>
    <e v="#N/A"/>
    <e v="#N/A"/>
    <n v="74914"/>
    <m/>
    <s v="DHL"/>
    <s v="Q1"/>
    <e v="#REF!"/>
    <e v="#REF!"/>
    <e v="#REF!"/>
  </r>
  <r>
    <s v="401000"/>
    <x v="6"/>
    <s v="FOURNISSEURS"/>
    <s v="OD"/>
    <n v="-66.38"/>
    <d v="2025-12-08T00:00:00"/>
    <s v="Liaison inter-établissement"/>
    <m/>
    <e v="#N/A"/>
    <e v="#N/A"/>
    <n v="91917"/>
    <m/>
    <s v="ENGIE"/>
    <s v="Q4"/>
    <e v="#REF!"/>
    <e v="#REF!"/>
    <e v="#REF!"/>
  </r>
  <r>
    <s v="401000"/>
    <x v="6"/>
    <s v="FOURNISSEURS"/>
    <s v="OD"/>
    <n v="-66.27"/>
    <d v="2025-11-24T00:00:00"/>
    <s v="INDIGO - ALTAIR - C2025803"/>
    <s v="Non"/>
    <s v="Non"/>
    <e v="#N/A"/>
    <n v="90577"/>
    <m/>
    <s v="ALTAIR AVOCATS"/>
    <s v="Q4"/>
    <e v="#REF!"/>
    <e v="#REF!"/>
    <e v="#REF!"/>
  </r>
  <r>
    <s v="401000"/>
    <x v="6"/>
    <s v="FOURNISSEURS"/>
    <s v="OD"/>
    <n v="-65.2"/>
    <d v="2025-10-31T00:00:00"/>
    <s v="Liaison établissement 401000 VWR TO"/>
    <m/>
    <e v="#N/A"/>
    <e v="#N/A"/>
    <n v="87582"/>
    <s v="CONSOMMABLE LABO"/>
    <s v="VWR AVANTOR"/>
    <s v="Q4"/>
    <e v="#REF!"/>
    <e v="#REF!"/>
    <e v="#REF!"/>
  </r>
  <r>
    <s v="401000"/>
    <x v="6"/>
    <s v="FOURNISSEURS"/>
    <s v="OD"/>
    <n v="-65.2"/>
    <d v="2025-10-31T00:00:00"/>
    <s v="Liaison établissement 401000 VWR TO"/>
    <m/>
    <e v="#N/A"/>
    <e v="#N/A"/>
    <n v="87587"/>
    <s v="CONSOMMABLE LABO"/>
    <s v="VWR AVANTOR"/>
    <s v="Q4"/>
    <e v="#REF!"/>
    <e v="#REF!"/>
    <e v="#REF!"/>
  </r>
  <r>
    <s v="401000"/>
    <x v="6"/>
    <s v="FOURNISSEURS"/>
    <s v="OD"/>
    <n v="-64.09"/>
    <d v="2025-04-02T00:00:00"/>
    <s v="Liaison établissement 401000 VWR TO"/>
    <m/>
    <e v="#N/A"/>
    <e v="#N/A"/>
    <n v="66504"/>
    <s v="Invoice Payment by Pili"/>
    <s v="VWR AVANTOR"/>
    <s v="Q2"/>
    <e v="#REF!"/>
    <e v="#REF!"/>
    <e v="#REF!"/>
  </r>
  <r>
    <s v="401000"/>
    <x v="6"/>
    <s v="FOURNISSEURS"/>
    <s v="OD"/>
    <n v="-63.64"/>
    <d v="2025-04-05T00:00:00"/>
    <s v="Liaison inter-établissement"/>
    <m/>
    <e v="#N/A"/>
    <e v="#N/A"/>
    <n v="74806"/>
    <m/>
    <s v="GROUPE LDLC"/>
    <s v="Q2"/>
    <e v="#REF!"/>
    <e v="#REF!"/>
    <e v="#REF!"/>
  </r>
  <r>
    <s v="401000"/>
    <x v="6"/>
    <s v="FOURNISSEURS"/>
    <s v="OD"/>
    <n v="-63.34"/>
    <d v="2025-04-11T00:00:00"/>
    <s v="Liaison inter-établissement"/>
    <m/>
    <e v="#N/A"/>
    <e v="#N/A"/>
    <n v="74930"/>
    <m/>
    <s v="DHL"/>
    <s v="Q2"/>
    <e v="#REF!"/>
    <e v="#REF!"/>
    <e v="#REF!"/>
  </r>
  <r>
    <s v="401000"/>
    <x v="6"/>
    <s v="FOURNISSEURS"/>
    <s v="OD"/>
    <n v="-63"/>
    <d v="2025-12-09T00:00:00"/>
    <s v="Liaison inter-établissement"/>
    <m/>
    <e v="#N/A"/>
    <e v="#N/A"/>
    <n v="94111"/>
    <m/>
    <s v="SNCF"/>
    <s v="Q4"/>
    <e v="#REF!"/>
    <e v="#REF!"/>
    <e v="#REF!"/>
  </r>
  <r>
    <s v="401000"/>
    <x v="6"/>
    <s v="FOURNISSEURS"/>
    <s v="OD"/>
    <n v="-62.5"/>
    <d v="2025-01-03T00:00:00"/>
    <s v="Liaison inter-établissement"/>
    <m/>
    <e v="#N/A"/>
    <e v="#N/A"/>
    <n v="63882"/>
    <m/>
    <s v="SNCF"/>
    <s v="Q1"/>
    <e v="#REF!"/>
    <e v="#REF!"/>
    <e v="#REF!"/>
  </r>
  <r>
    <s v="401000"/>
    <x v="6"/>
    <s v="FOURNISSEURS"/>
    <s v="OD"/>
    <n v="-62.22"/>
    <d v="2025-03-14T00:00:00"/>
    <s v="Liaison inter-établissement"/>
    <m/>
    <e v="#N/A"/>
    <e v="#N/A"/>
    <n v="74922"/>
    <m/>
    <s v="DHL"/>
    <s v="Q1"/>
    <e v="#REF!"/>
    <e v="#REF!"/>
    <e v="#REF!"/>
  </r>
  <r>
    <s v="401000"/>
    <x v="6"/>
    <s v="FOURNISSEURS"/>
    <s v="OD"/>
    <n v="-62.17"/>
    <d v="2025-03-19T00:00:00"/>
    <s v="Liaison inter-établissement"/>
    <m/>
    <e v="#N/A"/>
    <e v="#N/A"/>
    <n v="63866"/>
    <m/>
    <s v="Sigma-Aldrich chimie"/>
    <s v="Q1"/>
    <e v="#REF!"/>
    <e v="#REF!"/>
    <e v="#REF!"/>
  </r>
  <r>
    <s v="401000"/>
    <x v="6"/>
    <s v="FOURNISSEURS"/>
    <s v="OD"/>
    <n v="-61.12"/>
    <d v="2025-02-22T00:00:00"/>
    <s v="Liaison inter-établissement"/>
    <m/>
    <e v="#N/A"/>
    <e v="#N/A"/>
    <n v="71667"/>
    <m/>
    <s v="ORANGE"/>
    <s v="Q1"/>
    <e v="#REF!"/>
    <e v="#REF!"/>
    <e v="#REF!"/>
  </r>
  <r>
    <s v="401000"/>
    <x v="6"/>
    <s v="FOURNISSEURS"/>
    <s v="OD"/>
    <n v="-60"/>
    <d v="2025-10-06T00:00:00"/>
    <s v="Liaison établissement 401000 TCI TO"/>
    <m/>
    <e v="#N/A"/>
    <e v="#N/A"/>
    <n v="82907"/>
    <s v="PRODUIT KEENB"/>
    <s v="TCI"/>
    <s v="Q4"/>
    <e v="#REF!"/>
    <e v="#REF!"/>
    <e v="#REF!"/>
  </r>
  <r>
    <s v="401000"/>
    <x v="6"/>
    <s v="FOURNISSEURS"/>
    <s v="OD"/>
    <n v="-60"/>
    <d v="2025-10-19T00:00:00"/>
    <s v="Liaison inter-établissement"/>
    <m/>
    <e v="#N/A"/>
    <e v="#N/A"/>
    <n v="89730"/>
    <m/>
    <s v="COOKIEBOT"/>
    <s v="Q4"/>
    <e v="#REF!"/>
    <e v="#REF!"/>
    <e v="#REF!"/>
  </r>
  <r>
    <s v="401000"/>
    <x v="6"/>
    <s v="FOURNISSEURS"/>
    <s v="OD"/>
    <n v="-59.54"/>
    <d v="2025-08-28T00:00:00"/>
    <s v="Liaison inter-établissement"/>
    <m/>
    <e v="#N/A"/>
    <e v="#N/A"/>
    <n v="83355"/>
    <m/>
    <s v="RS COMPONENT"/>
    <s v="Q3"/>
    <e v="#REF!"/>
    <e v="#REF!"/>
    <e v="#REF!"/>
  </r>
  <r>
    <s v="401000"/>
    <x v="6"/>
    <s v="FOURNISSEURS"/>
    <s v="OD"/>
    <n v="-58.72"/>
    <d v="2025-07-31T00:00:00"/>
    <s v="Liaison inter-établissement"/>
    <m/>
    <e v="#N/A"/>
    <e v="#N/A"/>
    <n v="81291"/>
    <m/>
    <s v="DHL"/>
    <s v="Q3"/>
    <e v="#REF!"/>
    <e v="#REF!"/>
    <e v="#REF!"/>
  </r>
  <r>
    <s v="401000"/>
    <x v="6"/>
    <s v="FOURNISSEURS"/>
    <s v="OD"/>
    <n v="-58.04"/>
    <d v="2025-06-12T00:00:00"/>
    <s v="Liaison inter-établissement"/>
    <m/>
    <e v="#N/A"/>
    <e v="#N/A"/>
    <n v="78246"/>
    <m/>
    <s v="COURSIER"/>
    <s v="Q2"/>
    <e v="#REF!"/>
    <e v="#REF!"/>
    <e v="#REF!"/>
  </r>
  <r>
    <s v="401000"/>
    <x v="6"/>
    <s v="FOURNISSEURS"/>
    <s v="OD"/>
    <n v="-58"/>
    <d v="2025-02-04T00:00:00"/>
    <s v="Liaison inter-établissement"/>
    <m/>
    <e v="#N/A"/>
    <e v="#N/A"/>
    <n v="64354"/>
    <m/>
    <s v="SNCF"/>
    <s v="Q1"/>
    <e v="#REF!"/>
    <e v="#REF!"/>
    <e v="#REF!"/>
  </r>
  <r>
    <s v="401000"/>
    <x v="6"/>
    <s v="FOURNISSEURS"/>
    <s v="OD"/>
    <n v="-58"/>
    <d v="2025-02-04T00:00:00"/>
    <s v="Liaison inter-établissement"/>
    <m/>
    <e v="#N/A"/>
    <e v="#N/A"/>
    <n v="64358"/>
    <m/>
    <s v="SNCF"/>
    <s v="Q1"/>
    <e v="#REF!"/>
    <e v="#REF!"/>
    <e v="#REF!"/>
  </r>
  <r>
    <s v="401000"/>
    <x v="6"/>
    <s v="FOURNISSEURS"/>
    <s v="OD"/>
    <n v="-58"/>
    <d v="2025-06-04T00:00:00"/>
    <s v="Liaison inter-établissement"/>
    <m/>
    <e v="#N/A"/>
    <e v="#N/A"/>
    <n v="78143"/>
    <m/>
    <s v="SNCF"/>
    <s v="Q2"/>
    <e v="#REF!"/>
    <e v="#REF!"/>
    <e v="#REF!"/>
  </r>
  <r>
    <s v="401000"/>
    <x v="6"/>
    <s v="FOURNISSEURS"/>
    <s v="OD"/>
    <n v="-58"/>
    <d v="2025-09-10T00:00:00"/>
    <s v="Liaison inter-établissement"/>
    <m/>
    <e v="#N/A"/>
    <e v="#N/A"/>
    <n v="83159"/>
    <m/>
    <s v="SNCF"/>
    <s v="Q3"/>
    <e v="#REF!"/>
    <e v="#REF!"/>
    <e v="#REF!"/>
  </r>
  <r>
    <s v="401000"/>
    <x v="6"/>
    <s v="FOURNISSEURS"/>
    <s v="OD"/>
    <n v="-58"/>
    <d v="2025-11-18T00:00:00"/>
    <s v="Liaison inter-établissement"/>
    <m/>
    <e v="#N/A"/>
    <e v="#N/A"/>
    <n v="91724"/>
    <m/>
    <s v="SNCF"/>
    <s v="Q4"/>
    <e v="#REF!"/>
    <e v="#REF!"/>
    <e v="#REF!"/>
  </r>
  <r>
    <s v="401000"/>
    <x v="6"/>
    <s v="FOURNISSEURS"/>
    <s v="OD"/>
    <n v="-58"/>
    <d v="2025-11-18T00:00:00"/>
    <s v="Liaison inter-établissement"/>
    <m/>
    <e v="#N/A"/>
    <e v="#N/A"/>
    <n v="91728"/>
    <m/>
    <s v="SNCF"/>
    <s v="Q4"/>
    <e v="#REF!"/>
    <e v="#REF!"/>
    <e v="#REF!"/>
  </r>
  <r>
    <s v="401000"/>
    <x v="6"/>
    <s v="FOURNISSEURS"/>
    <s v="OD"/>
    <n v="-58"/>
    <d v="2025-12-04T00:00:00"/>
    <s v="Liaison inter-établissement"/>
    <m/>
    <e v="#N/A"/>
    <e v="#N/A"/>
    <n v="94123"/>
    <m/>
    <s v="SNCF"/>
    <s v="Q4"/>
    <e v="#REF!"/>
    <e v="#REF!"/>
    <e v="#REF!"/>
  </r>
  <r>
    <s v="401000"/>
    <x v="6"/>
    <s v="FOURNISSEURS"/>
    <s v="OD"/>
    <n v="-57.55"/>
    <d v="2025-05-07T00:00:00"/>
    <s v="Liaison établissement 401000 VWR TO"/>
    <m/>
    <e v="#N/A"/>
    <e v="#N/A"/>
    <n v="71853"/>
    <s v="ACIDE SULFURIQUE 95 % TECHNICAL FLACON VERRE 1L"/>
    <s v="VWR AVANTOR"/>
    <s v="Q2"/>
    <e v="#REF!"/>
    <e v="#REF!"/>
    <e v="#REF!"/>
  </r>
  <r>
    <s v="401000"/>
    <x v="6"/>
    <s v="FOURNISSEURS"/>
    <s v="OD"/>
    <n v="-57"/>
    <d v="2025-08-27T00:00:00"/>
    <s v="Liaison inter-établissement"/>
    <m/>
    <e v="#N/A"/>
    <e v="#N/A"/>
    <n v="83283"/>
    <m/>
    <s v="SNCF"/>
    <s v="Q3"/>
    <e v="#REF!"/>
    <e v="#REF!"/>
    <e v="#REF!"/>
  </r>
  <r>
    <s v="401000"/>
    <x v="6"/>
    <s v="FOURNISSEURS"/>
    <s v="OD"/>
    <n v="-56.99"/>
    <d v="2025-03-11T00:00:00"/>
    <s v="Liaison inter-établissement"/>
    <m/>
    <e v="#N/A"/>
    <e v="#N/A"/>
    <n v="66758"/>
    <m/>
    <s v="SNCF"/>
    <s v="Q1"/>
    <e v="#REF!"/>
    <e v="#REF!"/>
    <e v="#REF!"/>
  </r>
  <r>
    <s v="401000"/>
    <x v="6"/>
    <s v="FOURNISSEURS"/>
    <s v="OD"/>
    <n v="-56.14"/>
    <d v="2025-03-18T00:00:00"/>
    <s v="Liaison inter-établissement"/>
    <m/>
    <e v="#N/A"/>
    <e v="#N/A"/>
    <n v="64470"/>
    <m/>
    <s v="VWR AVANTOR"/>
    <s v="Q1"/>
    <e v="#REF!"/>
    <e v="#REF!"/>
    <e v="#REF!"/>
  </r>
  <r>
    <s v="401000"/>
    <x v="6"/>
    <s v="FOURNISSEURS"/>
    <s v="OD"/>
    <n v="-55.87"/>
    <d v="2025-05-30T00:00:00"/>
    <s v="Liaison inter-établissement"/>
    <m/>
    <e v="#N/A"/>
    <e v="#N/A"/>
    <n v="81032"/>
    <m/>
    <s v="RS COMPONENT"/>
    <s v="Q2"/>
    <e v="#REF!"/>
    <e v="#REF!"/>
    <e v="#REF!"/>
  </r>
  <r>
    <s v="401000"/>
    <x v="6"/>
    <s v="FOURNISSEURS"/>
    <s v="OD"/>
    <n v="-55.78"/>
    <d v="2025-10-31T00:00:00"/>
    <s v="Liaison établissement 401000 VWR TO"/>
    <m/>
    <e v="#N/A"/>
    <e v="#N/A"/>
    <n v="87577"/>
    <s v="COMMANDE PRODUIT LISA"/>
    <s v="VWR AVANTOR"/>
    <s v="Q4"/>
    <e v="#REF!"/>
    <e v="#REF!"/>
    <e v="#REF!"/>
  </r>
  <r>
    <s v="401000"/>
    <x v="6"/>
    <s v="FOURNISSEURS"/>
    <s v="OD"/>
    <n v="-55.55"/>
    <d v="2025-06-05T00:00:00"/>
    <s v="Liaison inter-établissement"/>
    <m/>
    <e v="#N/A"/>
    <e v="#N/A"/>
    <n v="78835"/>
    <m/>
    <s v="ENGIE"/>
    <s v="Q2"/>
    <e v="#REF!"/>
    <e v="#REF!"/>
    <e v="#REF!"/>
  </r>
  <r>
    <s v="401000"/>
    <x v="6"/>
    <s v="FOURNISSEURS"/>
    <s v="OD"/>
    <n v="-55.28"/>
    <d v="2025-06-05T00:00:00"/>
    <s v="Liaison inter-établissement"/>
    <m/>
    <e v="#N/A"/>
    <e v="#N/A"/>
    <n v="82813"/>
    <m/>
    <s v="BOUYGUES TELECOM"/>
    <s v="Q2"/>
    <e v="#REF!"/>
    <e v="#REF!"/>
    <e v="#REF!"/>
  </r>
  <r>
    <s v="401000"/>
    <x v="6"/>
    <s v="FOURNISSEURS"/>
    <s v="OD"/>
    <n v="-54.85"/>
    <d v="2025-05-08T00:00:00"/>
    <s v="Liaison inter-établissement"/>
    <m/>
    <e v="#N/A"/>
    <e v="#N/A"/>
    <n v="74942"/>
    <m/>
    <s v="DHL"/>
    <s v="Q2"/>
    <e v="#REF!"/>
    <e v="#REF!"/>
    <e v="#REF!"/>
  </r>
  <r>
    <s v="401000"/>
    <x v="6"/>
    <s v="FOURNISSEURS"/>
    <s v="OD"/>
    <n v="-53.77"/>
    <d v="2025-09-30T00:00:00"/>
    <s v="Liaison inter-établissement"/>
    <m/>
    <e v="#N/A"/>
    <e v="#N/A"/>
    <n v="91064"/>
    <m/>
    <s v="DHL"/>
    <s v="Q3"/>
    <e v="#REF!"/>
    <e v="#REF!"/>
    <e v="#REF!"/>
  </r>
  <r>
    <s v="401000"/>
    <x v="6"/>
    <s v="FOURNISSEURS"/>
    <s v="OD"/>
    <n v="-52.5"/>
    <d v="2025-08-27T00:00:00"/>
    <s v="Liaison inter-établissement"/>
    <m/>
    <e v="#N/A"/>
    <e v="#N/A"/>
    <n v="83291"/>
    <m/>
    <s v="SNCF"/>
    <s v="Q3"/>
    <e v="#REF!"/>
    <e v="#REF!"/>
    <e v="#REF!"/>
  </r>
  <r>
    <s v="401000"/>
    <x v="6"/>
    <s v="FOURNISSEURS"/>
    <s v="OD"/>
    <n v="-52.26"/>
    <d v="2025-08-18T00:00:00"/>
    <s v="Liaison établissement 401000 VWR TO"/>
    <m/>
    <e v="#N/A"/>
    <e v="#N/A"/>
    <n v="81174"/>
    <s v="COMMANDE PRODUIT KEENB"/>
    <s v="VWR AVANTOR"/>
    <s v="Q3"/>
    <e v="#REF!"/>
    <e v="#REF!"/>
    <e v="#REF!"/>
  </r>
  <r>
    <s v="401000"/>
    <x v="6"/>
    <s v="FOURNISSEURS"/>
    <s v="OD"/>
    <n v="-52.2"/>
    <d v="2025-02-24T00:00:00"/>
    <s v="Liaison inter-établissement"/>
    <m/>
    <e v="#N/A"/>
    <e v="#N/A"/>
    <n v="71378"/>
    <m/>
    <s v="ORANGE"/>
    <s v="Q1"/>
    <e v="#REF!"/>
    <e v="#REF!"/>
    <e v="#REF!"/>
  </r>
  <r>
    <s v="401000"/>
    <x v="6"/>
    <s v="FOURNISSEURS"/>
    <s v="OD"/>
    <n v="-52.2"/>
    <d v="2025-03-24T00:00:00"/>
    <s v="Liaison inter-établissement"/>
    <m/>
    <e v="#N/A"/>
    <e v="#N/A"/>
    <n v="76232"/>
    <m/>
    <s v="ORANGE"/>
    <s v="Q1"/>
    <e v="#REF!"/>
    <e v="#REF!"/>
    <e v="#REF!"/>
  </r>
  <r>
    <s v="401000"/>
    <x v="6"/>
    <s v="FOURNISSEURS"/>
    <s v="OD"/>
    <n v="-52.2"/>
    <d v="2025-04-28T00:00:00"/>
    <s v="Liaison inter-établissement"/>
    <m/>
    <e v="#N/A"/>
    <e v="#N/A"/>
    <n v="71382"/>
    <m/>
    <s v="ORANGE"/>
    <s v="Q2"/>
    <e v="#REF!"/>
    <e v="#REF!"/>
    <e v="#REF!"/>
  </r>
  <r>
    <s v="401000"/>
    <x v="6"/>
    <s v="FOURNISSEURS"/>
    <s v="OD"/>
    <n v="-51.36"/>
    <d v="2025-04-08T00:00:00"/>
    <s v="Liaison inter-établissement"/>
    <m/>
    <e v="#N/A"/>
    <e v="#N/A"/>
    <n v="69998"/>
    <m/>
    <s v="ROTH SOCHIEL"/>
    <s v="Q2"/>
    <e v="#REF!"/>
    <e v="#REF!"/>
    <e v="#REF!"/>
  </r>
  <r>
    <s v="401000"/>
    <x v="6"/>
    <s v="FOURNISSEURS"/>
    <s v="OD"/>
    <n v="-51"/>
    <d v="2025-03-31T00:00:00"/>
    <s v="Liaison inter-établissement"/>
    <m/>
    <e v="#N/A"/>
    <e v="#N/A"/>
    <n v="69954"/>
    <m/>
    <s v="BONJOUR DRINK"/>
    <s v="Q1"/>
    <e v="#REF!"/>
    <e v="#REF!"/>
    <e v="#REF!"/>
  </r>
  <r>
    <s v="401000"/>
    <x v="6"/>
    <s v="FOURNISSEURS"/>
    <s v="OD"/>
    <n v="-50.98"/>
    <d v="2025-08-18T00:00:00"/>
    <s v="Liaison établissement 401000 VWR TO"/>
    <m/>
    <e v="#N/A"/>
    <e v="#N/A"/>
    <n v="81164"/>
    <s v="COMMANDE PRODUIT KEENB"/>
    <s v="VWR AVANTOR"/>
    <s v="Q3"/>
    <e v="#REF!"/>
    <e v="#REF!"/>
    <e v="#REF!"/>
  </r>
  <r>
    <s v="401000"/>
    <x v="6"/>
    <s v="FOURNISSEURS"/>
    <s v="OD"/>
    <n v="-49.94"/>
    <d v="2025-01-10T00:00:00"/>
    <s v="Liaison inter-établissement"/>
    <m/>
    <e v="#N/A"/>
    <e v="#N/A"/>
    <n v="74906"/>
    <m/>
    <s v="DHL"/>
    <s v="Q1"/>
    <e v="#REF!"/>
    <e v="#REF!"/>
    <e v="#REF!"/>
  </r>
  <r>
    <s v="401000"/>
    <x v="6"/>
    <s v="FOURNISSEURS"/>
    <s v="OD"/>
    <n v="-49.81"/>
    <d v="2025-11-07T00:00:00"/>
    <s v="Liaison établissement 401000 VWR TO"/>
    <m/>
    <e v="#N/A"/>
    <e v="#N/A"/>
    <n v="89435"/>
    <s v="4067825047"/>
    <s v="VWR AVANTOR"/>
    <s v="Q4"/>
    <e v="#REF!"/>
    <e v="#REF!"/>
    <e v="#REF!"/>
  </r>
  <r>
    <s v="401000"/>
    <x v="6"/>
    <s v="FOURNISSEURS"/>
    <s v="OD"/>
    <n v="-49"/>
    <d v="2025-04-08T00:00:00"/>
    <s v="Liaison établissement 401000 TCI TO"/>
    <m/>
    <e v="#N/A"/>
    <e v="#N/A"/>
    <n v="66688"/>
    <s v="Invoice Payment by Pili"/>
    <s v="TCI"/>
    <s v="Q2"/>
    <e v="#REF!"/>
    <e v="#REF!"/>
    <e v="#REF!"/>
  </r>
  <r>
    <s v="401000"/>
    <x v="6"/>
    <s v="FOURNISSEURS"/>
    <s v="OD"/>
    <n v="-48.72"/>
    <d v="2025-07-31T00:00:00"/>
    <s v="Liaison établissement 401000 VWR TO"/>
    <m/>
    <e v="#N/A"/>
    <e v="#N/A"/>
    <n v="79313"/>
    <s v="COMMANDE PRODUIT KEENB"/>
    <s v="VWR AVANTOR"/>
    <s v="Q3"/>
    <e v="#REF!"/>
    <e v="#REF!"/>
    <e v="#REF!"/>
  </r>
  <r>
    <s v="401000"/>
    <x v="6"/>
    <s v="FOURNISSEURS"/>
    <s v="OD"/>
    <n v="-48.07"/>
    <d v="2025-03-28T00:00:00"/>
    <s v="Liaison établissement 401000 VWR TO"/>
    <m/>
    <e v="#N/A"/>
    <e v="#N/A"/>
    <n v="64975"/>
    <s v="Invoice Payment by Pili"/>
    <s v="VWR AVANTOR"/>
    <s v="Q1"/>
    <e v="#REF!"/>
    <e v="#REF!"/>
    <e v="#REF!"/>
  </r>
  <r>
    <s v="401000"/>
    <x v="6"/>
    <s v="FOURNISSEURS"/>
    <s v="OD"/>
    <n v="-47.86"/>
    <d v="2025-01-25T00:00:00"/>
    <s v="Liaison inter-établissement"/>
    <m/>
    <e v="#N/A"/>
    <e v="#N/A"/>
    <n v="63556"/>
    <m/>
    <s v="AUCHAN"/>
    <s v="Q1"/>
    <e v="#REF!"/>
    <e v="#REF!"/>
    <e v="#REF!"/>
  </r>
  <r>
    <s v="401000"/>
    <x v="6"/>
    <s v="FOURNISSEURS"/>
    <s v="OD"/>
    <n v="-47.7"/>
    <d v="2025-09-26T00:00:00"/>
    <s v="Liaison établissement 401000 VWR TO"/>
    <m/>
    <e v="#N/A"/>
    <e v="#N/A"/>
    <n v="82532"/>
    <s v="INVOICE PAYMENT BY PILI"/>
    <s v="VWR AVANTOR"/>
    <s v="Q3"/>
    <e v="#REF!"/>
    <e v="#REF!"/>
    <e v="#REF!"/>
  </r>
  <r>
    <s v="401000"/>
    <x v="6"/>
    <s v="FOURNISSEURS"/>
    <s v="OD"/>
    <n v="-47.54"/>
    <d v="2025-03-21T00:00:00"/>
    <s v="Liaison inter-établissement"/>
    <m/>
    <e v="#N/A"/>
    <e v="#N/A"/>
    <n v="68077"/>
    <m/>
    <s v="BRUNEAU"/>
    <s v="Q1"/>
    <e v="#REF!"/>
    <e v="#REF!"/>
    <e v="#REF!"/>
  </r>
  <r>
    <s v="401000"/>
    <x v="6"/>
    <s v="FOURNISSEURS"/>
    <s v="OD"/>
    <n v="-47.28"/>
    <d v="2025-07-09T00:00:00"/>
    <s v="Liaison établissement 401000 VWR TO"/>
    <m/>
    <e v="#N/A"/>
    <e v="#N/A"/>
    <n v="77243"/>
    <s v="PAPIER FILTRE PAILLASSE"/>
    <s v="VWR AVANTOR"/>
    <s v="Q3"/>
    <e v="#REF!"/>
    <e v="#REF!"/>
    <e v="#REF!"/>
  </r>
  <r>
    <s v="401000"/>
    <x v="6"/>
    <s v="FOURNISSEURS"/>
    <s v="OD"/>
    <n v="-47.18"/>
    <d v="2025-03-28T00:00:00"/>
    <s v="Liaison établissement 401000 VWR TO"/>
    <m/>
    <e v="#N/A"/>
    <e v="#N/A"/>
    <n v="64980"/>
    <s v="Invoice Payment by Pili"/>
    <s v="VWR AVANTOR"/>
    <s v="Q1"/>
    <e v="#REF!"/>
    <e v="#REF!"/>
    <e v="#REF!"/>
  </r>
  <r>
    <s v="401000"/>
    <x v="6"/>
    <s v="FOURNISSEURS"/>
    <s v="OD"/>
    <n v="-46.96"/>
    <d v="2025-12-09T00:00:00"/>
    <s v="Liaison inter-établissement"/>
    <m/>
    <e v="#N/A"/>
    <e v="#N/A"/>
    <n v="91913"/>
    <m/>
    <s v="ENGIE"/>
    <s v="Q4"/>
    <e v="#REF!"/>
    <e v="#REF!"/>
    <e v="#REF!"/>
  </r>
  <r>
    <s v="401000"/>
    <x v="6"/>
    <s v="FOURNISSEURS"/>
    <s v="OD"/>
    <n v="-45.99"/>
    <d v="2025-08-22T00:00:00"/>
    <s v="Liaison inter-établissement"/>
    <m/>
    <e v="#N/A"/>
    <e v="#N/A"/>
    <n v="83295"/>
    <m/>
    <s v="AUER"/>
    <s v="Q3"/>
    <e v="#REF!"/>
    <e v="#REF!"/>
    <e v="#REF!"/>
  </r>
  <r>
    <s v="401000"/>
    <x v="6"/>
    <s v="FOURNISSEURS"/>
    <s v="OD"/>
    <n v="-45.98"/>
    <d v="2025-07-18T00:00:00"/>
    <s v="Liaison inter-établissement"/>
    <m/>
    <e v="#N/A"/>
    <e v="#N/A"/>
    <n v="78871"/>
    <m/>
    <s v="DHL"/>
    <s v="Q3"/>
    <e v="#REF!"/>
    <e v="#REF!"/>
    <e v="#REF!"/>
  </r>
  <r>
    <s v="401000"/>
    <x v="6"/>
    <s v="FOURNISSEURS"/>
    <s v="OD"/>
    <n v="-45.89"/>
    <d v="2025-12-10T00:00:00"/>
    <s v="Liaison établissement 401000 VWR TO"/>
    <m/>
    <e v="#N/A"/>
    <e v="#N/A"/>
    <n v="92056"/>
    <s v="4067855749"/>
    <s v="VWR AVANTOR"/>
    <s v="Q4"/>
    <e v="#REF!"/>
    <e v="#REF!"/>
    <e v="#REF!"/>
  </r>
  <r>
    <s v="401000"/>
    <x v="6"/>
    <s v="FOURNISSEURS"/>
    <s v="OD"/>
    <n v="-45.48"/>
    <d v="2025-09-30T00:00:00"/>
    <s v="Liaison inter-établissement"/>
    <m/>
    <e v="#N/A"/>
    <e v="#N/A"/>
    <n v="83179"/>
    <m/>
    <s v="SENDCLOUD"/>
    <s v="Q3"/>
    <e v="#REF!"/>
    <e v="#REF!"/>
    <e v="#REF!"/>
  </r>
  <r>
    <s v="401000"/>
    <x v="6"/>
    <s v="FOURNISSEURS"/>
    <s v="OD"/>
    <n v="-45"/>
    <d v="2025-01-19T00:00:00"/>
    <s v="Liaison inter-établissement"/>
    <m/>
    <e v="#N/A"/>
    <e v="#N/A"/>
    <n v="64398"/>
    <m/>
    <s v="BOULANGER"/>
    <s v="Q1"/>
    <e v="#REF!"/>
    <e v="#REF!"/>
    <e v="#REF!"/>
  </r>
  <r>
    <s v="401000"/>
    <x v="6"/>
    <s v="FOURNISSEURS"/>
    <s v="OD"/>
    <n v="-45"/>
    <d v="2025-08-02T00:00:00"/>
    <s v="Liaison inter-établissement"/>
    <m/>
    <e v="#N/A"/>
    <e v="#N/A"/>
    <n v="83271"/>
    <m/>
    <s v="ANTAI.GOUV.FR"/>
    <s v="Q3"/>
    <e v="#REF!"/>
    <e v="#REF!"/>
    <e v="#REF!"/>
  </r>
  <r>
    <s v="401000"/>
    <x v="6"/>
    <s v="FOURNISSEURS"/>
    <s v="OD"/>
    <n v="-44.86"/>
    <d v="2025-02-17T00:00:00"/>
    <s v="Liaison inter-établissement"/>
    <m/>
    <e v="#N/A"/>
    <e v="#N/A"/>
    <n v="64342"/>
    <m/>
    <s v="SHOPIFY"/>
    <s v="Q1"/>
    <e v="#REF!"/>
    <e v="#REF!"/>
    <e v="#REF!"/>
  </r>
  <r>
    <s v="401000"/>
    <x v="6"/>
    <s v="FOURNISSEURS"/>
    <s v="OD"/>
    <n v="-44.69"/>
    <d v="2025-03-19T00:00:00"/>
    <s v="Liaison inter-établissement"/>
    <m/>
    <e v="#N/A"/>
    <e v="#N/A"/>
    <n v="70095"/>
    <m/>
    <s v="SHOPIFY"/>
    <s v="Q1"/>
    <e v="#REF!"/>
    <e v="#REF!"/>
    <e v="#REF!"/>
  </r>
  <r>
    <s v="401000"/>
    <x v="6"/>
    <s v="FOURNISSEURS"/>
    <s v="OD"/>
    <n v="-44.66"/>
    <d v="2025-09-26T00:00:00"/>
    <s v="Liaison établissement 401000 VWR TO"/>
    <m/>
    <e v="#N/A"/>
    <e v="#N/A"/>
    <n v="82537"/>
    <s v="INVOICE PAYMENT BY PILI"/>
    <s v="VWR AVANTOR"/>
    <s v="Q3"/>
    <e v="#REF!"/>
    <e v="#REF!"/>
    <e v="#REF!"/>
  </r>
  <r>
    <s v="401000"/>
    <x v="6"/>
    <s v="FOURNISSEURS"/>
    <s v="OD"/>
    <n v="-44.65"/>
    <d v="2025-03-03T00:00:00"/>
    <s v="Liaison inter-établissement"/>
    <m/>
    <e v="#N/A"/>
    <e v="#N/A"/>
    <n v="63842"/>
    <m/>
    <s v="SANITY"/>
    <s v="Q1"/>
    <e v="#REF!"/>
    <e v="#REF!"/>
    <e v="#REF!"/>
  </r>
  <r>
    <s v="401000"/>
    <x v="6"/>
    <s v="FOURNISSEURS"/>
    <s v="OD"/>
    <n v="-44.46"/>
    <d v="2025-05-07T00:00:00"/>
    <s v="Liaison établissement 401000 VWR TO"/>
    <m/>
    <e v="#N/A"/>
    <e v="#N/A"/>
    <n v="71873"/>
    <s v="COMMANDE PRODUIT KEENABIS"/>
    <s v="VWR AVANTOR"/>
    <s v="Q2"/>
    <e v="#REF!"/>
    <e v="#REF!"/>
    <e v="#REF!"/>
  </r>
  <r>
    <s v="401000"/>
    <x v="6"/>
    <s v="FOURNISSEURS"/>
    <s v="OD"/>
    <n v="-44.39"/>
    <d v="2025-04-18T00:00:00"/>
    <s v="Liaison inter-établissement"/>
    <m/>
    <e v="#N/A"/>
    <e v="#N/A"/>
    <n v="74756"/>
    <m/>
    <s v="SHOPIFY"/>
    <s v="Q2"/>
    <e v="#REF!"/>
    <e v="#REF!"/>
    <e v="#REF!"/>
  </r>
  <r>
    <s v="401000"/>
    <x v="6"/>
    <s v="FOURNISSEURS"/>
    <s v="OD"/>
    <n v="-44.27"/>
    <d v="2025-04-08T00:00:00"/>
    <s v="Liaison inter-établissement"/>
    <m/>
    <e v="#N/A"/>
    <e v="#N/A"/>
    <n v="72771"/>
    <m/>
    <s v="ENGIE"/>
    <s v="Q2"/>
    <e v="#REF!"/>
    <e v="#REF!"/>
    <e v="#REF!"/>
  </r>
  <r>
    <s v="401000"/>
    <x v="6"/>
    <s v="FOURNISSEURS"/>
    <s v="OD"/>
    <n v="-44.15"/>
    <d v="2025-06-17T00:00:00"/>
    <s v="Liaison inter-établissement"/>
    <m/>
    <e v="#N/A"/>
    <e v="#N/A"/>
    <n v="78222"/>
    <m/>
    <s v="SHOPIFY"/>
    <s v="Q2"/>
    <e v="#REF!"/>
    <e v="#REF!"/>
    <e v="#REF!"/>
  </r>
  <r>
    <s v="401000"/>
    <x v="6"/>
    <s v="FOURNISSEURS"/>
    <s v="OD"/>
    <n v="-44.13"/>
    <d v="2025-02-07T00:00:00"/>
    <s v="Liaison inter-établissement"/>
    <m/>
    <e v="#N/A"/>
    <e v="#N/A"/>
    <n v="74965"/>
    <m/>
    <s v="ENGIE"/>
    <s v="Q1"/>
    <e v="#REF!"/>
    <e v="#REF!"/>
    <e v="#REF!"/>
  </r>
  <r>
    <s v="401000"/>
    <x v="6"/>
    <s v="FOURNISSEURS"/>
    <s v="OD"/>
    <n v="-44.08"/>
    <d v="2025-05-18T00:00:00"/>
    <s v="Liaison inter-établissement"/>
    <m/>
    <e v="#N/A"/>
    <e v="#N/A"/>
    <n v="75140"/>
    <m/>
    <s v="SHOPIFY"/>
    <s v="Q2"/>
    <e v="#REF!"/>
    <e v="#REF!"/>
    <e v="#REF!"/>
  </r>
  <r>
    <s v="401000"/>
    <x v="6"/>
    <s v="FOURNISSEURS"/>
    <s v="OD"/>
    <n v="-44"/>
    <d v="2025-05-03T00:00:00"/>
    <s v="Liaison inter-établissement"/>
    <m/>
    <e v="#N/A"/>
    <e v="#N/A"/>
    <n v="75116"/>
    <m/>
    <s v="LA FOURCHE"/>
    <s v="Q2"/>
    <e v="#REF!"/>
    <e v="#REF!"/>
    <e v="#REF!"/>
  </r>
  <r>
    <s v="401000"/>
    <x v="6"/>
    <s v="FOURNISSEURS"/>
    <s v="OD"/>
    <n v="-43.9"/>
    <d v="2025-07-17T00:00:00"/>
    <s v="Liaison inter-établissement"/>
    <m/>
    <e v="#N/A"/>
    <e v="#N/A"/>
    <n v="81044"/>
    <m/>
    <s v="SHOPIFY"/>
    <s v="Q3"/>
    <e v="#REF!"/>
    <e v="#REF!"/>
    <e v="#REF!"/>
  </r>
  <r>
    <s v="401000"/>
    <x v="6"/>
    <s v="FOURNISSEURS"/>
    <s v="OD"/>
    <n v="-43.88"/>
    <d v="2025-12-14T00:00:00"/>
    <s v="Liaison inter-établissement"/>
    <m/>
    <e v="#N/A"/>
    <e v="#N/A"/>
    <n v="94107"/>
    <m/>
    <s v="SHOPIFY"/>
    <s v="Q4"/>
    <e v="#REF!"/>
    <e v="#REF!"/>
    <e v="#REF!"/>
  </r>
  <r>
    <s v="401000"/>
    <x v="6"/>
    <s v="FOURNISSEURS"/>
    <s v="OD"/>
    <n v="-43.86"/>
    <d v="2025-11-14T00:00:00"/>
    <s v="Liaison inter-établissement"/>
    <m/>
    <e v="#N/A"/>
    <e v="#N/A"/>
    <n v="91748"/>
    <m/>
    <s v="SHOPIFY"/>
    <s v="Q4"/>
    <e v="#REF!"/>
    <e v="#REF!"/>
    <e v="#REF!"/>
  </r>
  <r>
    <s v="401000"/>
    <x v="6"/>
    <s v="FOURNISSEURS"/>
    <s v="OD"/>
    <n v="-43.82"/>
    <d v="2025-08-16T00:00:00"/>
    <s v="Liaison inter-établissement"/>
    <m/>
    <e v="#N/A"/>
    <e v="#N/A"/>
    <n v="83335"/>
    <m/>
    <s v="SHOPIFY"/>
    <s v="Q3"/>
    <e v="#REF!"/>
    <e v="#REF!"/>
    <e v="#REF!"/>
  </r>
  <r>
    <s v="401000"/>
    <x v="6"/>
    <s v="FOURNISSEURS"/>
    <s v="OD"/>
    <n v="-43.79"/>
    <d v="2025-09-15T00:00:00"/>
    <s v="Liaison inter-établissement"/>
    <m/>
    <e v="#N/A"/>
    <e v="#N/A"/>
    <n v="83339"/>
    <m/>
    <s v="SHOPIFY"/>
    <s v="Q3"/>
    <e v="#REF!"/>
    <e v="#REF!"/>
    <e v="#REF!"/>
  </r>
  <r>
    <s v="401000"/>
    <x v="6"/>
    <s v="FOURNISSEURS"/>
    <s v="OD"/>
    <n v="-43.78"/>
    <d v="2025-10-15T00:00:00"/>
    <s v="Liaison inter-établissement"/>
    <m/>
    <e v="#N/A"/>
    <e v="#N/A"/>
    <n v="89784"/>
    <m/>
    <s v="SHOPIFY"/>
    <s v="Q4"/>
    <e v="#REF!"/>
    <e v="#REF!"/>
    <e v="#REF!"/>
  </r>
  <r>
    <s v="401000"/>
    <x v="6"/>
    <s v="FOURNISSEURS"/>
    <s v="OD"/>
    <n v="-43.78"/>
    <d v="2025-10-15T00:00:00"/>
    <s v="Liaison inter-établissement"/>
    <m/>
    <e v="#N/A"/>
    <e v="#N/A"/>
    <n v="89959"/>
    <m/>
    <s v="SHOPIFY"/>
    <s v="Q4"/>
    <e v="#REF!"/>
    <e v="#REF!"/>
    <e v="#REF!"/>
  </r>
  <r>
    <s v="401000"/>
    <x v="6"/>
    <s v="FOURNISSEURS"/>
    <s v="OD"/>
    <n v="-43.78"/>
    <d v="2025-11-28T00:00:00"/>
    <s v="Liaison établissement 401000 VWR TO"/>
    <m/>
    <e v="#N/A"/>
    <e v="#N/A"/>
    <n v="91254"/>
    <s v="4067843913"/>
    <s v="VWR AVANTOR"/>
    <s v="Q4"/>
    <e v="#REF!"/>
    <e v="#REF!"/>
    <e v="#REF!"/>
  </r>
  <r>
    <s v="401000"/>
    <x v="6"/>
    <s v="FOURNISSEURS"/>
    <s v="OD"/>
    <n v="-43.56"/>
    <d v="2025-03-22T00:00:00"/>
    <s v="Liaison inter-établissement"/>
    <m/>
    <s v="Non"/>
    <e v="#N/A"/>
    <n v="68117"/>
    <m/>
    <s v="DIVERS"/>
    <s v="Q1"/>
    <e v="#REF!"/>
    <e v="#REF!"/>
    <e v="#REF!"/>
  </r>
  <r>
    <s v="401000"/>
    <x v="6"/>
    <s v="FOURNISSEURS"/>
    <s v="OD"/>
    <n v="-43.02"/>
    <d v="2025-05-08T00:00:00"/>
    <s v="Liaison inter-établissement"/>
    <m/>
    <e v="#N/A"/>
    <e v="#N/A"/>
    <n v="78819"/>
    <m/>
    <s v="ENGIE"/>
    <s v="Q2"/>
    <e v="#REF!"/>
    <e v="#REF!"/>
    <e v="#REF!"/>
  </r>
  <r>
    <s v="401000"/>
    <x v="6"/>
    <s v="FOURNISSEURS"/>
    <s v="OD"/>
    <n v="-42.95"/>
    <d v="2025-10-08T00:00:00"/>
    <s v="Liaison inter-établissement"/>
    <m/>
    <e v="#N/A"/>
    <e v="#N/A"/>
    <n v="86949"/>
    <m/>
    <s v="ENGIE"/>
    <s v="Q4"/>
    <e v="#REF!"/>
    <e v="#REF!"/>
    <e v="#REF!"/>
  </r>
  <r>
    <s v="401000"/>
    <x v="6"/>
    <s v="FOURNISSEURS"/>
    <s v="OD"/>
    <n v="-42.78"/>
    <d v="2025-11-07T00:00:00"/>
    <s v="Liaison inter-établissement"/>
    <m/>
    <e v="#N/A"/>
    <e v="#N/A"/>
    <n v="90100"/>
    <m/>
    <s v="ENGIE"/>
    <s v="Q4"/>
    <e v="#REF!"/>
    <e v="#REF!"/>
    <e v="#REF!"/>
  </r>
  <r>
    <s v="401000"/>
    <x v="6"/>
    <s v="FOURNISSEURS"/>
    <s v="OD"/>
    <n v="-42.62"/>
    <d v="2025-07-31T00:00:00"/>
    <s v="Liaison établissement 401000 VWR TO"/>
    <m/>
    <e v="#N/A"/>
    <e v="#N/A"/>
    <n v="79348"/>
    <s v="COMMANDE PRODUIT LABO"/>
    <s v="VWR AVANTOR"/>
    <s v="Q3"/>
    <e v="#REF!"/>
    <e v="#REF!"/>
    <e v="#REF!"/>
  </r>
  <r>
    <s v="401000"/>
    <x v="6"/>
    <s v="FOURNISSEURS"/>
    <s v="OD"/>
    <n v="-42"/>
    <d v="2025-11-13T00:00:00"/>
    <s v="Liaison établissement 401000 VWR TO"/>
    <m/>
    <e v="#N/A"/>
    <e v="#N/A"/>
    <n v="89945"/>
    <s v="PRODUIT CONSOMMABLE LABO"/>
    <s v="VWR AVANTOR"/>
    <s v="Q4"/>
    <e v="#REF!"/>
    <e v="#REF!"/>
    <e v="#REF!"/>
  </r>
  <r>
    <s v="401000"/>
    <x v="6"/>
    <s v="FOURNISSEURS"/>
    <s v="OD"/>
    <n v="-41.96"/>
    <d v="2025-03-11T00:00:00"/>
    <s v="Liaison inter-établissement"/>
    <m/>
    <e v="#N/A"/>
    <e v="#N/A"/>
    <n v="74953"/>
    <m/>
    <s v="ENGIE"/>
    <s v="Q1"/>
    <e v="#REF!"/>
    <e v="#REF!"/>
    <e v="#REF!"/>
  </r>
  <r>
    <s v="401000"/>
    <x v="6"/>
    <s v="FOURNISSEURS"/>
    <s v="OD"/>
    <n v="-41.15"/>
    <d v="2025-09-08T00:00:00"/>
    <s v="Liaison inter-établissement"/>
    <m/>
    <e v="#N/A"/>
    <e v="#N/A"/>
    <n v="82150"/>
    <m/>
    <s v="ENGIE"/>
    <s v="Q3"/>
    <e v="#REF!"/>
    <e v="#REF!"/>
    <e v="#REF!"/>
  </r>
  <r>
    <s v="401000"/>
    <x v="6"/>
    <s v="FOURNISSEURS"/>
    <s v="OD"/>
    <n v="-40.26"/>
    <d v="2025-10-02T00:00:00"/>
    <s v="Liaison inter-établissement"/>
    <m/>
    <e v="#N/A"/>
    <e v="#N/A"/>
    <n v="89780"/>
    <m/>
    <s v="SENDCLOUD"/>
    <s v="Q4"/>
    <e v="#REF!"/>
    <e v="#REF!"/>
    <e v="#REF!"/>
  </r>
  <r>
    <s v="401000"/>
    <x v="6"/>
    <s v="FOURNISSEURS"/>
    <s v="OD"/>
    <n v="-40.18"/>
    <d v="2025-04-02T00:00:00"/>
    <s v="Liaison établissement 401000 ROTH TO"/>
    <m/>
    <e v="#N/A"/>
    <e v="#N/A"/>
    <n v="66514"/>
    <s v="SODIUM LIGNINE SULFONATE"/>
    <s v="ROTH SOCHIEL"/>
    <s v="Q2"/>
    <e v="#REF!"/>
    <e v="#REF!"/>
    <e v="#REF!"/>
  </r>
  <r>
    <s v="401000"/>
    <x v="6"/>
    <s v="FOURNISSEURS"/>
    <s v="OD"/>
    <n v="-39.96"/>
    <d v="2025-09-12T00:00:00"/>
    <s v="Liaison établissement 401000 VWR TO"/>
    <m/>
    <e v="#N/A"/>
    <e v="#N/A"/>
    <n v="82038"/>
    <s v="PRODUIT MUSTANG"/>
    <s v="VWR AVANTOR"/>
    <s v="Q3"/>
    <e v="#REF!"/>
    <e v="#REF!"/>
    <e v="#REF!"/>
  </r>
  <r>
    <s v="401000"/>
    <x v="6"/>
    <s v="FOURNISSEURS"/>
    <s v="OD"/>
    <n v="-39.9"/>
    <d v="2025-05-12T00:00:00"/>
    <s v="Liaison inter-établissement"/>
    <m/>
    <e v="#N/A"/>
    <e v="#N/A"/>
    <n v="75120"/>
    <m/>
    <s v="LA FOURCHE"/>
    <s v="Q2"/>
    <e v="#REF!"/>
    <e v="#REF!"/>
    <e v="#REF!"/>
  </r>
  <r>
    <s v="401000"/>
    <x v="6"/>
    <s v="FOURNISSEURS"/>
    <s v="OD"/>
    <n v="-39.89"/>
    <d v="2025-07-08T00:00:00"/>
    <s v="Liaison inter-établissement"/>
    <m/>
    <e v="#N/A"/>
    <e v="#N/A"/>
    <n v="78855"/>
    <m/>
    <s v="ENGIE"/>
    <s v="Q3"/>
    <e v="#REF!"/>
    <e v="#REF!"/>
    <e v="#REF!"/>
  </r>
  <r>
    <s v="401000"/>
    <x v="6"/>
    <s v="FOURNISSEURS"/>
    <s v="OD"/>
    <n v="-39.75"/>
    <d v="2025-01-18T00:00:00"/>
    <s v="Liaison inter-établissement"/>
    <m/>
    <e v="#N/A"/>
    <e v="#N/A"/>
    <n v="63922"/>
    <m/>
    <s v="TRUFFAUT"/>
    <s v="Q1"/>
    <e v="#REF!"/>
    <e v="#REF!"/>
    <e v="#REF!"/>
  </r>
  <r>
    <s v="401000"/>
    <x v="6"/>
    <s v="FOURNISSEURS"/>
    <s v="OD"/>
    <n v="-39.619999999999997"/>
    <d v="2025-08-21T00:00:00"/>
    <s v="Liaison établissement 401000 VWR TO"/>
    <m/>
    <e v="#N/A"/>
    <e v="#N/A"/>
    <n v="81499"/>
    <s v="COMMANDE PRODUIT KEENB"/>
    <s v="VWR AVANTOR"/>
    <s v="Q3"/>
    <e v="#REF!"/>
    <e v="#REF!"/>
    <e v="#REF!"/>
  </r>
  <r>
    <s v="401000"/>
    <x v="6"/>
    <s v="FOURNISSEURS"/>
    <s v="OD"/>
    <n v="-39.6"/>
    <d v="2025-09-02T00:00:00"/>
    <s v="Liaison inter-établissement"/>
    <m/>
    <e v="#N/A"/>
    <e v="#N/A"/>
    <n v="83187"/>
    <m/>
    <s v="SENDCLOUD"/>
    <s v="Q3"/>
    <e v="#REF!"/>
    <e v="#REF!"/>
    <e v="#REF!"/>
  </r>
  <r>
    <s v="401000"/>
    <x v="6"/>
    <s v="FOURNISSEURS"/>
    <s v="OD"/>
    <n v="-39.6"/>
    <d v="2025-12-02T00:00:00"/>
    <s v="Liaison inter-établissement"/>
    <m/>
    <e v="#N/A"/>
    <e v="#N/A"/>
    <n v="94099"/>
    <m/>
    <s v="SENDCLOUD"/>
    <s v="Q4"/>
    <e v="#REF!"/>
    <e v="#REF!"/>
    <e v="#REF!"/>
  </r>
  <r>
    <s v="401000"/>
    <x v="6"/>
    <s v="FOURNISSEURS"/>
    <s v="OD"/>
    <n v="-39.6"/>
    <d v="2025-12-30T00:00:00"/>
    <s v="Liaison établissement 401000 GUILLARD PREVISA TO"/>
    <m/>
    <e v="#N/A"/>
    <e v="#N/A"/>
    <n v="93740"/>
    <s v="E 25 28105"/>
    <s v="GUILLARD PREVISA"/>
    <s v="Q4"/>
    <e v="#REF!"/>
    <e v="#REF!"/>
    <e v="#REF!"/>
  </r>
  <r>
    <s v="401000"/>
    <x v="6"/>
    <s v="FOURNISSEURS"/>
    <s v="OD"/>
    <n v="-39"/>
    <d v="2025-01-07T00:00:00"/>
    <s v="Liaison inter-établissement"/>
    <m/>
    <e v="#N/A"/>
    <e v="#N/A"/>
    <n v="63886"/>
    <m/>
    <s v="SNCF"/>
    <s v="Q1"/>
    <e v="#REF!"/>
    <e v="#REF!"/>
    <e v="#REF!"/>
  </r>
  <r>
    <s v="401000"/>
    <x v="6"/>
    <s v="FOURNISSEURS"/>
    <s v="OD"/>
    <n v="-39"/>
    <d v="2025-02-06T00:00:00"/>
    <s v="Liaison inter-établissement"/>
    <m/>
    <s v="Non"/>
    <e v="#N/A"/>
    <n v="64282"/>
    <m/>
    <s v="DIVERS"/>
    <s v="Q1"/>
    <e v="#REF!"/>
    <e v="#REF!"/>
    <e v="#REF!"/>
  </r>
  <r>
    <s v="401000"/>
    <x v="6"/>
    <s v="FOURNISSEURS"/>
    <s v="OD"/>
    <n v="-39"/>
    <d v="2025-03-04T00:00:00"/>
    <s v="Liaison inter-établissement"/>
    <m/>
    <e v="#N/A"/>
    <e v="#N/A"/>
    <n v="66754"/>
    <m/>
    <s v="SNCF"/>
    <s v="Q1"/>
    <e v="#REF!"/>
    <e v="#REF!"/>
    <e v="#REF!"/>
  </r>
  <r>
    <s v="401000"/>
    <x v="6"/>
    <s v="FOURNISSEURS"/>
    <s v="OD"/>
    <n v="-39"/>
    <d v="2025-03-11T00:00:00"/>
    <s v="Liaison inter-établissement"/>
    <m/>
    <e v="#N/A"/>
    <e v="#N/A"/>
    <n v="70015"/>
    <m/>
    <s v="SNCF"/>
    <s v="Q1"/>
    <e v="#REF!"/>
    <e v="#REF!"/>
    <e v="#REF!"/>
  </r>
  <r>
    <s v="401000"/>
    <x v="6"/>
    <s v="FOURNISSEURS"/>
    <s v="OD"/>
    <n v="-38.799999999999997"/>
    <d v="2025-12-19T00:00:00"/>
    <s v="Liaison établissement 401000 CHATEAU TO"/>
    <m/>
    <e v="#N/A"/>
    <e v="#N/A"/>
    <n v="92687"/>
    <s v="31/05713557"/>
    <s v="CHATEAUDEAU"/>
    <s v="Q4"/>
    <e v="#REF!"/>
    <e v="#REF!"/>
    <e v="#REF!"/>
  </r>
  <r>
    <s v="401000"/>
    <x v="6"/>
    <s v="FOURNISSEURS"/>
    <s v="OD"/>
    <n v="-38.590000000000003"/>
    <d v="2025-08-21T00:00:00"/>
    <s v="Liaison établissement 401000 VWR TO"/>
    <m/>
    <e v="#N/A"/>
    <e v="#N/A"/>
    <n v="81509"/>
    <s v="COMMANDE PRODUIT MUSTANG"/>
    <s v="VWR AVANTOR"/>
    <s v="Q3"/>
    <e v="#REF!"/>
    <e v="#REF!"/>
    <e v="#REF!"/>
  </r>
  <r>
    <s v="401000"/>
    <x v="6"/>
    <s v="FOURNISSEURS"/>
    <s v="OD"/>
    <n v="-38.28"/>
    <d v="2025-01-01T00:00:00"/>
    <s v="Liaison inter-établissement"/>
    <m/>
    <e v="#N/A"/>
    <e v="#N/A"/>
    <n v="63616"/>
    <m/>
    <s v="BRUNEAU"/>
    <s v="Q1"/>
    <e v="#REF!"/>
    <e v="#REF!"/>
    <e v="#REF!"/>
  </r>
  <r>
    <s v="401000"/>
    <x v="6"/>
    <s v="FOURNISSEURS"/>
    <s v="OD"/>
    <n v="-38.21"/>
    <d v="2025-04-02T00:00:00"/>
    <s v="Liaison établissement 401000 VWR TO"/>
    <m/>
    <e v="#N/A"/>
    <e v="#N/A"/>
    <n v="66509"/>
    <s v="Invoice Payment by Pili"/>
    <s v="VWR AVANTOR"/>
    <s v="Q2"/>
    <e v="#REF!"/>
    <e v="#REF!"/>
    <e v="#REF!"/>
  </r>
  <r>
    <s v="401000"/>
    <x v="6"/>
    <s v="FOURNISSEURS"/>
    <s v="OD"/>
    <n v="-38.020000000000003"/>
    <d v="2025-07-31T00:00:00"/>
    <s v="Liaison établissement 401000 VWR TO"/>
    <m/>
    <e v="#N/A"/>
    <e v="#N/A"/>
    <n v="79323"/>
    <s v="COMMANDE CONSOMMABLE LABO"/>
    <s v="VWR AVANTOR"/>
    <s v="Q3"/>
    <e v="#REF!"/>
    <e v="#REF!"/>
    <e v="#REF!"/>
  </r>
  <r>
    <s v="401000"/>
    <x v="6"/>
    <s v="FOURNISSEURS"/>
    <s v="OD"/>
    <n v="-38"/>
    <d v="2025-06-10T00:00:00"/>
    <s v="Liaison inter-établissement"/>
    <m/>
    <e v="#N/A"/>
    <e v="#N/A"/>
    <n v="78839"/>
    <m/>
    <s v="ENGIE"/>
    <s v="Q2"/>
    <e v="#REF!"/>
    <e v="#REF!"/>
    <e v="#REF!"/>
  </r>
  <r>
    <s v="401000"/>
    <x v="6"/>
    <s v="FOURNISSEURS"/>
    <s v="OD"/>
    <n v="-37.94"/>
    <d v="2025-08-07T00:00:00"/>
    <s v="Liaison inter-établissement"/>
    <m/>
    <e v="#N/A"/>
    <e v="#N/A"/>
    <n v="87115"/>
    <m/>
    <s v="ENGIE"/>
    <s v="Q3"/>
    <e v="#REF!"/>
    <e v="#REF!"/>
    <e v="#REF!"/>
  </r>
  <r>
    <s v="401000"/>
    <x v="6"/>
    <s v="FOURNISSEURS"/>
    <s v="OD"/>
    <n v="-36.86"/>
    <d v="2025-05-07T00:00:00"/>
    <s v="Liaison établissement 401000 VWR TO"/>
    <m/>
    <e v="#N/A"/>
    <e v="#N/A"/>
    <n v="71858"/>
    <s v="AIGUILLES 10ML (12ML) 3-PIÈCES"/>
    <s v="VWR AVANTOR"/>
    <s v="Q2"/>
    <e v="#REF!"/>
    <e v="#REF!"/>
    <e v="#REF!"/>
  </r>
  <r>
    <s v="401000"/>
    <x v="6"/>
    <s v="FOURNISSEURS"/>
    <s v="OD"/>
    <n v="-36.86"/>
    <d v="2025-08-21T00:00:00"/>
    <s v="Liaison établissement 401000 VWR TO"/>
    <m/>
    <e v="#N/A"/>
    <e v="#N/A"/>
    <n v="81524"/>
    <s v="COMMANDE CONSOMMABLES LABO"/>
    <s v="VWR AVANTOR"/>
    <s v="Q3"/>
    <e v="#REF!"/>
    <e v="#REF!"/>
    <e v="#REF!"/>
  </r>
  <r>
    <s v="401000"/>
    <x v="6"/>
    <s v="FOURNISSEURS"/>
    <s v="OD"/>
    <n v="-36.200000000000003"/>
    <d v="2025-01-16T00:00:00"/>
    <s v="Liaison inter-établissement"/>
    <m/>
    <s v="Non"/>
    <e v="#N/A"/>
    <n v="60045"/>
    <m/>
    <s v="DIVERS"/>
    <s v="Q1"/>
    <e v="#REF!"/>
    <e v="#REF!"/>
    <e v="#REF!"/>
  </r>
  <r>
    <s v="401000"/>
    <x v="6"/>
    <s v="FOURNISSEURS"/>
    <s v="OD"/>
    <n v="-36.06"/>
    <d v="2025-01-18T00:00:00"/>
    <s v="Liaison inter-établissement"/>
    <m/>
    <s v="Non"/>
    <e v="#N/A"/>
    <n v="60041"/>
    <m/>
    <s v="DIVERS"/>
    <s v="Q1"/>
    <e v="#REF!"/>
    <e v="#REF!"/>
    <e v="#REF!"/>
  </r>
  <r>
    <s v="401000"/>
    <x v="6"/>
    <s v="FOURNISSEURS"/>
    <s v="OD"/>
    <n v="-36.020000000000003"/>
    <d v="2025-05-07T00:00:00"/>
    <s v="Liaison établissement 401000 VWR TO"/>
    <m/>
    <e v="#N/A"/>
    <e v="#N/A"/>
    <n v="71878"/>
    <s v="HYDROGENE PEROXYDE 30% PH"/>
    <s v="VWR AVANTOR"/>
    <s v="Q2"/>
    <e v="#REF!"/>
    <e v="#REF!"/>
    <e v="#REF!"/>
  </r>
  <r>
    <s v="401000"/>
    <x v="6"/>
    <s v="FOURNISSEURS"/>
    <s v="OD"/>
    <n v="-36.020000000000003"/>
    <d v="2025-08-18T00:00:00"/>
    <s v="Liaison établissement 401000 VWR TO"/>
    <m/>
    <e v="#N/A"/>
    <e v="#N/A"/>
    <n v="81159"/>
    <s v="COMMANDE PRODUIT KEENB"/>
    <s v="VWR AVANTOR"/>
    <s v="Q3"/>
    <e v="#REF!"/>
    <e v="#REF!"/>
    <e v="#REF!"/>
  </r>
  <r>
    <s v="401000"/>
    <x v="6"/>
    <s v="FOURNISSEURS"/>
    <s v="OD"/>
    <n v="-36"/>
    <d v="2025-04-04T00:00:00"/>
    <s v="Liaison inter-établissement"/>
    <m/>
    <s v="Non"/>
    <s v="Oui"/>
    <n v="74802"/>
    <m/>
    <s v="AXELERA"/>
    <s v="Q2"/>
    <e v="#REF!"/>
    <e v="#REF!"/>
    <e v="#REF!"/>
  </r>
  <r>
    <s v="401000"/>
    <x v="6"/>
    <s v="FOURNISSEURS"/>
    <s v="OD"/>
    <n v="-35.99"/>
    <d v="2025-08-29T00:00:00"/>
    <s v="Liaison inter-établissement"/>
    <m/>
    <e v="#N/A"/>
    <e v="#N/A"/>
    <n v="82154"/>
    <m/>
    <s v="RICOH"/>
    <s v="Q3"/>
    <e v="#REF!"/>
    <e v="#REF!"/>
    <e v="#REF!"/>
  </r>
  <r>
    <s v="401000"/>
    <x v="6"/>
    <s v="FOURNISSEURS"/>
    <s v="OD"/>
    <n v="-35.71"/>
    <d v="2025-05-07T00:00:00"/>
    <s v="Liaison établissement 401000 VWR TO"/>
    <m/>
    <e v="#N/A"/>
    <e v="#N/A"/>
    <n v="71823"/>
    <s v="MÉTHYLAMINE (SOLUTION AQUEUSE À 40%)"/>
    <s v="VWR AVANTOR"/>
    <s v="Q2"/>
    <e v="#REF!"/>
    <e v="#REF!"/>
    <e v="#REF!"/>
  </r>
  <r>
    <s v="401000"/>
    <x v="6"/>
    <s v="FOURNISSEURS"/>
    <s v="OD"/>
    <n v="-35.700000000000003"/>
    <d v="2025-08-31T00:00:00"/>
    <s v="Liaison inter-établissement"/>
    <m/>
    <e v="#N/A"/>
    <e v="#N/A"/>
    <n v="90156"/>
    <m/>
    <s v="LA POSTE"/>
    <s v="Q3"/>
    <e v="#REF!"/>
    <e v="#REF!"/>
    <e v="#REF!"/>
  </r>
  <r>
    <s v="401000"/>
    <x v="6"/>
    <s v="FOURNISSEURS"/>
    <s v="OD"/>
    <n v="-35.04"/>
    <d v="2025-04-02T00:00:00"/>
    <s v="Liaison inter-établissement"/>
    <m/>
    <e v="#N/A"/>
    <e v="#N/A"/>
    <n v="74748"/>
    <m/>
    <s v="SENDCLOUD"/>
    <s v="Q2"/>
    <e v="#REF!"/>
    <e v="#REF!"/>
    <e v="#REF!"/>
  </r>
  <r>
    <s v="401000"/>
    <x v="6"/>
    <s v="FOURNISSEURS"/>
    <s v="OD"/>
    <n v="-35.04"/>
    <d v="2025-07-02T00:00:00"/>
    <s v="Liaison inter-établissement"/>
    <m/>
    <e v="#N/A"/>
    <e v="#N/A"/>
    <n v="80970"/>
    <m/>
    <s v="SENDCLOUD"/>
    <s v="Q3"/>
    <e v="#REF!"/>
    <e v="#REF!"/>
    <e v="#REF!"/>
  </r>
  <r>
    <s v="401000"/>
    <x v="6"/>
    <s v="FOURNISSEURS"/>
    <s v="OD"/>
    <n v="-34.799999999999997"/>
    <d v="2025-01-02T00:00:00"/>
    <s v="Liaison inter-établissement"/>
    <m/>
    <e v="#N/A"/>
    <e v="#N/A"/>
    <n v="63846"/>
    <m/>
    <s v="SENDCLOUD"/>
    <s v="Q1"/>
    <e v="#REF!"/>
    <e v="#REF!"/>
    <e v="#REF!"/>
  </r>
  <r>
    <s v="401000"/>
    <x v="6"/>
    <s v="FOURNISSEURS"/>
    <s v="OD"/>
    <n v="-34.799999999999997"/>
    <d v="2025-02-02T00:00:00"/>
    <s v="Liaison inter-établissement"/>
    <m/>
    <e v="#N/A"/>
    <e v="#N/A"/>
    <n v="64338"/>
    <m/>
    <s v="SENDCLOUD"/>
    <s v="Q1"/>
    <e v="#REF!"/>
    <e v="#REF!"/>
    <e v="#REF!"/>
  </r>
  <r>
    <s v="401000"/>
    <x v="6"/>
    <s v="FOURNISSEURS"/>
    <s v="OD"/>
    <n v="-34.799999999999997"/>
    <d v="2025-03-02T00:00:00"/>
    <s v="Liaison inter-établissement"/>
    <m/>
    <e v="#N/A"/>
    <e v="#N/A"/>
    <n v="70087"/>
    <m/>
    <s v="SENDCLOUD"/>
    <s v="Q1"/>
    <e v="#REF!"/>
    <e v="#REF!"/>
    <e v="#REF!"/>
  </r>
  <r>
    <s v="401000"/>
    <x v="6"/>
    <s v="FOURNISSEURS"/>
    <s v="OD"/>
    <n v="-34.799999999999997"/>
    <d v="2025-05-02T00:00:00"/>
    <s v="Liaison inter-établissement"/>
    <m/>
    <e v="#N/A"/>
    <e v="#N/A"/>
    <n v="75108"/>
    <m/>
    <s v="SENDCLOUD"/>
    <s v="Q2"/>
    <e v="#REF!"/>
    <e v="#REF!"/>
    <e v="#REF!"/>
  </r>
  <r>
    <s v="401000"/>
    <x v="6"/>
    <s v="FOURNISSEURS"/>
    <s v="OD"/>
    <n v="-34.799999999999997"/>
    <d v="2025-06-02T00:00:00"/>
    <s v="Liaison inter-établissement"/>
    <m/>
    <e v="#N/A"/>
    <e v="#N/A"/>
    <n v="78206"/>
    <m/>
    <s v="SENDCLOUD"/>
    <s v="Q2"/>
    <e v="#REF!"/>
    <e v="#REF!"/>
    <e v="#REF!"/>
  </r>
  <r>
    <s v="401000"/>
    <x v="6"/>
    <s v="FOURNISSEURS"/>
    <s v="OD"/>
    <n v="-34.799999999999997"/>
    <d v="2025-08-02T00:00:00"/>
    <s v="Liaison inter-établissement"/>
    <m/>
    <e v="#N/A"/>
    <e v="#N/A"/>
    <n v="83315"/>
    <m/>
    <s v="SENDCLOUD"/>
    <s v="Q3"/>
    <e v="#REF!"/>
    <e v="#REF!"/>
    <e v="#REF!"/>
  </r>
  <r>
    <s v="401000"/>
    <x v="6"/>
    <s v="FOURNISSEURS"/>
    <s v="OD"/>
    <n v="-34.799999999999997"/>
    <d v="2025-12-24T00:00:00"/>
    <s v="Liaison inter-établissement"/>
    <m/>
    <e v="#N/A"/>
    <e v="#N/A"/>
    <n v="94151"/>
    <m/>
    <s v="LPI CONSEIL"/>
    <s v="Q4"/>
    <e v="#REF!"/>
    <e v="#REF!"/>
    <e v="#REF!"/>
  </r>
  <r>
    <s v="401000"/>
    <x v="6"/>
    <s v="FOURNISSEURS"/>
    <s v="OD"/>
    <n v="-33.590000000000003"/>
    <d v="2025-10-22T00:00:00"/>
    <s v="Liaison inter-établissement"/>
    <m/>
    <e v="#N/A"/>
    <e v="#N/A"/>
    <n v="89726"/>
    <m/>
    <s v="BRUNEAU"/>
    <s v="Q4"/>
    <e v="#REF!"/>
    <e v="#REF!"/>
    <e v="#REF!"/>
  </r>
  <r>
    <s v="401000"/>
    <x v="6"/>
    <s v="FOURNISSEURS"/>
    <s v="OD"/>
    <n v="-33.42"/>
    <d v="2025-03-01T00:00:00"/>
    <s v="Liaison inter-établissement"/>
    <m/>
    <e v="#N/A"/>
    <e v="#N/A"/>
    <n v="70043"/>
    <m/>
    <s v="MANUTAN"/>
    <s v="Q1"/>
    <e v="#REF!"/>
    <e v="#REF!"/>
    <e v="#REF!"/>
  </r>
  <r>
    <s v="401000"/>
    <x v="6"/>
    <s v="FOURNISSEURS"/>
    <s v="OD"/>
    <n v="-33"/>
    <d v="2025-03-28T00:00:00"/>
    <s v="Liaison inter-établissement"/>
    <m/>
    <e v="#N/A"/>
    <e v="#N/A"/>
    <n v="68017"/>
    <m/>
    <s v="BLD PHARMATECH"/>
    <s v="Q1"/>
    <e v="#REF!"/>
    <e v="#REF!"/>
    <e v="#REF!"/>
  </r>
  <r>
    <s v="401000"/>
    <x v="6"/>
    <s v="FOURNISSEURS"/>
    <s v="OD"/>
    <n v="-32.99"/>
    <d v="2025-07-04T00:00:00"/>
    <s v="Liaison inter-établissement"/>
    <m/>
    <e v="#N/A"/>
    <e v="#N/A"/>
    <n v="89678"/>
    <m/>
    <s v="BOUYGUES TELECOM"/>
    <s v="Q3"/>
    <e v="#REF!"/>
    <e v="#REF!"/>
    <e v="#REF!"/>
  </r>
  <r>
    <s v="401000"/>
    <x v="6"/>
    <s v="FOURNISSEURS"/>
    <s v="OD"/>
    <n v="-32.99"/>
    <d v="2025-08-05T00:00:00"/>
    <s v="Liaison inter-établissement"/>
    <m/>
    <e v="#N/A"/>
    <e v="#N/A"/>
    <n v="87107"/>
    <m/>
    <s v="BOUYGUES TELECOM"/>
    <s v="Q3"/>
    <e v="#REF!"/>
    <e v="#REF!"/>
    <e v="#REF!"/>
  </r>
  <r>
    <s v="401000"/>
    <x v="6"/>
    <s v="FOURNISSEURS"/>
    <s v="OD"/>
    <n v="-32.99"/>
    <d v="2025-09-20T00:00:00"/>
    <s v="Liaison inter-établissement"/>
    <m/>
    <e v="#N/A"/>
    <e v="#N/A"/>
    <n v="82809"/>
    <m/>
    <s v="BOUYGUES TELECOM"/>
    <s v="Q3"/>
    <e v="#REF!"/>
    <e v="#REF!"/>
    <e v="#REF!"/>
  </r>
  <r>
    <s v="401000"/>
    <x v="6"/>
    <s v="FOURNISSEURS"/>
    <s v="OD"/>
    <n v="-32.99"/>
    <d v="2025-10-06T00:00:00"/>
    <s v="Liaison inter-établissement"/>
    <m/>
    <e v="#N/A"/>
    <e v="#N/A"/>
    <n v="87111"/>
    <m/>
    <s v="BOUYGUES TELECOM"/>
    <s v="Q4"/>
    <e v="#REF!"/>
    <e v="#REF!"/>
    <e v="#REF!"/>
  </r>
  <r>
    <s v="401000"/>
    <x v="6"/>
    <s v="FOURNISSEURS"/>
    <s v="OD"/>
    <n v="-32.99"/>
    <d v="2025-11-05T00:00:00"/>
    <s v="Liaison inter-établissement"/>
    <m/>
    <e v="#N/A"/>
    <e v="#N/A"/>
    <n v="90115"/>
    <m/>
    <s v="BOUYGUES TELECOM"/>
    <s v="Q4"/>
    <e v="#REF!"/>
    <e v="#REF!"/>
    <e v="#REF!"/>
  </r>
  <r>
    <s v="401000"/>
    <x v="6"/>
    <s v="FOURNISSEURS"/>
    <s v="OD"/>
    <n v="-32.99"/>
    <d v="2025-12-05T00:00:00"/>
    <s v="Liaison inter-établissement"/>
    <m/>
    <e v="#N/A"/>
    <e v="#N/A"/>
    <n v="91925"/>
    <m/>
    <s v="BOUYGUES TELECOM"/>
    <s v="Q4"/>
    <e v="#REF!"/>
    <e v="#REF!"/>
    <e v="#REF!"/>
  </r>
  <r>
    <s v="401000"/>
    <x v="6"/>
    <s v="FOURNISSEURS"/>
    <s v="OD"/>
    <n v="-32.93"/>
    <d v="2025-04-02T00:00:00"/>
    <s v="Liaison établissement 401000 ROTH TO"/>
    <m/>
    <e v="#N/A"/>
    <e v="#N/A"/>
    <n v="66519"/>
    <s v="TRIÉTHYLÈNEGLYCOL"/>
    <s v="ROTH SOCHIEL"/>
    <s v="Q2"/>
    <e v="#REF!"/>
    <e v="#REF!"/>
    <e v="#REF!"/>
  </r>
  <r>
    <s v="401000"/>
    <x v="6"/>
    <s v="FOURNISSEURS"/>
    <s v="OD"/>
    <n v="-32.92"/>
    <d v="2025-03-18T00:00:00"/>
    <s v="Liaison inter-établissement"/>
    <m/>
    <e v="#N/A"/>
    <e v="#N/A"/>
    <n v="63938"/>
    <m/>
    <s v="VWR AVANTOR"/>
    <s v="Q1"/>
    <e v="#REF!"/>
    <e v="#REF!"/>
    <e v="#REF!"/>
  </r>
  <r>
    <s v="401000"/>
    <x v="6"/>
    <s v="FOURNISSEURS"/>
    <s v="OD"/>
    <n v="-32.85"/>
    <d v="2025-06-18T00:00:00"/>
    <s v="Liaison inter-établissement"/>
    <m/>
    <e v="#N/A"/>
    <e v="#N/A"/>
    <n v="78258"/>
    <m/>
    <s v="MONDROGUISTE"/>
    <s v="Q2"/>
    <e v="#REF!"/>
    <e v="#REF!"/>
    <e v="#REF!"/>
  </r>
  <r>
    <s v="401000"/>
    <x v="6"/>
    <s v="FOURNISSEURS"/>
    <s v="OD"/>
    <n v="-32.83"/>
    <d v="2025-10-06T00:00:00"/>
    <s v="Liaison établissement 401000 VWR TO"/>
    <m/>
    <e v="#N/A"/>
    <e v="#N/A"/>
    <n v="82922"/>
    <s v="CONSOMMABLE LABO"/>
    <s v="VWR AVANTOR"/>
    <s v="Q4"/>
    <e v="#REF!"/>
    <e v="#REF!"/>
    <e v="#REF!"/>
  </r>
  <r>
    <s v="401000"/>
    <x v="6"/>
    <s v="FOURNISSEURS"/>
    <s v="OD"/>
    <n v="-32.020000000000003"/>
    <d v="2025-12-04T00:00:00"/>
    <s v="Liaison inter-établissement"/>
    <m/>
    <e v="#N/A"/>
    <e v="#N/A"/>
    <n v="92968"/>
    <m/>
    <s v="EAU DU GRAND LYON"/>
    <s v="Q4"/>
    <e v="#REF!"/>
    <e v="#REF!"/>
    <e v="#REF!"/>
  </r>
  <r>
    <s v="401000"/>
    <x v="6"/>
    <s v="FOURNISSEURS"/>
    <s v="OD"/>
    <n v="-31.79"/>
    <d v="2025-01-18T00:00:00"/>
    <s v="Liaison inter-établissement"/>
    <m/>
    <s v="Non"/>
    <e v="#N/A"/>
    <n v="60049"/>
    <m/>
    <s v="DIVERS"/>
    <s v="Q1"/>
    <e v="#REF!"/>
    <e v="#REF!"/>
    <e v="#REF!"/>
  </r>
  <r>
    <s v="401000"/>
    <x v="6"/>
    <s v="FOURNISSEURS"/>
    <s v="OD"/>
    <n v="-31.58"/>
    <d v="2025-06-03T00:00:00"/>
    <s v="Liaison inter-établissement"/>
    <m/>
    <e v="#N/A"/>
    <e v="#N/A"/>
    <n v="82829"/>
    <m/>
    <s v="EAU DU GRAND LYON"/>
    <s v="Q2"/>
    <e v="#REF!"/>
    <e v="#REF!"/>
    <e v="#REF!"/>
  </r>
  <r>
    <s v="401000"/>
    <x v="6"/>
    <s v="FOURNISSEURS"/>
    <s v="OD"/>
    <n v="-31.32"/>
    <d v="2025-03-14T00:00:00"/>
    <s v="Liaison établissement 401000 ROTH TO"/>
    <m/>
    <e v="#N/A"/>
    <e v="#N/A"/>
    <n v="61668"/>
    <s v="Paiement Roth"/>
    <s v="ROTH SOCHIEL"/>
    <s v="Q1"/>
    <e v="#REF!"/>
    <e v="#REF!"/>
    <e v="#REF!"/>
  </r>
  <r>
    <s v="401000"/>
    <x v="6"/>
    <s v="FOURNISSEURS"/>
    <s v="OD"/>
    <n v="-30.23"/>
    <d v="2025-10-07T00:00:00"/>
    <s v="Liaison inter-établissement"/>
    <m/>
    <e v="#N/A"/>
    <e v="#N/A"/>
    <n v="86953"/>
    <m/>
    <s v="ENGIE"/>
    <s v="Q4"/>
    <e v="#REF!"/>
    <e v="#REF!"/>
    <e v="#REF!"/>
  </r>
  <r>
    <s v="401000"/>
    <x v="6"/>
    <s v="FOURNISSEURS"/>
    <s v="OD"/>
    <n v="-30"/>
    <d v="2025-06-16T00:00:00"/>
    <s v="Liaison établissement 401000 BIOTIKA TO"/>
    <s v="Non"/>
    <e v="#N/A"/>
    <e v="#N/A"/>
    <n v="76052"/>
    <s v="TRANSPORT COSTS"/>
    <s v="BIOTIKA"/>
    <s v="Q2"/>
    <e v="#REF!"/>
    <e v="#REF!"/>
    <e v="#REF!"/>
  </r>
  <r>
    <s v="401000"/>
    <x v="6"/>
    <s v="FOURNISSEURS"/>
    <s v="OD"/>
    <n v="-30"/>
    <d v="2025-08-25T00:00:00"/>
    <s v="Liaison inter-établissement"/>
    <m/>
    <e v="#N/A"/>
    <e v="#N/A"/>
    <n v="83347"/>
    <m/>
    <s v="MAILJET"/>
    <s v="Q3"/>
    <e v="#REF!"/>
    <e v="#REF!"/>
    <e v="#REF!"/>
  </r>
  <r>
    <s v="401000"/>
    <x v="6"/>
    <s v="FOURNISSEURS"/>
    <s v="OD"/>
    <n v="-30"/>
    <d v="2025-09-25T00:00:00"/>
    <s v="Liaison inter-établissement"/>
    <m/>
    <e v="#N/A"/>
    <e v="#N/A"/>
    <n v="83351"/>
    <m/>
    <s v="MAILJET"/>
    <s v="Q3"/>
    <e v="#REF!"/>
    <e v="#REF!"/>
    <e v="#REF!"/>
  </r>
  <r>
    <s v="401000"/>
    <x v="6"/>
    <s v="FOURNISSEURS"/>
    <s v="OD"/>
    <n v="-30"/>
    <d v="2025-10-25T00:00:00"/>
    <s v="Liaison inter-établissement"/>
    <m/>
    <e v="#N/A"/>
    <e v="#N/A"/>
    <n v="89764"/>
    <m/>
    <s v="MAILJET"/>
    <s v="Q4"/>
    <e v="#REF!"/>
    <e v="#REF!"/>
    <e v="#REF!"/>
  </r>
  <r>
    <s v="401000"/>
    <x v="6"/>
    <s v="FOURNISSEURS"/>
    <s v="OD"/>
    <n v="-30"/>
    <d v="2025-11-03T00:00:00"/>
    <s v="Liaison inter-établissement"/>
    <m/>
    <e v="#N/A"/>
    <e v="#N/A"/>
    <n v="91632"/>
    <m/>
    <s v="COOKIEBOT"/>
    <s v="Q4"/>
    <e v="#REF!"/>
    <e v="#REF!"/>
    <e v="#REF!"/>
  </r>
  <r>
    <s v="401000"/>
    <x v="6"/>
    <s v="FOURNISSEURS"/>
    <s v="OD"/>
    <n v="-30"/>
    <d v="2025-11-25T00:00:00"/>
    <s v="Liaison inter-établissement"/>
    <m/>
    <e v="#N/A"/>
    <e v="#N/A"/>
    <n v="91672"/>
    <m/>
    <s v="MAILJET"/>
    <s v="Q4"/>
    <e v="#REF!"/>
    <e v="#REF!"/>
    <e v="#REF!"/>
  </r>
  <r>
    <s v="401000"/>
    <x v="6"/>
    <s v="FOURNISSEURS"/>
    <s v="OD"/>
    <n v="-30"/>
    <d v="2025-12-03T00:00:00"/>
    <s v="Liaison inter-établissement"/>
    <m/>
    <e v="#N/A"/>
    <e v="#N/A"/>
    <n v="94075"/>
    <m/>
    <s v="COOKIEBOT"/>
    <s v="Q4"/>
    <e v="#REF!"/>
    <e v="#REF!"/>
    <e v="#REF!"/>
  </r>
  <r>
    <s v="401000"/>
    <x v="6"/>
    <s v="FOURNISSEURS"/>
    <s v="OD"/>
    <n v="-30"/>
    <d v="2025-12-25T00:00:00"/>
    <s v="Liaison inter-établissement"/>
    <m/>
    <e v="#N/A"/>
    <e v="#N/A"/>
    <n v="94091"/>
    <m/>
    <s v="MAILJET"/>
    <s v="Q4"/>
    <e v="#REF!"/>
    <e v="#REF!"/>
    <e v="#REF!"/>
  </r>
  <r>
    <s v="401000"/>
    <x v="6"/>
    <s v="FOURNISSEURS"/>
    <s v="OD"/>
    <n v="-29.95"/>
    <d v="2025-07-25T00:00:00"/>
    <s v="Liaison inter-établissement"/>
    <m/>
    <e v="#N/A"/>
    <e v="#N/A"/>
    <n v="81048"/>
    <m/>
    <s v="MAILJET"/>
    <s v="Q3"/>
    <e v="#REF!"/>
    <e v="#REF!"/>
    <e v="#REF!"/>
  </r>
  <r>
    <s v="401000"/>
    <x v="6"/>
    <s v="FOURNISSEURS"/>
    <s v="OD"/>
    <n v="-29.86"/>
    <d v="2025-03-18T00:00:00"/>
    <s v="Liaison inter-établissement"/>
    <m/>
    <e v="#N/A"/>
    <e v="#N/A"/>
    <n v="64466"/>
    <m/>
    <s v="VWR AVANTOR"/>
    <s v="Q1"/>
    <e v="#REF!"/>
    <e v="#REF!"/>
    <e v="#REF!"/>
  </r>
  <r>
    <s v="401000"/>
    <x v="6"/>
    <s v="FOURNISSEURS"/>
    <s v="OD"/>
    <n v="-29.27"/>
    <d v="2025-07-07T00:00:00"/>
    <s v="Liaison inter-établissement"/>
    <m/>
    <e v="#N/A"/>
    <e v="#N/A"/>
    <n v="78851"/>
    <m/>
    <s v="ENGIE"/>
    <s v="Q3"/>
    <e v="#REF!"/>
    <e v="#REF!"/>
    <e v="#REF!"/>
  </r>
  <r>
    <s v="401000"/>
    <x v="6"/>
    <s v="FOURNISSEURS"/>
    <s v="OD"/>
    <n v="-28.6"/>
    <d v="2025-11-19T00:00:00"/>
    <s v="Liaison établissement 401000 BIOTIKA TO"/>
    <s v="Non"/>
    <e v="#N/A"/>
    <e v="#N/A"/>
    <n v="90488"/>
    <s v="91250169"/>
    <s v="BIOTIKA"/>
    <s v="Q4"/>
    <e v="#REF!"/>
    <e v="#REF!"/>
    <e v="#REF!"/>
  </r>
  <r>
    <s v="401000"/>
    <x v="6"/>
    <s v="FOURNISSEURS"/>
    <s v="OD"/>
    <n v="-28.22"/>
    <d v="2025-05-30T00:00:00"/>
    <s v="Liaison inter-établissement"/>
    <m/>
    <e v="#N/A"/>
    <e v="#N/A"/>
    <n v="75027"/>
    <m/>
    <s v="DHL"/>
    <s v="Q2"/>
    <e v="#REF!"/>
    <e v="#REF!"/>
    <e v="#REF!"/>
  </r>
  <r>
    <s v="401000"/>
    <x v="6"/>
    <s v="FOURNISSEURS"/>
    <s v="OD"/>
    <n v="-28"/>
    <d v="2025-11-13T00:00:00"/>
    <s v="Liaison inter-établissement"/>
    <m/>
    <s v="Non"/>
    <e v="#N/A"/>
    <n v="91636"/>
    <m/>
    <s v="DIVERS"/>
    <s v="Q4"/>
    <e v="#REF!"/>
    <e v="#REF!"/>
    <e v="#REF!"/>
  </r>
  <r>
    <s v="401000"/>
    <x v="6"/>
    <s v="FOURNISSEURS"/>
    <s v="OD"/>
    <n v="-27.96"/>
    <d v="2025-11-04T00:00:00"/>
    <s v="Liaison inter-établissement"/>
    <m/>
    <e v="#N/A"/>
    <e v="#N/A"/>
    <n v="90096"/>
    <m/>
    <s v="ENGIE"/>
    <s v="Q4"/>
    <e v="#REF!"/>
    <e v="#REF!"/>
    <e v="#REF!"/>
  </r>
  <r>
    <s v="401000"/>
    <x v="6"/>
    <s v="FOURNISSEURS"/>
    <s v="OD"/>
    <n v="-27.75"/>
    <d v="2025-09-05T00:00:00"/>
    <s v="Liaison inter-établissement"/>
    <m/>
    <e v="#N/A"/>
    <e v="#N/A"/>
    <n v="87123"/>
    <m/>
    <s v="ENGIE"/>
    <s v="Q3"/>
    <e v="#REF!"/>
    <e v="#REF!"/>
    <e v="#REF!"/>
  </r>
  <r>
    <s v="401000"/>
    <x v="6"/>
    <s v="FOURNISSEURS"/>
    <s v="OD"/>
    <n v="-27.68"/>
    <d v="2025-07-12T00:00:00"/>
    <s v="Liaison inter-établissement"/>
    <m/>
    <e v="#N/A"/>
    <e v="#N/A"/>
    <n v="81040"/>
    <m/>
    <s v="RS COMPONENT"/>
    <s v="Q3"/>
    <e v="#REF!"/>
    <e v="#REF!"/>
    <e v="#REF!"/>
  </r>
  <r>
    <s v="401000"/>
    <x v="6"/>
    <s v="FOURNISSEURS"/>
    <s v="OD"/>
    <n v="-27.6"/>
    <d v="2025-02-23T00:00:00"/>
    <s v="Liaison inter-établissement"/>
    <m/>
    <s v="Non"/>
    <e v="#N/A"/>
    <n v="64306"/>
    <m/>
    <s v="DIVERS"/>
    <s v="Q1"/>
    <e v="#REF!"/>
    <e v="#REF!"/>
    <e v="#REF!"/>
  </r>
  <r>
    <s v="401000"/>
    <x v="6"/>
    <s v="FOURNISSEURS"/>
    <s v="OD"/>
    <n v="-27.46"/>
    <d v="2025-07-31T00:00:00"/>
    <s v="Liaison établissement 401000 VWR TO"/>
    <m/>
    <e v="#N/A"/>
    <e v="#N/A"/>
    <n v="79358"/>
    <s v="COMMANDE PRODUIT KEENY POUR ÉTUDE RC1"/>
    <s v="VWR AVANTOR"/>
    <s v="Q3"/>
    <e v="#REF!"/>
    <e v="#REF!"/>
    <e v="#REF!"/>
  </r>
  <r>
    <s v="401000"/>
    <x v="6"/>
    <s v="FOURNISSEURS"/>
    <s v="OD"/>
    <n v="-26.59"/>
    <d v="2025-03-28T00:00:00"/>
    <s v="Liaison établissement 401000 VWR TO"/>
    <m/>
    <e v="#N/A"/>
    <e v="#N/A"/>
    <n v="64985"/>
    <s v="Invoice Payment by Pili"/>
    <s v="VWR AVANTOR"/>
    <s v="Q1"/>
    <e v="#REF!"/>
    <e v="#REF!"/>
    <e v="#REF!"/>
  </r>
  <r>
    <s v="401000"/>
    <x v="6"/>
    <s v="FOURNISSEURS"/>
    <s v="OD"/>
    <n v="-26.4"/>
    <d v="2025-07-31T00:00:00"/>
    <s v="Liaison établissement 401000 VWR TO"/>
    <m/>
    <e v="#N/A"/>
    <e v="#N/A"/>
    <n v="79373"/>
    <s v="COMMANDE CONSOMMABLE LABO"/>
    <s v="VWR AVANTOR"/>
    <s v="Q3"/>
    <e v="#REF!"/>
    <e v="#REF!"/>
    <e v="#REF!"/>
  </r>
  <r>
    <s v="401000"/>
    <x v="6"/>
    <s v="FOURNISSEURS"/>
    <s v="OD"/>
    <n v="-25.84"/>
    <d v="2025-06-20T00:00:00"/>
    <s v="Liaison inter-établissement"/>
    <m/>
    <e v="#N/A"/>
    <e v="#N/A"/>
    <n v="76228"/>
    <m/>
    <s v="DHL"/>
    <s v="Q2"/>
    <e v="#REF!"/>
    <e v="#REF!"/>
    <e v="#REF!"/>
  </r>
  <r>
    <s v="401000"/>
    <x v="6"/>
    <s v="FOURNISSEURS"/>
    <s v="OD"/>
    <n v="-25.73"/>
    <d v="2025-07-22T00:00:00"/>
    <s v="Liaison établissement 401000 ROTH TO"/>
    <m/>
    <e v="#N/A"/>
    <e v="#N/A"/>
    <n v="78293"/>
    <s v="ÉTHYLHEXANOL  MIN. 99,5 %, POUR LA SYNTHÈSE"/>
    <s v="ROTH SOCHIEL"/>
    <s v="Q3"/>
    <e v="#REF!"/>
    <e v="#REF!"/>
    <e v="#REF!"/>
  </r>
  <r>
    <s v="401000"/>
    <x v="6"/>
    <s v="FOURNISSEURS"/>
    <s v="OD"/>
    <n v="-25.61"/>
    <d v="2025-04-02T00:00:00"/>
    <s v="Liaison établissement 401000 VWR TO"/>
    <m/>
    <e v="#N/A"/>
    <e v="#N/A"/>
    <n v="66494"/>
    <s v="Invoice Payment by Pili"/>
    <s v="VWR AVANTOR"/>
    <s v="Q2"/>
    <e v="#REF!"/>
    <e v="#REF!"/>
    <e v="#REF!"/>
  </r>
  <r>
    <s v="401000"/>
    <x v="6"/>
    <s v="FOURNISSEURS"/>
    <s v="OD"/>
    <n v="-25.61"/>
    <d v="2025-12-30T00:00:00"/>
    <s v="Liaison établissement 401000 VWR TO"/>
    <m/>
    <e v="#N/A"/>
    <e v="#N/A"/>
    <n v="93855"/>
    <s v="4067875494"/>
    <s v="VWR AVANTOR"/>
    <s v="Q4"/>
    <e v="#REF!"/>
    <e v="#REF!"/>
    <e v="#REF!"/>
  </r>
  <r>
    <s v="401000"/>
    <x v="6"/>
    <s v="FOURNISSEURS"/>
    <s v="OD"/>
    <n v="-24.99"/>
    <d v="2025-08-14T00:00:00"/>
    <s v="Liaison inter-établissement"/>
    <m/>
    <e v="#N/A"/>
    <e v="#N/A"/>
    <n v="83311"/>
    <m/>
    <s v="FNAC"/>
    <s v="Q3"/>
    <e v="#REF!"/>
    <e v="#REF!"/>
    <e v="#REF!"/>
  </r>
  <r>
    <s v="401000"/>
    <x v="6"/>
    <s v="FOURNISSEURS"/>
    <s v="OD"/>
    <n v="-24.78"/>
    <d v="2025-05-07T00:00:00"/>
    <s v="Liaison établissement 401000 SIGMA TO"/>
    <m/>
    <e v="#N/A"/>
    <e v="#N/A"/>
    <n v="71813"/>
    <s v="COMMANDE PRODUIT KEENB"/>
    <s v="Sigma-Aldrich chimie"/>
    <s v="Q2"/>
    <e v="#REF!"/>
    <e v="#REF!"/>
    <e v="#REF!"/>
  </r>
  <r>
    <s v="401000"/>
    <x v="6"/>
    <s v="FOURNISSEURS"/>
    <s v="OD"/>
    <n v="-24.74"/>
    <d v="2025-11-30T00:00:00"/>
    <s v="Liaison inter-établissement"/>
    <m/>
    <e v="#N/A"/>
    <e v="#N/A"/>
    <n v="91766"/>
    <m/>
    <s v="LA POSTE"/>
    <s v="Q4"/>
    <e v="#REF!"/>
    <e v="#REF!"/>
    <e v="#REF!"/>
  </r>
  <r>
    <s v="401000"/>
    <x v="6"/>
    <s v="FOURNISSEURS"/>
    <s v="OD"/>
    <n v="-24.3"/>
    <d v="2025-09-26T00:00:00"/>
    <s v="Liaison établissement 401000 FISHER TO"/>
    <m/>
    <e v="#N/A"/>
    <e v="#N/A"/>
    <n v="82512"/>
    <s v="INVOICE PAYMENT BY PILI"/>
    <s v="FISHER SCIENTIFIC"/>
    <s v="Q3"/>
    <e v="#REF!"/>
    <e v="#REF!"/>
    <e v="#REF!"/>
  </r>
  <r>
    <s v="401000"/>
    <x v="6"/>
    <s v="FOURNISSEURS"/>
    <s v="OD"/>
    <n v="-23.72"/>
    <d v="2025-01-30T00:00:00"/>
    <s v="Liaison inter-établissement"/>
    <m/>
    <e v="#N/A"/>
    <e v="#N/A"/>
    <n v="63612"/>
    <m/>
    <s v="BRUNEAU"/>
    <s v="Q1"/>
    <e v="#REF!"/>
    <e v="#REF!"/>
    <e v="#REF!"/>
  </r>
  <r>
    <s v="401000"/>
    <x v="6"/>
    <s v="FOURNISSEURS"/>
    <s v="OD"/>
    <n v="-23.62"/>
    <d v="2025-08-05T00:00:00"/>
    <s v="Liaison inter-établissement"/>
    <m/>
    <e v="#N/A"/>
    <e v="#N/A"/>
    <n v="87119"/>
    <m/>
    <s v="ENGIE"/>
    <s v="Q3"/>
    <e v="#REF!"/>
    <e v="#REF!"/>
    <e v="#REF!"/>
  </r>
  <r>
    <s v="401000"/>
    <x v="6"/>
    <s v="FOURNISSEURS"/>
    <s v="OD"/>
    <n v="-22.96"/>
    <d v="2025-10-02T00:00:00"/>
    <s v="Liaison inter-établissement"/>
    <m/>
    <e v="#N/A"/>
    <e v="#N/A"/>
    <n v="91656"/>
    <m/>
    <s v="LA POSTE"/>
    <s v="Q4"/>
    <e v="#REF!"/>
    <e v="#REF!"/>
    <e v="#REF!"/>
  </r>
  <r>
    <s v="401000"/>
    <x v="6"/>
    <s v="FOURNISSEURS"/>
    <s v="OD"/>
    <n v="-22.45"/>
    <d v="2025-02-12T00:00:00"/>
    <s v="Liaison inter-établissement"/>
    <m/>
    <e v="#N/A"/>
    <e v="#N/A"/>
    <n v="64262"/>
    <m/>
    <s v="BRUNEAU"/>
    <s v="Q1"/>
    <e v="#REF!"/>
    <e v="#REF!"/>
    <e v="#REF!"/>
  </r>
  <r>
    <s v="401000"/>
    <x v="6"/>
    <s v="FOURNISSEURS"/>
    <s v="OD"/>
    <n v="-22.15"/>
    <d v="2025-12-30T00:00:00"/>
    <s v="Liaison établissement 401000 VWR TO"/>
    <m/>
    <e v="#N/A"/>
    <e v="#N/A"/>
    <n v="93850"/>
    <s v="4067874264"/>
    <s v="VWR AVANTOR"/>
    <s v="Q4"/>
    <e v="#REF!"/>
    <e v="#REF!"/>
    <e v="#REF!"/>
  </r>
  <r>
    <s v="401000"/>
    <x v="6"/>
    <s v="FOURNISSEURS"/>
    <s v="OD"/>
    <n v="-21.99"/>
    <d v="2025-08-14T00:00:00"/>
    <s v="Liaison inter-établissement"/>
    <m/>
    <e v="#N/A"/>
    <e v="#N/A"/>
    <n v="83303"/>
    <m/>
    <s v="FNAC"/>
    <s v="Q3"/>
    <e v="#REF!"/>
    <e v="#REF!"/>
    <e v="#REF!"/>
  </r>
  <r>
    <s v="401000"/>
    <x v="6"/>
    <s v="FOURNISSEURS"/>
    <s v="OD"/>
    <n v="-21.35"/>
    <d v="2025-07-04T00:00:00"/>
    <s v="Liaison inter-établissement"/>
    <m/>
    <e v="#N/A"/>
    <e v="#N/A"/>
    <n v="80990"/>
    <m/>
    <s v="LA POSTE"/>
    <s v="Q3"/>
    <e v="#REF!"/>
    <e v="#REF!"/>
    <e v="#REF!"/>
  </r>
  <r>
    <s v="401000"/>
    <x v="6"/>
    <s v="FOURNISSEURS"/>
    <s v="OD"/>
    <n v="-20.89"/>
    <d v="2025-04-25T00:00:00"/>
    <s v="Liaison inter-établissement"/>
    <m/>
    <e v="#N/A"/>
    <e v="#N/A"/>
    <n v="74850"/>
    <m/>
    <s v="LEROY MERLIN"/>
    <s v="Q2"/>
    <e v="#REF!"/>
    <e v="#REF!"/>
    <e v="#REF!"/>
  </r>
  <r>
    <s v="401000"/>
    <x v="6"/>
    <s v="FOURNISSEURS"/>
    <s v="OD"/>
    <n v="-20.81"/>
    <d v="2025-10-24T00:00:00"/>
    <s v="Liaison inter-établissement"/>
    <m/>
    <e v="#N/A"/>
    <e v="#N/A"/>
    <n v="87486"/>
    <m/>
    <s v="DHL"/>
    <s v="Q4"/>
    <e v="#REF!"/>
    <e v="#REF!"/>
    <e v="#REF!"/>
  </r>
  <r>
    <s v="401000"/>
    <x v="6"/>
    <s v="FOURNISSEURS"/>
    <s v="OD"/>
    <n v="-20.77"/>
    <d v="2025-04-24T00:00:00"/>
    <s v="Liaison inter-établissement"/>
    <m/>
    <e v="#N/A"/>
    <e v="#N/A"/>
    <n v="70548"/>
    <m/>
    <s v="DHL"/>
    <s v="Q2"/>
    <e v="#REF!"/>
    <e v="#REF!"/>
    <e v="#REF!"/>
  </r>
  <r>
    <s v="401000"/>
    <x v="6"/>
    <s v="FOURNISSEURS"/>
    <s v="OD"/>
    <n v="-20.54"/>
    <d v="2025-03-20T00:00:00"/>
    <s v="Liaison inter-établissement"/>
    <m/>
    <e v="#N/A"/>
    <e v="#N/A"/>
    <n v="64446"/>
    <m/>
    <s v="ROTH SOCHIEL"/>
    <s v="Q1"/>
    <e v="#REF!"/>
    <e v="#REF!"/>
    <e v="#REF!"/>
  </r>
  <r>
    <s v="401000"/>
    <x v="6"/>
    <s v="FOURNISSEURS"/>
    <s v="OD"/>
    <n v="-20"/>
    <d v="2025-01-10T00:00:00"/>
    <s v="Liaison inter-établissement"/>
    <m/>
    <e v="#N/A"/>
    <e v="#N/A"/>
    <n v="69990"/>
    <m/>
    <s v="ORSON.IO"/>
    <s v="Q1"/>
    <e v="#REF!"/>
    <e v="#REF!"/>
    <e v="#REF!"/>
  </r>
  <r>
    <s v="401000"/>
    <x v="6"/>
    <s v="FOURNISSEURS"/>
    <s v="OD"/>
    <n v="-19.989999999999998"/>
    <d v="2025-08-14T00:00:00"/>
    <s v="Liaison inter-établissement"/>
    <m/>
    <e v="#N/A"/>
    <e v="#N/A"/>
    <n v="83299"/>
    <m/>
    <s v="FNAC"/>
    <s v="Q3"/>
    <e v="#REF!"/>
    <e v="#REF!"/>
    <e v="#REF!"/>
  </r>
  <r>
    <s v="401000"/>
    <x v="6"/>
    <s v="FOURNISSEURS"/>
    <s v="OD"/>
    <n v="-19.899999999999999"/>
    <d v="2025-01-17T00:00:00"/>
    <s v="Liaison inter-établissement"/>
    <m/>
    <e v="#N/A"/>
    <e v="#N/A"/>
    <n v="74910"/>
    <m/>
    <s v="DHL"/>
    <s v="Q1"/>
    <e v="#REF!"/>
    <e v="#REF!"/>
    <e v="#REF!"/>
  </r>
  <r>
    <s v="401000"/>
    <x v="6"/>
    <s v="FOURNISSEURS"/>
    <s v="OD"/>
    <n v="-19.86"/>
    <d v="2025-12-12T00:00:00"/>
    <s v="Liaison inter-établissement"/>
    <m/>
    <e v="#N/A"/>
    <e v="#N/A"/>
    <n v="92123"/>
    <m/>
    <s v="DHL"/>
    <s v="Q4"/>
    <e v="#REF!"/>
    <e v="#REF!"/>
    <e v="#REF!"/>
  </r>
  <r>
    <s v="401000"/>
    <x v="6"/>
    <s v="FOURNISSEURS"/>
    <s v="OD"/>
    <n v="-19.78"/>
    <d v="2025-10-06T00:00:00"/>
    <s v="Liaison établissement 401000 VWR TO"/>
    <m/>
    <e v="#N/A"/>
    <e v="#N/A"/>
    <n v="82917"/>
    <s v="CONSOMMABLES POUR LABO"/>
    <s v="VWR AVANTOR"/>
    <s v="Q4"/>
    <e v="#REF!"/>
    <e v="#REF!"/>
    <e v="#REF!"/>
  </r>
  <r>
    <s v="401000"/>
    <x v="6"/>
    <s v="FOURNISSEURS"/>
    <s v="OD"/>
    <n v="-19.100000000000001"/>
    <d v="2025-03-20T00:00:00"/>
    <s v="Liaison inter-établissement"/>
    <m/>
    <e v="#N/A"/>
    <e v="#N/A"/>
    <n v="64438"/>
    <m/>
    <s v="ROTH SOCHIEL"/>
    <s v="Q1"/>
    <e v="#REF!"/>
    <e v="#REF!"/>
    <e v="#REF!"/>
  </r>
  <r>
    <s v="401000"/>
    <x v="6"/>
    <s v="FOURNISSEURS"/>
    <s v="OD"/>
    <n v="-19"/>
    <d v="2025-07-29T00:00:00"/>
    <s v="Liaison inter-établissement"/>
    <m/>
    <e v="#N/A"/>
    <e v="#N/A"/>
    <n v="83167"/>
    <m/>
    <s v="SNCF"/>
    <s v="Q3"/>
    <e v="#REF!"/>
    <e v="#REF!"/>
    <e v="#REF!"/>
  </r>
  <r>
    <s v="401000"/>
    <x v="6"/>
    <s v="FOURNISSEURS"/>
    <s v="OD"/>
    <n v="-18.84"/>
    <d v="2025-04-12T00:00:00"/>
    <s v="Liaison inter-établissement"/>
    <m/>
    <e v="#N/A"/>
    <e v="#N/A"/>
    <n v="69986"/>
    <m/>
    <s v="LEROY MERLIN"/>
    <s v="Q2"/>
    <e v="#REF!"/>
    <e v="#REF!"/>
    <e v="#REF!"/>
  </r>
  <r>
    <s v="401000"/>
    <x v="6"/>
    <s v="FOURNISSEURS"/>
    <s v="OD"/>
    <n v="-18.84"/>
    <d v="2025-04-12T00:00:00"/>
    <s v="Liaison inter-établissement"/>
    <m/>
    <e v="#N/A"/>
    <e v="#N/A"/>
    <n v="81010"/>
    <m/>
    <s v="MANUTAN"/>
    <s v="Q2"/>
    <e v="#REF!"/>
    <e v="#REF!"/>
    <e v="#REF!"/>
  </r>
  <r>
    <s v="401000"/>
    <x v="6"/>
    <s v="FOURNISSEURS"/>
    <s v="OD"/>
    <n v="-18.8"/>
    <d v="2025-02-28T00:00:00"/>
    <s v="Liaison inter-établissement"/>
    <m/>
    <e v="#N/A"/>
    <e v="#N/A"/>
    <n v="72730"/>
    <m/>
    <s v="Banque Populaire Rive de Paris"/>
    <s v="Q1"/>
    <e v="#REF!"/>
    <e v="#REF!"/>
    <e v="#REF!"/>
  </r>
  <r>
    <s v="401000"/>
    <x v="6"/>
    <s v="FOURNISSEURS"/>
    <s v="OD"/>
    <n v="-18.55"/>
    <d v="2025-12-10T00:00:00"/>
    <s v="Liaison inter-établissement"/>
    <m/>
    <e v="#N/A"/>
    <e v="#N/A"/>
    <n v="94071"/>
    <m/>
    <s v="BRUNEAU"/>
    <s v="Q4"/>
    <e v="#REF!"/>
    <e v="#REF!"/>
    <e v="#REF!"/>
  </r>
  <r>
    <s v="401000"/>
    <x v="6"/>
    <s v="FOURNISSEURS"/>
    <s v="OD"/>
    <n v="-17.52"/>
    <d v="2025-03-19T00:00:00"/>
    <s v="Liaison inter-établissement"/>
    <m/>
    <e v="#N/A"/>
    <e v="#N/A"/>
    <n v="70063"/>
    <m/>
    <s v="RS COMPONENT"/>
    <s v="Q1"/>
    <e v="#REF!"/>
    <e v="#REF!"/>
    <e v="#REF!"/>
  </r>
  <r>
    <s v="401000"/>
    <x v="6"/>
    <s v="FOURNISSEURS"/>
    <s v="OD"/>
    <n v="-16.850000000000001"/>
    <d v="2025-02-05T00:00:00"/>
    <s v="Liaison inter-établissement"/>
    <m/>
    <e v="#N/A"/>
    <e v="#N/A"/>
    <n v="64310"/>
    <m/>
    <s v="LA POSTE"/>
    <s v="Q1"/>
    <e v="#REF!"/>
    <e v="#REF!"/>
    <e v="#REF!"/>
  </r>
  <r>
    <s v="401000"/>
    <x v="6"/>
    <s v="FOURNISSEURS"/>
    <s v="OD"/>
    <n v="-16.61"/>
    <d v="2025-12-31T00:00:00"/>
    <s v="Liaison inter-établissement"/>
    <m/>
    <e v="#N/A"/>
    <e v="#N/A"/>
    <n v="94170"/>
    <m/>
    <s v="LA POSTE"/>
    <s v="Q4"/>
    <e v="#REF!"/>
    <e v="#REF!"/>
    <e v="#REF!"/>
  </r>
  <r>
    <s v="401000"/>
    <x v="6"/>
    <s v="FOURNISSEURS"/>
    <s v="OD"/>
    <n v="-16.079999999999998"/>
    <d v="2025-03-20T00:00:00"/>
    <s v="Liaison inter-établissement"/>
    <m/>
    <e v="#N/A"/>
    <e v="#N/A"/>
    <n v="70075"/>
    <m/>
    <s v="RS COMPONENT"/>
    <s v="Q1"/>
    <e v="#REF!"/>
    <e v="#REF!"/>
    <e v="#REF!"/>
  </r>
  <r>
    <s v="401000"/>
    <x v="6"/>
    <s v="FOURNISSEURS"/>
    <s v="OD"/>
    <n v="-15.86"/>
    <d v="2025-05-07T00:00:00"/>
    <s v="Liaison établissement 401000 VWR TO"/>
    <m/>
    <e v="#N/A"/>
    <e v="#N/A"/>
    <n v="71848"/>
    <s v="COMMANDE CONSOMMABLE LABO"/>
    <s v="VWR AVANTOR"/>
    <s v="Q2"/>
    <e v="#REF!"/>
    <e v="#REF!"/>
    <e v="#REF!"/>
  </r>
  <r>
    <s v="401000"/>
    <x v="6"/>
    <s v="FOURNISSEURS"/>
    <s v="OD"/>
    <n v="-15.85"/>
    <d v="2025-11-08T00:00:00"/>
    <s v="Liaison inter-établissement"/>
    <m/>
    <e v="#N/A"/>
    <e v="#N/A"/>
    <n v="91652"/>
    <m/>
    <s v="LA POSTE"/>
    <s v="Q4"/>
    <e v="#REF!"/>
    <e v="#REF!"/>
    <e v="#REF!"/>
  </r>
  <r>
    <s v="401000"/>
    <x v="6"/>
    <s v="FOURNISSEURS"/>
    <s v="OD"/>
    <n v="-15.4"/>
    <d v="2025-03-31T00:00:00"/>
    <s v="Liaison inter-établissement"/>
    <m/>
    <e v="#N/A"/>
    <e v="#N/A"/>
    <n v="72742"/>
    <m/>
    <s v="Banque Populaire Rive de Paris"/>
    <s v="Q1"/>
    <e v="#REF!"/>
    <e v="#REF!"/>
    <e v="#REF!"/>
  </r>
  <r>
    <s v="401000"/>
    <x v="6"/>
    <s v="FOURNISSEURS"/>
    <s v="OD"/>
    <n v="-15.4"/>
    <d v="2025-03-31T00:00:00"/>
    <s v="Liaison inter-établissement"/>
    <m/>
    <e v="#N/A"/>
    <e v="#N/A"/>
    <n v="72754"/>
    <m/>
    <s v="Banque Populaire Rive de Paris"/>
    <s v="Q1"/>
    <e v="#REF!"/>
    <e v="#REF!"/>
    <e v="#REF!"/>
  </r>
  <r>
    <s v="401000"/>
    <x v="6"/>
    <s v="FOURNISSEURS"/>
    <s v="OD"/>
    <n v="-15"/>
    <d v="2025-01-13T00:00:00"/>
    <s v="Liaison inter-établissement"/>
    <m/>
    <e v="#N/A"/>
    <e v="#N/A"/>
    <n v="63680"/>
    <m/>
    <s v="COOKIEBOT"/>
    <s v="Q1"/>
    <e v="#REF!"/>
    <e v="#REF!"/>
    <e v="#REF!"/>
  </r>
  <r>
    <s v="401000"/>
    <x v="6"/>
    <s v="FOURNISSEURS"/>
    <s v="OD"/>
    <n v="-15"/>
    <d v="2025-02-03T00:00:00"/>
    <s v="Liaison inter-établissement"/>
    <m/>
    <e v="#N/A"/>
    <e v="#N/A"/>
    <n v="64418"/>
    <m/>
    <s v="COOKIEBOT"/>
    <s v="Q1"/>
    <e v="#REF!"/>
    <e v="#REF!"/>
    <e v="#REF!"/>
  </r>
  <r>
    <s v="401000"/>
    <x v="6"/>
    <s v="FOURNISSEURS"/>
    <s v="OD"/>
    <n v="-15"/>
    <d v="2025-03-03T00:00:00"/>
    <s v="Liaison inter-établissement"/>
    <m/>
    <e v="#N/A"/>
    <e v="#N/A"/>
    <n v="68045"/>
    <m/>
    <s v="COOKIEBOT"/>
    <s v="Q1"/>
    <e v="#REF!"/>
    <e v="#REF!"/>
    <e v="#REF!"/>
  </r>
  <r>
    <s v="401000"/>
    <x v="6"/>
    <s v="FOURNISSEURS"/>
    <s v="OD"/>
    <n v="-15"/>
    <d v="2025-04-03T00:00:00"/>
    <s v="Liaison inter-établissement"/>
    <m/>
    <e v="#N/A"/>
    <e v="#N/A"/>
    <n v="74766"/>
    <m/>
    <s v="COOKIEBOT"/>
    <s v="Q2"/>
    <e v="#REF!"/>
    <e v="#REF!"/>
    <e v="#REF!"/>
  </r>
  <r>
    <s v="401000"/>
    <x v="6"/>
    <s v="FOURNISSEURS"/>
    <s v="OD"/>
    <n v="-15"/>
    <d v="2025-05-03T00:00:00"/>
    <s v="Liaison inter-établissement"/>
    <m/>
    <e v="#N/A"/>
    <e v="#N/A"/>
    <n v="75112"/>
    <m/>
    <s v="COOKIEBOT"/>
    <s v="Q2"/>
    <e v="#REF!"/>
    <e v="#REF!"/>
    <e v="#REF!"/>
  </r>
  <r>
    <s v="401000"/>
    <x v="6"/>
    <s v="FOURNISSEURS"/>
    <s v="OD"/>
    <n v="-15"/>
    <d v="2025-06-04T00:00:00"/>
    <s v="Liaison inter-établissement"/>
    <m/>
    <e v="#N/A"/>
    <e v="#N/A"/>
    <n v="78226"/>
    <m/>
    <s v="COOKIEBOT"/>
    <s v="Q2"/>
    <e v="#REF!"/>
    <e v="#REF!"/>
    <e v="#REF!"/>
  </r>
  <r>
    <s v="401000"/>
    <x v="6"/>
    <s v="FOURNISSEURS"/>
    <s v="OD"/>
    <n v="-15"/>
    <d v="2025-07-04T00:00:00"/>
    <s v="Liaison inter-établissement"/>
    <m/>
    <e v="#N/A"/>
    <e v="#N/A"/>
    <n v="80998"/>
    <m/>
    <s v="COOKIEBOT"/>
    <s v="Q3"/>
    <e v="#REF!"/>
    <e v="#REF!"/>
    <e v="#REF!"/>
  </r>
  <r>
    <s v="401000"/>
    <x v="6"/>
    <s v="FOURNISSEURS"/>
    <s v="OD"/>
    <n v="-15"/>
    <d v="2025-08-03T00:00:00"/>
    <s v="Liaison inter-établissement"/>
    <m/>
    <e v="#N/A"/>
    <e v="#N/A"/>
    <n v="83279"/>
    <m/>
    <s v="COOKIEBOT"/>
    <s v="Q3"/>
    <e v="#REF!"/>
    <e v="#REF!"/>
    <e v="#REF!"/>
  </r>
  <r>
    <s v="401000"/>
    <x v="6"/>
    <s v="FOURNISSEURS"/>
    <s v="OD"/>
    <n v="-14.89"/>
    <d v="2025-11-18T00:00:00"/>
    <s v="Liaison inter-établissement"/>
    <m/>
    <e v="#N/A"/>
    <e v="#N/A"/>
    <n v="91668"/>
    <m/>
    <s v="LEROY MERLIN"/>
    <s v="Q4"/>
    <e v="#REF!"/>
    <e v="#REF!"/>
    <e v="#REF!"/>
  </r>
  <r>
    <s v="401000"/>
    <x v="6"/>
    <s v="FOURNISSEURS"/>
    <s v="OD"/>
    <n v="-14.62"/>
    <d v="2025-02-06T00:00:00"/>
    <s v="Liaison inter-établissement"/>
    <m/>
    <e v="#N/A"/>
    <e v="#N/A"/>
    <n v="64314"/>
    <m/>
    <s v="LA POSTE"/>
    <s v="Q1"/>
    <e v="#REF!"/>
    <e v="#REF!"/>
    <e v="#REF!"/>
  </r>
  <r>
    <s v="401000"/>
    <x v="6"/>
    <s v="FOURNISSEURS"/>
    <s v="OD"/>
    <n v="-14.2"/>
    <d v="2025-08-21T00:00:00"/>
    <s v="Liaison inter-établissement"/>
    <m/>
    <e v="#N/A"/>
    <e v="#N/A"/>
    <n v="83263"/>
    <m/>
    <s v="BRUNEAU"/>
    <s v="Q3"/>
    <e v="#REF!"/>
    <e v="#REF!"/>
    <e v="#REF!"/>
  </r>
  <r>
    <s v="401000"/>
    <x v="6"/>
    <s v="FOURNISSEURS"/>
    <s v="OD"/>
    <n v="-13.94"/>
    <d v="2025-04-25T00:00:00"/>
    <s v="Liaison inter-établissement"/>
    <m/>
    <e v="#N/A"/>
    <e v="#N/A"/>
    <n v="74842"/>
    <m/>
    <s v="LEROY MERLIN"/>
    <s v="Q2"/>
    <e v="#REF!"/>
    <e v="#REF!"/>
    <e v="#REF!"/>
  </r>
  <r>
    <s v="401000"/>
    <x v="6"/>
    <s v="FOURNISSEURS"/>
    <s v="OD"/>
    <n v="-13.15"/>
    <d v="2025-03-31T00:00:00"/>
    <s v="Liaison inter-établissement"/>
    <m/>
    <e v="#N/A"/>
    <e v="#N/A"/>
    <n v="72738"/>
    <m/>
    <s v="Banque Populaire Rive de Paris"/>
    <s v="Q1"/>
    <e v="#REF!"/>
    <e v="#REF!"/>
    <e v="#REF!"/>
  </r>
  <r>
    <s v="401000"/>
    <x v="6"/>
    <s v="FOURNISSEURS"/>
    <s v="OD"/>
    <n v="-13.15"/>
    <d v="2025-03-31T00:00:00"/>
    <s v="Liaison inter-établissement"/>
    <m/>
    <e v="#N/A"/>
    <e v="#N/A"/>
    <n v="72750"/>
    <m/>
    <s v="Banque Populaire Rive de Paris"/>
    <s v="Q1"/>
    <e v="#REF!"/>
    <e v="#REF!"/>
    <e v="#REF!"/>
  </r>
  <r>
    <s v="401000"/>
    <x v="6"/>
    <s v="FOURNISSEURS"/>
    <s v="OD"/>
    <n v="-13.07"/>
    <d v="2025-02-22T00:00:00"/>
    <s v="Liaison inter-établissement"/>
    <m/>
    <e v="#N/A"/>
    <e v="#N/A"/>
    <n v="64270"/>
    <m/>
    <s v="CHATEAUDEAU"/>
    <s v="Q1"/>
    <e v="#REF!"/>
    <e v="#REF!"/>
    <e v="#REF!"/>
  </r>
  <r>
    <s v="401000"/>
    <x v="6"/>
    <s v="FOURNISSEURS"/>
    <s v="OD"/>
    <n v="-12.6"/>
    <d v="2025-12-06T00:00:00"/>
    <s v="Liaison inter-établissement"/>
    <m/>
    <e v="#N/A"/>
    <e v="#N/A"/>
    <n v="94127"/>
    <m/>
    <s v="SNCF"/>
    <s v="Q4"/>
    <e v="#REF!"/>
    <e v="#REF!"/>
    <e v="#REF!"/>
  </r>
  <r>
    <s v="401000"/>
    <x v="6"/>
    <s v="FOURNISSEURS"/>
    <s v="OD"/>
    <n v="-12.58"/>
    <d v="2025-03-18T00:00:00"/>
    <s v="Liaison inter-établissement"/>
    <m/>
    <e v="#N/A"/>
    <e v="#N/A"/>
    <n v="70091"/>
    <m/>
    <s v="SENDCLOUD"/>
    <s v="Q1"/>
    <e v="#REF!"/>
    <e v="#REF!"/>
    <e v="#REF!"/>
  </r>
  <r>
    <s v="401000"/>
    <x v="6"/>
    <s v="FOURNISSEURS"/>
    <s v="OD"/>
    <n v="-10.49"/>
    <d v="2025-12-12T00:00:00"/>
    <s v="Liaison inter-établissement"/>
    <m/>
    <e v="#N/A"/>
    <e v="#N/A"/>
    <n v="94083"/>
    <m/>
    <s v="LA POSTE"/>
    <s v="Q4"/>
    <e v="#REF!"/>
    <e v="#REF!"/>
    <e v="#REF!"/>
  </r>
  <r>
    <s v="401000"/>
    <x v="6"/>
    <s v="FOURNISSEURS"/>
    <s v="OD"/>
    <n v="-10"/>
    <d v="2025-01-28T00:00:00"/>
    <s v="Liaison inter-établissement"/>
    <m/>
    <e v="#N/A"/>
    <e v="#N/A"/>
    <n v="63772"/>
    <m/>
    <s v="ORSON.IO"/>
    <s v="Q1"/>
    <e v="#REF!"/>
    <e v="#REF!"/>
    <e v="#REF!"/>
  </r>
  <r>
    <s v="401000"/>
    <x v="6"/>
    <s v="FOURNISSEURS"/>
    <s v="OD"/>
    <n v="-9.9499999999999993"/>
    <d v="2025-05-23T00:00:00"/>
    <s v="Liaison inter-établissement"/>
    <m/>
    <e v="#N/A"/>
    <e v="#N/A"/>
    <n v="75144"/>
    <m/>
    <s v="LA POSTE"/>
    <s v="Q2"/>
    <e v="#REF!"/>
    <e v="#REF!"/>
    <e v="#REF!"/>
  </r>
  <r>
    <s v="401000"/>
    <x v="6"/>
    <s v="FOURNISSEURS"/>
    <s v="OD"/>
    <n v="-9.23"/>
    <d v="2025-04-25T00:00:00"/>
    <s v="Liaison établissement 401000 SEDIST TO"/>
    <m/>
    <e v="#N/A"/>
    <e v="#N/A"/>
    <n v="70194"/>
    <s v="Invoice Payment by Pili"/>
    <s v="SEDIST"/>
    <s v="Q2"/>
    <e v="#REF!"/>
    <e v="#REF!"/>
    <e v="#REF!"/>
  </r>
  <r>
    <s v="401000"/>
    <x v="6"/>
    <s v="FOURNISSEURS"/>
    <s v="OD"/>
    <n v="-9.18"/>
    <d v="2025-04-15T00:00:00"/>
    <s v="Liaison inter-établissement"/>
    <m/>
    <e v="#N/A"/>
    <e v="#N/A"/>
    <n v="74752"/>
    <m/>
    <s v="SENDCLOUD"/>
    <s v="Q2"/>
    <e v="#REF!"/>
    <e v="#REF!"/>
    <e v="#REF!"/>
  </r>
  <r>
    <s v="401000"/>
    <x v="6"/>
    <s v="FOURNISSEURS"/>
    <s v="OD"/>
    <n v="-9.18"/>
    <d v="2025-10-14T00:00:00"/>
    <s v="Liaison inter-établissement"/>
    <m/>
    <e v="#N/A"/>
    <e v="#N/A"/>
    <n v="89776"/>
    <m/>
    <s v="SENDCLOUD"/>
    <s v="Q4"/>
    <e v="#REF!"/>
    <e v="#REF!"/>
    <e v="#REF!"/>
  </r>
  <r>
    <s v="401000"/>
    <x v="6"/>
    <s v="FOURNISSEURS"/>
    <s v="OD"/>
    <n v="-8.59"/>
    <d v="2025-04-01T00:00:00"/>
    <s v="Liaison inter-établissement"/>
    <m/>
    <e v="#N/A"/>
    <e v="#N/A"/>
    <n v="74744"/>
    <m/>
    <s v="SENDCLOUD"/>
    <s v="Q2"/>
    <e v="#REF!"/>
    <e v="#REF!"/>
    <e v="#REF!"/>
  </r>
  <r>
    <s v="401000"/>
    <x v="6"/>
    <s v="FOURNISSEURS"/>
    <s v="OD"/>
    <n v="-8.59"/>
    <d v="2025-07-08T00:00:00"/>
    <s v="Liaison inter-établissement"/>
    <m/>
    <e v="#N/A"/>
    <e v="#N/A"/>
    <n v="80966"/>
    <m/>
    <s v="SENDCLOUD"/>
    <s v="Q3"/>
    <e v="#REF!"/>
    <e v="#REF!"/>
    <e v="#REF!"/>
  </r>
  <r>
    <s v="401000"/>
    <x v="6"/>
    <s v="FOURNISSEURS"/>
    <s v="OD"/>
    <n v="-8.49"/>
    <d v="2025-04-25T00:00:00"/>
    <s v="Liaison inter-établissement"/>
    <m/>
    <e v="#N/A"/>
    <e v="#N/A"/>
    <n v="74838"/>
    <m/>
    <s v="LEROY MERLIN"/>
    <s v="Q2"/>
    <e v="#REF!"/>
    <e v="#REF!"/>
    <e v="#REF!"/>
  </r>
  <r>
    <s v="401000"/>
    <x v="6"/>
    <s v="FOURNISSEURS"/>
    <s v="OD"/>
    <n v="-8.35"/>
    <d v="2025-04-25T00:00:00"/>
    <s v="Liaison inter-établissement"/>
    <m/>
    <e v="#N/A"/>
    <e v="#N/A"/>
    <n v="74814"/>
    <m/>
    <s v="LA POSTE"/>
    <s v="Q2"/>
    <e v="#REF!"/>
    <e v="#REF!"/>
    <e v="#REF!"/>
  </r>
  <r>
    <s v="401000"/>
    <x v="6"/>
    <s v="FOURNISSEURS"/>
    <s v="OD"/>
    <n v="-8.26"/>
    <d v="2025-11-02T00:00:00"/>
    <s v="Liaison inter-établissement"/>
    <m/>
    <e v="#N/A"/>
    <e v="#N/A"/>
    <n v="91744"/>
    <m/>
    <s v="SENDCLOUD"/>
    <s v="Q4"/>
    <e v="#REF!"/>
    <e v="#REF!"/>
    <e v="#REF!"/>
  </r>
  <r>
    <s v="401000"/>
    <x v="6"/>
    <s v="FOURNISSEURS"/>
    <s v="OD"/>
    <n v="-8.23"/>
    <d v="2025-07-03T00:00:00"/>
    <s v="Liaison inter-établissement"/>
    <m/>
    <e v="#N/A"/>
    <e v="#N/A"/>
    <n v="80986"/>
    <m/>
    <s v="LA POSTE"/>
    <s v="Q3"/>
    <e v="#REF!"/>
    <e v="#REF!"/>
    <e v="#REF!"/>
  </r>
  <r>
    <s v="401000"/>
    <x v="6"/>
    <s v="FOURNISSEURS"/>
    <s v="OD"/>
    <n v="-8.23"/>
    <d v="2025-12-19T00:00:00"/>
    <s v="Liaison inter-établissement"/>
    <m/>
    <e v="#N/A"/>
    <e v="#N/A"/>
    <n v="94087"/>
    <m/>
    <s v="LA POSTE"/>
    <s v="Q4"/>
    <e v="#REF!"/>
    <e v="#REF!"/>
    <e v="#REF!"/>
  </r>
  <r>
    <s v="401000"/>
    <x v="6"/>
    <s v="FOURNISSEURS"/>
    <s v="OD"/>
    <n v="-8.0399999999999991"/>
    <d v="2025-07-22T00:00:00"/>
    <s v="Liaison inter-établissement"/>
    <m/>
    <e v="#N/A"/>
    <e v="#N/A"/>
    <n v="80962"/>
    <m/>
    <s v="SENDCLOUD"/>
    <s v="Q3"/>
    <e v="#REF!"/>
    <e v="#REF!"/>
    <e v="#REF!"/>
  </r>
  <r>
    <s v="401000"/>
    <x v="6"/>
    <s v="FOURNISSEURS"/>
    <s v="OD"/>
    <n v="-8.0399999999999991"/>
    <d v="2025-09-02T00:00:00"/>
    <s v="Liaison inter-établissement"/>
    <m/>
    <e v="#N/A"/>
    <e v="#N/A"/>
    <n v="83183"/>
    <m/>
    <s v="SENDCLOUD"/>
    <s v="Q3"/>
    <e v="#REF!"/>
    <e v="#REF!"/>
    <e v="#REF!"/>
  </r>
  <r>
    <s v="401000"/>
    <x v="6"/>
    <s v="FOURNISSEURS"/>
    <s v="OD"/>
    <n v="-7.96"/>
    <d v="2025-04-09T00:00:00"/>
    <s v="Liaison inter-établissement"/>
    <m/>
    <e v="#N/A"/>
    <e v="#N/A"/>
    <n v="71427"/>
    <m/>
    <s v="LA POSTE"/>
    <s v="Q2"/>
    <e v="#REF!"/>
    <e v="#REF!"/>
    <e v="#REF!"/>
  </r>
  <r>
    <s v="401000"/>
    <x v="6"/>
    <s v="FOURNISSEURS"/>
    <s v="OD"/>
    <n v="-7.96"/>
    <d v="2025-10-31T00:00:00"/>
    <s v="Liaison inter-établissement"/>
    <m/>
    <e v="#N/A"/>
    <e v="#N/A"/>
    <n v="89756"/>
    <m/>
    <s v="LA POSTE"/>
    <s v="Q4"/>
    <e v="#REF!"/>
    <e v="#REF!"/>
    <e v="#REF!"/>
  </r>
  <r>
    <s v="401000"/>
    <x v="6"/>
    <s v="FOURNISSEURS"/>
    <s v="OD"/>
    <n v="-7.75"/>
    <d v="2025-04-08T00:00:00"/>
    <s v="Liaison inter-établissement"/>
    <m/>
    <e v="#N/A"/>
    <e v="#N/A"/>
    <n v="69910"/>
    <m/>
    <s v="ARESCOM"/>
    <s v="Q2"/>
    <e v="#REF!"/>
    <e v="#REF!"/>
    <e v="#REF!"/>
  </r>
  <r>
    <s v="401000"/>
    <x v="6"/>
    <s v="FOURNISSEURS"/>
    <s v="OD"/>
    <n v="-7.49"/>
    <d v="2025-04-15T00:00:00"/>
    <s v="Liaison inter-établissement"/>
    <m/>
    <e v="#N/A"/>
    <e v="#N/A"/>
    <n v="74870"/>
    <m/>
    <s v="LEROY MERLIN"/>
    <s v="Q2"/>
    <e v="#REF!"/>
    <e v="#REF!"/>
    <e v="#REF!"/>
  </r>
  <r>
    <s v="401000"/>
    <x v="6"/>
    <s v="FOURNISSEURS"/>
    <s v="OD"/>
    <n v="-7.42"/>
    <d v="2025-12-24T00:00:00"/>
    <s v="Ecart de change"/>
    <s v="Non"/>
    <s v="Non"/>
    <e v="#N/A"/>
    <n v="93673"/>
    <m/>
    <s v="FLOWLIE"/>
    <s v="Q4"/>
    <e v="#REF!"/>
    <e v="#REF!"/>
    <e v="#REF!"/>
  </r>
  <r>
    <s v="401000"/>
    <x v="6"/>
    <s v="FOURNISSEURS"/>
    <s v="OD"/>
    <n v="-7.35"/>
    <d v="2025-11-28T00:00:00"/>
    <s v="Liaison inter-établissement"/>
    <m/>
    <e v="#N/A"/>
    <e v="#N/A"/>
    <n v="91664"/>
    <m/>
    <s v="LA POSTE"/>
    <s v="Q4"/>
    <e v="#REF!"/>
    <e v="#REF!"/>
    <e v="#REF!"/>
  </r>
  <r>
    <s v="401000"/>
    <x v="6"/>
    <s v="FOURNISSEURS"/>
    <s v="OD"/>
    <n v="-7.14"/>
    <d v="2025-03-18T00:00:00"/>
    <s v="Liaison inter-établissement"/>
    <m/>
    <e v="#N/A"/>
    <e v="#N/A"/>
    <n v="68041"/>
    <m/>
    <s v="LA POSTE"/>
    <s v="Q1"/>
    <e v="#REF!"/>
    <e v="#REF!"/>
    <e v="#REF!"/>
  </r>
  <r>
    <s v="401000"/>
    <x v="6"/>
    <s v="FOURNISSEURS"/>
    <s v="OD"/>
    <n v="-7.14"/>
    <d v="2025-09-30T00:00:00"/>
    <s v="Liaison inter-établissement"/>
    <m/>
    <e v="#N/A"/>
    <e v="#N/A"/>
    <n v="89760"/>
    <m/>
    <s v="LA POSTE"/>
    <s v="Q3"/>
    <e v="#REF!"/>
    <e v="#REF!"/>
    <e v="#REF!"/>
  </r>
  <r>
    <s v="401000"/>
    <x v="6"/>
    <s v="FOURNISSEURS"/>
    <s v="OD"/>
    <n v="-6.54"/>
    <d v="2025-06-24T00:00:00"/>
    <s v="Liaison inter-établissement"/>
    <m/>
    <e v="#N/A"/>
    <e v="#N/A"/>
    <n v="78210"/>
    <m/>
    <s v="SENDCLOUD"/>
    <s v="Q2"/>
    <e v="#REF!"/>
    <e v="#REF!"/>
    <e v="#REF!"/>
  </r>
  <r>
    <s v="401000"/>
    <x v="6"/>
    <s v="FOURNISSEURS"/>
    <s v="OD"/>
    <n v="-5.25"/>
    <d v="2025-04-05T00:00:00"/>
    <s v="Liaison inter-établissement"/>
    <m/>
    <e v="#N/A"/>
    <e v="#N/A"/>
    <n v="74810"/>
    <m/>
    <s v="LA POSTE"/>
    <s v="Q2"/>
    <e v="#REF!"/>
    <e v="#REF!"/>
    <e v="#REF!"/>
  </r>
  <r>
    <s v="401000"/>
    <x v="6"/>
    <s v="FOURNISSEURS"/>
    <s v="OD"/>
    <n v="-5.25"/>
    <d v="2025-07-11T00:00:00"/>
    <s v="Liaison inter-établissement"/>
    <m/>
    <e v="#N/A"/>
    <e v="#N/A"/>
    <n v="80994"/>
    <m/>
    <s v="LA POSTE"/>
    <s v="Q3"/>
    <e v="#REF!"/>
    <e v="#REF!"/>
    <e v="#REF!"/>
  </r>
  <r>
    <s v="401000"/>
    <x v="6"/>
    <s v="FOURNISSEURS"/>
    <s v="OD"/>
    <n v="-5.25"/>
    <d v="2025-09-04T00:00:00"/>
    <s v="Liaison inter-établissement"/>
    <m/>
    <e v="#N/A"/>
    <e v="#N/A"/>
    <n v="85075"/>
    <m/>
    <s v="LA POSTE"/>
    <s v="Q3"/>
    <e v="#REF!"/>
    <e v="#REF!"/>
    <e v="#REF!"/>
  </r>
  <r>
    <s v="401000"/>
    <x v="6"/>
    <s v="FOURNISSEURS"/>
    <s v="OD"/>
    <n v="-5.25"/>
    <d v="2025-10-04T00:00:00"/>
    <s v="Liaison inter-établissement"/>
    <m/>
    <e v="#N/A"/>
    <e v="#N/A"/>
    <n v="89746"/>
    <m/>
    <s v="LA POSTE"/>
    <s v="Q4"/>
    <e v="#REF!"/>
    <e v="#REF!"/>
    <e v="#REF!"/>
  </r>
  <r>
    <s v="401000"/>
    <x v="6"/>
    <s v="FOURNISSEURS"/>
    <s v="OD"/>
    <n v="-5.23"/>
    <d v="2025-11-28T00:00:00"/>
    <s v="Liaison inter-établissement"/>
    <m/>
    <e v="#N/A"/>
    <e v="#N/A"/>
    <n v="91660"/>
    <m/>
    <s v="LA POSTE"/>
    <s v="Q4"/>
    <e v="#REF!"/>
    <e v="#REF!"/>
    <e v="#REF!"/>
  </r>
  <r>
    <s v="401000"/>
    <x v="6"/>
    <s v="FOURNISSEURS"/>
    <s v="OD"/>
    <n v="-2.8"/>
    <d v="2025-04-01T00:00:00"/>
    <s v="Liaison inter-établissement"/>
    <m/>
    <e v="#N/A"/>
    <e v="#N/A"/>
    <n v="74982"/>
    <m/>
    <s v="SHOPIFY"/>
    <s v="Q2"/>
    <e v="#REF!"/>
    <e v="#REF!"/>
    <e v="#REF!"/>
  </r>
  <r>
    <s v="401000"/>
    <x v="6"/>
    <s v="FOURNISSEURS"/>
    <s v="OD"/>
    <n v="-2.5499999999999998"/>
    <d v="2025-07-02T00:00:00"/>
    <s v="Liaison inter-établissement"/>
    <m/>
    <e v="#N/A"/>
    <e v="#N/A"/>
    <n v="80974"/>
    <m/>
    <s v="SANITY"/>
    <s v="Q3"/>
    <e v="#REF!"/>
    <e v="#REF!"/>
    <e v="#REF!"/>
  </r>
  <r>
    <s v="401000"/>
    <x v="6"/>
    <s v="FOURNISSEURS"/>
    <s v="OD"/>
    <n v="-1.88"/>
    <d v="2025-08-04T00:00:00"/>
    <s v="Liaison inter-établissement"/>
    <m/>
    <e v="#N/A"/>
    <e v="#N/A"/>
    <n v="83331"/>
    <m/>
    <s v="ORANGE"/>
    <s v="Q3"/>
    <e v="#REF!"/>
    <e v="#REF!"/>
    <e v="#REF!"/>
  </r>
  <r>
    <s v="401000"/>
    <x v="6"/>
    <s v="FOURNISSEURS"/>
    <s v="OD"/>
    <n v="-1.74"/>
    <d v="2025-11-03T00:00:00"/>
    <s v="Liaison inter-établissement"/>
    <m/>
    <e v="#N/A"/>
    <e v="#N/A"/>
    <n v="91740"/>
    <m/>
    <s v="SANITY"/>
    <s v="Q4"/>
    <e v="#REF!"/>
    <e v="#REF!"/>
    <e v="#REF!"/>
  </r>
  <r>
    <s v="401000"/>
    <x v="6"/>
    <s v="FOURNISSEURS"/>
    <s v="OD"/>
    <n v="-1.71"/>
    <d v="2025-10-02T00:00:00"/>
    <s v="Liaison inter-établissement"/>
    <m/>
    <e v="#N/A"/>
    <e v="#N/A"/>
    <n v="89511"/>
    <m/>
    <s v="SANITY"/>
    <s v="Q4"/>
    <e v="#REF!"/>
    <e v="#REF!"/>
    <e v="#REF!"/>
  </r>
  <r>
    <s v="401000"/>
    <x v="6"/>
    <s v="FOURNISSEURS"/>
    <s v="OD"/>
    <n v="-1.2"/>
    <d v="2025-12-29T00:00:00"/>
    <s v="Liaison inter-établissement"/>
    <m/>
    <e v="#N/A"/>
    <e v="#N/A"/>
    <n v="93703"/>
    <m/>
    <s v="ORANGE"/>
    <s v="Q4"/>
    <e v="#REF!"/>
    <e v="#REF!"/>
    <e v="#REF!"/>
  </r>
  <r>
    <s v="401000"/>
    <x v="6"/>
    <s v="FOURNISSEURS"/>
    <s v="OD"/>
    <n v="-1.18"/>
    <d v="2025-12-12T00:00:00"/>
    <s v="Liaison inter-établissement"/>
    <m/>
    <e v="#N/A"/>
    <e v="#N/A"/>
    <n v="94055"/>
    <m/>
    <s v="AIRBNB"/>
    <s v="Q4"/>
    <e v="#REF!"/>
    <e v="#REF!"/>
    <e v="#REF!"/>
  </r>
  <r>
    <s v="401000"/>
    <x v="6"/>
    <s v="FOURNISSEURS"/>
    <s v="OD"/>
    <n v="-1"/>
    <d v="2025-03-02T00:00:00"/>
    <s v="Liaison inter-établissement"/>
    <m/>
    <e v="#N/A"/>
    <e v="#N/A"/>
    <n v="71922"/>
    <m/>
    <s v="SANITY"/>
    <s v="Q1"/>
    <e v="#REF!"/>
    <e v="#REF!"/>
    <e v="#REF!"/>
  </r>
  <r>
    <s v="401000"/>
    <x v="6"/>
    <s v="FOURNISSEURS"/>
    <s v="OD"/>
    <n v="-0.97"/>
    <d v="2025-01-18T00:00:00"/>
    <s v="Liaison inter-établissement"/>
    <m/>
    <e v="#N/A"/>
    <e v="#N/A"/>
    <n v="63836"/>
    <m/>
    <s v="SANITY"/>
    <s v="Q1"/>
    <e v="#REF!"/>
    <e v="#REF!"/>
    <e v="#REF!"/>
  </r>
  <r>
    <s v="401000"/>
    <x v="6"/>
    <s v="FOURNISSEURS"/>
    <s v="OD"/>
    <n v="-0.97"/>
    <d v="2025-02-02T00:00:00"/>
    <s v="Liaison inter-établissement"/>
    <m/>
    <e v="#N/A"/>
    <e v="#N/A"/>
    <n v="64334"/>
    <m/>
    <s v="SANITY"/>
    <s v="Q1"/>
    <e v="#REF!"/>
    <e v="#REF!"/>
    <e v="#REF!"/>
  </r>
  <r>
    <s v="401000"/>
    <x v="6"/>
    <s v="FOURNISSEURS"/>
    <s v="OD"/>
    <n v="-0.93"/>
    <d v="2025-04-02T00:00:00"/>
    <s v="Liaison inter-établissement"/>
    <m/>
    <e v="#N/A"/>
    <e v="#N/A"/>
    <n v="74762"/>
    <m/>
    <s v="SHOPIFY"/>
    <s v="Q2"/>
    <e v="#REF!"/>
    <e v="#REF!"/>
    <e v="#REF!"/>
  </r>
  <r>
    <s v="401000"/>
    <x v="6"/>
    <s v="FOURNISSEURS"/>
    <s v="OD"/>
    <n v="-0.89"/>
    <d v="2025-05-02T00:00:00"/>
    <s v="Liaison inter-établissement"/>
    <m/>
    <e v="#N/A"/>
    <e v="#N/A"/>
    <n v="75104"/>
    <m/>
    <s v="SANITY"/>
    <s v="Q2"/>
    <e v="#REF!"/>
    <e v="#REF!"/>
    <e v="#REF!"/>
  </r>
  <r>
    <s v="401000"/>
    <x v="6"/>
    <s v="FOURNISSEURS"/>
    <s v="OD"/>
    <n v="-0.88"/>
    <d v="2025-06-02T00:00:00"/>
    <s v="Liaison inter-établissement"/>
    <m/>
    <e v="#N/A"/>
    <e v="#N/A"/>
    <n v="78218"/>
    <m/>
    <s v="SHOPIFY"/>
    <s v="Q2"/>
    <e v="#REF!"/>
    <e v="#REF!"/>
    <e v="#REF!"/>
  </r>
  <r>
    <s v="401000"/>
    <x v="6"/>
    <s v="FOURNISSEURS"/>
    <s v="OD"/>
    <n v="-0.88"/>
    <d v="2025-08-03T00:00:00"/>
    <s v="Liaison inter-établissement"/>
    <m/>
    <e v="#N/A"/>
    <e v="#N/A"/>
    <n v="83275"/>
    <m/>
    <s v="SANITY"/>
    <s v="Q3"/>
    <e v="#REF!"/>
    <e v="#REF!"/>
    <e v="#REF!"/>
  </r>
  <r>
    <s v="401000"/>
    <x v="6"/>
    <s v="FOURNISSEURS"/>
    <s v="OD"/>
    <n v="-0.86"/>
    <d v="2025-12-02T00:00:00"/>
    <s v="Liaison inter-établissement"/>
    <m/>
    <e v="#N/A"/>
    <e v="#N/A"/>
    <n v="94095"/>
    <m/>
    <s v="SANITY"/>
    <s v="Q4"/>
    <e v="#REF!"/>
    <e v="#REF!"/>
    <e v="#REF!"/>
  </r>
  <r>
    <s v="401000"/>
    <x v="6"/>
    <s v="FOURNISSEURS"/>
    <s v="OD"/>
    <n v="-0.03"/>
    <d v="2025-01-18T00:00:00"/>
    <s v="Liaison inter-établissement"/>
    <m/>
    <e v="#N/A"/>
    <e v="#N/A"/>
    <n v="63832"/>
    <m/>
    <s v="SANITY"/>
    <s v="Q1"/>
    <e v="#REF!"/>
    <e v="#REF!"/>
    <e v="#REF!"/>
  </r>
  <r>
    <s v="401000"/>
    <x v="6"/>
    <s v="FOURNISSEURS"/>
    <s v="OD"/>
    <n v="-0.03"/>
    <d v="2025-03-03T00:00:00"/>
    <s v="Ecart de règlement"/>
    <m/>
    <e v="#N/A"/>
    <e v="#N/A"/>
    <n v="63838"/>
    <m/>
    <s v="SANITY"/>
    <s v="Q1"/>
    <e v="#REF!"/>
    <e v="#REF!"/>
    <e v="#REF!"/>
  </r>
  <r>
    <s v="401000"/>
    <x v="6"/>
    <s v="FOURNISSEURS"/>
    <s v="OD"/>
    <n v="-0.03"/>
    <d v="2025-04-02T00:00:00"/>
    <s v="Ecart de change"/>
    <m/>
    <e v="#N/A"/>
    <e v="#N/A"/>
    <n v="74758"/>
    <m/>
    <s v="SHOPIFY"/>
    <s v="Q2"/>
    <e v="#REF!"/>
    <e v="#REF!"/>
    <e v="#REF!"/>
  </r>
  <r>
    <s v="401000"/>
    <x v="6"/>
    <s v="FOURNISSEURS"/>
    <s v="OD"/>
    <n v="-0.03"/>
    <d v="2025-05-02T00:00:00"/>
    <s v="Ecart de change"/>
    <m/>
    <e v="#N/A"/>
    <e v="#N/A"/>
    <n v="75100"/>
    <m/>
    <s v="SANITY"/>
    <s v="Q2"/>
    <e v="#REF!"/>
    <e v="#REF!"/>
    <e v="#REF!"/>
  </r>
  <r>
    <s v="401000"/>
    <x v="6"/>
    <s v="FOURNISSEURS"/>
    <s v="OD"/>
    <n v="0.03"/>
    <d v="2025-01-18T00:00:00"/>
    <s v="Liaison inter-établissement vers TO "/>
    <m/>
    <e v="#N/A"/>
    <e v="#N/A"/>
    <n v="63831"/>
    <m/>
    <s v="SANITY"/>
    <s v="Q1"/>
    <e v="#REF!"/>
    <e v="#REF!"/>
    <e v="#REF!"/>
  </r>
  <r>
    <s v="401000"/>
    <x v="6"/>
    <s v="FOURNISSEURS"/>
    <s v="OD"/>
    <n v="0.86"/>
    <d v="2025-12-02T00:00:00"/>
    <s v="Liaison inter-établissement vers TO "/>
    <m/>
    <e v="#N/A"/>
    <e v="#N/A"/>
    <n v="94094"/>
    <m/>
    <s v="SANITY"/>
    <s v="Q4"/>
    <e v="#REF!"/>
    <e v="#REF!"/>
    <e v="#REF!"/>
  </r>
  <r>
    <s v="401000"/>
    <x v="6"/>
    <s v="FOURNISSEURS"/>
    <s v="OD"/>
    <n v="0.88"/>
    <d v="2025-06-02T00:00:00"/>
    <s v="Liaison inter-établissement vers TO "/>
    <m/>
    <e v="#N/A"/>
    <e v="#N/A"/>
    <n v="78217"/>
    <m/>
    <s v="SHOPIFY"/>
    <s v="Q2"/>
    <e v="#REF!"/>
    <e v="#REF!"/>
    <e v="#REF!"/>
  </r>
  <r>
    <s v="401000"/>
    <x v="6"/>
    <s v="FOURNISSEURS"/>
    <s v="OD"/>
    <n v="0.88"/>
    <d v="2025-08-03T00:00:00"/>
    <s v="Liaison inter-établissement vers TO "/>
    <m/>
    <e v="#N/A"/>
    <e v="#N/A"/>
    <n v="83274"/>
    <m/>
    <s v="SANITY"/>
    <s v="Q3"/>
    <e v="#REF!"/>
    <e v="#REF!"/>
    <e v="#REF!"/>
  </r>
  <r>
    <s v="401000"/>
    <x v="6"/>
    <s v="FOURNISSEURS"/>
    <s v="OD"/>
    <n v="0.89"/>
    <d v="2025-05-02T00:00:00"/>
    <s v="Liaison inter-établissement vers TO "/>
    <m/>
    <e v="#N/A"/>
    <e v="#N/A"/>
    <n v="75103"/>
    <m/>
    <s v="SANITY"/>
    <s v="Q2"/>
    <e v="#REF!"/>
    <e v="#REF!"/>
    <e v="#REF!"/>
  </r>
  <r>
    <s v="401000"/>
    <x v="6"/>
    <s v="FOURNISSEURS"/>
    <s v="OD"/>
    <n v="0.93"/>
    <d v="2025-04-02T00:00:00"/>
    <s v="Liaison inter-établissement vers TO "/>
    <m/>
    <e v="#N/A"/>
    <e v="#N/A"/>
    <n v="74761"/>
    <m/>
    <s v="SHOPIFY"/>
    <s v="Q2"/>
    <e v="#REF!"/>
    <e v="#REF!"/>
    <e v="#REF!"/>
  </r>
  <r>
    <s v="401000"/>
    <x v="6"/>
    <s v="FOURNISSEURS"/>
    <s v="OD"/>
    <n v="0.97"/>
    <d v="2025-01-18T00:00:00"/>
    <s v="Liaison inter-établissement vers TO "/>
    <m/>
    <e v="#N/A"/>
    <e v="#N/A"/>
    <n v="63835"/>
    <m/>
    <s v="SANITY"/>
    <s v="Q1"/>
    <e v="#REF!"/>
    <e v="#REF!"/>
    <e v="#REF!"/>
  </r>
  <r>
    <s v="401000"/>
    <x v="6"/>
    <s v="FOURNISSEURS"/>
    <s v="OD"/>
    <n v="0.97"/>
    <d v="2025-02-02T00:00:00"/>
    <s v="Liaison inter-établissement vers TO "/>
    <m/>
    <e v="#N/A"/>
    <e v="#N/A"/>
    <n v="64333"/>
    <m/>
    <s v="SANITY"/>
    <s v="Q1"/>
    <e v="#REF!"/>
    <e v="#REF!"/>
    <e v="#REF!"/>
  </r>
  <r>
    <s v="401000"/>
    <x v="6"/>
    <s v="FOURNISSEURS"/>
    <s v="OD"/>
    <n v="1"/>
    <d v="2025-03-02T00:00:00"/>
    <s v="Liaison inter-établissement vers TO "/>
    <m/>
    <e v="#N/A"/>
    <e v="#N/A"/>
    <n v="71921"/>
    <m/>
    <s v="SANITY"/>
    <s v="Q1"/>
    <e v="#REF!"/>
    <e v="#REF!"/>
    <e v="#REF!"/>
  </r>
  <r>
    <s v="401000"/>
    <x v="6"/>
    <s v="FOURNISSEURS"/>
    <s v="OD"/>
    <n v="1.18"/>
    <d v="2025-12-12T00:00:00"/>
    <s v="Liaison inter-établissement vers TO "/>
    <m/>
    <e v="#N/A"/>
    <e v="#N/A"/>
    <n v="94054"/>
    <m/>
    <s v="AIRBNB"/>
    <s v="Q4"/>
    <e v="#REF!"/>
    <e v="#REF!"/>
    <e v="#REF!"/>
  </r>
  <r>
    <s v="401000"/>
    <x v="6"/>
    <s v="FOURNISSEURS"/>
    <s v="OD"/>
    <n v="1.2"/>
    <d v="2025-12-29T00:00:00"/>
    <s v="Liaison inter-établissement vers TO "/>
    <m/>
    <e v="#N/A"/>
    <e v="#N/A"/>
    <n v="93702"/>
    <m/>
    <s v="ORANGE"/>
    <s v="Q4"/>
    <e v="#REF!"/>
    <e v="#REF!"/>
    <e v="#REF!"/>
  </r>
  <r>
    <s v="401000"/>
    <x v="6"/>
    <s v="FOURNISSEURS"/>
    <s v="OD"/>
    <n v="1.71"/>
    <d v="2025-10-02T00:00:00"/>
    <s v="Liaison inter-établissement vers TO "/>
    <m/>
    <e v="#N/A"/>
    <e v="#N/A"/>
    <n v="89510"/>
    <m/>
    <s v="SANITY"/>
    <s v="Q4"/>
    <e v="#REF!"/>
    <e v="#REF!"/>
    <e v="#REF!"/>
  </r>
  <r>
    <s v="401000"/>
    <x v="6"/>
    <s v="FOURNISSEURS"/>
    <s v="OD"/>
    <n v="1.74"/>
    <d v="2025-11-03T00:00:00"/>
    <s v="Liaison inter-établissement vers TO "/>
    <m/>
    <e v="#N/A"/>
    <e v="#N/A"/>
    <n v="91739"/>
    <m/>
    <s v="SANITY"/>
    <s v="Q4"/>
    <e v="#REF!"/>
    <e v="#REF!"/>
    <e v="#REF!"/>
  </r>
  <r>
    <s v="401000"/>
    <x v="6"/>
    <s v="FOURNISSEURS"/>
    <s v="OD"/>
    <n v="1.88"/>
    <d v="2025-08-04T00:00:00"/>
    <s v="Liaison inter-établissement vers TO "/>
    <m/>
    <e v="#N/A"/>
    <e v="#N/A"/>
    <n v="83330"/>
    <m/>
    <s v="ORANGE"/>
    <s v="Q3"/>
    <e v="#REF!"/>
    <e v="#REF!"/>
    <e v="#REF!"/>
  </r>
  <r>
    <s v="401000"/>
    <x v="6"/>
    <s v="FOURNISSEURS"/>
    <s v="OD"/>
    <n v="2.5499999999999998"/>
    <d v="2025-07-02T00:00:00"/>
    <s v="Liaison inter-établissement vers TO "/>
    <m/>
    <e v="#N/A"/>
    <e v="#N/A"/>
    <n v="80973"/>
    <m/>
    <s v="SANITY"/>
    <s v="Q3"/>
    <e v="#REF!"/>
    <e v="#REF!"/>
    <e v="#REF!"/>
  </r>
  <r>
    <s v="401000"/>
    <x v="6"/>
    <s v="FOURNISSEURS"/>
    <s v="OD"/>
    <n v="2.8"/>
    <d v="2025-04-01T00:00:00"/>
    <s v="Liaison inter-établissement vers TO "/>
    <m/>
    <e v="#N/A"/>
    <e v="#N/A"/>
    <n v="74981"/>
    <m/>
    <s v="SHOPIFY"/>
    <s v="Q2"/>
    <e v="#REF!"/>
    <e v="#REF!"/>
    <e v="#REF!"/>
  </r>
  <r>
    <s v="401000"/>
    <x v="6"/>
    <s v="FOURNISSEURS"/>
    <s v="OD"/>
    <n v="5.23"/>
    <d v="2025-11-28T00:00:00"/>
    <s v="Liaison inter-établissement vers TO "/>
    <m/>
    <e v="#N/A"/>
    <e v="#N/A"/>
    <n v="91659"/>
    <m/>
    <s v="LA POSTE"/>
    <s v="Q4"/>
    <e v="#REF!"/>
    <e v="#REF!"/>
    <e v="#REF!"/>
  </r>
  <r>
    <s v="401000"/>
    <x v="6"/>
    <s v="FOURNISSEURS"/>
    <s v="OD"/>
    <n v="5.25"/>
    <d v="2025-04-05T00:00:00"/>
    <s v="Liaison inter-établissement vers TO "/>
    <m/>
    <e v="#N/A"/>
    <e v="#N/A"/>
    <n v="74809"/>
    <m/>
    <s v="LA POSTE"/>
    <s v="Q2"/>
    <e v="#REF!"/>
    <e v="#REF!"/>
    <e v="#REF!"/>
  </r>
  <r>
    <s v="401000"/>
    <x v="6"/>
    <s v="FOURNISSEURS"/>
    <s v="OD"/>
    <n v="5.25"/>
    <d v="2025-07-11T00:00:00"/>
    <s v="Liaison inter-établissement vers TO "/>
    <m/>
    <e v="#N/A"/>
    <e v="#N/A"/>
    <n v="80993"/>
    <m/>
    <s v="LA POSTE"/>
    <s v="Q3"/>
    <e v="#REF!"/>
    <e v="#REF!"/>
    <e v="#REF!"/>
  </r>
  <r>
    <s v="401000"/>
    <x v="6"/>
    <s v="FOURNISSEURS"/>
    <s v="OD"/>
    <n v="5.25"/>
    <d v="2025-09-04T00:00:00"/>
    <s v="Liaison inter-établissement vers TO "/>
    <m/>
    <e v="#N/A"/>
    <e v="#N/A"/>
    <n v="85074"/>
    <m/>
    <s v="LA POSTE"/>
    <s v="Q3"/>
    <e v="#REF!"/>
    <e v="#REF!"/>
    <e v="#REF!"/>
  </r>
  <r>
    <s v="401000"/>
    <x v="6"/>
    <s v="FOURNISSEURS"/>
    <s v="OD"/>
    <n v="5.25"/>
    <d v="2025-10-04T00:00:00"/>
    <s v="Liaison inter-établissement vers TO "/>
    <m/>
    <e v="#N/A"/>
    <e v="#N/A"/>
    <n v="89745"/>
    <m/>
    <s v="LA POSTE"/>
    <s v="Q4"/>
    <e v="#REF!"/>
    <e v="#REF!"/>
    <e v="#REF!"/>
  </r>
  <r>
    <s v="401000"/>
    <x v="6"/>
    <s v="FOURNISSEURS"/>
    <s v="OD"/>
    <n v="6.54"/>
    <d v="2025-06-24T00:00:00"/>
    <s v="Liaison inter-établissement vers TO "/>
    <m/>
    <e v="#N/A"/>
    <e v="#N/A"/>
    <n v="78209"/>
    <m/>
    <s v="SENDCLOUD"/>
    <s v="Q2"/>
    <e v="#REF!"/>
    <e v="#REF!"/>
    <e v="#REF!"/>
  </r>
  <r>
    <s v="401000"/>
    <x v="6"/>
    <s v="FOURNISSEURS"/>
    <s v="OD"/>
    <n v="7.14"/>
    <d v="2025-03-18T00:00:00"/>
    <s v="Liaison inter-établissement vers TO "/>
    <m/>
    <e v="#N/A"/>
    <e v="#N/A"/>
    <n v="68040"/>
    <m/>
    <s v="LA POSTE"/>
    <s v="Q1"/>
    <e v="#REF!"/>
    <e v="#REF!"/>
    <e v="#REF!"/>
  </r>
  <r>
    <s v="401000"/>
    <x v="6"/>
    <s v="FOURNISSEURS"/>
    <s v="OD"/>
    <n v="7.14"/>
    <d v="2025-09-30T00:00:00"/>
    <s v="Liaison inter-établissement vers TO "/>
    <m/>
    <e v="#N/A"/>
    <e v="#N/A"/>
    <n v="89759"/>
    <m/>
    <s v="LA POSTE"/>
    <s v="Q3"/>
    <e v="#REF!"/>
    <e v="#REF!"/>
    <e v="#REF!"/>
  </r>
  <r>
    <s v="401000"/>
    <x v="6"/>
    <s v="FOURNISSEURS"/>
    <s v="OD"/>
    <n v="7.35"/>
    <d v="2025-11-28T00:00:00"/>
    <s v="Liaison inter-établissement vers TO "/>
    <m/>
    <e v="#N/A"/>
    <e v="#N/A"/>
    <n v="91663"/>
    <m/>
    <s v="LA POSTE"/>
    <s v="Q4"/>
    <e v="#REF!"/>
    <e v="#REF!"/>
    <e v="#REF!"/>
  </r>
  <r>
    <s v="401000"/>
    <x v="6"/>
    <s v="FOURNISSEURS"/>
    <s v="OD"/>
    <n v="7.49"/>
    <d v="2025-04-15T00:00:00"/>
    <s v="Liaison inter-établissement vers TO "/>
    <m/>
    <e v="#N/A"/>
    <e v="#N/A"/>
    <n v="74869"/>
    <m/>
    <s v="LEROY MERLIN"/>
    <s v="Q2"/>
    <e v="#REF!"/>
    <e v="#REF!"/>
    <e v="#REF!"/>
  </r>
  <r>
    <s v="401000"/>
    <x v="6"/>
    <s v="FOURNISSEURS"/>
    <s v="OD"/>
    <n v="7.75"/>
    <d v="2025-04-08T00:00:00"/>
    <s v="Liaison inter-établissement vers TO "/>
    <m/>
    <e v="#N/A"/>
    <e v="#N/A"/>
    <n v="69909"/>
    <m/>
    <s v="ARESCOM"/>
    <s v="Q2"/>
    <e v="#REF!"/>
    <e v="#REF!"/>
    <e v="#REF!"/>
  </r>
  <r>
    <s v="401000"/>
    <x v="6"/>
    <s v="FOURNISSEURS"/>
    <s v="OD"/>
    <n v="7.96"/>
    <d v="2025-04-09T00:00:00"/>
    <s v="Liaison inter-établissement vers TO "/>
    <m/>
    <e v="#N/A"/>
    <e v="#N/A"/>
    <n v="71426"/>
    <m/>
    <s v="LA POSTE"/>
    <s v="Q2"/>
    <e v="#REF!"/>
    <e v="#REF!"/>
    <e v="#REF!"/>
  </r>
  <r>
    <s v="401000"/>
    <x v="6"/>
    <s v="FOURNISSEURS"/>
    <s v="OD"/>
    <n v="7.96"/>
    <d v="2025-10-31T00:00:00"/>
    <s v="Liaison inter-établissement vers TO "/>
    <m/>
    <e v="#N/A"/>
    <e v="#N/A"/>
    <n v="89755"/>
    <m/>
    <s v="LA POSTE"/>
    <s v="Q4"/>
    <e v="#REF!"/>
    <e v="#REF!"/>
    <e v="#REF!"/>
  </r>
  <r>
    <s v="401000"/>
    <x v="6"/>
    <s v="FOURNISSEURS"/>
    <s v="OD"/>
    <n v="8.0399999999999991"/>
    <d v="2025-07-22T00:00:00"/>
    <s v="Liaison inter-établissement vers TO "/>
    <m/>
    <e v="#N/A"/>
    <e v="#N/A"/>
    <n v="80961"/>
    <m/>
    <s v="SENDCLOUD"/>
    <s v="Q3"/>
    <e v="#REF!"/>
    <e v="#REF!"/>
    <e v="#REF!"/>
  </r>
  <r>
    <s v="401000"/>
    <x v="6"/>
    <s v="FOURNISSEURS"/>
    <s v="OD"/>
    <n v="8.0399999999999991"/>
    <d v="2025-09-02T00:00:00"/>
    <s v="Liaison inter-établissement vers TO "/>
    <m/>
    <e v="#N/A"/>
    <e v="#N/A"/>
    <n v="83182"/>
    <m/>
    <s v="SENDCLOUD"/>
    <s v="Q3"/>
    <e v="#REF!"/>
    <e v="#REF!"/>
    <e v="#REF!"/>
  </r>
  <r>
    <s v="401000"/>
    <x v="6"/>
    <s v="FOURNISSEURS"/>
    <s v="OD"/>
    <n v="8.23"/>
    <d v="2025-07-03T00:00:00"/>
    <s v="Liaison inter-établissement vers TO "/>
    <m/>
    <e v="#N/A"/>
    <e v="#N/A"/>
    <n v="80985"/>
    <m/>
    <s v="LA POSTE"/>
    <s v="Q3"/>
    <e v="#REF!"/>
    <e v="#REF!"/>
    <e v="#REF!"/>
  </r>
  <r>
    <s v="401000"/>
    <x v="6"/>
    <s v="FOURNISSEURS"/>
    <s v="OD"/>
    <n v="8.23"/>
    <d v="2025-12-19T00:00:00"/>
    <s v="Liaison inter-établissement vers TO "/>
    <m/>
    <e v="#N/A"/>
    <e v="#N/A"/>
    <n v="94086"/>
    <m/>
    <s v="LA POSTE"/>
    <s v="Q4"/>
    <e v="#REF!"/>
    <e v="#REF!"/>
    <e v="#REF!"/>
  </r>
  <r>
    <s v="401000"/>
    <x v="6"/>
    <s v="FOURNISSEURS"/>
    <s v="OD"/>
    <n v="8.26"/>
    <d v="2025-11-02T00:00:00"/>
    <s v="Liaison inter-établissement vers TO "/>
    <m/>
    <e v="#N/A"/>
    <e v="#N/A"/>
    <n v="91743"/>
    <m/>
    <s v="SENDCLOUD"/>
    <s v="Q4"/>
    <e v="#REF!"/>
    <e v="#REF!"/>
    <e v="#REF!"/>
  </r>
  <r>
    <s v="401000"/>
    <x v="6"/>
    <s v="FOURNISSEURS"/>
    <s v="OD"/>
    <n v="8.35"/>
    <d v="2025-04-25T00:00:00"/>
    <s v="Liaison inter-établissement vers TO "/>
    <m/>
    <e v="#N/A"/>
    <e v="#N/A"/>
    <n v="74813"/>
    <m/>
    <s v="LA POSTE"/>
    <s v="Q2"/>
    <e v="#REF!"/>
    <e v="#REF!"/>
    <e v="#REF!"/>
  </r>
  <r>
    <s v="401000"/>
    <x v="6"/>
    <s v="FOURNISSEURS"/>
    <s v="OD"/>
    <n v="8.49"/>
    <d v="2025-04-25T00:00:00"/>
    <s v="Liaison inter-établissement vers TO "/>
    <m/>
    <e v="#N/A"/>
    <e v="#N/A"/>
    <n v="74837"/>
    <m/>
    <s v="LEROY MERLIN"/>
    <s v="Q2"/>
    <e v="#REF!"/>
    <e v="#REF!"/>
    <e v="#REF!"/>
  </r>
  <r>
    <s v="401000"/>
    <x v="6"/>
    <s v="FOURNISSEURS"/>
    <s v="OD"/>
    <n v="8.59"/>
    <d v="2025-04-01T00:00:00"/>
    <s v="Liaison inter-établissement vers TO "/>
    <m/>
    <e v="#N/A"/>
    <e v="#N/A"/>
    <n v="74743"/>
    <m/>
    <s v="SENDCLOUD"/>
    <s v="Q2"/>
    <e v="#REF!"/>
    <e v="#REF!"/>
    <e v="#REF!"/>
  </r>
  <r>
    <s v="401000"/>
    <x v="6"/>
    <s v="FOURNISSEURS"/>
    <s v="OD"/>
    <n v="8.59"/>
    <d v="2025-07-08T00:00:00"/>
    <s v="Liaison inter-établissement vers TO "/>
    <m/>
    <e v="#N/A"/>
    <e v="#N/A"/>
    <n v="80965"/>
    <m/>
    <s v="SENDCLOUD"/>
    <s v="Q3"/>
    <e v="#REF!"/>
    <e v="#REF!"/>
    <e v="#REF!"/>
  </r>
  <r>
    <s v="401000"/>
    <x v="6"/>
    <s v="FOURNISSEURS"/>
    <s v="OD"/>
    <n v="9.18"/>
    <d v="2025-04-15T00:00:00"/>
    <s v="Liaison inter-établissement vers TO "/>
    <m/>
    <e v="#N/A"/>
    <e v="#N/A"/>
    <n v="74751"/>
    <m/>
    <s v="SENDCLOUD"/>
    <s v="Q2"/>
    <e v="#REF!"/>
    <e v="#REF!"/>
    <e v="#REF!"/>
  </r>
  <r>
    <s v="401000"/>
    <x v="6"/>
    <s v="FOURNISSEURS"/>
    <s v="OD"/>
    <n v="9.18"/>
    <d v="2025-10-14T00:00:00"/>
    <s v="Liaison inter-établissement vers TO "/>
    <m/>
    <e v="#N/A"/>
    <e v="#N/A"/>
    <n v="89775"/>
    <m/>
    <s v="SENDCLOUD"/>
    <s v="Q4"/>
    <e v="#REF!"/>
    <e v="#REF!"/>
    <e v="#REF!"/>
  </r>
  <r>
    <s v="401000"/>
    <x v="6"/>
    <s v="FOURNISSEURS"/>
    <s v="OD"/>
    <n v="9.23"/>
    <d v="2025-04-25T00:00:00"/>
    <s v="Liaison établissement 401000 SEDIST LY"/>
    <m/>
    <e v="#N/A"/>
    <e v="#N/A"/>
    <n v="70191"/>
    <s v="Invoice Payment by Pili"/>
    <s v="SEDIST"/>
    <s v="Q2"/>
    <e v="#REF!"/>
    <e v="#REF!"/>
    <e v="#REF!"/>
  </r>
  <r>
    <s v="401000"/>
    <x v="6"/>
    <s v="FOURNISSEURS"/>
    <s v="OD"/>
    <n v="9.9499999999999993"/>
    <d v="2025-05-23T00:00:00"/>
    <s v="Liaison inter-établissement vers TO "/>
    <m/>
    <e v="#N/A"/>
    <e v="#N/A"/>
    <n v="75143"/>
    <m/>
    <s v="LA POSTE"/>
    <s v="Q2"/>
    <e v="#REF!"/>
    <e v="#REF!"/>
    <e v="#REF!"/>
  </r>
  <r>
    <s v="401000"/>
    <x v="6"/>
    <s v="FOURNISSEURS"/>
    <s v="OD"/>
    <n v="10"/>
    <d v="2025-01-28T00:00:00"/>
    <s v="Liaison inter-établissement vers TO "/>
    <m/>
    <e v="#N/A"/>
    <e v="#N/A"/>
    <n v="63771"/>
    <m/>
    <s v="ORSON.IO"/>
    <s v="Q1"/>
    <e v="#REF!"/>
    <e v="#REF!"/>
    <e v="#REF!"/>
  </r>
  <r>
    <s v="401000"/>
    <x v="6"/>
    <s v="FOURNISSEURS"/>
    <s v="OD"/>
    <n v="10.49"/>
    <d v="2025-12-12T00:00:00"/>
    <s v="Liaison inter-établissement vers TO "/>
    <m/>
    <e v="#N/A"/>
    <e v="#N/A"/>
    <n v="94082"/>
    <m/>
    <s v="LA POSTE"/>
    <s v="Q4"/>
    <e v="#REF!"/>
    <e v="#REF!"/>
    <e v="#REF!"/>
  </r>
  <r>
    <s v="401000"/>
    <x v="6"/>
    <s v="FOURNISSEURS"/>
    <s v="OD"/>
    <n v="12.58"/>
    <d v="2025-03-18T00:00:00"/>
    <s v="Liaison inter-établissement vers TO "/>
    <m/>
    <e v="#N/A"/>
    <e v="#N/A"/>
    <n v="70090"/>
    <m/>
    <s v="SENDCLOUD"/>
    <s v="Q1"/>
    <e v="#REF!"/>
    <e v="#REF!"/>
    <e v="#REF!"/>
  </r>
  <r>
    <s v="401000"/>
    <x v="6"/>
    <s v="FOURNISSEURS"/>
    <s v="OD"/>
    <n v="12.6"/>
    <d v="2025-12-06T00:00:00"/>
    <s v="Liaison inter-établissement vers TO "/>
    <m/>
    <e v="#N/A"/>
    <e v="#N/A"/>
    <n v="94126"/>
    <m/>
    <s v="SNCF"/>
    <s v="Q4"/>
    <e v="#REF!"/>
    <e v="#REF!"/>
    <e v="#REF!"/>
  </r>
  <r>
    <s v="401000"/>
    <x v="6"/>
    <s v="FOURNISSEURS"/>
    <s v="OD"/>
    <n v="13.07"/>
    <d v="2025-02-22T00:00:00"/>
    <s v="Liaison inter-établissement vers TO "/>
    <m/>
    <e v="#N/A"/>
    <e v="#N/A"/>
    <n v="64269"/>
    <m/>
    <s v="CHATEAUDEAU"/>
    <s v="Q1"/>
    <e v="#REF!"/>
    <e v="#REF!"/>
    <e v="#REF!"/>
  </r>
  <r>
    <s v="401000"/>
    <x v="6"/>
    <s v="FOURNISSEURS"/>
    <s v="OD"/>
    <n v="13.15"/>
    <d v="2025-03-31T00:00:00"/>
    <s v="Liaison inter-établissement vers TO "/>
    <m/>
    <e v="#N/A"/>
    <e v="#N/A"/>
    <n v="72737"/>
    <m/>
    <s v="Banque Populaire Rive de Paris"/>
    <s v="Q1"/>
    <e v="#REF!"/>
    <e v="#REF!"/>
    <e v="#REF!"/>
  </r>
  <r>
    <s v="401000"/>
    <x v="6"/>
    <s v="FOURNISSEURS"/>
    <s v="OD"/>
    <n v="13.15"/>
    <d v="2025-03-31T00:00:00"/>
    <s v="Liaison inter-établissement vers TO "/>
    <m/>
    <e v="#N/A"/>
    <e v="#N/A"/>
    <n v="72749"/>
    <m/>
    <s v="Banque Populaire Rive de Paris"/>
    <s v="Q1"/>
    <e v="#REF!"/>
    <e v="#REF!"/>
    <e v="#REF!"/>
  </r>
  <r>
    <s v="401000"/>
    <x v="6"/>
    <s v="FOURNISSEURS"/>
    <s v="OD"/>
    <n v="13.94"/>
    <d v="2025-04-25T00:00:00"/>
    <s v="Liaison inter-établissement vers TO "/>
    <m/>
    <e v="#N/A"/>
    <e v="#N/A"/>
    <n v="74841"/>
    <m/>
    <s v="LEROY MERLIN"/>
    <s v="Q2"/>
    <e v="#REF!"/>
    <e v="#REF!"/>
    <e v="#REF!"/>
  </r>
  <r>
    <s v="401000"/>
    <x v="6"/>
    <s v="FOURNISSEURS"/>
    <s v="OD"/>
    <n v="14.2"/>
    <d v="2025-08-21T00:00:00"/>
    <s v="Liaison inter-établissement vers TO "/>
    <m/>
    <e v="#N/A"/>
    <e v="#N/A"/>
    <n v="83262"/>
    <m/>
    <s v="BRUNEAU"/>
    <s v="Q3"/>
    <e v="#REF!"/>
    <e v="#REF!"/>
    <e v="#REF!"/>
  </r>
  <r>
    <s v="401000"/>
    <x v="6"/>
    <s v="FOURNISSEURS"/>
    <s v="OD"/>
    <n v="14.62"/>
    <d v="2025-02-06T00:00:00"/>
    <s v="Liaison inter-établissement vers TO "/>
    <m/>
    <e v="#N/A"/>
    <e v="#N/A"/>
    <n v="64313"/>
    <m/>
    <s v="LA POSTE"/>
    <s v="Q1"/>
    <e v="#REF!"/>
    <e v="#REF!"/>
    <e v="#REF!"/>
  </r>
  <r>
    <s v="401000"/>
    <x v="6"/>
    <s v="FOURNISSEURS"/>
    <s v="OD"/>
    <n v="14.89"/>
    <d v="2025-11-18T00:00:00"/>
    <s v="Liaison inter-établissement vers TO "/>
    <m/>
    <e v="#N/A"/>
    <e v="#N/A"/>
    <n v="91667"/>
    <m/>
    <s v="LEROY MERLIN"/>
    <s v="Q4"/>
    <e v="#REF!"/>
    <e v="#REF!"/>
    <e v="#REF!"/>
  </r>
  <r>
    <s v="401000"/>
    <x v="6"/>
    <s v="FOURNISSEURS"/>
    <s v="OD"/>
    <n v="15"/>
    <d v="2025-01-13T00:00:00"/>
    <s v="Liaison inter-établissement vers TO "/>
    <m/>
    <e v="#N/A"/>
    <e v="#N/A"/>
    <n v="63679"/>
    <m/>
    <s v="COOKIEBOT"/>
    <s v="Q1"/>
    <e v="#REF!"/>
    <e v="#REF!"/>
    <e v="#REF!"/>
  </r>
  <r>
    <s v="401000"/>
    <x v="6"/>
    <s v="FOURNISSEURS"/>
    <s v="OD"/>
    <n v="15"/>
    <d v="2025-02-03T00:00:00"/>
    <s v="Liaison inter-établissement vers TO "/>
    <m/>
    <e v="#N/A"/>
    <e v="#N/A"/>
    <n v="64417"/>
    <m/>
    <s v="COOKIEBOT"/>
    <s v="Q1"/>
    <e v="#REF!"/>
    <e v="#REF!"/>
    <e v="#REF!"/>
  </r>
  <r>
    <s v="401000"/>
    <x v="6"/>
    <s v="FOURNISSEURS"/>
    <s v="OD"/>
    <n v="15"/>
    <d v="2025-03-03T00:00:00"/>
    <s v="Liaison inter-établissement vers TO "/>
    <m/>
    <e v="#N/A"/>
    <e v="#N/A"/>
    <n v="68044"/>
    <m/>
    <s v="COOKIEBOT"/>
    <s v="Q1"/>
    <e v="#REF!"/>
    <e v="#REF!"/>
    <e v="#REF!"/>
  </r>
  <r>
    <s v="401000"/>
    <x v="6"/>
    <s v="FOURNISSEURS"/>
    <s v="OD"/>
    <n v="15"/>
    <d v="2025-04-03T00:00:00"/>
    <s v="Liaison inter-établissement vers TO "/>
    <m/>
    <e v="#N/A"/>
    <e v="#N/A"/>
    <n v="74765"/>
    <m/>
    <s v="COOKIEBOT"/>
    <s v="Q2"/>
    <e v="#REF!"/>
    <e v="#REF!"/>
    <e v="#REF!"/>
  </r>
  <r>
    <s v="401000"/>
    <x v="6"/>
    <s v="FOURNISSEURS"/>
    <s v="OD"/>
    <n v="15"/>
    <d v="2025-05-03T00:00:00"/>
    <s v="Liaison inter-établissement vers TO "/>
    <m/>
    <e v="#N/A"/>
    <e v="#N/A"/>
    <n v="75111"/>
    <m/>
    <s v="COOKIEBOT"/>
    <s v="Q2"/>
    <e v="#REF!"/>
    <e v="#REF!"/>
    <e v="#REF!"/>
  </r>
  <r>
    <s v="401000"/>
    <x v="6"/>
    <s v="FOURNISSEURS"/>
    <s v="OD"/>
    <n v="15"/>
    <d v="2025-06-04T00:00:00"/>
    <s v="Liaison inter-établissement vers TO "/>
    <m/>
    <e v="#N/A"/>
    <e v="#N/A"/>
    <n v="78225"/>
    <m/>
    <s v="COOKIEBOT"/>
    <s v="Q2"/>
    <e v="#REF!"/>
    <e v="#REF!"/>
    <e v="#REF!"/>
  </r>
  <r>
    <s v="401000"/>
    <x v="6"/>
    <s v="FOURNISSEURS"/>
    <s v="OD"/>
    <n v="15"/>
    <d v="2025-07-04T00:00:00"/>
    <s v="Liaison inter-établissement vers TO "/>
    <m/>
    <e v="#N/A"/>
    <e v="#N/A"/>
    <n v="80997"/>
    <m/>
    <s v="COOKIEBOT"/>
    <s v="Q3"/>
    <e v="#REF!"/>
    <e v="#REF!"/>
    <e v="#REF!"/>
  </r>
  <r>
    <s v="401000"/>
    <x v="6"/>
    <s v="FOURNISSEURS"/>
    <s v="OD"/>
    <n v="15"/>
    <d v="2025-08-03T00:00:00"/>
    <s v="Liaison inter-établissement vers TO "/>
    <m/>
    <e v="#N/A"/>
    <e v="#N/A"/>
    <n v="83278"/>
    <m/>
    <s v="COOKIEBOT"/>
    <s v="Q3"/>
    <e v="#REF!"/>
    <e v="#REF!"/>
    <e v="#REF!"/>
  </r>
  <r>
    <s v="401000"/>
    <x v="6"/>
    <s v="FOURNISSEURS"/>
    <s v="OD"/>
    <n v="15.4"/>
    <d v="2025-03-31T00:00:00"/>
    <s v="Liaison inter-établissement vers TO "/>
    <m/>
    <e v="#N/A"/>
    <e v="#N/A"/>
    <n v="72741"/>
    <m/>
    <s v="Banque Populaire Rive de Paris"/>
    <s v="Q1"/>
    <e v="#REF!"/>
    <e v="#REF!"/>
    <e v="#REF!"/>
  </r>
  <r>
    <s v="401000"/>
    <x v="6"/>
    <s v="FOURNISSEURS"/>
    <s v="OD"/>
    <n v="15.4"/>
    <d v="2025-03-31T00:00:00"/>
    <s v="Liaison inter-établissement vers TO "/>
    <m/>
    <e v="#N/A"/>
    <e v="#N/A"/>
    <n v="72753"/>
    <m/>
    <s v="Banque Populaire Rive de Paris"/>
    <s v="Q1"/>
    <e v="#REF!"/>
    <e v="#REF!"/>
    <e v="#REF!"/>
  </r>
  <r>
    <s v="401000"/>
    <x v="6"/>
    <s v="FOURNISSEURS"/>
    <s v="OD"/>
    <n v="15.85"/>
    <d v="2025-11-08T00:00:00"/>
    <s v="Liaison inter-établissement vers TO "/>
    <m/>
    <e v="#N/A"/>
    <e v="#N/A"/>
    <n v="91651"/>
    <m/>
    <s v="LA POSTE"/>
    <s v="Q4"/>
    <e v="#REF!"/>
    <e v="#REF!"/>
    <e v="#REF!"/>
  </r>
  <r>
    <s v="401000"/>
    <x v="6"/>
    <s v="FOURNISSEURS"/>
    <s v="OD"/>
    <n v="15.86"/>
    <d v="2025-05-07T00:00:00"/>
    <s v="Liaison établissement 401000 VWR KB"/>
    <m/>
    <e v="#N/A"/>
    <e v="#N/A"/>
    <n v="71845"/>
    <s v="COMMANDE CONSOMMABLE LABO"/>
    <s v="VWR AVANTOR"/>
    <s v="Q2"/>
    <e v="#REF!"/>
    <e v="#REF!"/>
    <e v="#REF!"/>
  </r>
  <r>
    <s v="401000"/>
    <x v="6"/>
    <s v="FOURNISSEURS"/>
    <s v="OD"/>
    <n v="16.079999999999998"/>
    <d v="2025-03-20T00:00:00"/>
    <s v="Liaison inter-établissement vers TO "/>
    <m/>
    <e v="#N/A"/>
    <e v="#N/A"/>
    <n v="70074"/>
    <m/>
    <s v="RS COMPONENT"/>
    <s v="Q1"/>
    <e v="#REF!"/>
    <e v="#REF!"/>
    <e v="#REF!"/>
  </r>
  <r>
    <s v="401000"/>
    <x v="6"/>
    <s v="FOURNISSEURS"/>
    <s v="OD"/>
    <n v="16.61"/>
    <d v="2025-12-31T00:00:00"/>
    <s v="Liaison inter-établissement vers TO "/>
    <m/>
    <e v="#N/A"/>
    <e v="#N/A"/>
    <n v="94169"/>
    <m/>
    <s v="LA POSTE"/>
    <s v="Q4"/>
    <e v="#REF!"/>
    <e v="#REF!"/>
    <e v="#REF!"/>
  </r>
  <r>
    <s v="401000"/>
    <x v="6"/>
    <s v="FOURNISSEURS"/>
    <s v="OD"/>
    <n v="16.850000000000001"/>
    <d v="2025-02-05T00:00:00"/>
    <s v="Liaison inter-établissement vers TO "/>
    <m/>
    <e v="#N/A"/>
    <e v="#N/A"/>
    <n v="64309"/>
    <m/>
    <s v="LA POSTE"/>
    <s v="Q1"/>
    <e v="#REF!"/>
    <e v="#REF!"/>
    <e v="#REF!"/>
  </r>
  <r>
    <s v="401000"/>
    <x v="6"/>
    <s v="FOURNISSEURS"/>
    <s v="OD"/>
    <n v="17.52"/>
    <d v="2025-03-19T00:00:00"/>
    <s v="Liaison inter-établissement vers TO "/>
    <m/>
    <e v="#N/A"/>
    <e v="#N/A"/>
    <n v="70062"/>
    <m/>
    <s v="RS COMPONENT"/>
    <s v="Q1"/>
    <e v="#REF!"/>
    <e v="#REF!"/>
    <e v="#REF!"/>
  </r>
  <r>
    <s v="401000"/>
    <x v="6"/>
    <s v="FOURNISSEURS"/>
    <s v="OD"/>
    <n v="18"/>
    <d v="2025-11-01T00:00:00"/>
    <s v="Refund - Spendesk - SNCF"/>
    <m/>
    <e v="#N/A"/>
    <e v="#N/A"/>
    <n v="91774"/>
    <m/>
    <s v="SNCF"/>
    <s v="Q4"/>
    <e v="#REF!"/>
    <e v="#REF!"/>
    <e v="#REF!"/>
  </r>
  <r>
    <s v="401000"/>
    <x v="6"/>
    <s v="FOURNISSEURS"/>
    <s v="OD"/>
    <n v="18.55"/>
    <d v="2025-12-10T00:00:00"/>
    <s v="Liaison inter-établissement vers TO "/>
    <m/>
    <e v="#N/A"/>
    <e v="#N/A"/>
    <n v="94070"/>
    <m/>
    <s v="BRUNEAU"/>
    <s v="Q4"/>
    <e v="#REF!"/>
    <e v="#REF!"/>
    <e v="#REF!"/>
  </r>
  <r>
    <s v="401000"/>
    <x v="6"/>
    <s v="FOURNISSEURS"/>
    <s v="OD"/>
    <n v="18.8"/>
    <d v="2025-02-28T00:00:00"/>
    <s v="Liaison inter-établissement vers TO "/>
    <m/>
    <e v="#N/A"/>
    <e v="#N/A"/>
    <n v="72729"/>
    <m/>
    <s v="Banque Populaire Rive de Paris"/>
    <s v="Q1"/>
    <e v="#REF!"/>
    <e v="#REF!"/>
    <e v="#REF!"/>
  </r>
  <r>
    <s v="401000"/>
    <x v="6"/>
    <s v="FOURNISSEURS"/>
    <s v="OD"/>
    <n v="18.84"/>
    <d v="2025-04-12T00:00:00"/>
    <s v="Liaison inter-établissement vers TO "/>
    <m/>
    <e v="#N/A"/>
    <e v="#N/A"/>
    <n v="69985"/>
    <m/>
    <s v="LEROY MERLIN"/>
    <s v="Q2"/>
    <e v="#REF!"/>
    <e v="#REF!"/>
    <e v="#REF!"/>
  </r>
  <r>
    <s v="401000"/>
    <x v="6"/>
    <s v="FOURNISSEURS"/>
    <s v="OD"/>
    <n v="18.84"/>
    <d v="2025-04-12T00:00:00"/>
    <s v="Liaison inter-établissement vers TO "/>
    <m/>
    <e v="#N/A"/>
    <e v="#N/A"/>
    <n v="81009"/>
    <m/>
    <s v="MANUTAN"/>
    <s v="Q2"/>
    <e v="#REF!"/>
    <e v="#REF!"/>
    <e v="#REF!"/>
  </r>
  <r>
    <s v="401000"/>
    <x v="6"/>
    <s v="FOURNISSEURS"/>
    <s v="OD"/>
    <n v="19"/>
    <d v="2025-07-29T00:00:00"/>
    <s v="Liaison inter-établissement vers TO "/>
    <m/>
    <e v="#N/A"/>
    <e v="#N/A"/>
    <n v="83166"/>
    <m/>
    <s v="SNCF"/>
    <s v="Q3"/>
    <e v="#REF!"/>
    <e v="#REF!"/>
    <e v="#REF!"/>
  </r>
  <r>
    <s v="401000"/>
    <x v="6"/>
    <s v="FOURNISSEURS"/>
    <s v="OD"/>
    <n v="19.100000000000001"/>
    <d v="2025-03-20T00:00:00"/>
    <s v="Liaison inter-établissement vers TO "/>
    <m/>
    <e v="#N/A"/>
    <e v="#N/A"/>
    <n v="64437"/>
    <m/>
    <s v="ROTH SOCHIEL"/>
    <s v="Q1"/>
    <e v="#REF!"/>
    <e v="#REF!"/>
    <e v="#REF!"/>
  </r>
  <r>
    <s v="401000"/>
    <x v="6"/>
    <s v="FOURNISSEURS"/>
    <s v="OD"/>
    <n v="19.78"/>
    <d v="2025-10-06T00:00:00"/>
    <s v="Liaison établissement 401000 VWR KB"/>
    <m/>
    <e v="#N/A"/>
    <e v="#N/A"/>
    <n v="82914"/>
    <s v="CONSOMMABLES POUR LABO"/>
    <s v="VWR AVANTOR"/>
    <s v="Q4"/>
    <e v="#REF!"/>
    <e v="#REF!"/>
    <e v="#REF!"/>
  </r>
  <r>
    <s v="401000"/>
    <x v="6"/>
    <s v="FOURNISSEURS"/>
    <s v="OD"/>
    <n v="19.86"/>
    <d v="2025-12-12T00:00:00"/>
    <s v="Liaison inter-établissement vers TO "/>
    <m/>
    <e v="#N/A"/>
    <e v="#N/A"/>
    <n v="92122"/>
    <m/>
    <s v="DHL"/>
    <s v="Q4"/>
    <e v="#REF!"/>
    <e v="#REF!"/>
    <e v="#REF!"/>
  </r>
  <r>
    <s v="401000"/>
    <x v="6"/>
    <s v="FOURNISSEURS"/>
    <s v="OD"/>
    <n v="19.899999999999999"/>
    <d v="2025-01-17T00:00:00"/>
    <s v="Liaison inter-établissement vers TO "/>
    <m/>
    <e v="#N/A"/>
    <e v="#N/A"/>
    <n v="74909"/>
    <m/>
    <s v="DHL"/>
    <s v="Q1"/>
    <e v="#REF!"/>
    <e v="#REF!"/>
    <e v="#REF!"/>
  </r>
  <r>
    <s v="401000"/>
    <x v="6"/>
    <s v="FOURNISSEURS"/>
    <s v="OD"/>
    <n v="19.989999999999998"/>
    <d v="2025-08-14T00:00:00"/>
    <s v="Liaison inter-établissement vers TO "/>
    <m/>
    <e v="#N/A"/>
    <e v="#N/A"/>
    <n v="83298"/>
    <m/>
    <s v="FNAC"/>
    <s v="Q3"/>
    <e v="#REF!"/>
    <e v="#REF!"/>
    <e v="#REF!"/>
  </r>
  <r>
    <s v="401000"/>
    <x v="6"/>
    <s v="FOURNISSEURS"/>
    <s v="OD"/>
    <n v="20"/>
    <d v="2025-01-10T00:00:00"/>
    <s v="Liaison inter-établissement vers TO "/>
    <m/>
    <e v="#N/A"/>
    <e v="#N/A"/>
    <n v="69989"/>
    <m/>
    <s v="ORSON.IO"/>
    <s v="Q1"/>
    <e v="#REF!"/>
    <e v="#REF!"/>
    <e v="#REF!"/>
  </r>
  <r>
    <s v="401000"/>
    <x v="6"/>
    <s v="FOURNISSEURS"/>
    <s v="OD"/>
    <n v="20.54"/>
    <d v="2025-03-20T00:00:00"/>
    <s v="Liaison inter-établissement vers TO "/>
    <m/>
    <e v="#N/A"/>
    <e v="#N/A"/>
    <n v="64445"/>
    <m/>
    <s v="ROTH SOCHIEL"/>
    <s v="Q1"/>
    <e v="#REF!"/>
    <e v="#REF!"/>
    <e v="#REF!"/>
  </r>
  <r>
    <s v="401000"/>
    <x v="6"/>
    <s v="FOURNISSEURS"/>
    <s v="OD"/>
    <n v="20.77"/>
    <d v="2025-04-24T00:00:00"/>
    <s v="Liaison inter-établissement vers TO "/>
    <m/>
    <e v="#N/A"/>
    <e v="#N/A"/>
    <n v="70547"/>
    <m/>
    <s v="DHL"/>
    <s v="Q2"/>
    <e v="#REF!"/>
    <e v="#REF!"/>
    <e v="#REF!"/>
  </r>
  <r>
    <s v="401000"/>
    <x v="6"/>
    <s v="FOURNISSEURS"/>
    <s v="OD"/>
    <n v="20.81"/>
    <d v="2025-10-24T00:00:00"/>
    <s v="Liaison inter-établissement vers TO "/>
    <m/>
    <e v="#N/A"/>
    <e v="#N/A"/>
    <n v="87485"/>
    <m/>
    <s v="DHL"/>
    <s v="Q4"/>
    <e v="#REF!"/>
    <e v="#REF!"/>
    <e v="#REF!"/>
  </r>
  <r>
    <s v="401000"/>
    <x v="6"/>
    <s v="FOURNISSEURS"/>
    <s v="OD"/>
    <n v="20.89"/>
    <d v="2025-04-25T00:00:00"/>
    <s v="Liaison inter-établissement vers TO "/>
    <m/>
    <e v="#N/A"/>
    <e v="#N/A"/>
    <n v="74849"/>
    <m/>
    <s v="LEROY MERLIN"/>
    <s v="Q2"/>
    <e v="#REF!"/>
    <e v="#REF!"/>
    <e v="#REF!"/>
  </r>
  <r>
    <s v="401000"/>
    <x v="6"/>
    <s v="FOURNISSEURS"/>
    <s v="OD"/>
    <n v="21.35"/>
    <d v="2025-07-04T00:00:00"/>
    <s v="Liaison inter-établissement vers TO "/>
    <m/>
    <e v="#N/A"/>
    <e v="#N/A"/>
    <n v="80989"/>
    <m/>
    <s v="LA POSTE"/>
    <s v="Q3"/>
    <e v="#REF!"/>
    <e v="#REF!"/>
    <e v="#REF!"/>
  </r>
  <r>
    <s v="401000"/>
    <x v="6"/>
    <s v="FOURNISSEURS"/>
    <s v="OD"/>
    <n v="21.99"/>
    <d v="2025-08-14T00:00:00"/>
    <s v="Liaison inter-établissement vers TO "/>
    <m/>
    <e v="#N/A"/>
    <e v="#N/A"/>
    <n v="83302"/>
    <m/>
    <s v="FNAC"/>
    <s v="Q3"/>
    <e v="#REF!"/>
    <e v="#REF!"/>
    <e v="#REF!"/>
  </r>
  <r>
    <s v="401000"/>
    <x v="6"/>
    <s v="FOURNISSEURS"/>
    <s v="OD"/>
    <n v="22.15"/>
    <d v="2025-12-30T00:00:00"/>
    <s v="Liaison établissement 401000 VWR KB"/>
    <m/>
    <e v="#N/A"/>
    <e v="#N/A"/>
    <n v="93847"/>
    <s v="4067874264"/>
    <s v="VWR AVANTOR"/>
    <s v="Q4"/>
    <e v="#REF!"/>
    <e v="#REF!"/>
    <e v="#REF!"/>
  </r>
  <r>
    <s v="401000"/>
    <x v="6"/>
    <s v="FOURNISSEURS"/>
    <s v="OD"/>
    <n v="22.45"/>
    <d v="2025-02-12T00:00:00"/>
    <s v="Liaison inter-établissement vers TO "/>
    <m/>
    <e v="#N/A"/>
    <e v="#N/A"/>
    <n v="64261"/>
    <m/>
    <s v="BRUNEAU"/>
    <s v="Q1"/>
    <e v="#REF!"/>
    <e v="#REF!"/>
    <e v="#REF!"/>
  </r>
  <r>
    <s v="401000"/>
    <x v="6"/>
    <s v="FOURNISSEURS"/>
    <s v="OD"/>
    <n v="22.96"/>
    <d v="2025-10-02T00:00:00"/>
    <s v="Liaison inter-établissement vers TO "/>
    <m/>
    <e v="#N/A"/>
    <e v="#N/A"/>
    <n v="91655"/>
    <m/>
    <s v="LA POSTE"/>
    <s v="Q4"/>
    <e v="#REF!"/>
    <e v="#REF!"/>
    <e v="#REF!"/>
  </r>
  <r>
    <s v="401000"/>
    <x v="6"/>
    <s v="FOURNISSEURS"/>
    <s v="OD"/>
    <n v="23.62"/>
    <d v="2025-08-05T00:00:00"/>
    <s v="Liaison inter-établissement vers TO "/>
    <m/>
    <e v="#N/A"/>
    <e v="#N/A"/>
    <n v="87118"/>
    <m/>
    <s v="ENGIE"/>
    <s v="Q3"/>
    <e v="#REF!"/>
    <e v="#REF!"/>
    <e v="#REF!"/>
  </r>
  <r>
    <s v="401000"/>
    <x v="6"/>
    <s v="FOURNISSEURS"/>
    <s v="OD"/>
    <n v="23.72"/>
    <d v="2025-01-30T00:00:00"/>
    <s v="Liaison inter-établissement vers TO "/>
    <m/>
    <e v="#N/A"/>
    <e v="#N/A"/>
    <n v="63611"/>
    <m/>
    <s v="BRUNEAU"/>
    <s v="Q1"/>
    <e v="#REF!"/>
    <e v="#REF!"/>
    <e v="#REF!"/>
  </r>
  <r>
    <s v="401000"/>
    <x v="6"/>
    <s v="FOURNISSEURS"/>
    <s v="OD"/>
    <n v="24.3"/>
    <d v="2025-09-26T00:00:00"/>
    <s v="Liaison établissement 401000 FISHER KB"/>
    <m/>
    <e v="#N/A"/>
    <e v="#N/A"/>
    <n v="82509"/>
    <s v="INVOICE PAYMENT BY PILI"/>
    <s v="FISHER SCIENTIFIC"/>
    <s v="Q3"/>
    <e v="#REF!"/>
    <e v="#REF!"/>
    <e v="#REF!"/>
  </r>
  <r>
    <s v="401000"/>
    <x v="6"/>
    <s v="FOURNISSEURS"/>
    <s v="OD"/>
    <n v="24.74"/>
    <d v="2025-11-30T00:00:00"/>
    <s v="Liaison inter-établissement vers TO "/>
    <m/>
    <e v="#N/A"/>
    <e v="#N/A"/>
    <n v="91765"/>
    <m/>
    <s v="LA POSTE"/>
    <s v="Q4"/>
    <e v="#REF!"/>
    <e v="#REF!"/>
    <e v="#REF!"/>
  </r>
  <r>
    <s v="401000"/>
    <x v="6"/>
    <s v="FOURNISSEURS"/>
    <s v="OD"/>
    <n v="24.78"/>
    <d v="2025-05-07T00:00:00"/>
    <s v="Liaison établissement 401000 SIGMA KB"/>
    <m/>
    <e v="#N/A"/>
    <e v="#N/A"/>
    <n v="71810"/>
    <s v="COMMANDE PRODUIT KEENB"/>
    <s v="Sigma-Aldrich chimie"/>
    <s v="Q2"/>
    <e v="#REF!"/>
    <e v="#REF!"/>
    <e v="#REF!"/>
  </r>
  <r>
    <s v="401000"/>
    <x v="6"/>
    <s v="FOURNISSEURS"/>
    <s v="OD"/>
    <n v="24.99"/>
    <d v="2025-08-14T00:00:00"/>
    <s v="Liaison inter-établissement vers TO "/>
    <m/>
    <e v="#N/A"/>
    <e v="#N/A"/>
    <n v="83310"/>
    <m/>
    <s v="FNAC"/>
    <s v="Q3"/>
    <e v="#REF!"/>
    <e v="#REF!"/>
    <e v="#REF!"/>
  </r>
  <r>
    <s v="401000"/>
    <x v="6"/>
    <s v="FOURNISSEURS"/>
    <s v="OD"/>
    <n v="25.61"/>
    <d v="2025-04-02T00:00:00"/>
    <s v="Liaison établissement 401000 VWR KB"/>
    <m/>
    <e v="#N/A"/>
    <e v="#N/A"/>
    <n v="66491"/>
    <s v="Invoice Payment by Pili"/>
    <s v="VWR AVANTOR"/>
    <s v="Q2"/>
    <e v="#REF!"/>
    <e v="#REF!"/>
    <e v="#REF!"/>
  </r>
  <r>
    <s v="401000"/>
    <x v="6"/>
    <s v="FOURNISSEURS"/>
    <s v="OD"/>
    <n v="25.61"/>
    <d v="2025-12-30T00:00:00"/>
    <s v="Liaison établissement 401000 VWR KB"/>
    <m/>
    <e v="#N/A"/>
    <e v="#N/A"/>
    <n v="93852"/>
    <s v="4067875494"/>
    <s v="VWR AVANTOR"/>
    <s v="Q4"/>
    <e v="#REF!"/>
    <e v="#REF!"/>
    <e v="#REF!"/>
  </r>
  <r>
    <s v="401000"/>
    <x v="6"/>
    <s v="FOURNISSEURS"/>
    <s v="OD"/>
    <n v="25.73"/>
    <d v="2025-07-22T00:00:00"/>
    <s v="Liaison établissement 401000 ROTH RO"/>
    <m/>
    <e v="#N/A"/>
    <e v="#N/A"/>
    <n v="78290"/>
    <s v="ÉTHYLHEXANOL  MIN. 99,5 %, POUR LA SYNTHÈSE"/>
    <s v="ROTH SOCHIEL"/>
    <s v="Q3"/>
    <e v="#REF!"/>
    <e v="#REF!"/>
    <e v="#REF!"/>
  </r>
  <r>
    <s v="401000"/>
    <x v="6"/>
    <s v="FOURNISSEURS"/>
    <s v="OD"/>
    <n v="25.84"/>
    <d v="2025-06-20T00:00:00"/>
    <s v="Liaison inter-établissement vers TO "/>
    <m/>
    <e v="#N/A"/>
    <e v="#N/A"/>
    <n v="76227"/>
    <m/>
    <s v="DHL"/>
    <s v="Q2"/>
    <e v="#REF!"/>
    <e v="#REF!"/>
    <e v="#REF!"/>
  </r>
  <r>
    <s v="401000"/>
    <x v="6"/>
    <s v="FOURNISSEURS"/>
    <s v="OD"/>
    <n v="26.4"/>
    <d v="2025-07-31T00:00:00"/>
    <s v="Liaison établissement 401000 VWR KB"/>
    <m/>
    <e v="#N/A"/>
    <e v="#N/A"/>
    <n v="79370"/>
    <s v="COMMANDE CONSOMMABLE LABO"/>
    <s v="VWR AVANTOR"/>
    <s v="Q3"/>
    <e v="#REF!"/>
    <e v="#REF!"/>
    <e v="#REF!"/>
  </r>
  <r>
    <s v="401000"/>
    <x v="6"/>
    <s v="FOURNISSEURS"/>
    <s v="OD"/>
    <n v="26.59"/>
    <d v="2025-03-28T00:00:00"/>
    <s v="Liaison établissement 401000 VWR KB"/>
    <m/>
    <e v="#N/A"/>
    <e v="#N/A"/>
    <n v="64982"/>
    <s v="Invoice Payment by Pili"/>
    <s v="VWR AVANTOR"/>
    <s v="Q1"/>
    <e v="#REF!"/>
    <e v="#REF!"/>
    <e v="#REF!"/>
  </r>
  <r>
    <s v="401000"/>
    <x v="6"/>
    <s v="FOURNISSEURS"/>
    <s v="OD"/>
    <n v="27.46"/>
    <d v="2025-07-31T00:00:00"/>
    <s v="Liaison établissement 401000 VWR KB"/>
    <m/>
    <e v="#N/A"/>
    <e v="#N/A"/>
    <n v="79355"/>
    <s v="COMMANDE PRODUIT KEENY POUR ÉTUDE RC1"/>
    <s v="VWR AVANTOR"/>
    <s v="Q3"/>
    <e v="#REF!"/>
    <e v="#REF!"/>
    <e v="#REF!"/>
  </r>
  <r>
    <s v="401000"/>
    <x v="6"/>
    <s v="FOURNISSEURS"/>
    <s v="OD"/>
    <n v="27.6"/>
    <d v="2025-02-23T00:00:00"/>
    <s v="Liaison inter-établissement vers TO "/>
    <m/>
    <s v="Non"/>
    <e v="#N/A"/>
    <n v="64305"/>
    <m/>
    <s v="DIVERS"/>
    <s v="Q1"/>
    <e v="#REF!"/>
    <e v="#REF!"/>
    <e v="#REF!"/>
  </r>
  <r>
    <s v="401000"/>
    <x v="6"/>
    <s v="FOURNISSEURS"/>
    <s v="OD"/>
    <n v="27.68"/>
    <d v="2025-07-12T00:00:00"/>
    <s v="Liaison inter-établissement vers TO "/>
    <m/>
    <e v="#N/A"/>
    <e v="#N/A"/>
    <n v="81039"/>
    <m/>
    <s v="RS COMPONENT"/>
    <s v="Q3"/>
    <e v="#REF!"/>
    <e v="#REF!"/>
    <e v="#REF!"/>
  </r>
  <r>
    <s v="401000"/>
    <x v="6"/>
    <s v="FOURNISSEURS"/>
    <s v="OD"/>
    <n v="27.75"/>
    <d v="2025-09-05T00:00:00"/>
    <s v="Liaison inter-établissement vers TO "/>
    <m/>
    <e v="#N/A"/>
    <e v="#N/A"/>
    <n v="87122"/>
    <m/>
    <s v="ENGIE"/>
    <s v="Q3"/>
    <e v="#REF!"/>
    <e v="#REF!"/>
    <e v="#REF!"/>
  </r>
  <r>
    <s v="401000"/>
    <x v="6"/>
    <s v="FOURNISSEURS"/>
    <s v="OD"/>
    <n v="27.96"/>
    <d v="2025-11-04T00:00:00"/>
    <s v="Liaison inter-établissement vers TO "/>
    <m/>
    <e v="#N/A"/>
    <e v="#N/A"/>
    <n v="90095"/>
    <m/>
    <s v="ENGIE"/>
    <s v="Q4"/>
    <e v="#REF!"/>
    <e v="#REF!"/>
    <e v="#REF!"/>
  </r>
  <r>
    <s v="401000"/>
    <x v="6"/>
    <s v="FOURNISSEURS"/>
    <s v="OD"/>
    <n v="28"/>
    <d v="2025-11-13T00:00:00"/>
    <s v="Liaison inter-établissement vers TO "/>
    <m/>
    <s v="Non"/>
    <e v="#N/A"/>
    <n v="91635"/>
    <m/>
    <s v="DIVERS"/>
    <s v="Q4"/>
    <e v="#REF!"/>
    <e v="#REF!"/>
    <e v="#REF!"/>
  </r>
  <r>
    <s v="401000"/>
    <x v="6"/>
    <s v="FOURNISSEURS"/>
    <s v="OD"/>
    <n v="28.22"/>
    <d v="2025-05-30T00:00:00"/>
    <s v="Liaison inter-établissement vers TO "/>
    <m/>
    <e v="#N/A"/>
    <e v="#N/A"/>
    <n v="75026"/>
    <m/>
    <s v="DHL"/>
    <s v="Q2"/>
    <e v="#REF!"/>
    <e v="#REF!"/>
    <e v="#REF!"/>
  </r>
  <r>
    <s v="401000"/>
    <x v="6"/>
    <s v="FOURNISSEURS"/>
    <s v="OD"/>
    <n v="28.6"/>
    <d v="2025-11-19T00:00:00"/>
    <s v="Liaison établissement 401000 BIOTIKA RO"/>
    <s v="Non"/>
    <e v="#N/A"/>
    <e v="#N/A"/>
    <n v="90485"/>
    <s v="91250169"/>
    <s v="BIOTIKA"/>
    <s v="Q4"/>
    <e v="#REF!"/>
    <e v="#REF!"/>
    <e v="#REF!"/>
  </r>
  <r>
    <s v="401000"/>
    <x v="6"/>
    <s v="FOURNISSEURS"/>
    <s v="OD"/>
    <n v="29.27"/>
    <d v="2025-07-07T00:00:00"/>
    <s v="Liaison inter-établissement vers TO "/>
    <m/>
    <e v="#N/A"/>
    <e v="#N/A"/>
    <n v="78850"/>
    <m/>
    <s v="ENGIE"/>
    <s v="Q3"/>
    <e v="#REF!"/>
    <e v="#REF!"/>
    <e v="#REF!"/>
  </r>
  <r>
    <s v="401000"/>
    <x v="6"/>
    <s v="FOURNISSEURS"/>
    <s v="OD"/>
    <n v="29.86"/>
    <d v="2025-03-18T00:00:00"/>
    <s v="Liaison inter-établissement vers TO "/>
    <m/>
    <e v="#N/A"/>
    <e v="#N/A"/>
    <n v="64465"/>
    <m/>
    <s v="VWR AVANTOR"/>
    <s v="Q1"/>
    <e v="#REF!"/>
    <e v="#REF!"/>
    <e v="#REF!"/>
  </r>
  <r>
    <s v="401000"/>
    <x v="6"/>
    <s v="FOURNISSEURS"/>
    <s v="OD"/>
    <n v="29.95"/>
    <d v="2025-07-25T00:00:00"/>
    <s v="Liaison inter-établissement vers TO "/>
    <m/>
    <e v="#N/A"/>
    <e v="#N/A"/>
    <n v="81047"/>
    <m/>
    <s v="MAILJET"/>
    <s v="Q3"/>
    <e v="#REF!"/>
    <e v="#REF!"/>
    <e v="#REF!"/>
  </r>
  <r>
    <s v="401000"/>
    <x v="6"/>
    <s v="FOURNISSEURS"/>
    <s v="OD"/>
    <n v="30"/>
    <d v="2025-06-16T00:00:00"/>
    <s v="Liaison établissement 401000 BIOTIKA RO"/>
    <s v="Non"/>
    <e v="#N/A"/>
    <e v="#N/A"/>
    <n v="76049"/>
    <s v="TRANSPORT COSTS"/>
    <s v="BIOTIKA"/>
    <s v="Q2"/>
    <e v="#REF!"/>
    <e v="#REF!"/>
    <e v="#REF!"/>
  </r>
  <r>
    <s v="401000"/>
    <x v="6"/>
    <s v="FOURNISSEURS"/>
    <s v="OD"/>
    <n v="30"/>
    <d v="2025-08-25T00:00:00"/>
    <s v="Liaison inter-établissement vers TO "/>
    <m/>
    <e v="#N/A"/>
    <e v="#N/A"/>
    <n v="83346"/>
    <m/>
    <s v="MAILJET"/>
    <s v="Q3"/>
    <e v="#REF!"/>
    <e v="#REF!"/>
    <e v="#REF!"/>
  </r>
  <r>
    <s v="401000"/>
    <x v="6"/>
    <s v="FOURNISSEURS"/>
    <s v="OD"/>
    <n v="30"/>
    <d v="2025-09-25T00:00:00"/>
    <s v="Liaison inter-établissement vers TO "/>
    <m/>
    <e v="#N/A"/>
    <e v="#N/A"/>
    <n v="83350"/>
    <m/>
    <s v="MAILJET"/>
    <s v="Q3"/>
    <e v="#REF!"/>
    <e v="#REF!"/>
    <e v="#REF!"/>
  </r>
  <r>
    <s v="401000"/>
    <x v="6"/>
    <s v="FOURNISSEURS"/>
    <s v="OD"/>
    <n v="30"/>
    <d v="2025-10-25T00:00:00"/>
    <s v="Liaison inter-établissement vers TO "/>
    <m/>
    <e v="#N/A"/>
    <e v="#N/A"/>
    <n v="89763"/>
    <m/>
    <s v="MAILJET"/>
    <s v="Q4"/>
    <e v="#REF!"/>
    <e v="#REF!"/>
    <e v="#REF!"/>
  </r>
  <r>
    <s v="401000"/>
    <x v="6"/>
    <s v="FOURNISSEURS"/>
    <s v="OD"/>
    <n v="30"/>
    <d v="2025-11-03T00:00:00"/>
    <s v="Liaison inter-établissement vers TO "/>
    <m/>
    <e v="#N/A"/>
    <e v="#N/A"/>
    <n v="91631"/>
    <m/>
    <s v="COOKIEBOT"/>
    <s v="Q4"/>
    <e v="#REF!"/>
    <e v="#REF!"/>
    <e v="#REF!"/>
  </r>
  <r>
    <s v="401000"/>
    <x v="6"/>
    <s v="FOURNISSEURS"/>
    <s v="OD"/>
    <n v="30"/>
    <d v="2025-11-25T00:00:00"/>
    <s v="Liaison inter-établissement vers TO "/>
    <m/>
    <e v="#N/A"/>
    <e v="#N/A"/>
    <n v="91671"/>
    <m/>
    <s v="MAILJET"/>
    <s v="Q4"/>
    <e v="#REF!"/>
    <e v="#REF!"/>
    <e v="#REF!"/>
  </r>
  <r>
    <s v="401000"/>
    <x v="6"/>
    <s v="FOURNISSEURS"/>
    <s v="OD"/>
    <n v="30"/>
    <d v="2025-12-03T00:00:00"/>
    <s v="Liaison inter-établissement vers TO "/>
    <m/>
    <e v="#N/A"/>
    <e v="#N/A"/>
    <n v="94074"/>
    <m/>
    <s v="COOKIEBOT"/>
    <s v="Q4"/>
    <e v="#REF!"/>
    <e v="#REF!"/>
    <e v="#REF!"/>
  </r>
  <r>
    <s v="401000"/>
    <x v="6"/>
    <s v="FOURNISSEURS"/>
    <s v="OD"/>
    <n v="30"/>
    <d v="2025-12-25T00:00:00"/>
    <s v="Liaison inter-établissement vers TO "/>
    <m/>
    <e v="#N/A"/>
    <e v="#N/A"/>
    <n v="94090"/>
    <m/>
    <s v="MAILJET"/>
    <s v="Q4"/>
    <e v="#REF!"/>
    <e v="#REF!"/>
    <e v="#REF!"/>
  </r>
  <r>
    <s v="401000"/>
    <x v="6"/>
    <s v="FOURNISSEURS"/>
    <s v="OD"/>
    <n v="30.23"/>
    <d v="2025-10-07T00:00:00"/>
    <s v="Liaison inter-établissement vers TO "/>
    <m/>
    <e v="#N/A"/>
    <e v="#N/A"/>
    <n v="86952"/>
    <m/>
    <s v="ENGIE"/>
    <s v="Q4"/>
    <e v="#REF!"/>
    <e v="#REF!"/>
    <e v="#REF!"/>
  </r>
  <r>
    <s v="401000"/>
    <x v="6"/>
    <s v="FOURNISSEURS"/>
    <s v="OD"/>
    <n v="31.32"/>
    <d v="2025-03-14T00:00:00"/>
    <s v="Liaison établissement 401000 ROTH RO"/>
    <m/>
    <e v="#N/A"/>
    <e v="#N/A"/>
    <n v="61665"/>
    <s v="Paiement Roth"/>
    <s v="ROTH SOCHIEL"/>
    <s v="Q1"/>
    <e v="#REF!"/>
    <e v="#REF!"/>
    <e v="#REF!"/>
  </r>
  <r>
    <s v="401000"/>
    <x v="6"/>
    <s v="FOURNISSEURS"/>
    <s v="OD"/>
    <n v="31.58"/>
    <d v="2025-06-03T00:00:00"/>
    <s v="Liaison inter-établissement vers TO "/>
    <m/>
    <e v="#N/A"/>
    <e v="#N/A"/>
    <n v="82828"/>
    <m/>
    <s v="EAU DU GRAND LYON"/>
    <s v="Q2"/>
    <e v="#REF!"/>
    <e v="#REF!"/>
    <e v="#REF!"/>
  </r>
  <r>
    <s v="401000"/>
    <x v="6"/>
    <s v="FOURNISSEURS"/>
    <s v="OD"/>
    <n v="31.79"/>
    <d v="2025-01-18T00:00:00"/>
    <s v="Liaison inter-établissement vers TO "/>
    <m/>
    <s v="Non"/>
    <e v="#N/A"/>
    <n v="60048"/>
    <m/>
    <s v="DIVERS"/>
    <s v="Q1"/>
    <e v="#REF!"/>
    <e v="#REF!"/>
    <e v="#REF!"/>
  </r>
  <r>
    <s v="401000"/>
    <x v="6"/>
    <s v="FOURNISSEURS"/>
    <s v="OD"/>
    <n v="32.020000000000003"/>
    <d v="2025-12-04T00:00:00"/>
    <s v="Liaison inter-établissement vers TO "/>
    <m/>
    <e v="#N/A"/>
    <e v="#N/A"/>
    <n v="92967"/>
    <m/>
    <s v="EAU DU GRAND LYON"/>
    <s v="Q4"/>
    <e v="#REF!"/>
    <e v="#REF!"/>
    <e v="#REF!"/>
  </r>
  <r>
    <s v="401000"/>
    <x v="6"/>
    <s v="FOURNISSEURS"/>
    <s v="OD"/>
    <n v="32.6"/>
    <d v="2025-11-01T00:00:00"/>
    <s v="Spendesk - Booking"/>
    <m/>
    <e v="#N/A"/>
    <e v="#N/A"/>
    <n v="91788"/>
    <m/>
    <s v="BOOKING"/>
    <s v="Q4"/>
    <e v="#REF!"/>
    <e v="#REF!"/>
    <e v="#REF!"/>
  </r>
  <r>
    <s v="401000"/>
    <x v="6"/>
    <s v="FOURNISSEURS"/>
    <s v="OD"/>
    <n v="32.83"/>
    <d v="2025-10-06T00:00:00"/>
    <s v="Liaison établissement 401000 VWR KB"/>
    <m/>
    <e v="#N/A"/>
    <e v="#N/A"/>
    <n v="82919"/>
    <s v="CONSOMMABLE LABO"/>
    <s v="VWR AVANTOR"/>
    <s v="Q4"/>
    <e v="#REF!"/>
    <e v="#REF!"/>
    <e v="#REF!"/>
  </r>
  <r>
    <s v="401000"/>
    <x v="6"/>
    <s v="FOURNISSEURS"/>
    <s v="OD"/>
    <n v="32.85"/>
    <d v="2025-06-18T00:00:00"/>
    <s v="Liaison inter-établissement vers TO "/>
    <m/>
    <e v="#N/A"/>
    <e v="#N/A"/>
    <n v="78257"/>
    <m/>
    <s v="MONDROGUISTE"/>
    <s v="Q2"/>
    <e v="#REF!"/>
    <e v="#REF!"/>
    <e v="#REF!"/>
  </r>
  <r>
    <s v="401000"/>
    <x v="6"/>
    <s v="FOURNISSEURS"/>
    <s v="OD"/>
    <n v="32.92"/>
    <d v="2025-03-18T00:00:00"/>
    <s v="Liaison inter-établissement vers TO "/>
    <m/>
    <e v="#N/A"/>
    <e v="#N/A"/>
    <n v="63937"/>
    <m/>
    <s v="VWR AVANTOR"/>
    <s v="Q1"/>
    <e v="#REF!"/>
    <e v="#REF!"/>
    <e v="#REF!"/>
  </r>
  <r>
    <s v="401000"/>
    <x v="6"/>
    <s v="FOURNISSEURS"/>
    <s v="OD"/>
    <n v="32.93"/>
    <d v="2025-04-02T00:00:00"/>
    <s v="Liaison établissement 401000 ROTH RO"/>
    <m/>
    <e v="#N/A"/>
    <e v="#N/A"/>
    <n v="66516"/>
    <s v="TRIÉTHYLÈNEGLYCOL"/>
    <s v="ROTH SOCHIEL"/>
    <s v="Q2"/>
    <e v="#REF!"/>
    <e v="#REF!"/>
    <e v="#REF!"/>
  </r>
  <r>
    <s v="401000"/>
    <x v="6"/>
    <s v="FOURNISSEURS"/>
    <s v="OD"/>
    <n v="32.99"/>
    <d v="2025-07-04T00:00:00"/>
    <s v="Liaison inter-établissement vers TO "/>
    <m/>
    <e v="#N/A"/>
    <e v="#N/A"/>
    <n v="89677"/>
    <m/>
    <s v="BOUYGUES TELECOM"/>
    <s v="Q3"/>
    <e v="#REF!"/>
    <e v="#REF!"/>
    <e v="#REF!"/>
  </r>
  <r>
    <s v="401000"/>
    <x v="6"/>
    <s v="FOURNISSEURS"/>
    <s v="OD"/>
    <n v="32.99"/>
    <d v="2025-08-05T00:00:00"/>
    <s v="Liaison inter-établissement vers TO "/>
    <m/>
    <e v="#N/A"/>
    <e v="#N/A"/>
    <n v="87106"/>
    <m/>
    <s v="BOUYGUES TELECOM"/>
    <s v="Q3"/>
    <e v="#REF!"/>
    <e v="#REF!"/>
    <e v="#REF!"/>
  </r>
  <r>
    <s v="401000"/>
    <x v="6"/>
    <s v="FOURNISSEURS"/>
    <s v="OD"/>
    <n v="32.99"/>
    <d v="2025-09-20T00:00:00"/>
    <s v="Liaison inter-établissement vers TO "/>
    <m/>
    <e v="#N/A"/>
    <e v="#N/A"/>
    <n v="82808"/>
    <m/>
    <s v="BOUYGUES TELECOM"/>
    <s v="Q3"/>
    <e v="#REF!"/>
    <e v="#REF!"/>
    <e v="#REF!"/>
  </r>
  <r>
    <s v="401000"/>
    <x v="6"/>
    <s v="FOURNISSEURS"/>
    <s v="OD"/>
    <n v="32.99"/>
    <d v="2025-10-06T00:00:00"/>
    <s v="Liaison inter-établissement vers TO "/>
    <m/>
    <e v="#N/A"/>
    <e v="#N/A"/>
    <n v="87110"/>
    <m/>
    <s v="BOUYGUES TELECOM"/>
    <s v="Q4"/>
    <e v="#REF!"/>
    <e v="#REF!"/>
    <e v="#REF!"/>
  </r>
  <r>
    <s v="401000"/>
    <x v="6"/>
    <s v="FOURNISSEURS"/>
    <s v="OD"/>
    <n v="32.99"/>
    <d v="2025-11-05T00:00:00"/>
    <s v="Liaison inter-établissement vers TO "/>
    <m/>
    <e v="#N/A"/>
    <e v="#N/A"/>
    <n v="90114"/>
    <m/>
    <s v="BOUYGUES TELECOM"/>
    <s v="Q4"/>
    <e v="#REF!"/>
    <e v="#REF!"/>
    <e v="#REF!"/>
  </r>
  <r>
    <s v="401000"/>
    <x v="6"/>
    <s v="FOURNISSEURS"/>
    <s v="OD"/>
    <n v="32.99"/>
    <d v="2025-12-05T00:00:00"/>
    <s v="Liaison inter-établissement vers TO "/>
    <m/>
    <e v="#N/A"/>
    <e v="#N/A"/>
    <n v="91924"/>
    <m/>
    <s v="BOUYGUES TELECOM"/>
    <s v="Q4"/>
    <e v="#REF!"/>
    <e v="#REF!"/>
    <e v="#REF!"/>
  </r>
  <r>
    <s v="401000"/>
    <x v="6"/>
    <s v="FOURNISSEURS"/>
    <s v="OD"/>
    <n v="33"/>
    <d v="2025-03-28T00:00:00"/>
    <s v="Liaison inter-établissement vers TO "/>
    <m/>
    <e v="#N/A"/>
    <e v="#N/A"/>
    <n v="68016"/>
    <m/>
    <s v="BLD PHARMATECH"/>
    <s v="Q1"/>
    <e v="#REF!"/>
    <e v="#REF!"/>
    <e v="#REF!"/>
  </r>
  <r>
    <s v="401000"/>
    <x v="6"/>
    <s v="FOURNISSEURS"/>
    <s v="OD"/>
    <n v="33.42"/>
    <d v="2025-03-01T00:00:00"/>
    <s v="Liaison inter-établissement vers TO "/>
    <m/>
    <e v="#N/A"/>
    <e v="#N/A"/>
    <n v="70042"/>
    <m/>
    <s v="MANUTAN"/>
    <s v="Q1"/>
    <e v="#REF!"/>
    <e v="#REF!"/>
    <e v="#REF!"/>
  </r>
  <r>
    <s v="401000"/>
    <x v="6"/>
    <s v="FOURNISSEURS"/>
    <s v="OD"/>
    <n v="33.590000000000003"/>
    <d v="2025-10-22T00:00:00"/>
    <s v="Liaison inter-établissement vers TO "/>
    <m/>
    <e v="#N/A"/>
    <e v="#N/A"/>
    <n v="89725"/>
    <m/>
    <s v="BRUNEAU"/>
    <s v="Q4"/>
    <e v="#REF!"/>
    <e v="#REF!"/>
    <e v="#REF!"/>
  </r>
  <r>
    <s v="401000"/>
    <x v="6"/>
    <s v="FOURNISSEURS"/>
    <s v="OD"/>
    <n v="34.799999999999997"/>
    <d v="2025-01-02T00:00:00"/>
    <s v="Liaison inter-établissement vers TO "/>
    <m/>
    <e v="#N/A"/>
    <e v="#N/A"/>
    <n v="63845"/>
    <m/>
    <s v="SENDCLOUD"/>
    <s v="Q1"/>
    <e v="#REF!"/>
    <e v="#REF!"/>
    <e v="#REF!"/>
  </r>
  <r>
    <s v="401000"/>
    <x v="6"/>
    <s v="FOURNISSEURS"/>
    <s v="OD"/>
    <n v="34.799999999999997"/>
    <d v="2025-02-02T00:00:00"/>
    <s v="Liaison inter-établissement vers TO "/>
    <m/>
    <e v="#N/A"/>
    <e v="#N/A"/>
    <n v="64337"/>
    <m/>
    <s v="SENDCLOUD"/>
    <s v="Q1"/>
    <e v="#REF!"/>
    <e v="#REF!"/>
    <e v="#REF!"/>
  </r>
  <r>
    <s v="401000"/>
    <x v="6"/>
    <s v="FOURNISSEURS"/>
    <s v="OD"/>
    <n v="34.799999999999997"/>
    <d v="2025-03-02T00:00:00"/>
    <s v="Liaison inter-établissement vers TO "/>
    <m/>
    <e v="#N/A"/>
    <e v="#N/A"/>
    <n v="70086"/>
    <m/>
    <s v="SENDCLOUD"/>
    <s v="Q1"/>
    <e v="#REF!"/>
    <e v="#REF!"/>
    <e v="#REF!"/>
  </r>
  <r>
    <s v="401000"/>
    <x v="6"/>
    <s v="FOURNISSEURS"/>
    <s v="OD"/>
    <n v="34.799999999999997"/>
    <d v="2025-05-02T00:00:00"/>
    <s v="Liaison inter-établissement vers TO "/>
    <m/>
    <e v="#N/A"/>
    <e v="#N/A"/>
    <n v="75107"/>
    <m/>
    <s v="SENDCLOUD"/>
    <s v="Q2"/>
    <e v="#REF!"/>
    <e v="#REF!"/>
    <e v="#REF!"/>
  </r>
  <r>
    <s v="401000"/>
    <x v="6"/>
    <s v="FOURNISSEURS"/>
    <s v="OD"/>
    <n v="34.799999999999997"/>
    <d v="2025-06-02T00:00:00"/>
    <s v="Liaison inter-établissement vers TO "/>
    <m/>
    <e v="#N/A"/>
    <e v="#N/A"/>
    <n v="78205"/>
    <m/>
    <s v="SENDCLOUD"/>
    <s v="Q2"/>
    <e v="#REF!"/>
    <e v="#REF!"/>
    <e v="#REF!"/>
  </r>
  <r>
    <s v="401000"/>
    <x v="6"/>
    <s v="FOURNISSEURS"/>
    <s v="OD"/>
    <n v="34.799999999999997"/>
    <d v="2025-08-02T00:00:00"/>
    <s v="Liaison inter-établissement vers TO "/>
    <m/>
    <e v="#N/A"/>
    <e v="#N/A"/>
    <n v="83314"/>
    <m/>
    <s v="SENDCLOUD"/>
    <s v="Q3"/>
    <e v="#REF!"/>
    <e v="#REF!"/>
    <e v="#REF!"/>
  </r>
  <r>
    <s v="401000"/>
    <x v="6"/>
    <s v="FOURNISSEURS"/>
    <s v="OD"/>
    <n v="34.799999999999997"/>
    <d v="2025-12-24T00:00:00"/>
    <s v="Liaison inter-établissement vers TO "/>
    <m/>
    <e v="#N/A"/>
    <e v="#N/A"/>
    <n v="94150"/>
    <m/>
    <s v="LPI CONSEIL"/>
    <s v="Q4"/>
    <e v="#REF!"/>
    <e v="#REF!"/>
    <e v="#REF!"/>
  </r>
  <r>
    <s v="401000"/>
    <x v="6"/>
    <s v="FOURNISSEURS"/>
    <s v="OD"/>
    <n v="35.04"/>
    <d v="2025-04-02T00:00:00"/>
    <s v="Liaison inter-établissement vers TO "/>
    <m/>
    <e v="#N/A"/>
    <e v="#N/A"/>
    <n v="74747"/>
    <m/>
    <s v="SENDCLOUD"/>
    <s v="Q2"/>
    <e v="#REF!"/>
    <e v="#REF!"/>
    <e v="#REF!"/>
  </r>
  <r>
    <s v="401000"/>
    <x v="6"/>
    <s v="FOURNISSEURS"/>
    <s v="OD"/>
    <n v="35.04"/>
    <d v="2025-07-02T00:00:00"/>
    <s v="Liaison inter-établissement vers TO "/>
    <m/>
    <e v="#N/A"/>
    <e v="#N/A"/>
    <n v="80969"/>
    <m/>
    <s v="SENDCLOUD"/>
    <s v="Q3"/>
    <e v="#REF!"/>
    <e v="#REF!"/>
    <e v="#REF!"/>
  </r>
  <r>
    <s v="401000"/>
    <x v="6"/>
    <s v="FOURNISSEURS"/>
    <s v="OD"/>
    <n v="35.700000000000003"/>
    <d v="2025-08-31T00:00:00"/>
    <s v="Liaison inter-établissement vers TO "/>
    <m/>
    <e v="#N/A"/>
    <e v="#N/A"/>
    <n v="90155"/>
    <m/>
    <s v="LA POSTE"/>
    <s v="Q3"/>
    <e v="#REF!"/>
    <e v="#REF!"/>
    <e v="#REF!"/>
  </r>
  <r>
    <s v="401000"/>
    <x v="6"/>
    <s v="FOURNISSEURS"/>
    <s v="OD"/>
    <n v="35.71"/>
    <d v="2025-05-07T00:00:00"/>
    <s v="Liaison établissement 401000 VWR KB"/>
    <m/>
    <e v="#N/A"/>
    <e v="#N/A"/>
    <n v="71820"/>
    <s v="MÉTHYLAMINE (SOLUTION AQUEUSE À 40%)"/>
    <s v="VWR AVANTOR"/>
    <s v="Q2"/>
    <e v="#REF!"/>
    <e v="#REF!"/>
    <e v="#REF!"/>
  </r>
  <r>
    <s v="401000"/>
    <x v="6"/>
    <s v="FOURNISSEURS"/>
    <s v="OD"/>
    <n v="35.99"/>
    <d v="2025-08-29T00:00:00"/>
    <s v="Liaison inter-établissement vers TO "/>
    <m/>
    <e v="#N/A"/>
    <e v="#N/A"/>
    <n v="82153"/>
    <m/>
    <s v="RICOH"/>
    <s v="Q3"/>
    <e v="#REF!"/>
    <e v="#REF!"/>
    <e v="#REF!"/>
  </r>
  <r>
    <s v="401000"/>
    <x v="6"/>
    <s v="FOURNISSEURS"/>
    <s v="OD"/>
    <n v="36"/>
    <d v="2025-04-04T00:00:00"/>
    <s v="Liaison inter-établissement vers TO "/>
    <m/>
    <s v="Non"/>
    <s v="Oui"/>
    <n v="74801"/>
    <m/>
    <s v="AXELERA"/>
    <s v="Q2"/>
    <e v="#REF!"/>
    <e v="#REF!"/>
    <e v="#REF!"/>
  </r>
  <r>
    <s v="401000"/>
    <x v="6"/>
    <s v="FOURNISSEURS"/>
    <s v="OD"/>
    <n v="36.020000000000003"/>
    <d v="2025-05-07T00:00:00"/>
    <s v="Liaison établissement 401000 VWR KB"/>
    <m/>
    <e v="#N/A"/>
    <e v="#N/A"/>
    <n v="71875"/>
    <s v="HYDROGENE PEROXYDE 30% PH"/>
    <s v="VWR AVANTOR"/>
    <s v="Q2"/>
    <e v="#REF!"/>
    <e v="#REF!"/>
    <e v="#REF!"/>
  </r>
  <r>
    <s v="401000"/>
    <x v="6"/>
    <s v="FOURNISSEURS"/>
    <s v="OD"/>
    <n v="36.020000000000003"/>
    <d v="2025-08-18T00:00:00"/>
    <s v="Liaison établissement 401000 VWR KB"/>
    <m/>
    <e v="#N/A"/>
    <e v="#N/A"/>
    <n v="81156"/>
    <s v="COMMANDE PRODUIT KEENB"/>
    <s v="VWR AVANTOR"/>
    <s v="Q3"/>
    <e v="#REF!"/>
    <e v="#REF!"/>
    <e v="#REF!"/>
  </r>
  <r>
    <s v="401000"/>
    <x v="6"/>
    <s v="FOURNISSEURS"/>
    <s v="OD"/>
    <n v="36.06"/>
    <d v="2025-01-18T00:00:00"/>
    <s v="Liaison inter-établissement vers TO "/>
    <m/>
    <s v="Non"/>
    <e v="#N/A"/>
    <n v="60040"/>
    <m/>
    <s v="DIVERS"/>
    <s v="Q1"/>
    <e v="#REF!"/>
    <e v="#REF!"/>
    <e v="#REF!"/>
  </r>
  <r>
    <s v="401000"/>
    <x v="6"/>
    <s v="FOURNISSEURS"/>
    <s v="OD"/>
    <n v="36.200000000000003"/>
    <d v="2025-01-16T00:00:00"/>
    <s v="Liaison inter-établissement vers TO "/>
    <m/>
    <s v="Non"/>
    <e v="#N/A"/>
    <n v="60044"/>
    <m/>
    <s v="DIVERS"/>
    <s v="Q1"/>
    <e v="#REF!"/>
    <e v="#REF!"/>
    <e v="#REF!"/>
  </r>
  <r>
    <s v="401000"/>
    <x v="6"/>
    <s v="FOURNISSEURS"/>
    <s v="OD"/>
    <n v="36.86"/>
    <d v="2025-05-07T00:00:00"/>
    <s v="Liaison établissement 401000 VWR KB"/>
    <m/>
    <e v="#N/A"/>
    <e v="#N/A"/>
    <n v="71855"/>
    <s v="AIGUILLES 10ML (12ML) 3-PIÈCES"/>
    <s v="VWR AVANTOR"/>
    <s v="Q2"/>
    <e v="#REF!"/>
    <e v="#REF!"/>
    <e v="#REF!"/>
  </r>
  <r>
    <s v="401000"/>
    <x v="6"/>
    <s v="FOURNISSEURS"/>
    <s v="OD"/>
    <n v="36.86"/>
    <d v="2025-08-21T00:00:00"/>
    <s v="Liaison établissement 401000 VWR KB"/>
    <m/>
    <e v="#N/A"/>
    <e v="#N/A"/>
    <n v="81521"/>
    <s v="COMMANDE CONSOMMABLES LABO"/>
    <s v="VWR AVANTOR"/>
    <s v="Q3"/>
    <e v="#REF!"/>
    <e v="#REF!"/>
    <e v="#REF!"/>
  </r>
  <r>
    <s v="401000"/>
    <x v="6"/>
    <s v="FOURNISSEURS"/>
    <s v="OD"/>
    <n v="37.94"/>
    <d v="2025-08-07T00:00:00"/>
    <s v="Liaison inter-établissement vers TO "/>
    <m/>
    <e v="#N/A"/>
    <e v="#N/A"/>
    <n v="87114"/>
    <m/>
    <s v="ENGIE"/>
    <s v="Q3"/>
    <e v="#REF!"/>
    <e v="#REF!"/>
    <e v="#REF!"/>
  </r>
  <r>
    <s v="401000"/>
    <x v="6"/>
    <s v="FOURNISSEURS"/>
    <s v="OD"/>
    <n v="38"/>
    <d v="2025-06-10T00:00:00"/>
    <s v="Liaison inter-établissement vers TO "/>
    <m/>
    <e v="#N/A"/>
    <e v="#N/A"/>
    <n v="78838"/>
    <m/>
    <s v="ENGIE"/>
    <s v="Q2"/>
    <e v="#REF!"/>
    <e v="#REF!"/>
    <e v="#REF!"/>
  </r>
  <r>
    <s v="401000"/>
    <x v="6"/>
    <s v="FOURNISSEURS"/>
    <s v="OD"/>
    <n v="38.020000000000003"/>
    <d v="2025-07-31T00:00:00"/>
    <s v="Liaison établissement 401000 VWR KB"/>
    <m/>
    <e v="#N/A"/>
    <e v="#N/A"/>
    <n v="79320"/>
    <s v="COMMANDE CONSOMMABLE LABO"/>
    <s v="VWR AVANTOR"/>
    <s v="Q3"/>
    <e v="#REF!"/>
    <e v="#REF!"/>
    <e v="#REF!"/>
  </r>
  <r>
    <s v="401000"/>
    <x v="6"/>
    <s v="FOURNISSEURS"/>
    <s v="OD"/>
    <n v="38.21"/>
    <d v="2025-04-02T00:00:00"/>
    <s v="Liaison établissement 401000 VWR KB"/>
    <m/>
    <e v="#N/A"/>
    <e v="#N/A"/>
    <n v="66506"/>
    <s v="Invoice Payment by Pili"/>
    <s v="VWR AVANTOR"/>
    <s v="Q2"/>
    <e v="#REF!"/>
    <e v="#REF!"/>
    <e v="#REF!"/>
  </r>
  <r>
    <s v="401000"/>
    <x v="6"/>
    <s v="FOURNISSEURS"/>
    <s v="OD"/>
    <n v="38.28"/>
    <d v="2025-01-01T00:00:00"/>
    <s v="Liaison inter-établissement vers TO "/>
    <m/>
    <e v="#N/A"/>
    <e v="#N/A"/>
    <n v="63615"/>
    <m/>
    <s v="BRUNEAU"/>
    <s v="Q1"/>
    <e v="#REF!"/>
    <e v="#REF!"/>
    <e v="#REF!"/>
  </r>
  <r>
    <s v="401000"/>
    <x v="6"/>
    <s v="FOURNISSEURS"/>
    <s v="OD"/>
    <n v="38.590000000000003"/>
    <d v="2025-08-21T00:00:00"/>
    <s v="Liaison établissement 401000 VWR KB"/>
    <m/>
    <e v="#N/A"/>
    <e v="#N/A"/>
    <n v="81506"/>
    <s v="COMMANDE PRODUIT MUSTANG"/>
    <s v="VWR AVANTOR"/>
    <s v="Q3"/>
    <e v="#REF!"/>
    <e v="#REF!"/>
    <e v="#REF!"/>
  </r>
  <r>
    <s v="401000"/>
    <x v="6"/>
    <s v="FOURNISSEURS"/>
    <s v="OD"/>
    <n v="38.799999999999997"/>
    <d v="2025-12-19T00:00:00"/>
    <s v="Liaison établissement 401000 CHATEAU RO"/>
    <m/>
    <e v="#N/A"/>
    <e v="#N/A"/>
    <n v="92684"/>
    <s v="31/05713557"/>
    <s v="CHATEAUDEAU"/>
    <s v="Q4"/>
    <e v="#REF!"/>
    <e v="#REF!"/>
    <e v="#REF!"/>
  </r>
  <r>
    <s v="401000"/>
    <x v="6"/>
    <s v="FOURNISSEURS"/>
    <s v="OD"/>
    <n v="39"/>
    <d v="2025-01-07T00:00:00"/>
    <s v="Liaison inter-établissement vers TO "/>
    <m/>
    <e v="#N/A"/>
    <e v="#N/A"/>
    <n v="63885"/>
    <m/>
    <s v="SNCF"/>
    <s v="Q1"/>
    <e v="#REF!"/>
    <e v="#REF!"/>
    <e v="#REF!"/>
  </r>
  <r>
    <s v="401000"/>
    <x v="6"/>
    <s v="FOURNISSEURS"/>
    <s v="OD"/>
    <n v="39"/>
    <d v="2025-02-06T00:00:00"/>
    <s v="Liaison inter-établissement vers TO "/>
    <m/>
    <s v="Non"/>
    <e v="#N/A"/>
    <n v="64281"/>
    <m/>
    <s v="DIVERS"/>
    <s v="Q1"/>
    <e v="#REF!"/>
    <e v="#REF!"/>
    <e v="#REF!"/>
  </r>
  <r>
    <s v="401000"/>
    <x v="6"/>
    <s v="FOURNISSEURS"/>
    <s v="OD"/>
    <n v="39"/>
    <d v="2025-03-04T00:00:00"/>
    <s v="Liaison inter-établissement vers TO "/>
    <m/>
    <e v="#N/A"/>
    <e v="#N/A"/>
    <n v="66753"/>
    <m/>
    <s v="SNCF"/>
    <s v="Q1"/>
    <e v="#REF!"/>
    <e v="#REF!"/>
    <e v="#REF!"/>
  </r>
  <r>
    <s v="401000"/>
    <x v="6"/>
    <s v="FOURNISSEURS"/>
    <s v="OD"/>
    <n v="39"/>
    <d v="2025-03-11T00:00:00"/>
    <s v="Liaison inter-établissement vers TO "/>
    <m/>
    <e v="#N/A"/>
    <e v="#N/A"/>
    <n v="70014"/>
    <m/>
    <s v="SNCF"/>
    <s v="Q1"/>
    <e v="#REF!"/>
    <e v="#REF!"/>
    <e v="#REF!"/>
  </r>
  <r>
    <s v="401000"/>
    <x v="6"/>
    <s v="FOURNISSEURS"/>
    <s v="OD"/>
    <n v="39.6"/>
    <d v="2025-09-02T00:00:00"/>
    <s v="Liaison inter-établissement vers TO "/>
    <m/>
    <e v="#N/A"/>
    <e v="#N/A"/>
    <n v="83186"/>
    <m/>
    <s v="SENDCLOUD"/>
    <s v="Q3"/>
    <e v="#REF!"/>
    <e v="#REF!"/>
    <e v="#REF!"/>
  </r>
  <r>
    <s v="401000"/>
    <x v="6"/>
    <s v="FOURNISSEURS"/>
    <s v="OD"/>
    <n v="39.6"/>
    <d v="2025-12-02T00:00:00"/>
    <s v="Liaison inter-établissement vers TO "/>
    <m/>
    <e v="#N/A"/>
    <e v="#N/A"/>
    <n v="94098"/>
    <m/>
    <s v="SENDCLOUD"/>
    <s v="Q4"/>
    <e v="#REF!"/>
    <e v="#REF!"/>
    <e v="#REF!"/>
  </r>
  <r>
    <s v="401000"/>
    <x v="6"/>
    <s v="FOURNISSEURS"/>
    <s v="OD"/>
    <n v="39.6"/>
    <d v="2025-12-30T00:00:00"/>
    <s v="Liaison établissement 401000 GUILLARD PREVISA KB"/>
    <m/>
    <e v="#N/A"/>
    <e v="#N/A"/>
    <n v="93737"/>
    <s v="E 25 28105"/>
    <s v="GUILLARD PREVISA"/>
    <s v="Q4"/>
    <e v="#REF!"/>
    <e v="#REF!"/>
    <e v="#REF!"/>
  </r>
  <r>
    <s v="401000"/>
    <x v="6"/>
    <s v="FOURNISSEURS"/>
    <s v="OD"/>
    <n v="39.619999999999997"/>
    <d v="2025-08-21T00:00:00"/>
    <s v="Liaison établissement 401000 VWR KB"/>
    <m/>
    <e v="#N/A"/>
    <e v="#N/A"/>
    <n v="81496"/>
    <s v="COMMANDE PRODUIT KEENB"/>
    <s v="VWR AVANTOR"/>
    <s v="Q3"/>
    <e v="#REF!"/>
    <e v="#REF!"/>
    <e v="#REF!"/>
  </r>
  <r>
    <s v="401000"/>
    <x v="6"/>
    <s v="FOURNISSEURS"/>
    <s v="OD"/>
    <n v="39.75"/>
    <d v="2025-01-18T00:00:00"/>
    <s v="Liaison inter-établissement vers TO "/>
    <m/>
    <e v="#N/A"/>
    <e v="#N/A"/>
    <n v="63921"/>
    <m/>
    <s v="TRUFFAUT"/>
    <s v="Q1"/>
    <e v="#REF!"/>
    <e v="#REF!"/>
    <e v="#REF!"/>
  </r>
  <r>
    <s v="401000"/>
    <x v="6"/>
    <s v="FOURNISSEURS"/>
    <s v="OD"/>
    <n v="39.89"/>
    <d v="2025-07-08T00:00:00"/>
    <s v="Liaison inter-établissement vers TO "/>
    <m/>
    <e v="#N/A"/>
    <e v="#N/A"/>
    <n v="78854"/>
    <m/>
    <s v="ENGIE"/>
    <s v="Q3"/>
    <e v="#REF!"/>
    <e v="#REF!"/>
    <e v="#REF!"/>
  </r>
  <r>
    <s v="401000"/>
    <x v="6"/>
    <s v="FOURNISSEURS"/>
    <s v="OD"/>
    <n v="39.9"/>
    <d v="2025-05-12T00:00:00"/>
    <s v="Liaison inter-établissement vers TO "/>
    <m/>
    <e v="#N/A"/>
    <e v="#N/A"/>
    <n v="75119"/>
    <m/>
    <s v="LA FOURCHE"/>
    <s v="Q2"/>
    <e v="#REF!"/>
    <e v="#REF!"/>
    <e v="#REF!"/>
  </r>
  <r>
    <s v="401000"/>
    <x v="6"/>
    <s v="FOURNISSEURS"/>
    <s v="OD"/>
    <n v="39.96"/>
    <d v="2025-09-12T00:00:00"/>
    <s v="Liaison établissement 401000 VWR KB"/>
    <m/>
    <e v="#N/A"/>
    <e v="#N/A"/>
    <n v="82035"/>
    <s v="PRODUIT MUSTANG"/>
    <s v="VWR AVANTOR"/>
    <s v="Q3"/>
    <e v="#REF!"/>
    <e v="#REF!"/>
    <e v="#REF!"/>
  </r>
  <r>
    <s v="401000"/>
    <x v="6"/>
    <s v="FOURNISSEURS"/>
    <s v="OD"/>
    <n v="40.18"/>
    <d v="2025-04-02T00:00:00"/>
    <s v="Liaison établissement 401000 ROTH RO"/>
    <m/>
    <e v="#N/A"/>
    <e v="#N/A"/>
    <n v="66511"/>
    <s v="SODIUM LIGNINE SULFONATE"/>
    <s v="ROTH SOCHIEL"/>
    <s v="Q2"/>
    <e v="#REF!"/>
    <e v="#REF!"/>
    <e v="#REF!"/>
  </r>
  <r>
    <s v="401000"/>
    <x v="6"/>
    <s v="FOURNISSEURS"/>
    <s v="OD"/>
    <n v="40.26"/>
    <d v="2025-10-02T00:00:00"/>
    <s v="Liaison inter-établissement vers TO "/>
    <m/>
    <e v="#N/A"/>
    <e v="#N/A"/>
    <n v="89779"/>
    <m/>
    <s v="SENDCLOUD"/>
    <s v="Q4"/>
    <e v="#REF!"/>
    <e v="#REF!"/>
    <e v="#REF!"/>
  </r>
  <r>
    <s v="401000"/>
    <x v="6"/>
    <s v="FOURNISSEURS"/>
    <s v="OD"/>
    <n v="41.15"/>
    <d v="2025-09-08T00:00:00"/>
    <s v="Liaison inter-établissement vers TO "/>
    <m/>
    <e v="#N/A"/>
    <e v="#N/A"/>
    <n v="82149"/>
    <m/>
    <s v="ENGIE"/>
    <s v="Q3"/>
    <e v="#REF!"/>
    <e v="#REF!"/>
    <e v="#REF!"/>
  </r>
  <r>
    <s v="401000"/>
    <x v="6"/>
    <s v="FOURNISSEURS"/>
    <s v="OD"/>
    <n v="41.96"/>
    <d v="2025-03-11T00:00:00"/>
    <s v="Liaison inter-établissement vers TO "/>
    <m/>
    <e v="#N/A"/>
    <e v="#N/A"/>
    <n v="74952"/>
    <m/>
    <s v="ENGIE"/>
    <s v="Q1"/>
    <e v="#REF!"/>
    <e v="#REF!"/>
    <e v="#REF!"/>
  </r>
  <r>
    <s v="401000"/>
    <x v="6"/>
    <s v="FOURNISSEURS"/>
    <s v="OD"/>
    <n v="42"/>
    <d v="2025-11-13T00:00:00"/>
    <s v="Liaison établissement 401000 VWR KB"/>
    <m/>
    <e v="#N/A"/>
    <e v="#N/A"/>
    <n v="89942"/>
    <s v="PRODUIT CONSOMMABLE LABO"/>
    <s v="VWR AVANTOR"/>
    <s v="Q4"/>
    <e v="#REF!"/>
    <e v="#REF!"/>
    <e v="#REF!"/>
  </r>
  <r>
    <s v="401000"/>
    <x v="6"/>
    <s v="FOURNISSEURS"/>
    <s v="OD"/>
    <n v="42.62"/>
    <d v="2025-07-31T00:00:00"/>
    <s v="Liaison établissement 401000 VWR KB"/>
    <m/>
    <e v="#N/A"/>
    <e v="#N/A"/>
    <n v="79345"/>
    <s v="COMMANDE PRODUIT LABO"/>
    <s v="VWR AVANTOR"/>
    <s v="Q3"/>
    <e v="#REF!"/>
    <e v="#REF!"/>
    <e v="#REF!"/>
  </r>
  <r>
    <s v="401000"/>
    <x v="6"/>
    <s v="FOURNISSEURS"/>
    <s v="OD"/>
    <n v="42.78"/>
    <d v="2025-11-07T00:00:00"/>
    <s v="Liaison inter-établissement vers TO "/>
    <m/>
    <e v="#N/A"/>
    <e v="#N/A"/>
    <n v="90099"/>
    <m/>
    <s v="ENGIE"/>
    <s v="Q4"/>
    <e v="#REF!"/>
    <e v="#REF!"/>
    <e v="#REF!"/>
  </r>
  <r>
    <s v="401000"/>
    <x v="6"/>
    <s v="FOURNISSEURS"/>
    <s v="OD"/>
    <n v="42.95"/>
    <d v="2025-10-08T00:00:00"/>
    <s v="Liaison inter-établissement vers TO "/>
    <m/>
    <e v="#N/A"/>
    <e v="#N/A"/>
    <n v="86948"/>
    <m/>
    <s v="ENGIE"/>
    <s v="Q4"/>
    <e v="#REF!"/>
    <e v="#REF!"/>
    <e v="#REF!"/>
  </r>
  <r>
    <s v="401000"/>
    <x v="6"/>
    <s v="FOURNISSEURS"/>
    <s v="OD"/>
    <n v="43.02"/>
    <d v="2025-05-08T00:00:00"/>
    <s v="Liaison inter-établissement vers TO "/>
    <m/>
    <e v="#N/A"/>
    <e v="#N/A"/>
    <n v="78818"/>
    <m/>
    <s v="ENGIE"/>
    <s v="Q2"/>
    <e v="#REF!"/>
    <e v="#REF!"/>
    <e v="#REF!"/>
  </r>
  <r>
    <s v="401000"/>
    <x v="6"/>
    <s v="FOURNISSEURS"/>
    <s v="OD"/>
    <n v="43.56"/>
    <d v="2025-03-22T00:00:00"/>
    <s v="Liaison inter-établissement vers TO "/>
    <m/>
    <s v="Non"/>
    <e v="#N/A"/>
    <n v="68116"/>
    <m/>
    <s v="DIVERS"/>
    <s v="Q1"/>
    <e v="#REF!"/>
    <e v="#REF!"/>
    <e v="#REF!"/>
  </r>
  <r>
    <s v="401000"/>
    <x v="6"/>
    <s v="FOURNISSEURS"/>
    <s v="OD"/>
    <n v="43.78"/>
    <d v="2025-10-15T00:00:00"/>
    <s v="Liaison inter-établissement vers KB "/>
    <m/>
    <e v="#N/A"/>
    <e v="#N/A"/>
    <n v="89958"/>
    <m/>
    <s v="SHOPIFY"/>
    <s v="Q4"/>
    <e v="#REF!"/>
    <e v="#REF!"/>
    <e v="#REF!"/>
  </r>
  <r>
    <s v="401000"/>
    <x v="6"/>
    <s v="FOURNISSEURS"/>
    <s v="OD"/>
    <n v="43.78"/>
    <d v="2025-10-15T00:00:00"/>
    <s v="Liaison inter-établissement vers TO "/>
    <m/>
    <e v="#N/A"/>
    <e v="#N/A"/>
    <n v="89783"/>
    <m/>
    <s v="SHOPIFY"/>
    <s v="Q4"/>
    <e v="#REF!"/>
    <e v="#REF!"/>
    <e v="#REF!"/>
  </r>
  <r>
    <s v="401000"/>
    <x v="6"/>
    <s v="FOURNISSEURS"/>
    <s v="OD"/>
    <n v="43.78"/>
    <d v="2025-11-28T00:00:00"/>
    <s v="Liaison établissement 401000 VWR KB"/>
    <m/>
    <e v="#N/A"/>
    <e v="#N/A"/>
    <n v="91251"/>
    <s v="4067843913"/>
    <s v="VWR AVANTOR"/>
    <s v="Q4"/>
    <e v="#REF!"/>
    <e v="#REF!"/>
    <e v="#REF!"/>
  </r>
  <r>
    <s v="401000"/>
    <x v="6"/>
    <s v="FOURNISSEURS"/>
    <s v="OD"/>
    <n v="43.79"/>
    <d v="2025-09-15T00:00:00"/>
    <s v="Liaison inter-établissement vers TO "/>
    <m/>
    <e v="#N/A"/>
    <e v="#N/A"/>
    <n v="83338"/>
    <m/>
    <s v="SHOPIFY"/>
    <s v="Q3"/>
    <e v="#REF!"/>
    <e v="#REF!"/>
    <e v="#REF!"/>
  </r>
  <r>
    <s v="401000"/>
    <x v="6"/>
    <s v="FOURNISSEURS"/>
    <s v="OD"/>
    <n v="43.82"/>
    <d v="2025-08-16T00:00:00"/>
    <s v="Liaison inter-établissement vers TO "/>
    <m/>
    <e v="#N/A"/>
    <e v="#N/A"/>
    <n v="83334"/>
    <m/>
    <s v="SHOPIFY"/>
    <s v="Q3"/>
    <e v="#REF!"/>
    <e v="#REF!"/>
    <e v="#REF!"/>
  </r>
  <r>
    <s v="401000"/>
    <x v="6"/>
    <s v="FOURNISSEURS"/>
    <s v="OD"/>
    <n v="43.86"/>
    <d v="2025-11-14T00:00:00"/>
    <s v="Liaison inter-établissement vers TO "/>
    <m/>
    <e v="#N/A"/>
    <e v="#N/A"/>
    <n v="91747"/>
    <m/>
    <s v="SHOPIFY"/>
    <s v="Q4"/>
    <e v="#REF!"/>
    <e v="#REF!"/>
    <e v="#REF!"/>
  </r>
  <r>
    <s v="401000"/>
    <x v="6"/>
    <s v="FOURNISSEURS"/>
    <s v="OD"/>
    <n v="43.88"/>
    <d v="2025-12-14T00:00:00"/>
    <s v="Liaison inter-établissement vers TO "/>
    <m/>
    <e v="#N/A"/>
    <e v="#N/A"/>
    <n v="94106"/>
    <m/>
    <s v="SHOPIFY"/>
    <s v="Q4"/>
    <e v="#REF!"/>
    <e v="#REF!"/>
    <e v="#REF!"/>
  </r>
  <r>
    <s v="401000"/>
    <x v="6"/>
    <s v="FOURNISSEURS"/>
    <s v="OD"/>
    <n v="43.9"/>
    <d v="2025-07-17T00:00:00"/>
    <s v="Liaison inter-établissement vers TO "/>
    <m/>
    <e v="#N/A"/>
    <e v="#N/A"/>
    <n v="81043"/>
    <m/>
    <s v="SHOPIFY"/>
    <s v="Q3"/>
    <e v="#REF!"/>
    <e v="#REF!"/>
    <e v="#REF!"/>
  </r>
  <r>
    <s v="401000"/>
    <x v="6"/>
    <s v="FOURNISSEURS"/>
    <s v="OD"/>
    <n v="44"/>
    <d v="2025-05-03T00:00:00"/>
    <s v="Liaison inter-établissement vers TO "/>
    <m/>
    <e v="#N/A"/>
    <e v="#N/A"/>
    <n v="75115"/>
    <m/>
    <s v="LA FOURCHE"/>
    <s v="Q2"/>
    <e v="#REF!"/>
    <e v="#REF!"/>
    <e v="#REF!"/>
  </r>
  <r>
    <s v="401000"/>
    <x v="6"/>
    <s v="FOURNISSEURS"/>
    <s v="OD"/>
    <n v="44.08"/>
    <d v="2025-05-18T00:00:00"/>
    <s v="Liaison inter-établissement vers TO "/>
    <m/>
    <e v="#N/A"/>
    <e v="#N/A"/>
    <n v="75139"/>
    <m/>
    <s v="SHOPIFY"/>
    <s v="Q2"/>
    <e v="#REF!"/>
    <e v="#REF!"/>
    <e v="#REF!"/>
  </r>
  <r>
    <s v="401000"/>
    <x v="6"/>
    <s v="FOURNISSEURS"/>
    <s v="OD"/>
    <n v="44.13"/>
    <d v="2025-02-07T00:00:00"/>
    <s v="Liaison inter-établissement vers TO "/>
    <m/>
    <e v="#N/A"/>
    <e v="#N/A"/>
    <n v="74964"/>
    <m/>
    <s v="ENGIE"/>
    <s v="Q1"/>
    <e v="#REF!"/>
    <e v="#REF!"/>
    <e v="#REF!"/>
  </r>
  <r>
    <s v="401000"/>
    <x v="6"/>
    <s v="FOURNISSEURS"/>
    <s v="OD"/>
    <n v="44.15"/>
    <d v="2025-06-17T00:00:00"/>
    <s v="Liaison inter-établissement vers TO "/>
    <m/>
    <e v="#N/A"/>
    <e v="#N/A"/>
    <n v="78221"/>
    <m/>
    <s v="SHOPIFY"/>
    <s v="Q2"/>
    <e v="#REF!"/>
    <e v="#REF!"/>
    <e v="#REF!"/>
  </r>
  <r>
    <s v="401000"/>
    <x v="6"/>
    <s v="FOURNISSEURS"/>
    <s v="OD"/>
    <n v="44.27"/>
    <d v="2025-04-08T00:00:00"/>
    <s v="Liaison inter-établissement vers TO "/>
    <m/>
    <e v="#N/A"/>
    <e v="#N/A"/>
    <n v="72770"/>
    <m/>
    <s v="ENGIE"/>
    <s v="Q2"/>
    <e v="#REF!"/>
    <e v="#REF!"/>
    <e v="#REF!"/>
  </r>
  <r>
    <s v="401000"/>
    <x v="6"/>
    <s v="FOURNISSEURS"/>
    <s v="OD"/>
    <n v="44.39"/>
    <d v="2025-04-18T00:00:00"/>
    <s v="Liaison inter-établissement vers TO "/>
    <m/>
    <e v="#N/A"/>
    <e v="#N/A"/>
    <n v="74755"/>
    <m/>
    <s v="SHOPIFY"/>
    <s v="Q2"/>
    <e v="#REF!"/>
    <e v="#REF!"/>
    <e v="#REF!"/>
  </r>
  <r>
    <s v="401000"/>
    <x v="6"/>
    <s v="FOURNISSEURS"/>
    <s v="OD"/>
    <n v="44.46"/>
    <d v="2025-05-07T00:00:00"/>
    <s v="Liaison établissement 401000 VWR KB"/>
    <m/>
    <e v="#N/A"/>
    <e v="#N/A"/>
    <n v="71870"/>
    <s v="COMMANDE PRODUIT KEENABIS"/>
    <s v="VWR AVANTOR"/>
    <s v="Q2"/>
    <e v="#REF!"/>
    <e v="#REF!"/>
    <e v="#REF!"/>
  </r>
  <r>
    <s v="401000"/>
    <x v="6"/>
    <s v="FOURNISSEURS"/>
    <s v="OD"/>
    <n v="44.65"/>
    <d v="2025-03-03T00:00:00"/>
    <s v="Liaison inter-établissement vers TO "/>
    <m/>
    <e v="#N/A"/>
    <e v="#N/A"/>
    <n v="63841"/>
    <m/>
    <s v="SANITY"/>
    <s v="Q1"/>
    <e v="#REF!"/>
    <e v="#REF!"/>
    <e v="#REF!"/>
  </r>
  <r>
    <s v="401000"/>
    <x v="6"/>
    <s v="FOURNISSEURS"/>
    <s v="OD"/>
    <n v="44.66"/>
    <d v="2025-09-26T00:00:00"/>
    <s v="Liaison établissement 401000 VWR KB"/>
    <m/>
    <e v="#N/A"/>
    <e v="#N/A"/>
    <n v="82534"/>
    <s v="INVOICE PAYMENT BY PILI"/>
    <s v="VWR AVANTOR"/>
    <s v="Q3"/>
    <e v="#REF!"/>
    <e v="#REF!"/>
    <e v="#REF!"/>
  </r>
  <r>
    <s v="401000"/>
    <x v="6"/>
    <s v="FOURNISSEURS"/>
    <s v="OD"/>
    <n v="44.69"/>
    <d v="2025-03-19T00:00:00"/>
    <s v="Liaison inter-établissement vers TO "/>
    <m/>
    <e v="#N/A"/>
    <e v="#N/A"/>
    <n v="70094"/>
    <m/>
    <s v="SHOPIFY"/>
    <s v="Q1"/>
    <e v="#REF!"/>
    <e v="#REF!"/>
    <e v="#REF!"/>
  </r>
  <r>
    <s v="401000"/>
    <x v="6"/>
    <s v="FOURNISSEURS"/>
    <s v="OD"/>
    <n v="44.86"/>
    <d v="2025-02-17T00:00:00"/>
    <s v="Liaison inter-établissement vers TO "/>
    <m/>
    <e v="#N/A"/>
    <e v="#N/A"/>
    <n v="64341"/>
    <m/>
    <s v="SHOPIFY"/>
    <s v="Q1"/>
    <e v="#REF!"/>
    <e v="#REF!"/>
    <e v="#REF!"/>
  </r>
  <r>
    <s v="401000"/>
    <x v="6"/>
    <s v="FOURNISSEURS"/>
    <s v="OD"/>
    <n v="45"/>
    <d v="2025-01-19T00:00:00"/>
    <s v="Liaison inter-établissement vers TO "/>
    <m/>
    <e v="#N/A"/>
    <e v="#N/A"/>
    <n v="64397"/>
    <m/>
    <s v="BOULANGER"/>
    <s v="Q1"/>
    <e v="#REF!"/>
    <e v="#REF!"/>
    <e v="#REF!"/>
  </r>
  <r>
    <s v="401000"/>
    <x v="6"/>
    <s v="FOURNISSEURS"/>
    <s v="OD"/>
    <n v="45"/>
    <d v="2025-08-02T00:00:00"/>
    <s v="Liaison inter-établissement vers TO "/>
    <m/>
    <e v="#N/A"/>
    <e v="#N/A"/>
    <n v="83270"/>
    <m/>
    <s v="ANTAI.GOUV.FR"/>
    <s v="Q3"/>
    <e v="#REF!"/>
    <e v="#REF!"/>
    <e v="#REF!"/>
  </r>
  <r>
    <s v="401000"/>
    <x v="6"/>
    <s v="FOURNISSEURS"/>
    <s v="OD"/>
    <n v="45.48"/>
    <d v="2025-09-30T00:00:00"/>
    <s v="Liaison inter-établissement vers TO "/>
    <m/>
    <e v="#N/A"/>
    <e v="#N/A"/>
    <n v="83178"/>
    <m/>
    <s v="SENDCLOUD"/>
    <s v="Q3"/>
    <e v="#REF!"/>
    <e v="#REF!"/>
    <e v="#REF!"/>
  </r>
  <r>
    <s v="401000"/>
    <x v="6"/>
    <s v="FOURNISSEURS"/>
    <s v="OD"/>
    <n v="45.89"/>
    <d v="2025-12-10T00:00:00"/>
    <s v="Liaison établissement 401000 VWR KB"/>
    <m/>
    <e v="#N/A"/>
    <e v="#N/A"/>
    <n v="92053"/>
    <s v="4067855749"/>
    <s v="VWR AVANTOR"/>
    <s v="Q4"/>
    <e v="#REF!"/>
    <e v="#REF!"/>
    <e v="#REF!"/>
  </r>
  <r>
    <s v="401000"/>
    <x v="6"/>
    <s v="FOURNISSEURS"/>
    <s v="OD"/>
    <n v="45.98"/>
    <d v="2025-07-18T00:00:00"/>
    <s v="Liaison inter-établissement vers TO "/>
    <m/>
    <e v="#N/A"/>
    <e v="#N/A"/>
    <n v="78870"/>
    <m/>
    <s v="DHL"/>
    <s v="Q3"/>
    <e v="#REF!"/>
    <e v="#REF!"/>
    <e v="#REF!"/>
  </r>
  <r>
    <s v="401000"/>
    <x v="6"/>
    <s v="FOURNISSEURS"/>
    <s v="OD"/>
    <n v="45.99"/>
    <d v="2025-08-22T00:00:00"/>
    <s v="Liaison inter-établissement vers TO "/>
    <m/>
    <e v="#N/A"/>
    <e v="#N/A"/>
    <n v="83294"/>
    <m/>
    <s v="AUER"/>
    <s v="Q3"/>
    <e v="#REF!"/>
    <e v="#REF!"/>
    <e v="#REF!"/>
  </r>
  <r>
    <s v="401000"/>
    <x v="6"/>
    <s v="FOURNISSEURS"/>
    <s v="OD"/>
    <n v="46.96"/>
    <d v="2025-12-09T00:00:00"/>
    <s v="Liaison inter-établissement vers TO "/>
    <m/>
    <e v="#N/A"/>
    <e v="#N/A"/>
    <n v="91912"/>
    <m/>
    <s v="ENGIE"/>
    <s v="Q4"/>
    <e v="#REF!"/>
    <e v="#REF!"/>
    <e v="#REF!"/>
  </r>
  <r>
    <s v="401000"/>
    <x v="6"/>
    <s v="FOURNISSEURS"/>
    <s v="OD"/>
    <n v="47.18"/>
    <d v="2025-03-28T00:00:00"/>
    <s v="Liaison établissement 401000 VWR KB"/>
    <m/>
    <e v="#N/A"/>
    <e v="#N/A"/>
    <n v="64977"/>
    <s v="Invoice Payment by Pili"/>
    <s v="VWR AVANTOR"/>
    <s v="Q1"/>
    <e v="#REF!"/>
    <e v="#REF!"/>
    <e v="#REF!"/>
  </r>
  <r>
    <s v="401000"/>
    <x v="6"/>
    <s v="FOURNISSEURS"/>
    <s v="OD"/>
    <n v="47.28"/>
    <d v="2025-07-09T00:00:00"/>
    <s v="Liaison établissement 401000 VWR RO"/>
    <m/>
    <e v="#N/A"/>
    <e v="#N/A"/>
    <n v="77240"/>
    <s v="PAPIER FILTRE PAILLASSE"/>
    <s v="VWR AVANTOR"/>
    <s v="Q3"/>
    <e v="#REF!"/>
    <e v="#REF!"/>
    <e v="#REF!"/>
  </r>
  <r>
    <s v="401000"/>
    <x v="6"/>
    <s v="FOURNISSEURS"/>
    <s v="OD"/>
    <n v="47.54"/>
    <d v="2025-03-21T00:00:00"/>
    <s v="Liaison inter-établissement vers TO "/>
    <m/>
    <e v="#N/A"/>
    <e v="#N/A"/>
    <n v="68076"/>
    <m/>
    <s v="BRUNEAU"/>
    <s v="Q1"/>
    <e v="#REF!"/>
    <e v="#REF!"/>
    <e v="#REF!"/>
  </r>
  <r>
    <s v="401000"/>
    <x v="6"/>
    <s v="FOURNISSEURS"/>
    <s v="OD"/>
    <n v="47.7"/>
    <d v="2025-09-26T00:00:00"/>
    <s v="Liaison établissement 401000 VWR KB"/>
    <m/>
    <e v="#N/A"/>
    <e v="#N/A"/>
    <n v="82529"/>
    <s v="INVOICE PAYMENT BY PILI"/>
    <s v="VWR AVANTOR"/>
    <s v="Q3"/>
    <e v="#REF!"/>
    <e v="#REF!"/>
    <e v="#REF!"/>
  </r>
  <r>
    <s v="401000"/>
    <x v="6"/>
    <s v="FOURNISSEURS"/>
    <s v="OD"/>
    <n v="47.86"/>
    <d v="2025-01-25T00:00:00"/>
    <s v="Liaison inter-établissement vers TO "/>
    <m/>
    <e v="#N/A"/>
    <e v="#N/A"/>
    <n v="63555"/>
    <m/>
    <s v="AUCHAN"/>
    <s v="Q1"/>
    <e v="#REF!"/>
    <e v="#REF!"/>
    <e v="#REF!"/>
  </r>
  <r>
    <s v="401000"/>
    <x v="6"/>
    <s v="FOURNISSEURS"/>
    <s v="OD"/>
    <n v="48.07"/>
    <d v="2025-03-28T00:00:00"/>
    <s v="Liaison établissement 401000 VWR KB"/>
    <m/>
    <e v="#N/A"/>
    <e v="#N/A"/>
    <n v="64972"/>
    <s v="Invoice Payment by Pili"/>
    <s v="VWR AVANTOR"/>
    <s v="Q1"/>
    <e v="#REF!"/>
    <e v="#REF!"/>
    <e v="#REF!"/>
  </r>
  <r>
    <s v="401000"/>
    <x v="6"/>
    <s v="FOURNISSEURS"/>
    <s v="OD"/>
    <n v="48.72"/>
    <d v="2025-07-31T00:00:00"/>
    <s v="Liaison établissement 401000 VWR KB"/>
    <m/>
    <e v="#N/A"/>
    <e v="#N/A"/>
    <n v="79310"/>
    <s v="COMMANDE PRODUIT KEENB"/>
    <s v="VWR AVANTOR"/>
    <s v="Q3"/>
    <e v="#REF!"/>
    <e v="#REF!"/>
    <e v="#REF!"/>
  </r>
  <r>
    <s v="401000"/>
    <x v="6"/>
    <s v="FOURNISSEURS"/>
    <s v="OD"/>
    <n v="49"/>
    <d v="2025-04-08T00:00:00"/>
    <s v="Liaison établissement 401000 TCI KB"/>
    <m/>
    <e v="#N/A"/>
    <e v="#N/A"/>
    <n v="66685"/>
    <s v="Invoice Payment by Pili"/>
    <s v="TCI"/>
    <s v="Q2"/>
    <e v="#REF!"/>
    <e v="#REF!"/>
    <e v="#REF!"/>
  </r>
  <r>
    <s v="401000"/>
    <x v="6"/>
    <s v="FOURNISSEURS"/>
    <s v="OD"/>
    <n v="49.81"/>
    <d v="2025-11-07T00:00:00"/>
    <s v="Liaison établissement 401000 VWR KB"/>
    <m/>
    <e v="#N/A"/>
    <e v="#N/A"/>
    <n v="89432"/>
    <s v="4067825047"/>
    <s v="VWR AVANTOR"/>
    <s v="Q4"/>
    <e v="#REF!"/>
    <e v="#REF!"/>
    <e v="#REF!"/>
  </r>
  <r>
    <s v="401000"/>
    <x v="6"/>
    <s v="FOURNISSEURS"/>
    <s v="OD"/>
    <n v="49.94"/>
    <d v="2025-01-10T00:00:00"/>
    <s v="Liaison inter-établissement vers TO "/>
    <m/>
    <e v="#N/A"/>
    <e v="#N/A"/>
    <n v="74905"/>
    <m/>
    <s v="DHL"/>
    <s v="Q1"/>
    <e v="#REF!"/>
    <e v="#REF!"/>
    <e v="#REF!"/>
  </r>
  <r>
    <s v="401000"/>
    <x v="6"/>
    <s v="FOURNISSEURS"/>
    <s v="OD"/>
    <n v="50.98"/>
    <d v="2025-08-18T00:00:00"/>
    <s v="Liaison établissement 401000 VWR KB"/>
    <m/>
    <e v="#N/A"/>
    <e v="#N/A"/>
    <n v="81161"/>
    <s v="COMMANDE PRODUIT KEENB"/>
    <s v="VWR AVANTOR"/>
    <s v="Q3"/>
    <e v="#REF!"/>
    <e v="#REF!"/>
    <e v="#REF!"/>
  </r>
  <r>
    <s v="401000"/>
    <x v="6"/>
    <s v="FOURNISSEURS"/>
    <s v="OD"/>
    <n v="51"/>
    <d v="2025-03-31T00:00:00"/>
    <s v="Liaison inter-établissement vers TO "/>
    <m/>
    <e v="#N/A"/>
    <e v="#N/A"/>
    <n v="69953"/>
    <m/>
    <s v="BONJOUR DRINK"/>
    <s v="Q1"/>
    <e v="#REF!"/>
    <e v="#REF!"/>
    <e v="#REF!"/>
  </r>
  <r>
    <s v="401000"/>
    <x v="6"/>
    <s v="FOURNISSEURS"/>
    <s v="OD"/>
    <n v="51.36"/>
    <d v="2025-04-08T00:00:00"/>
    <s v="Liaison inter-établissement vers TO "/>
    <m/>
    <e v="#N/A"/>
    <e v="#N/A"/>
    <n v="69997"/>
    <m/>
    <s v="ROTH SOCHIEL"/>
    <s v="Q2"/>
    <e v="#REF!"/>
    <e v="#REF!"/>
    <e v="#REF!"/>
  </r>
  <r>
    <s v="401000"/>
    <x v="6"/>
    <s v="FOURNISSEURS"/>
    <s v="OD"/>
    <n v="52.2"/>
    <d v="2025-02-24T00:00:00"/>
    <s v="Liaison inter-établissement vers TO "/>
    <m/>
    <e v="#N/A"/>
    <e v="#N/A"/>
    <n v="71377"/>
    <m/>
    <s v="ORANGE"/>
    <s v="Q1"/>
    <e v="#REF!"/>
    <e v="#REF!"/>
    <e v="#REF!"/>
  </r>
  <r>
    <s v="401000"/>
    <x v="6"/>
    <s v="FOURNISSEURS"/>
    <s v="OD"/>
    <n v="52.2"/>
    <d v="2025-03-24T00:00:00"/>
    <s v="Liaison inter-établissement vers TO "/>
    <m/>
    <e v="#N/A"/>
    <e v="#N/A"/>
    <n v="76231"/>
    <m/>
    <s v="ORANGE"/>
    <s v="Q1"/>
    <e v="#REF!"/>
    <e v="#REF!"/>
    <e v="#REF!"/>
  </r>
  <r>
    <s v="401000"/>
    <x v="6"/>
    <s v="FOURNISSEURS"/>
    <s v="OD"/>
    <n v="52.2"/>
    <d v="2025-04-28T00:00:00"/>
    <s v="Liaison inter-établissement vers TO "/>
    <m/>
    <e v="#N/A"/>
    <e v="#N/A"/>
    <n v="71381"/>
    <m/>
    <s v="ORANGE"/>
    <s v="Q2"/>
    <e v="#REF!"/>
    <e v="#REF!"/>
    <e v="#REF!"/>
  </r>
  <r>
    <s v="401000"/>
    <x v="6"/>
    <s v="FOURNISSEURS"/>
    <s v="OD"/>
    <n v="52.26"/>
    <d v="2025-08-18T00:00:00"/>
    <s v="Liaison établissement 401000 VWR KB"/>
    <m/>
    <e v="#N/A"/>
    <e v="#N/A"/>
    <n v="81171"/>
    <s v="COMMANDE PRODUIT KEENB"/>
    <s v="VWR AVANTOR"/>
    <s v="Q3"/>
    <e v="#REF!"/>
    <e v="#REF!"/>
    <e v="#REF!"/>
  </r>
  <r>
    <s v="401000"/>
    <x v="6"/>
    <s v="FOURNISSEURS"/>
    <s v="OD"/>
    <n v="52.5"/>
    <d v="2025-08-27T00:00:00"/>
    <s v="Liaison inter-établissement vers TO "/>
    <m/>
    <e v="#N/A"/>
    <e v="#N/A"/>
    <n v="83290"/>
    <m/>
    <s v="SNCF"/>
    <s v="Q3"/>
    <e v="#REF!"/>
    <e v="#REF!"/>
    <e v="#REF!"/>
  </r>
  <r>
    <s v="401000"/>
    <x v="6"/>
    <s v="FOURNISSEURS"/>
    <s v="OD"/>
    <n v="53.12"/>
    <d v="2025-11-14T00:00:00"/>
    <s v="Imputation reliquat acompte Becker"/>
    <s v="Non"/>
    <s v="Oui"/>
    <e v="#N/A"/>
    <n v="89974"/>
    <m/>
    <s v="BECKER"/>
    <s v="Q4"/>
    <e v="#REF!"/>
    <e v="#REF!"/>
    <e v="#REF!"/>
  </r>
  <r>
    <s v="401000"/>
    <x v="6"/>
    <s v="FOURNISSEURS"/>
    <s v="OD"/>
    <n v="53.77"/>
    <d v="2025-09-30T00:00:00"/>
    <s v="Liaison inter-établissement vers TO "/>
    <m/>
    <e v="#N/A"/>
    <e v="#N/A"/>
    <n v="91063"/>
    <m/>
    <s v="DHL"/>
    <s v="Q3"/>
    <e v="#REF!"/>
    <e v="#REF!"/>
    <e v="#REF!"/>
  </r>
  <r>
    <s v="401000"/>
    <x v="6"/>
    <s v="FOURNISSEURS"/>
    <s v="OD"/>
    <n v="54.85"/>
    <d v="2025-05-08T00:00:00"/>
    <s v="Liaison inter-établissement vers TO "/>
    <m/>
    <e v="#N/A"/>
    <e v="#N/A"/>
    <n v="74941"/>
    <m/>
    <s v="DHL"/>
    <s v="Q2"/>
    <e v="#REF!"/>
    <e v="#REF!"/>
    <e v="#REF!"/>
  </r>
  <r>
    <s v="401000"/>
    <x v="6"/>
    <s v="FOURNISSEURS"/>
    <s v="OD"/>
    <n v="55.28"/>
    <d v="2025-06-05T00:00:00"/>
    <s v="Liaison inter-établissement vers TO "/>
    <m/>
    <e v="#N/A"/>
    <e v="#N/A"/>
    <n v="82812"/>
    <m/>
    <s v="BOUYGUES TELECOM"/>
    <s v="Q2"/>
    <e v="#REF!"/>
    <e v="#REF!"/>
    <e v="#REF!"/>
  </r>
  <r>
    <s v="401000"/>
    <x v="6"/>
    <s v="FOURNISSEURS"/>
    <s v="OD"/>
    <n v="55.55"/>
    <d v="2025-06-05T00:00:00"/>
    <s v="Liaison inter-établissement vers TO "/>
    <m/>
    <e v="#N/A"/>
    <e v="#N/A"/>
    <n v="78834"/>
    <m/>
    <s v="ENGIE"/>
    <s v="Q2"/>
    <e v="#REF!"/>
    <e v="#REF!"/>
    <e v="#REF!"/>
  </r>
  <r>
    <s v="401000"/>
    <x v="6"/>
    <s v="FOURNISSEURS"/>
    <s v="OD"/>
    <n v="55.78"/>
    <d v="2025-10-31T00:00:00"/>
    <s v="Liaison établissement 401000 VWR KB"/>
    <m/>
    <e v="#N/A"/>
    <e v="#N/A"/>
    <n v="87574"/>
    <s v="COMMANDE PRODUIT LISA"/>
    <s v="VWR AVANTOR"/>
    <s v="Q4"/>
    <e v="#REF!"/>
    <e v="#REF!"/>
    <e v="#REF!"/>
  </r>
  <r>
    <s v="401000"/>
    <x v="6"/>
    <s v="FOURNISSEURS"/>
    <s v="OD"/>
    <n v="55.87"/>
    <d v="2025-05-30T00:00:00"/>
    <s v="Liaison inter-établissement vers TO "/>
    <m/>
    <e v="#N/A"/>
    <e v="#N/A"/>
    <n v="81031"/>
    <m/>
    <s v="RS COMPONENT"/>
    <s v="Q2"/>
    <e v="#REF!"/>
    <e v="#REF!"/>
    <e v="#REF!"/>
  </r>
  <r>
    <s v="401000"/>
    <x v="6"/>
    <s v="FOURNISSEURS"/>
    <s v="OD"/>
    <n v="56.14"/>
    <d v="2025-03-18T00:00:00"/>
    <s v="Liaison inter-établissement vers TO "/>
    <m/>
    <e v="#N/A"/>
    <e v="#N/A"/>
    <n v="64469"/>
    <m/>
    <s v="VWR AVANTOR"/>
    <s v="Q1"/>
    <e v="#REF!"/>
    <e v="#REF!"/>
    <e v="#REF!"/>
  </r>
  <r>
    <s v="401000"/>
    <x v="6"/>
    <s v="FOURNISSEURS"/>
    <s v="OD"/>
    <n v="56.99"/>
    <d v="2025-03-11T00:00:00"/>
    <s v="Liaison inter-établissement vers TO "/>
    <m/>
    <e v="#N/A"/>
    <e v="#N/A"/>
    <n v="66757"/>
    <m/>
    <s v="SNCF"/>
    <s v="Q1"/>
    <e v="#REF!"/>
    <e v="#REF!"/>
    <e v="#REF!"/>
  </r>
  <r>
    <s v="401000"/>
    <x v="6"/>
    <s v="FOURNISSEURS"/>
    <s v="OD"/>
    <n v="57"/>
    <d v="2025-08-27T00:00:00"/>
    <s v="Liaison inter-établissement vers TO "/>
    <m/>
    <e v="#N/A"/>
    <e v="#N/A"/>
    <n v="83282"/>
    <m/>
    <s v="SNCF"/>
    <s v="Q3"/>
    <e v="#REF!"/>
    <e v="#REF!"/>
    <e v="#REF!"/>
  </r>
  <r>
    <s v="401000"/>
    <x v="6"/>
    <s v="FOURNISSEURS"/>
    <s v="OD"/>
    <n v="57.55"/>
    <d v="2025-05-07T00:00:00"/>
    <s v="Liaison établissement 401000 VWR KB"/>
    <m/>
    <e v="#N/A"/>
    <e v="#N/A"/>
    <n v="71850"/>
    <s v="ACIDE SULFURIQUE 95 % TECHNICAL FLACON VERRE 1L"/>
    <s v="VWR AVANTOR"/>
    <s v="Q2"/>
    <e v="#REF!"/>
    <e v="#REF!"/>
    <e v="#REF!"/>
  </r>
  <r>
    <s v="401000"/>
    <x v="6"/>
    <s v="FOURNISSEURS"/>
    <s v="OD"/>
    <n v="58"/>
    <d v="2025-02-04T00:00:00"/>
    <s v="Liaison inter-établissement vers TO "/>
    <m/>
    <e v="#N/A"/>
    <e v="#N/A"/>
    <n v="64353"/>
    <m/>
    <s v="SNCF"/>
    <s v="Q1"/>
    <e v="#REF!"/>
    <e v="#REF!"/>
    <e v="#REF!"/>
  </r>
  <r>
    <s v="401000"/>
    <x v="6"/>
    <s v="FOURNISSEURS"/>
    <s v="OD"/>
    <n v="58"/>
    <d v="2025-02-04T00:00:00"/>
    <s v="Liaison inter-établissement vers TO "/>
    <m/>
    <e v="#N/A"/>
    <e v="#N/A"/>
    <n v="64357"/>
    <m/>
    <s v="SNCF"/>
    <s v="Q1"/>
    <e v="#REF!"/>
    <e v="#REF!"/>
    <e v="#REF!"/>
  </r>
  <r>
    <s v="401000"/>
    <x v="6"/>
    <s v="FOURNISSEURS"/>
    <s v="OD"/>
    <n v="58"/>
    <d v="2025-06-04T00:00:00"/>
    <s v="Liaison inter-établissement vers TO "/>
    <m/>
    <e v="#N/A"/>
    <e v="#N/A"/>
    <n v="78142"/>
    <m/>
    <s v="SNCF"/>
    <s v="Q2"/>
    <e v="#REF!"/>
    <e v="#REF!"/>
    <e v="#REF!"/>
  </r>
  <r>
    <s v="401000"/>
    <x v="6"/>
    <s v="FOURNISSEURS"/>
    <s v="OD"/>
    <n v="58"/>
    <d v="2025-09-10T00:00:00"/>
    <s v="Liaison inter-établissement vers TO "/>
    <m/>
    <e v="#N/A"/>
    <e v="#N/A"/>
    <n v="83158"/>
    <m/>
    <s v="SNCF"/>
    <s v="Q3"/>
    <e v="#REF!"/>
    <e v="#REF!"/>
    <e v="#REF!"/>
  </r>
  <r>
    <s v="401000"/>
    <x v="6"/>
    <s v="FOURNISSEURS"/>
    <s v="OD"/>
    <n v="58"/>
    <d v="2025-11-01T00:00:00"/>
    <s v="Refund - Spendesk - SNCF"/>
    <m/>
    <e v="#N/A"/>
    <e v="#N/A"/>
    <n v="91772"/>
    <m/>
    <s v="SNCF"/>
    <s v="Q4"/>
    <e v="#REF!"/>
    <e v="#REF!"/>
    <e v="#REF!"/>
  </r>
  <r>
    <s v="401000"/>
    <x v="6"/>
    <s v="FOURNISSEURS"/>
    <s v="OD"/>
    <n v="58"/>
    <d v="2025-11-18T00:00:00"/>
    <s v="Liaison inter-établissement vers TO "/>
    <m/>
    <e v="#N/A"/>
    <e v="#N/A"/>
    <n v="91723"/>
    <m/>
    <s v="SNCF"/>
    <s v="Q4"/>
    <e v="#REF!"/>
    <e v="#REF!"/>
    <e v="#REF!"/>
  </r>
  <r>
    <s v="401000"/>
    <x v="6"/>
    <s v="FOURNISSEURS"/>
    <s v="OD"/>
    <n v="58"/>
    <d v="2025-11-18T00:00:00"/>
    <s v="Liaison inter-établissement vers TO "/>
    <m/>
    <e v="#N/A"/>
    <e v="#N/A"/>
    <n v="91727"/>
    <m/>
    <s v="SNCF"/>
    <s v="Q4"/>
    <e v="#REF!"/>
    <e v="#REF!"/>
    <e v="#REF!"/>
  </r>
  <r>
    <s v="401000"/>
    <x v="6"/>
    <s v="FOURNISSEURS"/>
    <s v="OD"/>
    <n v="58"/>
    <d v="2025-12-04T00:00:00"/>
    <s v="Liaison inter-établissement vers TO "/>
    <m/>
    <e v="#N/A"/>
    <e v="#N/A"/>
    <n v="94122"/>
    <m/>
    <s v="SNCF"/>
    <s v="Q4"/>
    <e v="#REF!"/>
    <e v="#REF!"/>
    <e v="#REF!"/>
  </r>
  <r>
    <s v="401000"/>
    <x v="6"/>
    <s v="FOURNISSEURS"/>
    <s v="OD"/>
    <n v="58.04"/>
    <d v="2025-06-12T00:00:00"/>
    <s v="Liaison inter-établissement vers TO "/>
    <m/>
    <e v="#N/A"/>
    <e v="#N/A"/>
    <n v="78245"/>
    <m/>
    <s v="COURSIER"/>
    <s v="Q2"/>
    <e v="#REF!"/>
    <e v="#REF!"/>
    <e v="#REF!"/>
  </r>
  <r>
    <s v="401000"/>
    <x v="6"/>
    <s v="FOURNISSEURS"/>
    <s v="OD"/>
    <n v="58.72"/>
    <d v="2025-07-31T00:00:00"/>
    <s v="Liaison inter-établissement vers TO "/>
    <m/>
    <e v="#N/A"/>
    <e v="#N/A"/>
    <n v="81290"/>
    <m/>
    <s v="DHL"/>
    <s v="Q3"/>
    <e v="#REF!"/>
    <e v="#REF!"/>
    <e v="#REF!"/>
  </r>
  <r>
    <s v="401000"/>
    <x v="6"/>
    <s v="FOURNISSEURS"/>
    <s v="OD"/>
    <n v="59.54"/>
    <d v="2025-08-28T00:00:00"/>
    <s v="Liaison inter-établissement vers TO "/>
    <m/>
    <e v="#N/A"/>
    <e v="#N/A"/>
    <n v="83354"/>
    <m/>
    <s v="RS COMPONENT"/>
    <s v="Q3"/>
    <e v="#REF!"/>
    <e v="#REF!"/>
    <e v="#REF!"/>
  </r>
  <r>
    <s v="401000"/>
    <x v="6"/>
    <s v="FOURNISSEURS"/>
    <s v="OD"/>
    <n v="60"/>
    <d v="2025-10-06T00:00:00"/>
    <s v="Liaison établissement 401000 TCI KB"/>
    <m/>
    <e v="#N/A"/>
    <e v="#N/A"/>
    <n v="82904"/>
    <s v="PRODUIT KEENB"/>
    <s v="TCI"/>
    <s v="Q4"/>
    <e v="#REF!"/>
    <e v="#REF!"/>
    <e v="#REF!"/>
  </r>
  <r>
    <s v="401000"/>
    <x v="6"/>
    <s v="FOURNISSEURS"/>
    <s v="OD"/>
    <n v="60"/>
    <d v="2025-10-19T00:00:00"/>
    <s v="Liaison inter-établissement vers TO "/>
    <m/>
    <e v="#N/A"/>
    <e v="#N/A"/>
    <n v="89729"/>
    <m/>
    <s v="COOKIEBOT"/>
    <s v="Q4"/>
    <e v="#REF!"/>
    <e v="#REF!"/>
    <e v="#REF!"/>
  </r>
  <r>
    <s v="401000"/>
    <x v="6"/>
    <s v="FOURNISSEURS"/>
    <s v="OD"/>
    <n v="61.12"/>
    <d v="2025-02-22T00:00:00"/>
    <s v="Liaison inter-établissement vers TO "/>
    <m/>
    <e v="#N/A"/>
    <e v="#N/A"/>
    <n v="71666"/>
    <m/>
    <s v="ORANGE"/>
    <s v="Q1"/>
    <e v="#REF!"/>
    <e v="#REF!"/>
    <e v="#REF!"/>
  </r>
  <r>
    <s v="401000"/>
    <x v="6"/>
    <s v="FOURNISSEURS"/>
    <s v="OD"/>
    <n v="62.17"/>
    <d v="2025-03-19T00:00:00"/>
    <s v="Liaison inter-établissement vers TO "/>
    <m/>
    <e v="#N/A"/>
    <e v="#N/A"/>
    <n v="63865"/>
    <m/>
    <s v="Sigma-Aldrich chimie"/>
    <s v="Q1"/>
    <e v="#REF!"/>
    <e v="#REF!"/>
    <e v="#REF!"/>
  </r>
  <r>
    <s v="401000"/>
    <x v="6"/>
    <s v="FOURNISSEURS"/>
    <s v="OD"/>
    <n v="62.22"/>
    <d v="2025-03-14T00:00:00"/>
    <s v="Liaison inter-établissement vers TO "/>
    <m/>
    <e v="#N/A"/>
    <e v="#N/A"/>
    <n v="74921"/>
    <m/>
    <s v="DHL"/>
    <s v="Q1"/>
    <e v="#REF!"/>
    <e v="#REF!"/>
    <e v="#REF!"/>
  </r>
  <r>
    <s v="401000"/>
    <x v="6"/>
    <s v="FOURNISSEURS"/>
    <s v="OD"/>
    <n v="62.5"/>
    <d v="2025-01-03T00:00:00"/>
    <s v="Liaison inter-établissement vers TO "/>
    <m/>
    <e v="#N/A"/>
    <e v="#N/A"/>
    <n v="63881"/>
    <m/>
    <s v="SNCF"/>
    <s v="Q1"/>
    <e v="#REF!"/>
    <e v="#REF!"/>
    <e v="#REF!"/>
  </r>
  <r>
    <s v="401000"/>
    <x v="6"/>
    <s v="FOURNISSEURS"/>
    <s v="OD"/>
    <n v="63"/>
    <d v="2025-12-09T00:00:00"/>
    <s v="Liaison inter-établissement vers TO "/>
    <m/>
    <e v="#N/A"/>
    <e v="#N/A"/>
    <n v="94110"/>
    <m/>
    <s v="SNCF"/>
    <s v="Q4"/>
    <e v="#REF!"/>
    <e v="#REF!"/>
    <e v="#REF!"/>
  </r>
  <r>
    <s v="401000"/>
    <x v="6"/>
    <s v="FOURNISSEURS"/>
    <s v="OD"/>
    <n v="63.34"/>
    <d v="2025-04-11T00:00:00"/>
    <s v="Liaison inter-établissement vers TO "/>
    <m/>
    <e v="#N/A"/>
    <e v="#N/A"/>
    <n v="74929"/>
    <m/>
    <s v="DHL"/>
    <s v="Q2"/>
    <e v="#REF!"/>
    <e v="#REF!"/>
    <e v="#REF!"/>
  </r>
  <r>
    <s v="401000"/>
    <x v="6"/>
    <s v="FOURNISSEURS"/>
    <s v="OD"/>
    <n v="63.64"/>
    <d v="2025-04-05T00:00:00"/>
    <s v="Liaison inter-établissement vers TO "/>
    <m/>
    <e v="#N/A"/>
    <e v="#N/A"/>
    <n v="74805"/>
    <m/>
    <s v="GROUPE LDLC"/>
    <s v="Q2"/>
    <e v="#REF!"/>
    <e v="#REF!"/>
    <e v="#REF!"/>
  </r>
  <r>
    <s v="401000"/>
    <x v="6"/>
    <s v="FOURNISSEURS"/>
    <s v="OD"/>
    <n v="64.09"/>
    <d v="2025-04-02T00:00:00"/>
    <s v="Liaison établissement 401000 VWR KB"/>
    <m/>
    <e v="#N/A"/>
    <e v="#N/A"/>
    <n v="66501"/>
    <s v="Invoice Payment by Pili"/>
    <s v="VWR AVANTOR"/>
    <s v="Q2"/>
    <e v="#REF!"/>
    <e v="#REF!"/>
    <e v="#REF!"/>
  </r>
  <r>
    <s v="401000"/>
    <x v="6"/>
    <s v="FOURNISSEURS"/>
    <s v="OD"/>
    <n v="65.2"/>
    <d v="2025-10-31T00:00:00"/>
    <s v="Liaison établissement 401000 VWR KB"/>
    <m/>
    <e v="#N/A"/>
    <e v="#N/A"/>
    <n v="87579"/>
    <s v="CONSOMMABLE LABO"/>
    <s v="VWR AVANTOR"/>
    <s v="Q4"/>
    <e v="#REF!"/>
    <e v="#REF!"/>
    <e v="#REF!"/>
  </r>
  <r>
    <s v="401000"/>
    <x v="6"/>
    <s v="FOURNISSEURS"/>
    <s v="OD"/>
    <n v="65.2"/>
    <d v="2025-10-31T00:00:00"/>
    <s v="Liaison établissement 401000 VWR KB"/>
    <m/>
    <e v="#N/A"/>
    <e v="#N/A"/>
    <n v="87584"/>
    <s v="CONSOMMABLE LABO"/>
    <s v="VWR AVANTOR"/>
    <s v="Q4"/>
    <e v="#REF!"/>
    <e v="#REF!"/>
    <e v="#REF!"/>
  </r>
  <r>
    <s v="401000"/>
    <x v="6"/>
    <s v="FOURNISSEURS"/>
    <s v="OD"/>
    <n v="66.38"/>
    <d v="2025-01-24T00:00:00"/>
    <s v="Liaison inter-établissement vers TO "/>
    <m/>
    <e v="#N/A"/>
    <e v="#N/A"/>
    <n v="74913"/>
    <m/>
    <s v="DHL"/>
    <s v="Q1"/>
    <e v="#REF!"/>
    <e v="#REF!"/>
    <e v="#REF!"/>
  </r>
  <r>
    <s v="401000"/>
    <x v="6"/>
    <s v="FOURNISSEURS"/>
    <s v="OD"/>
    <n v="66.38"/>
    <d v="2025-12-08T00:00:00"/>
    <s v="Liaison inter-établissement vers TO "/>
    <m/>
    <e v="#N/A"/>
    <e v="#N/A"/>
    <n v="91916"/>
    <m/>
    <s v="ENGIE"/>
    <s v="Q4"/>
    <e v="#REF!"/>
    <e v="#REF!"/>
    <e v="#REF!"/>
  </r>
  <r>
    <s v="401000"/>
    <x v="6"/>
    <s v="FOURNISSEURS"/>
    <s v="OD"/>
    <n v="66.959999999999994"/>
    <d v="2025-03-28T00:00:00"/>
    <s v="Liaison inter-établissement vers TO "/>
    <m/>
    <e v="#N/A"/>
    <e v="#N/A"/>
    <n v="69957"/>
    <m/>
    <s v="BRUNEAU"/>
    <s v="Q1"/>
    <e v="#REF!"/>
    <e v="#REF!"/>
    <e v="#REF!"/>
  </r>
  <r>
    <s v="401000"/>
    <x v="6"/>
    <s v="FOURNISSEURS"/>
    <s v="OD"/>
    <n v="66.959999999999994"/>
    <d v="2025-04-08T00:00:00"/>
    <s v="Liaison inter-établissement vers TO "/>
    <m/>
    <e v="#N/A"/>
    <e v="#N/A"/>
    <n v="69961"/>
    <m/>
    <s v="BRUNEAU"/>
    <s v="Q2"/>
    <e v="#REF!"/>
    <e v="#REF!"/>
    <e v="#REF!"/>
  </r>
  <r>
    <s v="401000"/>
    <x v="6"/>
    <s v="FOURNISSEURS"/>
    <s v="OD"/>
    <n v="67"/>
    <d v="2025-11-28T00:00:00"/>
    <s v="Liaison inter-établissement vers TO "/>
    <m/>
    <e v="#N/A"/>
    <e v="#N/A"/>
    <n v="91296"/>
    <m/>
    <s v="AIR LIQUIDE"/>
    <s v="Q4"/>
    <e v="#REF!"/>
    <e v="#REF!"/>
    <e v="#REF!"/>
  </r>
  <r>
    <s v="401000"/>
    <x v="6"/>
    <s v="FOURNISSEURS"/>
    <s v="OD"/>
    <n v="67.08"/>
    <d v="2025-05-07T00:00:00"/>
    <s v="Liaison établissement 401000 VWR KB"/>
    <m/>
    <e v="#N/A"/>
    <e v="#N/A"/>
    <n v="71830"/>
    <s v="COMMANDE PRODUIT KEENB"/>
    <s v="VWR AVANTOR"/>
    <s v="Q2"/>
    <e v="#REF!"/>
    <e v="#REF!"/>
    <e v="#REF!"/>
  </r>
  <r>
    <s v="401000"/>
    <x v="6"/>
    <s v="FOURNISSEURS"/>
    <s v="OD"/>
    <n v="68.23"/>
    <d v="2025-06-14T00:00:00"/>
    <s v="Liaison inter-établissement vers TO "/>
    <m/>
    <e v="#N/A"/>
    <e v="#N/A"/>
    <n v="78233"/>
    <m/>
    <s v="LA FOURCHE"/>
    <s v="Q2"/>
    <e v="#REF!"/>
    <e v="#REF!"/>
    <e v="#REF!"/>
  </r>
  <r>
    <s v="401000"/>
    <x v="6"/>
    <s v="FOURNISSEURS"/>
    <s v="OD"/>
    <n v="68.39"/>
    <d v="2025-04-18T00:00:00"/>
    <s v="Liaison établissement 401000 CHATEAU RO"/>
    <m/>
    <e v="#N/A"/>
    <e v="#N/A"/>
    <n v="68152"/>
    <s v="Invoice Payment by Pili"/>
    <s v="CHATEAUDEAU"/>
    <s v="Q2"/>
    <e v="#REF!"/>
    <e v="#REF!"/>
    <e v="#REF!"/>
  </r>
  <r>
    <s v="401000"/>
    <x v="6"/>
    <s v="FOURNISSEURS"/>
    <s v="OD"/>
    <n v="68.39"/>
    <d v="2025-06-02T00:00:00"/>
    <s v="Liaison établissement 401000 CHATEAU RO"/>
    <m/>
    <e v="#N/A"/>
    <e v="#N/A"/>
    <n v="75242"/>
    <s v="Invoice Payment By Pili"/>
    <s v="CHATEAUDEAU"/>
    <s v="Q2"/>
    <e v="#REF!"/>
    <e v="#REF!"/>
    <e v="#REF!"/>
  </r>
  <r>
    <s v="401000"/>
    <x v="6"/>
    <s v="FOURNISSEURS"/>
    <s v="OD"/>
    <n v="68.39"/>
    <d v="2025-07-22T00:00:00"/>
    <s v="Liaison établissement 401000 CHATEAU RO"/>
    <m/>
    <e v="#N/A"/>
    <e v="#N/A"/>
    <n v="78305"/>
    <s v="LIVRAISON EAU ROUSSILLON"/>
    <s v="CHATEAUDEAU"/>
    <s v="Q3"/>
    <e v="#REF!"/>
    <e v="#REF!"/>
    <e v="#REF!"/>
  </r>
  <r>
    <s v="401000"/>
    <x v="6"/>
    <s v="FOURNISSEURS"/>
    <s v="OD"/>
    <n v="69.16"/>
    <d v="2025-05-08T00:00:00"/>
    <s v="Liaison inter-établissement vers TO "/>
    <m/>
    <e v="#N/A"/>
    <e v="#N/A"/>
    <n v="78822"/>
    <m/>
    <s v="ENGIE"/>
    <s v="Q2"/>
    <e v="#REF!"/>
    <e v="#REF!"/>
    <e v="#REF!"/>
  </r>
  <r>
    <s v="401000"/>
    <x v="6"/>
    <s v="FOURNISSEURS"/>
    <s v="OD"/>
    <n v="69.900000000000006"/>
    <d v="2025-05-15T00:00:00"/>
    <s v="Liaison inter-établissement vers TO "/>
    <m/>
    <e v="#N/A"/>
    <e v="#N/A"/>
    <n v="81005"/>
    <m/>
    <s v="LEROY MERLIN"/>
    <s v="Q2"/>
    <e v="#REF!"/>
    <e v="#REF!"/>
    <e v="#REF!"/>
  </r>
  <r>
    <s v="401000"/>
    <x v="6"/>
    <s v="FOURNISSEURS"/>
    <s v="OD"/>
    <n v="70"/>
    <d v="2025-10-01T00:00:00"/>
    <s v="Liaison inter-établissement vers TO "/>
    <m/>
    <e v="#N/A"/>
    <e v="#N/A"/>
    <n v="89713"/>
    <m/>
    <s v="AIRLINES"/>
    <s v="Q4"/>
    <e v="#REF!"/>
    <e v="#REF!"/>
    <e v="#REF!"/>
  </r>
  <r>
    <s v="401000"/>
    <x v="6"/>
    <s v="FOURNISSEURS"/>
    <s v="OD"/>
    <n v="71"/>
    <d v="2025-01-02T00:00:00"/>
    <s v="Liaison inter-établissement vers TO "/>
    <m/>
    <e v="#N/A"/>
    <e v="#N/A"/>
    <n v="71431"/>
    <m/>
    <s v="SNCF"/>
    <s v="Q1"/>
    <e v="#REF!"/>
    <e v="#REF!"/>
    <e v="#REF!"/>
  </r>
  <r>
    <s v="401000"/>
    <x v="6"/>
    <s v="FOURNISSEURS"/>
    <s v="OD"/>
    <n v="71"/>
    <d v="2025-01-02T00:00:00"/>
    <s v="Liaison inter-établissement vers TO "/>
    <m/>
    <e v="#N/A"/>
    <e v="#N/A"/>
    <n v="71435"/>
    <m/>
    <s v="SNCF"/>
    <s v="Q1"/>
    <e v="#REF!"/>
    <e v="#REF!"/>
    <e v="#REF!"/>
  </r>
  <r>
    <s v="401000"/>
    <x v="6"/>
    <s v="FOURNISSEURS"/>
    <s v="OD"/>
    <n v="71.36"/>
    <d v="2025-07-31T00:00:00"/>
    <s v="Liaison établissement 401000 VWR KB"/>
    <m/>
    <e v="#N/A"/>
    <e v="#N/A"/>
    <n v="79305"/>
    <s v="COMMANDE PRODUIT KEENY"/>
    <s v="VWR AVANTOR"/>
    <s v="Q3"/>
    <e v="#REF!"/>
    <e v="#REF!"/>
    <e v="#REF!"/>
  </r>
  <r>
    <s v="401000"/>
    <x v="6"/>
    <s v="FOURNISSEURS"/>
    <s v="OD"/>
    <n v="71.86"/>
    <d v="2025-06-11T00:00:00"/>
    <s v="Liaison inter-établissement vers TO "/>
    <m/>
    <e v="#N/A"/>
    <e v="#N/A"/>
    <n v="78241"/>
    <m/>
    <s v="GANDI"/>
    <s v="Q2"/>
    <e v="#REF!"/>
    <e v="#REF!"/>
    <e v="#REF!"/>
  </r>
  <r>
    <s v="401000"/>
    <x v="6"/>
    <s v="FOURNISSEURS"/>
    <s v="OD"/>
    <n v="71.88"/>
    <d v="2025-09-12T00:00:00"/>
    <s v="Liaison établissement 401000 BRUNEAU RO"/>
    <m/>
    <e v="#N/A"/>
    <e v="#N/A"/>
    <n v="82076"/>
    <s v="AFFICHE"/>
    <s v="BRUNEAU"/>
    <s v="Q3"/>
    <e v="#REF!"/>
    <e v="#REF!"/>
    <e v="#REF!"/>
  </r>
  <r>
    <s v="401000"/>
    <x v="6"/>
    <s v="FOURNISSEURS"/>
    <s v="OD"/>
    <n v="71.900000000000006"/>
    <d v="2025-09-12T00:00:00"/>
    <s v="Liaison établissement 401000 VWR KB"/>
    <m/>
    <e v="#N/A"/>
    <e v="#N/A"/>
    <n v="82045"/>
    <s v="PRODUIT KEENB"/>
    <s v="VWR AVANTOR"/>
    <s v="Q3"/>
    <e v="#REF!"/>
    <e v="#REF!"/>
    <e v="#REF!"/>
  </r>
  <r>
    <s v="401000"/>
    <x v="6"/>
    <s v="FOURNISSEURS"/>
    <s v="OD"/>
    <n v="72"/>
    <d v="2025-05-14T00:00:00"/>
    <s v="Liaison établissement 401000 ECHAFAUDAGE RO"/>
    <m/>
    <e v="#N/A"/>
    <e v="#N/A"/>
    <n v="72321"/>
    <s v="Invoice Payment by Pili"/>
    <s v="ECHAFAUDAGE"/>
    <s v="Q2"/>
    <e v="#REF!"/>
    <e v="#REF!"/>
    <e v="#REF!"/>
  </r>
  <r>
    <s v="401000"/>
    <x v="6"/>
    <s v="FOURNISSEURS"/>
    <s v="OD"/>
    <n v="72.67"/>
    <d v="2025-07-22T00:00:00"/>
    <s v="Liaison établissement 401000 ROTH RO"/>
    <m/>
    <e v="#N/A"/>
    <e v="#N/A"/>
    <n v="78295"/>
    <s v="MATIÈRES PREMIÈRES KEENY ROUSSILLON"/>
    <s v="ROTH SOCHIEL"/>
    <s v="Q3"/>
    <e v="#REF!"/>
    <e v="#REF!"/>
    <e v="#REF!"/>
  </r>
  <r>
    <s v="401000"/>
    <x v="6"/>
    <s v="FOURNISSEURS"/>
    <s v="OD"/>
    <n v="73"/>
    <d v="2025-01-10T00:00:00"/>
    <s v="Liaison inter-établissement vers TO "/>
    <m/>
    <e v="#N/A"/>
    <e v="#N/A"/>
    <n v="71439"/>
    <m/>
    <s v="SNCF"/>
    <s v="Q1"/>
    <e v="#REF!"/>
    <e v="#REF!"/>
    <e v="#REF!"/>
  </r>
  <r>
    <s v="401000"/>
    <x v="6"/>
    <s v="FOURNISSEURS"/>
    <s v="OD"/>
    <n v="73"/>
    <d v="2025-01-10T00:00:00"/>
    <s v="Liaison inter-établissement vers TO "/>
    <m/>
    <e v="#N/A"/>
    <e v="#N/A"/>
    <n v="71443"/>
    <m/>
    <s v="SNCF"/>
    <s v="Q1"/>
    <e v="#REF!"/>
    <e v="#REF!"/>
    <e v="#REF!"/>
  </r>
  <r>
    <s v="401000"/>
    <x v="6"/>
    <s v="FOURNISSEURS"/>
    <s v="OD"/>
    <n v="73.05"/>
    <d v="2025-05-14T00:00:00"/>
    <s v="Liaison établissement 401000 BIOTIKA RO"/>
    <s v="Non"/>
    <e v="#N/A"/>
    <e v="#N/A"/>
    <n v="72307"/>
    <m/>
    <s v="BIOTIKA"/>
    <s v="Q2"/>
    <e v="#REF!"/>
    <e v="#REF!"/>
    <e v="#REF!"/>
  </r>
  <r>
    <s v="401000"/>
    <x v="6"/>
    <s v="FOURNISSEURS"/>
    <s v="OD"/>
    <n v="73.69"/>
    <d v="2025-11-13T00:00:00"/>
    <s v="Liaison établissement 401000 VWR KB"/>
    <m/>
    <e v="#N/A"/>
    <e v="#N/A"/>
    <n v="89937"/>
    <s v="CONSOMMABLE LABO"/>
    <s v="VWR AVANTOR"/>
    <s v="Q4"/>
    <e v="#REF!"/>
    <e v="#REF!"/>
    <e v="#REF!"/>
  </r>
  <r>
    <s v="401000"/>
    <x v="6"/>
    <s v="FOURNISSEURS"/>
    <s v="OD"/>
    <n v="74.78"/>
    <d v="2025-07-22T00:00:00"/>
    <s v="Liaison établissement 401000 ROTH RO"/>
    <m/>
    <e v="#N/A"/>
    <e v="#N/A"/>
    <n v="78300"/>
    <s v="PRODUITS CHIMIQUES KL"/>
    <s v="ROTH SOCHIEL"/>
    <s v="Q3"/>
    <e v="#REF!"/>
    <e v="#REF!"/>
    <e v="#REF!"/>
  </r>
  <r>
    <s v="401000"/>
    <x v="6"/>
    <s v="FOURNISSEURS"/>
    <s v="OD"/>
    <n v="75.239999999999995"/>
    <d v="2025-03-20T00:00:00"/>
    <s v="Liaison inter-établissement vers TO "/>
    <m/>
    <e v="#N/A"/>
    <e v="#N/A"/>
    <n v="63857"/>
    <m/>
    <s v="Sigma-Aldrich chimie"/>
    <s v="Q1"/>
    <e v="#REF!"/>
    <e v="#REF!"/>
    <e v="#REF!"/>
  </r>
  <r>
    <s v="401000"/>
    <x v="6"/>
    <s v="FOURNISSEURS"/>
    <s v="OD"/>
    <n v="75.599999999999994"/>
    <d v="2025-11-28T00:00:00"/>
    <s v="Liaison établissement 401000 CHAUM LY"/>
    <m/>
    <e v="#N/A"/>
    <e v="#N/A"/>
    <n v="91256"/>
    <s v="FL260494"/>
    <s v="GROUPE CHAUMEIL"/>
    <s v="Q4"/>
    <e v="#REF!"/>
    <e v="#REF!"/>
    <e v="#REF!"/>
  </r>
  <r>
    <s v="401000"/>
    <x v="6"/>
    <s v="FOURNISSEURS"/>
    <s v="OD"/>
    <n v="75.78"/>
    <d v="2025-12-22T00:00:00"/>
    <s v="RAPPROCHEMENT COMPTE ROTH"/>
    <m/>
    <e v="#N/A"/>
    <e v="#N/A"/>
    <n v="93025"/>
    <m/>
    <s v="ROTH SOCHIEL"/>
    <s v="Q4"/>
    <e v="#REF!"/>
    <e v="#REF!"/>
    <e v="#REF!"/>
  </r>
  <r>
    <s v="401000"/>
    <x v="6"/>
    <s v="FOURNISSEURS"/>
    <s v="OD"/>
    <n v="75.849999999999994"/>
    <d v="2025-04-25T00:00:00"/>
    <s v="Liaison établissement 401000 VWR KB"/>
    <m/>
    <e v="#N/A"/>
    <e v="#N/A"/>
    <n v="70208"/>
    <s v="Invoice Payment by Pili"/>
    <s v="VWR AVANTOR"/>
    <s v="Q2"/>
    <e v="#REF!"/>
    <e v="#REF!"/>
    <e v="#REF!"/>
  </r>
  <r>
    <s v="401000"/>
    <x v="6"/>
    <s v="FOURNISSEURS"/>
    <s v="OD"/>
    <n v="76.63"/>
    <d v="2025-11-28T00:00:00"/>
    <s v="Liaison inter-établissement vers TO "/>
    <m/>
    <e v="#N/A"/>
    <e v="#N/A"/>
    <n v="91292"/>
    <m/>
    <s v="DHL"/>
    <s v="Q4"/>
    <e v="#REF!"/>
    <e v="#REF!"/>
    <e v="#REF!"/>
  </r>
  <r>
    <s v="401000"/>
    <x v="6"/>
    <s v="FOURNISSEURS"/>
    <s v="OD"/>
    <n v="76.98"/>
    <d v="2025-04-02T00:00:00"/>
    <s v="Liaison établissement 401000 VWR KB"/>
    <m/>
    <e v="#N/A"/>
    <e v="#N/A"/>
    <n v="66486"/>
    <s v="Invoice Payment by Pili"/>
    <s v="VWR AVANTOR"/>
    <s v="Q2"/>
    <e v="#REF!"/>
    <e v="#REF!"/>
    <e v="#REF!"/>
  </r>
  <r>
    <s v="401000"/>
    <x v="6"/>
    <s v="FOURNISSEURS"/>
    <s v="OD"/>
    <n v="78"/>
    <d v="2025-01-14T00:00:00"/>
    <s v="Liaison inter-établissement vers TO "/>
    <m/>
    <e v="#N/A"/>
    <e v="#N/A"/>
    <n v="66765"/>
    <m/>
    <s v="SNCF"/>
    <s v="Q1"/>
    <e v="#REF!"/>
    <e v="#REF!"/>
    <e v="#REF!"/>
  </r>
  <r>
    <s v="401000"/>
    <x v="6"/>
    <s v="FOURNISSEURS"/>
    <s v="OD"/>
    <n v="78.260000000000005"/>
    <d v="2025-10-06T00:00:00"/>
    <s v="Liaison établissement 401000 CHATEAU RO"/>
    <m/>
    <e v="#N/A"/>
    <e v="#N/A"/>
    <n v="82899"/>
    <s v="LIVRAISON EAU ROUSSILLON"/>
    <s v="CHATEAUDEAU"/>
    <s v="Q4"/>
    <e v="#REF!"/>
    <e v="#REF!"/>
    <e v="#REF!"/>
  </r>
  <r>
    <s v="401000"/>
    <x v="6"/>
    <s v="FOURNISSEURS"/>
    <s v="OD"/>
    <n v="79"/>
    <d v="2025-03-17T00:00:00"/>
    <s v="Liaison inter-établissement vers TO "/>
    <m/>
    <e v="#N/A"/>
    <e v="#N/A"/>
    <n v="70022"/>
    <m/>
    <s v="SNCF"/>
    <s v="Q1"/>
    <e v="#REF!"/>
    <e v="#REF!"/>
    <e v="#REF!"/>
  </r>
  <r>
    <s v="401000"/>
    <x v="6"/>
    <s v="FOURNISSEURS"/>
    <s v="OD"/>
    <n v="79.2"/>
    <d v="2025-04-11T00:00:00"/>
    <s v="Liaison inter-établissement vers TO "/>
    <m/>
    <s v="Non"/>
    <e v="#N/A"/>
    <n v="72798"/>
    <m/>
    <s v="DIVERS"/>
    <s v="Q2"/>
    <e v="#REF!"/>
    <e v="#REF!"/>
    <e v="#REF!"/>
  </r>
  <r>
    <s v="401000"/>
    <x v="6"/>
    <s v="FOURNISSEURS"/>
    <s v="OD"/>
    <n v="79.989999999999995"/>
    <d v="2025-05-13T00:00:00"/>
    <s v="Liaison inter-établissement vers TO "/>
    <m/>
    <e v="#N/A"/>
    <e v="#N/A"/>
    <n v="75127"/>
    <m/>
    <s v="AIRBNB"/>
    <s v="Q2"/>
    <e v="#REF!"/>
    <e v="#REF!"/>
    <e v="#REF!"/>
  </r>
  <r>
    <s v="401000"/>
    <x v="6"/>
    <s v="FOURNISSEURS"/>
    <s v="OD"/>
    <n v="80"/>
    <d v="2025-11-18T00:00:00"/>
    <s v="Liaison inter-établissement vers TO "/>
    <m/>
    <e v="#N/A"/>
    <e v="#N/A"/>
    <n v="91735"/>
    <m/>
    <s v="SNCF"/>
    <s v="Q4"/>
    <e v="#REF!"/>
    <e v="#REF!"/>
    <e v="#REF!"/>
  </r>
  <r>
    <s v="401000"/>
    <x v="6"/>
    <s v="FOURNISSEURS"/>
    <s v="OD"/>
    <n v="80.2"/>
    <d v="2025-04-24T00:00:00"/>
    <s v="Liaison inter-établissement vers TO "/>
    <m/>
    <e v="#N/A"/>
    <e v="#N/A"/>
    <n v="74829"/>
    <m/>
    <s v="MANUTAN"/>
    <s v="Q2"/>
    <e v="#REF!"/>
    <e v="#REF!"/>
    <e v="#REF!"/>
  </r>
  <r>
    <s v="401000"/>
    <x v="6"/>
    <s v="FOURNISSEURS"/>
    <s v="OD"/>
    <n v="80.5"/>
    <d v="2025-05-07T00:00:00"/>
    <s v="Liaison établissement 401000 VWR KB"/>
    <m/>
    <e v="#N/A"/>
    <e v="#N/A"/>
    <n v="71815"/>
    <s v="COMMANDE PRODUIT KEENB"/>
    <s v="VWR AVANTOR"/>
    <s v="Q2"/>
    <e v="#REF!"/>
    <e v="#REF!"/>
    <e v="#REF!"/>
  </r>
  <r>
    <s v="401000"/>
    <x v="6"/>
    <s v="FOURNISSEURS"/>
    <s v="OD"/>
    <n v="80.84"/>
    <d v="2025-08-11T00:00:00"/>
    <s v="Liaison inter-établissement vers TO "/>
    <m/>
    <e v="#N/A"/>
    <e v="#N/A"/>
    <n v="83326"/>
    <m/>
    <s v="ORANGE"/>
    <s v="Q3"/>
    <e v="#REF!"/>
    <e v="#REF!"/>
    <e v="#REF!"/>
  </r>
  <r>
    <s v="401000"/>
    <x v="6"/>
    <s v="FOURNISSEURS"/>
    <s v="OD"/>
    <n v="81.180000000000007"/>
    <d v="2025-07-31T00:00:00"/>
    <s v="Liaison établissement 401000 VWR KB"/>
    <m/>
    <e v="#N/A"/>
    <e v="#N/A"/>
    <n v="79335"/>
    <s v="COMMANDE PRODUIT KEENY"/>
    <s v="VWR AVANTOR"/>
    <s v="Q3"/>
    <e v="#REF!"/>
    <e v="#REF!"/>
    <e v="#REF!"/>
  </r>
  <r>
    <s v="401000"/>
    <x v="6"/>
    <s v="FOURNISSEURS"/>
    <s v="OD"/>
    <n v="81.23"/>
    <d v="2025-03-06T00:00:00"/>
    <s v="Liaison inter-établissement vers TO "/>
    <m/>
    <s v="Non"/>
    <e v="#N/A"/>
    <n v="71913"/>
    <m/>
    <s v="DIVERS"/>
    <s v="Q1"/>
    <e v="#REF!"/>
    <e v="#REF!"/>
    <e v="#REF!"/>
  </r>
  <r>
    <s v="401000"/>
    <x v="6"/>
    <s v="FOURNISSEURS"/>
    <s v="OD"/>
    <n v="81.7"/>
    <d v="2025-04-01T00:00:00"/>
    <s v="Liaison inter-établissement vers TO "/>
    <m/>
    <e v="#N/A"/>
    <e v="#N/A"/>
    <n v="74925"/>
    <m/>
    <s v="DHL"/>
    <s v="Q2"/>
    <e v="#REF!"/>
    <e v="#REF!"/>
    <e v="#REF!"/>
  </r>
  <r>
    <s v="401000"/>
    <x v="6"/>
    <s v="FOURNISSEURS"/>
    <s v="OD"/>
    <n v="81.900000000000006"/>
    <d v="2025-11-04T00:00:00"/>
    <s v="Liaison inter-établissement vers TO "/>
    <m/>
    <e v="#N/A"/>
    <e v="#N/A"/>
    <n v="91679"/>
    <m/>
    <s v="MONDROGUISTE"/>
    <s v="Q4"/>
    <e v="#REF!"/>
    <e v="#REF!"/>
    <e v="#REF!"/>
  </r>
  <r>
    <s v="401000"/>
    <x v="6"/>
    <s v="FOURNISSEURS"/>
    <s v="OD"/>
    <n v="82.32"/>
    <d v="2025-12-19T00:00:00"/>
    <s v="Liaison établissement 401000 ROTH KB"/>
    <m/>
    <e v="#N/A"/>
    <e v="#N/A"/>
    <n v="92689"/>
    <s v="4184627"/>
    <s v="ROTH SOCHIEL"/>
    <s v="Q4"/>
    <e v="#REF!"/>
    <e v="#REF!"/>
    <e v="#REF!"/>
  </r>
  <r>
    <s v="401000"/>
    <x v="6"/>
    <s v="FOURNISSEURS"/>
    <s v="OD"/>
    <n v="82.78"/>
    <d v="2025-04-22T00:00:00"/>
    <s v="Liaison inter-établissement vers TO "/>
    <m/>
    <e v="#N/A"/>
    <e v="#N/A"/>
    <n v="74937"/>
    <m/>
    <s v="DHL"/>
    <s v="Q2"/>
    <e v="#REF!"/>
    <e v="#REF!"/>
    <e v="#REF!"/>
  </r>
  <r>
    <s v="401000"/>
    <x v="6"/>
    <s v="FOURNISSEURS"/>
    <s v="OD"/>
    <n v="83.34"/>
    <d v="2025-09-22T00:00:00"/>
    <s v="Liaison établissement 401000 FISHER KB"/>
    <m/>
    <e v="#N/A"/>
    <e v="#N/A"/>
    <n v="82385"/>
    <s v="BILLES POUR LE BROYEUR"/>
    <s v="FISHER SCIENTIFIC"/>
    <s v="Q3"/>
    <e v="#REF!"/>
    <e v="#REF!"/>
    <e v="#REF!"/>
  </r>
  <r>
    <s v="401000"/>
    <x v="6"/>
    <s v="FOURNISSEURS"/>
    <s v="OD"/>
    <n v="83.49"/>
    <d v="2025-11-29T00:00:00"/>
    <s v="Liaison inter-établissement vers TO "/>
    <m/>
    <e v="#N/A"/>
    <e v="#N/A"/>
    <n v="91647"/>
    <m/>
    <s v="LA FOURCHE"/>
    <s v="Q4"/>
    <e v="#REF!"/>
    <e v="#REF!"/>
    <e v="#REF!"/>
  </r>
  <r>
    <s v="401000"/>
    <x v="6"/>
    <s v="FOURNISSEURS"/>
    <s v="OD"/>
    <n v="84.62"/>
    <d v="2025-06-17T00:00:00"/>
    <s v="Liaison inter-établissement vers TO "/>
    <m/>
    <e v="#N/A"/>
    <e v="#N/A"/>
    <n v="78253"/>
    <m/>
    <s v="BOOKING"/>
    <s v="Q2"/>
    <e v="#REF!"/>
    <e v="#REF!"/>
    <e v="#REF!"/>
  </r>
  <r>
    <s v="401000"/>
    <x v="6"/>
    <s v="FOURNISSEURS"/>
    <s v="OD"/>
    <n v="85.15"/>
    <d v="2025-04-02T00:00:00"/>
    <s v="Ecart de change"/>
    <s v="Non"/>
    <s v="Non"/>
    <e v="#N/A"/>
    <n v="76929"/>
    <m/>
    <s v="NEIL BELL"/>
    <s v="Q2"/>
    <e v="#REF!"/>
    <e v="#REF!"/>
    <e v="#REF!"/>
  </r>
  <r>
    <s v="401000"/>
    <x v="6"/>
    <s v="FOURNISSEURS"/>
    <s v="OD"/>
    <n v="85.38"/>
    <d v="2025-10-06T00:00:00"/>
    <s v="Liaison établissement 401000 FISHER KB"/>
    <m/>
    <e v="#N/A"/>
    <e v="#N/A"/>
    <n v="82924"/>
    <s v="PRODUIT LISA"/>
    <s v="FISHER SCIENTIFIC"/>
    <s v="Q4"/>
    <e v="#REF!"/>
    <e v="#REF!"/>
    <e v="#REF!"/>
  </r>
  <r>
    <s v="401000"/>
    <x v="6"/>
    <s v="FOURNISSEURS"/>
    <s v="OD"/>
    <n v="86"/>
    <d v="2025-02-19T00:00:00"/>
    <s v="Liaison inter-établissement vers TO "/>
    <m/>
    <e v="#N/A"/>
    <e v="#N/A"/>
    <n v="63583"/>
    <m/>
    <s v="BLD PHARMATECH"/>
    <s v="Q1"/>
    <e v="#REF!"/>
    <e v="#REF!"/>
    <e v="#REF!"/>
  </r>
  <r>
    <s v="401000"/>
    <x v="6"/>
    <s v="FOURNISSEURS"/>
    <s v="OD"/>
    <n v="86.28"/>
    <d v="2025-07-18T00:00:00"/>
    <s v="Liaison établissement 401000 SIGMA RO"/>
    <m/>
    <e v="#N/A"/>
    <e v="#N/A"/>
    <n v="78274"/>
    <s v="CELITE S POUR VBIO KL"/>
    <s v="Sigma-Aldrich chimie"/>
    <s v="Q3"/>
    <e v="#REF!"/>
    <e v="#REF!"/>
    <e v="#REF!"/>
  </r>
  <r>
    <s v="401000"/>
    <x v="6"/>
    <s v="FOURNISSEURS"/>
    <s v="OD"/>
    <n v="86.4"/>
    <d v="2025-03-28T00:00:00"/>
    <s v="Liaison établissement 401000 ROTH RO"/>
    <m/>
    <e v="#N/A"/>
    <e v="#N/A"/>
    <n v="64987"/>
    <s v="Invoice Payment by Pili"/>
    <s v="ROTH SOCHIEL"/>
    <s v="Q1"/>
    <e v="#REF!"/>
    <e v="#REF!"/>
    <e v="#REF!"/>
  </r>
  <r>
    <s v="401000"/>
    <x v="6"/>
    <s v="FOURNISSEURS"/>
    <s v="OD"/>
    <n v="86.4"/>
    <d v="2025-12-23T00:00:00"/>
    <s v="Liaison établissement 401000 KYMONO LY"/>
    <m/>
    <e v="#N/A"/>
    <e v="#N/A"/>
    <n v="93621"/>
    <s v="FACT-20251208-23397"/>
    <s v="Kymono"/>
    <s v="Q4"/>
    <e v="#REF!"/>
    <e v="#REF!"/>
    <e v="#REF!"/>
  </r>
  <r>
    <s v="401000"/>
    <x v="6"/>
    <s v="FOURNISSEURS"/>
    <s v="OD"/>
    <n v="88"/>
    <d v="2025-01-24T00:00:00"/>
    <s v="Liaison inter-établissement vers TO "/>
    <m/>
    <e v="#N/A"/>
    <e v="#N/A"/>
    <n v="63901"/>
    <m/>
    <s v="SNCF"/>
    <s v="Q1"/>
    <e v="#REF!"/>
    <e v="#REF!"/>
    <e v="#REF!"/>
  </r>
  <r>
    <s v="401000"/>
    <x v="6"/>
    <s v="FOURNISSEURS"/>
    <s v="OD"/>
    <n v="88"/>
    <d v="2025-02-06T00:00:00"/>
    <s v="Liaison inter-établissement vers TO "/>
    <m/>
    <e v="#N/A"/>
    <e v="#N/A"/>
    <n v="74877"/>
    <m/>
    <s v="HOPER"/>
    <s v="Q1"/>
    <e v="#REF!"/>
    <e v="#REF!"/>
    <e v="#REF!"/>
  </r>
  <r>
    <s v="401000"/>
    <x v="6"/>
    <s v="FOURNISSEURS"/>
    <s v="OD"/>
    <n v="88"/>
    <d v="2025-02-14T00:00:00"/>
    <s v="Liaison inter-établissement vers TO "/>
    <m/>
    <e v="#N/A"/>
    <e v="#N/A"/>
    <n v="64365"/>
    <m/>
    <s v="SNCF"/>
    <s v="Q1"/>
    <e v="#REF!"/>
    <e v="#REF!"/>
    <e v="#REF!"/>
  </r>
  <r>
    <s v="401000"/>
    <x v="6"/>
    <s v="FOURNISSEURS"/>
    <s v="OD"/>
    <n v="88"/>
    <d v="2025-02-14T00:00:00"/>
    <s v="Liaison inter-établissement vers TO "/>
    <m/>
    <e v="#N/A"/>
    <e v="#N/A"/>
    <n v="64369"/>
    <m/>
    <s v="SNCF"/>
    <s v="Q1"/>
    <e v="#REF!"/>
    <e v="#REF!"/>
    <e v="#REF!"/>
  </r>
  <r>
    <s v="401000"/>
    <x v="6"/>
    <s v="FOURNISSEURS"/>
    <s v="OD"/>
    <n v="88"/>
    <d v="2025-03-06T00:00:00"/>
    <s v="Liaison inter-établissement vers TO "/>
    <m/>
    <e v="#N/A"/>
    <e v="#N/A"/>
    <n v="71414"/>
    <m/>
    <s v="HOPER"/>
    <s v="Q1"/>
    <e v="#REF!"/>
    <e v="#REF!"/>
    <e v="#REF!"/>
  </r>
  <r>
    <s v="401000"/>
    <x v="6"/>
    <s v="FOURNISSEURS"/>
    <s v="OD"/>
    <n v="88"/>
    <d v="2025-04-04T00:00:00"/>
    <s v="Liaison inter-établissement vers TO "/>
    <m/>
    <e v="#N/A"/>
    <e v="#N/A"/>
    <n v="74773"/>
    <m/>
    <s v="SNCF"/>
    <s v="Q2"/>
    <e v="#REF!"/>
    <e v="#REF!"/>
    <e v="#REF!"/>
  </r>
  <r>
    <s v="401000"/>
    <x v="6"/>
    <s v="FOURNISSEURS"/>
    <s v="OD"/>
    <n v="88"/>
    <d v="2025-04-09T00:00:00"/>
    <s v="Liaison inter-établissement vers TO "/>
    <m/>
    <e v="#N/A"/>
    <e v="#N/A"/>
    <n v="74781"/>
    <m/>
    <s v="SNCF"/>
    <s v="Q2"/>
    <e v="#REF!"/>
    <e v="#REF!"/>
    <e v="#REF!"/>
  </r>
  <r>
    <s v="401000"/>
    <x v="6"/>
    <s v="FOURNISSEURS"/>
    <s v="OD"/>
    <n v="88"/>
    <d v="2025-06-13T00:00:00"/>
    <s v="Liaison inter-établissement vers TO "/>
    <m/>
    <e v="#N/A"/>
    <e v="#N/A"/>
    <n v="78130"/>
    <m/>
    <s v="SNCF"/>
    <s v="Q2"/>
    <e v="#REF!"/>
    <e v="#REF!"/>
    <e v="#REF!"/>
  </r>
  <r>
    <s v="401000"/>
    <x v="6"/>
    <s v="FOURNISSEURS"/>
    <s v="OD"/>
    <n v="88"/>
    <d v="2025-09-10T00:00:00"/>
    <s v="Liaison inter-établissement vers TO "/>
    <m/>
    <e v="#N/A"/>
    <e v="#N/A"/>
    <n v="83154"/>
    <m/>
    <s v="SNCF"/>
    <s v="Q3"/>
    <e v="#REF!"/>
    <e v="#REF!"/>
    <e v="#REF!"/>
  </r>
  <r>
    <s v="401000"/>
    <x v="6"/>
    <s v="FOURNISSEURS"/>
    <s v="OD"/>
    <n v="88"/>
    <d v="2025-09-10T00:00:00"/>
    <s v="Liaison inter-établissement vers TO "/>
    <m/>
    <e v="#N/A"/>
    <e v="#N/A"/>
    <n v="83162"/>
    <m/>
    <s v="SNCF"/>
    <s v="Q3"/>
    <e v="#REF!"/>
    <e v="#REF!"/>
    <e v="#REF!"/>
  </r>
  <r>
    <s v="401000"/>
    <x v="6"/>
    <s v="FOURNISSEURS"/>
    <s v="OD"/>
    <n v="88"/>
    <d v="2025-10-09T00:00:00"/>
    <s v="Liaison inter-établissement vers TO "/>
    <m/>
    <e v="#N/A"/>
    <e v="#N/A"/>
    <n v="89799"/>
    <m/>
    <s v="SNCF"/>
    <s v="Q4"/>
    <e v="#REF!"/>
    <e v="#REF!"/>
    <e v="#REF!"/>
  </r>
  <r>
    <s v="401000"/>
    <x v="6"/>
    <s v="FOURNISSEURS"/>
    <s v="OD"/>
    <n v="88"/>
    <d v="2025-10-09T00:00:00"/>
    <s v="Liaison inter-établissement vers TO "/>
    <m/>
    <e v="#N/A"/>
    <e v="#N/A"/>
    <n v="89803"/>
    <m/>
    <s v="SNCF"/>
    <s v="Q4"/>
    <e v="#REF!"/>
    <e v="#REF!"/>
    <e v="#REF!"/>
  </r>
  <r>
    <s v="401000"/>
    <x v="6"/>
    <s v="FOURNISSEURS"/>
    <s v="OD"/>
    <n v="88"/>
    <d v="2025-11-01T00:00:00"/>
    <s v="ALLER CONF B4C TECHDAYS"/>
    <m/>
    <e v="#N/A"/>
    <e v="#N/A"/>
    <n v="91792"/>
    <m/>
    <s v="SNCF"/>
    <s v="Q4"/>
    <e v="#REF!"/>
    <e v="#REF!"/>
    <e v="#REF!"/>
  </r>
  <r>
    <s v="401000"/>
    <x v="6"/>
    <s v="FOURNISSEURS"/>
    <s v="OD"/>
    <n v="88"/>
    <d v="2025-11-17T00:00:00"/>
    <s v="Liaison inter-établissement"/>
    <m/>
    <e v="#N/A"/>
    <e v="#N/A"/>
    <n v="91796"/>
    <m/>
    <s v="SNCF"/>
    <s v="Q4"/>
    <e v="#REF!"/>
    <e v="#REF!"/>
    <e v="#REF!"/>
  </r>
  <r>
    <s v="401000"/>
    <x v="6"/>
    <s v="FOURNISSEURS"/>
    <s v="OD"/>
    <n v="88.12"/>
    <d v="2025-08-23T00:00:00"/>
    <s v="Liaison inter-établissement vers TO "/>
    <m/>
    <e v="#N/A"/>
    <e v="#N/A"/>
    <n v="83342"/>
    <m/>
    <s v="CHATEAUDEAU"/>
    <s v="Q3"/>
    <e v="#REF!"/>
    <e v="#REF!"/>
    <e v="#REF!"/>
  </r>
  <r>
    <s v="401000"/>
    <x v="6"/>
    <s v="FOURNISSEURS"/>
    <s v="OD"/>
    <n v="88.12"/>
    <d v="2025-10-31T00:00:00"/>
    <s v="Liaison établissement 401000 CHATEAU RO"/>
    <m/>
    <e v="#N/A"/>
    <e v="#N/A"/>
    <n v="87534"/>
    <s v="LIVRAISON EAU SUR SITE ROUSSILLON"/>
    <s v="CHATEAUDEAU"/>
    <s v="Q4"/>
    <e v="#REF!"/>
    <e v="#REF!"/>
    <e v="#REF!"/>
  </r>
  <r>
    <s v="401000"/>
    <x v="6"/>
    <s v="FOURNISSEURS"/>
    <s v="OD"/>
    <n v="88.61"/>
    <d v="2025-02-28T00:00:00"/>
    <s v="Liaison inter-établissement vers TO "/>
    <m/>
    <e v="#N/A"/>
    <e v="#N/A"/>
    <n v="90111"/>
    <m/>
    <s v="AIR LIQUIDE"/>
    <s v="Q1"/>
    <e v="#REF!"/>
    <e v="#REF!"/>
    <e v="#REF!"/>
  </r>
  <r>
    <s v="401000"/>
    <x v="6"/>
    <s v="FOURNISSEURS"/>
    <s v="OD"/>
    <n v="88.8"/>
    <d v="2025-03-18T00:00:00"/>
    <s v="Liaison inter-établissement vers TO "/>
    <m/>
    <e v="#N/A"/>
    <e v="#N/A"/>
    <n v="64413"/>
    <m/>
    <s v="CLOUP"/>
    <s v="Q1"/>
    <e v="#REF!"/>
    <e v="#REF!"/>
    <e v="#REF!"/>
  </r>
  <r>
    <s v="401000"/>
    <x v="6"/>
    <s v="FOURNISSEURS"/>
    <s v="OD"/>
    <n v="89.17"/>
    <d v="2025-05-07T00:00:00"/>
    <s v="Liaison inter-établissement vers TO "/>
    <m/>
    <e v="#N/A"/>
    <e v="#N/A"/>
    <n v="75131"/>
    <m/>
    <s v="AIRBNB"/>
    <s v="Q2"/>
    <e v="#REF!"/>
    <e v="#REF!"/>
    <e v="#REF!"/>
  </r>
  <r>
    <s v="401000"/>
    <x v="6"/>
    <s v="FOURNISSEURS"/>
    <s v="OD"/>
    <n v="89.65"/>
    <d v="2025-02-21T00:00:00"/>
    <s v="Liaison inter-établissement vers TO "/>
    <m/>
    <e v="#N/A"/>
    <e v="#N/A"/>
    <n v="74917"/>
    <m/>
    <s v="DHL"/>
    <s v="Q1"/>
    <e v="#REF!"/>
    <e v="#REF!"/>
    <e v="#REF!"/>
  </r>
  <r>
    <s v="401000"/>
    <x v="6"/>
    <s v="FOURNISSEURS"/>
    <s v="OD"/>
    <n v="89.99"/>
    <d v="2025-03-11T00:00:00"/>
    <s v="Liaison inter-établissement vers TO "/>
    <m/>
    <e v="#N/A"/>
    <e v="#N/A"/>
    <n v="68036"/>
    <m/>
    <s v="DB"/>
    <s v="Q1"/>
    <e v="#REF!"/>
    <e v="#REF!"/>
    <e v="#REF!"/>
  </r>
  <r>
    <s v="401000"/>
    <x v="6"/>
    <s v="FOURNISSEURS"/>
    <s v="OD"/>
    <n v="90"/>
    <d v="2025-03-14T00:00:00"/>
    <s v="Liaison inter-établissement vers TO "/>
    <m/>
    <e v="#N/A"/>
    <e v="#N/A"/>
    <n v="63909"/>
    <m/>
    <s v="TCI"/>
    <s v="Q1"/>
    <e v="#REF!"/>
    <e v="#REF!"/>
    <e v="#REF!"/>
  </r>
  <r>
    <s v="401000"/>
    <x v="6"/>
    <s v="FOURNISSEURS"/>
    <s v="OD"/>
    <n v="90"/>
    <d v="2025-08-22T00:00:00"/>
    <s v="Liaison établissement 401000 DENIOS KB"/>
    <m/>
    <e v="#N/A"/>
    <e v="#N/A"/>
    <n v="81585"/>
    <s v="COMMANDE ABSORBANT POUR LABO"/>
    <s v="DENIOS"/>
    <s v="Q3"/>
    <e v="#REF!"/>
    <e v="#REF!"/>
    <e v="#REF!"/>
  </r>
  <r>
    <s v="401000"/>
    <x v="6"/>
    <s v="FOURNISSEURS"/>
    <s v="OD"/>
    <n v="90.2"/>
    <d v="2025-04-12T00:00:00"/>
    <s v="Liaison inter-établissement vers TO "/>
    <m/>
    <e v="#N/A"/>
    <e v="#N/A"/>
    <n v="74845"/>
    <m/>
    <s v="LEROY MERLIN"/>
    <s v="Q2"/>
    <e v="#REF!"/>
    <e v="#REF!"/>
    <e v="#REF!"/>
  </r>
  <r>
    <s v="401000"/>
    <x v="6"/>
    <s v="FOURNISSEURS"/>
    <s v="OD"/>
    <n v="90.42"/>
    <d v="2025-03-20T00:00:00"/>
    <s v="Liaison inter-établissement vers TO "/>
    <m/>
    <e v="#N/A"/>
    <e v="#N/A"/>
    <n v="70070"/>
    <m/>
    <s v="RS COMPONENT"/>
    <s v="Q1"/>
    <e v="#REF!"/>
    <e v="#REF!"/>
    <e v="#REF!"/>
  </r>
  <r>
    <s v="401000"/>
    <x v="6"/>
    <s v="FOURNISSEURS"/>
    <s v="OD"/>
    <n v="91.08"/>
    <d v="2025-05-31T00:00:00"/>
    <s v="Liaison inter-établissement vers TO "/>
    <m/>
    <e v="#N/A"/>
    <e v="#N/A"/>
    <n v="78237"/>
    <m/>
    <s v="LA FOURCHE"/>
    <s v="Q2"/>
    <e v="#REF!"/>
    <e v="#REF!"/>
    <e v="#REF!"/>
  </r>
  <r>
    <s v="401000"/>
    <x v="6"/>
    <s v="FOURNISSEURS"/>
    <s v="OD"/>
    <n v="91.5"/>
    <d v="2025-07-25T00:00:00"/>
    <s v="Liaison inter-établissement vers TO "/>
    <m/>
    <e v="#N/A"/>
    <e v="#N/A"/>
    <n v="81286"/>
    <m/>
    <s v="DHL"/>
    <s v="Q3"/>
    <e v="#REF!"/>
    <e v="#REF!"/>
    <e v="#REF!"/>
  </r>
  <r>
    <s v="401000"/>
    <x v="6"/>
    <s v="FOURNISSEURS"/>
    <s v="OD"/>
    <n v="92.16"/>
    <d v="2025-08-21T00:00:00"/>
    <s v="Liaison établissement 401000 VWR KB"/>
    <m/>
    <e v="#N/A"/>
    <e v="#N/A"/>
    <n v="81531"/>
    <s v="COMMANDE CONSOMMABLES LABO"/>
    <s v="VWR AVANTOR"/>
    <s v="Q3"/>
    <e v="#REF!"/>
    <e v="#REF!"/>
    <e v="#REF!"/>
  </r>
  <r>
    <s v="401000"/>
    <x v="6"/>
    <s v="FOURNISSEURS"/>
    <s v="OD"/>
    <n v="92.67"/>
    <d v="2025-10-22T00:00:00"/>
    <s v="Liaison inter-établissement vers TO "/>
    <m/>
    <e v="#N/A"/>
    <e v="#N/A"/>
    <n v="89701"/>
    <m/>
    <s v="AIRBNB"/>
    <s v="Q4"/>
    <e v="#REF!"/>
    <e v="#REF!"/>
    <e v="#REF!"/>
  </r>
  <r>
    <s v="401000"/>
    <x v="6"/>
    <s v="FOURNISSEURS"/>
    <s v="OD"/>
    <n v="92.67"/>
    <d v="2025-11-15T00:00:00"/>
    <s v="Liaison inter-établissement vers TO "/>
    <m/>
    <e v="#N/A"/>
    <e v="#N/A"/>
    <n v="97418"/>
    <m/>
    <s v="AIRBNB"/>
    <s v="Q4"/>
    <e v="#REF!"/>
    <e v="#REF!"/>
    <e v="#REF!"/>
  </r>
  <r>
    <s v="401000"/>
    <x v="6"/>
    <s v="FOURNISSEURS"/>
    <s v="OD"/>
    <n v="93.23"/>
    <d v="2025-12-31T00:00:00"/>
    <s v="Liaison inter-établissement vers TO "/>
    <m/>
    <e v="#N/A"/>
    <e v="#N/A"/>
    <n v="93899"/>
    <m/>
    <s v="DHL"/>
    <s v="Q4"/>
    <e v="#REF!"/>
    <e v="#REF!"/>
    <e v="#REF!"/>
  </r>
  <r>
    <s v="401000"/>
    <x v="6"/>
    <s v="FOURNISSEURS"/>
    <s v="OD"/>
    <n v="93.84"/>
    <d v="2025-08-08T00:00:00"/>
    <s v="Liaison établissement 401000 ROTH RO"/>
    <m/>
    <e v="#N/A"/>
    <e v="#N/A"/>
    <n v="80785"/>
    <s v="GLYCEROL _x0009_ ETHYLENE GLYCOL_x0009_ 1 3-PROPANEDIOL_x0009_ CALCIUM CHLORIDE ANHYDROUS_x0009_ SODIUM SULFITE"/>
    <s v="ROTH SOCHIEL"/>
    <s v="Q3"/>
    <e v="#REF!"/>
    <e v="#REF!"/>
    <e v="#REF!"/>
  </r>
  <r>
    <s v="401000"/>
    <x v="6"/>
    <s v="FOURNISSEURS"/>
    <s v="OD"/>
    <n v="93.9"/>
    <d v="2025-05-07T00:00:00"/>
    <s v="Liaison établissement 401000 VWR KB"/>
    <m/>
    <e v="#N/A"/>
    <e v="#N/A"/>
    <n v="71865"/>
    <s v="COMMANDE PRODUIT LABO"/>
    <s v="VWR AVANTOR"/>
    <s v="Q2"/>
    <e v="#REF!"/>
    <e v="#REF!"/>
    <e v="#REF!"/>
  </r>
  <r>
    <s v="401000"/>
    <x v="6"/>
    <s v="FOURNISSEURS"/>
    <s v="OD"/>
    <n v="94.12"/>
    <d v="2025-04-15T00:00:00"/>
    <s v="Liaison inter-établissement vers TO "/>
    <m/>
    <e v="#N/A"/>
    <e v="#N/A"/>
    <n v="74853"/>
    <m/>
    <s v="AIRBNB"/>
    <s v="Q2"/>
    <e v="#REF!"/>
    <e v="#REF!"/>
    <e v="#REF!"/>
  </r>
  <r>
    <s v="401000"/>
    <x v="6"/>
    <s v="FOURNISSEURS"/>
    <s v="OD"/>
    <n v="94.17"/>
    <d v="2025-01-14T00:00:00"/>
    <s v="Liaison inter-établissement vers TO "/>
    <m/>
    <e v="#N/A"/>
    <e v="#N/A"/>
    <n v="66769"/>
    <m/>
    <s v="AIRBNB"/>
    <s v="Q1"/>
    <e v="#REF!"/>
    <e v="#REF!"/>
    <e v="#REF!"/>
  </r>
  <r>
    <s v="401000"/>
    <x v="6"/>
    <s v="FOURNISSEURS"/>
    <s v="OD"/>
    <n v="94.78"/>
    <d v="2025-10-28T00:00:00"/>
    <s v="Liaison inter-établissement vers TO "/>
    <m/>
    <e v="#N/A"/>
    <e v="#N/A"/>
    <n v="91627"/>
    <m/>
    <s v="CHATEAUDEAU"/>
    <s v="Q4"/>
    <e v="#REF!"/>
    <e v="#REF!"/>
    <e v="#REF!"/>
  </r>
  <r>
    <s v="401000"/>
    <x v="6"/>
    <s v="FOURNISSEURS"/>
    <s v="OD"/>
    <n v="95"/>
    <d v="2025-08-27T00:00:00"/>
    <s v="Liaison inter-établissement vers TO "/>
    <m/>
    <e v="#N/A"/>
    <e v="#N/A"/>
    <n v="83286"/>
    <m/>
    <s v="SNCF"/>
    <s v="Q3"/>
    <e v="#REF!"/>
    <e v="#REF!"/>
    <e v="#REF!"/>
  </r>
  <r>
    <s v="401000"/>
    <x v="6"/>
    <s v="FOURNISSEURS"/>
    <s v="OD"/>
    <n v="95"/>
    <d v="2025-09-27T00:00:00"/>
    <s v="Liaison inter-établissement vers TO "/>
    <m/>
    <e v="#N/A"/>
    <e v="#N/A"/>
    <n v="83170"/>
    <m/>
    <s v="SNCF"/>
    <s v="Q3"/>
    <e v="#REF!"/>
    <e v="#REF!"/>
    <e v="#REF!"/>
  </r>
  <r>
    <s v="401000"/>
    <x v="6"/>
    <s v="FOURNISSEURS"/>
    <s v="OD"/>
    <n v="95"/>
    <d v="2025-10-31T00:00:00"/>
    <s v="Liaison inter-établissement vers TO "/>
    <m/>
    <e v="#N/A"/>
    <e v="#N/A"/>
    <n v="89787"/>
    <m/>
    <s v="SNCF"/>
    <s v="Q4"/>
    <e v="#REF!"/>
    <e v="#REF!"/>
    <e v="#REF!"/>
  </r>
  <r>
    <s v="401000"/>
    <x v="6"/>
    <s v="FOURNISSEURS"/>
    <s v="OD"/>
    <n v="95"/>
    <d v="2025-11-01T00:00:00"/>
    <s v="Refund - Spendesk - SNCF"/>
    <m/>
    <e v="#N/A"/>
    <e v="#N/A"/>
    <n v="91770"/>
    <m/>
    <s v="SNCF"/>
    <s v="Q4"/>
    <e v="#REF!"/>
    <e v="#REF!"/>
    <e v="#REF!"/>
  </r>
  <r>
    <s v="401000"/>
    <x v="6"/>
    <s v="FOURNISSEURS"/>
    <s v="OD"/>
    <n v="95"/>
    <d v="2025-11-18T00:00:00"/>
    <s v="Liaison inter-établissement vers TO "/>
    <m/>
    <e v="#N/A"/>
    <e v="#N/A"/>
    <n v="91703"/>
    <m/>
    <s v="SNCF"/>
    <s v="Q4"/>
    <e v="#REF!"/>
    <e v="#REF!"/>
    <e v="#REF!"/>
  </r>
  <r>
    <s v="401000"/>
    <x v="6"/>
    <s v="FOURNISSEURS"/>
    <s v="OD"/>
    <n v="95.14"/>
    <d v="2025-02-28T00:00:00"/>
    <s v="Liaison inter-établissement vers TO "/>
    <m/>
    <e v="#N/A"/>
    <e v="#N/A"/>
    <n v="72725"/>
    <m/>
    <s v="Banque Populaire Rive de Paris"/>
    <s v="Q1"/>
    <e v="#REF!"/>
    <e v="#REF!"/>
    <e v="#REF!"/>
  </r>
  <r>
    <s v="401000"/>
    <x v="6"/>
    <s v="FOURNISSEURS"/>
    <s v="OD"/>
    <n v="95.14"/>
    <d v="2025-03-31T00:00:00"/>
    <s v="Liaison inter-établissement vers TO "/>
    <m/>
    <e v="#N/A"/>
    <e v="#N/A"/>
    <n v="72745"/>
    <m/>
    <s v="Banque Populaire Rive de Paris"/>
    <s v="Q1"/>
    <e v="#REF!"/>
    <e v="#REF!"/>
    <e v="#REF!"/>
  </r>
  <r>
    <s v="401000"/>
    <x v="6"/>
    <s v="FOURNISSEURS"/>
    <s v="OD"/>
    <n v="96"/>
    <d v="2025-11-01T00:00:00"/>
    <s v="Liaison inter-établissement vers TO "/>
    <m/>
    <s v="Non"/>
    <s v="Oui"/>
    <n v="91602"/>
    <m/>
    <s v="AXELERA"/>
    <s v="Q4"/>
    <e v="#REF!"/>
    <e v="#REF!"/>
    <e v="#REF!"/>
  </r>
  <r>
    <s v="401000"/>
    <x v="6"/>
    <s v="FOURNISSEURS"/>
    <s v="OD"/>
    <n v="96.89"/>
    <d v="2025-03-18T00:00:00"/>
    <s v="Liaison inter-établissement vers TO "/>
    <m/>
    <e v="#N/A"/>
    <e v="#N/A"/>
    <n v="64485"/>
    <m/>
    <s v="VWR AVANTOR"/>
    <s v="Q1"/>
    <e v="#REF!"/>
    <e v="#REF!"/>
    <e v="#REF!"/>
  </r>
  <r>
    <s v="401000"/>
    <x v="6"/>
    <s v="FOURNISSEURS"/>
    <s v="OD"/>
    <n v="97.98"/>
    <d v="2025-04-08T00:00:00"/>
    <s v="Liaison inter-établissement vers TO "/>
    <m/>
    <e v="#N/A"/>
    <e v="#N/A"/>
    <n v="68084"/>
    <m/>
    <s v="CHATEAUDEAU"/>
    <s v="Q2"/>
    <e v="#REF!"/>
    <e v="#REF!"/>
    <e v="#REF!"/>
  </r>
  <r>
    <s v="401000"/>
    <x v="6"/>
    <s v="FOURNISSEURS"/>
    <s v="OD"/>
    <n v="99.72"/>
    <d v="2025-09-11T00:00:00"/>
    <s v="Liaison inter-établissement vers TO "/>
    <m/>
    <e v="#N/A"/>
    <e v="#N/A"/>
    <n v="83390"/>
    <m/>
    <s v="RAPTOR FRANCE"/>
    <s v="Q3"/>
    <e v="#REF!"/>
    <e v="#REF!"/>
    <e v="#REF!"/>
  </r>
  <r>
    <s v="401000"/>
    <x v="6"/>
    <s v="FOURNISSEURS"/>
    <s v="OD"/>
    <n v="100.16"/>
    <d v="2025-01-07T00:00:00"/>
    <s v="Liaison inter-établissement vers TO "/>
    <m/>
    <e v="#N/A"/>
    <e v="#N/A"/>
    <n v="63503"/>
    <m/>
    <s v="AIRBNB"/>
    <s v="Q1"/>
    <e v="#REF!"/>
    <e v="#REF!"/>
    <e v="#REF!"/>
  </r>
  <r>
    <s v="401000"/>
    <x v="6"/>
    <s v="FOURNISSEURS"/>
    <s v="OD"/>
    <n v="101.16"/>
    <d v="2025-01-30T00:00:00"/>
    <s v="Liaison inter-établissement vers TO "/>
    <m/>
    <e v="#N/A"/>
    <e v="#N/A"/>
    <n v="63587"/>
    <m/>
    <s v="BOHLENDER"/>
    <s v="Q1"/>
    <e v="#REF!"/>
    <e v="#REF!"/>
    <e v="#REF!"/>
  </r>
  <r>
    <s v="401000"/>
    <x v="6"/>
    <s v="FOURNISSEURS"/>
    <s v="OD"/>
    <n v="101.76"/>
    <d v="2025-05-07T00:00:00"/>
    <s v="Liaison établissement 401000 VWR KB"/>
    <m/>
    <e v="#N/A"/>
    <e v="#N/A"/>
    <n v="71840"/>
    <s v="COMMANDE PRODUIT LABO"/>
    <s v="VWR AVANTOR"/>
    <s v="Q2"/>
    <e v="#REF!"/>
    <e v="#REF!"/>
    <e v="#REF!"/>
  </r>
  <r>
    <s v="401000"/>
    <x v="6"/>
    <s v="FOURNISSEURS"/>
    <s v="OD"/>
    <n v="101.8"/>
    <d v="2025-12-02T00:00:00"/>
    <s v="Liaison inter-établissement vers TO "/>
    <m/>
    <e v="#N/A"/>
    <e v="#N/A"/>
    <n v="94118"/>
    <m/>
    <s v="SNCF"/>
    <s v="Q4"/>
    <e v="#REF!"/>
    <e v="#REF!"/>
    <e v="#REF!"/>
  </r>
  <r>
    <s v="401000"/>
    <x v="6"/>
    <s v="FOURNISSEURS"/>
    <s v="OD"/>
    <n v="102"/>
    <d v="2025-06-26T00:00:00"/>
    <s v="Liaison inter-établissement vers TO "/>
    <m/>
    <e v="#N/A"/>
    <e v="#N/A"/>
    <n v="78126"/>
    <m/>
    <s v="SNCF"/>
    <s v="Q2"/>
    <e v="#REF!"/>
    <e v="#REF!"/>
    <e v="#REF!"/>
  </r>
  <r>
    <s v="401000"/>
    <x v="6"/>
    <s v="FOURNISSEURS"/>
    <s v="OD"/>
    <n v="102"/>
    <d v="2025-07-31T00:00:00"/>
    <s v="Liaison établissement 401000 VWR KB"/>
    <m/>
    <e v="#N/A"/>
    <e v="#N/A"/>
    <n v="79330"/>
    <s v="COMMANDE PRODUIT POUR LABO"/>
    <s v="VWR AVANTOR"/>
    <s v="Q3"/>
    <e v="#REF!"/>
    <e v="#REF!"/>
    <e v="#REF!"/>
  </r>
  <r>
    <s v="401000"/>
    <x v="6"/>
    <s v="FOURNISSEURS"/>
    <s v="OD"/>
    <n v="102.98"/>
    <d v="2025-06-25T00:00:00"/>
    <s v="Liaison inter-établissement vers TO "/>
    <m/>
    <e v="#N/A"/>
    <e v="#N/A"/>
    <n v="82222"/>
    <m/>
    <s v="BRUNEAU"/>
    <s v="Q2"/>
    <e v="#REF!"/>
    <e v="#REF!"/>
    <e v="#REF!"/>
  </r>
  <r>
    <s v="401000"/>
    <x v="6"/>
    <s v="FOURNISSEURS"/>
    <s v="OD"/>
    <n v="104"/>
    <d v="2025-10-31T00:00:00"/>
    <s v="Liaison établissement 401000 BLD PHARMATECH KB"/>
    <m/>
    <e v="#N/A"/>
    <e v="#N/A"/>
    <n v="87528"/>
    <s v="INGM232808"/>
    <s v="BLD PHARMATECH"/>
    <s v="Q4"/>
    <e v="#REF!"/>
    <e v="#REF!"/>
    <e v="#REF!"/>
  </r>
  <r>
    <s v="401000"/>
    <x v="6"/>
    <s v="FOURNISSEURS"/>
    <s v="OD"/>
    <n v="104.72"/>
    <d v="2025-10-31T00:00:00"/>
    <s v="Liaison établissement 401000 VWR KB"/>
    <m/>
    <e v="#N/A"/>
    <e v="#N/A"/>
    <n v="87569"/>
    <s v="SOLVANT LABO"/>
    <s v="VWR AVANTOR"/>
    <s v="Q4"/>
    <e v="#REF!"/>
    <e v="#REF!"/>
    <e v="#REF!"/>
  </r>
  <r>
    <s v="401000"/>
    <x v="6"/>
    <s v="FOURNISSEURS"/>
    <s v="OD"/>
    <n v="105.5"/>
    <d v="2025-07-31T00:00:00"/>
    <s v="Liaison établissement 401000 VWR KB"/>
    <m/>
    <e v="#N/A"/>
    <e v="#N/A"/>
    <n v="79325"/>
    <s v="COMMANDE SOLVANT LABO"/>
    <s v="VWR AVANTOR"/>
    <s v="Q3"/>
    <e v="#REF!"/>
    <e v="#REF!"/>
    <e v="#REF!"/>
  </r>
  <r>
    <s v="401000"/>
    <x v="6"/>
    <s v="FOURNISSEURS"/>
    <s v="OD"/>
    <n v="106.39"/>
    <d v="2025-02-07T00:00:00"/>
    <s v="Liaison inter-établissement vers TO "/>
    <m/>
    <e v="#N/A"/>
    <e v="#N/A"/>
    <n v="64257"/>
    <m/>
    <s v="BOHLENDER"/>
    <s v="Q1"/>
    <e v="#REF!"/>
    <e v="#REF!"/>
    <e v="#REF!"/>
  </r>
  <r>
    <s v="401000"/>
    <x v="6"/>
    <s v="FOURNISSEURS"/>
    <s v="OD"/>
    <n v="106.5"/>
    <d v="2025-03-19T00:00:00"/>
    <s v="Liaison inter-établissement vers TO "/>
    <m/>
    <e v="#N/A"/>
    <e v="#N/A"/>
    <n v="70066"/>
    <m/>
    <s v="RS COMPONENT"/>
    <s v="Q1"/>
    <e v="#REF!"/>
    <e v="#REF!"/>
    <e v="#REF!"/>
  </r>
  <r>
    <s v="401000"/>
    <x v="6"/>
    <s v="FOURNISSEURS"/>
    <s v="OD"/>
    <n v="106.82"/>
    <d v="2025-12-12T00:00:00"/>
    <s v="Liaison inter-établissement vers TO "/>
    <m/>
    <e v="#N/A"/>
    <e v="#N/A"/>
    <n v="94066"/>
    <m/>
    <s v="BRUNEAU"/>
    <s v="Q4"/>
    <e v="#REF!"/>
    <e v="#REF!"/>
    <e v="#REF!"/>
  </r>
  <r>
    <s v="401000"/>
    <x v="6"/>
    <s v="FOURNISSEURS"/>
    <s v="OD"/>
    <n v="107.17"/>
    <d v="2025-05-16T00:00:00"/>
    <s v="Liaison inter-établissement vers TO "/>
    <m/>
    <e v="#N/A"/>
    <e v="#N/A"/>
    <n v="74945"/>
    <m/>
    <s v="DHL"/>
    <s v="Q2"/>
    <e v="#REF!"/>
    <e v="#REF!"/>
    <e v="#REF!"/>
  </r>
  <r>
    <s v="401000"/>
    <x v="6"/>
    <s v="FOURNISSEURS"/>
    <s v="OD"/>
    <n v="107.39"/>
    <d v="2025-11-07T00:00:00"/>
    <s v="Liaison établissement 401000 VWR KB"/>
    <m/>
    <e v="#N/A"/>
    <e v="#N/A"/>
    <n v="89427"/>
    <s v="4067821368"/>
    <s v="VWR AVANTOR"/>
    <s v="Q4"/>
    <e v="#REF!"/>
    <e v="#REF!"/>
    <e v="#REF!"/>
  </r>
  <r>
    <s v="401000"/>
    <x v="6"/>
    <s v="FOURNISSEURS"/>
    <s v="OD"/>
    <n v="107.64"/>
    <d v="2025-04-28T00:00:00"/>
    <s v="Liaison inter-établissement vers TO "/>
    <m/>
    <e v="#N/A"/>
    <e v="#N/A"/>
    <n v="74865"/>
    <m/>
    <s v="ARCANE INDUSTRIE"/>
    <s v="Q2"/>
    <e v="#REF!"/>
    <e v="#REF!"/>
    <e v="#REF!"/>
  </r>
  <r>
    <s v="401000"/>
    <x v="6"/>
    <s v="FOURNISSEURS"/>
    <s v="OD"/>
    <n v="107.99"/>
    <d v="2025-02-04T00:00:00"/>
    <s v="Liaison inter-établissement vers TO "/>
    <m/>
    <e v="#N/A"/>
    <e v="#N/A"/>
    <n v="71397"/>
    <m/>
    <s v="DATACAMPUS"/>
    <s v="Q1"/>
    <e v="#REF!"/>
    <e v="#REF!"/>
    <e v="#REF!"/>
  </r>
  <r>
    <s v="401000"/>
    <x v="6"/>
    <s v="FOURNISSEURS"/>
    <s v="OD"/>
    <n v="107.99"/>
    <d v="2025-02-19T00:00:00"/>
    <s v="Liaison inter-établissement vers TO "/>
    <m/>
    <e v="#N/A"/>
    <e v="#N/A"/>
    <n v="71401"/>
    <m/>
    <s v="DATACAMPUS"/>
    <s v="Q1"/>
    <e v="#REF!"/>
    <e v="#REF!"/>
    <e v="#REF!"/>
  </r>
  <r>
    <s v="401000"/>
    <x v="6"/>
    <s v="FOURNISSEURS"/>
    <s v="OD"/>
    <n v="107.99"/>
    <d v="2025-03-21T00:00:00"/>
    <s v="Liaison inter-établissement vers TO "/>
    <m/>
    <e v="#N/A"/>
    <e v="#N/A"/>
    <n v="71405"/>
    <m/>
    <s v="DATACAMPUS"/>
    <s v="Q1"/>
    <e v="#REF!"/>
    <e v="#REF!"/>
    <e v="#REF!"/>
  </r>
  <r>
    <s v="401000"/>
    <x v="6"/>
    <s v="FOURNISSEURS"/>
    <s v="OD"/>
    <n v="107.99"/>
    <d v="2025-04-24T00:00:00"/>
    <s v="Liaison inter-établissement vers TO "/>
    <m/>
    <e v="#N/A"/>
    <e v="#N/A"/>
    <n v="70098"/>
    <m/>
    <s v="DATACAMPUS"/>
    <s v="Q2"/>
    <e v="#REF!"/>
    <e v="#REF!"/>
    <e v="#REF!"/>
  </r>
  <r>
    <s v="401000"/>
    <x v="6"/>
    <s v="FOURNISSEURS"/>
    <s v="OD"/>
    <n v="107.99"/>
    <d v="2025-05-21T00:00:00"/>
    <s v="Liaison inter-établissement vers TO "/>
    <m/>
    <e v="#N/A"/>
    <e v="#N/A"/>
    <n v="74076"/>
    <m/>
    <s v="DATACAMPUS"/>
    <s v="Q2"/>
    <e v="#REF!"/>
    <e v="#REF!"/>
    <e v="#REF!"/>
  </r>
  <r>
    <s v="401000"/>
    <x v="6"/>
    <s v="FOURNISSEURS"/>
    <s v="OD"/>
    <n v="107.99"/>
    <d v="2025-06-19T00:00:00"/>
    <s v="Liaison inter-établissement vers TO "/>
    <m/>
    <e v="#N/A"/>
    <e v="#N/A"/>
    <n v="76223"/>
    <m/>
    <s v="DATACAMPUS"/>
    <s v="Q2"/>
    <e v="#REF!"/>
    <e v="#REF!"/>
    <e v="#REF!"/>
  </r>
  <r>
    <s v="401000"/>
    <x v="6"/>
    <s v="FOURNISSEURS"/>
    <s v="OD"/>
    <n v="107.99"/>
    <d v="2025-07-09T00:00:00"/>
    <s v="Liaison inter-établissement vers TO "/>
    <m/>
    <e v="#N/A"/>
    <e v="#N/A"/>
    <n v="78874"/>
    <m/>
    <s v="DATACAMPUS"/>
    <s v="Q3"/>
    <e v="#REF!"/>
    <e v="#REF!"/>
    <e v="#REF!"/>
  </r>
  <r>
    <s v="401000"/>
    <x v="6"/>
    <s v="FOURNISSEURS"/>
    <s v="OD"/>
    <n v="107.99"/>
    <d v="2025-08-25T00:00:00"/>
    <s v="Liaison inter-établissement vers TO "/>
    <m/>
    <e v="#N/A"/>
    <e v="#N/A"/>
    <n v="82820"/>
    <m/>
    <s v="DATACAMPUS"/>
    <s v="Q3"/>
    <e v="#REF!"/>
    <e v="#REF!"/>
    <e v="#REF!"/>
  </r>
  <r>
    <s v="401000"/>
    <x v="6"/>
    <s v="FOURNISSEURS"/>
    <s v="OD"/>
    <n v="107.99"/>
    <d v="2025-09-25T00:00:00"/>
    <s v="Liaison inter-établissement vers TO "/>
    <m/>
    <e v="#N/A"/>
    <e v="#N/A"/>
    <n v="82824"/>
    <m/>
    <s v="DATACAMPUS"/>
    <s v="Q3"/>
    <e v="#REF!"/>
    <e v="#REF!"/>
    <e v="#REF!"/>
  </r>
  <r>
    <s v="401000"/>
    <x v="6"/>
    <s v="FOURNISSEURS"/>
    <s v="OD"/>
    <n v="107.99"/>
    <d v="2025-10-17T00:00:00"/>
    <s v="Liaison inter-établissement vers TO "/>
    <m/>
    <e v="#N/A"/>
    <e v="#N/A"/>
    <n v="89336"/>
    <m/>
    <s v="DATACAMPUS"/>
    <s v="Q4"/>
    <e v="#REF!"/>
    <e v="#REF!"/>
    <e v="#REF!"/>
  </r>
  <r>
    <s v="401000"/>
    <x v="6"/>
    <s v="FOURNISSEURS"/>
    <s v="OD"/>
    <n v="107.99"/>
    <d v="2025-11-19T00:00:00"/>
    <s v="Liaison inter-établissement vers TO "/>
    <m/>
    <e v="#N/A"/>
    <e v="#N/A"/>
    <n v="90565"/>
    <m/>
    <s v="DATACAMPUS"/>
    <s v="Q4"/>
    <e v="#REF!"/>
    <e v="#REF!"/>
    <e v="#REF!"/>
  </r>
  <r>
    <s v="401000"/>
    <x v="6"/>
    <s v="FOURNISSEURS"/>
    <s v="OD"/>
    <n v="107.99"/>
    <d v="2025-12-18T00:00:00"/>
    <s v="Liaison inter-établissement vers TO "/>
    <m/>
    <e v="#N/A"/>
    <e v="#N/A"/>
    <n v="93716"/>
    <m/>
    <s v="DATACAMPUS"/>
    <s v="Q4"/>
    <e v="#REF!"/>
    <e v="#REF!"/>
    <e v="#REF!"/>
  </r>
  <r>
    <s v="401000"/>
    <x v="6"/>
    <s v="FOURNISSEURS"/>
    <s v="OD"/>
    <n v="108"/>
    <d v="2025-03-28T00:00:00"/>
    <s v="Liaison inter-établissement vers TO "/>
    <m/>
    <e v="#N/A"/>
    <e v="#N/A"/>
    <n v="68020"/>
    <m/>
    <s v="BLD PHARMATECH"/>
    <s v="Q1"/>
    <e v="#REF!"/>
    <e v="#REF!"/>
    <e v="#REF!"/>
  </r>
  <r>
    <s v="401000"/>
    <x v="6"/>
    <s v="FOURNISSEURS"/>
    <s v="OD"/>
    <n v="108.26"/>
    <d v="2025-11-01T00:00:00"/>
    <s v="Refund - Spendesk - Airfrance"/>
    <m/>
    <e v="#N/A"/>
    <e v="#N/A"/>
    <n v="91768"/>
    <m/>
    <s v="AIR FRANCE"/>
    <s v="Q4"/>
    <e v="#REF!"/>
    <e v="#REF!"/>
    <e v="#REF!"/>
  </r>
  <r>
    <s v="401000"/>
    <x v="6"/>
    <s v="FOURNISSEURS"/>
    <s v="OD"/>
    <n v="108.45"/>
    <d v="2025-03-10T00:00:00"/>
    <s v="Liaison inter-établissement vers TO "/>
    <m/>
    <e v="#N/A"/>
    <e v="#N/A"/>
    <n v="74968"/>
    <m/>
    <s v="ENGIE"/>
    <s v="Q1"/>
    <e v="#REF!"/>
    <e v="#REF!"/>
    <e v="#REF!"/>
  </r>
  <r>
    <s v="401000"/>
    <x v="6"/>
    <s v="FOURNISSEURS"/>
    <s v="OD"/>
    <n v="108.81"/>
    <d v="2025-08-22T00:00:00"/>
    <s v="Liaison inter-établissement vers TO "/>
    <m/>
    <e v="#N/A"/>
    <e v="#N/A"/>
    <n v="83254"/>
    <m/>
    <s v="BRUNEAU"/>
    <s v="Q3"/>
    <e v="#REF!"/>
    <e v="#REF!"/>
    <e v="#REF!"/>
  </r>
  <r>
    <s v="401000"/>
    <x v="6"/>
    <s v="FOURNISSEURS"/>
    <s v="OD"/>
    <n v="109"/>
    <d v="2025-03-19T00:00:00"/>
    <s v="Liaison inter-établissement vers TO "/>
    <m/>
    <e v="#N/A"/>
    <e v="#N/A"/>
    <n v="70026"/>
    <m/>
    <s v="SNCF"/>
    <s v="Q1"/>
    <e v="#REF!"/>
    <e v="#REF!"/>
    <e v="#REF!"/>
  </r>
  <r>
    <s v="401000"/>
    <x v="6"/>
    <s v="FOURNISSEURS"/>
    <s v="OD"/>
    <n v="109"/>
    <d v="2025-05-07T00:00:00"/>
    <s v="Liaison inter-établissement vers TO "/>
    <m/>
    <e v="#N/A"/>
    <e v="#N/A"/>
    <n v="78154"/>
    <m/>
    <s v="SNCF"/>
    <s v="Q2"/>
    <e v="#REF!"/>
    <e v="#REF!"/>
    <e v="#REF!"/>
  </r>
  <r>
    <s v="401000"/>
    <x v="6"/>
    <s v="FOURNISSEURS"/>
    <s v="OD"/>
    <n v="109"/>
    <d v="2025-05-13T00:00:00"/>
    <s v="Liaison inter-établissement vers TO "/>
    <m/>
    <e v="#N/A"/>
    <e v="#N/A"/>
    <n v="78162"/>
    <m/>
    <s v="SNCF"/>
    <s v="Q2"/>
    <e v="#REF!"/>
    <e v="#REF!"/>
    <e v="#REF!"/>
  </r>
  <r>
    <s v="401000"/>
    <x v="6"/>
    <s v="FOURNISSEURS"/>
    <s v="OD"/>
    <n v="109"/>
    <d v="2025-12-09T00:00:00"/>
    <s v="Liaison inter-établissement vers TO "/>
    <m/>
    <e v="#N/A"/>
    <e v="#N/A"/>
    <n v="94130"/>
    <m/>
    <s v="SNCF"/>
    <s v="Q4"/>
    <e v="#REF!"/>
    <e v="#REF!"/>
    <e v="#REF!"/>
  </r>
  <r>
    <s v="401000"/>
    <x v="6"/>
    <s v="FOURNISSEURS"/>
    <s v="OD"/>
    <n v="109"/>
    <d v="2025-12-11T00:00:00"/>
    <s v="Liaison inter-établissement vers TO "/>
    <m/>
    <e v="#N/A"/>
    <e v="#N/A"/>
    <n v="94142"/>
    <m/>
    <s v="SNCF"/>
    <s v="Q4"/>
    <e v="#REF!"/>
    <e v="#REF!"/>
    <e v="#REF!"/>
  </r>
  <r>
    <s v="401000"/>
    <x v="6"/>
    <s v="FOURNISSEURS"/>
    <s v="OD"/>
    <n v="110.17"/>
    <d v="2025-09-26T00:00:00"/>
    <s v="Liaison inter-établissement vers TO "/>
    <m/>
    <e v="#N/A"/>
    <e v="#N/A"/>
    <n v="89737"/>
    <m/>
    <s v="BOOKING"/>
    <s v="Q3"/>
    <e v="#REF!"/>
    <e v="#REF!"/>
    <e v="#REF!"/>
  </r>
  <r>
    <s v="401000"/>
    <x v="6"/>
    <s v="FOURNISSEURS"/>
    <s v="OD"/>
    <n v="110.52"/>
    <d v="2025-07-09T00:00:00"/>
    <s v="Liaison établissement 401000 SIGMA RO"/>
    <m/>
    <e v="#N/A"/>
    <e v="#N/A"/>
    <n v="77235"/>
    <s v="PRODUITS POUR VBIO ET V2020 AMINOIMINOMETHANESULFINIC ACID IRON II SULFATE HEPTAHYDRATE"/>
    <s v="Sigma-Aldrich chimie"/>
    <s v="Q3"/>
    <e v="#REF!"/>
    <e v="#REF!"/>
    <e v="#REF!"/>
  </r>
  <r>
    <s v="401000"/>
    <x v="6"/>
    <s v="FOURNISSEURS"/>
    <s v="OD"/>
    <n v="110.59"/>
    <d v="2025-08-21T00:00:00"/>
    <s v="Liaison établissement 401000 VWR KB"/>
    <m/>
    <e v="#N/A"/>
    <e v="#N/A"/>
    <n v="81526"/>
    <s v="COMMANDE CONSOMMABLES LABO"/>
    <s v="VWR AVANTOR"/>
    <s v="Q3"/>
    <e v="#REF!"/>
    <e v="#REF!"/>
    <e v="#REF!"/>
  </r>
  <r>
    <s v="401000"/>
    <x v="6"/>
    <s v="FOURNISSEURS"/>
    <s v="OD"/>
    <n v="111"/>
    <d v="2025-04-09T00:00:00"/>
    <s v="Liaison inter-établissement vers TO "/>
    <m/>
    <e v="#N/A"/>
    <e v="#N/A"/>
    <n v="78166"/>
    <m/>
    <s v="SNCF"/>
    <s v="Q2"/>
    <e v="#REF!"/>
    <e v="#REF!"/>
    <e v="#REF!"/>
  </r>
  <r>
    <s v="401000"/>
    <x v="6"/>
    <s v="FOURNISSEURS"/>
    <s v="OD"/>
    <n v="111.05"/>
    <d v="2025-02-22T00:00:00"/>
    <s v="Liaison inter-établissement vers TO "/>
    <m/>
    <e v="#N/A"/>
    <e v="#N/A"/>
    <n v="64273"/>
    <m/>
    <s v="CHATEAUDEAU"/>
    <s v="Q1"/>
    <e v="#REF!"/>
    <e v="#REF!"/>
    <e v="#REF!"/>
  </r>
  <r>
    <s v="401000"/>
    <x v="6"/>
    <s v="FOURNISSEURS"/>
    <s v="OD"/>
    <n v="111.45"/>
    <d v="2025-03-29T00:00:00"/>
    <s v="Liaison inter-établissement vers TO "/>
    <m/>
    <e v="#N/A"/>
    <e v="#N/A"/>
    <n v="71393"/>
    <m/>
    <s v="AIRBNB"/>
    <s v="Q1"/>
    <e v="#REF!"/>
    <e v="#REF!"/>
    <e v="#REF!"/>
  </r>
  <r>
    <s v="401000"/>
    <x v="6"/>
    <s v="FOURNISSEURS"/>
    <s v="OD"/>
    <n v="111.52"/>
    <d v="2025-04-30T00:00:00"/>
    <s v="REGUL COMPTE ORANGE"/>
    <m/>
    <e v="#N/A"/>
    <e v="#N/A"/>
    <n v="90092"/>
    <m/>
    <s v="ORANGE"/>
    <s v="Q2"/>
    <e v="#REF!"/>
    <e v="#REF!"/>
    <e v="#REF!"/>
  </r>
  <r>
    <s v="401000"/>
    <x v="6"/>
    <s v="FOURNISSEURS"/>
    <s v="OD"/>
    <n v="111.83"/>
    <d v="2025-07-12T00:00:00"/>
    <s v="Liaison inter-établissement vers TO "/>
    <m/>
    <e v="#N/A"/>
    <e v="#N/A"/>
    <n v="81035"/>
    <m/>
    <s v="RS COMPONENT"/>
    <s v="Q3"/>
    <e v="#REF!"/>
    <e v="#REF!"/>
    <e v="#REF!"/>
  </r>
  <r>
    <s v="401000"/>
    <x v="6"/>
    <s v="FOURNISSEURS"/>
    <s v="OD"/>
    <n v="112.8"/>
    <d v="2025-04-25T00:00:00"/>
    <s v="Liaison établissement 401000 DENIOS RO"/>
    <m/>
    <e v="#N/A"/>
    <e v="#N/A"/>
    <n v="70166"/>
    <s v="Invoice Payment by Pili"/>
    <s v="DENIOS"/>
    <s v="Q2"/>
    <e v="#REF!"/>
    <e v="#REF!"/>
    <e v="#REF!"/>
  </r>
  <r>
    <s v="401000"/>
    <x v="6"/>
    <s v="FOURNISSEURS"/>
    <s v="OD"/>
    <n v="113"/>
    <d v="2025-04-28T00:00:00"/>
    <s v="Liaison inter-établissement vers TO "/>
    <m/>
    <e v="#N/A"/>
    <e v="#N/A"/>
    <n v="74789"/>
    <m/>
    <s v="SNCF"/>
    <s v="Q2"/>
    <e v="#REF!"/>
    <e v="#REF!"/>
    <e v="#REF!"/>
  </r>
  <r>
    <s v="401000"/>
    <x v="6"/>
    <s v="FOURNISSEURS"/>
    <s v="OD"/>
    <n v="113.26"/>
    <d v="2025-04-25T00:00:00"/>
    <s v="Liaison établissement 401000 AIRLIQUIDE RO"/>
    <m/>
    <e v="#N/A"/>
    <e v="#N/A"/>
    <n v="70126"/>
    <s v="Invoice Payment by Pili"/>
    <s v="AIR LIQUIDE"/>
    <s v="Q2"/>
    <e v="#REF!"/>
    <e v="#REF!"/>
    <e v="#REF!"/>
  </r>
  <r>
    <s v="401000"/>
    <x v="6"/>
    <s v="FOURNISSEURS"/>
    <s v="OD"/>
    <n v="113.74"/>
    <d v="2025-12-19T00:00:00"/>
    <s v="Liaison inter-établissement vers TO "/>
    <m/>
    <e v="#N/A"/>
    <e v="#N/A"/>
    <n v="92924"/>
    <m/>
    <s v="DHL"/>
    <s v="Q4"/>
    <e v="#REF!"/>
    <e v="#REF!"/>
    <e v="#REF!"/>
  </r>
  <r>
    <s v="401000"/>
    <x v="6"/>
    <s v="FOURNISSEURS"/>
    <s v="OD"/>
    <n v="114.21"/>
    <d v="2025-04-07T00:00:00"/>
    <s v="Liaison inter-établissement vers TO "/>
    <m/>
    <e v="#N/A"/>
    <e v="#N/A"/>
    <n v="72766"/>
    <m/>
    <s v="ENGIE"/>
    <s v="Q2"/>
    <e v="#REF!"/>
    <e v="#REF!"/>
    <e v="#REF!"/>
  </r>
  <r>
    <s v="401000"/>
    <x v="6"/>
    <s v="FOURNISSEURS"/>
    <s v="OD"/>
    <n v="114.38"/>
    <d v="2025-03-25T00:00:00"/>
    <s v="Liaison inter-établissement vers TO "/>
    <m/>
    <e v="#N/A"/>
    <e v="#N/A"/>
    <n v="70050"/>
    <m/>
    <s v="MANUTAN"/>
    <s v="Q1"/>
    <e v="#REF!"/>
    <e v="#REF!"/>
    <e v="#REF!"/>
  </r>
  <r>
    <s v="401000"/>
    <x v="6"/>
    <s v="FOURNISSEURS"/>
    <s v="OD"/>
    <n v="115.21"/>
    <d v="2025-07-05T00:00:00"/>
    <s v="Liaison inter-établissement vers TO "/>
    <m/>
    <e v="#N/A"/>
    <e v="#N/A"/>
    <n v="85066"/>
    <m/>
    <s v="CASTORAMA"/>
    <s v="Q3"/>
    <e v="#REF!"/>
    <e v="#REF!"/>
    <e v="#REF!"/>
  </r>
  <r>
    <s v="401000"/>
    <x v="6"/>
    <s v="FOURNISSEURS"/>
    <s v="OD"/>
    <n v="115.61"/>
    <d v="2025-10-12T00:00:00"/>
    <s v="Liaison inter-établissement vers TO "/>
    <s v="Non"/>
    <s v="Non"/>
    <e v="#N/A"/>
    <n v="89685"/>
    <m/>
    <s v="LINKEDIN"/>
    <s v="Q4"/>
    <e v="#REF!"/>
    <e v="#REF!"/>
    <e v="#REF!"/>
  </r>
  <r>
    <s v="401000"/>
    <x v="6"/>
    <s v="FOURNISSEURS"/>
    <s v="OD"/>
    <n v="116"/>
    <d v="2025-01-14T00:00:00"/>
    <s v="Liaison inter-établissement vers TO "/>
    <m/>
    <e v="#N/A"/>
    <e v="#N/A"/>
    <n v="63889"/>
    <m/>
    <s v="SNCF"/>
    <s v="Q1"/>
    <e v="#REF!"/>
    <e v="#REF!"/>
    <e v="#REF!"/>
  </r>
  <r>
    <s v="401000"/>
    <x v="6"/>
    <s v="FOURNISSEURS"/>
    <s v="OD"/>
    <n v="116"/>
    <d v="2025-01-21T00:00:00"/>
    <s v="Liaison inter-établissement vers TO "/>
    <m/>
    <e v="#N/A"/>
    <e v="#N/A"/>
    <n v="63893"/>
    <m/>
    <s v="SNCF"/>
    <s v="Q1"/>
    <e v="#REF!"/>
    <e v="#REF!"/>
    <e v="#REF!"/>
  </r>
  <r>
    <s v="401000"/>
    <x v="6"/>
    <s v="FOURNISSEURS"/>
    <s v="OD"/>
    <n v="116"/>
    <d v="2025-02-12T00:00:00"/>
    <s v="Liaison inter-établissement vers TO "/>
    <m/>
    <e v="#N/A"/>
    <e v="#N/A"/>
    <n v="64377"/>
    <m/>
    <s v="SNCF"/>
    <s v="Q1"/>
    <e v="#REF!"/>
    <e v="#REF!"/>
    <e v="#REF!"/>
  </r>
  <r>
    <s v="401000"/>
    <x v="6"/>
    <s v="FOURNISSEURS"/>
    <s v="OD"/>
    <n v="116"/>
    <d v="2025-05-13T00:00:00"/>
    <s v="Liaison inter-établissement vers TO "/>
    <m/>
    <e v="#N/A"/>
    <e v="#N/A"/>
    <n v="78158"/>
    <m/>
    <s v="SNCF"/>
    <s v="Q2"/>
    <e v="#REF!"/>
    <e v="#REF!"/>
    <e v="#REF!"/>
  </r>
  <r>
    <s v="401000"/>
    <x v="6"/>
    <s v="FOURNISSEURS"/>
    <s v="OD"/>
    <n v="116"/>
    <d v="2025-10-11T00:00:00"/>
    <s v="Liaison inter-établissement vers TO "/>
    <m/>
    <e v="#N/A"/>
    <e v="#N/A"/>
    <n v="89795"/>
    <m/>
    <s v="SNCF"/>
    <s v="Q4"/>
    <e v="#REF!"/>
    <e v="#REF!"/>
    <e v="#REF!"/>
  </r>
  <r>
    <s v="401000"/>
    <x v="6"/>
    <s v="FOURNISSEURS"/>
    <s v="OD"/>
    <n v="116"/>
    <d v="2025-10-30T00:00:00"/>
    <s v="Liaison inter-établissement vers TO "/>
    <m/>
    <e v="#N/A"/>
    <e v="#N/A"/>
    <n v="91683"/>
    <m/>
    <s v="SNCF"/>
    <s v="Q4"/>
    <e v="#REF!"/>
    <e v="#REF!"/>
    <e v="#REF!"/>
  </r>
  <r>
    <s v="401000"/>
    <x v="6"/>
    <s v="FOURNISSEURS"/>
    <s v="OD"/>
    <n v="116"/>
    <d v="2025-11-01T00:00:00"/>
    <s v="DÉPLACEMENT TOULOUSE NOVEMBRE"/>
    <m/>
    <e v="#N/A"/>
    <e v="#N/A"/>
    <n v="91790"/>
    <m/>
    <s v="SNCF"/>
    <s v="Q4"/>
    <e v="#REF!"/>
    <e v="#REF!"/>
    <e v="#REF!"/>
  </r>
  <r>
    <s v="401000"/>
    <x v="6"/>
    <s v="FOURNISSEURS"/>
    <s v="OD"/>
    <n v="116"/>
    <d v="2025-11-01T00:00:00"/>
    <s v="Liaison inter-établissement vers TO "/>
    <m/>
    <e v="#N/A"/>
    <e v="#N/A"/>
    <n v="91799"/>
    <m/>
    <s v="SNCF"/>
    <s v="Q4"/>
    <e v="#REF!"/>
    <e v="#REF!"/>
    <e v="#REF!"/>
  </r>
  <r>
    <s v="401000"/>
    <x v="6"/>
    <s v="FOURNISSEURS"/>
    <s v="OD"/>
    <n v="116"/>
    <d v="2025-11-02T00:00:00"/>
    <s v="Liaison inter-établissement vers TO "/>
    <m/>
    <e v="#N/A"/>
    <e v="#N/A"/>
    <n v="91691"/>
    <m/>
    <s v="SNCF"/>
    <s v="Q4"/>
    <e v="#REF!"/>
    <e v="#REF!"/>
    <e v="#REF!"/>
  </r>
  <r>
    <s v="401000"/>
    <x v="6"/>
    <s v="FOURNISSEURS"/>
    <s v="OD"/>
    <n v="116"/>
    <d v="2025-11-29T00:00:00"/>
    <s v="Liaison inter-établissement vers TO "/>
    <m/>
    <e v="#N/A"/>
    <e v="#N/A"/>
    <n v="91707"/>
    <m/>
    <s v="SNCF"/>
    <s v="Q4"/>
    <e v="#REF!"/>
    <e v="#REF!"/>
    <e v="#REF!"/>
  </r>
  <r>
    <s v="401000"/>
    <x v="6"/>
    <s v="FOURNISSEURS"/>
    <s v="OD"/>
    <n v="116"/>
    <d v="2025-11-29T00:00:00"/>
    <s v="Liaison inter-établissement vers TO "/>
    <m/>
    <e v="#N/A"/>
    <e v="#N/A"/>
    <n v="91711"/>
    <m/>
    <s v="SNCF"/>
    <s v="Q4"/>
    <e v="#REF!"/>
    <e v="#REF!"/>
    <e v="#REF!"/>
  </r>
  <r>
    <s v="401000"/>
    <x v="6"/>
    <s v="FOURNISSEURS"/>
    <s v="OD"/>
    <n v="116.5"/>
    <d v="2025-03-11T00:00:00"/>
    <s v="Liaison inter-établissement vers TO "/>
    <m/>
    <e v="#N/A"/>
    <e v="#N/A"/>
    <n v="70018"/>
    <m/>
    <s v="SNCF"/>
    <s v="Q1"/>
    <e v="#REF!"/>
    <e v="#REF!"/>
    <e v="#REF!"/>
  </r>
  <r>
    <s v="401000"/>
    <x v="6"/>
    <s v="FOURNISSEURS"/>
    <s v="OD"/>
    <n v="116.53"/>
    <d v="2025-09-19T00:00:00"/>
    <s v="Liaison inter-établissement vers TO "/>
    <m/>
    <e v="#N/A"/>
    <e v="#N/A"/>
    <n v="83266"/>
    <m/>
    <s v="BRUNEAU"/>
    <s v="Q3"/>
    <e v="#REF!"/>
    <e v="#REF!"/>
    <e v="#REF!"/>
  </r>
  <r>
    <s v="401000"/>
    <x v="6"/>
    <s v="FOURNISSEURS"/>
    <s v="OD"/>
    <n v="116.97"/>
    <d v="2025-04-15T00:00:00"/>
    <s v="Liaison inter-établissement vers TO "/>
    <m/>
    <e v="#N/A"/>
    <e v="#N/A"/>
    <n v="74857"/>
    <m/>
    <s v="American Airlines"/>
    <s v="Q2"/>
    <e v="#REF!"/>
    <e v="#REF!"/>
    <e v="#REF!"/>
  </r>
  <r>
    <s v="401000"/>
    <x v="6"/>
    <s v="FOURNISSEURS"/>
    <s v="OD"/>
    <n v="116.97"/>
    <d v="2025-04-15T00:00:00"/>
    <s v="Liaison inter-établissement vers TO "/>
    <m/>
    <e v="#N/A"/>
    <e v="#N/A"/>
    <n v="74861"/>
    <m/>
    <s v="American Airlines"/>
    <s v="Q2"/>
    <e v="#REF!"/>
    <e v="#REF!"/>
    <e v="#REF!"/>
  </r>
  <r>
    <s v="401000"/>
    <x v="6"/>
    <s v="FOURNISSEURS"/>
    <s v="OD"/>
    <n v="117"/>
    <d v="2025-04-25T00:00:00"/>
    <s v="Liaison établissement 401000 RUF RO"/>
    <m/>
    <e v="#N/A"/>
    <e v="#N/A"/>
    <n v="70186"/>
    <s v="Invoice Payment by Pili"/>
    <s v="RUF POSEUR D'EMPREINTES"/>
    <s v="Q2"/>
    <e v="#REF!"/>
    <e v="#REF!"/>
    <e v="#REF!"/>
  </r>
  <r>
    <s v="401000"/>
    <x v="6"/>
    <s v="FOURNISSEURS"/>
    <s v="OD"/>
    <n v="117.6"/>
    <d v="2025-04-25T00:00:00"/>
    <s v="Liaison établissement 401000 CHAUM LY"/>
    <m/>
    <e v="#N/A"/>
    <e v="#N/A"/>
    <n v="70141"/>
    <s v="Invoice Payment by Pili"/>
    <s v="GROUPE CHAUMEIL"/>
    <s v="Q2"/>
    <e v="#REF!"/>
    <e v="#REF!"/>
    <e v="#REF!"/>
  </r>
  <r>
    <s v="401000"/>
    <x v="6"/>
    <s v="FOURNISSEURS"/>
    <s v="OD"/>
    <n v="118.04"/>
    <d v="2025-07-31T00:00:00"/>
    <s v="Liaison établissement 401000 VWR KB"/>
    <m/>
    <e v="#N/A"/>
    <e v="#N/A"/>
    <n v="79300"/>
    <s v="COMMANDE PRODUIT LABO"/>
    <s v="VWR AVANTOR"/>
    <s v="Q3"/>
    <e v="#REF!"/>
    <e v="#REF!"/>
    <e v="#REF!"/>
  </r>
  <r>
    <s v="401000"/>
    <x v="6"/>
    <s v="FOURNISSEURS"/>
    <s v="OD"/>
    <n v="118.96"/>
    <d v="2025-09-12T00:00:00"/>
    <s v="Liaison établissement 401000 BIOTIKA RO"/>
    <s v="Non"/>
    <e v="#N/A"/>
    <e v="#N/A"/>
    <n v="82065"/>
    <s v="COUTS DE TRANSPORT - ECHANTILLONS"/>
    <s v="BIOTIKA"/>
    <s v="Q3"/>
    <e v="#REF!"/>
    <e v="#REF!"/>
    <e v="#REF!"/>
  </r>
  <r>
    <s v="401000"/>
    <x v="6"/>
    <s v="FOURNISSEURS"/>
    <s v="OD"/>
    <n v="119.4"/>
    <d v="2025-11-19T00:00:00"/>
    <s v="Liaison inter-établissement vers TO "/>
    <m/>
    <e v="#N/A"/>
    <e v="#N/A"/>
    <n v="91675"/>
    <m/>
    <s v="MONDROGUISTE"/>
    <s v="Q4"/>
    <e v="#REF!"/>
    <e v="#REF!"/>
    <e v="#REF!"/>
  </r>
  <r>
    <s v="401000"/>
    <x v="6"/>
    <s v="FOURNISSEURS"/>
    <s v="OD"/>
    <n v="119.41"/>
    <d v="2025-11-18T00:00:00"/>
    <s v="Liaison inter-établissement vers TO "/>
    <m/>
    <e v="#N/A"/>
    <e v="#N/A"/>
    <n v="91606"/>
    <m/>
    <s v="BOOKING"/>
    <s v="Q4"/>
    <e v="#REF!"/>
    <e v="#REF!"/>
    <e v="#REF!"/>
  </r>
  <r>
    <s v="401000"/>
    <x v="6"/>
    <s v="FOURNISSEURS"/>
    <s v="OD"/>
    <n v="119.99"/>
    <d v="2025-02-09T00:00:00"/>
    <s v="Liaison inter-établissement vers TO "/>
    <m/>
    <e v="#N/A"/>
    <e v="#N/A"/>
    <n v="64277"/>
    <m/>
    <s v="DARTY"/>
    <s v="Q1"/>
    <e v="#REF!"/>
    <e v="#REF!"/>
    <e v="#REF!"/>
  </r>
  <r>
    <s v="401000"/>
    <x v="6"/>
    <s v="FOURNISSEURS"/>
    <s v="OD"/>
    <n v="120"/>
    <d v="2025-06-04T00:00:00"/>
    <s v="Liaison établissement 401000 SIGMA RO"/>
    <m/>
    <e v="#N/A"/>
    <e v="#N/A"/>
    <n v="75541"/>
    <s v="Invoice payment by Pili"/>
    <s v="Sigma-Aldrich chimie"/>
    <s v="Q2"/>
    <e v="#REF!"/>
    <e v="#REF!"/>
    <e v="#REF!"/>
  </r>
  <r>
    <s v="401000"/>
    <x v="6"/>
    <s v="FOURNISSEURS"/>
    <s v="OD"/>
    <n v="120.36"/>
    <d v="2025-04-02T00:00:00"/>
    <s v="Liaison établissement 401000 VWR KB"/>
    <m/>
    <e v="#N/A"/>
    <e v="#N/A"/>
    <n v="66496"/>
    <s v="Invoice Payment by Pili"/>
    <s v="VWR AVANTOR"/>
    <s v="Q2"/>
    <e v="#REF!"/>
    <e v="#REF!"/>
    <e v="#REF!"/>
  </r>
  <r>
    <s v="401000"/>
    <x v="6"/>
    <s v="FOURNISSEURS"/>
    <s v="OD"/>
    <n v="121.85"/>
    <d v="2025-07-31T00:00:00"/>
    <s v="Liaison établissement 401000 VWR KB"/>
    <m/>
    <e v="#N/A"/>
    <e v="#N/A"/>
    <n v="79360"/>
    <s v="COMMANDE CONSOMMABLE LABO"/>
    <s v="VWR AVANTOR"/>
    <s v="Q3"/>
    <e v="#REF!"/>
    <e v="#REF!"/>
    <e v="#REF!"/>
  </r>
  <r>
    <s v="401000"/>
    <x v="6"/>
    <s v="FOURNISSEURS"/>
    <s v="OD"/>
    <n v="122"/>
    <d v="2025-04-04T00:00:00"/>
    <s v="Liaison inter-établissement vers TO "/>
    <m/>
    <e v="#N/A"/>
    <e v="#N/A"/>
    <n v="74777"/>
    <m/>
    <s v="SNCF"/>
    <s v="Q2"/>
    <e v="#REF!"/>
    <e v="#REF!"/>
    <e v="#REF!"/>
  </r>
  <r>
    <s v="401000"/>
    <x v="6"/>
    <s v="FOURNISSEURS"/>
    <s v="OD"/>
    <n v="122"/>
    <d v="2025-09-03T00:00:00"/>
    <s v="Liaison inter-établissement vers TO "/>
    <m/>
    <e v="#N/A"/>
    <e v="#N/A"/>
    <n v="83146"/>
    <m/>
    <s v="SNCF"/>
    <s v="Q3"/>
    <e v="#REF!"/>
    <e v="#REF!"/>
    <e v="#REF!"/>
  </r>
  <r>
    <s v="401000"/>
    <x v="6"/>
    <s v="FOURNISSEURS"/>
    <s v="OD"/>
    <n v="122.54"/>
    <d v="2025-03-18T00:00:00"/>
    <s v="Liaison inter-établissement vers TO "/>
    <m/>
    <e v="#N/A"/>
    <e v="#N/A"/>
    <n v="64461"/>
    <m/>
    <s v="VWR AVANTOR"/>
    <s v="Q1"/>
    <e v="#REF!"/>
    <e v="#REF!"/>
    <e v="#REF!"/>
  </r>
  <r>
    <s v="401000"/>
    <x v="6"/>
    <s v="FOURNISSEURS"/>
    <s v="OD"/>
    <n v="122.56"/>
    <d v="2025-02-06T00:00:00"/>
    <s v="Liaison inter-établissement vers TO "/>
    <m/>
    <e v="#N/A"/>
    <e v="#N/A"/>
    <n v="63815"/>
    <m/>
    <s v="ROTH SOCHIEL"/>
    <s v="Q1"/>
    <e v="#REF!"/>
    <e v="#REF!"/>
    <e v="#REF!"/>
  </r>
  <r>
    <s v="401000"/>
    <x v="6"/>
    <s v="FOURNISSEURS"/>
    <s v="OD"/>
    <n v="122.65"/>
    <d v="2025-05-23T00:00:00"/>
    <s v="Liaison inter-établissement vers TO "/>
    <m/>
    <e v="#N/A"/>
    <e v="#N/A"/>
    <n v="74901"/>
    <m/>
    <s v="DHL"/>
    <s v="Q2"/>
    <e v="#REF!"/>
    <e v="#REF!"/>
    <e v="#REF!"/>
  </r>
  <r>
    <s v="401000"/>
    <x v="6"/>
    <s v="FOURNISSEURS"/>
    <s v="OD"/>
    <n v="124"/>
    <d v="2025-01-29T00:00:00"/>
    <s v="Liaison inter-établissement vers TO "/>
    <m/>
    <e v="#N/A"/>
    <e v="#N/A"/>
    <n v="66741"/>
    <m/>
    <s v="SNCF"/>
    <s v="Q1"/>
    <e v="#REF!"/>
    <e v="#REF!"/>
    <e v="#REF!"/>
  </r>
  <r>
    <s v="401000"/>
    <x v="6"/>
    <s v="FOURNISSEURS"/>
    <s v="OD"/>
    <n v="124"/>
    <d v="2025-12-09T00:00:00"/>
    <s v="Liaison inter-établissement vers TO "/>
    <m/>
    <e v="#N/A"/>
    <e v="#N/A"/>
    <n v="94138"/>
    <m/>
    <s v="SNCF"/>
    <s v="Q4"/>
    <e v="#REF!"/>
    <e v="#REF!"/>
    <e v="#REF!"/>
  </r>
  <r>
    <s v="401000"/>
    <x v="6"/>
    <s v="FOURNISSEURS"/>
    <s v="OD"/>
    <n v="124.06"/>
    <d v="2025-08-18T00:00:00"/>
    <s v="Liaison établissement 401000 VWR KB"/>
    <m/>
    <e v="#N/A"/>
    <e v="#N/A"/>
    <n v="81166"/>
    <s v="COMMANDE PRODUITS LABO"/>
    <s v="VWR AVANTOR"/>
    <s v="Q3"/>
    <e v="#REF!"/>
    <e v="#REF!"/>
    <e v="#REF!"/>
  </r>
  <r>
    <s v="401000"/>
    <x v="6"/>
    <s v="FOURNISSEURS"/>
    <s v="OD"/>
    <n v="125.83"/>
    <d v="2025-10-14T00:00:00"/>
    <s v="Liaison inter-établissement vers TO "/>
    <s v="Non"/>
    <s v="Non"/>
    <e v="#N/A"/>
    <n v="89689"/>
    <m/>
    <s v="LINKEDIN"/>
    <s v="Q4"/>
    <e v="#REF!"/>
    <e v="#REF!"/>
    <e v="#REF!"/>
  </r>
  <r>
    <s v="401000"/>
    <x v="6"/>
    <s v="FOURNISSEURS"/>
    <s v="OD"/>
    <n v="126.59"/>
    <d v="2025-01-26T00:00:00"/>
    <s v="Liaison inter-établissement vers TO "/>
    <m/>
    <e v="#N/A"/>
    <e v="#N/A"/>
    <n v="63819"/>
    <m/>
    <s v="RS COMPONENT"/>
    <s v="Q1"/>
    <e v="#REF!"/>
    <e v="#REF!"/>
    <e v="#REF!"/>
  </r>
  <r>
    <s v="401000"/>
    <x v="6"/>
    <s v="FOURNISSEURS"/>
    <s v="OD"/>
    <n v="127"/>
    <d v="2025-09-12T00:00:00"/>
    <s v="Liaison établissement 401000 TCI KB"/>
    <m/>
    <e v="#N/A"/>
    <e v="#N/A"/>
    <n v="82025"/>
    <s v="COMMANDE PRODUIT KEENB"/>
    <s v="TCI"/>
    <s v="Q3"/>
    <e v="#REF!"/>
    <e v="#REF!"/>
    <e v="#REF!"/>
  </r>
  <r>
    <s v="401000"/>
    <x v="6"/>
    <s v="FOURNISSEURS"/>
    <s v="OD"/>
    <n v="128"/>
    <d v="2025-03-18T00:00:00"/>
    <s v="Liaison inter-établissement vers TO "/>
    <m/>
    <e v="#N/A"/>
    <e v="#N/A"/>
    <n v="64457"/>
    <m/>
    <s v="TCI"/>
    <s v="Q1"/>
    <e v="#REF!"/>
    <e v="#REF!"/>
    <e v="#REF!"/>
  </r>
  <r>
    <s v="401000"/>
    <x v="6"/>
    <s v="FOURNISSEURS"/>
    <s v="OD"/>
    <n v="128"/>
    <d v="2025-09-05T00:00:00"/>
    <s v="Liaison inter-établissement vers TO "/>
    <m/>
    <e v="#N/A"/>
    <e v="#N/A"/>
    <n v="83142"/>
    <m/>
    <s v="SNCF"/>
    <s v="Q3"/>
    <e v="#REF!"/>
    <e v="#REF!"/>
    <e v="#REF!"/>
  </r>
  <r>
    <s v="401000"/>
    <x v="6"/>
    <s v="FOURNISSEURS"/>
    <s v="OD"/>
    <n v="128"/>
    <d v="2025-10-09T00:00:00"/>
    <s v="Liaison inter-établissement vers TO "/>
    <m/>
    <e v="#N/A"/>
    <e v="#N/A"/>
    <n v="89807"/>
    <m/>
    <s v="SNCF"/>
    <s v="Q4"/>
    <e v="#REF!"/>
    <e v="#REF!"/>
    <e v="#REF!"/>
  </r>
  <r>
    <s v="401000"/>
    <x v="6"/>
    <s v="FOURNISSEURS"/>
    <s v="OD"/>
    <n v="128"/>
    <d v="2025-11-18T00:00:00"/>
    <s v="Liaison inter-établissement vers TO "/>
    <m/>
    <e v="#N/A"/>
    <e v="#N/A"/>
    <n v="91719"/>
    <m/>
    <s v="SNCF"/>
    <s v="Q4"/>
    <e v="#REF!"/>
    <e v="#REF!"/>
    <e v="#REF!"/>
  </r>
  <r>
    <s v="401000"/>
    <x v="6"/>
    <s v="FOURNISSEURS"/>
    <s v="OD"/>
    <n v="128"/>
    <d v="2025-11-25T00:00:00"/>
    <s v="Liaison inter-établissement vers TO "/>
    <m/>
    <e v="#N/A"/>
    <e v="#N/A"/>
    <n v="91715"/>
    <m/>
    <s v="SNCF"/>
    <s v="Q4"/>
    <e v="#REF!"/>
    <e v="#REF!"/>
    <e v="#REF!"/>
  </r>
  <r>
    <s v="401000"/>
    <x v="6"/>
    <s v="FOURNISSEURS"/>
    <s v="OD"/>
    <n v="128.93"/>
    <d v="2025-10-25T00:00:00"/>
    <s v="Liaison inter-établissement vers TO "/>
    <m/>
    <e v="#N/A"/>
    <e v="#N/A"/>
    <n v="91590"/>
    <m/>
    <s v="AIRLINES"/>
    <s v="Q4"/>
    <e v="#REF!"/>
    <e v="#REF!"/>
    <e v="#REF!"/>
  </r>
  <r>
    <s v="401000"/>
    <x v="6"/>
    <s v="FOURNISSEURS"/>
    <s v="OD"/>
    <n v="129.41999999999999"/>
    <d v="2025-03-18T00:00:00"/>
    <s v="Liaison inter-établissement vers TO "/>
    <m/>
    <e v="#N/A"/>
    <e v="#N/A"/>
    <n v="64489"/>
    <m/>
    <s v="VWR AVANTOR"/>
    <s v="Q1"/>
    <e v="#REF!"/>
    <e v="#REF!"/>
    <e v="#REF!"/>
  </r>
  <r>
    <s v="401000"/>
    <x v="6"/>
    <s v="FOURNISSEURS"/>
    <s v="OD"/>
    <n v="130"/>
    <d v="2025-07-31T00:00:00"/>
    <s v="Liaison établissement 401000 ALTAIR KB"/>
    <s v="Non"/>
    <s v="Non"/>
    <e v="#N/A"/>
    <n v="79240"/>
    <s v="CONSEIL ET ASSISTANCE DANS LE CADRE DU SUIVI DES BSPCE"/>
    <s v="ALTAIR AVOCATS"/>
    <s v="Q3"/>
    <e v="#REF!"/>
    <e v="#REF!"/>
    <e v="#REF!"/>
  </r>
  <r>
    <s v="401000"/>
    <x v="6"/>
    <s v="FOURNISSEURS"/>
    <s v="OD"/>
    <n v="132"/>
    <d v="2025-01-07T00:00:00"/>
    <s v="Liaison inter-établissement vers TO "/>
    <m/>
    <e v="#N/A"/>
    <e v="#N/A"/>
    <n v="74873"/>
    <m/>
    <s v="HOPER"/>
    <s v="Q1"/>
    <e v="#REF!"/>
    <e v="#REF!"/>
    <e v="#REF!"/>
  </r>
  <r>
    <s v="401000"/>
    <x v="6"/>
    <s v="FOURNISSEURS"/>
    <s v="OD"/>
    <n v="132"/>
    <d v="2025-04-07T00:00:00"/>
    <s v="Liaison inter-établissement vers TO "/>
    <m/>
    <e v="#N/A"/>
    <e v="#N/A"/>
    <n v="71418"/>
    <m/>
    <s v="HOPER"/>
    <s v="Q2"/>
    <e v="#REF!"/>
    <e v="#REF!"/>
    <e v="#REF!"/>
  </r>
  <r>
    <s v="401000"/>
    <x v="6"/>
    <s v="FOURNISSEURS"/>
    <s v="OD"/>
    <n v="132.47999999999999"/>
    <d v="2025-07-31T00:00:00"/>
    <s v="Liaison établissement 401000 ROTH RO"/>
    <m/>
    <e v="#N/A"/>
    <e v="#N/A"/>
    <n v="79295"/>
    <s v="RÉACTIFS KL VBIO"/>
    <s v="ROTH SOCHIEL"/>
    <s v="Q3"/>
    <e v="#REF!"/>
    <e v="#REF!"/>
    <e v="#REF!"/>
  </r>
  <r>
    <s v="401000"/>
    <x v="6"/>
    <s v="FOURNISSEURS"/>
    <s v="OD"/>
    <n v="132.97999999999999"/>
    <d v="2025-12-08T00:00:00"/>
    <s v="Liaison établissement 401000 BIOTIKA RO"/>
    <s v="Non"/>
    <e v="#N/A"/>
    <e v="#N/A"/>
    <n v="91336"/>
    <s v="2025-Q100527"/>
    <s v="BIOTIKA"/>
    <s v="Q4"/>
    <e v="#REF!"/>
    <e v="#REF!"/>
    <e v="#REF!"/>
  </r>
  <r>
    <s v="401000"/>
    <x v="6"/>
    <s v="FOURNISSEURS"/>
    <s v="OD"/>
    <n v="133.19999999999999"/>
    <d v="2025-02-10T00:00:00"/>
    <s v="Liaison inter-établissement vers TO "/>
    <m/>
    <e v="#N/A"/>
    <e v="#N/A"/>
    <n v="73129"/>
    <m/>
    <s v="ORANGE"/>
    <s v="Q1"/>
    <e v="#REF!"/>
    <e v="#REF!"/>
    <e v="#REF!"/>
  </r>
  <r>
    <s v="401000"/>
    <x v="6"/>
    <s v="FOURNISSEURS"/>
    <s v="OD"/>
    <n v="133.19999999999999"/>
    <d v="2025-03-13T00:00:00"/>
    <s v="Liaison inter-établissement vers TO "/>
    <m/>
    <e v="#N/A"/>
    <e v="#N/A"/>
    <n v="81298"/>
    <m/>
    <s v="ORANGE"/>
    <s v="Q1"/>
    <e v="#REF!"/>
    <e v="#REF!"/>
    <e v="#REF!"/>
  </r>
  <r>
    <s v="401000"/>
    <x v="6"/>
    <s v="FOURNISSEURS"/>
    <s v="OD"/>
    <n v="133.19999999999999"/>
    <d v="2025-04-10T00:00:00"/>
    <s v="Liaison inter-établissement vers TO "/>
    <m/>
    <e v="#N/A"/>
    <e v="#N/A"/>
    <n v="87397"/>
    <m/>
    <s v="ORANGE"/>
    <s v="Q2"/>
    <e v="#REF!"/>
    <e v="#REF!"/>
    <e v="#REF!"/>
  </r>
  <r>
    <s v="401000"/>
    <x v="6"/>
    <s v="FOURNISSEURS"/>
    <s v="OD"/>
    <n v="133.19999999999999"/>
    <d v="2025-05-12T00:00:00"/>
    <s v="Liaison inter-établissement vers TO "/>
    <m/>
    <e v="#N/A"/>
    <e v="#N/A"/>
    <n v="81260"/>
    <m/>
    <s v="ORANGE"/>
    <s v="Q2"/>
    <e v="#REF!"/>
    <e v="#REF!"/>
    <e v="#REF!"/>
  </r>
  <r>
    <s v="401000"/>
    <x v="6"/>
    <s v="FOURNISSEURS"/>
    <s v="OD"/>
    <n v="133.86000000000001"/>
    <d v="2025-12-30T00:00:00"/>
    <s v="Liaison établissement 401000 BIOTIKA RO"/>
    <s v="Non"/>
    <e v="#N/A"/>
    <e v="#N/A"/>
    <n v="93770"/>
    <s v="91250200"/>
    <s v="BIOTIKA"/>
    <s v="Q4"/>
    <e v="#REF!"/>
    <e v="#REF!"/>
    <e v="#REF!"/>
  </r>
  <r>
    <s v="401000"/>
    <x v="6"/>
    <s v="FOURNISSEURS"/>
    <s v="OD"/>
    <n v="134"/>
    <d v="2025-04-10T00:00:00"/>
    <s v="Liaison inter-établissement vers TO "/>
    <m/>
    <e v="#N/A"/>
    <e v="#N/A"/>
    <n v="78184"/>
    <m/>
    <s v="SNCF"/>
    <s v="Q2"/>
    <e v="#REF!"/>
    <e v="#REF!"/>
    <e v="#REF!"/>
  </r>
  <r>
    <s v="401000"/>
    <x v="6"/>
    <s v="FOURNISSEURS"/>
    <s v="OD"/>
    <n v="134.30000000000001"/>
    <d v="2025-05-13T00:00:00"/>
    <s v="Liaison inter-établissement vers TO "/>
    <m/>
    <e v="#N/A"/>
    <e v="#N/A"/>
    <n v="75135"/>
    <m/>
    <s v="GANDI"/>
    <s v="Q2"/>
    <e v="#REF!"/>
    <e v="#REF!"/>
    <e v="#REF!"/>
  </r>
  <r>
    <s v="401000"/>
    <x v="6"/>
    <s v="FOURNISSEURS"/>
    <s v="OD"/>
    <n v="134.76"/>
    <d v="2025-03-06T00:00:00"/>
    <s v="Liaison inter-établissement vers TO "/>
    <m/>
    <e v="#N/A"/>
    <e v="#N/A"/>
    <n v="63869"/>
    <m/>
    <s v="Sigma-Aldrich chimie"/>
    <s v="Q1"/>
    <e v="#REF!"/>
    <e v="#REF!"/>
    <e v="#REF!"/>
  </r>
  <r>
    <s v="401000"/>
    <x v="6"/>
    <s v="FOURNISSEURS"/>
    <s v="OD"/>
    <n v="134.80000000000001"/>
    <d v="2025-06-10T00:00:00"/>
    <s v="Liaison inter-établissement vers TO "/>
    <m/>
    <e v="#N/A"/>
    <e v="#N/A"/>
    <n v="81302"/>
    <m/>
    <s v="ORANGE"/>
    <s v="Q2"/>
    <e v="#REF!"/>
    <e v="#REF!"/>
    <e v="#REF!"/>
  </r>
  <r>
    <s v="401000"/>
    <x v="6"/>
    <s v="FOURNISSEURS"/>
    <s v="OD"/>
    <n v="135"/>
    <d v="2025-07-31T00:00:00"/>
    <s v="Liaison établissement 401000 FISHER KB"/>
    <m/>
    <e v="#N/A"/>
    <e v="#N/A"/>
    <n v="79275"/>
    <s v="ÉQUIPEMENT POUR LABO"/>
    <s v="FISHER SCIENTIFIC"/>
    <s v="Q3"/>
    <e v="#REF!"/>
    <e v="#REF!"/>
    <e v="#REF!"/>
  </r>
  <r>
    <s v="401000"/>
    <x v="6"/>
    <s v="FOURNISSEURS"/>
    <s v="OD"/>
    <n v="136.56"/>
    <d v="2025-12-03T00:00:00"/>
    <s v="Liaison inter-établissement vers TO "/>
    <m/>
    <s v="Non"/>
    <e v="#N/A"/>
    <n v="91847"/>
    <m/>
    <s v="HELLOCSE"/>
    <s v="Q4"/>
    <e v="#REF!"/>
    <e v="#REF!"/>
    <e v="#REF!"/>
  </r>
  <r>
    <s v="401000"/>
    <x v="6"/>
    <s v="FOURNISSEURS"/>
    <s v="OD"/>
    <n v="136.80000000000001"/>
    <d v="2025-04-08T00:00:00"/>
    <s v="Liaison inter-établissement vers TO "/>
    <m/>
    <e v="#N/A"/>
    <e v="#N/A"/>
    <n v="70001"/>
    <m/>
    <s v="ROTH SOCHIEL"/>
    <s v="Q2"/>
    <e v="#REF!"/>
    <e v="#REF!"/>
    <e v="#REF!"/>
  </r>
  <r>
    <s v="401000"/>
    <x v="6"/>
    <s v="FOURNISSEURS"/>
    <s v="OD"/>
    <n v="136.91999999999999"/>
    <d v="2025-02-18T00:00:00"/>
    <s v="Liaison inter-établissement vers TO "/>
    <m/>
    <e v="#N/A"/>
    <e v="#N/A"/>
    <n v="63853"/>
    <m/>
    <s v="Sigma-Aldrich chimie"/>
    <s v="Q1"/>
    <e v="#REF!"/>
    <e v="#REF!"/>
    <e v="#REF!"/>
  </r>
  <r>
    <s v="401000"/>
    <x v="6"/>
    <s v="FOURNISSEURS"/>
    <s v="OD"/>
    <n v="137.04"/>
    <d v="2025-06-04T00:00:00"/>
    <s v="Liaison établissement 401000 SIGMA RO"/>
    <m/>
    <e v="#N/A"/>
    <e v="#N/A"/>
    <n v="75536"/>
    <s v="Invoice payment by Pili"/>
    <s v="Sigma-Aldrich chimie"/>
    <s v="Q2"/>
    <e v="#REF!"/>
    <e v="#REF!"/>
    <e v="#REF!"/>
  </r>
  <r>
    <s v="401000"/>
    <x v="6"/>
    <s v="FOURNISSEURS"/>
    <s v="OD"/>
    <n v="139.49"/>
    <d v="2025-08-29T00:00:00"/>
    <s v="Liaison inter-établissement vers TO "/>
    <m/>
    <e v="#N/A"/>
    <e v="#N/A"/>
    <n v="81667"/>
    <m/>
    <s v="AIR LIQUIDE"/>
    <s v="Q3"/>
    <e v="#REF!"/>
    <e v="#REF!"/>
    <e v="#REF!"/>
  </r>
  <r>
    <s v="401000"/>
    <x v="6"/>
    <s v="FOURNISSEURS"/>
    <s v="OD"/>
    <n v="140.02000000000001"/>
    <d v="2025-09-22T00:00:00"/>
    <s v="Liaison établissement 401000 BIOTIKA RO"/>
    <s v="Non"/>
    <e v="#N/A"/>
    <e v="#N/A"/>
    <n v="82370"/>
    <s v="TRANSPORT ECHANTILLON"/>
    <s v="BIOTIKA"/>
    <s v="Q3"/>
    <e v="#REF!"/>
    <e v="#REF!"/>
    <e v="#REF!"/>
  </r>
  <r>
    <s v="401000"/>
    <x v="6"/>
    <s v="FOURNISSEURS"/>
    <s v="OD"/>
    <n v="140.74"/>
    <d v="2025-03-27T00:00:00"/>
    <s v="Liaison inter-établissement vers TO "/>
    <m/>
    <e v="#N/A"/>
    <e v="#N/A"/>
    <n v="69977"/>
    <m/>
    <s v="FISHER SCIENTIFIC"/>
    <s v="Q1"/>
    <e v="#REF!"/>
    <e v="#REF!"/>
    <e v="#REF!"/>
  </r>
  <r>
    <s v="401000"/>
    <x v="6"/>
    <s v="FOURNISSEURS"/>
    <s v="OD"/>
    <n v="140.74"/>
    <d v="2025-05-14T00:00:00"/>
    <s v="Liaison établissement 401000 FISHER RO"/>
    <m/>
    <e v="#N/A"/>
    <e v="#N/A"/>
    <n v="72331"/>
    <s v="Invoice Payment by Pili"/>
    <s v="FISHER SCIENTIFIC"/>
    <s v="Q2"/>
    <e v="#REF!"/>
    <e v="#REF!"/>
    <e v="#REF!"/>
  </r>
  <r>
    <s v="401000"/>
    <x v="6"/>
    <s v="FOURNISSEURS"/>
    <s v="OD"/>
    <n v="141.6"/>
    <d v="2025-03-19T00:00:00"/>
    <s v="Liaison inter-établissement vers TO "/>
    <m/>
    <e v="#N/A"/>
    <e v="#N/A"/>
    <n v="63861"/>
    <m/>
    <s v="Sigma-Aldrich chimie"/>
    <s v="Q1"/>
    <e v="#REF!"/>
    <e v="#REF!"/>
    <e v="#REF!"/>
  </r>
  <r>
    <s v="401000"/>
    <x v="6"/>
    <s v="FOURNISSEURS"/>
    <s v="OD"/>
    <n v="141.66"/>
    <d v="2025-01-01T00:00:00"/>
    <s v="Liaison inter-établissement"/>
    <m/>
    <e v="#N/A"/>
    <e v="#N/A"/>
    <n v="64434"/>
    <m/>
    <s v="MANO MANO"/>
    <s v="Q1"/>
    <e v="#REF!"/>
    <e v="#REF!"/>
    <e v="#REF!"/>
  </r>
  <r>
    <s v="401000"/>
    <x v="6"/>
    <s v="FOURNISSEURS"/>
    <s v="OD"/>
    <n v="142.27000000000001"/>
    <d v="2025-12-05T00:00:00"/>
    <s v="Liaison établissement 401000 VWR KB"/>
    <m/>
    <e v="#N/A"/>
    <e v="#N/A"/>
    <n v="91370"/>
    <s v="4067849964"/>
    <s v="VWR AVANTOR"/>
    <s v="Q4"/>
    <e v="#REF!"/>
    <e v="#REF!"/>
    <e v="#REF!"/>
  </r>
  <r>
    <s v="401000"/>
    <x v="6"/>
    <s v="FOURNISSEURS"/>
    <s v="OD"/>
    <n v="142.86000000000001"/>
    <d v="2025-11-14T00:00:00"/>
    <s v="Liaison inter-établissement vers TO "/>
    <m/>
    <e v="#N/A"/>
    <e v="#N/A"/>
    <n v="91623"/>
    <m/>
    <s v="BRUNEAU"/>
    <s v="Q4"/>
    <e v="#REF!"/>
    <e v="#REF!"/>
    <e v="#REF!"/>
  </r>
  <r>
    <s v="401000"/>
    <x v="6"/>
    <s v="FOURNISSEURS"/>
    <s v="OD"/>
    <n v="143.28"/>
    <d v="2025-05-14T00:00:00"/>
    <s v="Liaison établissement 401000 SIGMA RO"/>
    <m/>
    <e v="#N/A"/>
    <e v="#N/A"/>
    <n v="72346"/>
    <s v="Invoice Payment by Pili"/>
    <s v="Sigma-Aldrich chimie"/>
    <s v="Q2"/>
    <e v="#REF!"/>
    <e v="#REF!"/>
    <e v="#REF!"/>
  </r>
  <r>
    <s v="401000"/>
    <x v="6"/>
    <s v="FOURNISSEURS"/>
    <s v="OD"/>
    <n v="143.47"/>
    <d v="2025-03-14T00:00:00"/>
    <s v="Liaison établissement 401000 ROTH RO"/>
    <m/>
    <e v="#N/A"/>
    <e v="#N/A"/>
    <n v="61670"/>
    <s v="Paiement Roth"/>
    <s v="ROTH SOCHIEL"/>
    <s v="Q1"/>
    <e v="#REF!"/>
    <e v="#REF!"/>
    <e v="#REF!"/>
  </r>
  <r>
    <s v="401000"/>
    <x v="6"/>
    <s v="FOURNISSEURS"/>
    <s v="OD"/>
    <n v="144"/>
    <d v="2025-03-18T00:00:00"/>
    <s v="Liaison inter-établissement vers TO "/>
    <m/>
    <e v="#N/A"/>
    <e v="#N/A"/>
    <n v="64409"/>
    <m/>
    <s v="CLOUP"/>
    <s v="Q1"/>
    <e v="#REF!"/>
    <e v="#REF!"/>
    <e v="#REF!"/>
  </r>
  <r>
    <s v="401000"/>
    <x v="6"/>
    <s v="FOURNISSEURS"/>
    <s v="OD"/>
    <n v="144"/>
    <d v="2025-12-15T00:00:00"/>
    <s v="Liaison inter-établissement vers TO "/>
    <m/>
    <e v="#N/A"/>
    <e v="#N/A"/>
    <n v="94870"/>
    <m/>
    <s v="RICOH"/>
    <s v="Q4"/>
    <e v="#REF!"/>
    <e v="#REF!"/>
    <e v="#REF!"/>
  </r>
  <r>
    <s v="401000"/>
    <x v="6"/>
    <s v="FOURNISSEURS"/>
    <s v="OD"/>
    <n v="144.30000000000001"/>
    <d v="2025-09-11T00:00:00"/>
    <s v="Liaison inter-établissement vers TO "/>
    <m/>
    <e v="#N/A"/>
    <e v="#N/A"/>
    <n v="83382"/>
    <m/>
    <s v="AIRBNB"/>
    <s v="Q3"/>
    <e v="#REF!"/>
    <e v="#REF!"/>
    <e v="#REF!"/>
  </r>
  <r>
    <s v="401000"/>
    <x v="6"/>
    <s v="FOURNISSEURS"/>
    <s v="OD"/>
    <n v="145"/>
    <d v="2025-12-31T00:00:00"/>
    <s v="Liaison inter-établissement vers TO "/>
    <s v="Non"/>
    <s v="Non"/>
    <e v="#N/A"/>
    <n v="97672"/>
    <m/>
    <s v="Michel Manach"/>
    <s v="Q4"/>
    <e v="#REF!"/>
    <e v="#REF!"/>
    <e v="#REF!"/>
  </r>
  <r>
    <s v="401000"/>
    <x v="6"/>
    <s v="FOURNISSEURS"/>
    <s v="OD"/>
    <n v="145.03"/>
    <d v="2025-08-21T00:00:00"/>
    <s v="Liaison établissement 401000 VWR KB"/>
    <m/>
    <e v="#N/A"/>
    <e v="#N/A"/>
    <n v="81516"/>
    <s v="COMMANDE CONSOMMABLES LABO"/>
    <s v="VWR AVANTOR"/>
    <s v="Q3"/>
    <e v="#REF!"/>
    <e v="#REF!"/>
    <e v="#REF!"/>
  </r>
  <r>
    <s v="401000"/>
    <x v="6"/>
    <s v="FOURNISSEURS"/>
    <s v="OD"/>
    <n v="146.06"/>
    <d v="2025-07-31T00:00:00"/>
    <s v="Liaison établissement 401000 VWR KB"/>
    <m/>
    <e v="#N/A"/>
    <e v="#N/A"/>
    <n v="79340"/>
    <s v="COMMANDE PRODUIT LABO"/>
    <s v="VWR AVANTOR"/>
    <s v="Q3"/>
    <e v="#REF!"/>
    <e v="#REF!"/>
    <e v="#REF!"/>
  </r>
  <r>
    <s v="401000"/>
    <x v="6"/>
    <s v="FOURNISSEURS"/>
    <s v="OD"/>
    <n v="146.1"/>
    <d v="2025-05-24T00:00:00"/>
    <s v="Liaison inter-établissement vers TO "/>
    <m/>
    <e v="#N/A"/>
    <e v="#N/A"/>
    <n v="81067"/>
    <m/>
    <s v="WURTH FRANCE"/>
    <s v="Q2"/>
    <e v="#REF!"/>
    <e v="#REF!"/>
    <e v="#REF!"/>
  </r>
  <r>
    <s v="401000"/>
    <x v="6"/>
    <s v="FOURNISSEURS"/>
    <s v="OD"/>
    <n v="146.63"/>
    <d v="2025-07-31T00:00:00"/>
    <s v="Liaison établissement 401000 VWR KB"/>
    <m/>
    <e v="#N/A"/>
    <e v="#N/A"/>
    <n v="79350"/>
    <s v="COMMANDE PRODUIT LABO"/>
    <s v="VWR AVANTOR"/>
    <s v="Q3"/>
    <e v="#REF!"/>
    <e v="#REF!"/>
    <e v="#REF!"/>
  </r>
  <r>
    <s v="401000"/>
    <x v="6"/>
    <s v="FOURNISSEURS"/>
    <s v="OD"/>
    <n v="147"/>
    <d v="2025-02-18T00:00:00"/>
    <s v="Liaison inter-établissement vers TO "/>
    <m/>
    <e v="#N/A"/>
    <e v="#N/A"/>
    <n v="66745"/>
    <m/>
    <s v="SNCF"/>
    <s v="Q1"/>
    <e v="#REF!"/>
    <e v="#REF!"/>
    <e v="#REF!"/>
  </r>
  <r>
    <s v="401000"/>
    <x v="6"/>
    <s v="FOURNISSEURS"/>
    <s v="OD"/>
    <n v="147.12"/>
    <d v="2025-03-28T00:00:00"/>
    <s v="Liaison inter-établissement vers TO "/>
    <m/>
    <e v="#N/A"/>
    <e v="#N/A"/>
    <n v="68124"/>
    <m/>
    <s v="Sigma-Aldrich chimie"/>
    <s v="Q1"/>
    <e v="#REF!"/>
    <e v="#REF!"/>
    <e v="#REF!"/>
  </r>
  <r>
    <s v="401000"/>
    <x v="6"/>
    <s v="FOURNISSEURS"/>
    <s v="OD"/>
    <n v="147.69"/>
    <d v="2025-10-30T00:00:00"/>
    <s v="Liaison inter-établissement vers TO "/>
    <m/>
    <e v="#N/A"/>
    <e v="#N/A"/>
    <n v="89705"/>
    <m/>
    <s v="AIRBNB"/>
    <s v="Q4"/>
    <e v="#REF!"/>
    <e v="#REF!"/>
    <e v="#REF!"/>
  </r>
  <r>
    <s v="401000"/>
    <x v="6"/>
    <s v="FOURNISSEURS"/>
    <s v="OD"/>
    <n v="149"/>
    <d v="2025-02-01T00:00:00"/>
    <s v="Liaison inter-établissement vers TO "/>
    <m/>
    <e v="#N/A"/>
    <e v="#N/A"/>
    <n v="64361"/>
    <m/>
    <s v="SNCF"/>
    <s v="Q1"/>
    <e v="#REF!"/>
    <e v="#REF!"/>
    <e v="#REF!"/>
  </r>
  <r>
    <s v="401000"/>
    <x v="6"/>
    <s v="FOURNISSEURS"/>
    <s v="OD"/>
    <n v="150"/>
    <d v="2025-02-24T00:00:00"/>
    <s v="Liaison inter-établissement vers TO "/>
    <m/>
    <s v="Non"/>
    <n v="0"/>
    <n v="69969"/>
    <m/>
    <s v="FORMATEC PRO SECURITE"/>
    <s v="Q1"/>
    <e v="#REF!"/>
    <e v="#REF!"/>
    <e v="#REF!"/>
  </r>
  <r>
    <s v="401000"/>
    <x v="6"/>
    <s v="FOURNISSEURS"/>
    <s v="OD"/>
    <n v="151.1"/>
    <d v="2025-02-24T00:00:00"/>
    <s v="Liaison inter-établissement vers TO "/>
    <m/>
    <s v="Non"/>
    <n v="0"/>
    <n v="71389"/>
    <m/>
    <s v="SERVICE ACTION SANTE"/>
    <s v="Q1"/>
    <e v="#REF!"/>
    <e v="#REF!"/>
    <e v="#REF!"/>
  </r>
  <r>
    <s v="401000"/>
    <x v="6"/>
    <s v="FOURNISSEURS"/>
    <s v="OD"/>
    <n v="152.41"/>
    <d v="2025-05-07T00:00:00"/>
    <s v="Liaison établissement 401000 VWR KB"/>
    <m/>
    <e v="#N/A"/>
    <e v="#N/A"/>
    <n v="71835"/>
    <s v="COMMANDE PRODUIT LABO"/>
    <s v="VWR AVANTOR"/>
    <s v="Q2"/>
    <e v="#REF!"/>
    <e v="#REF!"/>
    <e v="#REF!"/>
  </r>
  <r>
    <s v="401000"/>
    <x v="6"/>
    <s v="FOURNISSEURS"/>
    <s v="OD"/>
    <n v="154.59"/>
    <d v="2025-05-31T00:00:00"/>
    <s v="Liaison inter-établissement vers TO "/>
    <m/>
    <e v="#N/A"/>
    <e v="#N/A"/>
    <n v="81071"/>
    <m/>
    <s v="ROUGIER ET PIE"/>
    <s v="Q2"/>
    <e v="#REF!"/>
    <e v="#REF!"/>
    <e v="#REF!"/>
  </r>
  <r>
    <s v="401000"/>
    <x v="6"/>
    <s v="FOURNISSEURS"/>
    <s v="OD"/>
    <n v="154.72"/>
    <d v="2025-04-04T00:00:00"/>
    <s v="Liaison inter-établissement vers TO "/>
    <m/>
    <e v="#N/A"/>
    <e v="#N/A"/>
    <n v="74769"/>
    <m/>
    <s v="BOHLENDER"/>
    <s v="Q2"/>
    <e v="#REF!"/>
    <e v="#REF!"/>
    <e v="#REF!"/>
  </r>
  <r>
    <s v="401000"/>
    <x v="6"/>
    <s v="FOURNISSEURS"/>
    <s v="OD"/>
    <n v="154.97999999999999"/>
    <d v="2025-01-06T00:00:00"/>
    <s v="Liaison inter-établissement vers TO "/>
    <m/>
    <e v="#N/A"/>
    <e v="#N/A"/>
    <n v="63495"/>
    <m/>
    <s v="ADOBE"/>
    <s v="Q1"/>
    <e v="#REF!"/>
    <e v="#REF!"/>
    <e v="#REF!"/>
  </r>
  <r>
    <s v="401000"/>
    <x v="6"/>
    <s v="FOURNISSEURS"/>
    <s v="OD"/>
    <n v="154.97999999999999"/>
    <d v="2025-02-06T00:00:00"/>
    <s v="Liaison inter-établissement vers TO "/>
    <m/>
    <e v="#N/A"/>
    <e v="#N/A"/>
    <n v="64249"/>
    <m/>
    <s v="ADOBE"/>
    <s v="Q1"/>
    <e v="#REF!"/>
    <e v="#REF!"/>
    <e v="#REF!"/>
  </r>
  <r>
    <s v="401000"/>
    <x v="6"/>
    <s v="FOURNISSEURS"/>
    <s v="OD"/>
    <n v="154.97999999999999"/>
    <d v="2025-03-06T00:00:00"/>
    <s v="Liaison inter-établissement vers TO "/>
    <m/>
    <e v="#N/A"/>
    <e v="#N/A"/>
    <n v="67992"/>
    <m/>
    <s v="ADOBE"/>
    <s v="Q1"/>
    <e v="#REF!"/>
    <e v="#REF!"/>
    <e v="#REF!"/>
  </r>
  <r>
    <s v="401000"/>
    <x v="6"/>
    <s v="FOURNISSEURS"/>
    <s v="OD"/>
    <n v="154.97999999999999"/>
    <d v="2025-04-06T00:00:00"/>
    <s v="Liaison inter-établissement vers TO "/>
    <m/>
    <e v="#N/A"/>
    <e v="#N/A"/>
    <n v="74817"/>
    <m/>
    <s v="ADOBE"/>
    <s v="Q2"/>
    <e v="#REF!"/>
    <e v="#REF!"/>
    <e v="#REF!"/>
  </r>
  <r>
    <s v="401000"/>
    <x v="6"/>
    <s v="FOURNISSEURS"/>
    <s v="OD"/>
    <n v="154.97999999999999"/>
    <d v="2025-05-06T00:00:00"/>
    <s v="Liaison inter-établissement vers TO "/>
    <m/>
    <e v="#N/A"/>
    <e v="#N/A"/>
    <n v="75123"/>
    <m/>
    <s v="ADOBE"/>
    <s v="Q2"/>
    <e v="#REF!"/>
    <e v="#REF!"/>
    <e v="#REF!"/>
  </r>
  <r>
    <s v="401000"/>
    <x v="6"/>
    <s v="FOURNISSEURS"/>
    <s v="OD"/>
    <n v="154.97999999999999"/>
    <d v="2025-06-06T00:00:00"/>
    <s v="Liaison inter-établissement vers TO "/>
    <m/>
    <e v="#N/A"/>
    <e v="#N/A"/>
    <n v="78229"/>
    <m/>
    <s v="ADOBE"/>
    <s v="Q2"/>
    <e v="#REF!"/>
    <e v="#REF!"/>
    <e v="#REF!"/>
  </r>
  <r>
    <s v="401000"/>
    <x v="6"/>
    <s v="FOURNISSEURS"/>
    <s v="OD"/>
    <n v="154.97999999999999"/>
    <d v="2025-07-06T00:00:00"/>
    <s v="Liaison inter-établissement vers TO "/>
    <m/>
    <e v="#N/A"/>
    <e v="#N/A"/>
    <n v="81019"/>
    <m/>
    <s v="ADOBE"/>
    <s v="Q3"/>
    <e v="#REF!"/>
    <e v="#REF!"/>
    <e v="#REF!"/>
  </r>
  <r>
    <s v="401000"/>
    <x v="6"/>
    <s v="FOURNISSEURS"/>
    <s v="OD"/>
    <n v="154.97999999999999"/>
    <d v="2025-08-06T00:00:00"/>
    <s v="Liaison inter-établissement vers TO "/>
    <m/>
    <e v="#N/A"/>
    <e v="#N/A"/>
    <n v="83318"/>
    <m/>
    <s v="ADOBE"/>
    <s v="Q3"/>
    <e v="#REF!"/>
    <e v="#REF!"/>
    <e v="#REF!"/>
  </r>
  <r>
    <s v="401000"/>
    <x v="6"/>
    <s v="FOURNISSEURS"/>
    <s v="OD"/>
    <n v="154.97999999999999"/>
    <d v="2025-09-06T00:00:00"/>
    <s v="Liaison inter-établissement vers TO "/>
    <m/>
    <e v="#N/A"/>
    <e v="#N/A"/>
    <n v="83322"/>
    <m/>
    <s v="ADOBE"/>
    <s v="Q3"/>
    <e v="#REF!"/>
    <e v="#REF!"/>
    <e v="#REF!"/>
  </r>
  <r>
    <s v="401000"/>
    <x v="6"/>
    <s v="FOURNISSEURS"/>
    <s v="OD"/>
    <n v="154.97999999999999"/>
    <d v="2025-10-06T00:00:00"/>
    <s v="Liaison inter-établissement vers TO "/>
    <m/>
    <e v="#N/A"/>
    <e v="#N/A"/>
    <n v="89697"/>
    <m/>
    <s v="ADOBE"/>
    <s v="Q4"/>
    <e v="#REF!"/>
    <e v="#REF!"/>
    <e v="#REF!"/>
  </r>
  <r>
    <s v="401000"/>
    <x v="6"/>
    <s v="FOURNISSEURS"/>
    <s v="OD"/>
    <n v="154.97999999999999"/>
    <d v="2025-11-06T00:00:00"/>
    <s v="Liaison inter-établissement vers TO "/>
    <m/>
    <e v="#N/A"/>
    <e v="#N/A"/>
    <n v="91574"/>
    <m/>
    <s v="ADOBE"/>
    <s v="Q4"/>
    <e v="#REF!"/>
    <e v="#REF!"/>
    <e v="#REF!"/>
  </r>
  <r>
    <s v="401000"/>
    <x v="6"/>
    <s v="FOURNISSEURS"/>
    <s v="OD"/>
    <n v="154.97999999999999"/>
    <d v="2025-12-06T00:00:00"/>
    <s v="Liaison inter-établissement vers TO "/>
    <m/>
    <e v="#N/A"/>
    <e v="#N/A"/>
    <n v="94062"/>
    <m/>
    <s v="ADOBE"/>
    <s v="Q4"/>
    <e v="#REF!"/>
    <e v="#REF!"/>
    <e v="#REF!"/>
  </r>
  <r>
    <s v="401000"/>
    <x v="6"/>
    <s v="FOURNISSEURS"/>
    <s v="OD"/>
    <n v="156"/>
    <d v="2025-02-18T00:00:00"/>
    <s v="Liaison inter-établissement vers TO "/>
    <m/>
    <e v="#N/A"/>
    <e v="#N/A"/>
    <n v="70010"/>
    <m/>
    <s v="SNCF"/>
    <s v="Q1"/>
    <e v="#REF!"/>
    <e v="#REF!"/>
    <e v="#REF!"/>
  </r>
  <r>
    <s v="401000"/>
    <x v="6"/>
    <s v="FOURNISSEURS"/>
    <s v="OD"/>
    <n v="156"/>
    <d v="2025-07-22T00:00:00"/>
    <s v="Liaison établissement 401000 BROSSIER RO"/>
    <m/>
    <e v="#N/A"/>
    <e v="#N/A"/>
    <n v="78310"/>
    <s v="TRANSPORT ESSAI 1 ROUSSELET ROBATEL"/>
    <s v="BROSSIER TRANSPORTS"/>
    <s v="Q3"/>
    <e v="#REF!"/>
    <e v="#REF!"/>
    <e v="#REF!"/>
  </r>
  <r>
    <s v="401000"/>
    <x v="6"/>
    <s v="FOURNISSEURS"/>
    <s v="OD"/>
    <n v="156.24"/>
    <d v="2025-02-04T00:00:00"/>
    <s v="Liaison inter-établissement vers TO "/>
    <m/>
    <e v="#N/A"/>
    <e v="#N/A"/>
    <n v="72758"/>
    <m/>
    <s v="ENGIE"/>
    <s v="Q1"/>
    <e v="#REF!"/>
    <e v="#REF!"/>
    <e v="#REF!"/>
  </r>
  <r>
    <s v="401000"/>
    <x v="6"/>
    <s v="FOURNISSEURS"/>
    <s v="OD"/>
    <n v="157.19999999999999"/>
    <d v="2025-02-20T00:00:00"/>
    <s v="Liaison inter-établissement vers TO "/>
    <m/>
    <e v="#N/A"/>
    <e v="#N/A"/>
    <n v="63849"/>
    <m/>
    <s v="Sigma-Aldrich chimie"/>
    <s v="Q1"/>
    <e v="#REF!"/>
    <e v="#REF!"/>
    <e v="#REF!"/>
  </r>
  <r>
    <s v="401000"/>
    <x v="6"/>
    <s v="FOURNISSEURS"/>
    <s v="OD"/>
    <n v="157.19999999999999"/>
    <d v="2025-06-16T00:00:00"/>
    <s v="Liaison établissement 401000 SIGMA RO"/>
    <m/>
    <e v="#N/A"/>
    <e v="#N/A"/>
    <n v="76039"/>
    <s v="ACCESSOIRE LABO ANALYSES R."/>
    <s v="Sigma-Aldrich chimie"/>
    <s v="Q2"/>
    <e v="#REF!"/>
    <e v="#REF!"/>
    <e v="#REF!"/>
  </r>
  <r>
    <s v="401000"/>
    <x v="6"/>
    <s v="FOURNISSEURS"/>
    <s v="OD"/>
    <n v="157.19999999999999"/>
    <d v="2025-07-11T00:00:00"/>
    <s v="Liaison inter-établissement vers TO "/>
    <m/>
    <e v="#N/A"/>
    <e v="#N/A"/>
    <n v="81256"/>
    <m/>
    <s v="ORANGE"/>
    <s v="Q3"/>
    <e v="#REF!"/>
    <e v="#REF!"/>
    <e v="#REF!"/>
  </r>
  <r>
    <s v="401000"/>
    <x v="6"/>
    <s v="FOURNISSEURS"/>
    <s v="OD"/>
    <n v="157.19999999999999"/>
    <d v="2025-08-08T00:00:00"/>
    <s v="Liaison inter-établissement vers TO "/>
    <m/>
    <e v="#N/A"/>
    <e v="#N/A"/>
    <n v="87296"/>
    <m/>
    <s v="ORANGE"/>
    <s v="Q3"/>
    <e v="#REF!"/>
    <e v="#REF!"/>
    <e v="#REF!"/>
  </r>
  <r>
    <s v="401000"/>
    <x v="6"/>
    <s v="FOURNISSEURS"/>
    <s v="OD"/>
    <n v="157.19999999999999"/>
    <d v="2025-09-08T00:00:00"/>
    <s v="Liaison inter-établissement vers TO "/>
    <m/>
    <e v="#N/A"/>
    <e v="#N/A"/>
    <n v="82258"/>
    <m/>
    <s v="ORANGE"/>
    <s v="Q3"/>
    <e v="#REF!"/>
    <e v="#REF!"/>
    <e v="#REF!"/>
  </r>
  <r>
    <s v="401000"/>
    <x v="6"/>
    <s v="FOURNISSEURS"/>
    <s v="OD"/>
    <n v="157.19999999999999"/>
    <d v="2025-10-10T00:00:00"/>
    <s v="Liaison inter-établissement vers TO "/>
    <m/>
    <e v="#N/A"/>
    <e v="#N/A"/>
    <n v="90085"/>
    <m/>
    <s v="ORANGE"/>
    <s v="Q4"/>
    <e v="#REF!"/>
    <e v="#REF!"/>
    <e v="#REF!"/>
  </r>
  <r>
    <s v="401000"/>
    <x v="6"/>
    <s v="FOURNISSEURS"/>
    <s v="OD"/>
    <n v="157.19999999999999"/>
    <d v="2025-11-07T00:00:00"/>
    <s v="Liaison inter-établissement vers TO "/>
    <m/>
    <e v="#N/A"/>
    <e v="#N/A"/>
    <n v="90089"/>
    <m/>
    <s v="ORANGE"/>
    <s v="Q4"/>
    <e v="#REF!"/>
    <e v="#REF!"/>
    <e v="#REF!"/>
  </r>
  <r>
    <s v="401000"/>
    <x v="6"/>
    <s v="FOURNISSEURS"/>
    <s v="OD"/>
    <n v="157.19999999999999"/>
    <d v="2025-12-08T00:00:00"/>
    <s v="Liaison inter-établissement vers TO "/>
    <m/>
    <e v="#N/A"/>
    <e v="#N/A"/>
    <n v="92963"/>
    <m/>
    <s v="ORANGE"/>
    <s v="Q4"/>
    <e v="#REF!"/>
    <e v="#REF!"/>
    <e v="#REF!"/>
  </r>
  <r>
    <s v="401000"/>
    <x v="6"/>
    <s v="FOURNISSEURS"/>
    <s v="OD"/>
    <n v="158.16999999999999"/>
    <d v="2025-12-30T00:00:00"/>
    <s v="Liaison établissement 401000 VWR KB"/>
    <m/>
    <e v="#N/A"/>
    <e v="#N/A"/>
    <n v="93837"/>
    <s v="4067869549"/>
    <s v="VWR AVANTOR"/>
    <s v="Q4"/>
    <e v="#REF!"/>
    <e v="#REF!"/>
    <e v="#REF!"/>
  </r>
  <r>
    <s v="401000"/>
    <x v="6"/>
    <s v="FOURNISSEURS"/>
    <s v="OD"/>
    <n v="158.65"/>
    <d v="2025-01-31T00:00:00"/>
    <s v="Liaison inter-établissement vers TO "/>
    <m/>
    <e v="#N/A"/>
    <e v="#N/A"/>
    <n v="73104"/>
    <m/>
    <s v="FENWICK FINANCIAL SERVICES"/>
    <s v="Q1"/>
    <e v="#REF!"/>
    <e v="#REF!"/>
    <e v="#REF!"/>
  </r>
  <r>
    <s v="401000"/>
    <x v="6"/>
    <s v="FOURNISSEURS"/>
    <s v="OD"/>
    <n v="158.65"/>
    <d v="2025-02-28T00:00:00"/>
    <s v="Liaison inter-établissement vers TO "/>
    <m/>
    <e v="#N/A"/>
    <e v="#N/A"/>
    <n v="73108"/>
    <m/>
    <s v="FENWICK FINANCIAL SERVICES"/>
    <s v="Q1"/>
    <e v="#REF!"/>
    <e v="#REF!"/>
    <e v="#REF!"/>
  </r>
  <r>
    <s v="401000"/>
    <x v="6"/>
    <s v="FOURNISSEURS"/>
    <s v="OD"/>
    <n v="158.65"/>
    <d v="2025-03-31T00:00:00"/>
    <s v="Liaison inter-établissement vers TO "/>
    <m/>
    <e v="#N/A"/>
    <e v="#N/A"/>
    <n v="73112"/>
    <m/>
    <s v="FENWICK FINANCIAL SERVICES"/>
    <s v="Q1"/>
    <e v="#REF!"/>
    <e v="#REF!"/>
    <e v="#REF!"/>
  </r>
  <r>
    <s v="401000"/>
    <x v="6"/>
    <s v="FOURNISSEURS"/>
    <s v="OD"/>
    <n v="158.65"/>
    <d v="2025-04-11T00:00:00"/>
    <s v="Liaison inter-établissement vers TO "/>
    <m/>
    <e v="#N/A"/>
    <e v="#N/A"/>
    <n v="70102"/>
    <m/>
    <s v="FENWICK FINANCIAL SERVICES"/>
    <s v="Q2"/>
    <e v="#REF!"/>
    <e v="#REF!"/>
    <e v="#REF!"/>
  </r>
  <r>
    <s v="401000"/>
    <x v="6"/>
    <s v="FOURNISSEURS"/>
    <s v="OD"/>
    <n v="158.65"/>
    <d v="2025-05-13T00:00:00"/>
    <s v="Liaison inter-établissement vers TO "/>
    <m/>
    <e v="#N/A"/>
    <e v="#N/A"/>
    <n v="73116"/>
    <m/>
    <s v="FENWICK FINANCIAL SERVICES"/>
    <s v="Q2"/>
    <e v="#REF!"/>
    <e v="#REF!"/>
    <e v="#REF!"/>
  </r>
  <r>
    <s v="401000"/>
    <x v="6"/>
    <s v="FOURNISSEURS"/>
    <s v="OD"/>
    <n v="158.65"/>
    <d v="2025-06-30T00:00:00"/>
    <s v="Liaison inter-établissement vers TO "/>
    <m/>
    <e v="#N/A"/>
    <e v="#N/A"/>
    <n v="76017"/>
    <m/>
    <s v="FENWICK FINANCIAL SERVICES"/>
    <s v="Q2"/>
    <e v="#REF!"/>
    <e v="#REF!"/>
    <e v="#REF!"/>
  </r>
  <r>
    <s v="401000"/>
    <x v="6"/>
    <s v="FOURNISSEURS"/>
    <s v="OD"/>
    <n v="158.65"/>
    <d v="2025-07-11T00:00:00"/>
    <s v="Liaison inter-établissement vers TO "/>
    <m/>
    <e v="#N/A"/>
    <e v="#N/A"/>
    <n v="78878"/>
    <m/>
    <s v="FENWICK FINANCIAL SERVICES"/>
    <s v="Q3"/>
    <e v="#REF!"/>
    <e v="#REF!"/>
    <e v="#REF!"/>
  </r>
  <r>
    <s v="401000"/>
    <x v="6"/>
    <s v="FOURNISSEURS"/>
    <s v="OD"/>
    <n v="158.65"/>
    <d v="2025-08-11T00:00:00"/>
    <s v="Liaison inter-établissement vers TO "/>
    <m/>
    <e v="#N/A"/>
    <e v="#N/A"/>
    <n v="81570"/>
    <m/>
    <s v="FENWICK FINANCIAL SERVICES"/>
    <s v="Q3"/>
    <e v="#REF!"/>
    <e v="#REF!"/>
    <e v="#REF!"/>
  </r>
  <r>
    <s v="401000"/>
    <x v="6"/>
    <s v="FOURNISSEURS"/>
    <s v="OD"/>
    <n v="158.65"/>
    <d v="2025-09-11T00:00:00"/>
    <s v="Liaison inter-établissement vers TO "/>
    <m/>
    <e v="#N/A"/>
    <e v="#N/A"/>
    <n v="82102"/>
    <m/>
    <s v="FENWICK FINANCIAL SERVICES"/>
    <s v="Q3"/>
    <e v="#REF!"/>
    <e v="#REF!"/>
    <e v="#REF!"/>
  </r>
  <r>
    <s v="401000"/>
    <x v="6"/>
    <s v="FOURNISSEURS"/>
    <s v="OD"/>
    <n v="158.65"/>
    <d v="2025-10-13T00:00:00"/>
    <s v="Liaison inter-établissement vers TO "/>
    <m/>
    <e v="#N/A"/>
    <e v="#N/A"/>
    <n v="86972"/>
    <m/>
    <s v="FENWICK FINANCIAL SERVICES"/>
    <s v="Q4"/>
    <e v="#REF!"/>
    <e v="#REF!"/>
    <e v="#REF!"/>
  </r>
  <r>
    <s v="401000"/>
    <x v="6"/>
    <s v="FOURNISSEURS"/>
    <s v="OD"/>
    <n v="158.65"/>
    <d v="2025-11-13T00:00:00"/>
    <s v="Liaison inter-établissement vers TO "/>
    <m/>
    <e v="#N/A"/>
    <e v="#N/A"/>
    <n v="90024"/>
    <m/>
    <s v="FENWICK FINANCIAL SERVICES"/>
    <s v="Q4"/>
    <e v="#REF!"/>
    <e v="#REF!"/>
    <e v="#REF!"/>
  </r>
  <r>
    <s v="401000"/>
    <x v="6"/>
    <s v="FOURNISSEURS"/>
    <s v="OD"/>
    <n v="158.65"/>
    <d v="2025-12-31T00:00:00"/>
    <s v="Liaison inter-établissement vers TO "/>
    <m/>
    <e v="#N/A"/>
    <e v="#N/A"/>
    <n v="92133"/>
    <m/>
    <s v="FENWICK FINANCIAL SERVICES"/>
    <s v="Q4"/>
    <e v="#REF!"/>
    <e v="#REF!"/>
    <e v="#REF!"/>
  </r>
  <r>
    <s v="401000"/>
    <x v="6"/>
    <s v="FOURNISSEURS"/>
    <s v="OD"/>
    <n v="159"/>
    <d v="2025-02-14T00:00:00"/>
    <s v="Liaison inter-établissement vers TO "/>
    <m/>
    <e v="#N/A"/>
    <e v="#N/A"/>
    <n v="66749"/>
    <m/>
    <s v="SNCF"/>
    <s v="Q1"/>
    <e v="#REF!"/>
    <e v="#REF!"/>
    <e v="#REF!"/>
  </r>
  <r>
    <s v="401000"/>
    <x v="6"/>
    <s v="FOURNISSEURS"/>
    <s v="OD"/>
    <n v="159.5"/>
    <d v="2025-05-01T00:00:00"/>
    <s v="Liaison inter-établissement vers TO "/>
    <m/>
    <s v="Non"/>
    <e v="#N/A"/>
    <n v="74797"/>
    <m/>
    <s v="DIVERS"/>
    <s v="Q2"/>
    <e v="#REF!"/>
    <e v="#REF!"/>
    <e v="#REF!"/>
  </r>
  <r>
    <s v="401000"/>
    <x v="6"/>
    <s v="FOURNISSEURS"/>
    <s v="OD"/>
    <n v="160"/>
    <d v="2025-04-15T00:00:00"/>
    <s v="Liaison inter-établissement vers TO "/>
    <m/>
    <e v="#N/A"/>
    <e v="#N/A"/>
    <n v="74993"/>
    <m/>
    <s v="SNCF"/>
    <s v="Q2"/>
    <e v="#REF!"/>
    <e v="#REF!"/>
    <e v="#REF!"/>
  </r>
  <r>
    <s v="401000"/>
    <x v="6"/>
    <s v="FOURNISSEURS"/>
    <s v="OD"/>
    <n v="160.80000000000001"/>
    <d v="2025-06-16T00:00:00"/>
    <s v="Liaison établissement 401000 SIGMA RO"/>
    <m/>
    <e v="#N/A"/>
    <e v="#N/A"/>
    <n v="76034"/>
    <s v="HYDROXYLAMINE SULFATE"/>
    <s v="Sigma-Aldrich chimie"/>
    <s v="Q2"/>
    <e v="#REF!"/>
    <e v="#REF!"/>
    <e v="#REF!"/>
  </r>
  <r>
    <s v="401000"/>
    <x v="6"/>
    <s v="FOURNISSEURS"/>
    <s v="OD"/>
    <n v="160.80000000000001"/>
    <d v="2025-08-22T00:00:00"/>
    <s v="Liaison établissement 401000 SIGMA RO"/>
    <m/>
    <e v="#N/A"/>
    <e v="#N/A"/>
    <n v="81611"/>
    <s v="HYDROXYLAMINE SULFATE POUR KEENY STEP 2"/>
    <s v="Sigma-Aldrich chimie"/>
    <s v="Q3"/>
    <e v="#REF!"/>
    <e v="#REF!"/>
    <e v="#REF!"/>
  </r>
  <r>
    <s v="401000"/>
    <x v="6"/>
    <s v="FOURNISSEURS"/>
    <s v="OD"/>
    <n v="162.08000000000001"/>
    <d v="2025-02-28T00:00:00"/>
    <s v="Liaison inter-établissement vers TO "/>
    <m/>
    <e v="#N/A"/>
    <e v="#N/A"/>
    <n v="63723"/>
    <m/>
    <s v="FISHER SCIENTIFIC"/>
    <s v="Q1"/>
    <e v="#REF!"/>
    <e v="#REF!"/>
    <e v="#REF!"/>
  </r>
  <r>
    <s v="401000"/>
    <x v="6"/>
    <s v="FOURNISSEURS"/>
    <s v="OD"/>
    <n v="165.13"/>
    <d v="2025-06-02T00:00:00"/>
    <s v="Liaison établissement 401000 FISHER RO"/>
    <m/>
    <e v="#N/A"/>
    <e v="#N/A"/>
    <n v="75298"/>
    <s v="Invoice Payment By Pili"/>
    <s v="FISHER SCIENTIFIC"/>
    <s v="Q2"/>
    <e v="#REF!"/>
    <e v="#REF!"/>
    <e v="#REF!"/>
  </r>
  <r>
    <s v="401000"/>
    <x v="6"/>
    <s v="FOURNISSEURS"/>
    <s v="OD"/>
    <n v="166.13"/>
    <d v="2025-01-31T00:00:00"/>
    <s v="Liaison inter-établissement vers TO "/>
    <m/>
    <e v="#N/A"/>
    <e v="#N/A"/>
    <n v="87132"/>
    <m/>
    <s v="AIR LIQUIDE"/>
    <s v="Q1"/>
    <e v="#REF!"/>
    <e v="#REF!"/>
    <e v="#REF!"/>
  </r>
  <r>
    <s v="401000"/>
    <x v="6"/>
    <s v="FOURNISSEURS"/>
    <s v="OD"/>
    <n v="167.8"/>
    <d v="2025-06-20T00:00:00"/>
    <s v="Liaison inter-établissement vers TO "/>
    <m/>
    <e v="#N/A"/>
    <e v="#N/A"/>
    <n v="78261"/>
    <m/>
    <s v="NMMEDICAL"/>
    <s v="Q2"/>
    <e v="#REF!"/>
    <e v="#REF!"/>
    <e v="#REF!"/>
  </r>
  <r>
    <s v="401000"/>
    <x v="6"/>
    <s v="FOURNISSEURS"/>
    <s v="OD"/>
    <n v="168"/>
    <d v="2025-07-31T00:00:00"/>
    <s v="Liaison établissement 401000 TRANSPERFECT LY"/>
    <m/>
    <e v="#N/A"/>
    <e v="#N/A"/>
    <n v="79210"/>
    <s v="RELECTURE TEXTE VOIX OFF ANGLAISE"/>
    <s v="TRANSPERFECT TRADUCTIONS"/>
    <s v="Q3"/>
    <e v="#REF!"/>
    <e v="#REF!"/>
    <e v="#REF!"/>
  </r>
  <r>
    <s v="401000"/>
    <x v="6"/>
    <s v="FOURNISSEURS"/>
    <s v="OD"/>
    <n v="168.59"/>
    <d v="2025-02-26T00:00:00"/>
    <s v="Liaison inter-établissement vers TO "/>
    <s v="Non"/>
    <s v="Non"/>
    <e v="#N/A"/>
    <n v="72794"/>
    <m/>
    <s v="LINKEDIN"/>
    <s v="Q1"/>
    <e v="#REF!"/>
    <e v="#REF!"/>
    <e v="#REF!"/>
  </r>
  <r>
    <s v="401000"/>
    <x v="6"/>
    <s v="FOURNISSEURS"/>
    <s v="OD"/>
    <n v="168.59"/>
    <d v="2025-02-28T00:00:00"/>
    <s v="Liaison inter-établissement vers TO "/>
    <s v="Non"/>
    <s v="Non"/>
    <e v="#N/A"/>
    <n v="72786"/>
    <m/>
    <s v="LINKEDIN"/>
    <s v="Q1"/>
    <e v="#REF!"/>
    <e v="#REF!"/>
    <e v="#REF!"/>
  </r>
  <r>
    <s v="401000"/>
    <x v="6"/>
    <s v="FOURNISSEURS"/>
    <s v="OD"/>
    <n v="168.59"/>
    <d v="2025-03-27T00:00:00"/>
    <s v="Liaison inter-établissement vers TO "/>
    <s v="Non"/>
    <s v="Non"/>
    <e v="#N/A"/>
    <n v="72790"/>
    <m/>
    <s v="LINKEDIN"/>
    <s v="Q1"/>
    <e v="#REF!"/>
    <e v="#REF!"/>
    <e v="#REF!"/>
  </r>
  <r>
    <s v="401000"/>
    <x v="6"/>
    <s v="FOURNISSEURS"/>
    <s v="OD"/>
    <n v="168.59"/>
    <d v="2025-10-30T00:00:00"/>
    <s v="Liaison inter-établissement vers TO "/>
    <s v="Non"/>
    <s v="Non"/>
    <e v="#N/A"/>
    <n v="91851"/>
    <m/>
    <s v="LINKEDIN"/>
    <s v="Q4"/>
    <e v="#REF!"/>
    <e v="#REF!"/>
    <e v="#REF!"/>
  </r>
  <r>
    <s v="401000"/>
    <x v="6"/>
    <s v="FOURNISSEURS"/>
    <s v="OD"/>
    <n v="168.59"/>
    <d v="2025-11-27T00:00:00"/>
    <s v="Liaison inter-établissement vers TO "/>
    <s v="Non"/>
    <s v="Non"/>
    <e v="#N/A"/>
    <n v="91855"/>
    <m/>
    <s v="LINKEDIN"/>
    <s v="Q4"/>
    <e v="#REF!"/>
    <e v="#REF!"/>
    <e v="#REF!"/>
  </r>
  <r>
    <s v="401000"/>
    <x v="6"/>
    <s v="FOURNISSEURS"/>
    <s v="OD"/>
    <n v="168.59"/>
    <d v="2025-12-27T00:00:00"/>
    <s v="Liaison inter-établissement vers TO "/>
    <s v="Non"/>
    <s v="Non"/>
    <e v="#N/A"/>
    <n v="96034"/>
    <m/>
    <s v="LINKEDIN"/>
    <s v="Q4"/>
    <e v="#REF!"/>
    <e v="#REF!"/>
    <e v="#REF!"/>
  </r>
  <r>
    <s v="401000"/>
    <x v="6"/>
    <s v="FOURNISSEURS"/>
    <s v="OD"/>
    <n v="170.04"/>
    <d v="2025-03-18T00:00:00"/>
    <s v="Liaison inter-établissement vers TO "/>
    <m/>
    <e v="#N/A"/>
    <e v="#N/A"/>
    <n v="64493"/>
    <m/>
    <s v="VWR AVANTOR"/>
    <s v="Q1"/>
    <e v="#REF!"/>
    <e v="#REF!"/>
    <e v="#REF!"/>
  </r>
  <r>
    <s v="401000"/>
    <x v="6"/>
    <s v="FOURNISSEURS"/>
    <s v="OD"/>
    <n v="171.22"/>
    <d v="2025-10-01T00:00:00"/>
    <s v="Liaison inter-établissement vers TO "/>
    <m/>
    <e v="#N/A"/>
    <e v="#N/A"/>
    <n v="89709"/>
    <m/>
    <s v="AIRLINES"/>
    <s v="Q4"/>
    <e v="#REF!"/>
    <e v="#REF!"/>
    <e v="#REF!"/>
  </r>
  <r>
    <s v="401000"/>
    <x v="6"/>
    <s v="FOURNISSEURS"/>
    <s v="OD"/>
    <n v="171.94"/>
    <d v="2025-04-25T00:00:00"/>
    <s v="Liaison établissement 401000 CLOUP KB"/>
    <m/>
    <e v="#N/A"/>
    <e v="#N/A"/>
    <n v="70146"/>
    <s v="Invoice Payment by Pili"/>
    <s v="CLOUP"/>
    <s v="Q2"/>
    <e v="#REF!"/>
    <e v="#REF!"/>
    <e v="#REF!"/>
  </r>
  <r>
    <s v="401000"/>
    <x v="6"/>
    <s v="FOURNISSEURS"/>
    <s v="OD"/>
    <n v="172"/>
    <d v="2025-10-29T00:00:00"/>
    <s v="Liaison inter-établissement vers TO "/>
    <m/>
    <e v="#N/A"/>
    <e v="#N/A"/>
    <n v="89823"/>
    <m/>
    <s v="SNCF"/>
    <s v="Q4"/>
    <e v="#REF!"/>
    <e v="#REF!"/>
    <e v="#REF!"/>
  </r>
  <r>
    <s v="401000"/>
    <x v="6"/>
    <s v="FOURNISSEURS"/>
    <s v="OD"/>
    <n v="172.78"/>
    <d v="2025-12-04T00:00:00"/>
    <s v="Liaison inter-établissement vers TO "/>
    <m/>
    <e v="#N/A"/>
    <e v="#N/A"/>
    <n v="94078"/>
    <m/>
    <s v="GANDI"/>
    <s v="Q4"/>
    <e v="#REF!"/>
    <e v="#REF!"/>
    <e v="#REF!"/>
  </r>
  <r>
    <s v="401000"/>
    <x v="6"/>
    <s v="FOURNISSEURS"/>
    <s v="OD"/>
    <n v="172.8"/>
    <d v="2025-07-16T00:00:00"/>
    <s v="Liaison inter-établissement vers TO "/>
    <m/>
    <e v="#N/A"/>
    <e v="#N/A"/>
    <n v="85058"/>
    <m/>
    <s v="MANUTAN"/>
    <s v="Q3"/>
    <e v="#REF!"/>
    <e v="#REF!"/>
    <e v="#REF!"/>
  </r>
  <r>
    <s v="401000"/>
    <x v="6"/>
    <s v="FOURNISSEURS"/>
    <s v="OD"/>
    <n v="174.96"/>
    <d v="2025-02-15T00:00:00"/>
    <s v="Liaison inter-établissement vers TO "/>
    <m/>
    <e v="#N/A"/>
    <e v="#N/A"/>
    <n v="64325"/>
    <m/>
    <s v="PROLIANS"/>
    <s v="Q1"/>
    <e v="#REF!"/>
    <e v="#REF!"/>
    <e v="#REF!"/>
  </r>
  <r>
    <s v="401000"/>
    <x v="6"/>
    <s v="FOURNISSEURS"/>
    <s v="OD"/>
    <n v="174.99"/>
    <d v="2025-06-12T00:00:00"/>
    <s v="Liaison inter-établissement vers TO "/>
    <m/>
    <e v="#N/A"/>
    <e v="#N/A"/>
    <n v="78201"/>
    <m/>
    <s v="AIChE"/>
    <s v="Q2"/>
    <e v="#REF!"/>
    <e v="#REF!"/>
    <e v="#REF!"/>
  </r>
  <r>
    <s v="401000"/>
    <x v="6"/>
    <s v="FOURNISSEURS"/>
    <s v="OD"/>
    <n v="176"/>
    <d v="2025-01-23T00:00:00"/>
    <s v="Liaison inter-établissement vers TO "/>
    <m/>
    <e v="#N/A"/>
    <e v="#N/A"/>
    <n v="63897"/>
    <m/>
    <s v="SNCF"/>
    <s v="Q1"/>
    <e v="#REF!"/>
    <e v="#REF!"/>
    <e v="#REF!"/>
  </r>
  <r>
    <s v="401000"/>
    <x v="6"/>
    <s v="FOURNISSEURS"/>
    <s v="OD"/>
    <n v="176"/>
    <d v="2025-02-12T00:00:00"/>
    <s v="Liaison inter-établissement vers TO "/>
    <m/>
    <e v="#N/A"/>
    <e v="#N/A"/>
    <n v="64373"/>
    <m/>
    <s v="SNCF"/>
    <s v="Q1"/>
    <e v="#REF!"/>
    <e v="#REF!"/>
    <e v="#REF!"/>
  </r>
  <r>
    <s v="401000"/>
    <x v="6"/>
    <s v="FOURNISSEURS"/>
    <s v="OD"/>
    <n v="176"/>
    <d v="2025-05-24T00:00:00"/>
    <s v="Liaison inter-établissement vers TO "/>
    <m/>
    <e v="#N/A"/>
    <e v="#N/A"/>
    <n v="78170"/>
    <m/>
    <s v="SNCF"/>
    <s v="Q2"/>
    <e v="#REF!"/>
    <e v="#REF!"/>
    <e v="#REF!"/>
  </r>
  <r>
    <s v="401000"/>
    <x v="6"/>
    <s v="FOURNISSEURS"/>
    <s v="OD"/>
    <n v="176"/>
    <d v="2025-05-27T00:00:00"/>
    <s v="Liaison inter-établissement vers TO "/>
    <m/>
    <e v="#N/A"/>
    <e v="#N/A"/>
    <n v="78134"/>
    <m/>
    <s v="SNCF"/>
    <s v="Q2"/>
    <e v="#REF!"/>
    <e v="#REF!"/>
    <e v="#REF!"/>
  </r>
  <r>
    <s v="401000"/>
    <x v="6"/>
    <s v="FOURNISSEURS"/>
    <s v="OD"/>
    <n v="176"/>
    <d v="2025-09-15T00:00:00"/>
    <s v="Liaison inter-établissement vers TO "/>
    <m/>
    <e v="#N/A"/>
    <e v="#N/A"/>
    <n v="83138"/>
    <m/>
    <s v="SNCF"/>
    <s v="Q3"/>
    <e v="#REF!"/>
    <e v="#REF!"/>
    <e v="#REF!"/>
  </r>
  <r>
    <s v="401000"/>
    <x v="6"/>
    <s v="FOURNISSEURS"/>
    <s v="OD"/>
    <n v="176"/>
    <d v="2025-10-21T00:00:00"/>
    <s v="Liaison inter-établissement vers TO "/>
    <m/>
    <e v="#N/A"/>
    <e v="#N/A"/>
    <n v="89811"/>
    <m/>
    <s v="SNCF"/>
    <s v="Q4"/>
    <e v="#REF!"/>
    <e v="#REF!"/>
    <e v="#REF!"/>
  </r>
  <r>
    <s v="401000"/>
    <x v="6"/>
    <s v="FOURNISSEURS"/>
    <s v="OD"/>
    <n v="177"/>
    <d v="2025-11-17T00:00:00"/>
    <s v="Liaison établissement 401000 GINELOG RO"/>
    <m/>
    <e v="#N/A"/>
    <e v="#N/A"/>
    <n v="90132"/>
    <s v="LOCATION MINIBUS ÉQUIPE ROUSSILLON DÉPLACEMENT SÉMINAIRE PILI"/>
    <s v="GINE-LOG"/>
    <s v="Q4"/>
    <e v="#REF!"/>
    <e v="#REF!"/>
    <e v="#REF!"/>
  </r>
  <r>
    <s v="401000"/>
    <x v="6"/>
    <s v="FOURNISSEURS"/>
    <s v="OD"/>
    <n v="178.36"/>
    <d v="2025-07-12T00:00:00"/>
    <s v="Liaison inter-établissement vers TO "/>
    <m/>
    <e v="#N/A"/>
    <e v="#N/A"/>
    <n v="81027"/>
    <m/>
    <s v="RS COMPONENT"/>
    <s v="Q3"/>
    <e v="#REF!"/>
    <e v="#REF!"/>
    <e v="#REF!"/>
  </r>
  <r>
    <s v="401000"/>
    <x v="6"/>
    <s v="FOURNISSEURS"/>
    <s v="OD"/>
    <n v="178.61"/>
    <d v="2025-02-28T00:00:00"/>
    <s v="Liaison inter-établissement vers TO "/>
    <m/>
    <e v="#N/A"/>
    <e v="#N/A"/>
    <n v="90107"/>
    <m/>
    <s v="AIR LIQUIDE"/>
    <s v="Q1"/>
    <e v="#REF!"/>
    <e v="#REF!"/>
    <e v="#REF!"/>
  </r>
  <r>
    <s v="401000"/>
    <x v="6"/>
    <s v="FOURNISSEURS"/>
    <s v="OD"/>
    <n v="178.61"/>
    <d v="2025-05-30T00:00:00"/>
    <s v="Liaison inter-établissement vers TO "/>
    <m/>
    <e v="#N/A"/>
    <e v="#N/A"/>
    <n v="75018"/>
    <m/>
    <s v="AIR LIQUIDE"/>
    <s v="Q2"/>
    <e v="#REF!"/>
    <e v="#REF!"/>
    <e v="#REF!"/>
  </r>
  <r>
    <s v="401000"/>
    <x v="6"/>
    <s v="FOURNISSEURS"/>
    <s v="OD"/>
    <n v="178.61"/>
    <d v="2025-07-31T00:00:00"/>
    <s v="Liaison inter-établissement vers TO "/>
    <m/>
    <e v="#N/A"/>
    <e v="#N/A"/>
    <n v="81917"/>
    <m/>
    <s v="AIR LIQUIDE"/>
    <s v="Q3"/>
    <e v="#REF!"/>
    <e v="#REF!"/>
    <e v="#REF!"/>
  </r>
  <r>
    <s v="401000"/>
    <x v="6"/>
    <s v="FOURNISSEURS"/>
    <s v="OD"/>
    <n v="178.61"/>
    <d v="2025-09-30T00:00:00"/>
    <s v="Liaison inter-établissement vers TO "/>
    <m/>
    <e v="#N/A"/>
    <e v="#N/A"/>
    <n v="82664"/>
    <m/>
    <s v="AIR LIQUIDE"/>
    <s v="Q3"/>
    <e v="#REF!"/>
    <e v="#REF!"/>
    <e v="#REF!"/>
  </r>
  <r>
    <s v="401000"/>
    <x v="6"/>
    <s v="FOURNISSEURS"/>
    <s v="OD"/>
    <n v="178.61"/>
    <d v="2025-12-31T00:00:00"/>
    <s v="Liaison inter-établissement vers TO "/>
    <m/>
    <e v="#N/A"/>
    <e v="#N/A"/>
    <n v="94999"/>
    <m/>
    <s v="AIR LIQUIDE"/>
    <s v="Q4"/>
    <e v="#REF!"/>
    <e v="#REF!"/>
    <e v="#REF!"/>
  </r>
  <r>
    <s v="401000"/>
    <x v="6"/>
    <s v="FOURNISSEURS"/>
    <s v="OD"/>
    <n v="178.8"/>
    <d v="2025-07-29T00:00:00"/>
    <s v="Liaison établissement 401000 SIGMA RO"/>
    <m/>
    <e v="#N/A"/>
    <e v="#N/A"/>
    <n v="78730"/>
    <s v="PRODUITS POUR VBIO ET V2020 AMINOIMINOMETHANESULFINIC ACID IRON II SULFATE HEPTAHYDRATE"/>
    <s v="Sigma-Aldrich chimie"/>
    <s v="Q3"/>
    <e v="#REF!"/>
    <e v="#REF!"/>
    <e v="#REF!"/>
  </r>
  <r>
    <s v="401000"/>
    <x v="6"/>
    <s v="FOURNISSEURS"/>
    <s v="OD"/>
    <n v="180"/>
    <d v="2025-07-31T00:00:00"/>
    <s v="Liaison établissement 401000 BECKER KB"/>
    <s v="Non"/>
    <s v="Oui"/>
    <e v="#N/A"/>
    <n v="79250"/>
    <s v="DEMANDE DE BREVET EN INDE (ÉTAT DE LA FAMILLE) - BREVET PHOENIX"/>
    <s v="BECKER"/>
    <s v="Q3"/>
    <e v="#REF!"/>
    <e v="#REF!"/>
    <e v="#REF!"/>
  </r>
  <r>
    <s v="401000"/>
    <x v="6"/>
    <s v="FOURNISSEURS"/>
    <s v="OD"/>
    <n v="181.2"/>
    <d v="2025-01-03T00:00:00"/>
    <s v="Liaison inter-établissement vers TO "/>
    <m/>
    <e v="#N/A"/>
    <e v="#N/A"/>
    <n v="63767"/>
    <m/>
    <s v="OPTIMUS"/>
    <s v="Q1"/>
    <e v="#REF!"/>
    <e v="#REF!"/>
    <e v="#REF!"/>
  </r>
  <r>
    <s v="401000"/>
    <x v="6"/>
    <s v="FOURNISSEURS"/>
    <s v="OD"/>
    <n v="181.2"/>
    <d v="2025-04-15T00:00:00"/>
    <s v="Liaison inter-établissement vers TO "/>
    <m/>
    <e v="#N/A"/>
    <e v="#N/A"/>
    <n v="68092"/>
    <m/>
    <s v="CLOUP"/>
    <s v="Q2"/>
    <e v="#REF!"/>
    <e v="#REF!"/>
    <e v="#REF!"/>
  </r>
  <r>
    <s v="401000"/>
    <x v="6"/>
    <s v="FOURNISSEURS"/>
    <s v="OD"/>
    <n v="181.54"/>
    <d v="2025-09-19T00:00:00"/>
    <s v="Liaison inter-établissement vers TO "/>
    <m/>
    <s v="Non"/>
    <e v="#N/A"/>
    <n v="85062"/>
    <m/>
    <s v="DIVERS"/>
    <s v="Q3"/>
    <e v="#REF!"/>
    <e v="#REF!"/>
    <e v="#REF!"/>
  </r>
  <r>
    <s v="401000"/>
    <x v="6"/>
    <s v="FOURNISSEURS"/>
    <s v="OD"/>
    <n v="182.39"/>
    <d v="2025-10-16T00:00:00"/>
    <s v="Liaison inter-établissement vers TO "/>
    <s v="Non"/>
    <s v="Non"/>
    <e v="#N/A"/>
    <n v="89681"/>
    <m/>
    <s v="LINKEDIN"/>
    <s v="Q4"/>
    <e v="#REF!"/>
    <e v="#REF!"/>
    <e v="#REF!"/>
  </r>
  <r>
    <s v="401000"/>
    <x v="6"/>
    <s v="FOURNISSEURS"/>
    <s v="OD"/>
    <n v="182.93"/>
    <d v="2025-02-14T00:00:00"/>
    <s v="Liaison inter-établissement vers TO "/>
    <m/>
    <e v="#N/A"/>
    <e v="#N/A"/>
    <n v="66773"/>
    <m/>
    <s v="AIRBNB"/>
    <s v="Q1"/>
    <e v="#REF!"/>
    <e v="#REF!"/>
    <e v="#REF!"/>
  </r>
  <r>
    <s v="401000"/>
    <x v="6"/>
    <s v="FOURNISSEURS"/>
    <s v="OD"/>
    <n v="183.02"/>
    <d v="2025-02-22T00:00:00"/>
    <s v="Liaison inter-établissement vers TO "/>
    <m/>
    <e v="#N/A"/>
    <e v="#N/A"/>
    <n v="74257"/>
    <m/>
    <s v="ORANGE"/>
    <s v="Q1"/>
    <e v="#REF!"/>
    <e v="#REF!"/>
    <e v="#REF!"/>
  </r>
  <r>
    <s v="401000"/>
    <x v="6"/>
    <s v="FOURNISSEURS"/>
    <s v="OD"/>
    <n v="184.32"/>
    <d v="2025-09-22T00:00:00"/>
    <s v="Liaison établissement 401000 OPTIMUS RO"/>
    <m/>
    <e v="#N/A"/>
    <e v="#N/A"/>
    <n v="82395"/>
    <s v="CLARINETTE POUR KL"/>
    <s v="OPTIMUS"/>
    <s v="Q3"/>
    <e v="#REF!"/>
    <e v="#REF!"/>
    <e v="#REF!"/>
  </r>
  <r>
    <s v="401000"/>
    <x v="6"/>
    <s v="FOURNISSEURS"/>
    <s v="OD"/>
    <n v="184.75"/>
    <d v="2025-05-14T00:00:00"/>
    <s v="Liaison établissement 401000 ROTH RO"/>
    <m/>
    <e v="#N/A"/>
    <e v="#N/A"/>
    <n v="72341"/>
    <s v="Invoice Payment by Pili"/>
    <s v="ROTH SOCHIEL"/>
    <s v="Q2"/>
    <e v="#REF!"/>
    <e v="#REF!"/>
    <e v="#REF!"/>
  </r>
  <r>
    <s v="401000"/>
    <x v="6"/>
    <s v="FOURNISSEURS"/>
    <s v="OD"/>
    <n v="186"/>
    <d v="2025-05-18T00:00:00"/>
    <s v="Liaison inter-établissement vers TO "/>
    <m/>
    <e v="#N/A"/>
    <e v="#N/A"/>
    <n v="78150"/>
    <m/>
    <s v="SNCF"/>
    <s v="Q2"/>
    <e v="#REF!"/>
    <e v="#REF!"/>
    <e v="#REF!"/>
  </r>
  <r>
    <s v="401000"/>
    <x v="6"/>
    <s v="FOURNISSEURS"/>
    <s v="OD"/>
    <n v="186.02"/>
    <d v="2025-10-15T00:00:00"/>
    <s v="Liaison inter-établissement vers TO "/>
    <m/>
    <e v="#N/A"/>
    <e v="#N/A"/>
    <n v="89771"/>
    <m/>
    <s v="RS COMPONENT"/>
    <s v="Q4"/>
    <e v="#REF!"/>
    <e v="#REF!"/>
    <e v="#REF!"/>
  </r>
  <r>
    <s v="401000"/>
    <x v="6"/>
    <s v="FOURNISSEURS"/>
    <s v="OD"/>
    <n v="186.42"/>
    <d v="2025-07-09T00:00:00"/>
    <s v="Liaison établissement 401000 VWR KB"/>
    <m/>
    <e v="#N/A"/>
    <e v="#N/A"/>
    <n v="77245"/>
    <s v="DODÉCYLSULFATE SEL DE SODIUM LAB"/>
    <s v="VWR AVANTOR"/>
    <s v="Q3"/>
    <e v="#REF!"/>
    <e v="#REF!"/>
    <e v="#REF!"/>
  </r>
  <r>
    <s v="401000"/>
    <x v="6"/>
    <s v="FOURNISSEURS"/>
    <s v="OD"/>
    <n v="187.2"/>
    <d v="2025-03-31T00:00:00"/>
    <s v="Liaison inter-établissement vers TO "/>
    <m/>
    <e v="#N/A"/>
    <e v="#N/A"/>
    <n v="72733"/>
    <m/>
    <s v="Banque Populaire Rive de Paris"/>
    <s v="Q1"/>
    <e v="#REF!"/>
    <e v="#REF!"/>
    <e v="#REF!"/>
  </r>
  <r>
    <s v="401000"/>
    <x v="6"/>
    <s v="FOURNISSEURS"/>
    <s v="OD"/>
    <n v="187.65"/>
    <d v="2025-12-03T00:00:00"/>
    <s v="Liaison inter-établissement vers TO "/>
    <m/>
    <e v="#N/A"/>
    <e v="#N/A"/>
    <n v="96038"/>
    <m/>
    <s v="AIRBNB"/>
    <s v="Q4"/>
    <e v="#REF!"/>
    <e v="#REF!"/>
    <e v="#REF!"/>
  </r>
  <r>
    <s v="401000"/>
    <x v="6"/>
    <s v="FOURNISSEURS"/>
    <s v="OD"/>
    <n v="188"/>
    <d v="2025-11-15T00:00:00"/>
    <s v="Liaison inter-établissement vers TO "/>
    <m/>
    <e v="#N/A"/>
    <e v="#N/A"/>
    <n v="91699"/>
    <m/>
    <s v="SNCF"/>
    <s v="Q4"/>
    <e v="#REF!"/>
    <e v="#REF!"/>
    <e v="#REF!"/>
  </r>
  <r>
    <s v="401000"/>
    <x v="6"/>
    <s v="FOURNISSEURS"/>
    <s v="OD"/>
    <n v="188.4"/>
    <d v="2025-02-28T00:00:00"/>
    <s v="Liaison inter-établissement vers TO "/>
    <m/>
    <e v="#N/A"/>
    <e v="#N/A"/>
    <n v="63551"/>
    <m/>
    <s v="ARESCOM"/>
    <s v="Q1"/>
    <e v="#REF!"/>
    <e v="#REF!"/>
    <e v="#REF!"/>
  </r>
  <r>
    <s v="401000"/>
    <x v="6"/>
    <s v="FOURNISSEURS"/>
    <s v="OD"/>
    <n v="188.52"/>
    <d v="2025-03-18T00:00:00"/>
    <s v="Liaison inter-établissement vers TO "/>
    <m/>
    <e v="#N/A"/>
    <e v="#N/A"/>
    <n v="64477"/>
    <m/>
    <s v="VWR AVANTOR"/>
    <s v="Q1"/>
    <e v="#REF!"/>
    <e v="#REF!"/>
    <e v="#REF!"/>
  </r>
  <r>
    <s v="401000"/>
    <x v="6"/>
    <s v="FOURNISSEURS"/>
    <s v="OD"/>
    <n v="188.55"/>
    <d v="2025-05-14T00:00:00"/>
    <s v="Liaison établissement 401000 BIOTIKA RO"/>
    <s v="Non"/>
    <e v="#N/A"/>
    <e v="#N/A"/>
    <n v="72291"/>
    <m/>
    <s v="BIOTIKA"/>
    <s v="Q2"/>
    <e v="#REF!"/>
    <e v="#REF!"/>
    <e v="#REF!"/>
  </r>
  <r>
    <s v="401000"/>
    <x v="6"/>
    <s v="FOURNISSEURS"/>
    <s v="OD"/>
    <n v="188.58"/>
    <d v="2025-02-28T00:00:00"/>
    <s v="Liaison inter-établissement vers TO "/>
    <m/>
    <e v="#N/A"/>
    <e v="#N/A"/>
    <n v="63623"/>
    <m/>
    <s v="CAWATOES"/>
    <s v="Q1"/>
    <e v="#REF!"/>
    <e v="#REF!"/>
    <e v="#REF!"/>
  </r>
  <r>
    <s v="401000"/>
    <x v="6"/>
    <s v="FOURNISSEURS"/>
    <s v="OD"/>
    <n v="189.6"/>
    <d v="2025-12-30T00:00:00"/>
    <s v="Liaison établissement 401000 ROTH RO"/>
    <m/>
    <e v="#N/A"/>
    <e v="#N/A"/>
    <n v="93857"/>
    <s v="4185754"/>
    <s v="ROTH SOCHIEL"/>
    <s v="Q4"/>
    <e v="#REF!"/>
    <e v="#REF!"/>
    <e v="#REF!"/>
  </r>
  <r>
    <s v="401000"/>
    <x v="6"/>
    <s v="FOURNISSEURS"/>
    <s v="OD"/>
    <n v="191"/>
    <d v="2025-12-03T00:00:00"/>
    <s v="Liaison inter-établissement vers TO "/>
    <m/>
    <e v="#N/A"/>
    <e v="#N/A"/>
    <n v="94114"/>
    <m/>
    <s v="SNCF"/>
    <s v="Q4"/>
    <e v="#REF!"/>
    <e v="#REF!"/>
    <e v="#REF!"/>
  </r>
  <r>
    <s v="401000"/>
    <x v="6"/>
    <s v="FOURNISSEURS"/>
    <s v="OD"/>
    <n v="194"/>
    <d v="2025-10-22T00:00:00"/>
    <s v="Liaison inter-établissement vers TO "/>
    <m/>
    <e v="#N/A"/>
    <e v="#N/A"/>
    <n v="89815"/>
    <m/>
    <s v="SNCF"/>
    <s v="Q4"/>
    <e v="#REF!"/>
    <e v="#REF!"/>
    <e v="#REF!"/>
  </r>
  <r>
    <s v="401000"/>
    <x v="6"/>
    <s v="FOURNISSEURS"/>
    <s v="OD"/>
    <n v="194.04"/>
    <d v="2025-07-31T00:00:00"/>
    <s v="Liaison établissement 401000 VWR KB"/>
    <m/>
    <e v="#N/A"/>
    <e v="#N/A"/>
    <n v="79365"/>
    <s v="COMMANDE CONSOMMABLE LABO"/>
    <s v="VWR AVANTOR"/>
    <s v="Q3"/>
    <e v="#REF!"/>
    <e v="#REF!"/>
    <e v="#REF!"/>
  </r>
  <r>
    <s v="401000"/>
    <x v="6"/>
    <s v="FOURNISSEURS"/>
    <s v="OD"/>
    <n v="194.2"/>
    <d v="2025-06-17T00:00:00"/>
    <s v="Liaison inter-établissement vers TO "/>
    <m/>
    <e v="#N/A"/>
    <e v="#N/A"/>
    <n v="78146"/>
    <m/>
    <s v="SNCF"/>
    <s v="Q2"/>
    <e v="#REF!"/>
    <e v="#REF!"/>
    <e v="#REF!"/>
  </r>
  <r>
    <s v="401000"/>
    <x v="6"/>
    <s v="FOURNISSEURS"/>
    <s v="OD"/>
    <n v="194.88"/>
    <d v="2025-12-10T00:00:00"/>
    <s v="Liaison établissement 401000 VWR KB"/>
    <m/>
    <e v="#N/A"/>
    <e v="#N/A"/>
    <n v="92058"/>
    <s v="4067855750"/>
    <s v="VWR AVANTOR"/>
    <s v="Q4"/>
    <e v="#REF!"/>
    <e v="#REF!"/>
    <e v="#REF!"/>
  </r>
  <r>
    <s v="401000"/>
    <x v="6"/>
    <s v="FOURNISSEURS"/>
    <s v="OD"/>
    <n v="195.36"/>
    <d v="2025-04-08T00:00:00"/>
    <s v="Liaison établissement 401000 SIGMA KB"/>
    <m/>
    <e v="#N/A"/>
    <e v="#N/A"/>
    <n v="66702"/>
    <s v="Invoice Payment By Pili"/>
    <s v="Sigma-Aldrich chimie"/>
    <s v="Q2"/>
    <e v="#REF!"/>
    <e v="#REF!"/>
    <e v="#REF!"/>
  </r>
  <r>
    <s v="401000"/>
    <x v="6"/>
    <s v="FOURNISSEURS"/>
    <s v="OD"/>
    <n v="195.54"/>
    <d v="2025-10-24T00:00:00"/>
    <s v="Liaison inter-établissement vers TO "/>
    <m/>
    <e v="#N/A"/>
    <e v="#N/A"/>
    <n v="89721"/>
    <m/>
    <s v="BRUNEAU"/>
    <s v="Q4"/>
    <e v="#REF!"/>
    <e v="#REF!"/>
    <e v="#REF!"/>
  </r>
  <r>
    <s v="401000"/>
    <x v="6"/>
    <s v="FOURNISSEURS"/>
    <s v="OD"/>
    <n v="198"/>
    <d v="2025-02-21T00:00:00"/>
    <s v="Liaison inter-établissement vers TO "/>
    <m/>
    <s v="Non"/>
    <e v="#N/A"/>
    <n v="68100"/>
    <m/>
    <s v="DIVERS"/>
    <s v="Q1"/>
    <e v="#REF!"/>
    <e v="#REF!"/>
    <e v="#REF!"/>
  </r>
  <r>
    <s v="401000"/>
    <x v="6"/>
    <s v="FOURNISSEURS"/>
    <s v="OD"/>
    <n v="198"/>
    <d v="2025-07-30T00:00:00"/>
    <s v="Liaison inter-établissement vers TO "/>
    <m/>
    <e v="#N/A"/>
    <e v="#N/A"/>
    <n v="81059"/>
    <m/>
    <s v="CHIMIE PROMOTION"/>
    <s v="Q3"/>
    <e v="#REF!"/>
    <e v="#REF!"/>
    <e v="#REF!"/>
  </r>
  <r>
    <s v="401000"/>
    <x v="6"/>
    <s v="FOURNISSEURS"/>
    <s v="OD"/>
    <n v="198"/>
    <d v="2025-10-06T00:00:00"/>
    <s v="Liaison établissement 401000 F2P KB"/>
    <s v="Non"/>
    <s v="Non"/>
    <e v="#N/A"/>
    <n v="82889"/>
    <s v="ATTESTATION BPI JUILLET 2025"/>
    <s v="F2P AUDIT &amp; CONSEIL"/>
    <s v="Q4"/>
    <e v="#REF!"/>
    <e v="#REF!"/>
    <e v="#REF!"/>
  </r>
  <r>
    <s v="401000"/>
    <x v="6"/>
    <s v="FOURNISSEURS"/>
    <s v="OD"/>
    <n v="198.28"/>
    <d v="2025-03-20T00:00:00"/>
    <s v="Liaison inter-établissement vers TO "/>
    <m/>
    <e v="#N/A"/>
    <e v="#N/A"/>
    <n v="64429"/>
    <m/>
    <s v="FISHER SCIENTIFIC"/>
    <s v="Q1"/>
    <e v="#REF!"/>
    <e v="#REF!"/>
    <e v="#REF!"/>
  </r>
  <r>
    <s v="401000"/>
    <x v="6"/>
    <s v="FOURNISSEURS"/>
    <s v="OD"/>
    <n v="199.33"/>
    <d v="2025-02-14T00:00:00"/>
    <s v="Liaison inter-établissement vers TO "/>
    <m/>
    <e v="#N/A"/>
    <e v="#N/A"/>
    <n v="64265"/>
    <m/>
    <s v="BRUNEAU"/>
    <s v="Q1"/>
    <e v="#REF!"/>
    <e v="#REF!"/>
    <e v="#REF!"/>
  </r>
  <r>
    <s v="401000"/>
    <x v="6"/>
    <s v="FOURNISSEURS"/>
    <s v="OD"/>
    <n v="199.9"/>
    <d v="2025-09-27T00:00:00"/>
    <s v="Liaison inter-établissement vers TO "/>
    <m/>
    <e v="#N/A"/>
    <e v="#N/A"/>
    <n v="91687"/>
    <m/>
    <s v="SNCF"/>
    <s v="Q3"/>
    <e v="#REF!"/>
    <e v="#REF!"/>
    <e v="#REF!"/>
  </r>
  <r>
    <s v="401000"/>
    <x v="6"/>
    <s v="FOURNISSEURS"/>
    <s v="OD"/>
    <n v="200.94"/>
    <d v="2025-07-31T00:00:00"/>
    <s v="Liaison établissement 401000 FILHOL RO"/>
    <m/>
    <e v="#N/A"/>
    <e v="#N/A"/>
    <n v="79270"/>
    <s v="TRANSPORT PRODUITS POUR ESSAIS 2 CHEZ ROUSSELET"/>
    <s v="FILHOL"/>
    <s v="Q3"/>
    <e v="#REF!"/>
    <e v="#REF!"/>
    <e v="#REF!"/>
  </r>
  <r>
    <s v="401000"/>
    <x v="6"/>
    <s v="FOURNISSEURS"/>
    <s v="OD"/>
    <n v="201.24"/>
    <d v="2025-02-28T00:00:00"/>
    <s v="Liaison inter-établissement vers TO "/>
    <m/>
    <e v="#N/A"/>
    <e v="#N/A"/>
    <n v="63619"/>
    <m/>
    <s v="CAWATOES"/>
    <s v="Q1"/>
    <e v="#REF!"/>
    <e v="#REF!"/>
    <e v="#REF!"/>
  </r>
  <r>
    <s v="401000"/>
    <x v="6"/>
    <s v="FOURNISSEURS"/>
    <s v="OD"/>
    <n v="201.24"/>
    <d v="2025-04-25T00:00:00"/>
    <s v="Liaison établissement 401000 CAWAT KB"/>
    <m/>
    <e v="#N/A"/>
    <e v="#N/A"/>
    <n v="70202"/>
    <s v="Invoice Payment by Pili"/>
    <s v="CAWATOES"/>
    <s v="Q2"/>
    <e v="#REF!"/>
    <e v="#REF!"/>
    <e v="#REF!"/>
  </r>
  <r>
    <s v="401000"/>
    <x v="6"/>
    <s v="FOURNISSEURS"/>
    <s v="OD"/>
    <n v="202.68"/>
    <d v="2025-03-06T00:00:00"/>
    <s v="Liaison inter-établissement vers TO "/>
    <m/>
    <e v="#N/A"/>
    <e v="#N/A"/>
    <n v="63491"/>
    <m/>
    <s v="ACRITEC"/>
    <s v="Q1"/>
    <e v="#REF!"/>
    <e v="#REF!"/>
    <e v="#REF!"/>
  </r>
  <r>
    <s v="401000"/>
    <x v="6"/>
    <s v="FOURNISSEURS"/>
    <s v="OD"/>
    <n v="204.67"/>
    <d v="2025-04-04T00:00:00"/>
    <s v="Liaison inter-établissement vers TO "/>
    <m/>
    <e v="#N/A"/>
    <e v="#N/A"/>
    <n v="74793"/>
    <m/>
    <s v="FISHER SCIENTIFIC"/>
    <s v="Q2"/>
    <e v="#REF!"/>
    <e v="#REF!"/>
    <e v="#REF!"/>
  </r>
  <r>
    <s v="401000"/>
    <x v="6"/>
    <s v="FOURNISSEURS"/>
    <s v="OD"/>
    <n v="209.16"/>
    <d v="2025-08-01T00:00:00"/>
    <s v="Liaison inter-établissement vers TO "/>
    <m/>
    <e v="#N/A"/>
    <e v="#N/A"/>
    <n v="83258"/>
    <m/>
    <s v="BRUNEAU"/>
    <s v="Q3"/>
    <e v="#REF!"/>
    <e v="#REF!"/>
    <e v="#REF!"/>
  </r>
  <r>
    <s v="401000"/>
    <x v="6"/>
    <s v="FOURNISSEURS"/>
    <s v="OD"/>
    <n v="210"/>
    <d v="2025-01-30T00:00:00"/>
    <s v="Liaison inter-établissement vers TO "/>
    <m/>
    <e v="#N/A"/>
    <e v="#N/A"/>
    <n v="70116"/>
    <m/>
    <s v="GSF"/>
    <s v="Q1"/>
    <e v="#REF!"/>
    <e v="#REF!"/>
    <e v="#REF!"/>
  </r>
  <r>
    <s v="401000"/>
    <x v="6"/>
    <s v="FOURNISSEURS"/>
    <s v="OD"/>
    <n v="210"/>
    <d v="2025-01-31T00:00:00"/>
    <s v="Liaison inter-établissement vers TO "/>
    <m/>
    <e v="#N/A"/>
    <e v="#N/A"/>
    <n v="63731"/>
    <m/>
    <s v="GSF"/>
    <s v="Q1"/>
    <e v="#REF!"/>
    <e v="#REF!"/>
    <e v="#REF!"/>
  </r>
  <r>
    <s v="401000"/>
    <x v="6"/>
    <s v="FOURNISSEURS"/>
    <s v="OD"/>
    <n v="210"/>
    <d v="2025-03-07T00:00:00"/>
    <s v="Liaison inter-établissement vers TO "/>
    <m/>
    <e v="#N/A"/>
    <e v="#N/A"/>
    <n v="63803"/>
    <m/>
    <s v="PHENOMENEX"/>
    <s v="Q1"/>
    <e v="#REF!"/>
    <e v="#REF!"/>
    <e v="#REF!"/>
  </r>
  <r>
    <s v="401000"/>
    <x v="6"/>
    <s v="FOURNISSEURS"/>
    <s v="OD"/>
    <n v="210"/>
    <d v="2025-03-28T00:00:00"/>
    <s v="Liaison établissement 401000 ROTH RO"/>
    <m/>
    <e v="#N/A"/>
    <e v="#N/A"/>
    <n v="64997"/>
    <s v="Invoice Payment by Pili"/>
    <s v="ROTH SOCHIEL"/>
    <s v="Q1"/>
    <e v="#REF!"/>
    <e v="#REF!"/>
    <e v="#REF!"/>
  </r>
  <r>
    <s v="401000"/>
    <x v="6"/>
    <s v="FOURNISSEURS"/>
    <s v="OD"/>
    <n v="210"/>
    <d v="2025-12-22T00:00:00"/>
    <s v="AVOIR COMMERCIAL"/>
    <m/>
    <e v="#N/A"/>
    <e v="#N/A"/>
    <n v="93023"/>
    <m/>
    <s v="ROTH SOCHIEL"/>
    <s v="Q4"/>
    <e v="#REF!"/>
    <e v="#REF!"/>
    <e v="#REF!"/>
  </r>
  <r>
    <s v="401000"/>
    <x v="6"/>
    <s v="FOURNISSEURS"/>
    <s v="OD"/>
    <n v="210.7"/>
    <d v="2025-01-31T00:00:00"/>
    <s v="Liaison inter-établissement vers TO "/>
    <m/>
    <e v="#N/A"/>
    <e v="#N/A"/>
    <n v="76215"/>
    <m/>
    <s v="AIR LIQUIDE"/>
    <s v="Q1"/>
    <e v="#REF!"/>
    <e v="#REF!"/>
    <e v="#REF!"/>
  </r>
  <r>
    <s v="401000"/>
    <x v="6"/>
    <s v="FOURNISSEURS"/>
    <s v="OD"/>
    <n v="211.5"/>
    <d v="2025-04-10T00:00:00"/>
    <s v="Liaison inter-établissement vers TO "/>
    <m/>
    <e v="#N/A"/>
    <e v="#N/A"/>
    <n v="74989"/>
    <m/>
    <s v="SNCF"/>
    <s v="Q2"/>
    <e v="#REF!"/>
    <e v="#REF!"/>
    <e v="#REF!"/>
  </r>
  <r>
    <s v="401000"/>
    <x v="6"/>
    <s v="FOURNISSEURS"/>
    <s v="OD"/>
    <n v="212.8"/>
    <d v="2025-05-29T00:00:00"/>
    <s v="Liaison inter-établissement vers TO "/>
    <m/>
    <e v="#N/A"/>
    <e v="#N/A"/>
    <n v="81063"/>
    <m/>
    <s v="EUROPCAR"/>
    <s v="Q2"/>
    <e v="#REF!"/>
    <e v="#REF!"/>
    <e v="#REF!"/>
  </r>
  <r>
    <s v="401000"/>
    <x v="6"/>
    <s v="FOURNISSEURS"/>
    <s v="OD"/>
    <n v="213.45"/>
    <d v="2025-07-03T00:00:00"/>
    <s v="Liaison inter-établissement vers TO "/>
    <m/>
    <e v="#N/A"/>
    <e v="#N/A"/>
    <n v="80977"/>
    <m/>
    <s v="PTFE TUBE SHOP"/>
    <s v="Q3"/>
    <e v="#REF!"/>
    <e v="#REF!"/>
    <e v="#REF!"/>
  </r>
  <r>
    <s v="401000"/>
    <x v="6"/>
    <s v="FOURNISSEURS"/>
    <s v="OD"/>
    <n v="213.71"/>
    <d v="2025-06-30T00:00:00"/>
    <s v="Liaison inter-établissement vers TO "/>
    <m/>
    <e v="#N/A"/>
    <e v="#N/A"/>
    <n v="77349"/>
    <m/>
    <s v="DHL"/>
    <s v="Q2"/>
    <e v="#REF!"/>
    <e v="#REF!"/>
    <e v="#REF!"/>
  </r>
  <r>
    <s v="401000"/>
    <x v="6"/>
    <s v="FOURNISSEURS"/>
    <s v="OD"/>
    <n v="214.03"/>
    <d v="2025-09-08T00:00:00"/>
    <s v="Liaison inter-établissement vers TO "/>
    <m/>
    <e v="#N/A"/>
    <e v="#N/A"/>
    <n v="89835"/>
    <m/>
    <s v="LITFAD"/>
    <s v="Q3"/>
    <e v="#REF!"/>
    <e v="#REF!"/>
    <e v="#REF!"/>
  </r>
  <r>
    <s v="401000"/>
    <x v="6"/>
    <s v="FOURNISSEURS"/>
    <s v="OD"/>
    <n v="215.2"/>
    <d v="2025-03-18T00:00:00"/>
    <s v="Liaison inter-établissement vers TO "/>
    <m/>
    <e v="#N/A"/>
    <e v="#N/A"/>
    <n v="66761"/>
    <m/>
    <s v="SNCF"/>
    <s v="Q1"/>
    <e v="#REF!"/>
    <e v="#REF!"/>
    <e v="#REF!"/>
  </r>
  <r>
    <s v="401000"/>
    <x v="6"/>
    <s v="FOURNISSEURS"/>
    <s v="OD"/>
    <n v="216.24"/>
    <d v="2025-03-20T00:00:00"/>
    <s v="Liaison inter-établissement vers TO "/>
    <m/>
    <e v="#N/A"/>
    <e v="#N/A"/>
    <n v="64441"/>
    <m/>
    <s v="ROTH SOCHIEL"/>
    <s v="Q1"/>
    <e v="#REF!"/>
    <e v="#REF!"/>
    <e v="#REF!"/>
  </r>
  <r>
    <s v="401000"/>
    <x v="6"/>
    <s v="FOURNISSEURS"/>
    <s v="OD"/>
    <n v="217.68"/>
    <d v="2025-12-30T00:00:00"/>
    <s v="Liaison établissement 401000 FISHER RO"/>
    <m/>
    <e v="#N/A"/>
    <e v="#N/A"/>
    <n v="93747"/>
    <s v="4175244732"/>
    <s v="FISHER SCIENTIFIC"/>
    <s v="Q4"/>
    <e v="#REF!"/>
    <e v="#REF!"/>
    <e v="#REF!"/>
  </r>
  <r>
    <s v="401000"/>
    <x v="6"/>
    <s v="FOURNISSEURS"/>
    <s v="OD"/>
    <n v="219.94"/>
    <d v="2025-09-12T00:00:00"/>
    <s v="Liaison établissement 401000 BIOTIKA RO"/>
    <s v="Non"/>
    <e v="#N/A"/>
    <e v="#N/A"/>
    <n v="82060"/>
    <s v="COÛTS DE TRANSPORT ECHANTILLONS"/>
    <s v="BIOTIKA"/>
    <s v="Q3"/>
    <e v="#REF!"/>
    <e v="#REF!"/>
    <e v="#REF!"/>
  </r>
  <r>
    <s v="401000"/>
    <x v="6"/>
    <s v="FOURNISSEURS"/>
    <s v="OD"/>
    <n v="220.32"/>
    <d v="2025-03-18T00:00:00"/>
    <s v="Liaison inter-établissement vers TO "/>
    <m/>
    <e v="#N/A"/>
    <e v="#N/A"/>
    <n v="64381"/>
    <m/>
    <s v="ABCR"/>
    <s v="Q1"/>
    <e v="#REF!"/>
    <e v="#REF!"/>
    <e v="#REF!"/>
  </r>
  <r>
    <s v="401000"/>
    <x v="6"/>
    <s v="FOURNISSEURS"/>
    <s v="OD"/>
    <n v="220.4"/>
    <d v="2025-10-31T00:00:00"/>
    <s v="Liaison établissement 401000 BECKER KB"/>
    <s v="Non"/>
    <s v="Oui"/>
    <e v="#N/A"/>
    <n v="87512"/>
    <s v="EXTENSION BREVET PHOENIX V20 AUX US"/>
    <s v="BECKER"/>
    <s v="Q4"/>
    <e v="#REF!"/>
    <e v="#REF!"/>
    <e v="#REF!"/>
  </r>
  <r>
    <s v="401000"/>
    <x v="6"/>
    <s v="FOURNISSEURS"/>
    <s v="OD"/>
    <n v="222.48"/>
    <d v="2025-09-22T00:00:00"/>
    <s v="Liaison établissement 401000 FENWICK-LINDE RO"/>
    <m/>
    <e v="#N/A"/>
    <e v="#N/A"/>
    <n v="82405"/>
    <s v="MAINTENANCE GERBEUR : RÉPARATION BOUTON MONTÉE-BAISSE"/>
    <s v="FENWICK-LINDE"/>
    <s v="Q3"/>
    <e v="#REF!"/>
    <e v="#REF!"/>
    <e v="#REF!"/>
  </r>
  <r>
    <s v="401000"/>
    <x v="6"/>
    <s v="FOURNISSEURS"/>
    <s v="OD"/>
    <n v="223.02"/>
    <d v="2025-03-31T00:00:00"/>
    <s v="Liaison inter-établissement vers TO "/>
    <m/>
    <e v="#N/A"/>
    <e v="#N/A"/>
    <n v="70054"/>
    <m/>
    <s v="ORANGE"/>
    <s v="Q1"/>
    <e v="#REF!"/>
    <e v="#REF!"/>
    <e v="#REF!"/>
  </r>
  <r>
    <s v="401000"/>
    <x v="6"/>
    <s v="FOURNISSEURS"/>
    <s v="OD"/>
    <n v="226.8"/>
    <d v="2025-08-08T00:00:00"/>
    <s v="Liaison établissement 401000 CLOUP KB"/>
    <m/>
    <e v="#N/A"/>
    <e v="#N/A"/>
    <n v="80759"/>
    <s v="CARTOUCHES POUR L'EAU DÉMINÉRALISÉE"/>
    <s v="CLOUP"/>
    <s v="Q3"/>
    <e v="#REF!"/>
    <e v="#REF!"/>
    <e v="#REF!"/>
  </r>
  <r>
    <s v="401000"/>
    <x v="6"/>
    <s v="FOURNISSEURS"/>
    <s v="OD"/>
    <n v="227.61"/>
    <d v="2025-09-15T00:00:00"/>
    <s v="Liaison inter-établissement vers TO "/>
    <m/>
    <e v="#N/A"/>
    <e v="#N/A"/>
    <n v="82351"/>
    <m/>
    <s v="VWR AVANTOR"/>
    <s v="Q3"/>
    <e v="#REF!"/>
    <e v="#REF!"/>
    <e v="#REF!"/>
  </r>
  <r>
    <s v="401000"/>
    <x v="6"/>
    <s v="FOURNISSEURS"/>
    <s v="OD"/>
    <n v="228"/>
    <d v="2025-12-10T00:00:00"/>
    <s v="Liaison établissement 401000 ARESCOM KB"/>
    <m/>
    <e v="#N/A"/>
    <e v="#N/A"/>
    <n v="92032"/>
    <s v="144835"/>
    <s v="ARESCOM"/>
    <s v="Q4"/>
    <e v="#REF!"/>
    <e v="#REF!"/>
    <e v="#REF!"/>
  </r>
  <r>
    <s v="401000"/>
    <x v="6"/>
    <s v="FOURNISSEURS"/>
    <s v="OD"/>
    <n v="228"/>
    <d v="2025-12-23T00:00:00"/>
    <s v="Liaison établissement 401000 HIPOLITO LY"/>
    <m/>
    <e v="#N/A"/>
    <e v="#N/A"/>
    <n v="93616"/>
    <s v="2025 / 177"/>
    <s v="HIPOLITO"/>
    <s v="Q4"/>
    <e v="#REF!"/>
    <e v="#REF!"/>
    <e v="#REF!"/>
  </r>
  <r>
    <s v="401000"/>
    <x v="6"/>
    <s v="FOURNISSEURS"/>
    <s v="OD"/>
    <n v="228.1"/>
    <d v="2025-04-25T00:00:00"/>
    <s v="Liaison établissement 401000 AIRLIQUIDE RO"/>
    <m/>
    <e v="#N/A"/>
    <e v="#N/A"/>
    <n v="70131"/>
    <s v="Invoice Payment by Pili"/>
    <s v="AIR LIQUIDE"/>
    <s v="Q2"/>
    <e v="#REF!"/>
    <e v="#REF!"/>
    <e v="#REF!"/>
  </r>
  <r>
    <s v="401000"/>
    <x v="6"/>
    <s v="FOURNISSEURS"/>
    <s v="OD"/>
    <n v="229.06"/>
    <d v="2025-09-30T00:00:00"/>
    <s v="Liaison inter-établissement vers TO "/>
    <m/>
    <e v="#N/A"/>
    <e v="#N/A"/>
    <n v="82668"/>
    <m/>
    <s v="AIR LIQUIDE"/>
    <s v="Q3"/>
    <e v="#REF!"/>
    <e v="#REF!"/>
    <e v="#REF!"/>
  </r>
  <r>
    <s v="401000"/>
    <x v="6"/>
    <s v="FOURNISSEURS"/>
    <s v="OD"/>
    <n v="230.49"/>
    <d v="2025-11-26T00:00:00"/>
    <s v="Liaison inter-établissement vers TO "/>
    <m/>
    <e v="#N/A"/>
    <e v="#N/A"/>
    <n v="91578"/>
    <m/>
    <s v="AIRBNB"/>
    <s v="Q4"/>
    <e v="#REF!"/>
    <e v="#REF!"/>
    <e v="#REF!"/>
  </r>
  <r>
    <s v="401000"/>
    <x v="6"/>
    <s v="FOURNISSEURS"/>
    <s v="OD"/>
    <n v="230.89"/>
    <d v="2025-07-13T00:00:00"/>
    <s v="Liaison inter-établissement vers TO "/>
    <m/>
    <e v="#N/A"/>
    <e v="#N/A"/>
    <n v="81023"/>
    <m/>
    <s v="RS COMPONENT"/>
    <s v="Q3"/>
    <e v="#REF!"/>
    <e v="#REF!"/>
    <e v="#REF!"/>
  </r>
  <r>
    <s v="401000"/>
    <x v="6"/>
    <s v="FOURNISSEURS"/>
    <s v="OD"/>
    <n v="231.65"/>
    <d v="2025-04-22T00:00:00"/>
    <s v="Liaison inter-établissement vers TO "/>
    <m/>
    <e v="#N/A"/>
    <e v="#N/A"/>
    <n v="81201"/>
    <m/>
    <s v="RICOH"/>
    <s v="Q2"/>
    <e v="#REF!"/>
    <e v="#REF!"/>
    <e v="#REF!"/>
  </r>
  <r>
    <s v="401000"/>
    <x v="6"/>
    <s v="FOURNISSEURS"/>
    <s v="OD"/>
    <n v="233.11"/>
    <d v="2025-01-31T00:00:00"/>
    <s v="Liaison inter-établissement vers TO "/>
    <m/>
    <e v="#N/A"/>
    <e v="#N/A"/>
    <n v="63607"/>
    <m/>
    <s v="BRUNEAU"/>
    <s v="Q1"/>
    <e v="#REF!"/>
    <e v="#REF!"/>
    <e v="#REF!"/>
  </r>
  <r>
    <s v="401000"/>
    <x v="6"/>
    <s v="FOURNISSEURS"/>
    <s v="OD"/>
    <n v="233.68"/>
    <d v="2025-06-24T00:00:00"/>
    <s v="Liaison inter-établissement vers TO "/>
    <m/>
    <e v="#N/A"/>
    <e v="#N/A"/>
    <n v="78265"/>
    <m/>
    <s v="BRUNEAU"/>
    <s v="Q2"/>
    <e v="#REF!"/>
    <e v="#REF!"/>
    <e v="#REF!"/>
  </r>
  <r>
    <s v="401000"/>
    <x v="6"/>
    <s v="FOURNISSEURS"/>
    <s v="OD"/>
    <n v="235"/>
    <d v="2025-02-06T00:00:00"/>
    <s v="Liaison inter-établissement vers TO "/>
    <m/>
    <s v="Non"/>
    <e v="#N/A"/>
    <n v="64297"/>
    <m/>
    <s v="DIVERS"/>
    <s v="Q1"/>
    <e v="#REF!"/>
    <e v="#REF!"/>
    <e v="#REF!"/>
  </r>
  <r>
    <s v="401000"/>
    <x v="6"/>
    <s v="FOURNISSEURS"/>
    <s v="OD"/>
    <n v="235.32"/>
    <d v="2025-03-28T00:00:00"/>
    <s v="Liaison inter-établissement vers TO "/>
    <m/>
    <e v="#N/A"/>
    <e v="#N/A"/>
    <n v="68120"/>
    <m/>
    <s v="Sigma-Aldrich chimie"/>
    <s v="Q1"/>
    <e v="#REF!"/>
    <e v="#REF!"/>
    <e v="#REF!"/>
  </r>
  <r>
    <s v="401000"/>
    <x v="6"/>
    <s v="FOURNISSEURS"/>
    <s v="OD"/>
    <n v="236.4"/>
    <d v="2025-11-07T00:00:00"/>
    <s v="Liaison établissement 401000 VWR KB"/>
    <m/>
    <e v="#N/A"/>
    <e v="#N/A"/>
    <n v="89437"/>
    <s v="4067827511"/>
    <s v="VWR AVANTOR"/>
    <s v="Q4"/>
    <e v="#REF!"/>
    <e v="#REF!"/>
    <e v="#REF!"/>
  </r>
  <r>
    <s v="401000"/>
    <x v="6"/>
    <s v="FOURNISSEURS"/>
    <s v="OD"/>
    <n v="237.13"/>
    <d v="2025-02-18T00:00:00"/>
    <s v="Liaison inter-établissement vers TO "/>
    <m/>
    <e v="#N/A"/>
    <e v="#N/A"/>
    <n v="74960"/>
    <m/>
    <s v="ENGIE"/>
    <s v="Q1"/>
    <e v="#REF!"/>
    <e v="#REF!"/>
    <e v="#REF!"/>
  </r>
  <r>
    <s v="401000"/>
    <x v="6"/>
    <s v="FOURNISSEURS"/>
    <s v="OD"/>
    <n v="239.14"/>
    <d v="2025-07-09T00:00:00"/>
    <s v="Liaison établissement 401000 VWR KB"/>
    <m/>
    <e v="#N/A"/>
    <e v="#N/A"/>
    <n v="77250"/>
    <s v="COMMANDE PRODUIT LABO"/>
    <s v="VWR AVANTOR"/>
    <s v="Q3"/>
    <e v="#REF!"/>
    <e v="#REF!"/>
    <e v="#REF!"/>
  </r>
  <r>
    <s v="401000"/>
    <x v="6"/>
    <s v="FOURNISSEURS"/>
    <s v="OD"/>
    <n v="239.8"/>
    <d v="2025-02-05T00:00:00"/>
    <s v="Liaison inter-établissement vers TO "/>
    <m/>
    <e v="#N/A"/>
    <e v="#N/A"/>
    <n v="64349"/>
    <m/>
    <s v="SNCF"/>
    <s v="Q1"/>
    <e v="#REF!"/>
    <e v="#REF!"/>
    <e v="#REF!"/>
  </r>
  <r>
    <s v="401000"/>
    <x v="6"/>
    <s v="FOURNISSEURS"/>
    <s v="OD"/>
    <n v="240"/>
    <d v="2025-02-18T00:00:00"/>
    <s v="Liaison inter-établissement vers TO "/>
    <m/>
    <s v="Non"/>
    <n v="0"/>
    <n v="63655"/>
    <m/>
    <s v="CNFSE RECYCLAGE"/>
    <s v="Q1"/>
    <e v="#REF!"/>
    <e v="#REF!"/>
    <e v="#REF!"/>
  </r>
  <r>
    <s v="401000"/>
    <x v="6"/>
    <s v="FOURNISSEURS"/>
    <s v="OD"/>
    <n v="240"/>
    <d v="2025-07-23T00:00:00"/>
    <s v="Liaison établissement 401000 BIOTIKA RO"/>
    <s v="Non"/>
    <e v="#N/A"/>
    <e v="#N/A"/>
    <n v="78339"/>
    <s v="TRANSPORT OF MATERIAL FROM GBELY SK TO SLOVENSKÁ"/>
    <s v="BIOTIKA"/>
    <s v="Q3"/>
    <e v="#REF!"/>
    <e v="#REF!"/>
    <e v="#REF!"/>
  </r>
  <r>
    <s v="401000"/>
    <x v="6"/>
    <s v="FOURNISSEURS"/>
    <s v="OD"/>
    <n v="240"/>
    <d v="2025-12-10T00:00:00"/>
    <s v="Liaison établissement 401000 LEGICHEM SERVICES RO"/>
    <m/>
    <e v="#N/A"/>
    <e v="#N/A"/>
    <n v="92063"/>
    <s v="FA000262"/>
    <s v="LEGICHEM SERVICES"/>
    <s v="Q4"/>
    <e v="#REF!"/>
    <e v="#REF!"/>
    <e v="#REF!"/>
  </r>
  <r>
    <s v="401000"/>
    <x v="6"/>
    <s v="FOURNISSEURS"/>
    <s v="OD"/>
    <n v="241.08"/>
    <d v="2025-01-27T00:00:00"/>
    <s v="Liaison inter-établissement vers TO "/>
    <m/>
    <e v="#N/A"/>
    <e v="#N/A"/>
    <n v="76239"/>
    <m/>
    <s v="ORANGE"/>
    <s v="Q1"/>
    <e v="#REF!"/>
    <e v="#REF!"/>
    <e v="#REF!"/>
  </r>
  <r>
    <s v="401000"/>
    <x v="6"/>
    <s v="FOURNISSEURS"/>
    <s v="OD"/>
    <n v="241.08"/>
    <d v="2025-02-24T00:00:00"/>
    <s v="Liaison inter-établissement vers TO "/>
    <m/>
    <e v="#N/A"/>
    <e v="#N/A"/>
    <n v="76235"/>
    <m/>
    <s v="ORANGE"/>
    <s v="Q1"/>
    <e v="#REF!"/>
    <e v="#REF!"/>
    <e v="#REF!"/>
  </r>
  <r>
    <s v="401000"/>
    <x v="6"/>
    <s v="FOURNISSEURS"/>
    <s v="OD"/>
    <n v="241.33"/>
    <d v="2025-07-25T00:00:00"/>
    <s v="Liaison inter-établissement vers TO "/>
    <m/>
    <e v="#N/A"/>
    <e v="#N/A"/>
    <n v="80809"/>
    <m/>
    <s v="RICOH"/>
    <s v="Q3"/>
    <e v="#REF!"/>
    <e v="#REF!"/>
    <e v="#REF!"/>
  </r>
  <r>
    <s v="401000"/>
    <x v="6"/>
    <s v="FOURNISSEURS"/>
    <s v="OD"/>
    <n v="242.14"/>
    <d v="2025-02-05T00:00:00"/>
    <s v="Liaison inter-établissement vers TO "/>
    <m/>
    <s v="Non"/>
    <e v="#N/A"/>
    <n v="68096"/>
    <m/>
    <s v="DIVERS"/>
    <s v="Q1"/>
    <e v="#REF!"/>
    <e v="#REF!"/>
    <e v="#REF!"/>
  </r>
  <r>
    <s v="401000"/>
    <x v="6"/>
    <s v="FOURNISSEURS"/>
    <s v="OD"/>
    <n v="242.52"/>
    <d v="2025-04-28T00:00:00"/>
    <s v="Liaison inter-établissement vers TO "/>
    <m/>
    <e v="#N/A"/>
    <e v="#N/A"/>
    <n v="73133"/>
    <m/>
    <s v="ORANGE"/>
    <s v="Q2"/>
    <e v="#REF!"/>
    <e v="#REF!"/>
    <e v="#REF!"/>
  </r>
  <r>
    <s v="401000"/>
    <x v="6"/>
    <s v="FOURNISSEURS"/>
    <s v="OD"/>
    <n v="243.6"/>
    <d v="2025-08-21T00:00:00"/>
    <s v="Liaison établissement 401000 VWR KB"/>
    <m/>
    <e v="#N/A"/>
    <e v="#N/A"/>
    <n v="81501"/>
    <s v="COMMANDE CONSOMMABLE LABO"/>
    <s v="VWR AVANTOR"/>
    <s v="Q3"/>
    <e v="#REF!"/>
    <e v="#REF!"/>
    <e v="#REF!"/>
  </r>
  <r>
    <s v="401000"/>
    <x v="6"/>
    <s v="FOURNISSEURS"/>
    <s v="OD"/>
    <n v="243.98"/>
    <d v="2025-03-04T00:00:00"/>
    <s v="Liaison inter-établissement vers TO "/>
    <m/>
    <s v="Non"/>
    <e v="#N/A"/>
    <n v="68104"/>
    <m/>
    <s v="DIVERS"/>
    <s v="Q1"/>
    <e v="#REF!"/>
    <e v="#REF!"/>
    <e v="#REF!"/>
  </r>
  <r>
    <s v="401000"/>
    <x v="6"/>
    <s v="FOURNISSEURS"/>
    <s v="OD"/>
    <n v="244.12"/>
    <d v="2025-10-15T00:00:00"/>
    <s v="Liaison inter-établissement vers TO "/>
    <s v="Non"/>
    <s v="Non"/>
    <e v="#N/A"/>
    <n v="89693"/>
    <m/>
    <s v="LINKEDIN"/>
    <s v="Q4"/>
    <e v="#REF!"/>
    <e v="#REF!"/>
    <e v="#REF!"/>
  </r>
  <r>
    <s v="401000"/>
    <x v="6"/>
    <s v="FOURNISSEURS"/>
    <s v="OD"/>
    <n v="246"/>
    <d v="2025-10-24T00:00:00"/>
    <s v="Liaison inter-établissement vers TO "/>
    <m/>
    <e v="#N/A"/>
    <e v="#N/A"/>
    <n v="89819"/>
    <m/>
    <s v="SNCF"/>
    <s v="Q4"/>
    <e v="#REF!"/>
    <e v="#REF!"/>
    <e v="#REF!"/>
  </r>
  <r>
    <s v="401000"/>
    <x v="6"/>
    <s v="FOURNISSEURS"/>
    <s v="OD"/>
    <n v="247.74"/>
    <d v="2025-09-12T00:00:00"/>
    <s v="Liaison établissement 401000 BIOTIKA RO"/>
    <s v="Non"/>
    <e v="#N/A"/>
    <e v="#N/A"/>
    <n v="82070"/>
    <s v="COÛT TRANSPORT"/>
    <s v="BIOTIKA"/>
    <s v="Q3"/>
    <e v="#REF!"/>
    <e v="#REF!"/>
    <e v="#REF!"/>
  </r>
  <r>
    <s v="401000"/>
    <x v="6"/>
    <s v="FOURNISSEURS"/>
    <s v="OD"/>
    <n v="249.6"/>
    <d v="2025-03-11T00:00:00"/>
    <s v="Liaison inter-établissement vers TO "/>
    <m/>
    <e v="#N/A"/>
    <e v="#N/A"/>
    <n v="64449"/>
    <m/>
    <s v="Sigma-Aldrich chimie"/>
    <s v="Q1"/>
    <e v="#REF!"/>
    <e v="#REF!"/>
    <e v="#REF!"/>
  </r>
  <r>
    <s v="401000"/>
    <x v="6"/>
    <s v="FOURNISSEURS"/>
    <s v="OD"/>
    <n v="249.6"/>
    <d v="2025-08-22T00:00:00"/>
    <s v="Liaison établissement 401000 GAZDETECT KB"/>
    <m/>
    <e v="#N/A"/>
    <e v="#N/A"/>
    <n v="81590"/>
    <s v="MAINTENANCE/RÉPARATION DES 4 DÉTECTEURS HCN DU LABO"/>
    <s v="GAZ DETECT"/>
    <s v="Q3"/>
    <e v="#REF!"/>
    <e v="#REF!"/>
    <e v="#REF!"/>
  </r>
  <r>
    <s v="401000"/>
    <x v="6"/>
    <s v="FOURNISSEURS"/>
    <s v="OD"/>
    <n v="250.44"/>
    <d v="2025-12-30T00:00:00"/>
    <s v="Liaison établissement 401000 ABCR KB"/>
    <m/>
    <e v="#N/A"/>
    <e v="#N/A"/>
    <n v="93742"/>
    <s v="VRGG25-025479"/>
    <s v="ABCR"/>
    <s v="Q4"/>
    <e v="#REF!"/>
    <e v="#REF!"/>
    <e v="#REF!"/>
  </r>
  <r>
    <s v="401000"/>
    <x v="6"/>
    <s v="FOURNISSEURS"/>
    <s v="OD"/>
    <n v="250.63"/>
    <d v="2025-03-18T00:00:00"/>
    <s v="Liaison inter-établissement vers TO "/>
    <m/>
    <e v="#N/A"/>
    <e v="#N/A"/>
    <n v="70046"/>
    <m/>
    <s v="MANUTAN"/>
    <s v="Q1"/>
    <e v="#REF!"/>
    <e v="#REF!"/>
    <e v="#REF!"/>
  </r>
  <r>
    <s v="401000"/>
    <x v="6"/>
    <s v="FOURNISSEURS"/>
    <s v="OD"/>
    <n v="250.63"/>
    <d v="2025-07-25T00:00:00"/>
    <s v="Liaison inter-établissement vers TO "/>
    <m/>
    <e v="#N/A"/>
    <e v="#N/A"/>
    <n v="81001"/>
    <m/>
    <s v="MANUTAN"/>
    <s v="Q3"/>
    <e v="#REF!"/>
    <e v="#REF!"/>
    <e v="#REF!"/>
  </r>
  <r>
    <s v="401000"/>
    <x v="6"/>
    <s v="FOURNISSEURS"/>
    <s v="OD"/>
    <n v="250.8"/>
    <d v="2025-04-25T00:00:00"/>
    <s v="Liaison établissement 401000 DENIOS RO"/>
    <m/>
    <e v="#N/A"/>
    <e v="#N/A"/>
    <n v="70161"/>
    <s v="Invoice Payment by Pili"/>
    <s v="DENIOS"/>
    <s v="Q2"/>
    <e v="#REF!"/>
    <e v="#REF!"/>
    <e v="#REF!"/>
  </r>
  <r>
    <s v="401000"/>
    <x v="6"/>
    <s v="FOURNISSEURS"/>
    <s v="OD"/>
    <n v="254.99"/>
    <d v="2025-02-20T00:00:00"/>
    <s v="Liaison inter-établissement vers TO "/>
    <m/>
    <s v="Non"/>
    <e v="#N/A"/>
    <n v="64285"/>
    <m/>
    <s v="DIVERS"/>
    <s v="Q1"/>
    <e v="#REF!"/>
    <e v="#REF!"/>
    <e v="#REF!"/>
  </r>
  <r>
    <s v="401000"/>
    <x v="6"/>
    <s v="FOURNISSEURS"/>
    <s v="OD"/>
    <n v="257.41000000000003"/>
    <d v="2025-05-19T00:00:00"/>
    <s v="Liaison inter-établissement vers TO "/>
    <m/>
    <e v="#N/A"/>
    <e v="#N/A"/>
    <n v="78826"/>
    <m/>
    <s v="ENGIE"/>
    <s v="Q2"/>
    <e v="#REF!"/>
    <e v="#REF!"/>
    <e v="#REF!"/>
  </r>
  <r>
    <s v="401000"/>
    <x v="6"/>
    <s v="FOURNISSEURS"/>
    <s v="OD"/>
    <n v="257.47000000000003"/>
    <d v="2025-05-01T00:00:00"/>
    <s v="Liaison inter-établissement vers TO "/>
    <m/>
    <e v="#N/A"/>
    <e v="#N/A"/>
    <n v="74821"/>
    <m/>
    <s v="MANUTAN"/>
    <s v="Q2"/>
    <e v="#REF!"/>
    <e v="#REF!"/>
    <e v="#REF!"/>
  </r>
  <r>
    <s v="401000"/>
    <x v="6"/>
    <s v="FOURNISSEURS"/>
    <s v="OD"/>
    <n v="258"/>
    <d v="2025-09-10T00:00:00"/>
    <s v="Liaison inter-établissement vers TO "/>
    <m/>
    <e v="#N/A"/>
    <e v="#N/A"/>
    <n v="83150"/>
    <m/>
    <s v="SNCF"/>
    <s v="Q3"/>
    <e v="#REF!"/>
    <e v="#REF!"/>
    <e v="#REF!"/>
  </r>
  <r>
    <s v="401000"/>
    <x v="6"/>
    <s v="FOURNISSEURS"/>
    <s v="OD"/>
    <n v="258.27999999999997"/>
    <d v="2025-07-30T00:00:00"/>
    <s v="Liaison inter-établissement vers TO "/>
    <m/>
    <e v="#N/A"/>
    <e v="#N/A"/>
    <n v="80981"/>
    <m/>
    <s v="PTFE TUBE SHOP"/>
    <s v="Q3"/>
    <e v="#REF!"/>
    <e v="#REF!"/>
    <e v="#REF!"/>
  </r>
  <r>
    <s v="401000"/>
    <x v="6"/>
    <s v="FOURNISSEURS"/>
    <s v="OD"/>
    <n v="258.72000000000003"/>
    <d v="2025-03-18T00:00:00"/>
    <s v="Liaison inter-établissement vers TO "/>
    <m/>
    <e v="#N/A"/>
    <e v="#N/A"/>
    <n v="64385"/>
    <m/>
    <s v="ABCR"/>
    <s v="Q1"/>
    <e v="#REF!"/>
    <e v="#REF!"/>
    <e v="#REF!"/>
  </r>
  <r>
    <s v="401000"/>
    <x v="6"/>
    <s v="FOURNISSEURS"/>
    <s v="OD"/>
    <n v="259.2"/>
    <d v="2025-04-15T00:00:00"/>
    <s v="Liaison inter-établissement vers TO "/>
    <m/>
    <e v="#N/A"/>
    <e v="#N/A"/>
    <n v="68028"/>
    <m/>
    <s v="ALGOCHEM"/>
    <s v="Q2"/>
    <e v="#REF!"/>
    <e v="#REF!"/>
    <e v="#REF!"/>
  </r>
  <r>
    <s v="401000"/>
    <x v="6"/>
    <s v="FOURNISSEURS"/>
    <s v="OD"/>
    <n v="262.58999999999997"/>
    <d v="2025-09-12T00:00:00"/>
    <s v="Liaison établissement 401000 BIOTIKA RO"/>
    <s v="Non"/>
    <e v="#N/A"/>
    <e v="#N/A"/>
    <n v="82050"/>
    <s v="COÛTS DE TRANSPORT - ECHANTILLONS"/>
    <s v="BIOTIKA"/>
    <s v="Q3"/>
    <e v="#REF!"/>
    <e v="#REF!"/>
    <e v="#REF!"/>
  </r>
  <r>
    <s v="401000"/>
    <x v="6"/>
    <s v="FOURNISSEURS"/>
    <s v="OD"/>
    <n v="262.58999999999997"/>
    <d v="2025-09-12T00:00:00"/>
    <s v="Liaison établissement 401000 BIOTIKA RO"/>
    <s v="Non"/>
    <e v="#N/A"/>
    <e v="#N/A"/>
    <n v="82055"/>
    <s v="COUTS DE TRANSPORT"/>
    <s v="BIOTIKA"/>
    <s v="Q3"/>
    <e v="#REF!"/>
    <e v="#REF!"/>
    <e v="#REF!"/>
  </r>
  <r>
    <s v="401000"/>
    <x v="6"/>
    <s v="FOURNISSEURS"/>
    <s v="OD"/>
    <n v="264.88"/>
    <d v="2025-08-22T00:00:00"/>
    <s v="Liaison établissement 401000 FENWICK-LINDE RO"/>
    <m/>
    <e v="#N/A"/>
    <e v="#N/A"/>
    <n v="81616"/>
    <s v="MAINTENANCE GERBEUR : RÉPARATION BOUTON MONTÉE-BAISSE"/>
    <s v="FENWICK-LINDE"/>
    <s v="Q3"/>
    <e v="#REF!"/>
    <e v="#REF!"/>
    <e v="#REF!"/>
  </r>
  <r>
    <s v="401000"/>
    <x v="6"/>
    <s v="FOURNISSEURS"/>
    <s v="OD"/>
    <n v="264.89999999999998"/>
    <d v="2025-11-06T00:00:00"/>
    <s v="Liaison inter-établissement vers TO "/>
    <m/>
    <e v="#N/A"/>
    <e v="#N/A"/>
    <n v="91643"/>
    <m/>
    <s v="HOTELS"/>
    <s v="Q4"/>
    <e v="#REF!"/>
    <e v="#REF!"/>
    <e v="#REF!"/>
  </r>
  <r>
    <s v="401000"/>
    <x v="6"/>
    <s v="FOURNISSEURS"/>
    <s v="OD"/>
    <n v="266.8"/>
    <d v="2025-11-09T00:00:00"/>
    <s v="Liaison inter-établissement vers TO "/>
    <m/>
    <e v="#N/A"/>
    <e v="#N/A"/>
    <n v="91610"/>
    <m/>
    <s v="BOOKING"/>
    <s v="Q4"/>
    <e v="#REF!"/>
    <e v="#REF!"/>
    <e v="#REF!"/>
  </r>
  <r>
    <s v="401000"/>
    <x v="6"/>
    <s v="FOURNISSEURS"/>
    <s v="OD"/>
    <n v="267.22000000000003"/>
    <d v="2025-02-28T00:00:00"/>
    <s v="REGUL COMPTE AIRLIQUIDE"/>
    <m/>
    <e v="#N/A"/>
    <e v="#N/A"/>
    <n v="90104"/>
    <m/>
    <s v="AIR LIQUIDE"/>
    <s v="Q1"/>
    <e v="#REF!"/>
    <e v="#REF!"/>
    <e v="#REF!"/>
  </r>
  <r>
    <s v="401000"/>
    <x v="6"/>
    <s v="FOURNISSEURS"/>
    <s v="OD"/>
    <n v="273.94"/>
    <d v="2025-05-28T00:00:00"/>
    <s v="Liaison inter-établissement vers TO "/>
    <m/>
    <e v="#N/A"/>
    <e v="#N/A"/>
    <n v="74253"/>
    <m/>
    <s v="ORANGE"/>
    <s v="Q2"/>
    <e v="#REF!"/>
    <e v="#REF!"/>
    <e v="#REF!"/>
  </r>
  <r>
    <s v="401000"/>
    <x v="6"/>
    <s v="FOURNISSEURS"/>
    <s v="OD"/>
    <n v="273.94"/>
    <d v="2025-05-28T00:00:00"/>
    <s v="Règlement fournisseur"/>
    <m/>
    <e v="#N/A"/>
    <e v="#N/A"/>
    <n v="74109"/>
    <m/>
    <m/>
    <s v="Q2"/>
    <e v="#REF!"/>
    <e v="#REF!"/>
    <e v="#REF!"/>
  </r>
  <r>
    <s v="401000"/>
    <x v="6"/>
    <s v="FOURNISSEURS"/>
    <s v="OD"/>
    <n v="274.29000000000002"/>
    <d v="2025-02-28T00:00:00"/>
    <s v="Liaison inter-établissement vers TO "/>
    <m/>
    <e v="#N/A"/>
    <e v="#N/A"/>
    <n v="74933"/>
    <m/>
    <s v="DHL"/>
    <s v="Q1"/>
    <e v="#REF!"/>
    <e v="#REF!"/>
    <e v="#REF!"/>
  </r>
  <r>
    <s v="401000"/>
    <x v="6"/>
    <s v="FOURNISSEURS"/>
    <s v="OD"/>
    <n v="274.56"/>
    <d v="2025-12-19T00:00:00"/>
    <s v="Liaison établissement 401000 OSIRIS RO"/>
    <s v="Non"/>
    <s v="Non"/>
    <e v="#N/A"/>
    <n v="92694"/>
    <s v="93813939"/>
    <s v="OSIRIS"/>
    <s v="Q4"/>
    <e v="#REF!"/>
    <e v="#REF!"/>
    <e v="#REF!"/>
  </r>
  <r>
    <s v="401000"/>
    <x v="6"/>
    <s v="FOURNISSEURS"/>
    <s v="OD"/>
    <n v="275.89"/>
    <d v="2025-05-14T00:00:00"/>
    <s v="Liaison établissement 401000 BIOTIKA RO"/>
    <s v="Non"/>
    <e v="#N/A"/>
    <e v="#N/A"/>
    <n v="72299"/>
    <m/>
    <s v="BIOTIKA"/>
    <s v="Q2"/>
    <e v="#REF!"/>
    <e v="#REF!"/>
    <e v="#REF!"/>
  </r>
  <r>
    <s v="401000"/>
    <x v="6"/>
    <s v="FOURNISSEURS"/>
    <s v="OD"/>
    <n v="276.18"/>
    <d v="2025-07-01T00:00:00"/>
    <s v="Ecart de change"/>
    <s v="Non"/>
    <s v="Non"/>
    <e v="#N/A"/>
    <n v="76953"/>
    <m/>
    <s v="NEIL BELL"/>
    <s v="Q3"/>
    <e v="#REF!"/>
    <e v="#REF!"/>
    <e v="#REF!"/>
  </r>
  <r>
    <s v="401000"/>
    <x v="6"/>
    <s v="FOURNISSEURS"/>
    <s v="OD"/>
    <n v="276.45999999999998"/>
    <d v="2025-10-31T00:00:00"/>
    <s v="Liaison établissement 401000 BIOTIKA RO"/>
    <s v="Non"/>
    <e v="#N/A"/>
    <e v="#N/A"/>
    <n v="87518"/>
    <s v="TRANSPORT COSTS"/>
    <s v="BIOTIKA"/>
    <s v="Q4"/>
    <e v="#REF!"/>
    <e v="#REF!"/>
    <e v="#REF!"/>
  </r>
  <r>
    <s v="401000"/>
    <x v="6"/>
    <s v="FOURNISSEURS"/>
    <s v="OD"/>
    <n v="276.61"/>
    <d v="2025-06-16T00:00:00"/>
    <s v="Liaison inter-établissement vers TO "/>
    <m/>
    <e v="#N/A"/>
    <e v="#N/A"/>
    <n v="78846"/>
    <m/>
    <s v="ENGIE"/>
    <s v="Q2"/>
    <e v="#REF!"/>
    <e v="#REF!"/>
    <e v="#REF!"/>
  </r>
  <r>
    <s v="401000"/>
    <x v="6"/>
    <s v="FOURNISSEURS"/>
    <s v="OD"/>
    <n v="279.01"/>
    <d v="2025-06-28T00:00:00"/>
    <s v="Liaison inter-établissement vers TO "/>
    <m/>
    <e v="#N/A"/>
    <e v="#N/A"/>
    <n v="83306"/>
    <m/>
    <s v="FNAC"/>
    <s v="Q2"/>
    <e v="#REF!"/>
    <e v="#REF!"/>
    <e v="#REF!"/>
  </r>
  <r>
    <s v="401000"/>
    <x v="6"/>
    <s v="FOURNISSEURS"/>
    <s v="OD"/>
    <n v="279.74"/>
    <d v="2025-09-22T00:00:00"/>
    <s v="Liaison établissement 401000 OPTIMUS RO"/>
    <m/>
    <e v="#N/A"/>
    <e v="#N/A"/>
    <n v="82390"/>
    <s v="JOINTS ÉTANCHÉITÉ KL POUR MAINTENANCE JUILLET - URGENT"/>
    <s v="OPTIMUS"/>
    <s v="Q3"/>
    <e v="#REF!"/>
    <e v="#REF!"/>
    <e v="#REF!"/>
  </r>
  <r>
    <s v="401000"/>
    <x v="6"/>
    <s v="FOURNISSEURS"/>
    <s v="OD"/>
    <n v="283.39"/>
    <d v="2025-08-18T00:00:00"/>
    <s v="Liaison établissement 401000 VWR KB"/>
    <m/>
    <e v="#N/A"/>
    <e v="#N/A"/>
    <n v="81126"/>
    <s v="COMMANDE CONSOMMABLE LABO"/>
    <s v="VWR AVANTOR"/>
    <s v="Q3"/>
    <e v="#REF!"/>
    <e v="#REF!"/>
    <e v="#REF!"/>
  </r>
  <r>
    <s v="401000"/>
    <x v="6"/>
    <s v="FOURNISSEURS"/>
    <s v="OD"/>
    <n v="286.08"/>
    <d v="2025-08-18T00:00:00"/>
    <s v="Liaison établissement 401000 VWR KB"/>
    <m/>
    <e v="#N/A"/>
    <e v="#N/A"/>
    <n v="81131"/>
    <s v="COMMANDE PRODUIT POUR LABO"/>
    <s v="VWR AVANTOR"/>
    <s v="Q3"/>
    <e v="#REF!"/>
    <e v="#REF!"/>
    <e v="#REF!"/>
  </r>
  <r>
    <s v="401000"/>
    <x v="6"/>
    <s v="FOURNISSEURS"/>
    <s v="OD"/>
    <n v="287.83999999999997"/>
    <d v="2025-12-14T00:00:00"/>
    <s v="Liaison inter-établissement vers TO "/>
    <m/>
    <e v="#N/A"/>
    <e v="#N/A"/>
    <n v="94102"/>
    <m/>
    <s v="BRADY GROUPE"/>
    <s v="Q4"/>
    <e v="#REF!"/>
    <e v="#REF!"/>
    <e v="#REF!"/>
  </r>
  <r>
    <s v="401000"/>
    <x v="6"/>
    <s v="FOURNISSEURS"/>
    <s v="OD"/>
    <n v="288"/>
    <d v="2025-01-23T00:00:00"/>
    <s v="Liaison inter-établissement vers TO "/>
    <m/>
    <s v="Non"/>
    <e v="#N/A"/>
    <n v="63719"/>
    <m/>
    <s v="DIVERS"/>
    <s v="Q1"/>
    <e v="#REF!"/>
    <e v="#REF!"/>
    <e v="#REF!"/>
  </r>
  <r>
    <s v="401000"/>
    <x v="6"/>
    <s v="FOURNISSEURS"/>
    <s v="OD"/>
    <n v="288"/>
    <d v="2025-09-26T00:00:00"/>
    <s v="Liaison établissement 401000 GSF RO"/>
    <m/>
    <e v="#N/A"/>
    <e v="#N/A"/>
    <n v="82519"/>
    <s v="INVOICE PAYMENT BY PILI"/>
    <s v="GSF"/>
    <s v="Q3"/>
    <e v="#REF!"/>
    <e v="#REF!"/>
    <e v="#REF!"/>
  </r>
  <r>
    <s v="401000"/>
    <x v="6"/>
    <s v="FOURNISSEURS"/>
    <s v="OD"/>
    <n v="288.27"/>
    <d v="2025-11-28T00:00:00"/>
    <s v="Liaison établissement 401000 VWR KB"/>
    <m/>
    <e v="#N/A"/>
    <e v="#N/A"/>
    <n v="91246"/>
    <s v="4067842722"/>
    <s v="VWR AVANTOR"/>
    <s v="Q4"/>
    <e v="#REF!"/>
    <e v="#REF!"/>
    <e v="#REF!"/>
  </r>
  <r>
    <s v="401000"/>
    <x v="6"/>
    <s v="FOURNISSEURS"/>
    <s v="OD"/>
    <n v="290"/>
    <d v="2025-10-29T00:00:00"/>
    <s v="Liaison inter-établissement vers TO "/>
    <m/>
    <e v="#N/A"/>
    <e v="#N/A"/>
    <n v="89827"/>
    <m/>
    <s v="SNCF"/>
    <s v="Q4"/>
    <e v="#REF!"/>
    <e v="#REF!"/>
    <e v="#REF!"/>
  </r>
  <r>
    <s v="401000"/>
    <x v="6"/>
    <s v="FOURNISSEURS"/>
    <s v="OD"/>
    <n v="292"/>
    <d v="2025-11-28T00:00:00"/>
    <s v="Liaison établissement 401000 BLD PHARMATECH KB"/>
    <m/>
    <e v="#N/A"/>
    <e v="#N/A"/>
    <n v="91261"/>
    <s v="INGM238822"/>
    <s v="BLD PHARMATECH"/>
    <s v="Q4"/>
    <e v="#REF!"/>
    <e v="#REF!"/>
    <e v="#REF!"/>
  </r>
  <r>
    <s v="401000"/>
    <x v="6"/>
    <s v="FOURNISSEURS"/>
    <s v="OD"/>
    <n v="293.54000000000002"/>
    <d v="2025-02-18T00:00:00"/>
    <s v="Liaison inter-établissement vers TO "/>
    <m/>
    <e v="#N/A"/>
    <e v="#N/A"/>
    <n v="63763"/>
    <m/>
    <s v="MANUTAN"/>
    <s v="Q1"/>
    <e v="#REF!"/>
    <e v="#REF!"/>
    <e v="#REF!"/>
  </r>
  <r>
    <s v="401000"/>
    <x v="6"/>
    <s v="FOURNISSEURS"/>
    <s v="OD"/>
    <n v="294.95999999999998"/>
    <d v="2025-10-25T00:00:00"/>
    <s v="Liaison inter-établissement vers TO "/>
    <m/>
    <e v="#N/A"/>
    <e v="#N/A"/>
    <n v="91594"/>
    <m/>
    <s v="AIRLINES"/>
    <s v="Q4"/>
    <e v="#REF!"/>
    <e v="#REF!"/>
    <e v="#REF!"/>
  </r>
  <r>
    <s v="401000"/>
    <x v="6"/>
    <s v="FOURNISSEURS"/>
    <s v="OD"/>
    <n v="296.14999999999998"/>
    <d v="2025-01-01T00:00:00"/>
    <s v="Solde double comptabilisation"/>
    <m/>
    <e v="#N/A"/>
    <e v="#N/A"/>
    <n v="71924"/>
    <m/>
    <s v="YALE SOUCHES BIO"/>
    <s v="Q1"/>
    <e v="#REF!"/>
    <e v="#REF!"/>
    <e v="#REF!"/>
  </r>
  <r>
    <s v="401000"/>
    <x v="6"/>
    <s v="FOURNISSEURS"/>
    <s v="OD"/>
    <n v="298"/>
    <d v="2025-02-06T00:00:00"/>
    <s v="Liaison inter-établissement vers TO "/>
    <m/>
    <s v="Non"/>
    <e v="#N/A"/>
    <n v="64293"/>
    <m/>
    <s v="DIVERS"/>
    <s v="Q1"/>
    <e v="#REF!"/>
    <e v="#REF!"/>
    <e v="#REF!"/>
  </r>
  <r>
    <s v="401000"/>
    <x v="6"/>
    <s v="FOURNISSEURS"/>
    <s v="OD"/>
    <n v="298.8"/>
    <d v="2025-03-03T00:00:00"/>
    <s v="Liaison inter-établissement vers TO "/>
    <m/>
    <e v="#N/A"/>
    <e v="#N/A"/>
    <n v="64405"/>
    <m/>
    <s v="CLOUP"/>
    <s v="Q1"/>
    <e v="#REF!"/>
    <e v="#REF!"/>
    <e v="#REF!"/>
  </r>
  <r>
    <s v="401000"/>
    <x v="6"/>
    <s v="FOURNISSEURS"/>
    <s v="OD"/>
    <n v="299.51"/>
    <d v="2025-12-24T00:00:00"/>
    <s v="Liaison établissement 401000 WARNER NORCROSS JUDD LY"/>
    <s v="Non"/>
    <s v="Non"/>
    <e v="#N/A"/>
    <n v="93668"/>
    <s v="2473501"/>
    <s v="WARNER NORCROSS JUDD"/>
    <s v="Q4"/>
    <e v="#REF!"/>
    <e v="#REF!"/>
    <e v="#REF!"/>
  </r>
  <r>
    <s v="401000"/>
    <x v="6"/>
    <s v="FOURNISSEURS"/>
    <s v="OD"/>
    <n v="300"/>
    <d v="2025-07-31T00:00:00"/>
    <s v="Liaison établissement 401000 GONZALEZ KB"/>
    <s v="Non"/>
    <s v="Non"/>
    <e v="#N/A"/>
    <n v="79280"/>
    <s v="PRESTATION PHOTOGRAPHIQUE COMPRENANT LA PRISE DE VUES ET LA POST-PRODUCTION"/>
    <s v="GONZALEZ VICTOR"/>
    <s v="Q3"/>
    <e v="#REF!"/>
    <e v="#REF!"/>
    <e v="#REF!"/>
  </r>
  <r>
    <s v="401000"/>
    <x v="6"/>
    <s v="FOURNISSEURS"/>
    <s v="OD"/>
    <n v="300.89"/>
    <d v="2025-09-30T00:00:00"/>
    <s v="Liaison inter-établissement vers TO "/>
    <m/>
    <e v="#N/A"/>
    <e v="#N/A"/>
    <n v="82676"/>
    <m/>
    <s v="BRENNTAG"/>
    <s v="Q3"/>
    <e v="#REF!"/>
    <e v="#REF!"/>
    <e v="#REF!"/>
  </r>
  <r>
    <s v="401000"/>
    <x v="6"/>
    <s v="FOURNISSEURS"/>
    <s v="OD"/>
    <n v="302.39999999999998"/>
    <d v="2025-09-12T00:00:00"/>
    <s v="Liaison établissement 401000 VWR KB"/>
    <m/>
    <e v="#N/A"/>
    <e v="#N/A"/>
    <n v="82030"/>
    <s v="CONSOMMABLES LABO"/>
    <s v="VWR AVANTOR"/>
    <s v="Q3"/>
    <e v="#REF!"/>
    <e v="#REF!"/>
    <e v="#REF!"/>
  </r>
  <r>
    <s v="401000"/>
    <x v="6"/>
    <s v="FOURNISSEURS"/>
    <s v="OD"/>
    <n v="303.10000000000002"/>
    <d v="2025-07-16T00:00:00"/>
    <s v="Liaison inter-établissement vers TO "/>
    <m/>
    <e v="#N/A"/>
    <e v="#N/A"/>
    <n v="78858"/>
    <m/>
    <s v="ENGIE"/>
    <s v="Q3"/>
    <e v="#REF!"/>
    <e v="#REF!"/>
    <e v="#REF!"/>
  </r>
  <r>
    <s v="401000"/>
    <x v="6"/>
    <s v="FOURNISSEURS"/>
    <s v="OD"/>
    <n v="305.92"/>
    <d v="2025-10-16T00:00:00"/>
    <s v="Liaison inter-établissement vers TO "/>
    <m/>
    <e v="#N/A"/>
    <e v="#N/A"/>
    <n v="86956"/>
    <m/>
    <s v="ENGIE"/>
    <s v="Q4"/>
    <e v="#REF!"/>
    <e v="#REF!"/>
    <e v="#REF!"/>
  </r>
  <r>
    <s v="401000"/>
    <x v="6"/>
    <s v="FOURNISSEURS"/>
    <s v="OD"/>
    <n v="308.27"/>
    <d v="2025-04-14T00:00:00"/>
    <s v="Liaison inter-établissement vers TO "/>
    <m/>
    <e v="#N/A"/>
    <e v="#N/A"/>
    <n v="72778"/>
    <m/>
    <s v="ENGIE"/>
    <s v="Q2"/>
    <e v="#REF!"/>
    <e v="#REF!"/>
    <e v="#REF!"/>
  </r>
  <r>
    <s v="401000"/>
    <x v="6"/>
    <s v="FOURNISSEURS"/>
    <s v="OD"/>
    <n v="308.41000000000003"/>
    <d v="2025-11-13T00:00:00"/>
    <s v="Liaison établissement 401000 VWR KB"/>
    <m/>
    <e v="#N/A"/>
    <e v="#N/A"/>
    <n v="89947"/>
    <s v="CONSOMMABLE LABO"/>
    <s v="VWR AVANTOR"/>
    <s v="Q4"/>
    <e v="#REF!"/>
    <e v="#REF!"/>
    <e v="#REF!"/>
  </r>
  <r>
    <s v="401000"/>
    <x v="6"/>
    <s v="FOURNISSEURS"/>
    <s v="OD"/>
    <n v="309.12"/>
    <d v="2025-03-28T00:00:00"/>
    <s v="Liaison établissement 401000 CLOUP KB"/>
    <m/>
    <e v="#N/A"/>
    <e v="#N/A"/>
    <n v="65002"/>
    <s v="Invoice Payment by Pili"/>
    <s v="CLOUP"/>
    <s v="Q1"/>
    <e v="#REF!"/>
    <e v="#REF!"/>
    <e v="#REF!"/>
  </r>
  <r>
    <s v="401000"/>
    <x v="6"/>
    <s v="FOURNISSEURS"/>
    <s v="OD"/>
    <n v="313.2"/>
    <d v="2025-05-07T00:00:00"/>
    <s v="Liaison établissement 401000 RAJA LY"/>
    <m/>
    <e v="#N/A"/>
    <e v="#N/A"/>
    <n v="71805"/>
    <s v="TUBE BRUN RAJA D60 LONG500"/>
    <s v="RAJA"/>
    <s v="Q2"/>
    <e v="#REF!"/>
    <e v="#REF!"/>
    <e v="#REF!"/>
  </r>
  <r>
    <s v="401000"/>
    <x v="6"/>
    <s v="FOURNISSEURS"/>
    <s v="OD"/>
    <n v="313.2"/>
    <d v="2025-09-12T00:00:00"/>
    <s v="Liaison établissement 401000 FISHER RO"/>
    <m/>
    <e v="#N/A"/>
    <e v="#N/A"/>
    <n v="82005"/>
    <s v="HYDROXYLAMINE SULFATE POUR STEP 2 KEENY"/>
    <s v="FISHER SCIENTIFIC"/>
    <s v="Q3"/>
    <e v="#REF!"/>
    <e v="#REF!"/>
    <e v="#REF!"/>
  </r>
  <r>
    <s v="401000"/>
    <x v="6"/>
    <s v="FOURNISSEURS"/>
    <s v="OD"/>
    <n v="313.2"/>
    <d v="2025-10-06T00:00:00"/>
    <s v="Liaison établissement 401000 FISHER RO"/>
    <m/>
    <e v="#N/A"/>
    <e v="#N/A"/>
    <n v="82929"/>
    <s v="HYDROXYLAMINE SULFATE POUR STEP 2 KEENY"/>
    <s v="FISHER SCIENTIFIC"/>
    <s v="Q4"/>
    <e v="#REF!"/>
    <e v="#REF!"/>
    <e v="#REF!"/>
  </r>
  <r>
    <s v="401000"/>
    <x v="6"/>
    <s v="FOURNISSEURS"/>
    <s v="OD"/>
    <n v="316.7"/>
    <d v="2025-03-21T00:00:00"/>
    <s v="Liaison inter-établissement vers TO "/>
    <m/>
    <s v="Non"/>
    <e v="#N/A"/>
    <n v="68112"/>
    <m/>
    <s v="DIVERS"/>
    <s v="Q1"/>
    <e v="#REF!"/>
    <e v="#REF!"/>
    <e v="#REF!"/>
  </r>
  <r>
    <s v="401000"/>
    <x v="6"/>
    <s v="FOURNISSEURS"/>
    <s v="OD"/>
    <n v="318"/>
    <d v="2025-05-07T00:00:00"/>
    <s v="Liaison établissement 401000 GAZDETECT RO"/>
    <m/>
    <e v="#N/A"/>
    <e v="#N/A"/>
    <n v="71780"/>
    <s v="CARTOUCHE AX POUR MASQUE À GAZ"/>
    <s v="GAZ DETECT"/>
    <s v="Q2"/>
    <e v="#REF!"/>
    <e v="#REF!"/>
    <e v="#REF!"/>
  </r>
  <r>
    <s v="401000"/>
    <x v="6"/>
    <s v="FOURNISSEURS"/>
    <s v="OD"/>
    <n v="319.43"/>
    <d v="2025-09-12T00:00:00"/>
    <s v="Liaison établissement 401000 VWR KB"/>
    <m/>
    <e v="#N/A"/>
    <e v="#N/A"/>
    <n v="82040"/>
    <s v="CONSOMMABLES LABO"/>
    <s v="VWR AVANTOR"/>
    <s v="Q3"/>
    <e v="#REF!"/>
    <e v="#REF!"/>
    <e v="#REF!"/>
  </r>
  <r>
    <s v="401000"/>
    <x v="6"/>
    <s v="FOURNISSEURS"/>
    <s v="OD"/>
    <n v="321.18"/>
    <d v="2025-12-30T00:00:00"/>
    <s v="Liaison établissement 401000 VWR KB"/>
    <m/>
    <e v="#N/A"/>
    <e v="#N/A"/>
    <n v="93842"/>
    <s v="4067873149"/>
    <s v="VWR AVANTOR"/>
    <s v="Q4"/>
    <e v="#REF!"/>
    <e v="#REF!"/>
    <e v="#REF!"/>
  </r>
  <r>
    <s v="401000"/>
    <x v="6"/>
    <s v="FOURNISSEURS"/>
    <s v="OD"/>
    <n v="321.35000000000002"/>
    <d v="2025-07-31T00:00:00"/>
    <s v="Liaison inter-établissement vers TO "/>
    <m/>
    <e v="#N/A"/>
    <e v="#N/A"/>
    <n v="81921"/>
    <m/>
    <s v="AIR LIQUIDE"/>
    <s v="Q3"/>
    <e v="#REF!"/>
    <e v="#REF!"/>
    <e v="#REF!"/>
  </r>
  <r>
    <s v="401000"/>
    <x v="6"/>
    <s v="FOURNISSEURS"/>
    <s v="OD"/>
    <n v="325.93"/>
    <d v="2025-10-31T00:00:00"/>
    <s v="Liaison établissement 401000 BIOTIKA RO"/>
    <s v="Non"/>
    <e v="#N/A"/>
    <e v="#N/A"/>
    <n v="87523"/>
    <s v="TRANSPORT COSTS"/>
    <s v="BIOTIKA"/>
    <s v="Q4"/>
    <e v="#REF!"/>
    <e v="#REF!"/>
    <e v="#REF!"/>
  </r>
  <r>
    <s v="401000"/>
    <x v="6"/>
    <s v="FOURNISSEURS"/>
    <s v="OD"/>
    <n v="328.09"/>
    <d v="2025-08-21T00:00:00"/>
    <s v="Liaison inter-établissement vers TO "/>
    <m/>
    <e v="#N/A"/>
    <e v="#N/A"/>
    <n v="83242"/>
    <m/>
    <s v="ARCANE INDUSTRIE"/>
    <s v="Q3"/>
    <e v="#REF!"/>
    <e v="#REF!"/>
    <e v="#REF!"/>
  </r>
  <r>
    <s v="401000"/>
    <x v="6"/>
    <s v="FOURNISSEURS"/>
    <s v="OD"/>
    <n v="328.09"/>
    <d v="2025-11-05T00:00:00"/>
    <s v="Liaison inter-établissement vers TO "/>
    <m/>
    <e v="#N/A"/>
    <e v="#N/A"/>
    <n v="91598"/>
    <m/>
    <s v="ARCANE INDUSTRIE"/>
    <s v="Q4"/>
    <e v="#REF!"/>
    <e v="#REF!"/>
    <e v="#REF!"/>
  </r>
  <r>
    <s v="401000"/>
    <x v="6"/>
    <s v="FOURNISSEURS"/>
    <s v="OD"/>
    <n v="329.19"/>
    <d v="2025-08-15T00:00:00"/>
    <s v="Liaison inter-établissement vers TO "/>
    <m/>
    <e v="#N/A"/>
    <e v="#N/A"/>
    <n v="81925"/>
    <m/>
    <s v="ENGIE"/>
    <s v="Q3"/>
    <e v="#REF!"/>
    <e v="#REF!"/>
    <e v="#REF!"/>
  </r>
  <r>
    <s v="401000"/>
    <x v="6"/>
    <s v="FOURNISSEURS"/>
    <s v="OD"/>
    <n v="330.2"/>
    <d v="2025-03-21T00:00:00"/>
    <s v="Liaison inter-établissement vers TO "/>
    <m/>
    <e v="#N/A"/>
    <e v="#N/A"/>
    <n v="68080"/>
    <m/>
    <s v="BRUNEAU"/>
    <s v="Q1"/>
    <e v="#REF!"/>
    <e v="#REF!"/>
    <e v="#REF!"/>
  </r>
  <r>
    <s v="401000"/>
    <x v="6"/>
    <s v="FOURNISSEURS"/>
    <s v="OD"/>
    <n v="333.2"/>
    <d v="2025-01-01T00:00:00"/>
    <s v="Liaison inter-établissement"/>
    <m/>
    <e v="#N/A"/>
    <e v="#N/A"/>
    <n v="74069"/>
    <m/>
    <s v="BROSSIER TRANSPORTS"/>
    <s v="Q1"/>
    <e v="#REF!"/>
    <e v="#REF!"/>
    <e v="#REF!"/>
  </r>
  <r>
    <s v="401000"/>
    <x v="6"/>
    <s v="FOURNISSEURS"/>
    <s v="OD"/>
    <n v="334.19"/>
    <d v="2025-10-24T00:00:00"/>
    <s v="Liaison inter-établissement vers TO "/>
    <m/>
    <e v="#N/A"/>
    <e v="#N/A"/>
    <n v="94874"/>
    <m/>
    <s v="RICOH"/>
    <s v="Q4"/>
    <e v="#REF!"/>
    <e v="#REF!"/>
    <e v="#REF!"/>
  </r>
  <r>
    <s v="401000"/>
    <x v="6"/>
    <s v="FOURNISSEURS"/>
    <s v="OD"/>
    <n v="336"/>
    <d v="2025-10-31T00:00:00"/>
    <s v="Liaison établissement 401000 BECKER KB"/>
    <s v="Non"/>
    <s v="Oui"/>
    <e v="#N/A"/>
    <n v="87507"/>
    <s v="RETRAIT DEMANDE INITIALE EP AVANT PCT DE PALOMA CHIMIE"/>
    <s v="BECKER"/>
    <s v="Q4"/>
    <e v="#REF!"/>
    <e v="#REF!"/>
    <e v="#REF!"/>
  </r>
  <r>
    <s v="401000"/>
    <x v="6"/>
    <s v="FOURNISSEURS"/>
    <s v="OD"/>
    <n v="336.86"/>
    <d v="2025-03-19T00:00:00"/>
    <s v="Liaison inter-établissement vers TO "/>
    <m/>
    <e v="#N/A"/>
    <e v="#N/A"/>
    <n v="63759"/>
    <m/>
    <s v="MANUTAN"/>
    <s v="Q1"/>
    <e v="#REF!"/>
    <e v="#REF!"/>
    <e v="#REF!"/>
  </r>
  <r>
    <s v="401000"/>
    <x v="6"/>
    <s v="FOURNISSEURS"/>
    <s v="OD"/>
    <n v="341.36"/>
    <d v="2025-05-30T00:00:00"/>
    <s v="Liaison inter-établissement vers TO "/>
    <m/>
    <e v="#N/A"/>
    <e v="#N/A"/>
    <n v="75022"/>
    <m/>
    <s v="AIR LIQUIDE"/>
    <s v="Q2"/>
    <e v="#REF!"/>
    <e v="#REF!"/>
    <e v="#REF!"/>
  </r>
  <r>
    <s v="401000"/>
    <x v="6"/>
    <s v="FOURNISSEURS"/>
    <s v="OD"/>
    <n v="344.4"/>
    <d v="2025-07-23T00:00:00"/>
    <s v="Liaison établissement 401000 BIOTIKA RO"/>
    <s v="Non"/>
    <e v="#N/A"/>
    <e v="#N/A"/>
    <n v="78349"/>
    <s v="TRANSPORT OF ADR MATERIAL TO MILANO ITALY"/>
    <s v="BIOTIKA"/>
    <s v="Q3"/>
    <e v="#REF!"/>
    <e v="#REF!"/>
    <e v="#REF!"/>
  </r>
  <r>
    <s v="401000"/>
    <x v="6"/>
    <s v="FOURNISSEURS"/>
    <s v="OD"/>
    <n v="346.55"/>
    <d v="2025-05-07T00:00:00"/>
    <s v="Liaison établissement 401000 VWR KB"/>
    <m/>
    <e v="#N/A"/>
    <e v="#N/A"/>
    <n v="71860"/>
    <s v="COMMANDE PRODUITS ET CONSOMMABLES LABO"/>
    <s v="VWR AVANTOR"/>
    <s v="Q2"/>
    <e v="#REF!"/>
    <e v="#REF!"/>
    <e v="#REF!"/>
  </r>
  <r>
    <s v="401000"/>
    <x v="6"/>
    <s v="FOURNISSEURS"/>
    <s v="OD"/>
    <n v="348.34"/>
    <d v="2025-04-25T00:00:00"/>
    <s v="Liaison établissement 401000 ROTH RO"/>
    <m/>
    <e v="#N/A"/>
    <e v="#N/A"/>
    <n v="70176"/>
    <s v="Invoice Payment by Pili"/>
    <s v="ROTH SOCHIEL"/>
    <s v="Q2"/>
    <e v="#REF!"/>
    <e v="#REF!"/>
    <e v="#REF!"/>
  </r>
  <r>
    <s v="401000"/>
    <x v="6"/>
    <s v="FOURNISSEURS"/>
    <s v="OD"/>
    <n v="349"/>
    <d v="2025-05-29T00:00:00"/>
    <s v="Liaison inter-établissement vers TO "/>
    <m/>
    <e v="#N/A"/>
    <e v="#N/A"/>
    <n v="78138"/>
    <m/>
    <s v="SNCF"/>
    <s v="Q2"/>
    <e v="#REF!"/>
    <e v="#REF!"/>
    <e v="#REF!"/>
  </r>
  <r>
    <s v="401000"/>
    <x v="6"/>
    <s v="FOURNISSEURS"/>
    <s v="OD"/>
    <n v="349"/>
    <d v="2025-11-28T00:00:00"/>
    <s v="Liaison inter-établissement vers TO "/>
    <m/>
    <e v="#N/A"/>
    <e v="#N/A"/>
    <n v="91731"/>
    <m/>
    <s v="SNCF"/>
    <s v="Q4"/>
    <e v="#REF!"/>
    <e v="#REF!"/>
    <e v="#REF!"/>
  </r>
  <r>
    <s v="401000"/>
    <x v="6"/>
    <s v="FOURNISSEURS"/>
    <s v="OD"/>
    <n v="349"/>
    <d v="2025-12-09T00:00:00"/>
    <s v="Liaison inter-établissement vers TO "/>
    <m/>
    <e v="#N/A"/>
    <e v="#N/A"/>
    <n v="94134"/>
    <m/>
    <s v="SNCF"/>
    <s v="Q4"/>
    <e v="#REF!"/>
    <e v="#REF!"/>
    <e v="#REF!"/>
  </r>
  <r>
    <s v="401000"/>
    <x v="6"/>
    <s v="FOURNISSEURS"/>
    <s v="OD"/>
    <n v="350.44"/>
    <d v="2025-10-08T00:00:00"/>
    <s v="Liaison inter-établissement vers TO "/>
    <m/>
    <e v="#N/A"/>
    <e v="#N/A"/>
    <n v="89767"/>
    <m/>
    <s v="MANUTAN"/>
    <s v="Q4"/>
    <e v="#REF!"/>
    <e v="#REF!"/>
    <e v="#REF!"/>
  </r>
  <r>
    <s v="401000"/>
    <x v="6"/>
    <s v="FOURNISSEURS"/>
    <s v="OD"/>
    <n v="354.95"/>
    <d v="2025-03-07T00:00:00"/>
    <s v="Liaison inter-établissement vers TO "/>
    <m/>
    <e v="#N/A"/>
    <e v="#N/A"/>
    <n v="68072"/>
    <m/>
    <s v="BRUNEAU"/>
    <s v="Q1"/>
    <e v="#REF!"/>
    <e v="#REF!"/>
    <e v="#REF!"/>
  </r>
  <r>
    <s v="401000"/>
    <x v="6"/>
    <s v="FOURNISSEURS"/>
    <s v="OD"/>
    <n v="356.12"/>
    <d v="2025-12-30T00:00:00"/>
    <s v="Liaison établissement 401000 BIOTIKA RO"/>
    <s v="Non"/>
    <e v="#N/A"/>
    <e v="#N/A"/>
    <n v="93780"/>
    <s v="91250194"/>
    <s v="BIOTIKA"/>
    <s v="Q4"/>
    <e v="#REF!"/>
    <e v="#REF!"/>
    <e v="#REF!"/>
  </r>
  <r>
    <s v="401000"/>
    <x v="6"/>
    <s v="FOURNISSEURS"/>
    <s v="OD"/>
    <n v="356.4"/>
    <d v="2025-08-21T00:00:00"/>
    <s v="Liaison établissement 401000 SAESPCI KB"/>
    <m/>
    <e v="#N/A"/>
    <e v="#N/A"/>
    <n v="81491"/>
    <s v="ANALYSE RMN ESPCI - AVR-JUIN 2025"/>
    <s v="SAESPCI"/>
    <s v="Q3"/>
    <e v="#REF!"/>
    <e v="#REF!"/>
    <e v="#REF!"/>
  </r>
  <r>
    <s v="401000"/>
    <x v="6"/>
    <s v="FOURNISSEURS"/>
    <s v="OD"/>
    <n v="359.69"/>
    <d v="2025-04-25T00:00:00"/>
    <s v="Liaison établissement 401000 ROTH RO"/>
    <m/>
    <e v="#N/A"/>
    <e v="#N/A"/>
    <n v="70181"/>
    <s v="Invoice Payment by Pili"/>
    <s v="ROTH SOCHIEL"/>
    <s v="Q2"/>
    <e v="#REF!"/>
    <e v="#REF!"/>
    <e v="#REF!"/>
  </r>
  <r>
    <s v="401000"/>
    <x v="6"/>
    <s v="FOURNISSEURS"/>
    <s v="OD"/>
    <n v="360"/>
    <d v="2025-08-21T00:00:00"/>
    <s v="Liaison établissement 401000 BECKER KB"/>
    <s v="Non"/>
    <s v="Oui"/>
    <e v="#N/A"/>
    <n v="81405"/>
    <s v="SURVEILLANCE BREVET"/>
    <s v="BECKER"/>
    <s v="Q3"/>
    <e v="#REF!"/>
    <e v="#REF!"/>
    <e v="#REF!"/>
  </r>
  <r>
    <s v="401000"/>
    <x v="6"/>
    <s v="FOURNISSEURS"/>
    <s v="OD"/>
    <n v="360"/>
    <d v="2025-09-25T00:00:00"/>
    <s v="Liaison inter-établissement vers TO "/>
    <m/>
    <e v="#N/A"/>
    <e v="#N/A"/>
    <n v="83398"/>
    <m/>
    <s v="BILLETWEB"/>
    <s v="Q3"/>
    <e v="#REF!"/>
    <e v="#REF!"/>
    <e v="#REF!"/>
  </r>
  <r>
    <s v="401000"/>
    <x v="6"/>
    <s v="FOURNISSEURS"/>
    <s v="OD"/>
    <n v="360"/>
    <d v="2025-11-04T00:00:00"/>
    <s v="Liaison inter-établissement vers TO "/>
    <m/>
    <e v="#N/A"/>
    <e v="#N/A"/>
    <n v="91755"/>
    <m/>
    <s v="YOUSIGN"/>
    <s v="Q4"/>
    <e v="#REF!"/>
    <e v="#REF!"/>
    <e v="#REF!"/>
  </r>
  <r>
    <s v="401000"/>
    <x v="6"/>
    <s v="FOURNISSEURS"/>
    <s v="OD"/>
    <n v="360.2"/>
    <d v="2025-11-13T00:00:00"/>
    <s v="Liaison établissement 401000 INITIATIVE LY"/>
    <m/>
    <e v="#N/A"/>
    <e v="#N/A"/>
    <n v="89953"/>
    <s v="COUVERTURE MULTIRISQUE PROFESSIONNELLE AV DE SULLY LYON"/>
    <s v="INITIATIVE &amp; RISK PARTNERS"/>
    <s v="Q4"/>
    <e v="#REF!"/>
    <e v="#REF!"/>
    <e v="#REF!"/>
  </r>
  <r>
    <s v="401000"/>
    <x v="6"/>
    <s v="FOURNISSEURS"/>
    <s v="OD"/>
    <n v="362.31"/>
    <d v="2025-03-14T00:00:00"/>
    <s v="Liaison inter-établissement vers TO "/>
    <m/>
    <s v="Non"/>
    <e v="#N/A"/>
    <n v="71909"/>
    <m/>
    <s v="DIVERS"/>
    <s v="Q1"/>
    <e v="#REF!"/>
    <e v="#REF!"/>
    <e v="#REF!"/>
  </r>
  <r>
    <s v="401000"/>
    <x v="6"/>
    <s v="FOURNISSEURS"/>
    <s v="OD"/>
    <n v="364.78"/>
    <d v="2025-02-28T00:00:00"/>
    <s v="Liaison inter-établissement vers TO "/>
    <m/>
    <e v="#N/A"/>
    <e v="#N/A"/>
    <n v="64421"/>
    <m/>
    <s v="COTRAL LAB"/>
    <s v="Q1"/>
    <e v="#REF!"/>
    <e v="#REF!"/>
    <e v="#REF!"/>
  </r>
  <r>
    <s v="401000"/>
    <x v="6"/>
    <s v="FOURNISSEURS"/>
    <s v="OD"/>
    <n v="371.26"/>
    <d v="2025-05-14T00:00:00"/>
    <s v="Liaison établissement 401000 BIOTIKA RO"/>
    <s v="Non"/>
    <e v="#N/A"/>
    <e v="#N/A"/>
    <n v="72295"/>
    <m/>
    <s v="BIOTIKA"/>
    <s v="Q2"/>
    <e v="#REF!"/>
    <e v="#REF!"/>
    <e v="#REF!"/>
  </r>
  <r>
    <s v="401000"/>
    <x v="6"/>
    <s v="FOURNISSEURS"/>
    <s v="OD"/>
    <n v="373.14"/>
    <d v="2025-02-18T00:00:00"/>
    <s v="Liaison inter-établissement vers TO "/>
    <s v="Non"/>
    <e v="#N/A"/>
    <e v="#N/A"/>
    <n v="63571"/>
    <m/>
    <s v="BIOTIKA"/>
    <s v="Q1"/>
    <e v="#REF!"/>
    <e v="#REF!"/>
    <e v="#REF!"/>
  </r>
  <r>
    <s v="401000"/>
    <x v="6"/>
    <s v="FOURNISSEURS"/>
    <s v="OD"/>
    <n v="373.2"/>
    <d v="2025-04-18T00:00:00"/>
    <s v="Liaison établissement 401000 GSF RO"/>
    <m/>
    <e v="#N/A"/>
    <e v="#N/A"/>
    <n v="68182"/>
    <s v="Invoice Payment by Pili"/>
    <s v="GSF"/>
    <s v="Q2"/>
    <e v="#REF!"/>
    <e v="#REF!"/>
    <e v="#REF!"/>
  </r>
  <r>
    <s v="401000"/>
    <x v="6"/>
    <s v="FOURNISSEURS"/>
    <s v="OD"/>
    <n v="373.2"/>
    <d v="2025-05-07T00:00:00"/>
    <s v="Liaison établissement 401000 GSF RO"/>
    <m/>
    <e v="#N/A"/>
    <e v="#N/A"/>
    <n v="71785"/>
    <s v="ENTRETIEN DES LOCAUX ROUSSILLON AVRIL 2025"/>
    <s v="GSF"/>
    <s v="Q2"/>
    <e v="#REF!"/>
    <e v="#REF!"/>
    <e v="#REF!"/>
  </r>
  <r>
    <s v="401000"/>
    <x v="6"/>
    <s v="FOURNISSEURS"/>
    <s v="OD"/>
    <n v="373.2"/>
    <d v="2025-07-22T00:00:00"/>
    <s v="Liaison établissement 401000 GSF RO"/>
    <m/>
    <e v="#N/A"/>
    <e v="#N/A"/>
    <n v="78315"/>
    <s v="ENTRETIEN LOCAUX ROUSSILLON"/>
    <s v="GSF"/>
    <s v="Q3"/>
    <e v="#REF!"/>
    <e v="#REF!"/>
    <e v="#REF!"/>
  </r>
  <r>
    <s v="401000"/>
    <x v="6"/>
    <s v="FOURNISSEURS"/>
    <s v="OD"/>
    <n v="373.2"/>
    <d v="2025-08-22T00:00:00"/>
    <s v="Liaison établissement 401000 GSF RO"/>
    <m/>
    <e v="#N/A"/>
    <e v="#N/A"/>
    <n v="81595"/>
    <s v="CONTRAT DE NETTOYAGE DES ALGECOS - ROUSSILLON"/>
    <s v="GSF"/>
    <s v="Q3"/>
    <e v="#REF!"/>
    <e v="#REF!"/>
    <e v="#REF!"/>
  </r>
  <r>
    <s v="401000"/>
    <x v="6"/>
    <s v="FOURNISSEURS"/>
    <s v="OD"/>
    <n v="373.2"/>
    <d v="2025-09-26T00:00:00"/>
    <s v="Liaison établissement 401000 GSF RO"/>
    <m/>
    <e v="#N/A"/>
    <e v="#N/A"/>
    <n v="82514"/>
    <s v="INVOICE PAYMENT BY PILI"/>
    <s v="GSF"/>
    <s v="Q3"/>
    <e v="#REF!"/>
    <e v="#REF!"/>
    <e v="#REF!"/>
  </r>
  <r>
    <s v="401000"/>
    <x v="6"/>
    <s v="FOURNISSEURS"/>
    <s v="OD"/>
    <n v="373.2"/>
    <d v="2025-10-31T00:00:00"/>
    <s v="Liaison établissement 401000 GSF RO"/>
    <m/>
    <e v="#N/A"/>
    <e v="#N/A"/>
    <n v="87554"/>
    <s v="ENTRETIEN DES ALGÉCOS"/>
    <s v="GSF"/>
    <s v="Q4"/>
    <e v="#REF!"/>
    <e v="#REF!"/>
    <e v="#REF!"/>
  </r>
  <r>
    <s v="401000"/>
    <x v="6"/>
    <s v="FOURNISSEURS"/>
    <s v="OD"/>
    <n v="373.2"/>
    <d v="2025-11-28T00:00:00"/>
    <s v="Liaison établissement 401000 GSF RO"/>
    <m/>
    <e v="#N/A"/>
    <e v="#N/A"/>
    <n v="91236"/>
    <s v="251P1464"/>
    <s v="GSF"/>
    <s v="Q4"/>
    <e v="#REF!"/>
    <e v="#REF!"/>
    <e v="#REF!"/>
  </r>
  <r>
    <s v="401000"/>
    <x v="6"/>
    <s v="FOURNISSEURS"/>
    <s v="OD"/>
    <n v="373.2"/>
    <d v="2025-12-30T00:00:00"/>
    <s v="Liaison établissement 401000 GSF RO"/>
    <m/>
    <e v="#N/A"/>
    <e v="#N/A"/>
    <n v="93827"/>
    <s v="251P1661"/>
    <s v="GSF"/>
    <s v="Q4"/>
    <e v="#REF!"/>
    <e v="#REF!"/>
    <e v="#REF!"/>
  </r>
  <r>
    <s v="401000"/>
    <x v="6"/>
    <s v="FOURNISSEURS"/>
    <s v="OD"/>
    <n v="376.96"/>
    <d v="2025-10-01T00:00:00"/>
    <s v="Liaison inter-établissement vers TO "/>
    <m/>
    <e v="#N/A"/>
    <e v="#N/A"/>
    <n v="89717"/>
    <m/>
    <s v="AVIS"/>
    <s v="Q4"/>
    <e v="#REF!"/>
    <e v="#REF!"/>
    <e v="#REF!"/>
  </r>
  <r>
    <s v="401000"/>
    <x v="6"/>
    <s v="FOURNISSEURS"/>
    <s v="OD"/>
    <n v="378"/>
    <d v="2025-03-07T00:00:00"/>
    <s v="Liaison inter-établissement vers TO "/>
    <m/>
    <e v="#N/A"/>
    <e v="#N/A"/>
    <n v="63827"/>
    <m/>
    <s v="SAESPCI"/>
    <s v="Q1"/>
    <e v="#REF!"/>
    <e v="#REF!"/>
    <e v="#REF!"/>
  </r>
  <r>
    <s v="401000"/>
    <x v="6"/>
    <s v="FOURNISSEURS"/>
    <s v="OD"/>
    <n v="378"/>
    <d v="2025-09-25T00:00:00"/>
    <s v="Liaison inter-établissement vers TO "/>
    <m/>
    <e v="#N/A"/>
    <e v="#N/A"/>
    <n v="91639"/>
    <m/>
    <s v="HOTELS"/>
    <s v="Q3"/>
    <e v="#REF!"/>
    <e v="#REF!"/>
    <e v="#REF!"/>
  </r>
  <r>
    <s v="401000"/>
    <x v="6"/>
    <s v="FOURNISSEURS"/>
    <s v="OD"/>
    <n v="380"/>
    <d v="2025-05-14T00:00:00"/>
    <s v="Liaison établissement 401000 BIOTIKA RO"/>
    <s v="Non"/>
    <e v="#N/A"/>
    <e v="#N/A"/>
    <n v="72303"/>
    <m/>
    <s v="BIOTIKA"/>
    <s v="Q2"/>
    <e v="#REF!"/>
    <e v="#REF!"/>
    <e v="#REF!"/>
  </r>
  <r>
    <s v="401000"/>
    <x v="6"/>
    <s v="FOURNISSEURS"/>
    <s v="OD"/>
    <n v="380"/>
    <d v="2025-09-26T00:00:00"/>
    <s v="Liaison inter-établissement vers TO "/>
    <m/>
    <e v="#N/A"/>
    <e v="#N/A"/>
    <n v="89791"/>
    <m/>
    <s v="SNCF"/>
    <s v="Q3"/>
    <e v="#REF!"/>
    <e v="#REF!"/>
    <e v="#REF!"/>
  </r>
  <r>
    <s v="401000"/>
    <x v="6"/>
    <s v="FOURNISSEURS"/>
    <s v="OD"/>
    <n v="380.53"/>
    <d v="2025-03-12T00:00:00"/>
    <s v="Liaison inter-établissement vers TO "/>
    <m/>
    <s v="Non"/>
    <e v="#N/A"/>
    <n v="71917"/>
    <m/>
    <s v="DIVERS"/>
    <s v="Q1"/>
    <e v="#REF!"/>
    <e v="#REF!"/>
    <e v="#REF!"/>
  </r>
  <r>
    <s v="401000"/>
    <x v="6"/>
    <s v="FOURNISSEURS"/>
    <s v="OD"/>
    <n v="386.4"/>
    <d v="2025-08-21T00:00:00"/>
    <s v="Liaison établissement 401000 BECKER KB"/>
    <s v="Non"/>
    <s v="Oui"/>
    <e v="#N/A"/>
    <n v="81395"/>
    <s v="FRAIS PI LISA EN AMONT BREVET PALOMA CHIMIE"/>
    <s v="BECKER"/>
    <s v="Q3"/>
    <e v="#REF!"/>
    <e v="#REF!"/>
    <e v="#REF!"/>
  </r>
  <r>
    <s v="401000"/>
    <x v="6"/>
    <s v="FOURNISSEURS"/>
    <s v="OD"/>
    <n v="391.51"/>
    <d v="2025-10-30T00:00:00"/>
    <s v="Liaison inter-établissement vers TO "/>
    <m/>
    <e v="#N/A"/>
    <e v="#N/A"/>
    <n v="89741"/>
    <m/>
    <s v="INFORMA MARKETS"/>
    <s v="Q4"/>
    <e v="#REF!"/>
    <e v="#REF!"/>
    <e v="#REF!"/>
  </r>
  <r>
    <s v="401000"/>
    <x v="6"/>
    <s v="FOURNISSEURS"/>
    <s v="OD"/>
    <n v="392.44"/>
    <d v="2025-09-16T00:00:00"/>
    <s v="Liaison inter-établissement vers TO "/>
    <m/>
    <e v="#N/A"/>
    <e v="#N/A"/>
    <n v="82804"/>
    <m/>
    <s v="ENGIE"/>
    <s v="Q3"/>
    <e v="#REF!"/>
    <e v="#REF!"/>
    <e v="#REF!"/>
  </r>
  <r>
    <s v="401000"/>
    <x v="6"/>
    <s v="FOURNISSEURS"/>
    <s v="OD"/>
    <n v="393.92"/>
    <d v="2025-12-10T00:00:00"/>
    <s v="Liaison établissement 401000 ROTH KB"/>
    <m/>
    <e v="#N/A"/>
    <e v="#N/A"/>
    <n v="92038"/>
    <s v="4184079"/>
    <s v="ROTH SOCHIEL"/>
    <s v="Q4"/>
    <e v="#REF!"/>
    <e v="#REF!"/>
    <e v="#REF!"/>
  </r>
  <r>
    <s v="401000"/>
    <x v="6"/>
    <s v="FOURNISSEURS"/>
    <s v="OD"/>
    <n v="396.6"/>
    <d v="2025-03-28T00:00:00"/>
    <s v="Liaison inter-établissement vers TO "/>
    <m/>
    <e v="#N/A"/>
    <e v="#N/A"/>
    <n v="70078"/>
    <m/>
    <s v="RS COMPONENT"/>
    <s v="Q1"/>
    <e v="#REF!"/>
    <e v="#REF!"/>
    <e v="#REF!"/>
  </r>
  <r>
    <s v="401000"/>
    <x v="6"/>
    <s v="FOURNISSEURS"/>
    <s v="OD"/>
    <n v="402.8"/>
    <d v="2025-11-17T00:00:00"/>
    <s v="Liaison inter-établissement vers TO "/>
    <m/>
    <e v="#N/A"/>
    <e v="#N/A"/>
    <n v="90173"/>
    <m/>
    <s v="ENGIE"/>
    <s v="Q4"/>
    <e v="#REF!"/>
    <e v="#REF!"/>
    <e v="#REF!"/>
  </r>
  <r>
    <s v="401000"/>
    <x v="6"/>
    <s v="FOURNISSEURS"/>
    <s v="OD"/>
    <n v="404.49"/>
    <d v="2025-10-30T00:00:00"/>
    <s v="Liaison inter-établissement vers TO "/>
    <m/>
    <e v="#N/A"/>
    <e v="#N/A"/>
    <n v="91785"/>
    <m/>
    <s v="BACKMARKET"/>
    <s v="Q4"/>
    <e v="#REF!"/>
    <e v="#REF!"/>
    <e v="#REF!"/>
  </r>
  <r>
    <s v="401000"/>
    <x v="6"/>
    <s v="FOURNISSEURS"/>
    <s v="OD"/>
    <n v="404.71"/>
    <d v="2025-03-18T00:00:00"/>
    <s v="Liaison inter-établissement vers TO "/>
    <m/>
    <e v="#N/A"/>
    <e v="#N/A"/>
    <n v="72774"/>
    <m/>
    <s v="ENGIE"/>
    <s v="Q1"/>
    <e v="#REF!"/>
    <e v="#REF!"/>
    <e v="#REF!"/>
  </r>
  <r>
    <s v="401000"/>
    <x v="6"/>
    <s v="FOURNISSEURS"/>
    <s v="OD"/>
    <n v="406.01"/>
    <d v="2025-03-19T00:00:00"/>
    <s v="Liaison inter-établissement vers TO "/>
    <m/>
    <e v="#N/A"/>
    <e v="#N/A"/>
    <n v="63691"/>
    <m/>
    <s v="COTE"/>
    <s v="Q1"/>
    <e v="#REF!"/>
    <e v="#REF!"/>
    <e v="#REF!"/>
  </r>
  <r>
    <s v="401000"/>
    <x v="6"/>
    <s v="FOURNISSEURS"/>
    <s v="OD"/>
    <n v="406.8"/>
    <d v="2025-09-26T00:00:00"/>
    <s v="Liaison établissement 401000 CLOUP KB"/>
    <m/>
    <e v="#N/A"/>
    <e v="#N/A"/>
    <n v="82488"/>
    <s v="INVOICE PAYMENT BY PILI"/>
    <s v="CLOUP"/>
    <s v="Q3"/>
    <e v="#REF!"/>
    <e v="#REF!"/>
    <e v="#REF!"/>
  </r>
  <r>
    <s v="401000"/>
    <x v="6"/>
    <s v="FOURNISSEURS"/>
    <s v="OD"/>
    <n v="409.81"/>
    <d v="2025-11-07T00:00:00"/>
    <s v="Liaison établissement 401000 CLOUP RO"/>
    <m/>
    <e v="#N/A"/>
    <e v="#N/A"/>
    <n v="89417"/>
    <s v="0189538"/>
    <s v="CLOUP"/>
    <s v="Q4"/>
    <e v="#REF!"/>
    <e v="#REF!"/>
    <e v="#REF!"/>
  </r>
  <r>
    <s v="401000"/>
    <x v="6"/>
    <s v="FOURNISSEURS"/>
    <s v="OD"/>
    <n v="412.27"/>
    <d v="2025-06-30T00:00:00"/>
    <s v="Liaison établissement 401000 BIOTIKA RO"/>
    <s v="Non"/>
    <e v="#N/A"/>
    <e v="#N/A"/>
    <n v="76855"/>
    <s v="TRANSPORT COSTS"/>
    <s v="BIOTIKA"/>
    <s v="Q2"/>
    <e v="#REF!"/>
    <e v="#REF!"/>
    <e v="#REF!"/>
  </r>
  <r>
    <s v="401000"/>
    <x v="6"/>
    <s v="FOURNISSEURS"/>
    <s v="OD"/>
    <n v="417.99"/>
    <d v="2025-07-31T00:00:00"/>
    <s v="Ecart de règlement"/>
    <m/>
    <e v="#N/A"/>
    <e v="#N/A"/>
    <n v="85055"/>
    <m/>
    <s v="FISHER SCIENTIFIC"/>
    <s v="Q3"/>
    <e v="#REF!"/>
    <e v="#REF!"/>
    <e v="#REF!"/>
  </r>
  <r>
    <s v="401000"/>
    <x v="6"/>
    <s v="FOURNISSEURS"/>
    <s v="OD"/>
    <n v="418.37"/>
    <d v="2025-12-01T00:00:00"/>
    <s v="Liaison inter-établissement vers TO "/>
    <m/>
    <e v="#N/A"/>
    <e v="#N/A"/>
    <n v="94058"/>
    <m/>
    <s v="ARCANE INDUSTRIE"/>
    <s v="Q4"/>
    <e v="#REF!"/>
    <e v="#REF!"/>
    <e v="#REF!"/>
  </r>
  <r>
    <s v="401000"/>
    <x v="6"/>
    <s v="FOURNISSEURS"/>
    <s v="OD"/>
    <n v="419.05"/>
    <d v="2025-11-19T00:00:00"/>
    <s v="Liaison établissement 401000 BIOTIKA RO"/>
    <s v="Non"/>
    <e v="#N/A"/>
    <e v="#N/A"/>
    <n v="90490"/>
    <s v="91250166"/>
    <s v="BIOTIKA"/>
    <s v="Q4"/>
    <e v="#REF!"/>
    <e v="#REF!"/>
    <e v="#REF!"/>
  </r>
  <r>
    <s v="401000"/>
    <x v="6"/>
    <s v="FOURNISSEURS"/>
    <s v="OD"/>
    <n v="421.6"/>
    <d v="2025-11-28T00:00:00"/>
    <s v="Liaison établissement 401000 GUERLET-DEGUERNE LY"/>
    <m/>
    <e v="#N/A"/>
    <e v="#N/A"/>
    <n v="91179"/>
    <s v="20251089"/>
    <s v="GUERLET-DEGUERNE"/>
    <s v="Q4"/>
    <e v="#REF!"/>
    <e v="#REF!"/>
    <e v="#REF!"/>
  </r>
  <r>
    <s v="401000"/>
    <x v="6"/>
    <s v="FOURNISSEURS"/>
    <s v="OD"/>
    <n v="422.3"/>
    <d v="2025-06-16T00:00:00"/>
    <s v="Liaison établissement 401000 BIOTIKA RO"/>
    <s v="Non"/>
    <e v="#N/A"/>
    <e v="#N/A"/>
    <n v="76059"/>
    <s v="TRANSPORT COSTS"/>
    <s v="BIOTIKA"/>
    <s v="Q2"/>
    <e v="#REF!"/>
    <e v="#REF!"/>
    <e v="#REF!"/>
  </r>
  <r>
    <s v="401000"/>
    <x v="6"/>
    <s v="FOURNISSEURS"/>
    <s v="OD"/>
    <n v="430.7"/>
    <d v="2025-09-11T00:00:00"/>
    <s v="Liaison inter-établissement vers TO "/>
    <m/>
    <e v="#N/A"/>
    <e v="#N/A"/>
    <n v="83386"/>
    <m/>
    <s v="GETAROUND"/>
    <s v="Q3"/>
    <e v="#REF!"/>
    <e v="#REF!"/>
    <e v="#REF!"/>
  </r>
  <r>
    <s v="401000"/>
    <x v="6"/>
    <s v="FOURNISSEURS"/>
    <s v="OD"/>
    <n v="431.94"/>
    <d v="2025-11-19T00:00:00"/>
    <s v="Liaison établissement 401000 BIOTIKA RO"/>
    <s v="Non"/>
    <e v="#N/A"/>
    <e v="#N/A"/>
    <n v="90495"/>
    <s v="91250167"/>
    <s v="BIOTIKA"/>
    <s v="Q4"/>
    <e v="#REF!"/>
    <e v="#REF!"/>
    <e v="#REF!"/>
  </r>
  <r>
    <s v="401000"/>
    <x v="6"/>
    <s v="FOURNISSEURS"/>
    <s v="OD"/>
    <n v="443.1"/>
    <d v="2025-05-07T00:00:00"/>
    <s v="Liaison établissement 401000 CAWAT KB"/>
    <m/>
    <e v="#N/A"/>
    <e v="#N/A"/>
    <n v="71765"/>
    <s v="CAFÉ DES TERROIRS"/>
    <s v="CAWATOES"/>
    <s v="Q2"/>
    <e v="#REF!"/>
    <e v="#REF!"/>
    <e v="#REF!"/>
  </r>
  <r>
    <s v="401000"/>
    <x v="6"/>
    <s v="FOURNISSEURS"/>
    <s v="OD"/>
    <n v="447"/>
    <d v="2025-02-06T00:00:00"/>
    <s v="Liaison inter-établissement vers TO "/>
    <m/>
    <s v="Non"/>
    <e v="#N/A"/>
    <n v="64301"/>
    <m/>
    <s v="DIVERS"/>
    <s v="Q1"/>
    <e v="#REF!"/>
    <e v="#REF!"/>
    <e v="#REF!"/>
  </r>
  <r>
    <s v="401000"/>
    <x v="6"/>
    <s v="FOURNISSEURS"/>
    <s v="OD"/>
    <n v="449.4"/>
    <d v="2025-07-28T00:00:00"/>
    <s v="Liaison inter-établissement vers TO "/>
    <m/>
    <e v="#N/A"/>
    <e v="#N/A"/>
    <n v="81294"/>
    <m/>
    <s v="ORANGE"/>
    <s v="Q3"/>
    <e v="#REF!"/>
    <e v="#REF!"/>
    <e v="#REF!"/>
  </r>
  <r>
    <s v="401000"/>
    <x v="6"/>
    <s v="FOURNISSEURS"/>
    <s v="OD"/>
    <n v="452.02"/>
    <d v="2025-05-14T00:00:00"/>
    <s v="Liaison établissement 401000 FISHER RO"/>
    <m/>
    <e v="#N/A"/>
    <e v="#N/A"/>
    <n v="72336"/>
    <s v="Invoice Payment by Pili"/>
    <s v="FISHER SCIENTIFIC"/>
    <s v="Q2"/>
    <e v="#REF!"/>
    <e v="#REF!"/>
    <e v="#REF!"/>
  </r>
  <r>
    <s v="401000"/>
    <x v="6"/>
    <s v="FOURNISSEURS"/>
    <s v="OD"/>
    <n v="456"/>
    <d v="2025-04-15T00:00:00"/>
    <s v="Liaison inter-établissement vers TO "/>
    <m/>
    <e v="#N/A"/>
    <e v="#N/A"/>
    <n v="69921"/>
    <m/>
    <s v="BROSSIER TRANSPORTS"/>
    <s v="Q2"/>
    <e v="#REF!"/>
    <e v="#REF!"/>
    <e v="#REF!"/>
  </r>
  <r>
    <s v="401000"/>
    <x v="6"/>
    <s v="FOURNISSEURS"/>
    <s v="OD"/>
    <n v="457.2"/>
    <d v="2025-07-31T00:00:00"/>
    <s v="Liaison établissement 401000 VWR KB"/>
    <m/>
    <e v="#N/A"/>
    <e v="#N/A"/>
    <n v="79315"/>
    <s v="COMMANDE PRODUIT KEENB"/>
    <s v="VWR AVANTOR"/>
    <s v="Q3"/>
    <e v="#REF!"/>
    <e v="#REF!"/>
    <e v="#REF!"/>
  </r>
  <r>
    <s v="401000"/>
    <x v="6"/>
    <s v="FOURNISSEURS"/>
    <s v="OD"/>
    <n v="458.77"/>
    <d v="2025-05-07T00:00:00"/>
    <s v="Liaison établissement 401000 FRANCECHIMIE RO"/>
    <m/>
    <s v="Non"/>
    <s v="Oui"/>
    <n v="71775"/>
    <s v="ACOMPTE COTISATION SYNDICALE"/>
    <s v="FRANCE CHIMIE"/>
    <s v="Q2"/>
    <e v="#REF!"/>
    <e v="#REF!"/>
    <e v="#REF!"/>
  </r>
  <r>
    <s v="401000"/>
    <x v="6"/>
    <s v="FOURNISSEURS"/>
    <s v="OD"/>
    <n v="465.82"/>
    <d v="2025-11-06T00:00:00"/>
    <s v="Liaison inter-établissement vers TO "/>
    <m/>
    <e v="#N/A"/>
    <e v="#N/A"/>
    <n v="91582"/>
    <m/>
    <s v="AIRBNB"/>
    <s v="Q4"/>
    <e v="#REF!"/>
    <e v="#REF!"/>
    <e v="#REF!"/>
  </r>
  <r>
    <s v="401000"/>
    <x v="6"/>
    <s v="FOURNISSEURS"/>
    <s v="OD"/>
    <n v="468"/>
    <d v="2025-04-25T00:00:00"/>
    <s v="Liaison établissement 401000 COFICIEL RO"/>
    <m/>
    <e v="#N/A"/>
    <e v="#N/A"/>
    <n v="70151"/>
    <s v="Invoice Payment by Pili"/>
    <s v="COFICIEL"/>
    <s v="Q2"/>
    <e v="#REF!"/>
    <e v="#REF!"/>
    <e v="#REF!"/>
  </r>
  <r>
    <s v="401000"/>
    <x v="6"/>
    <s v="FOURNISSEURS"/>
    <s v="OD"/>
    <n v="468"/>
    <d v="2025-06-02T00:00:00"/>
    <s v="Liaison établissement 401000 COFICIEL RO"/>
    <m/>
    <e v="#N/A"/>
    <e v="#N/A"/>
    <n v="75252"/>
    <s v="Invoice Payment By Pili"/>
    <s v="COFICIEL"/>
    <s v="Q2"/>
    <e v="#REF!"/>
    <e v="#REF!"/>
    <e v="#REF!"/>
  </r>
  <r>
    <s v="401000"/>
    <x v="6"/>
    <s v="FOURNISSEURS"/>
    <s v="OD"/>
    <n v="468"/>
    <d v="2025-08-08T00:00:00"/>
    <s v="Liaison établissement 401000 COFICIEL RO"/>
    <m/>
    <e v="#N/A"/>
    <e v="#N/A"/>
    <n v="80749"/>
    <s v="LOCATION ALGECO ROUSSILLON (PÉRIODE TRAVAUX)"/>
    <s v="COFICIEL"/>
    <s v="Q3"/>
    <e v="#REF!"/>
    <e v="#REF!"/>
    <e v="#REF!"/>
  </r>
  <r>
    <s v="401000"/>
    <x v="6"/>
    <s v="FOURNISSEURS"/>
    <s v="OD"/>
    <n v="468"/>
    <d v="2025-08-22T00:00:00"/>
    <s v="Liaison établissement 401000 COFICIEL RO"/>
    <m/>
    <e v="#N/A"/>
    <e v="#N/A"/>
    <n v="81606"/>
    <s v="LOCATION ALGECO ROUSSILLON (PÉRIODE TRAVAUX)"/>
    <s v="COFICIEL"/>
    <s v="Q3"/>
    <e v="#REF!"/>
    <e v="#REF!"/>
    <e v="#REF!"/>
  </r>
  <r>
    <s v="401000"/>
    <x v="6"/>
    <s v="FOURNISSEURS"/>
    <s v="OD"/>
    <n v="468"/>
    <d v="2025-09-26T00:00:00"/>
    <s v="Liaison établissement 401000 COFICIEL RO"/>
    <m/>
    <e v="#N/A"/>
    <e v="#N/A"/>
    <n v="82498"/>
    <s v="INVOICE PAYMENT BY PILI"/>
    <s v="COFICIEL"/>
    <s v="Q3"/>
    <e v="#REF!"/>
    <e v="#REF!"/>
    <e v="#REF!"/>
  </r>
  <r>
    <s v="401000"/>
    <x v="6"/>
    <s v="FOURNISSEURS"/>
    <s v="OD"/>
    <n v="468"/>
    <d v="2025-10-31T00:00:00"/>
    <s v="Liaison établissement 401000 COFICIEL RO"/>
    <m/>
    <e v="#N/A"/>
    <e v="#N/A"/>
    <n v="87544"/>
    <s v="F2509/0833"/>
    <s v="COFICIEL"/>
    <s v="Q4"/>
    <e v="#REF!"/>
    <e v="#REF!"/>
    <e v="#REF!"/>
  </r>
  <r>
    <s v="401000"/>
    <x v="6"/>
    <s v="FOURNISSEURS"/>
    <s v="OD"/>
    <n v="468"/>
    <d v="2025-12-05T00:00:00"/>
    <s v="Liaison établissement 401000 COFICIEL RO"/>
    <m/>
    <e v="#N/A"/>
    <e v="#N/A"/>
    <n v="91359"/>
    <s v="F2510/0736"/>
    <s v="COFICIEL"/>
    <s v="Q4"/>
    <e v="#REF!"/>
    <e v="#REF!"/>
    <e v="#REF!"/>
  </r>
  <r>
    <s v="401000"/>
    <x v="6"/>
    <s v="FOURNISSEURS"/>
    <s v="OD"/>
    <n v="468"/>
    <d v="2025-12-30T00:00:00"/>
    <s v="Liaison établissement 401000 COFICIEL RO"/>
    <m/>
    <e v="#N/A"/>
    <e v="#N/A"/>
    <n v="93822"/>
    <s v="F2511/1367"/>
    <s v="COFICIEL"/>
    <s v="Q4"/>
    <e v="#REF!"/>
    <e v="#REF!"/>
    <e v="#REF!"/>
  </r>
  <r>
    <s v="401000"/>
    <x v="6"/>
    <s v="FOURNISSEURS"/>
    <s v="OD"/>
    <n v="469.32"/>
    <d v="2025-12-10T00:00:00"/>
    <s v="Liaison établissement 401000 CLOUP RO"/>
    <m/>
    <e v="#N/A"/>
    <e v="#N/A"/>
    <n v="92048"/>
    <s v="0190028"/>
    <s v="CLOUP"/>
    <s v="Q4"/>
    <e v="#REF!"/>
    <e v="#REF!"/>
    <e v="#REF!"/>
  </r>
  <r>
    <s v="401000"/>
    <x v="6"/>
    <s v="FOURNISSEURS"/>
    <s v="OD"/>
    <n v="473"/>
    <d v="2025-11-25T00:00:00"/>
    <s v="Liaison établissement 401000 ROLAND GRANGIER LY"/>
    <m/>
    <e v="#N/A"/>
    <e v="#N/A"/>
    <n v="91137"/>
    <s v="COMMANDE VIN SOIRÉE 10 ANS PILI"/>
    <s v="ROLAND GRANGIER"/>
    <s v="Q4"/>
    <e v="#REF!"/>
    <e v="#REF!"/>
    <e v="#REF!"/>
  </r>
  <r>
    <s v="401000"/>
    <x v="6"/>
    <s v="FOURNISSEURS"/>
    <s v="OD"/>
    <n v="473.47"/>
    <d v="2025-12-05T00:00:00"/>
    <s v="Liaison établissement 401000 VWR KB"/>
    <m/>
    <e v="#N/A"/>
    <e v="#N/A"/>
    <n v="91375"/>
    <s v="4067854697"/>
    <s v="VWR AVANTOR"/>
    <s v="Q4"/>
    <e v="#REF!"/>
    <e v="#REF!"/>
    <e v="#REF!"/>
  </r>
  <r>
    <s v="401000"/>
    <x v="6"/>
    <s v="FOURNISSEURS"/>
    <s v="OD"/>
    <n v="474.75"/>
    <d v="2025-09-26T00:00:00"/>
    <s v="Liaison inter-établissement vers TO "/>
    <m/>
    <e v="#N/A"/>
    <e v="#N/A"/>
    <n v="91586"/>
    <m/>
    <s v="AIRLINES"/>
    <s v="Q3"/>
    <e v="#REF!"/>
    <e v="#REF!"/>
    <e v="#REF!"/>
  </r>
  <r>
    <s v="401000"/>
    <x v="6"/>
    <s v="FOURNISSEURS"/>
    <s v="OD"/>
    <n v="475"/>
    <d v="2025-07-02T00:00:00"/>
    <s v="Liaison établissement 401000 HERPORT LY"/>
    <m/>
    <e v="#N/A"/>
    <e v="#N/A"/>
    <n v="76826"/>
    <s v="FACTURE 70002119"/>
    <s v="HERPORT"/>
    <s v="Q3"/>
    <e v="#REF!"/>
    <e v="#REF!"/>
    <e v="#REF!"/>
  </r>
  <r>
    <s v="401000"/>
    <x v="6"/>
    <s v="FOURNISSEURS"/>
    <s v="OD"/>
    <n v="476.52"/>
    <d v="2025-01-02T00:00:00"/>
    <s v="Liaison inter-établissement vers TO "/>
    <m/>
    <e v="#N/A"/>
    <e v="#N/A"/>
    <n v="87090"/>
    <m/>
    <s v="BNP PARIBAS LEASE GROUP"/>
    <s v="Q1"/>
    <e v="#REF!"/>
    <e v="#REF!"/>
    <e v="#REF!"/>
  </r>
  <r>
    <s v="401000"/>
    <x v="6"/>
    <s v="FOURNISSEURS"/>
    <s v="OD"/>
    <n v="476.52"/>
    <d v="2025-04-01T00:00:00"/>
    <s v="Liaison inter-établissement vers TO "/>
    <m/>
    <e v="#N/A"/>
    <e v="#N/A"/>
    <n v="87094"/>
    <m/>
    <s v="BNP PARIBAS LEASE GROUP"/>
    <s v="Q2"/>
    <e v="#REF!"/>
    <e v="#REF!"/>
    <e v="#REF!"/>
  </r>
  <r>
    <s v="401000"/>
    <x v="6"/>
    <s v="FOURNISSEURS"/>
    <s v="OD"/>
    <n v="476.52"/>
    <d v="2025-07-01T00:00:00"/>
    <s v="Liaison inter-établissement vers TO "/>
    <m/>
    <e v="#N/A"/>
    <e v="#N/A"/>
    <n v="87098"/>
    <m/>
    <s v="BNP PARIBAS LEASE GROUP"/>
    <s v="Q3"/>
    <e v="#REF!"/>
    <e v="#REF!"/>
    <e v="#REF!"/>
  </r>
  <r>
    <s v="401000"/>
    <x v="6"/>
    <s v="FOURNISSEURS"/>
    <s v="OD"/>
    <n v="476.52"/>
    <d v="2025-10-01T00:00:00"/>
    <s v="Liaison inter-établissement vers TO "/>
    <m/>
    <e v="#N/A"/>
    <e v="#N/A"/>
    <n v="87102"/>
    <m/>
    <s v="BNP PARIBAS LEASE GROUP"/>
    <s v="Q4"/>
    <e v="#REF!"/>
    <e v="#REF!"/>
    <e v="#REF!"/>
  </r>
  <r>
    <s v="401000"/>
    <x v="6"/>
    <s v="FOURNISSEURS"/>
    <s v="OD"/>
    <n v="480"/>
    <d v="2025-06-11T00:00:00"/>
    <s v="Liaison établissement 401000 F2P KB"/>
    <s v="Non"/>
    <s v="Non"/>
    <e v="#N/A"/>
    <n v="75946"/>
    <s v="ARRÊTÉ ANNUEL DES COMPTES 2024 : SOLDE"/>
    <s v="F2P AUDIT &amp; CONSEIL"/>
    <s v="Q2"/>
    <e v="#REF!"/>
    <e v="#REF!"/>
    <e v="#REF!"/>
  </r>
  <r>
    <s v="401000"/>
    <x v="6"/>
    <s v="FOURNISSEURS"/>
    <s v="OD"/>
    <n v="482.04"/>
    <d v="2025-08-22T00:00:00"/>
    <s v="Liaison établissement 401000 EXELL KB"/>
    <m/>
    <e v="#N/A"/>
    <e v="#N/A"/>
    <n v="81537"/>
    <s v="PRESTATION : SPS"/>
    <s v="EXELL SECURITE"/>
    <s v="Q3"/>
    <e v="#REF!"/>
    <e v="#REF!"/>
    <e v="#REF!"/>
  </r>
  <r>
    <s v="401000"/>
    <x v="6"/>
    <s v="FOURNISSEURS"/>
    <s v="OD"/>
    <n v="490.01"/>
    <d v="2025-04-25T00:00:00"/>
    <s v="Liaison établissement 401000 ALTAIR KB"/>
    <s v="Non"/>
    <s v="Non"/>
    <e v="#N/A"/>
    <n v="70136"/>
    <s v="Invoice Payment by Pili"/>
    <s v="ALTAIR AVOCATS"/>
    <s v="Q2"/>
    <e v="#REF!"/>
    <e v="#REF!"/>
    <e v="#REF!"/>
  </r>
  <r>
    <s v="401000"/>
    <x v="6"/>
    <s v="FOURNISSEURS"/>
    <s v="OD"/>
    <n v="491.92"/>
    <d v="2025-09-18T00:00:00"/>
    <s v="Liaison inter-établissement vers TO "/>
    <m/>
    <e v="#N/A"/>
    <e v="#N/A"/>
    <n v="83394"/>
    <m/>
    <s v="INTERMARCHE"/>
    <s v="Q3"/>
    <e v="#REF!"/>
    <e v="#REF!"/>
    <e v="#REF!"/>
  </r>
  <r>
    <s v="401000"/>
    <x v="6"/>
    <s v="FOURNISSEURS"/>
    <s v="OD"/>
    <n v="492.8"/>
    <d v="2025-01-31T00:00:00"/>
    <s v="Liaison inter-établissement vers TO "/>
    <m/>
    <e v="#N/A"/>
    <e v="#N/A"/>
    <n v="82145"/>
    <m/>
    <s v="KILOUTOU"/>
    <s v="Q1"/>
    <e v="#REF!"/>
    <e v="#REF!"/>
    <e v="#REF!"/>
  </r>
  <r>
    <s v="401000"/>
    <x v="6"/>
    <s v="FOURNISSEURS"/>
    <s v="OD"/>
    <n v="492.8"/>
    <d v="2025-01-31T00:00:00"/>
    <s v="Regul caution Kiloutou"/>
    <m/>
    <e v="#N/A"/>
    <e v="#N/A"/>
    <n v="82142"/>
    <m/>
    <s v="KILOUTOU"/>
    <s v="Q1"/>
    <e v="#REF!"/>
    <e v="#REF!"/>
    <e v="#REF!"/>
  </r>
  <r>
    <s v="401000"/>
    <x v="6"/>
    <s v="FOURNISSEURS"/>
    <s v="OD"/>
    <n v="493"/>
    <d v="2025-09-26T00:00:00"/>
    <s v="Liaison établissement 401000 TCI KB"/>
    <m/>
    <e v="#N/A"/>
    <e v="#N/A"/>
    <n v="82524"/>
    <s v="INVOICE PAYMENT BY PILI"/>
    <s v="TCI"/>
    <s v="Q3"/>
    <e v="#REF!"/>
    <e v="#REF!"/>
    <e v="#REF!"/>
  </r>
  <r>
    <s v="401000"/>
    <x v="6"/>
    <s v="FOURNISSEURS"/>
    <s v="OD"/>
    <n v="498"/>
    <d v="2025-01-30T00:00:00"/>
    <s v="Liaison inter-établissement vers TO "/>
    <m/>
    <e v="#N/A"/>
    <e v="#N/A"/>
    <n v="63631"/>
    <m/>
    <s v="FMGE"/>
    <s v="Q1"/>
    <e v="#REF!"/>
    <e v="#REF!"/>
    <e v="#REF!"/>
  </r>
  <r>
    <s v="401000"/>
    <x v="6"/>
    <s v="FOURNISSEURS"/>
    <s v="OD"/>
    <n v="500"/>
    <d v="2025-06-30T00:00:00"/>
    <s v="Liaison établissement 401000 BIOTIKA RO"/>
    <s v="Non"/>
    <e v="#N/A"/>
    <e v="#N/A"/>
    <n v="76845"/>
    <s v="TESTING OF MATERIAL BY MARINER"/>
    <s v="BIOTIKA"/>
    <s v="Q2"/>
    <e v="#REF!"/>
    <e v="#REF!"/>
    <e v="#REF!"/>
  </r>
  <r>
    <s v="401000"/>
    <x v="6"/>
    <s v="FOURNISSEURS"/>
    <s v="OD"/>
    <n v="500"/>
    <d v="2025-07-23T00:00:00"/>
    <s v="Liaison établissement 401000 BIOTIKA RO"/>
    <s v="Non"/>
    <e v="#N/A"/>
    <e v="#N/A"/>
    <n v="78344"/>
    <s v="TESTING OF MATERIAL BY MARINER"/>
    <s v="BIOTIKA"/>
    <s v="Q3"/>
    <e v="#REF!"/>
    <e v="#REF!"/>
    <e v="#REF!"/>
  </r>
  <r>
    <s v="401000"/>
    <x v="6"/>
    <s v="FOURNISSEURS"/>
    <s v="OD"/>
    <n v="504"/>
    <d v="2025-12-11T00:00:00"/>
    <s v="Liaison établissement 401000 FMGE KB"/>
    <m/>
    <e v="#N/A"/>
    <e v="#N/A"/>
    <n v="92083"/>
    <s v="25-212"/>
    <s v="FMGE"/>
    <s v="Q4"/>
    <e v="#REF!"/>
    <e v="#REF!"/>
    <e v="#REF!"/>
  </r>
  <r>
    <s v="401000"/>
    <x v="6"/>
    <s v="FOURNISSEURS"/>
    <s v="OD"/>
    <n v="509.96"/>
    <d v="2025-12-16T00:00:00"/>
    <s v="Liaison inter-établissement vers TO "/>
    <m/>
    <e v="#N/A"/>
    <e v="#N/A"/>
    <n v="92235"/>
    <m/>
    <s v="ENGIE"/>
    <s v="Q4"/>
    <e v="#REF!"/>
    <e v="#REF!"/>
    <e v="#REF!"/>
  </r>
  <r>
    <s v="401000"/>
    <x v="6"/>
    <s v="FOURNISSEURS"/>
    <s v="OD"/>
    <n v="512.04"/>
    <d v="2025-12-30T00:00:00"/>
    <s v="Liaison établissement 401000 ARESCOM KB"/>
    <m/>
    <e v="#N/A"/>
    <e v="#N/A"/>
    <n v="93760"/>
    <s v="145295"/>
    <s v="ARESCOM"/>
    <s v="Q4"/>
    <e v="#REF!"/>
    <e v="#REF!"/>
    <e v="#REF!"/>
  </r>
  <r>
    <s v="401000"/>
    <x v="6"/>
    <s v="FOURNISSEURS"/>
    <s v="OD"/>
    <n v="514.08000000000004"/>
    <d v="2025-09-29T00:00:00"/>
    <s v="Liaison inter-établissement vers TO "/>
    <m/>
    <e v="#N/A"/>
    <e v="#N/A"/>
    <n v="82672"/>
    <m/>
    <s v="ORANGE"/>
    <s v="Q3"/>
    <e v="#REF!"/>
    <e v="#REF!"/>
    <e v="#REF!"/>
  </r>
  <r>
    <s v="401000"/>
    <x v="6"/>
    <s v="FOURNISSEURS"/>
    <s v="OD"/>
    <n v="515.69000000000005"/>
    <d v="2025-03-28T00:00:00"/>
    <s v="Liaison établissement 401000 ROTH RO"/>
    <m/>
    <e v="#N/A"/>
    <e v="#N/A"/>
    <n v="64992"/>
    <s v="Invoice Payment by Pili"/>
    <s v="ROTH SOCHIEL"/>
    <s v="Q1"/>
    <e v="#REF!"/>
    <e v="#REF!"/>
    <e v="#REF!"/>
  </r>
  <r>
    <s v="401000"/>
    <x v="6"/>
    <s v="FOURNISSEURS"/>
    <s v="OD"/>
    <n v="516"/>
    <d v="2025-05-23T00:00:00"/>
    <s v="Liaison établissement 401000 OSIRIS RO"/>
    <s v="Non"/>
    <s v="Non"/>
    <e v="#N/A"/>
    <n v="74051"/>
    <s v="Invoice payment by Pili"/>
    <s v="OSIRIS"/>
    <s v="Q2"/>
    <e v="#REF!"/>
    <e v="#REF!"/>
    <e v="#REF!"/>
  </r>
  <r>
    <s v="401000"/>
    <x v="6"/>
    <s v="FOURNISSEURS"/>
    <s v="OD"/>
    <n v="523.20000000000005"/>
    <d v="2025-09-12T00:00:00"/>
    <s v="Liaison établissement 401000 SIGMA RO"/>
    <m/>
    <e v="#N/A"/>
    <e v="#N/A"/>
    <n v="82020"/>
    <s v="HYDROXYLAMINE SULFATE POUR KEENY STEP 2"/>
    <s v="Sigma-Aldrich chimie"/>
    <s v="Q3"/>
    <e v="#REF!"/>
    <e v="#REF!"/>
    <e v="#REF!"/>
  </r>
  <r>
    <s v="401000"/>
    <x v="6"/>
    <s v="FOURNISSEURS"/>
    <s v="OD"/>
    <n v="525"/>
    <d v="2025-10-31T00:00:00"/>
    <s v="Liaison établissement 401000 BECKER KB"/>
    <s v="Non"/>
    <s v="Oui"/>
    <e v="#N/A"/>
    <n v="87502"/>
    <s v="ETUDE RAPPORT DE RECHERCHE OEB"/>
    <s v="BECKER"/>
    <s v="Q4"/>
    <e v="#REF!"/>
    <e v="#REF!"/>
    <e v="#REF!"/>
  </r>
  <r>
    <s v="401000"/>
    <x v="6"/>
    <s v="FOURNISSEURS"/>
    <s v="OD"/>
    <n v="529.20000000000005"/>
    <d v="2025-08-08T00:00:00"/>
    <s v="Liaison établissement 401000 VWR KB"/>
    <m/>
    <e v="#N/A"/>
    <e v="#N/A"/>
    <n v="80764"/>
    <s v="COMMANDE PRODUIT LABO"/>
    <s v="VWR AVANTOR"/>
    <s v="Q3"/>
    <e v="#REF!"/>
    <e v="#REF!"/>
    <e v="#REF!"/>
  </r>
  <r>
    <s v="401000"/>
    <x v="6"/>
    <s v="FOURNISSEURS"/>
    <s v="OD"/>
    <n v="530.46"/>
    <d v="2025-05-26T00:00:00"/>
    <s v="Liaison inter-établissement vers TO "/>
    <m/>
    <e v="#N/A"/>
    <e v="#N/A"/>
    <n v="74265"/>
    <m/>
    <s v="ORANGE"/>
    <s v="Q2"/>
    <e v="#REF!"/>
    <e v="#REF!"/>
    <e v="#REF!"/>
  </r>
  <r>
    <s v="401000"/>
    <x v="6"/>
    <s v="FOURNISSEURS"/>
    <s v="OD"/>
    <n v="534"/>
    <d v="2025-12-10T00:00:00"/>
    <s v="Liaison établissement 401000 CHAUM KB"/>
    <m/>
    <e v="#N/A"/>
    <e v="#N/A"/>
    <n v="92027"/>
    <s v="FL260970"/>
    <s v="GROUPE CHAUMEIL"/>
    <s v="Q4"/>
    <e v="#REF!"/>
    <e v="#REF!"/>
    <e v="#REF!"/>
  </r>
  <r>
    <s v="401000"/>
    <x v="6"/>
    <s v="FOURNISSEURS"/>
    <s v="OD"/>
    <n v="540"/>
    <d v="2025-08-21T00:00:00"/>
    <s v="Liaison établissement 401000 AFTPVA LY"/>
    <m/>
    <e v="#N/A"/>
    <e v="#N/A"/>
    <n v="81474"/>
    <s v="FACTURE CONFÉRENCE PYB AFTPVA"/>
    <s v="AFTPVA"/>
    <s v="Q3"/>
    <e v="#REF!"/>
    <e v="#REF!"/>
    <e v="#REF!"/>
  </r>
  <r>
    <s v="401000"/>
    <x v="6"/>
    <s v="FOURNISSEURS"/>
    <s v="OD"/>
    <n v="543"/>
    <d v="2025-11-06T00:00:00"/>
    <s v="Liaison inter-établissement vers TO "/>
    <m/>
    <e v="#N/A"/>
    <e v="#N/A"/>
    <n v="91695"/>
    <m/>
    <s v="SNCF"/>
    <s v="Q4"/>
    <e v="#REF!"/>
    <e v="#REF!"/>
    <e v="#REF!"/>
  </r>
  <r>
    <s v="401000"/>
    <x v="6"/>
    <s v="FOURNISSEURS"/>
    <s v="OD"/>
    <n v="561.89"/>
    <d v="2025-02-22T00:00:00"/>
    <s v="Liaison inter-établissement vers TO "/>
    <m/>
    <e v="#N/A"/>
    <e v="#N/A"/>
    <n v="70038"/>
    <m/>
    <s v="MANUTAN"/>
    <s v="Q1"/>
    <e v="#REF!"/>
    <e v="#REF!"/>
    <e v="#REF!"/>
  </r>
  <r>
    <s v="401000"/>
    <x v="6"/>
    <s v="FOURNISSEURS"/>
    <s v="OD"/>
    <n v="563.17999999999995"/>
    <d v="2025-05-07T00:00:00"/>
    <s v="Liaison établissement 401000 VWR KB"/>
    <m/>
    <e v="#N/A"/>
    <e v="#N/A"/>
    <n v="71825"/>
    <s v="COMMANDE PRODUIT ET CONSOMMABLE LABO"/>
    <s v="VWR AVANTOR"/>
    <s v="Q2"/>
    <e v="#REF!"/>
    <e v="#REF!"/>
    <e v="#REF!"/>
  </r>
  <r>
    <s v="401000"/>
    <x v="6"/>
    <s v="FOURNISSEURS"/>
    <s v="OD"/>
    <n v="563.88"/>
    <d v="2025-06-28T00:00:00"/>
    <s v="Liaison inter-établissement vers TO "/>
    <m/>
    <e v="#N/A"/>
    <e v="#N/A"/>
    <n v="78269"/>
    <m/>
    <s v="ARCANE INDUSTRIE"/>
    <s v="Q2"/>
    <e v="#REF!"/>
    <e v="#REF!"/>
    <e v="#REF!"/>
  </r>
  <r>
    <s v="401000"/>
    <x v="6"/>
    <s v="FOURNISSEURS"/>
    <s v="OD"/>
    <n v="564"/>
    <d v="2025-08-22T00:00:00"/>
    <s v="Liaison établissement 401000 ABELC KB"/>
    <m/>
    <e v="#N/A"/>
    <e v="#N/A"/>
    <n v="81565"/>
    <s v="ENTRETIEN MÉNAGER"/>
    <s v="ABEL CHRIST SOMPLEI"/>
    <s v="Q3"/>
    <e v="#REF!"/>
    <e v="#REF!"/>
    <e v="#REF!"/>
  </r>
  <r>
    <s v="401000"/>
    <x v="6"/>
    <s v="FOURNISSEURS"/>
    <s v="OD"/>
    <n v="566.26"/>
    <d v="2025-11-27T00:00:00"/>
    <s v="Liaison inter-établissement vers TO "/>
    <m/>
    <e v="#N/A"/>
    <e v="#N/A"/>
    <n v="94050"/>
    <m/>
    <s v="AIRBNB"/>
    <s v="Q4"/>
    <e v="#REF!"/>
    <e v="#REF!"/>
    <e v="#REF!"/>
  </r>
  <r>
    <s v="401000"/>
    <x v="6"/>
    <s v="FOURNISSEURS"/>
    <s v="OD"/>
    <n v="568.70000000000005"/>
    <d v="2025-01-16T00:00:00"/>
    <s v="Liaison inter-établissement vers TO "/>
    <m/>
    <s v="Non"/>
    <e v="#N/A"/>
    <n v="63711"/>
    <m/>
    <s v="DIVERS"/>
    <s v="Q1"/>
    <e v="#REF!"/>
    <e v="#REF!"/>
    <e v="#REF!"/>
  </r>
  <r>
    <s v="401000"/>
    <x v="6"/>
    <s v="FOURNISSEURS"/>
    <s v="OD"/>
    <n v="569.46"/>
    <d v="2025-04-30T00:00:00"/>
    <s v="Liaison inter-établissement vers TO "/>
    <m/>
    <e v="#N/A"/>
    <e v="#N/A"/>
    <n v="87140"/>
    <m/>
    <s v="AIR LIQUIDE"/>
    <s v="Q2"/>
    <e v="#REF!"/>
    <e v="#REF!"/>
    <e v="#REF!"/>
  </r>
  <r>
    <s v="401000"/>
    <x v="6"/>
    <s v="FOURNISSEURS"/>
    <s v="OD"/>
    <n v="570"/>
    <d v="2025-04-08T00:00:00"/>
    <s v="Liaison inter-établissement vers TO "/>
    <s v="Non"/>
    <s v="Non"/>
    <e v="#N/A"/>
    <n v="71670"/>
    <m/>
    <s v="TESSIER PAUL"/>
    <s v="Q2"/>
    <e v="#REF!"/>
    <e v="#REF!"/>
    <e v="#REF!"/>
  </r>
  <r>
    <s v="401000"/>
    <x v="6"/>
    <s v="FOURNISSEURS"/>
    <s v="OD"/>
    <n v="576"/>
    <d v="2025-01-30T00:00:00"/>
    <s v="Liaison inter-établissement vers TO "/>
    <m/>
    <e v="#N/A"/>
    <e v="#N/A"/>
    <n v="63567"/>
    <m/>
    <s v="BIOKAL"/>
    <s v="Q1"/>
    <e v="#REF!"/>
    <e v="#REF!"/>
    <e v="#REF!"/>
  </r>
  <r>
    <s v="401000"/>
    <x v="6"/>
    <s v="FOURNISSEURS"/>
    <s v="OD"/>
    <n v="579.08000000000004"/>
    <d v="2025-04-09T00:00:00"/>
    <s v="Liaison inter-établissement vers TO "/>
    <m/>
    <e v="#N/A"/>
    <e v="#N/A"/>
    <n v="74825"/>
    <m/>
    <s v="MANUTAN"/>
    <s v="Q2"/>
    <e v="#REF!"/>
    <e v="#REF!"/>
    <e v="#REF!"/>
  </r>
  <r>
    <s v="401000"/>
    <x v="6"/>
    <s v="FOURNISSEURS"/>
    <s v="OD"/>
    <n v="582"/>
    <d v="2025-01-01T00:00:00"/>
    <s v="Liaison inter-établissement"/>
    <m/>
    <e v="#N/A"/>
    <e v="#N/A"/>
    <n v="74073"/>
    <m/>
    <s v="BROSSIER TRANSPORTS"/>
    <s v="Q1"/>
    <e v="#REF!"/>
    <e v="#REF!"/>
    <e v="#REF!"/>
  </r>
  <r>
    <s v="401000"/>
    <x v="6"/>
    <s v="FOURNISSEURS"/>
    <s v="OD"/>
    <n v="585.01"/>
    <d v="2025-08-18T00:00:00"/>
    <s v="Liaison établissement 401000 ALTAIR KB"/>
    <s v="Non"/>
    <s v="Non"/>
    <e v="#N/A"/>
    <n v="81136"/>
    <s v="HOTLINE"/>
    <s v="ALTAIR AVOCATS"/>
    <s v="Q3"/>
    <e v="#REF!"/>
    <e v="#REF!"/>
    <e v="#REF!"/>
  </r>
  <r>
    <s v="401000"/>
    <x v="6"/>
    <s v="FOURNISSEURS"/>
    <s v="OD"/>
    <n v="594"/>
    <d v="2025-04-08T00:00:00"/>
    <s v="Liaison inter-établissement vers TO "/>
    <m/>
    <s v="Non"/>
    <e v="#N/A"/>
    <n v="68064"/>
    <m/>
    <s v="AXE GESCOM"/>
    <s v="Q2"/>
    <e v="#REF!"/>
    <e v="#REF!"/>
    <e v="#REF!"/>
  </r>
  <r>
    <s v="401000"/>
    <x v="6"/>
    <s v="FOURNISSEURS"/>
    <s v="OD"/>
    <n v="594"/>
    <d v="2025-04-08T00:00:00"/>
    <s v="Liaison inter-établissement vers TO "/>
    <m/>
    <s v="Non"/>
    <e v="#N/A"/>
    <n v="68068"/>
    <m/>
    <s v="AXE GESCOM"/>
    <s v="Q2"/>
    <e v="#REF!"/>
    <e v="#REF!"/>
    <e v="#REF!"/>
  </r>
  <r>
    <s v="401000"/>
    <x v="6"/>
    <s v="FOURNISSEURS"/>
    <s v="OD"/>
    <n v="597.6"/>
    <d v="2025-09-16T00:00:00"/>
    <s v="Liaison inter-établissement vers TO "/>
    <m/>
    <e v="#N/A"/>
    <e v="#N/A"/>
    <n v="83246"/>
    <m/>
    <s v="ARCANE INDUSTRIE"/>
    <s v="Q3"/>
    <e v="#REF!"/>
    <e v="#REF!"/>
    <e v="#REF!"/>
  </r>
  <r>
    <s v="401000"/>
    <x v="6"/>
    <s v="FOURNISSEURS"/>
    <s v="OD"/>
    <n v="600"/>
    <d v="2025-08-08T00:00:00"/>
    <s v="Liaison établissement 401000 ALTAIR KB"/>
    <s v="Non"/>
    <s v="Non"/>
    <e v="#N/A"/>
    <n v="80780"/>
    <s v="HONORAIRE FORFAITAIRE ATTENDANCE TO THE BOARD 13/05/2025"/>
    <s v="ALTAIR AVOCATS"/>
    <s v="Q3"/>
    <e v="#REF!"/>
    <e v="#REF!"/>
    <e v="#REF!"/>
  </r>
  <r>
    <s v="401000"/>
    <x v="6"/>
    <s v="FOURNISSEURS"/>
    <s v="OD"/>
    <n v="600"/>
    <d v="2025-08-18T00:00:00"/>
    <s v="Liaison établissement 401000 SOCIETE CHIMIQUE DE FRANCE KB"/>
    <m/>
    <s v="Non"/>
    <e v="#N/A"/>
    <n v="81151"/>
    <s v="ADHÉSION SFC"/>
    <s v="SOCIETE CHIMIQUE DE FRANCE"/>
    <s v="Q3"/>
    <e v="#REF!"/>
    <e v="#REF!"/>
    <e v="#REF!"/>
  </r>
  <r>
    <s v="401000"/>
    <x v="6"/>
    <s v="FOURNISSEURS"/>
    <s v="OD"/>
    <n v="600"/>
    <d v="2025-08-21T00:00:00"/>
    <s v="Liaison établissement 401000 ALTAIR KB"/>
    <s v="Non"/>
    <s v="Non"/>
    <e v="#N/A"/>
    <n v="81370"/>
    <s v="HONORAIRE FORFAITAIRE ATTENDANCE TO THE BOARD 10/06/2025"/>
    <s v="ALTAIR AVOCATS"/>
    <s v="Q3"/>
    <e v="#REF!"/>
    <e v="#REF!"/>
    <e v="#REF!"/>
  </r>
  <r>
    <s v="401000"/>
    <x v="6"/>
    <s v="FOURNISSEURS"/>
    <s v="OD"/>
    <n v="607.51"/>
    <d v="2025-03-18T00:00:00"/>
    <s v="Liaison inter-établissement vers TO "/>
    <m/>
    <e v="#N/A"/>
    <e v="#N/A"/>
    <n v="64481"/>
    <m/>
    <s v="VWR AVANTOR"/>
    <s v="Q1"/>
    <e v="#REF!"/>
    <e v="#REF!"/>
    <e v="#REF!"/>
  </r>
  <r>
    <s v="401000"/>
    <x v="6"/>
    <s v="FOURNISSEURS"/>
    <s v="OD"/>
    <n v="608.58000000000004"/>
    <d v="2025-01-31T00:00:00"/>
    <s v="Liaison inter-établissement vers TO "/>
    <m/>
    <e v="#N/A"/>
    <e v="#N/A"/>
    <n v="89854"/>
    <m/>
    <s v="AIR LIQUIDE"/>
    <s v="Q1"/>
    <e v="#REF!"/>
    <e v="#REF!"/>
    <e v="#REF!"/>
  </r>
  <r>
    <s v="401000"/>
    <x v="6"/>
    <s v="FOURNISSEURS"/>
    <s v="OD"/>
    <n v="609.24"/>
    <d v="2025-09-22T00:00:00"/>
    <s v="Liaison établissement 401000 ACRITEC RO"/>
    <m/>
    <e v="#N/A"/>
    <e v="#N/A"/>
    <n v="82411"/>
    <s v="CONTRÔLE ANNUEL ÉLECTRIQUE + VGP GERBEUR ÉLECTRIQUE"/>
    <s v="ACRITEC"/>
    <s v="Q3"/>
    <e v="#REF!"/>
    <e v="#REF!"/>
    <e v="#REF!"/>
  </r>
  <r>
    <s v="401000"/>
    <x v="6"/>
    <s v="FOURNISSEURS"/>
    <s v="OD"/>
    <n v="614.4"/>
    <d v="2025-02-08T00:00:00"/>
    <s v="Liaison inter-établissement vers TO "/>
    <m/>
    <e v="#N/A"/>
    <e v="#N/A"/>
    <n v="64253"/>
    <m/>
    <s v="ARCANE INDUSTRIE"/>
    <s v="Q1"/>
    <e v="#REF!"/>
    <e v="#REF!"/>
    <e v="#REF!"/>
  </r>
  <r>
    <s v="401000"/>
    <x v="6"/>
    <s v="FOURNISSEURS"/>
    <s v="OD"/>
    <n v="615"/>
    <d v="2025-08-21T00:00:00"/>
    <s v="Liaison établissement 401000 BECKER KB"/>
    <s v="Non"/>
    <s v="Oui"/>
    <e v="#N/A"/>
    <n v="81400"/>
    <s v="RAPPORT DE RECHERCHE - BREVET PALOMA CHIMIE"/>
    <s v="BECKER"/>
    <s v="Q3"/>
    <e v="#REF!"/>
    <e v="#REF!"/>
    <e v="#REF!"/>
  </r>
  <r>
    <s v="401000"/>
    <x v="6"/>
    <s v="FOURNISSEURS"/>
    <s v="OD"/>
    <n v="623.4"/>
    <d v="2025-04-29T00:00:00"/>
    <s v="Liaison établissement 401000 BECKER KB"/>
    <s v="Non"/>
    <s v="Oui"/>
    <e v="#N/A"/>
    <n v="70472"/>
    <s v="Invocie Payment by Pili"/>
    <s v="BECKER"/>
    <s v="Q2"/>
    <e v="#REF!"/>
    <e v="#REF!"/>
    <e v="#REF!"/>
  </r>
  <r>
    <s v="401000"/>
    <x v="6"/>
    <s v="FOURNISSEURS"/>
    <s v="OD"/>
    <n v="631.20000000000005"/>
    <d v="2025-01-31T00:00:00"/>
    <s v="Liaison inter-établissement vers TO "/>
    <s v="Non"/>
    <s v="Non"/>
    <e v="#N/A"/>
    <n v="63783"/>
    <m/>
    <s v="OSIRIS"/>
    <s v="Q1"/>
    <e v="#REF!"/>
    <e v="#REF!"/>
    <e v="#REF!"/>
  </r>
  <r>
    <s v="401000"/>
    <x v="6"/>
    <s v="FOURNISSEURS"/>
    <s v="OD"/>
    <n v="637.20000000000005"/>
    <d v="2025-06-04T00:00:00"/>
    <s v="Liaison établissement 401000 CHAUM KB"/>
    <m/>
    <e v="#N/A"/>
    <e v="#N/A"/>
    <n v="75516"/>
    <s v="Invoice payment by Pili"/>
    <s v="GROUPE CHAUMEIL"/>
    <s v="Q2"/>
    <e v="#REF!"/>
    <e v="#REF!"/>
    <e v="#REF!"/>
  </r>
  <r>
    <s v="401000"/>
    <x v="6"/>
    <s v="FOURNISSEURS"/>
    <s v="OD"/>
    <n v="638"/>
    <d v="2025-04-29T00:00:00"/>
    <s v="Liaison établissement 401000 NURNBERG LY"/>
    <m/>
    <e v="#N/A"/>
    <e v="#N/A"/>
    <n v="70477"/>
    <s v="Invocie Payment by Pili"/>
    <s v="NURNBERG"/>
    <s v="Q2"/>
    <e v="#REF!"/>
    <e v="#REF!"/>
    <e v="#REF!"/>
  </r>
  <r>
    <s v="401000"/>
    <x v="6"/>
    <s v="FOURNISSEURS"/>
    <s v="OD"/>
    <n v="644.52"/>
    <d v="2025-04-18T00:00:00"/>
    <s v="Liaison établissement 401000 EURISOTOP KB"/>
    <m/>
    <e v="#N/A"/>
    <e v="#N/A"/>
    <n v="68172"/>
    <s v="Invoice Payment by Pili"/>
    <s v="EURISOTOP"/>
    <s v="Q2"/>
    <e v="#REF!"/>
    <e v="#REF!"/>
    <e v="#REF!"/>
  </r>
  <r>
    <s v="401000"/>
    <x v="6"/>
    <s v="FOURNISSEURS"/>
    <s v="OD"/>
    <n v="644.83000000000004"/>
    <d v="2025-01-09T00:00:00"/>
    <s v="Liaison inter-établissement vers TO "/>
    <m/>
    <e v="#N/A"/>
    <e v="#N/A"/>
    <n v="63695"/>
    <m/>
    <s v="DENIOS"/>
    <s v="Q1"/>
    <e v="#REF!"/>
    <e v="#REF!"/>
    <e v="#REF!"/>
  </r>
  <r>
    <s v="401000"/>
    <x v="6"/>
    <s v="FOURNISSEURS"/>
    <s v="OD"/>
    <n v="649"/>
    <d v="2025-04-29T00:00:00"/>
    <s v="Liaison inter-établissement vers TO "/>
    <m/>
    <e v="#N/A"/>
    <e v="#N/A"/>
    <n v="71410"/>
    <m/>
    <s v="ETAI"/>
    <s v="Q2"/>
    <e v="#REF!"/>
    <e v="#REF!"/>
    <e v="#REF!"/>
  </r>
  <r>
    <s v="401000"/>
    <x v="6"/>
    <s v="FOURNISSEURS"/>
    <s v="OD"/>
    <n v="651.6"/>
    <d v="2025-03-18T00:00:00"/>
    <s v="Liaison inter-établissement vers TO "/>
    <m/>
    <e v="#N/A"/>
    <e v="#N/A"/>
    <n v="64389"/>
    <m/>
    <s v="3BCLIM"/>
    <s v="Q1"/>
    <e v="#REF!"/>
    <e v="#REF!"/>
    <e v="#REF!"/>
  </r>
  <r>
    <s v="401000"/>
    <x v="6"/>
    <s v="FOURNISSEURS"/>
    <s v="OD"/>
    <n v="652.63"/>
    <d v="2025-10-06T00:00:00"/>
    <s v="Liaison établissement 401000 VWR KB"/>
    <m/>
    <e v="#N/A"/>
    <e v="#N/A"/>
    <n v="82909"/>
    <s v="PRODUITS KEENB"/>
    <s v="VWR AVANTOR"/>
    <s v="Q4"/>
    <e v="#REF!"/>
    <e v="#REF!"/>
    <e v="#REF!"/>
  </r>
  <r>
    <s v="401000"/>
    <x v="6"/>
    <s v="FOURNISSEURS"/>
    <s v="OD"/>
    <n v="655.09"/>
    <d v="2025-12-22T00:00:00"/>
    <s v="Liaison inter-établissement vers TO "/>
    <m/>
    <e v="#N/A"/>
    <e v="#N/A"/>
    <n v="93028"/>
    <m/>
    <s v="ROTH SOCHIEL"/>
    <s v="Q4"/>
    <e v="#REF!"/>
    <e v="#REF!"/>
    <e v="#REF!"/>
  </r>
  <r>
    <s v="401000"/>
    <x v="6"/>
    <s v="FOURNISSEURS"/>
    <s v="OD"/>
    <n v="656.5"/>
    <d v="2025-07-17T00:00:00"/>
    <s v="Liaison inter-établissement vers TO "/>
    <m/>
    <e v="#N/A"/>
    <e v="#N/A"/>
    <n v="81351"/>
    <m/>
    <s v="BRENNTAG"/>
    <s v="Q3"/>
    <e v="#REF!"/>
    <e v="#REF!"/>
    <e v="#REF!"/>
  </r>
  <r>
    <s v="401000"/>
    <x v="6"/>
    <s v="FOURNISSEURS"/>
    <s v="OD"/>
    <n v="658"/>
    <d v="2025-01-07T00:00:00"/>
    <s v="Liaison inter-établissement vers TO "/>
    <m/>
    <e v="#N/A"/>
    <e v="#N/A"/>
    <n v="63479"/>
    <m/>
    <s v="ABEL CHRIST SOMPLEI"/>
    <s v="Q1"/>
    <e v="#REF!"/>
    <e v="#REF!"/>
    <e v="#REF!"/>
  </r>
  <r>
    <s v="401000"/>
    <x v="6"/>
    <s v="FOURNISSEURS"/>
    <s v="OD"/>
    <n v="660"/>
    <d v="2025-08-18T00:00:00"/>
    <s v="Liaison établissement 401000 COFICIEL RO"/>
    <m/>
    <e v="#N/A"/>
    <e v="#N/A"/>
    <n v="81146"/>
    <s v="F2506/0476"/>
    <s v="COFICIEL"/>
    <s v="Q3"/>
    <e v="#REF!"/>
    <e v="#REF!"/>
    <e v="#REF!"/>
  </r>
  <r>
    <s v="401000"/>
    <x v="6"/>
    <s v="FOURNISSEURS"/>
    <s v="OD"/>
    <n v="660"/>
    <d v="2025-10-03T00:00:00"/>
    <s v="Liaison inter-établissement vers TO "/>
    <m/>
    <e v="#N/A"/>
    <e v="#N/A"/>
    <n v="89733"/>
    <m/>
    <s v="HOTELS"/>
    <s v="Q4"/>
    <e v="#REF!"/>
    <e v="#REF!"/>
    <e v="#REF!"/>
  </r>
  <r>
    <s v="401000"/>
    <x v="6"/>
    <s v="FOURNISSEURS"/>
    <s v="OD"/>
    <n v="661.69"/>
    <d v="2025-09-22T00:00:00"/>
    <s v="Liaison établissement 401000 THERMOELECTRON KB"/>
    <m/>
    <s v="Non"/>
    <e v="#N/A"/>
    <n v="82400"/>
    <s v="FILTRE DE PROTECTION POUR LA GC-MS (ARRIVÉ D'HÉLIUM + SORTIE DE LA POMPE)"/>
    <s v="THERMOELECTRON"/>
    <s v="Q3"/>
    <e v="#REF!"/>
    <e v="#REF!"/>
    <e v="#REF!"/>
  </r>
  <r>
    <s v="401000"/>
    <x v="6"/>
    <s v="FOURNISSEURS"/>
    <s v="OD"/>
    <n v="664.8"/>
    <d v="2025-04-18T00:00:00"/>
    <s v="Liaison établissement 401000 GSF RO"/>
    <m/>
    <e v="#N/A"/>
    <e v="#N/A"/>
    <n v="68177"/>
    <s v="Invoice Payment by Pili"/>
    <s v="GSF"/>
    <s v="Q2"/>
    <e v="#REF!"/>
    <e v="#REF!"/>
    <e v="#REF!"/>
  </r>
  <r>
    <s v="401000"/>
    <x v="6"/>
    <s v="FOURNISSEURS"/>
    <s v="OD"/>
    <n v="666"/>
    <d v="2025-01-01T00:00:00"/>
    <s v="Transport Brossier"/>
    <m/>
    <e v="#N/A"/>
    <e v="#N/A"/>
    <n v="70535"/>
    <m/>
    <s v="BROSSIER TRANSPORTS"/>
    <s v="Q1"/>
    <e v="#REF!"/>
    <e v="#REF!"/>
    <e v="#REF!"/>
  </r>
  <r>
    <s v="401000"/>
    <x v="6"/>
    <s v="FOURNISSEURS"/>
    <s v="OD"/>
    <n v="690"/>
    <d v="2025-06-30T00:00:00"/>
    <s v="Liaison établissement 401000 BIOTIKA RO"/>
    <s v="Non"/>
    <e v="#N/A"/>
    <e v="#N/A"/>
    <n v="76860"/>
    <s v="TRANSPORT COST"/>
    <s v="BIOTIKA"/>
    <s v="Q2"/>
    <e v="#REF!"/>
    <e v="#REF!"/>
    <e v="#REF!"/>
  </r>
  <r>
    <s v="401000"/>
    <x v="6"/>
    <s v="FOURNISSEURS"/>
    <s v="OD"/>
    <n v="696.42"/>
    <d v="2025-03-12T00:00:00"/>
    <s v="Liaison inter-établissement vers TO "/>
    <m/>
    <s v="Non"/>
    <e v="#N/A"/>
    <n v="68108"/>
    <m/>
    <s v="DIVERS"/>
    <s v="Q1"/>
    <e v="#REF!"/>
    <e v="#REF!"/>
    <e v="#REF!"/>
  </r>
  <r>
    <s v="401000"/>
    <x v="6"/>
    <s v="FOURNISSEURS"/>
    <s v="OD"/>
    <n v="709.8"/>
    <d v="2025-05-07T00:00:00"/>
    <s v="Liaison établissement 401000 FOURE RO"/>
    <m/>
    <e v="#N/A"/>
    <e v="#N/A"/>
    <n v="71770"/>
    <s v="MODIFICATION BUTÉE MONORAIL RÉACTEUR INOX"/>
    <s v="FOURE LAGADEC"/>
    <s v="Q2"/>
    <e v="#REF!"/>
    <e v="#REF!"/>
    <e v="#REF!"/>
  </r>
  <r>
    <s v="401000"/>
    <x v="6"/>
    <s v="FOURNISSEURS"/>
    <s v="OD"/>
    <n v="716.7"/>
    <d v="2025-04-29T00:00:00"/>
    <s v="Liaison établissement 401000 METTLER RO"/>
    <m/>
    <e v="#N/A"/>
    <e v="#N/A"/>
    <n v="70465"/>
    <s v="Invocie Payment by Pili"/>
    <s v="METTLER TOLEDO"/>
    <s v="Q2"/>
    <e v="#REF!"/>
    <e v="#REF!"/>
    <e v="#REF!"/>
  </r>
  <r>
    <s v="401000"/>
    <x v="6"/>
    <s v="FOURNISSEURS"/>
    <s v="OD"/>
    <n v="720"/>
    <d v="2025-04-07T00:00:00"/>
    <s v="Liaison inter-établissement vers TO "/>
    <m/>
    <e v="#N/A"/>
    <e v="#N/A"/>
    <n v="72914"/>
    <m/>
    <s v="EURECIA"/>
    <s v="Q2"/>
    <e v="#REF!"/>
    <e v="#REF!"/>
    <e v="#REF!"/>
  </r>
  <r>
    <s v="401000"/>
    <x v="6"/>
    <s v="FOURNISSEURS"/>
    <s v="OD"/>
    <n v="721"/>
    <d v="2025-04-25T00:00:00"/>
    <s v="Liaison inter-établissement vers TO "/>
    <m/>
    <e v="#N/A"/>
    <e v="#N/A"/>
    <n v="74785"/>
    <m/>
    <s v="SNCF"/>
    <s v="Q2"/>
    <e v="#REF!"/>
    <e v="#REF!"/>
    <e v="#REF!"/>
  </r>
  <r>
    <s v="401000"/>
    <x v="6"/>
    <s v="FOURNISSEURS"/>
    <s v="OD"/>
    <n v="721"/>
    <d v="2025-06-16T00:00:00"/>
    <s v="Liaison établissement 401000 BIOTIKA RO"/>
    <s v="Non"/>
    <e v="#N/A"/>
    <e v="#N/A"/>
    <n v="76064"/>
    <s v="TRANSPORT COSTS"/>
    <s v="BIOTIKA"/>
    <s v="Q2"/>
    <e v="#REF!"/>
    <e v="#REF!"/>
    <e v="#REF!"/>
  </r>
  <r>
    <s v="401000"/>
    <x v="6"/>
    <s v="FOURNISSEURS"/>
    <s v="OD"/>
    <n v="723.6"/>
    <d v="2025-12-30T00:00:00"/>
    <s v="Liaison établissement 401000 EIFFAGE ENERGIE SYSTEMES RO"/>
    <m/>
    <e v="#N/A"/>
    <e v="#N/A"/>
    <n v="93785"/>
    <s v="F00034250900145"/>
    <s v="EIFFAGE ENERGIE SYSTEMES"/>
    <s v="Q4"/>
    <e v="#REF!"/>
    <e v="#REF!"/>
    <e v="#REF!"/>
  </r>
  <r>
    <s v="401000"/>
    <x v="6"/>
    <s v="FOURNISSEURS"/>
    <s v="OD"/>
    <n v="736.02"/>
    <d v="2025-09-12T00:00:00"/>
    <s v="Liaison établissement 401000 FISHER RO"/>
    <m/>
    <e v="#N/A"/>
    <e v="#N/A"/>
    <n v="82000"/>
    <s v="BENZENE SULFONYLE CHLORURE POUR KEENY STEP 3"/>
    <s v="FISHER SCIENTIFIC"/>
    <s v="Q3"/>
    <e v="#REF!"/>
    <e v="#REF!"/>
    <e v="#REF!"/>
  </r>
  <r>
    <s v="401000"/>
    <x v="6"/>
    <s v="FOURNISSEURS"/>
    <s v="OD"/>
    <n v="739.98"/>
    <d v="2025-12-10T00:00:00"/>
    <s v="Liaison établissement 401000 FRANCECHIMIE RO"/>
    <m/>
    <s v="Non"/>
    <s v="Oui"/>
    <n v="92075"/>
    <s v="SD 106 - 072025"/>
    <s v="FRANCE CHIMIE"/>
    <s v="Q4"/>
    <e v="#REF!"/>
    <e v="#REF!"/>
    <e v="#REF!"/>
  </r>
  <r>
    <s v="401000"/>
    <x v="6"/>
    <s v="FOURNISSEURS"/>
    <s v="OD"/>
    <n v="747.97"/>
    <d v="2025-01-23T00:00:00"/>
    <s v="Liaison inter-établissement vers TO "/>
    <m/>
    <s v="Non"/>
    <e v="#N/A"/>
    <n v="63715"/>
    <m/>
    <s v="DIVERS"/>
    <s v="Q1"/>
    <e v="#REF!"/>
    <e v="#REF!"/>
    <e v="#REF!"/>
  </r>
  <r>
    <s v="401000"/>
    <x v="6"/>
    <s v="FOURNISSEURS"/>
    <s v="OD"/>
    <n v="752"/>
    <d v="2025-10-06T00:00:00"/>
    <s v="Liaison établissement 401000 ABELC KB"/>
    <m/>
    <e v="#N/A"/>
    <e v="#N/A"/>
    <n v="82894"/>
    <s v="ENTRETIEN MÉNAGER"/>
    <s v="ABEL CHRIST SOMPLEI"/>
    <s v="Q4"/>
    <e v="#REF!"/>
    <e v="#REF!"/>
    <e v="#REF!"/>
  </r>
  <r>
    <s v="401000"/>
    <x v="6"/>
    <s v="FOURNISSEURS"/>
    <s v="OD"/>
    <n v="752"/>
    <d v="2025-11-28T00:00:00"/>
    <s v="Liaison établissement 401000 ABELC KB"/>
    <m/>
    <e v="#N/A"/>
    <e v="#N/A"/>
    <n v="91241"/>
    <s v="PILI-171125"/>
    <s v="ABEL CHRIST SOMPLEI"/>
    <s v="Q4"/>
    <e v="#REF!"/>
    <e v="#REF!"/>
    <e v="#REF!"/>
  </r>
  <r>
    <s v="401000"/>
    <x v="6"/>
    <s v="FOURNISSEURS"/>
    <s v="OD"/>
    <n v="760.57"/>
    <d v="2025-03-04T00:00:00"/>
    <s v="Liaison inter-établissement vers TO "/>
    <m/>
    <s v="Non"/>
    <e v="#N/A"/>
    <n v="71901"/>
    <m/>
    <s v="DIVERS"/>
    <s v="Q1"/>
    <e v="#REF!"/>
    <e v="#REF!"/>
    <e v="#REF!"/>
  </r>
  <r>
    <s v="401000"/>
    <x v="6"/>
    <s v="FOURNISSEURS"/>
    <s v="OD"/>
    <n v="760.83"/>
    <d v="2025-02-06T00:00:00"/>
    <s v="Liaison inter-établissement vers TO "/>
    <m/>
    <e v="#N/A"/>
    <e v="#N/A"/>
    <n v="63933"/>
    <m/>
    <s v="VWR AVANTOR"/>
    <s v="Q1"/>
    <e v="#REF!"/>
    <e v="#REF!"/>
    <e v="#REF!"/>
  </r>
  <r>
    <s v="401000"/>
    <x v="6"/>
    <s v="FOURNISSEURS"/>
    <s v="OD"/>
    <n v="769.28"/>
    <d v="2025-03-18T00:00:00"/>
    <s v="Liaison inter-établissement vers TO "/>
    <m/>
    <e v="#N/A"/>
    <e v="#N/A"/>
    <n v="64473"/>
    <m/>
    <s v="VWR AVANTOR"/>
    <s v="Q1"/>
    <e v="#REF!"/>
    <e v="#REF!"/>
    <e v="#REF!"/>
  </r>
  <r>
    <s v="401000"/>
    <x v="6"/>
    <s v="FOURNISSEURS"/>
    <s v="OD"/>
    <n v="778.8"/>
    <d v="2025-01-02T00:00:00"/>
    <s v="Liaison inter-établissement vers TO "/>
    <m/>
    <e v="#N/A"/>
    <e v="#N/A"/>
    <n v="63905"/>
    <m/>
    <s v="SPENDESK"/>
    <s v="Q1"/>
    <e v="#REF!"/>
    <e v="#REF!"/>
    <e v="#REF!"/>
  </r>
  <r>
    <s v="401000"/>
    <x v="6"/>
    <s v="FOURNISSEURS"/>
    <s v="OD"/>
    <n v="778.8"/>
    <d v="2025-02-04T00:00:00"/>
    <s v="Liaison inter-établissement vers TO "/>
    <m/>
    <e v="#N/A"/>
    <e v="#N/A"/>
    <n v="64345"/>
    <m/>
    <s v="SPENDESK"/>
    <s v="Q1"/>
    <e v="#REF!"/>
    <e v="#REF!"/>
    <e v="#REF!"/>
  </r>
  <r>
    <s v="401000"/>
    <x v="6"/>
    <s v="FOURNISSEURS"/>
    <s v="OD"/>
    <n v="778.8"/>
    <d v="2025-03-04T00:00:00"/>
    <s v="Liaison inter-établissement vers TO "/>
    <m/>
    <e v="#N/A"/>
    <e v="#N/A"/>
    <n v="70030"/>
    <m/>
    <s v="SPENDESK"/>
    <s v="Q1"/>
    <e v="#REF!"/>
    <e v="#REF!"/>
    <e v="#REF!"/>
  </r>
  <r>
    <s v="401000"/>
    <x v="6"/>
    <s v="FOURNISSEURS"/>
    <s v="OD"/>
    <n v="778.8"/>
    <d v="2025-04-02T00:00:00"/>
    <s v="Liaison inter-établissement vers TO "/>
    <m/>
    <e v="#N/A"/>
    <e v="#N/A"/>
    <n v="74739"/>
    <m/>
    <s v="SPENDESK"/>
    <s v="Q2"/>
    <e v="#REF!"/>
    <e v="#REF!"/>
    <e v="#REF!"/>
  </r>
  <r>
    <s v="401000"/>
    <x v="6"/>
    <s v="FOURNISSEURS"/>
    <s v="OD"/>
    <n v="778.8"/>
    <d v="2025-05-02T00:00:00"/>
    <s v="Liaison inter-établissement vers TO "/>
    <m/>
    <e v="#N/A"/>
    <e v="#N/A"/>
    <n v="75097"/>
    <m/>
    <s v="SPENDESK"/>
    <s v="Q2"/>
    <e v="#REF!"/>
    <e v="#REF!"/>
    <e v="#REF!"/>
  </r>
  <r>
    <s v="401000"/>
    <x v="6"/>
    <s v="FOURNISSEURS"/>
    <s v="OD"/>
    <n v="778.8"/>
    <d v="2025-06-05T00:00:00"/>
    <s v="Liaison inter-établissement vers TO "/>
    <m/>
    <e v="#N/A"/>
    <e v="#N/A"/>
    <n v="78213"/>
    <m/>
    <s v="SPENDESK"/>
    <s v="Q2"/>
    <e v="#REF!"/>
    <e v="#REF!"/>
    <e v="#REF!"/>
  </r>
  <r>
    <s v="401000"/>
    <x v="6"/>
    <s v="FOURNISSEURS"/>
    <s v="OD"/>
    <n v="778.8"/>
    <d v="2025-07-02T00:00:00"/>
    <s v="Liaison inter-établissement vers TO "/>
    <m/>
    <e v="#N/A"/>
    <e v="#N/A"/>
    <n v="81051"/>
    <m/>
    <s v="SPENDESK"/>
    <s v="Q3"/>
    <e v="#REF!"/>
    <e v="#REF!"/>
    <e v="#REF!"/>
  </r>
  <r>
    <s v="401000"/>
    <x v="6"/>
    <s v="FOURNISSEURS"/>
    <s v="OD"/>
    <n v="778.8"/>
    <d v="2025-08-05T00:00:00"/>
    <s v="Liaison inter-établissement vers TO "/>
    <m/>
    <e v="#N/A"/>
    <e v="#N/A"/>
    <n v="83250"/>
    <m/>
    <s v="SPENDESK"/>
    <s v="Q3"/>
    <e v="#REF!"/>
    <e v="#REF!"/>
    <e v="#REF!"/>
  </r>
  <r>
    <s v="401000"/>
    <x v="6"/>
    <s v="FOURNISSEURS"/>
    <s v="OD"/>
    <n v="778.8"/>
    <d v="2025-09-02T00:00:00"/>
    <s v="Liaison inter-établissement vers TO "/>
    <m/>
    <e v="#N/A"/>
    <e v="#N/A"/>
    <n v="83174"/>
    <m/>
    <s v="SPENDESK"/>
    <s v="Q3"/>
    <e v="#REF!"/>
    <e v="#REF!"/>
    <e v="#REF!"/>
  </r>
  <r>
    <s v="401000"/>
    <x v="6"/>
    <s v="FOURNISSEURS"/>
    <s v="OD"/>
    <n v="778.8"/>
    <d v="2025-10-02T00:00:00"/>
    <s v="Liaison inter-établissement vers TO "/>
    <m/>
    <e v="#N/A"/>
    <e v="#N/A"/>
    <n v="89831"/>
    <m/>
    <s v="SPENDESK"/>
    <s v="Q4"/>
    <e v="#REF!"/>
    <e v="#REF!"/>
    <e v="#REF!"/>
  </r>
  <r>
    <s v="401000"/>
    <x v="6"/>
    <s v="FOURNISSEURS"/>
    <s v="OD"/>
    <n v="778.8"/>
    <d v="2025-11-04T00:00:00"/>
    <s v="Liaison inter-établissement vers TO "/>
    <m/>
    <e v="#N/A"/>
    <e v="#N/A"/>
    <n v="91751"/>
    <m/>
    <s v="SPENDESK"/>
    <s v="Q4"/>
    <e v="#REF!"/>
    <e v="#REF!"/>
    <e v="#REF!"/>
  </r>
  <r>
    <s v="401000"/>
    <x v="6"/>
    <s v="FOURNISSEURS"/>
    <s v="OD"/>
    <n v="778.8"/>
    <d v="2025-12-02T00:00:00"/>
    <s v="Liaison inter-établissement vers TO "/>
    <m/>
    <e v="#N/A"/>
    <e v="#N/A"/>
    <n v="94146"/>
    <m/>
    <s v="SPENDESK"/>
    <s v="Q4"/>
    <e v="#REF!"/>
    <e v="#REF!"/>
    <e v="#REF!"/>
  </r>
  <r>
    <s v="401000"/>
    <x v="6"/>
    <s v="FOURNISSEURS"/>
    <s v="OD"/>
    <n v="792"/>
    <d v="2025-05-16T00:00:00"/>
    <s v="Liaison établissement 401000 AGRUME KB"/>
    <m/>
    <s v="Non"/>
    <e v="#N/A"/>
    <n v="72836"/>
    <s v="ELECTIONS CSE PAR VOIE ÉLECTRONIQUE SUR LA BASE DE 40 ÉLECTEURS"/>
    <s v="AGRUME"/>
    <s v="Q2"/>
    <e v="#REF!"/>
    <e v="#REF!"/>
    <e v="#REF!"/>
  </r>
  <r>
    <s v="401000"/>
    <x v="6"/>
    <s v="FOURNISSEURS"/>
    <s v="OD"/>
    <n v="796.3"/>
    <d v="2025-04-25T00:00:00"/>
    <s v="Liaison établissement 401000 BOUFFE KB"/>
    <m/>
    <e v="#N/A"/>
    <e v="#N/A"/>
    <n v="70197"/>
    <s v="Invoice Payment by Pili"/>
    <s v="LES BOUFFESQUETAIRES"/>
    <s v="Q2"/>
    <e v="#REF!"/>
    <e v="#REF!"/>
    <e v="#REF!"/>
  </r>
  <r>
    <s v="401000"/>
    <x v="6"/>
    <s v="FOURNISSEURS"/>
    <s v="OD"/>
    <n v="797.01"/>
    <d v="2025-11-21T00:00:00"/>
    <s v="Liaison inter-établissement"/>
    <m/>
    <e v="#N/A"/>
    <e v="#N/A"/>
    <n v="97987"/>
    <m/>
    <s v="MAXIBURO"/>
    <s v="Q4"/>
    <e v="#REF!"/>
    <e v="#REF!"/>
    <e v="#REF!"/>
  </r>
  <r>
    <s v="401000"/>
    <x v="6"/>
    <s v="FOURNISSEURS"/>
    <s v="OD"/>
    <n v="800"/>
    <d v="2025-08-18T00:00:00"/>
    <s v="Liaison établissement 401000 IRCOM LY"/>
    <m/>
    <s v="Non"/>
    <e v="#N/A"/>
    <n v="81141"/>
    <s v="FORMATION COMMUNICATION DE CRISE"/>
    <s v="IRCOM"/>
    <s v="Q3"/>
    <e v="#REF!"/>
    <e v="#REF!"/>
    <e v="#REF!"/>
  </r>
  <r>
    <s v="401000"/>
    <x v="6"/>
    <s v="FOURNISSEURS"/>
    <s v="OD"/>
    <n v="800.84"/>
    <d v="2025-01-25T00:00:00"/>
    <s v="Liaison inter-établissement vers TO "/>
    <m/>
    <e v="#N/A"/>
    <e v="#N/A"/>
    <n v="63507"/>
    <m/>
    <s v="AIR FRANCE"/>
    <s v="Q1"/>
    <e v="#REF!"/>
    <e v="#REF!"/>
    <e v="#REF!"/>
  </r>
  <r>
    <s v="401000"/>
    <x v="6"/>
    <s v="FOURNISSEURS"/>
    <s v="OD"/>
    <n v="800.84"/>
    <d v="2025-01-25T00:00:00"/>
    <s v="Liaison inter-établissement vers TO "/>
    <m/>
    <e v="#N/A"/>
    <e v="#N/A"/>
    <n v="63511"/>
    <m/>
    <s v="AIR FRANCE"/>
    <s v="Q1"/>
    <e v="#REF!"/>
    <e v="#REF!"/>
    <e v="#REF!"/>
  </r>
  <r>
    <s v="401000"/>
    <x v="6"/>
    <s v="FOURNISSEURS"/>
    <s v="OD"/>
    <n v="810"/>
    <d v="2025-01-30T00:00:00"/>
    <s v="Liaison inter-établissement vers TO "/>
    <m/>
    <e v="#N/A"/>
    <e v="#N/A"/>
    <n v="63873"/>
    <m/>
    <s v="SMTS"/>
    <s v="Q1"/>
    <e v="#REF!"/>
    <e v="#REF!"/>
    <e v="#REF!"/>
  </r>
  <r>
    <s v="401000"/>
    <x v="6"/>
    <s v="FOURNISSEURS"/>
    <s v="OD"/>
    <n v="818.4"/>
    <d v="2025-09-12T00:00:00"/>
    <s v="Liaison établissement 401000 GAZDETECT RO"/>
    <m/>
    <e v="#N/A"/>
    <e v="#N/A"/>
    <n v="82010"/>
    <s v="PAC 6500 SO2 0-100 PPM STANDARD"/>
    <s v="GAZ DETECT"/>
    <s v="Q3"/>
    <e v="#REF!"/>
    <e v="#REF!"/>
    <e v="#REF!"/>
  </r>
  <r>
    <s v="401000"/>
    <x v="6"/>
    <s v="FOURNISSEURS"/>
    <s v="OD"/>
    <n v="828"/>
    <d v="2025-08-21T00:00:00"/>
    <s v="Liaison établissement 401000 THERMOELECTRON KB"/>
    <m/>
    <s v="Non"/>
    <e v="#N/A"/>
    <n v="81479"/>
    <s v="UTILISATION LOGICIEL CHROMOLEON - NIVEAU 2 - 1 JOURNÉE"/>
    <s v="THERMOELECTRON"/>
    <s v="Q3"/>
    <e v="#REF!"/>
    <e v="#REF!"/>
    <e v="#REF!"/>
  </r>
  <r>
    <s v="401000"/>
    <x v="6"/>
    <s v="FOURNISSEURS"/>
    <s v="OD"/>
    <n v="828.34"/>
    <d v="2025-11-19T00:00:00"/>
    <s v="Liaison établissement 401000 BOUFFE KB"/>
    <m/>
    <e v="#N/A"/>
    <e v="#N/A"/>
    <n v="90478"/>
    <s v="F-1013-1766"/>
    <s v="LES BOUFFESQUETAIRES"/>
    <s v="Q4"/>
    <e v="#REF!"/>
    <e v="#REF!"/>
    <e v="#REF!"/>
  </r>
  <r>
    <s v="401000"/>
    <x v="6"/>
    <s v="FOURNISSEURS"/>
    <s v="OD"/>
    <n v="832.2"/>
    <d v="2025-04-29T00:00:00"/>
    <s v="Liaison établissement 401000 SAESPCI KB"/>
    <m/>
    <e v="#N/A"/>
    <e v="#N/A"/>
    <n v="70492"/>
    <s v="Invocie Payment by Pili"/>
    <s v="SAESPCI"/>
    <s v="Q2"/>
    <e v="#REF!"/>
    <e v="#REF!"/>
    <e v="#REF!"/>
  </r>
  <r>
    <s v="401000"/>
    <x v="6"/>
    <s v="FOURNISSEURS"/>
    <s v="OD"/>
    <n v="834"/>
    <d v="2025-11-17T00:00:00"/>
    <s v="Liaison établissement 401000 SAESPCI KB"/>
    <m/>
    <e v="#N/A"/>
    <e v="#N/A"/>
    <n v="90144"/>
    <s v="RMN ESPCI"/>
    <s v="SAESPCI"/>
    <s v="Q4"/>
    <e v="#REF!"/>
    <e v="#REF!"/>
    <e v="#REF!"/>
  </r>
  <r>
    <s v="401000"/>
    <x v="6"/>
    <s v="FOURNISSEURS"/>
    <s v="OD"/>
    <n v="844.73"/>
    <d v="2025-08-21T00:00:00"/>
    <s v="Liaison établissement 401000 VWR KB"/>
    <m/>
    <e v="#N/A"/>
    <e v="#N/A"/>
    <n v="81511"/>
    <s v="COMMANDE CONSOMMABLES ET SOLVANTS POUR LABO"/>
    <s v="VWR AVANTOR"/>
    <s v="Q3"/>
    <e v="#REF!"/>
    <e v="#REF!"/>
    <e v="#REF!"/>
  </r>
  <r>
    <s v="401000"/>
    <x v="6"/>
    <s v="FOURNISSEURS"/>
    <s v="OD"/>
    <n v="849.6"/>
    <d v="2025-03-11T00:00:00"/>
    <s v="Liaison inter-établissement vers TO "/>
    <m/>
    <e v="#N/A"/>
    <e v="#N/A"/>
    <n v="74064"/>
    <m/>
    <s v="BROSSIER TRANSPORTS"/>
    <s v="Q1"/>
    <e v="#REF!"/>
    <e v="#REF!"/>
    <e v="#REF!"/>
  </r>
  <r>
    <s v="401000"/>
    <x v="6"/>
    <s v="FOURNISSEURS"/>
    <s v="OD"/>
    <n v="852"/>
    <d v="2025-09-12T00:00:00"/>
    <s v="Liaison établissement 401000 ALGOCHEM RO"/>
    <m/>
    <e v="#N/A"/>
    <e v="#N/A"/>
    <n v="82015"/>
    <s v="FACTURE 910"/>
    <s v="ALGOCHEM"/>
    <s v="Q3"/>
    <e v="#REF!"/>
    <e v="#REF!"/>
    <e v="#REF!"/>
  </r>
  <r>
    <s v="401000"/>
    <x v="6"/>
    <s v="FOURNISSEURS"/>
    <s v="OD"/>
    <n v="858"/>
    <d v="2025-03-28T00:00:00"/>
    <s v="Liaison établissement 401000 DIVA KB"/>
    <m/>
    <e v="#N/A"/>
    <e v="#N/A"/>
    <n v="65010"/>
    <s v="Invoice Payment by Pili"/>
    <s v="AGENCE DIVA"/>
    <s v="Q1"/>
    <e v="#REF!"/>
    <e v="#REF!"/>
    <e v="#REF!"/>
  </r>
  <r>
    <s v="401000"/>
    <x v="6"/>
    <s v="FOURNISSEURS"/>
    <s v="OD"/>
    <n v="859.07"/>
    <d v="2025-08-01T00:00:00"/>
    <s v="Liaison inter-établissement vers TO "/>
    <m/>
    <e v="#N/A"/>
    <e v="#N/A"/>
    <n v="85070"/>
    <m/>
    <s v="MAXOUTILS"/>
    <s v="Q3"/>
    <e v="#REF!"/>
    <e v="#REF!"/>
    <e v="#REF!"/>
  </r>
  <r>
    <s v="401000"/>
    <x v="6"/>
    <s v="FOURNISSEURS"/>
    <s v="OD"/>
    <n v="885.18"/>
    <d v="2025-04-23T00:00:00"/>
    <s v="Liaison inter-établissement vers TO "/>
    <m/>
    <s v="Non"/>
    <n v="0"/>
    <n v="68216"/>
    <m/>
    <s v="SERVICE ACTION SANTE"/>
    <s v="Q2"/>
    <e v="#REF!"/>
    <e v="#REF!"/>
    <e v="#REF!"/>
  </r>
  <r>
    <s v="401000"/>
    <x v="6"/>
    <s v="FOURNISSEURS"/>
    <s v="OD"/>
    <n v="888.06"/>
    <d v="2025-02-28T00:00:00"/>
    <s v="Liaison inter-établissement vers TO "/>
    <s v="Non"/>
    <s v="Non"/>
    <e v="#N/A"/>
    <n v="63779"/>
    <m/>
    <s v="OSIRIS"/>
    <s v="Q1"/>
    <e v="#REF!"/>
    <e v="#REF!"/>
    <e v="#REF!"/>
  </r>
  <r>
    <s v="401000"/>
    <x v="6"/>
    <s v="FOURNISSEURS"/>
    <s v="OD"/>
    <n v="900"/>
    <d v="2025-04-15T00:00:00"/>
    <s v="Liaison inter-établissement vers TO "/>
    <m/>
    <e v="#N/A"/>
    <e v="#N/A"/>
    <n v="68088"/>
    <m/>
    <s v="CLOUP"/>
    <s v="Q2"/>
    <e v="#REF!"/>
    <e v="#REF!"/>
    <e v="#REF!"/>
  </r>
  <r>
    <s v="401000"/>
    <x v="6"/>
    <s v="FOURNISSEURS"/>
    <s v="OD"/>
    <n v="900"/>
    <d v="2025-06-16T00:00:00"/>
    <s v="Liaison établissement 401000 CHARRIERE LY"/>
    <s v="Non"/>
    <s v="Non"/>
    <e v="#N/A"/>
    <n v="76074"/>
    <s v="CONSULTANTE E CHARRIÈRE"/>
    <s v="CHARRIERE Eugenie"/>
    <s v="Q2"/>
    <e v="#REF!"/>
    <e v="#REF!"/>
    <e v="#REF!"/>
  </r>
  <r>
    <s v="401000"/>
    <x v="6"/>
    <s v="FOURNISSEURS"/>
    <s v="OD"/>
    <n v="907.2"/>
    <d v="2025-02-05T00:00:00"/>
    <s v="Liaison inter-établissement vers TO "/>
    <m/>
    <e v="#N/A"/>
    <e v="#N/A"/>
    <n v="74261"/>
    <m/>
    <s v="ORANGE"/>
    <s v="Q1"/>
    <e v="#REF!"/>
    <e v="#REF!"/>
    <e v="#REF!"/>
  </r>
  <r>
    <s v="401000"/>
    <x v="6"/>
    <s v="FOURNISSEURS"/>
    <s v="OD"/>
    <n v="907.2"/>
    <d v="2025-04-08T00:00:00"/>
    <s v="Liaison inter-établissement vers TO "/>
    <m/>
    <e v="#N/A"/>
    <e v="#N/A"/>
    <n v="70058"/>
    <m/>
    <s v="ORANGE"/>
    <s v="Q2"/>
    <e v="#REF!"/>
    <e v="#REF!"/>
    <e v="#REF!"/>
  </r>
  <r>
    <s v="401000"/>
    <x v="6"/>
    <s v="FOURNISSEURS"/>
    <s v="OD"/>
    <n v="907.2"/>
    <d v="2025-06-04T00:00:00"/>
    <s v="Liaison inter-établissement vers TO "/>
    <m/>
    <e v="#N/A"/>
    <e v="#N/A"/>
    <n v="78862"/>
    <m/>
    <s v="ORANGE"/>
    <s v="Q2"/>
    <e v="#REF!"/>
    <e v="#REF!"/>
    <e v="#REF!"/>
  </r>
  <r>
    <s v="401000"/>
    <x v="6"/>
    <s v="FOURNISSEURS"/>
    <s v="OD"/>
    <n v="907.2"/>
    <d v="2025-10-06T00:00:00"/>
    <s v="Liaison inter-établissement vers TO "/>
    <m/>
    <e v="#N/A"/>
    <e v="#N/A"/>
    <n v="86964"/>
    <m/>
    <s v="ORANGE"/>
    <s v="Q4"/>
    <e v="#REF!"/>
    <e v="#REF!"/>
    <e v="#REF!"/>
  </r>
  <r>
    <s v="401000"/>
    <x v="6"/>
    <s v="FOURNISSEURS"/>
    <s v="OD"/>
    <n v="907.2"/>
    <d v="2025-12-05T00:00:00"/>
    <s v="Liaison inter-établissement vers TO "/>
    <m/>
    <e v="#N/A"/>
    <e v="#N/A"/>
    <n v="91920"/>
    <m/>
    <s v="ORANGE"/>
    <s v="Q4"/>
    <e v="#REF!"/>
    <e v="#REF!"/>
    <e v="#REF!"/>
  </r>
  <r>
    <s v="401000"/>
    <x v="6"/>
    <s v="FOURNISSEURS"/>
    <s v="OD"/>
    <n v="912"/>
    <d v="2025-01-30T00:00:00"/>
    <s v="Liaison inter-établissement vers TO "/>
    <m/>
    <e v="#N/A"/>
    <e v="#N/A"/>
    <n v="63675"/>
    <m/>
    <s v="COFICIEL"/>
    <s v="Q1"/>
    <e v="#REF!"/>
    <e v="#REF!"/>
    <e v="#REF!"/>
  </r>
  <r>
    <s v="401000"/>
    <x v="6"/>
    <s v="FOURNISSEURS"/>
    <s v="OD"/>
    <n v="912"/>
    <d v="2025-03-28T00:00:00"/>
    <s v="Liaison établissement 401000 COFICIEL RO"/>
    <m/>
    <e v="#N/A"/>
    <e v="#N/A"/>
    <n v="65015"/>
    <s v="Invoice Payment by Pili"/>
    <s v="COFICIEL"/>
    <s v="Q1"/>
    <e v="#REF!"/>
    <e v="#REF!"/>
    <e v="#REF!"/>
  </r>
  <r>
    <s v="401000"/>
    <x v="6"/>
    <s v="FOURNISSEURS"/>
    <s v="OD"/>
    <n v="912"/>
    <d v="2025-04-18T00:00:00"/>
    <s v="Liaison établissement 401000 COFICIEL RO"/>
    <m/>
    <e v="#N/A"/>
    <e v="#N/A"/>
    <n v="68162"/>
    <s v="Invoice Payment by Pili"/>
    <s v="COFICIEL"/>
    <s v="Q2"/>
    <e v="#REF!"/>
    <e v="#REF!"/>
    <e v="#REF!"/>
  </r>
  <r>
    <s v="401000"/>
    <x v="6"/>
    <s v="FOURNISSEURS"/>
    <s v="OD"/>
    <n v="912"/>
    <d v="2025-06-02T00:00:00"/>
    <s v="Liaison établissement 401000 COFICIEL RO"/>
    <m/>
    <e v="#N/A"/>
    <e v="#N/A"/>
    <n v="75257"/>
    <s v="Invoice Payment By Pili"/>
    <s v="COFICIEL"/>
    <s v="Q2"/>
    <e v="#REF!"/>
    <e v="#REF!"/>
    <e v="#REF!"/>
  </r>
  <r>
    <s v="401000"/>
    <x v="6"/>
    <s v="FOURNISSEURS"/>
    <s v="OD"/>
    <n v="912"/>
    <d v="2025-08-08T00:00:00"/>
    <s v="Liaison établissement 401000 COFICIEL RO"/>
    <m/>
    <e v="#N/A"/>
    <e v="#N/A"/>
    <n v="80754"/>
    <s v="LOCATION ALGECO ROUSSILLON (PÉRIODE TRAVAUX)"/>
    <s v="COFICIEL"/>
    <s v="Q3"/>
    <e v="#REF!"/>
    <e v="#REF!"/>
    <e v="#REF!"/>
  </r>
  <r>
    <s v="401000"/>
    <x v="6"/>
    <s v="FOURNISSEURS"/>
    <s v="OD"/>
    <n v="912"/>
    <d v="2025-08-22T00:00:00"/>
    <s v="Liaison établissement 401000 COFICIEL RO"/>
    <m/>
    <e v="#N/A"/>
    <e v="#N/A"/>
    <n v="81601"/>
    <s v="LOCATION ALGECO ROUSSILLON (PÉRIODE TRAVAUX)"/>
    <s v="COFICIEL"/>
    <s v="Q3"/>
    <e v="#REF!"/>
    <e v="#REF!"/>
    <e v="#REF!"/>
  </r>
  <r>
    <s v="401000"/>
    <x v="6"/>
    <s v="FOURNISSEURS"/>
    <s v="OD"/>
    <n v="912"/>
    <d v="2025-09-12T00:00:00"/>
    <s v="Liaison établissement 401000 COFICIEL RO"/>
    <m/>
    <e v="#N/A"/>
    <e v="#N/A"/>
    <n v="81995"/>
    <s v="F2507/0532"/>
    <s v="COFICIEL"/>
    <s v="Q3"/>
    <e v="#REF!"/>
    <e v="#REF!"/>
    <e v="#REF!"/>
  </r>
  <r>
    <s v="401000"/>
    <x v="6"/>
    <s v="FOURNISSEURS"/>
    <s v="OD"/>
    <n v="912"/>
    <d v="2025-09-26T00:00:00"/>
    <s v="Liaison établissement 401000 COFICIEL RO"/>
    <m/>
    <e v="#N/A"/>
    <e v="#N/A"/>
    <n v="82493"/>
    <s v="INVOICE PAYMENT BY PILI"/>
    <s v="COFICIEL"/>
    <s v="Q3"/>
    <e v="#REF!"/>
    <e v="#REF!"/>
    <e v="#REF!"/>
  </r>
  <r>
    <s v="401000"/>
    <x v="6"/>
    <s v="FOURNISSEURS"/>
    <s v="OD"/>
    <n v="912"/>
    <d v="2025-10-31T00:00:00"/>
    <s v="Liaison établissement 401000 COFICIEL RO"/>
    <m/>
    <e v="#N/A"/>
    <e v="#N/A"/>
    <n v="87549"/>
    <s v="F2509/0832"/>
    <s v="COFICIEL"/>
    <s v="Q4"/>
    <e v="#REF!"/>
    <e v="#REF!"/>
    <e v="#REF!"/>
  </r>
  <r>
    <s v="401000"/>
    <x v="6"/>
    <s v="FOURNISSEURS"/>
    <s v="OD"/>
    <n v="912"/>
    <d v="2025-12-05T00:00:00"/>
    <s v="Liaison établissement 401000 COFICIEL RO"/>
    <m/>
    <e v="#N/A"/>
    <e v="#N/A"/>
    <n v="91354"/>
    <s v="F2510/0735"/>
    <s v="COFICIEL"/>
    <s v="Q4"/>
    <e v="#REF!"/>
    <e v="#REF!"/>
    <e v="#REF!"/>
  </r>
  <r>
    <s v="401000"/>
    <x v="6"/>
    <s v="FOURNISSEURS"/>
    <s v="OD"/>
    <n v="912"/>
    <d v="2025-12-30T00:00:00"/>
    <s v="Liaison établissement 401000 COFICIEL RO"/>
    <m/>
    <e v="#N/A"/>
    <e v="#N/A"/>
    <n v="93817"/>
    <s v="F2511/1366"/>
    <s v="COFICIEL"/>
    <s v="Q4"/>
    <e v="#REF!"/>
    <e v="#REF!"/>
    <e v="#REF!"/>
  </r>
  <r>
    <s v="401000"/>
    <x v="6"/>
    <s v="FOURNISSEURS"/>
    <s v="OD"/>
    <n v="918"/>
    <d v="2025-03-19T00:00:00"/>
    <s v="Liaison inter-établissement vers TO "/>
    <m/>
    <e v="#N/A"/>
    <e v="#N/A"/>
    <n v="63799"/>
    <m/>
    <s v="PHENOMENEX"/>
    <s v="Q1"/>
    <e v="#REF!"/>
    <e v="#REF!"/>
    <e v="#REF!"/>
  </r>
  <r>
    <s v="401000"/>
    <x v="6"/>
    <s v="FOURNISSEURS"/>
    <s v="OD"/>
    <n v="940"/>
    <d v="2025-10-31T00:00:00"/>
    <s v="Liaison établissement 401000 ABELC KB"/>
    <m/>
    <e v="#N/A"/>
    <e v="#N/A"/>
    <n v="87497"/>
    <s v="ENTRETIEN MÉNAGER"/>
    <s v="ABEL CHRIST SOMPLEI"/>
    <s v="Q4"/>
    <e v="#REF!"/>
    <e v="#REF!"/>
    <e v="#REF!"/>
  </r>
  <r>
    <s v="401000"/>
    <x v="6"/>
    <s v="FOURNISSEURS"/>
    <s v="OD"/>
    <n v="940"/>
    <d v="2025-12-30T00:00:00"/>
    <s v="Liaison établissement 401000 ABELC KB"/>
    <m/>
    <e v="#N/A"/>
    <e v="#N/A"/>
    <n v="93806"/>
    <s v="PILI-231225"/>
    <s v="ABEL CHRIST SOMPLEI"/>
    <s v="Q4"/>
    <e v="#REF!"/>
    <e v="#REF!"/>
    <e v="#REF!"/>
  </r>
  <r>
    <s v="401000"/>
    <x v="6"/>
    <s v="FOURNISSEURS"/>
    <s v="OD"/>
    <n v="960"/>
    <d v="2025-03-19T00:00:00"/>
    <s v="Liaison inter-établissement vers TO "/>
    <m/>
    <s v="Non"/>
    <n v="0"/>
    <n v="69945"/>
    <m/>
    <s v="ASS FORMATION CONTINUE INDUS CHIMIQUES"/>
    <s v="Q1"/>
    <e v="#REF!"/>
    <e v="#REF!"/>
    <e v="#REF!"/>
  </r>
  <r>
    <s v="401000"/>
    <x v="6"/>
    <s v="FOURNISSEURS"/>
    <s v="OD"/>
    <n v="960"/>
    <d v="2025-12-30T00:00:00"/>
    <s v="Liaison établissement 401000 BOLD LY"/>
    <s v="Non"/>
    <s v="Non"/>
    <e v="#N/A"/>
    <n v="93832"/>
    <s v="BOLD-031819"/>
    <s v="WE ARE BOLD"/>
    <s v="Q4"/>
    <e v="#REF!"/>
    <e v="#REF!"/>
    <e v="#REF!"/>
  </r>
  <r>
    <s v="401000"/>
    <x v="6"/>
    <s v="FOURNISSEURS"/>
    <s v="OD"/>
    <n v="980.67"/>
    <d v="2025-03-03T00:00:00"/>
    <s v="Liaison inter-établissement vers TO "/>
    <m/>
    <e v="#N/A"/>
    <e v="#N/A"/>
    <n v="87136"/>
    <m/>
    <s v="AIR LIQUIDE"/>
    <s v="Q1"/>
    <e v="#REF!"/>
    <e v="#REF!"/>
    <e v="#REF!"/>
  </r>
  <r>
    <s v="401000"/>
    <x v="6"/>
    <s v="FOURNISSEURS"/>
    <s v="OD"/>
    <n v="992.72"/>
    <d v="2025-07-22T00:00:00"/>
    <s v="Liaison établissement 401000 ROTH RO"/>
    <m/>
    <e v="#N/A"/>
    <e v="#N/A"/>
    <n v="78285"/>
    <s v="MÉTHANOL 2MIN. 99 % EAU 5 ROTISOLV HPLC GRADIENT GRADE MÉTHYLE-2-TÉTRAHYDROFURANE"/>
    <s v="ROTH SOCHIEL"/>
    <s v="Q3"/>
    <e v="#REF!"/>
    <e v="#REF!"/>
    <e v="#REF!"/>
  </r>
  <r>
    <s v="401000"/>
    <x v="6"/>
    <s v="FOURNISSEURS"/>
    <s v="OD"/>
    <n v="1000"/>
    <d v="2025-08-21T00:00:00"/>
    <s v="Liaison établissement 401000 MANACH KB"/>
    <s v="Non"/>
    <s v="Non"/>
    <e v="#N/A"/>
    <n v="81436"/>
    <s v="PARTICIPATION AU BOARD BUSINESS"/>
    <s v="Michel Manach"/>
    <s v="Q3"/>
    <e v="#REF!"/>
    <e v="#REF!"/>
    <e v="#REF!"/>
  </r>
  <r>
    <s v="401000"/>
    <x v="6"/>
    <s v="FOURNISSEURS"/>
    <s v="OD"/>
    <n v="1000"/>
    <d v="2025-12-11T00:00:00"/>
    <s v="Liaison établissement 401000 MANACH LY"/>
    <s v="Non"/>
    <s v="Non"/>
    <e v="#N/A"/>
    <n v="92093"/>
    <s v="20251002"/>
    <s v="Michel Manach"/>
    <s v="Q4"/>
    <e v="#REF!"/>
    <e v="#REF!"/>
    <e v="#REF!"/>
  </r>
  <r>
    <s v="401000"/>
    <x v="6"/>
    <s v="FOURNISSEURS"/>
    <s v="OD"/>
    <n v="1010.82"/>
    <d v="2025-06-16T00:00:00"/>
    <s v="Liaison inter-établissement vers TO "/>
    <m/>
    <e v="#N/A"/>
    <e v="#N/A"/>
    <n v="78842"/>
    <m/>
    <s v="ENGIE"/>
    <s v="Q2"/>
    <e v="#REF!"/>
    <e v="#REF!"/>
    <e v="#REF!"/>
  </r>
  <r>
    <s v="401000"/>
    <x v="6"/>
    <s v="FOURNISSEURS"/>
    <s v="OD"/>
    <n v="1013.84"/>
    <d v="2025-12-11T00:00:00"/>
    <s v="Liaison établissement 401000 BECKER KB"/>
    <s v="Non"/>
    <s v="Oui"/>
    <e v="#N/A"/>
    <n v="92103"/>
    <s v="254432"/>
    <s v="BECKER"/>
    <s v="Q4"/>
    <e v="#REF!"/>
    <e v="#REF!"/>
    <e v="#REF!"/>
  </r>
  <r>
    <s v="401000"/>
    <x v="6"/>
    <s v="FOURNISSEURS"/>
    <s v="OD"/>
    <n v="1022"/>
    <d v="2025-11-17T00:00:00"/>
    <s v="Liaison établissement 401000 CANOVAS STEVE EI LY"/>
    <m/>
    <e v="#N/A"/>
    <e v="#N/A"/>
    <n v="90139"/>
    <s v="TRAITEUR SÉMINAIRE PILI (JEUDI 18 SEPT. SOIR)"/>
    <s v="CANOVAS STEVE EI"/>
    <s v="Q4"/>
    <e v="#REF!"/>
    <e v="#REF!"/>
    <e v="#REF!"/>
  </r>
  <r>
    <s v="401000"/>
    <x v="6"/>
    <s v="FOURNISSEURS"/>
    <s v="OD"/>
    <n v="1026"/>
    <d v="2025-03-19T00:00:00"/>
    <s v="Liaison inter-établissement vers TO "/>
    <m/>
    <e v="#N/A"/>
    <e v="#N/A"/>
    <n v="63795"/>
    <m/>
    <s v="PHENOMENEX"/>
    <s v="Q1"/>
    <e v="#REF!"/>
    <e v="#REF!"/>
    <e v="#REF!"/>
  </r>
  <r>
    <s v="401000"/>
    <x v="6"/>
    <s v="FOURNISSEURS"/>
    <s v="OD"/>
    <n v="1034"/>
    <d v="2025-02-28T00:00:00"/>
    <s v="Liaison inter-établissement vers TO "/>
    <m/>
    <e v="#N/A"/>
    <e v="#N/A"/>
    <n v="63487"/>
    <m/>
    <s v="ABEL CHRIST SOMPLEI"/>
    <s v="Q1"/>
    <e v="#REF!"/>
    <e v="#REF!"/>
    <e v="#REF!"/>
  </r>
  <r>
    <s v="401000"/>
    <x v="6"/>
    <s v="FOURNISSEURS"/>
    <s v="OD"/>
    <n v="1034"/>
    <d v="2025-04-02T00:00:00"/>
    <s v="Liaison inter-établissement vers TO "/>
    <m/>
    <e v="#N/A"/>
    <e v="#N/A"/>
    <n v="67980"/>
    <m/>
    <s v="ABEL CHRIST SOMPLEI"/>
    <s v="Q2"/>
    <e v="#REF!"/>
    <e v="#REF!"/>
    <e v="#REF!"/>
  </r>
  <r>
    <s v="401000"/>
    <x v="6"/>
    <s v="FOURNISSEURS"/>
    <s v="OD"/>
    <n v="1034"/>
    <d v="2025-07-04T00:00:00"/>
    <s v="Liaison établissement 401000 ABELC KB"/>
    <m/>
    <e v="#N/A"/>
    <e v="#N/A"/>
    <n v="77020"/>
    <s v="ENTRETIEN MÉNAGER"/>
    <s v="ABEL CHRIST SOMPLEI"/>
    <s v="Q3"/>
    <e v="#REF!"/>
    <e v="#REF!"/>
    <e v="#REF!"/>
  </r>
  <r>
    <s v="401000"/>
    <x v="6"/>
    <s v="FOURNISSEURS"/>
    <s v="OD"/>
    <n v="1037.4000000000001"/>
    <d v="2025-04-25T00:00:00"/>
    <s v="Liaison établissement 401000 DENIOS RO"/>
    <m/>
    <e v="#N/A"/>
    <e v="#N/A"/>
    <n v="70156"/>
    <s v="Invoice Payment by Pili"/>
    <s v="DENIOS"/>
    <s v="Q2"/>
    <e v="#REF!"/>
    <e v="#REF!"/>
    <e v="#REF!"/>
  </r>
  <r>
    <s v="401000"/>
    <x v="6"/>
    <s v="FOURNISSEURS"/>
    <s v="OD"/>
    <n v="1044"/>
    <d v="2025-07-31T00:00:00"/>
    <s v="Liaison inter-établissement vers TO "/>
    <m/>
    <e v="#N/A"/>
    <e v="#N/A"/>
    <n v="81055"/>
    <m/>
    <s v="SNCF"/>
    <s v="Q3"/>
    <e v="#REF!"/>
    <e v="#REF!"/>
    <e v="#REF!"/>
  </r>
  <r>
    <s v="401000"/>
    <x v="6"/>
    <s v="FOURNISSEURS"/>
    <s v="OD"/>
    <n v="1050"/>
    <d v="2025-03-14T00:00:00"/>
    <s v="Liaison inter-établissement vers TO "/>
    <m/>
    <e v="#N/A"/>
    <n v="0"/>
    <n v="63747"/>
    <m/>
    <s v="LOCAPROD EVENEMENT"/>
    <s v="Q1"/>
    <e v="#REF!"/>
    <e v="#REF!"/>
    <e v="#REF!"/>
  </r>
  <r>
    <s v="401000"/>
    <x v="6"/>
    <s v="FOURNISSEURS"/>
    <s v="OD"/>
    <n v="1050"/>
    <d v="2025-06-04T00:00:00"/>
    <s v="Liaison établissement 401000 QWINCY KB"/>
    <s v="Non"/>
    <s v="Non"/>
    <e v="#N/A"/>
    <n v="75531"/>
    <s v="Invoice payment by Pili"/>
    <s v="QWINCY"/>
    <s v="Q2"/>
    <e v="#REF!"/>
    <e v="#REF!"/>
    <e v="#REF!"/>
  </r>
  <r>
    <s v="401000"/>
    <x v="6"/>
    <s v="FOURNISSEURS"/>
    <s v="OD"/>
    <n v="1050"/>
    <d v="2025-11-28T00:00:00"/>
    <s v="Liaison établissement 401000 QWINCY KB"/>
    <s v="Non"/>
    <s v="Non"/>
    <e v="#N/A"/>
    <n v="91191"/>
    <s v="F2025040078"/>
    <s v="QWINCY"/>
    <s v="Q4"/>
    <e v="#REF!"/>
    <e v="#REF!"/>
    <e v="#REF!"/>
  </r>
  <r>
    <s v="401000"/>
    <x v="6"/>
    <s v="FOURNISSEURS"/>
    <s v="OD"/>
    <n v="1056"/>
    <d v="2025-05-14T00:00:00"/>
    <s v="Liaison établissement 401000 ECHAFAUDAGE RO"/>
    <m/>
    <e v="#N/A"/>
    <e v="#N/A"/>
    <n v="72326"/>
    <s v="Invoice Payment by Pili"/>
    <s v="ECHAFAUDAGE"/>
    <s v="Q2"/>
    <e v="#REF!"/>
    <e v="#REF!"/>
    <e v="#REF!"/>
  </r>
  <r>
    <s v="401000"/>
    <x v="6"/>
    <s v="FOURNISSEURS"/>
    <s v="OD"/>
    <n v="1059.31"/>
    <d v="2025-02-28T00:00:00"/>
    <s v="Liaison inter-établissement vers TO "/>
    <m/>
    <e v="#N/A"/>
    <e v="#N/A"/>
    <n v="76219"/>
    <m/>
    <s v="AIR LIQUIDE"/>
    <s v="Q1"/>
    <e v="#REF!"/>
    <e v="#REF!"/>
    <e v="#REF!"/>
  </r>
  <r>
    <s v="401000"/>
    <x v="6"/>
    <s v="FOURNISSEURS"/>
    <s v="OD"/>
    <n v="1061.49"/>
    <d v="2025-04-10T00:00:00"/>
    <s v="Liaison inter-établissement vers TO "/>
    <m/>
    <e v="#N/A"/>
    <e v="#N/A"/>
    <n v="72721"/>
    <m/>
    <s v="Banque Populaire Rive de Paris"/>
    <s v="Q2"/>
    <e v="#REF!"/>
    <e v="#REF!"/>
    <e v="#REF!"/>
  </r>
  <r>
    <s v="401000"/>
    <x v="6"/>
    <s v="FOURNISSEURS"/>
    <s v="OD"/>
    <n v="1068.5999999999999"/>
    <d v="2025-07-31T00:00:00"/>
    <s v="Liaison établissement 401000 BECKER KB"/>
    <s v="Non"/>
    <s v="Oui"/>
    <e v="#N/A"/>
    <n v="79245"/>
    <s v="TRANSMISSION ET ANALYSE DU RAPPORT DE RECHERCHE EUROPÉEN - BREVET BIOPIGMENTS"/>
    <s v="BECKER"/>
    <s v="Q3"/>
    <e v="#REF!"/>
    <e v="#REF!"/>
    <e v="#REF!"/>
  </r>
  <r>
    <s v="401000"/>
    <x v="6"/>
    <s v="FOURNISSEURS"/>
    <s v="OD"/>
    <n v="1080"/>
    <d v="2025-04-29T00:00:00"/>
    <s v="Liaison établissement 401000 WOOSPEAK KB"/>
    <m/>
    <s v="Non"/>
    <e v="#N/A"/>
    <n v="70482"/>
    <s v="Invocie Payment by Pili"/>
    <s v="WOOSPEAK"/>
    <s v="Q2"/>
    <e v="#REF!"/>
    <e v="#REF!"/>
    <e v="#REF!"/>
  </r>
  <r>
    <s v="401000"/>
    <x v="6"/>
    <s v="FOURNISSEURS"/>
    <s v="OD"/>
    <n v="1080"/>
    <d v="2025-05-14T00:00:00"/>
    <s v="Liaison établissement 401000 WOOSPEAK KB"/>
    <m/>
    <s v="Non"/>
    <e v="#N/A"/>
    <n v="72351"/>
    <s v="Invoice Payment by Pili"/>
    <s v="WOOSPEAK"/>
    <s v="Q2"/>
    <e v="#REF!"/>
    <e v="#REF!"/>
    <e v="#REF!"/>
  </r>
  <r>
    <s v="401000"/>
    <x v="6"/>
    <s v="FOURNISSEURS"/>
    <s v="OD"/>
    <n v="1086"/>
    <d v="2025-07-01T00:00:00"/>
    <s v="Liaison établissement 401000 OSIRIS RO"/>
    <s v="Non"/>
    <s v="Non"/>
    <e v="#N/A"/>
    <n v="76839"/>
    <s v="FORMATION 04/2025 : HABILITATION ÉLECTRIQUE BR BC B1V B2V BE ESSAI H"/>
    <s v="OSIRIS"/>
    <s v="Q3"/>
    <e v="#REF!"/>
    <e v="#REF!"/>
    <e v="#REF!"/>
  </r>
  <r>
    <s v="401000"/>
    <x v="6"/>
    <s v="FOURNISSEURS"/>
    <s v="OD"/>
    <n v="1104.5"/>
    <d v="2025-02-05T00:00:00"/>
    <s v="Liaison inter-établissement vers TO "/>
    <m/>
    <e v="#N/A"/>
    <e v="#N/A"/>
    <n v="63483"/>
    <m/>
    <s v="ABEL CHRIST SOMPLEI"/>
    <s v="Q1"/>
    <e v="#REF!"/>
    <e v="#REF!"/>
    <e v="#REF!"/>
  </r>
  <r>
    <s v="401000"/>
    <x v="6"/>
    <s v="FOURNISSEURS"/>
    <s v="OD"/>
    <n v="1104.5"/>
    <d v="2025-06-02T00:00:00"/>
    <s v="Liaison établissement 401000 ABELC KB"/>
    <m/>
    <e v="#N/A"/>
    <e v="#N/A"/>
    <n v="75267"/>
    <s v="Invoice Payment By Pili"/>
    <s v="ABEL CHRIST SOMPLEI"/>
    <s v="Q2"/>
    <e v="#REF!"/>
    <e v="#REF!"/>
    <e v="#REF!"/>
  </r>
  <r>
    <s v="401000"/>
    <x v="6"/>
    <s v="FOURNISSEURS"/>
    <s v="OD"/>
    <n v="1116"/>
    <d v="2025-01-30T00:00:00"/>
    <s v="Liaison inter-établissement vers TO "/>
    <m/>
    <e v="#N/A"/>
    <e v="#N/A"/>
    <n v="63707"/>
    <m/>
    <s v="AGENCE DIVA"/>
    <s v="Q1"/>
    <e v="#REF!"/>
    <e v="#REF!"/>
    <e v="#REF!"/>
  </r>
  <r>
    <s v="401000"/>
    <x v="6"/>
    <s v="FOURNISSEURS"/>
    <s v="OD"/>
    <n v="1116"/>
    <d v="2025-03-03T00:00:00"/>
    <s v="Liaison inter-établissement vers TO "/>
    <m/>
    <e v="#N/A"/>
    <e v="#N/A"/>
    <n v="63703"/>
    <m/>
    <s v="AGENCE DIVA"/>
    <s v="Q1"/>
    <e v="#REF!"/>
    <e v="#REF!"/>
    <e v="#REF!"/>
  </r>
  <r>
    <s v="401000"/>
    <x v="6"/>
    <s v="FOURNISSEURS"/>
    <s v="OD"/>
    <n v="1116"/>
    <d v="2025-04-18T00:00:00"/>
    <s v="Liaison établissement 401000 DIVA KB"/>
    <m/>
    <e v="#N/A"/>
    <e v="#N/A"/>
    <n v="68167"/>
    <s v="Invoice Payment by Pili"/>
    <s v="AGENCE DIVA"/>
    <s v="Q2"/>
    <e v="#REF!"/>
    <e v="#REF!"/>
    <e v="#REF!"/>
  </r>
  <r>
    <s v="401000"/>
    <x v="6"/>
    <s v="FOURNISSEURS"/>
    <s v="OD"/>
    <n v="1116"/>
    <d v="2025-06-02T00:00:00"/>
    <s v="Liaison établissement 401000 DIVA KB"/>
    <m/>
    <e v="#N/A"/>
    <e v="#N/A"/>
    <n v="75262"/>
    <s v="Invoice Payment By Pili"/>
    <s v="AGENCE DIVA"/>
    <s v="Q2"/>
    <e v="#REF!"/>
    <e v="#REF!"/>
    <e v="#REF!"/>
  </r>
  <r>
    <s v="401000"/>
    <x v="6"/>
    <s v="FOURNISSEURS"/>
    <s v="OD"/>
    <n v="1116"/>
    <d v="2025-08-08T00:00:00"/>
    <s v="Liaison établissement 401000 DIVA KB"/>
    <m/>
    <e v="#N/A"/>
    <e v="#N/A"/>
    <n v="80744"/>
    <s v="PRESTATION ASSISTANT(E) OFFICE MANAGER"/>
    <s v="AGENCE DIVA"/>
    <s v="Q3"/>
    <e v="#REF!"/>
    <e v="#REF!"/>
    <e v="#REF!"/>
  </r>
  <r>
    <s v="401000"/>
    <x v="6"/>
    <s v="FOURNISSEURS"/>
    <s v="OD"/>
    <n v="1116"/>
    <d v="2025-08-21T00:00:00"/>
    <s v="Liaison établissement 401000 DIVA KB"/>
    <m/>
    <e v="#N/A"/>
    <e v="#N/A"/>
    <n v="81446"/>
    <s v="PRESTATION ASSISTANT(E) OFFICE MANAGER"/>
    <s v="AGENCE DIVA"/>
    <s v="Q3"/>
    <e v="#REF!"/>
    <e v="#REF!"/>
    <e v="#REF!"/>
  </r>
  <r>
    <s v="401000"/>
    <x v="6"/>
    <s v="FOURNISSEURS"/>
    <s v="OD"/>
    <n v="1116"/>
    <d v="2025-09-26T00:00:00"/>
    <s v="Liaison établissement 401000 DIVA KB"/>
    <m/>
    <e v="#N/A"/>
    <e v="#N/A"/>
    <n v="82503"/>
    <s v="INVOICE PAYMENT BY PILI"/>
    <s v="AGENCE DIVA"/>
    <s v="Q3"/>
    <e v="#REF!"/>
    <e v="#REF!"/>
    <e v="#REF!"/>
  </r>
  <r>
    <s v="401000"/>
    <x v="6"/>
    <s v="FOURNISSEURS"/>
    <s v="OD"/>
    <n v="1116"/>
    <d v="2025-11-04T00:00:00"/>
    <s v="Liaison établissement 401000 DIVA KB"/>
    <m/>
    <e v="#N/A"/>
    <e v="#N/A"/>
    <n v="88042"/>
    <s v="PRESTATION ASSISTANT(E) OFFICE MANAGER"/>
    <s v="AGENCE DIVA"/>
    <s v="Q4"/>
    <e v="#REF!"/>
    <e v="#REF!"/>
    <e v="#REF!"/>
  </r>
  <r>
    <s v="401000"/>
    <x v="6"/>
    <s v="FOURNISSEURS"/>
    <s v="OD"/>
    <n v="1116"/>
    <d v="2025-11-28T00:00:00"/>
    <s v="Liaison établissement 401000 DIVA KB"/>
    <m/>
    <e v="#N/A"/>
    <e v="#N/A"/>
    <n v="91216"/>
    <s v="F-25100652"/>
    <s v="AGENCE DIVA"/>
    <s v="Q4"/>
    <e v="#REF!"/>
    <e v="#REF!"/>
    <e v="#REF!"/>
  </r>
  <r>
    <s v="401000"/>
    <x v="6"/>
    <s v="FOURNISSEURS"/>
    <s v="OD"/>
    <n v="1116"/>
    <d v="2025-12-30T00:00:00"/>
    <s v="Liaison établissement 401000 DIVA KB"/>
    <m/>
    <e v="#N/A"/>
    <e v="#N/A"/>
    <n v="93812"/>
    <s v="F-25110721"/>
    <s v="AGENCE DIVA"/>
    <s v="Q4"/>
    <e v="#REF!"/>
    <e v="#REF!"/>
    <e v="#REF!"/>
  </r>
  <r>
    <s v="401000"/>
    <x v="6"/>
    <s v="FOURNISSEURS"/>
    <s v="OD"/>
    <n v="1129.2"/>
    <d v="2025-03-03T00:00:00"/>
    <s v="Liaison inter-établissement vers TO "/>
    <m/>
    <e v="#N/A"/>
    <e v="#N/A"/>
    <n v="68048"/>
    <m/>
    <s v="GAZ DETECT"/>
    <s v="Q1"/>
    <e v="#REF!"/>
    <e v="#REF!"/>
    <e v="#REF!"/>
  </r>
  <r>
    <s v="401000"/>
    <x v="6"/>
    <s v="FOURNISSEURS"/>
    <s v="OD"/>
    <n v="1131.31"/>
    <d v="2025-05-19T00:00:00"/>
    <s v="Liaison inter-établissement vers TO "/>
    <m/>
    <e v="#N/A"/>
    <e v="#N/A"/>
    <n v="78830"/>
    <m/>
    <s v="ENGIE"/>
    <s v="Q2"/>
    <e v="#REF!"/>
    <e v="#REF!"/>
    <e v="#REF!"/>
  </r>
  <r>
    <s v="401000"/>
    <x v="6"/>
    <s v="FOURNISSEURS"/>
    <s v="OD"/>
    <n v="1158"/>
    <d v="2025-08-21T00:00:00"/>
    <s v="Liaison établissement 401000 CONTROLAIR KB"/>
    <m/>
    <e v="#N/A"/>
    <e v="#N/A"/>
    <n v="81426"/>
    <s v="CONTRÔLE ANNUEL DES SORBONNES ET DES ARMOIRES"/>
    <s v="CONTROL'AIR"/>
    <s v="Q3"/>
    <e v="#REF!"/>
    <e v="#REF!"/>
    <e v="#REF!"/>
  </r>
  <r>
    <s v="401000"/>
    <x v="6"/>
    <s v="FOURNISSEURS"/>
    <s v="OD"/>
    <n v="1168.02"/>
    <d v="2025-02-10T00:00:00"/>
    <s v="Liaison inter-établissement vers TO "/>
    <m/>
    <e v="#N/A"/>
    <e v="#N/A"/>
    <n v="63659"/>
    <m/>
    <s v="EXELL SECURITE"/>
    <s v="Q1"/>
    <e v="#REF!"/>
    <e v="#REF!"/>
    <e v="#REF!"/>
  </r>
  <r>
    <s v="401000"/>
    <x v="6"/>
    <s v="FOURNISSEURS"/>
    <s v="OD"/>
    <n v="1170.1600000000001"/>
    <d v="2025-11-17T00:00:00"/>
    <s v="Liaison inter-établissement vers TO "/>
    <m/>
    <e v="#N/A"/>
    <e v="#N/A"/>
    <n v="90169"/>
    <m/>
    <s v="ENGIE"/>
    <s v="Q4"/>
    <e v="#REF!"/>
    <e v="#REF!"/>
    <e v="#REF!"/>
  </r>
  <r>
    <s v="401000"/>
    <x v="6"/>
    <s v="FOURNISSEURS"/>
    <s v="OD"/>
    <n v="1173.5999999999999"/>
    <d v="2025-08-21T00:00:00"/>
    <s v="Liaison établissement 401000 BECKER KB"/>
    <s v="Non"/>
    <s v="Oui"/>
    <e v="#N/A"/>
    <n v="81485"/>
    <s v="RÉPONSE À LA NOTIFICATION DE DEMANDE DE BREVET EUROPÉEN - BREVET PHOENIX"/>
    <s v="BECKER"/>
    <s v="Q3"/>
    <e v="#REF!"/>
    <e v="#REF!"/>
    <e v="#REF!"/>
  </r>
  <r>
    <s v="401000"/>
    <x v="6"/>
    <s v="FOURNISSEURS"/>
    <s v="OD"/>
    <n v="1176"/>
    <d v="2025-06-02T00:00:00"/>
    <s v="Liaison établissement 401000 AFCIC KB"/>
    <m/>
    <s v="Non"/>
    <n v="0"/>
    <n v="75221"/>
    <s v="Invoice Payment By Pili"/>
    <s v="ASS FORMATION CONTINUE INDUS CHIMIQUES"/>
    <s v="Q2"/>
    <e v="#REF!"/>
    <e v="#REF!"/>
    <e v="#REF!"/>
  </r>
  <r>
    <s v="401000"/>
    <x v="6"/>
    <s v="FOURNISSEURS"/>
    <s v="OD"/>
    <n v="1188"/>
    <d v="2025-02-18T00:00:00"/>
    <s v="Liaison inter-établissement vers TO "/>
    <m/>
    <s v="Non"/>
    <e v="#N/A"/>
    <n v="66540"/>
    <m/>
    <s v="AXE GESCOM"/>
    <s v="Q1"/>
    <e v="#REF!"/>
    <e v="#REF!"/>
    <e v="#REF!"/>
  </r>
  <r>
    <s v="401000"/>
    <x v="6"/>
    <s v="FOURNISSEURS"/>
    <s v="OD"/>
    <n v="1188"/>
    <d v="2025-06-02T00:00:00"/>
    <s v="Liaison établissement 401000 AXEINFO KB"/>
    <m/>
    <s v="Non"/>
    <e v="#N/A"/>
    <n v="75292"/>
    <s v="Invoice Payment By Pili"/>
    <s v="AXE GESCOM"/>
    <s v="Q2"/>
    <e v="#REF!"/>
    <e v="#REF!"/>
    <e v="#REF!"/>
  </r>
  <r>
    <s v="401000"/>
    <x v="6"/>
    <s v="FOURNISSEURS"/>
    <s v="OD"/>
    <n v="1188"/>
    <d v="2025-08-21T00:00:00"/>
    <s v="Liaison établissement 401000 AXEINFO KB"/>
    <m/>
    <s v="Non"/>
    <e v="#N/A"/>
    <n v="81380"/>
    <s v="FORMATION À DISTANCE SAGE"/>
    <s v="AXE GESCOM"/>
    <s v="Q3"/>
    <e v="#REF!"/>
    <e v="#REF!"/>
    <e v="#REF!"/>
  </r>
  <r>
    <s v="401000"/>
    <x v="6"/>
    <s v="FOURNISSEURS"/>
    <s v="OD"/>
    <n v="1188"/>
    <d v="2025-08-21T00:00:00"/>
    <s v="Liaison établissement 401000 AXEINFO KB"/>
    <m/>
    <s v="Non"/>
    <e v="#N/A"/>
    <n v="81385"/>
    <s v="FORMATION À DISTANCE SAGE G. ZIANI"/>
    <s v="AXE GESCOM"/>
    <s v="Q3"/>
    <e v="#REF!"/>
    <e v="#REF!"/>
    <e v="#REF!"/>
  </r>
  <r>
    <s v="401000"/>
    <x v="6"/>
    <s v="FOURNISSEURS"/>
    <s v="OD"/>
    <n v="1200"/>
    <d v="2025-03-07T00:00:00"/>
    <s v="Liaison inter-établissement vers TO "/>
    <s v="Non"/>
    <s v="Non"/>
    <e v="#N/A"/>
    <n v="63635"/>
    <m/>
    <s v="GARRIGUE CONSULTING"/>
    <s v="Q1"/>
    <e v="#REF!"/>
    <e v="#REF!"/>
    <e v="#REF!"/>
  </r>
  <r>
    <s v="401000"/>
    <x v="6"/>
    <s v="FOURNISSEURS"/>
    <s v="OD"/>
    <n v="1200"/>
    <d v="2025-04-25T00:00:00"/>
    <s v="Liaison établissement 401000 GARRIGUE KB"/>
    <s v="Non"/>
    <s v="Non"/>
    <e v="#N/A"/>
    <n v="70171"/>
    <s v="Invoice Payment by Pili"/>
    <s v="GARRIGUE CONSULTING"/>
    <s v="Q2"/>
    <e v="#REF!"/>
    <e v="#REF!"/>
    <e v="#REF!"/>
  </r>
  <r>
    <s v="401000"/>
    <x v="6"/>
    <s v="FOURNISSEURS"/>
    <s v="OD"/>
    <n v="1200"/>
    <d v="2025-06-16T00:00:00"/>
    <s v="Liaison établissement 401000 GARRIGUE KB"/>
    <s v="Non"/>
    <s v="Non"/>
    <e v="#N/A"/>
    <n v="76069"/>
    <s v="FOFAIT 1 BOARD -13/05/2025 - PILI BOARD SERIE B"/>
    <s v="GARRIGUE CONSULTING"/>
    <s v="Q2"/>
    <e v="#REF!"/>
    <e v="#REF!"/>
    <e v="#REF!"/>
  </r>
  <r>
    <s v="401000"/>
    <x v="6"/>
    <s v="FOURNISSEURS"/>
    <s v="OD"/>
    <n v="1200"/>
    <d v="2025-08-21T00:00:00"/>
    <s v="Liaison établissement 401000 GARRIGUE KB"/>
    <s v="Non"/>
    <s v="Non"/>
    <e v="#N/A"/>
    <n v="81451"/>
    <s v="FOFAIT 1 BOARD -10/06/2025 - PILI BOARD"/>
    <s v="GARRIGUE CONSULTING"/>
    <s v="Q3"/>
    <e v="#REF!"/>
    <e v="#REF!"/>
    <e v="#REF!"/>
  </r>
  <r>
    <s v="401000"/>
    <x v="6"/>
    <s v="FOURNISSEURS"/>
    <s v="OD"/>
    <n v="1200"/>
    <d v="2025-08-22T00:00:00"/>
    <s v="Liaison établissement 401000 OSIRIS RO"/>
    <s v="Non"/>
    <s v="Non"/>
    <e v="#N/A"/>
    <n v="81575"/>
    <s v="LOYER ANNUEL OSIRIS"/>
    <s v="OSIRIS"/>
    <s v="Q3"/>
    <e v="#REF!"/>
    <e v="#REF!"/>
    <e v="#REF!"/>
  </r>
  <r>
    <s v="401000"/>
    <x v="6"/>
    <s v="FOURNISSEURS"/>
    <s v="OD"/>
    <n v="1200"/>
    <d v="2025-11-04T00:00:00"/>
    <s v="Liaison établissement 401000 HELLITAX LY"/>
    <s v="Non"/>
    <s v="Non"/>
    <e v="#N/A"/>
    <n v="88032"/>
    <s v="BUSINESS ADVISORY BOARD - E PETIOT."/>
    <s v="HELLITAX"/>
    <s v="Q4"/>
    <e v="#REF!"/>
    <e v="#REF!"/>
    <e v="#REF!"/>
  </r>
  <r>
    <s v="401000"/>
    <x v="6"/>
    <s v="FOURNISSEURS"/>
    <s v="OD"/>
    <n v="1200"/>
    <d v="2025-12-11T00:00:00"/>
    <s v="Liaison établissement 401000 GARRIGUE KB"/>
    <s v="Non"/>
    <s v="Non"/>
    <e v="#N/A"/>
    <n v="92088"/>
    <s v="20251001-0001"/>
    <s v="GARRIGUE CONSULTING"/>
    <s v="Q4"/>
    <e v="#REF!"/>
    <e v="#REF!"/>
    <e v="#REF!"/>
  </r>
  <r>
    <s v="401000"/>
    <x v="6"/>
    <s v="FOURNISSEURS"/>
    <s v="OD"/>
    <n v="1200"/>
    <d v="2025-12-11T00:00:00"/>
    <s v="Liaison établissement 401000 HELLITAX LY"/>
    <s v="Non"/>
    <s v="Non"/>
    <e v="#N/A"/>
    <n v="92098"/>
    <s v="F25X0003"/>
    <s v="HELLITAX"/>
    <s v="Q4"/>
    <e v="#REF!"/>
    <e v="#REF!"/>
    <e v="#REF!"/>
  </r>
  <r>
    <s v="401000"/>
    <x v="6"/>
    <s v="FOURNISSEURS"/>
    <s v="OD"/>
    <n v="1212.67"/>
    <d v="2025-10-31T00:00:00"/>
    <s v="Liaison inter-établissement vers TO "/>
    <m/>
    <e v="#N/A"/>
    <e v="#N/A"/>
    <n v="87608"/>
    <m/>
    <s v="AIR LIQUIDE"/>
    <s v="Q4"/>
    <e v="#REF!"/>
    <e v="#REF!"/>
    <e v="#REF!"/>
  </r>
  <r>
    <s v="401000"/>
    <x v="6"/>
    <s v="FOURNISSEURS"/>
    <s v="OD"/>
    <n v="1222"/>
    <d v="2025-04-25T00:00:00"/>
    <s v="Liaison établissement 401000 ABELC KB"/>
    <m/>
    <e v="#N/A"/>
    <e v="#N/A"/>
    <n v="70121"/>
    <s v="Invoice Payment by Pili"/>
    <s v="ABEL CHRIST SOMPLEI"/>
    <s v="Q2"/>
    <e v="#REF!"/>
    <e v="#REF!"/>
    <e v="#REF!"/>
  </r>
  <r>
    <s v="401000"/>
    <x v="6"/>
    <s v="FOURNISSEURS"/>
    <s v="OD"/>
    <n v="1229.72"/>
    <d v="2025-02-18T00:00:00"/>
    <s v="Liaison inter-établissement vers TO "/>
    <m/>
    <e v="#N/A"/>
    <e v="#N/A"/>
    <n v="74956"/>
    <m/>
    <s v="ENGIE"/>
    <s v="Q1"/>
    <e v="#REF!"/>
    <e v="#REF!"/>
    <e v="#REF!"/>
  </r>
  <r>
    <s v="401000"/>
    <x v="6"/>
    <s v="FOURNISSEURS"/>
    <s v="OD"/>
    <n v="1236.8599999999999"/>
    <d v="2025-02-20T00:00:00"/>
    <s v="Liaison inter-établissement vers TO "/>
    <m/>
    <e v="#N/A"/>
    <e v="#N/A"/>
    <n v="63823"/>
    <m/>
    <s v="RYTHMES ET SONS"/>
    <s v="Q1"/>
    <e v="#REF!"/>
    <e v="#REF!"/>
    <e v="#REF!"/>
  </r>
  <r>
    <s v="401000"/>
    <x v="6"/>
    <s v="FOURNISSEURS"/>
    <s v="OD"/>
    <n v="1243.02"/>
    <d v="2025-03-03T00:00:00"/>
    <s v="Liaison inter-établissement vers TO "/>
    <m/>
    <e v="#N/A"/>
    <e v="#N/A"/>
    <n v="68008"/>
    <m/>
    <s v="AIR FRANCE"/>
    <s v="Q1"/>
    <e v="#REF!"/>
    <e v="#REF!"/>
    <e v="#REF!"/>
  </r>
  <r>
    <s v="401000"/>
    <x v="6"/>
    <s v="FOURNISSEURS"/>
    <s v="OD"/>
    <n v="1265.82"/>
    <d v="2025-03-13T00:00:00"/>
    <s v="Liaison inter-établissement vers TO "/>
    <m/>
    <s v="Non"/>
    <e v="#N/A"/>
    <n v="71905"/>
    <m/>
    <s v="DIVERS"/>
    <s v="Q1"/>
    <e v="#REF!"/>
    <e v="#REF!"/>
    <e v="#REF!"/>
  </r>
  <r>
    <s v="401000"/>
    <x v="6"/>
    <s v="FOURNISSEURS"/>
    <s v="OD"/>
    <n v="1268.52"/>
    <d v="2025-05-07T00:00:00"/>
    <s v="Liaison établissement 401000 OPTIMUS RO"/>
    <m/>
    <e v="#N/A"/>
    <e v="#N/A"/>
    <n v="71795"/>
    <s v="TURBINE RUSHTON - KL - PROJET KEENY ET AUTRES PROJETS"/>
    <s v="OPTIMUS"/>
    <s v="Q2"/>
    <e v="#REF!"/>
    <e v="#REF!"/>
    <e v="#REF!"/>
  </r>
  <r>
    <s v="401000"/>
    <x v="6"/>
    <s v="FOURNISSEURS"/>
    <s v="OD"/>
    <n v="1288.3599999999999"/>
    <d v="2025-09-10T00:00:00"/>
    <s v="Liaison inter-établissement vers TO "/>
    <m/>
    <e v="#N/A"/>
    <e v="#N/A"/>
    <n v="82109"/>
    <m/>
    <s v="REGIE CONSEIL"/>
    <s v="Q3"/>
    <e v="#REF!"/>
    <e v="#REF!"/>
    <e v="#REF!"/>
  </r>
  <r>
    <s v="401000"/>
    <x v="6"/>
    <s v="FOURNISSEURS"/>
    <s v="OD"/>
    <n v="1288.3599999999999"/>
    <d v="2025-11-10T00:00:00"/>
    <s v="Liaison inter-établissement vers TO "/>
    <m/>
    <e v="#N/A"/>
    <e v="#N/A"/>
    <n v="89542"/>
    <m/>
    <s v="REGIE CONSEIL"/>
    <s v="Q4"/>
    <e v="#REF!"/>
    <e v="#REF!"/>
    <e v="#REF!"/>
  </r>
  <r>
    <s v="401000"/>
    <x v="6"/>
    <s v="FOURNISSEURS"/>
    <s v="OD"/>
    <n v="1292.5"/>
    <d v="2025-07-31T00:00:00"/>
    <s v="Liaison établissement 401000 ABELC KB"/>
    <m/>
    <e v="#N/A"/>
    <e v="#N/A"/>
    <n v="79375"/>
    <s v="ENTRETIEN MÉNAGER"/>
    <s v="ABEL CHRIST SOMPLEI"/>
    <s v="Q3"/>
    <e v="#REF!"/>
    <e v="#REF!"/>
    <e v="#REF!"/>
  </r>
  <r>
    <s v="401000"/>
    <x v="6"/>
    <s v="FOURNISSEURS"/>
    <s v="OD"/>
    <n v="1300"/>
    <d v="2025-06-04T00:00:00"/>
    <s v="Liaison établissement 401000 CHEM KB"/>
    <s v="Non"/>
    <s v="Non"/>
    <e v="#N/A"/>
    <n v="75521"/>
    <s v="Invoice payment by Pili"/>
    <s v="CHEM"/>
    <s v="Q2"/>
    <e v="#REF!"/>
    <e v="#REF!"/>
    <e v="#REF!"/>
  </r>
  <r>
    <s v="401000"/>
    <x v="6"/>
    <s v="FOURNISSEURS"/>
    <s v="OD"/>
    <n v="1300"/>
    <d v="2025-12-30T00:00:00"/>
    <s v="Liaison établissement 401000 CHEM KB"/>
    <s v="Non"/>
    <s v="Non"/>
    <e v="#N/A"/>
    <n v="93754"/>
    <s v="2025/1219"/>
    <s v="CHEM"/>
    <s v="Q4"/>
    <e v="#REF!"/>
    <e v="#REF!"/>
    <e v="#REF!"/>
  </r>
  <r>
    <s v="401000"/>
    <x v="6"/>
    <s v="FOURNISSEURS"/>
    <s v="OD"/>
    <n v="1305.24"/>
    <d v="2025-11-04T00:00:00"/>
    <s v="Liaison établissement 401000 EURISOTOP KB"/>
    <m/>
    <e v="#N/A"/>
    <e v="#N/A"/>
    <n v="88027"/>
    <s v="SOLVANTS DEUTÉRÉS POUR ANALYSE RMN"/>
    <s v="EURISOTOP"/>
    <s v="Q4"/>
    <e v="#REF!"/>
    <e v="#REF!"/>
    <e v="#REF!"/>
  </r>
  <r>
    <s v="401000"/>
    <x v="6"/>
    <s v="FOURNISSEURS"/>
    <s v="OD"/>
    <n v="1317.04"/>
    <d v="2025-07-16T00:00:00"/>
    <s v="Liaison inter-établissement vers TO "/>
    <m/>
    <e v="#N/A"/>
    <e v="#N/A"/>
    <n v="78814"/>
    <m/>
    <s v="ENGIE"/>
    <s v="Q3"/>
    <e v="#REF!"/>
    <e v="#REF!"/>
    <e v="#REF!"/>
  </r>
  <r>
    <s v="401000"/>
    <x v="6"/>
    <s v="FOURNISSEURS"/>
    <s v="OD"/>
    <n v="1320.72"/>
    <d v="2025-07-22T00:00:00"/>
    <s v="Liaison établissement 401000 OPTIMUS RO"/>
    <m/>
    <e v="#N/A"/>
    <e v="#N/A"/>
    <n v="78280"/>
    <s v="ACCESSOIRES MAINTENANCE KL"/>
    <s v="OPTIMUS"/>
    <s v="Q3"/>
    <e v="#REF!"/>
    <e v="#REF!"/>
    <e v="#REF!"/>
  </r>
  <r>
    <s v="401000"/>
    <x v="6"/>
    <s v="FOURNISSEURS"/>
    <s v="OD"/>
    <n v="1328.88"/>
    <d v="2025-11-04T00:00:00"/>
    <s v="Liaison établissement 401000 FENWICK-LINDE RO"/>
    <m/>
    <e v="#N/A"/>
    <e v="#N/A"/>
    <n v="88010"/>
    <s v="MAINTENANCE GERBEUR ÉLECTRIQUE : CHANGEMENT CARTE DE COMMANDE ÉLECTRONIQUE"/>
    <s v="FENWICK-LINDE"/>
    <s v="Q4"/>
    <e v="#REF!"/>
    <e v="#REF!"/>
    <e v="#REF!"/>
  </r>
  <r>
    <s v="401000"/>
    <x v="6"/>
    <s v="FOURNISSEURS"/>
    <s v="OD"/>
    <n v="1330.62"/>
    <d v="2025-01-07T00:00:00"/>
    <s v="Liaison inter-établissement vers TO "/>
    <m/>
    <e v="#N/A"/>
    <e v="#N/A"/>
    <n v="63811"/>
    <m/>
    <s v="REGIE CONSEIL"/>
    <s v="Q1"/>
    <e v="#REF!"/>
    <e v="#REF!"/>
    <e v="#REF!"/>
  </r>
  <r>
    <s v="401000"/>
    <x v="6"/>
    <s v="FOURNISSEURS"/>
    <s v="OD"/>
    <n v="1335.65"/>
    <d v="2025-11-21T00:00:00"/>
    <s v="Liaison inter-établissement vers TO "/>
    <m/>
    <s v="Non"/>
    <n v="0"/>
    <n v="90603"/>
    <m/>
    <s v="SERVICE ACTION SANTE"/>
    <s v="Q4"/>
    <e v="#REF!"/>
    <e v="#REF!"/>
    <e v="#REF!"/>
  </r>
  <r>
    <s v="401000"/>
    <x v="6"/>
    <s v="FOURNISSEURS"/>
    <s v="OD"/>
    <n v="1335.78"/>
    <d v="2025-11-07T00:00:00"/>
    <s v="Liaison établissement 401000 VWR KB"/>
    <m/>
    <e v="#N/A"/>
    <e v="#N/A"/>
    <n v="89422"/>
    <s v="4067821369"/>
    <s v="VWR AVANTOR"/>
    <s v="Q4"/>
    <e v="#REF!"/>
    <e v="#REF!"/>
    <e v="#REF!"/>
  </r>
  <r>
    <s v="401000"/>
    <x v="6"/>
    <s v="FOURNISSEURS"/>
    <s v="OD"/>
    <n v="1340.96"/>
    <d v="2025-03-06T00:00:00"/>
    <s v="Liaison inter-établissement vers KB "/>
    <m/>
    <e v="#N/A"/>
    <e v="#N/A"/>
    <n v="64329"/>
    <m/>
    <s v="REGIE CONSEIL"/>
    <s v="Q1"/>
    <e v="#REF!"/>
    <e v="#REF!"/>
    <e v="#REF!"/>
  </r>
  <r>
    <s v="401000"/>
    <x v="6"/>
    <s v="FOURNISSEURS"/>
    <s v="OD"/>
    <n v="1340.96"/>
    <d v="2025-03-14T00:00:00"/>
    <s v="Liaison inter-établissement vers TO "/>
    <m/>
    <e v="#N/A"/>
    <e v="#N/A"/>
    <n v="69993"/>
    <m/>
    <s v="REGIE CONSEIL"/>
    <s v="Q1"/>
    <e v="#REF!"/>
    <e v="#REF!"/>
    <e v="#REF!"/>
  </r>
  <r>
    <s v="401000"/>
    <x v="6"/>
    <s v="FOURNISSEURS"/>
    <s v="OD"/>
    <n v="1340.96"/>
    <d v="2025-05-10T00:00:00"/>
    <s v="Liaison inter-établissement vers TO "/>
    <m/>
    <e v="#N/A"/>
    <e v="#N/A"/>
    <n v="72922"/>
    <m/>
    <s v="REGIE CONSEIL"/>
    <s v="Q2"/>
    <e v="#REF!"/>
    <e v="#REF!"/>
    <e v="#REF!"/>
  </r>
  <r>
    <s v="401000"/>
    <x v="6"/>
    <s v="FOURNISSEURS"/>
    <s v="OD"/>
    <n v="1340.96"/>
    <d v="2025-06-10T00:00:00"/>
    <s v="Liaison inter-établissement vers TO "/>
    <m/>
    <e v="#N/A"/>
    <e v="#N/A"/>
    <n v="77359"/>
    <m/>
    <s v="REGIE CONSEIL"/>
    <s v="Q2"/>
    <e v="#REF!"/>
    <e v="#REF!"/>
    <e v="#REF!"/>
  </r>
  <r>
    <s v="401000"/>
    <x v="6"/>
    <s v="FOURNISSEURS"/>
    <s v="OD"/>
    <n v="1340.96"/>
    <d v="2025-07-11T00:00:00"/>
    <s v="Liaison inter-établissement vers TO "/>
    <m/>
    <e v="#N/A"/>
    <e v="#N/A"/>
    <n v="78866"/>
    <m/>
    <s v="REGIE CONSEIL"/>
    <s v="Q3"/>
    <e v="#REF!"/>
    <e v="#REF!"/>
    <e v="#REF!"/>
  </r>
  <r>
    <s v="401000"/>
    <x v="6"/>
    <s v="FOURNISSEURS"/>
    <s v="OD"/>
    <n v="1348.8"/>
    <d v="2025-02-10T00:00:00"/>
    <s v="Liaison inter-établissement vers TO "/>
    <m/>
    <s v="Non"/>
    <s v="Oui"/>
    <n v="63563"/>
    <m/>
    <s v="AXELERA"/>
    <s v="Q1"/>
    <e v="#REF!"/>
    <e v="#REF!"/>
    <e v="#REF!"/>
  </r>
  <r>
    <s v="401000"/>
    <x v="6"/>
    <s v="FOURNISSEURS"/>
    <s v="OD"/>
    <n v="1356.48"/>
    <d v="2025-02-15T00:00:00"/>
    <s v="Liaison inter-établissement vers TO "/>
    <m/>
    <e v="#N/A"/>
    <e v="#N/A"/>
    <n v="64317"/>
    <m/>
    <s v="MANUTAN"/>
    <s v="Q1"/>
    <e v="#REF!"/>
    <e v="#REF!"/>
    <e v="#REF!"/>
  </r>
  <r>
    <s v="401000"/>
    <x v="6"/>
    <s v="FOURNISSEURS"/>
    <s v="OD"/>
    <n v="1370.76"/>
    <d v="2025-08-21T00:00:00"/>
    <s v="Liaison établissement 401000 OPTIMUS RO"/>
    <m/>
    <e v="#N/A"/>
    <e v="#N/A"/>
    <n v="81456"/>
    <s v="COUVERCLE DE RÉACTEUR 10L"/>
    <s v="OPTIMUS"/>
    <s v="Q3"/>
    <e v="#REF!"/>
    <e v="#REF!"/>
    <e v="#REF!"/>
  </r>
  <r>
    <s v="401000"/>
    <x v="6"/>
    <s v="FOURNISSEURS"/>
    <s v="OD"/>
    <n v="1374.9"/>
    <d v="2025-08-21T00:00:00"/>
    <s v="Liaison établissement 401000 BECKER KB"/>
    <s v="Non"/>
    <s v="Oui"/>
    <e v="#N/A"/>
    <n v="81390"/>
    <s v="PRÉSENTATION DE LA REQUÊTE EN EXAMEN - PHASES NATIONALES CHINE - BREVET PHOENIX"/>
    <s v="BECKER"/>
    <s v="Q3"/>
    <e v="#REF!"/>
    <e v="#REF!"/>
    <e v="#REF!"/>
  </r>
  <r>
    <s v="401000"/>
    <x v="6"/>
    <s v="FOURNISSEURS"/>
    <s v="OD"/>
    <n v="1375.17"/>
    <d v="2025-06-30T00:00:00"/>
    <s v="INTERETS CREDITEURS Q2 2025"/>
    <m/>
    <e v="#N/A"/>
    <e v="#N/A"/>
    <n v="82944"/>
    <m/>
    <s v="Banque Populaire Rive de Paris"/>
    <s v="Q2"/>
    <e v="#REF!"/>
    <e v="#REF!"/>
    <e v="#REF!"/>
  </r>
  <r>
    <s v="401000"/>
    <x v="6"/>
    <s v="FOURNISSEURS"/>
    <s v="OD"/>
    <n v="1389.3"/>
    <d v="2025-10-10T00:00:00"/>
    <s v="Liaison inter-établissement vers TO "/>
    <m/>
    <e v="#N/A"/>
    <e v="#N/A"/>
    <n v="86976"/>
    <m/>
    <s v="REGIE CONSEIL"/>
    <s v="Q4"/>
    <e v="#REF!"/>
    <e v="#REF!"/>
    <e v="#REF!"/>
  </r>
  <r>
    <s v="401000"/>
    <x v="6"/>
    <s v="FOURNISSEURS"/>
    <s v="OD"/>
    <n v="1404"/>
    <d v="2025-08-21T00:00:00"/>
    <s v="Liaison établissement 401000 ROUSSELET RO"/>
    <s v="Non"/>
    <e v="#N/A"/>
    <e v="#N/A"/>
    <n v="81441"/>
    <s v="ESSAI ROUSSELET (APRÈS LYSE SOUDE)"/>
    <s v="ROUSSELET CENTRIFUGATION"/>
    <s v="Q3"/>
    <e v="#REF!"/>
    <e v="#REF!"/>
    <e v="#REF!"/>
  </r>
  <r>
    <s v="401000"/>
    <x v="6"/>
    <s v="FOURNISSEURS"/>
    <s v="OD"/>
    <n v="1408.06"/>
    <d v="2025-04-14T00:00:00"/>
    <s v="Liaison inter-établissement vers TO "/>
    <m/>
    <e v="#N/A"/>
    <e v="#N/A"/>
    <n v="72782"/>
    <m/>
    <s v="ENGIE"/>
    <s v="Q2"/>
    <e v="#REF!"/>
    <e v="#REF!"/>
    <e v="#REF!"/>
  </r>
  <r>
    <s v="401000"/>
    <x v="6"/>
    <s v="FOURNISSEURS"/>
    <s v="OD"/>
    <n v="1408.56"/>
    <d v="2025-06-02T00:00:00"/>
    <s v="Liaison établissement 401000 OSIRIS RO"/>
    <s v="Non"/>
    <s v="Non"/>
    <e v="#N/A"/>
    <n v="75277"/>
    <s v="Invoice Payment By Pili"/>
    <s v="OSIRIS"/>
    <s v="Q2"/>
    <e v="#REF!"/>
    <e v="#REF!"/>
    <e v="#REF!"/>
  </r>
  <r>
    <s v="401000"/>
    <x v="6"/>
    <s v="FOURNISSEURS"/>
    <s v="OD"/>
    <n v="1411.13"/>
    <d v="2025-08-15T00:00:00"/>
    <s v="Liaison inter-établissement vers TO "/>
    <m/>
    <e v="#N/A"/>
    <e v="#N/A"/>
    <n v="81929"/>
    <m/>
    <s v="ENGIE"/>
    <s v="Q3"/>
    <e v="#REF!"/>
    <e v="#REF!"/>
    <e v="#REF!"/>
  </r>
  <r>
    <s v="401000"/>
    <x v="6"/>
    <s v="FOURNISSEURS"/>
    <s v="OD"/>
    <n v="1416"/>
    <d v="2025-08-21T00:00:00"/>
    <s v="Liaison établissement 401000 CONTROLAIR RO"/>
    <m/>
    <e v="#N/A"/>
    <e v="#N/A"/>
    <n v="81431"/>
    <s v="CONTRÔLE AÉRAULIQUE D'ÉQUIPEMENTS DE PROTECTION COLLECTIVE VENTILÉS SUR SITE"/>
    <s v="CONTROL'AIR"/>
    <s v="Q3"/>
    <e v="#REF!"/>
    <e v="#REF!"/>
    <e v="#REF!"/>
  </r>
  <r>
    <s v="401000"/>
    <x v="6"/>
    <s v="FOURNISSEURS"/>
    <s v="OD"/>
    <n v="1423.28"/>
    <d v="2025-09-30T00:00:00"/>
    <s v="INTERETS CREDITEURS Q3 2025"/>
    <m/>
    <e v="#N/A"/>
    <e v="#N/A"/>
    <n v="82942"/>
    <m/>
    <s v="Banque Populaire Rive de Paris"/>
    <s v="Q3"/>
    <e v="#REF!"/>
    <e v="#REF!"/>
    <e v="#REF!"/>
  </r>
  <r>
    <s v="401000"/>
    <x v="6"/>
    <s v="FOURNISSEURS"/>
    <s v="OD"/>
    <n v="1426.11"/>
    <d v="2025-08-11T00:00:00"/>
    <s v="Liaison inter-établissement vers TO "/>
    <m/>
    <e v="#N/A"/>
    <e v="#N/A"/>
    <n v="81933"/>
    <m/>
    <s v="REGIE CONSEIL"/>
    <s v="Q3"/>
    <e v="#REF!"/>
    <e v="#REF!"/>
    <e v="#REF!"/>
  </r>
  <r>
    <s v="401000"/>
    <x v="6"/>
    <s v="FOURNISSEURS"/>
    <s v="OD"/>
    <n v="1428"/>
    <d v="2025-08-08T00:00:00"/>
    <s v="Liaison établissement 401000 ALGOCHEM RO"/>
    <m/>
    <e v="#N/A"/>
    <e v="#N/A"/>
    <n v="80729"/>
    <s v="RACCORD / FLEXIBLE TCU F3000"/>
    <s v="ALGOCHEM"/>
    <s v="Q3"/>
    <e v="#REF!"/>
    <e v="#REF!"/>
    <e v="#REF!"/>
  </r>
  <r>
    <s v="401000"/>
    <x v="6"/>
    <s v="FOURNISSEURS"/>
    <s v="OD"/>
    <n v="1431.04"/>
    <d v="2025-12-10T00:00:00"/>
    <s v="Liaison inter-établissement vers TO "/>
    <m/>
    <e v="#N/A"/>
    <e v="#N/A"/>
    <n v="92149"/>
    <m/>
    <s v="REGIE CONSEIL"/>
    <s v="Q4"/>
    <e v="#REF!"/>
    <e v="#REF!"/>
    <e v="#REF!"/>
  </r>
  <r>
    <s v="401000"/>
    <x v="6"/>
    <s v="FOURNISSEURS"/>
    <s v="OD"/>
    <n v="1449.6"/>
    <d v="2025-01-31T00:00:00"/>
    <s v="Liaison inter-établissement vers TO "/>
    <m/>
    <e v="#N/A"/>
    <e v="#N/A"/>
    <n v="63699"/>
    <m/>
    <s v="DENIOS"/>
    <s v="Q1"/>
    <e v="#REF!"/>
    <e v="#REF!"/>
    <e v="#REF!"/>
  </r>
  <r>
    <s v="401000"/>
    <x v="6"/>
    <s v="FOURNISSEURS"/>
    <s v="OD"/>
    <n v="1452"/>
    <d v="2025-01-15T00:00:00"/>
    <s v="Liaison inter-établissement vers TO "/>
    <m/>
    <e v="#N/A"/>
    <e v="#N/A"/>
    <n v="62275"/>
    <m/>
    <s v="AGELAB"/>
    <s v="Q1"/>
    <e v="#REF!"/>
    <e v="#REF!"/>
    <e v="#REF!"/>
  </r>
  <r>
    <s v="401000"/>
    <x v="6"/>
    <s v="FOURNISSEURS"/>
    <s v="OD"/>
    <n v="1464.24"/>
    <d v="2025-04-25T00:00:00"/>
    <s v="Liaison inter-établissement vers TO "/>
    <s v="Non"/>
    <s v="Non"/>
    <e v="#N/A"/>
    <n v="71422"/>
    <m/>
    <s v="IN MANAGEMENT"/>
    <s v="Q2"/>
    <e v="#REF!"/>
    <e v="#REF!"/>
    <e v="#REF!"/>
  </r>
  <r>
    <s v="401000"/>
    <x v="6"/>
    <s v="FOURNISSEURS"/>
    <s v="OD"/>
    <n v="1486.97"/>
    <d v="2025-01-10T00:00:00"/>
    <s v="Liaison inter-établissement vers TO "/>
    <m/>
    <e v="#N/A"/>
    <e v="#N/A"/>
    <n v="72717"/>
    <m/>
    <s v="Banque Populaire Rive de Paris"/>
    <s v="Q1"/>
    <e v="#REF!"/>
    <e v="#REF!"/>
    <e v="#REF!"/>
  </r>
  <r>
    <s v="401000"/>
    <x v="6"/>
    <s v="FOURNISSEURS"/>
    <s v="OD"/>
    <n v="1488.95"/>
    <d v="2025-10-16T00:00:00"/>
    <s v="Liaison inter-établissement vers TO "/>
    <m/>
    <e v="#N/A"/>
    <e v="#N/A"/>
    <n v="86960"/>
    <m/>
    <s v="ENGIE"/>
    <s v="Q4"/>
    <e v="#REF!"/>
    <e v="#REF!"/>
    <e v="#REF!"/>
  </r>
  <r>
    <s v="401000"/>
    <x v="6"/>
    <s v="FOURNISSEURS"/>
    <s v="OD"/>
    <n v="1500"/>
    <d v="2025-04-18T00:00:00"/>
    <s v="Liaison établissement 401000 LRC2 KB"/>
    <s v="Non"/>
    <s v="Non"/>
    <e v="#N/A"/>
    <n v="68197"/>
    <s v="Invoice Payment by Pili"/>
    <s v="LRC2"/>
    <s v="Q2"/>
    <e v="#REF!"/>
    <e v="#REF!"/>
    <e v="#REF!"/>
  </r>
  <r>
    <s v="401000"/>
    <x v="6"/>
    <s v="FOURNISSEURS"/>
    <s v="OD"/>
    <n v="1500"/>
    <d v="2025-06-10T00:00:00"/>
    <s v="Liaison établissement 401000 START KB"/>
    <m/>
    <e v="#N/A"/>
    <e v="#N/A"/>
    <n v="75920"/>
    <s v="START INDUSTRIE – COTISATION MEMBRE ACTIF 2025/2026"/>
    <s v="STARTINDUSTRIE"/>
    <s v="Q2"/>
    <e v="#REF!"/>
    <e v="#REF!"/>
    <e v="#REF!"/>
  </r>
  <r>
    <s v="401000"/>
    <x v="6"/>
    <s v="FOURNISSEURS"/>
    <s v="OD"/>
    <n v="1500"/>
    <d v="2025-10-31T00:00:00"/>
    <s v="Liaison établissement 401000 WATIER LY"/>
    <s v="Non"/>
    <s v="Non"/>
    <e v="#N/A"/>
    <n v="87589"/>
    <s v="PHASE 2 ET FACTURE FINALE M WATIER"/>
    <s v="WATIER Marie"/>
    <s v="Q4"/>
    <e v="#REF!"/>
    <e v="#REF!"/>
    <e v="#REF!"/>
  </r>
  <r>
    <s v="401000"/>
    <x v="6"/>
    <s v="FOURNISSEURS"/>
    <s v="OD"/>
    <n v="1502.09"/>
    <d v="2025-07-23T00:00:00"/>
    <s v="Liaison inter-établissement vers TO "/>
    <m/>
    <s v="Non"/>
    <n v="0"/>
    <n v="81252"/>
    <m/>
    <s v="SERVICE ACTION SANTE"/>
    <s v="Q3"/>
    <e v="#REF!"/>
    <e v="#REF!"/>
    <e v="#REF!"/>
  </r>
  <r>
    <s v="401000"/>
    <x v="6"/>
    <s v="FOURNISSEURS"/>
    <s v="OD"/>
    <n v="1504.2"/>
    <d v="2025-11-04T00:00:00"/>
    <s v="Liaison établissement 401000 RIVOIRE RO"/>
    <m/>
    <e v="#N/A"/>
    <e v="#N/A"/>
    <n v="88021"/>
    <s v="MODIFICATION FILTRE À PLAQUES :  - AJOUT BAC DE RÉTENTION - AJOUT SUPPORT SEAU 30L"/>
    <s v="RIVOIRE"/>
    <s v="Q4"/>
    <e v="#REF!"/>
    <e v="#REF!"/>
    <e v="#REF!"/>
  </r>
  <r>
    <s v="401000"/>
    <x v="6"/>
    <s v="FOURNISSEURS"/>
    <s v="OD"/>
    <n v="1512"/>
    <d v="2025-02-18T00:00:00"/>
    <s v="Liaison inter-établissement vers TO "/>
    <m/>
    <e v="#N/A"/>
    <e v="#N/A"/>
    <n v="63651"/>
    <m/>
    <s v="CIMEO"/>
    <s v="Q1"/>
    <e v="#REF!"/>
    <e v="#REF!"/>
    <e v="#REF!"/>
  </r>
  <r>
    <s v="401000"/>
    <x v="6"/>
    <s v="FOURNISSEURS"/>
    <s v="OD"/>
    <n v="1525.39"/>
    <d v="2025-02-18T00:00:00"/>
    <s v="Liaison inter-établissement vers TO "/>
    <m/>
    <e v="#N/A"/>
    <e v="#N/A"/>
    <n v="63687"/>
    <m/>
    <s v="COTE"/>
    <s v="Q1"/>
    <e v="#REF!"/>
    <e v="#REF!"/>
    <e v="#REF!"/>
  </r>
  <r>
    <s v="401000"/>
    <x v="6"/>
    <s v="FOURNISSEURS"/>
    <s v="OD"/>
    <n v="1525.62"/>
    <d v="2025-09-16T00:00:00"/>
    <s v="Liaison inter-établissement vers TO "/>
    <m/>
    <e v="#N/A"/>
    <e v="#N/A"/>
    <n v="82800"/>
    <m/>
    <s v="ENGIE"/>
    <s v="Q3"/>
    <e v="#REF!"/>
    <e v="#REF!"/>
    <e v="#REF!"/>
  </r>
  <r>
    <s v="401000"/>
    <x v="6"/>
    <s v="FOURNISSEURS"/>
    <s v="OD"/>
    <n v="1536"/>
    <d v="2025-12-23T00:00:00"/>
    <s v="Liaison établissement 401000 INSAR RO"/>
    <m/>
    <e v="#N/A"/>
    <e v="#N/A"/>
    <n v="93626"/>
    <s v="FAR-2025-000748"/>
    <s v="INSA ROUEN"/>
    <s v="Q4"/>
    <e v="#REF!"/>
    <e v="#REF!"/>
    <e v="#REF!"/>
  </r>
  <r>
    <s v="401000"/>
    <x v="6"/>
    <s v="FOURNISSEURS"/>
    <s v="OD"/>
    <n v="1546.2"/>
    <d v="2025-09-26T00:00:00"/>
    <s v="Liaison établissement 401000 ARESCOM KB"/>
    <m/>
    <e v="#N/A"/>
    <e v="#N/A"/>
    <n v="82482"/>
    <s v="INVOICE PAYMENT BY PILI"/>
    <s v="ARESCOM"/>
    <s v="Q3"/>
    <e v="#REF!"/>
    <e v="#REF!"/>
    <e v="#REF!"/>
  </r>
  <r>
    <s v="401000"/>
    <x v="6"/>
    <s v="FOURNISSEURS"/>
    <s v="OD"/>
    <n v="1548.62"/>
    <d v="2025-03-21T00:00:00"/>
    <s v="Liaison inter-établissement vers TO "/>
    <m/>
    <e v="#N/A"/>
    <e v="#N/A"/>
    <n v="68012"/>
    <m/>
    <s v="AIR FRANCE"/>
    <s v="Q1"/>
    <e v="#REF!"/>
    <e v="#REF!"/>
    <e v="#REF!"/>
  </r>
  <r>
    <s v="401000"/>
    <x v="6"/>
    <s v="FOURNISSEURS"/>
    <s v="OD"/>
    <n v="1562.4"/>
    <d v="2025-06-04T00:00:00"/>
    <s v="Liaison établissement 401000 ARESCOM KB"/>
    <m/>
    <e v="#N/A"/>
    <e v="#N/A"/>
    <n v="75506"/>
    <s v="Invoice payment by Pili"/>
    <s v="ARESCOM"/>
    <s v="Q2"/>
    <e v="#REF!"/>
    <e v="#REF!"/>
    <e v="#REF!"/>
  </r>
  <r>
    <s v="401000"/>
    <x v="6"/>
    <s v="FOURNISSEURS"/>
    <s v="OD"/>
    <n v="1562.4"/>
    <d v="2025-08-21T00:00:00"/>
    <s v="Liaison établissement 401000 ARESCOM KB"/>
    <m/>
    <e v="#N/A"/>
    <e v="#N/A"/>
    <n v="81375"/>
    <s v="CONTRAT DE MAINTENANCE PRO"/>
    <s v="ARESCOM"/>
    <s v="Q3"/>
    <e v="#REF!"/>
    <e v="#REF!"/>
    <e v="#REF!"/>
  </r>
  <r>
    <s v="401000"/>
    <x v="6"/>
    <s v="FOURNISSEURS"/>
    <s v="OD"/>
    <n v="1562.4"/>
    <d v="2025-09-26T00:00:00"/>
    <s v="Liaison établissement 401000 ARESCOM KB"/>
    <m/>
    <e v="#N/A"/>
    <e v="#N/A"/>
    <n v="82472"/>
    <s v="INVOICE PAYMENT BY PILI"/>
    <s v="ARESCOM"/>
    <s v="Q3"/>
    <e v="#REF!"/>
    <e v="#REF!"/>
    <e v="#REF!"/>
  </r>
  <r>
    <s v="401000"/>
    <x v="6"/>
    <s v="FOURNISSEURS"/>
    <s v="OD"/>
    <n v="1579.77"/>
    <d v="2025-04-11T00:00:00"/>
    <s v="Liaison inter-établissement vers TO "/>
    <m/>
    <e v="#N/A"/>
    <e v="#N/A"/>
    <n v="74833"/>
    <m/>
    <s v="AIR FRANCE"/>
    <s v="Q2"/>
    <e v="#REF!"/>
    <e v="#REF!"/>
    <e v="#REF!"/>
  </r>
  <r>
    <s v="401000"/>
    <x v="6"/>
    <s v="FOURNISSEURS"/>
    <s v="OD"/>
    <n v="1582.5"/>
    <d v="2025-06-15T00:00:00"/>
    <s v="Liaison inter-établissement vers TO "/>
    <m/>
    <e v="#N/A"/>
    <e v="#N/A"/>
    <n v="78249"/>
    <m/>
    <s v="GREENDELTA"/>
    <s v="Q2"/>
    <e v="#REF!"/>
    <e v="#REF!"/>
    <e v="#REF!"/>
  </r>
  <r>
    <s v="401000"/>
    <x v="6"/>
    <s v="FOURNISSEURS"/>
    <s v="OD"/>
    <n v="1584"/>
    <d v="2025-02-28T00:00:00"/>
    <s v="Liaison inter-établissement vers TO "/>
    <m/>
    <s v="Non"/>
    <n v="0"/>
    <n v="63519"/>
    <m/>
    <s v="APF SECURITE"/>
    <s v="Q1"/>
    <e v="#REF!"/>
    <e v="#REF!"/>
    <e v="#REF!"/>
  </r>
  <r>
    <s v="401000"/>
    <x v="6"/>
    <s v="FOURNISSEURS"/>
    <s v="OD"/>
    <n v="1589.28"/>
    <d v="2025-11-28T00:00:00"/>
    <s v="Liaison établissement 401000 ARESCOM KB"/>
    <m/>
    <e v="#N/A"/>
    <e v="#N/A"/>
    <n v="91221"/>
    <s v="145044"/>
    <s v="ARESCOM"/>
    <s v="Q4"/>
    <e v="#REF!"/>
    <e v="#REF!"/>
    <e v="#REF!"/>
  </r>
  <r>
    <s v="401000"/>
    <x v="6"/>
    <s v="FOURNISSEURS"/>
    <s v="OD"/>
    <n v="1597.9"/>
    <d v="2025-11-04T00:00:00"/>
    <s v="Liaison établissement 401000 ARESCOM KB"/>
    <m/>
    <e v="#N/A"/>
    <e v="#N/A"/>
    <n v="88047"/>
    <s v="CONTRAT DE MAINTENANCE PRO"/>
    <s v="ARESCOM"/>
    <s v="Q4"/>
    <e v="#REF!"/>
    <e v="#REF!"/>
    <e v="#REF!"/>
  </r>
  <r>
    <s v="401000"/>
    <x v="6"/>
    <s v="FOURNISSEURS"/>
    <s v="OD"/>
    <n v="1600.56"/>
    <d v="2025-12-10T00:00:00"/>
    <s v="Liaison établissement 401000 CRIT RO"/>
    <m/>
    <e v="#N/A"/>
    <e v="#N/A"/>
    <n v="92021"/>
    <s v="N6171053-2025"/>
    <s v="CRIT"/>
    <s v="Q4"/>
    <e v="#REF!"/>
    <e v="#REF!"/>
    <e v="#REF!"/>
  </r>
  <r>
    <s v="401000"/>
    <x v="6"/>
    <s v="FOURNISSEURS"/>
    <s v="OD"/>
    <n v="1600.56"/>
    <d v="2025-12-30T00:00:00"/>
    <s v="Liaison établissement 401000 CRIT RO"/>
    <m/>
    <e v="#N/A"/>
    <e v="#N/A"/>
    <n v="93731"/>
    <s v="N6171211-2025"/>
    <s v="CRIT"/>
    <s v="Q4"/>
    <e v="#REF!"/>
    <e v="#REF!"/>
    <e v="#REF!"/>
  </r>
  <r>
    <s v="401000"/>
    <x v="6"/>
    <s v="FOURNISSEURS"/>
    <s v="OD"/>
    <n v="1600.56"/>
    <d v="2025-12-30T00:00:00"/>
    <s v="Liaison établissement 401000 CRIT RO"/>
    <m/>
    <e v="#N/A"/>
    <e v="#N/A"/>
    <n v="93862"/>
    <s v="N6171054-2025"/>
    <s v="CRIT"/>
    <s v="Q4"/>
    <e v="#REF!"/>
    <e v="#REF!"/>
    <e v="#REF!"/>
  </r>
  <r>
    <s v="401000"/>
    <x v="6"/>
    <s v="FOURNISSEURS"/>
    <s v="OD"/>
    <n v="1608"/>
    <d v="2025-07-31T00:00:00"/>
    <s v="Liaison établissement 401000 ROUSSELET RO"/>
    <s v="Non"/>
    <e v="#N/A"/>
    <e v="#N/A"/>
    <n v="79381"/>
    <s v="ESSAIS LABORATOIRE ESSOREUSE / DECANTEUSE À BOL POUR SÉPARATION INDIGO ET MOÛT DE FERMENTATION"/>
    <s v="ROUSSELET CENTRIFUGATION"/>
    <s v="Q3"/>
    <e v="#REF!"/>
    <e v="#REF!"/>
    <e v="#REF!"/>
  </r>
  <r>
    <s v="401000"/>
    <x v="6"/>
    <s v="FOURNISSEURS"/>
    <s v="OD"/>
    <n v="1610.66"/>
    <d v="2025-01-31T00:00:00"/>
    <s v="Frais bancaires BPRI"/>
    <m/>
    <e v="#N/A"/>
    <e v="#N/A"/>
    <n v="82843"/>
    <m/>
    <s v="Banque Populaire Rive de Paris"/>
    <s v="Q1"/>
    <e v="#REF!"/>
    <e v="#REF!"/>
    <e v="#REF!"/>
  </r>
  <r>
    <s v="401000"/>
    <x v="6"/>
    <s v="FOURNISSEURS"/>
    <s v="OD"/>
    <n v="1610.66"/>
    <d v="2025-01-31T00:00:00"/>
    <s v="Liaison inter-établissement vers TO "/>
    <m/>
    <e v="#N/A"/>
    <e v="#N/A"/>
    <n v="82846"/>
    <m/>
    <s v="Banque Populaire Rive de Paris"/>
    <s v="Q1"/>
    <e v="#REF!"/>
    <e v="#REF!"/>
    <e v="#REF!"/>
  </r>
  <r>
    <s v="401000"/>
    <x v="6"/>
    <s v="FOURNISSEURS"/>
    <s v="OD"/>
    <n v="1619.08"/>
    <d v="2025-03-21T00:00:00"/>
    <s v="Liaison inter-établissement vers TO "/>
    <m/>
    <e v="#N/A"/>
    <e v="#N/A"/>
    <n v="69949"/>
    <m/>
    <s v="AIR FRANCE"/>
    <s v="Q1"/>
    <e v="#REF!"/>
    <e v="#REF!"/>
    <e v="#REF!"/>
  </r>
  <r>
    <s v="401000"/>
    <x v="6"/>
    <s v="FOURNISSEURS"/>
    <s v="OD"/>
    <n v="1632.14"/>
    <d v="2025-02-10T00:00:00"/>
    <s v="Liaison inter-établissement vers TO "/>
    <m/>
    <e v="#N/A"/>
    <e v="#N/A"/>
    <n v="63535"/>
    <m/>
    <s v="ARESCOM"/>
    <s v="Q1"/>
    <e v="#REF!"/>
    <e v="#REF!"/>
    <e v="#REF!"/>
  </r>
  <r>
    <s v="401000"/>
    <x v="6"/>
    <s v="FOURNISSEURS"/>
    <s v="OD"/>
    <n v="1636.05"/>
    <d v="2025-02-10T00:00:00"/>
    <s v="Liaison inter-établissement vers TO "/>
    <m/>
    <e v="#N/A"/>
    <e v="#N/A"/>
    <n v="63539"/>
    <m/>
    <s v="ARESCOM"/>
    <s v="Q1"/>
    <e v="#REF!"/>
    <e v="#REF!"/>
    <e v="#REF!"/>
  </r>
  <r>
    <s v="401000"/>
    <x v="6"/>
    <s v="FOURNISSEURS"/>
    <s v="OD"/>
    <n v="1637.52"/>
    <d v="2025-03-06T00:00:00"/>
    <s v="Liaison inter-établissement vers TO "/>
    <m/>
    <e v="#N/A"/>
    <e v="#N/A"/>
    <n v="68056"/>
    <m/>
    <s v="ARESCOM"/>
    <s v="Q1"/>
    <e v="#REF!"/>
    <e v="#REF!"/>
    <e v="#REF!"/>
  </r>
  <r>
    <s v="401000"/>
    <x v="6"/>
    <s v="FOURNISSEURS"/>
    <s v="OD"/>
    <n v="1646.72"/>
    <d v="2025-12-30T00:00:00"/>
    <s v="Liaison établissement 401000 ARESCOM KB"/>
    <m/>
    <e v="#N/A"/>
    <e v="#N/A"/>
    <n v="93765"/>
    <s v="145557"/>
    <s v="ARESCOM"/>
    <s v="Q4"/>
    <e v="#REF!"/>
    <e v="#REF!"/>
    <e v="#REF!"/>
  </r>
  <r>
    <s v="401000"/>
    <x v="6"/>
    <s v="FOURNISSEURS"/>
    <s v="OD"/>
    <n v="1648.56"/>
    <d v="2025-03-06T00:00:00"/>
    <s v="Liaison inter-établissement vers TO "/>
    <m/>
    <e v="#N/A"/>
    <e v="#N/A"/>
    <n v="68060"/>
    <m/>
    <s v="ARESCOM"/>
    <s v="Q1"/>
    <e v="#REF!"/>
    <e v="#REF!"/>
    <e v="#REF!"/>
  </r>
  <r>
    <s v="401000"/>
    <x v="6"/>
    <s v="FOURNISSEURS"/>
    <s v="OD"/>
    <n v="1648.56"/>
    <d v="2025-04-08T00:00:00"/>
    <s v="Liaison inter-établissement vers TO "/>
    <m/>
    <e v="#N/A"/>
    <e v="#N/A"/>
    <n v="69917"/>
    <m/>
    <s v="ARESCOM"/>
    <s v="Q2"/>
    <e v="#REF!"/>
    <e v="#REF!"/>
    <e v="#REF!"/>
  </r>
  <r>
    <s v="401000"/>
    <x v="6"/>
    <s v="FOURNISSEURS"/>
    <s v="OD"/>
    <n v="1648.56"/>
    <d v="2025-06-02T00:00:00"/>
    <s v="Liaison établissement 401000 ARESCOM KB"/>
    <m/>
    <e v="#N/A"/>
    <e v="#N/A"/>
    <n v="75231"/>
    <s v="Invoice Payment By Pili"/>
    <s v="ARESCOM"/>
    <s v="Q2"/>
    <e v="#REF!"/>
    <e v="#REF!"/>
    <e v="#REF!"/>
  </r>
  <r>
    <s v="401000"/>
    <x v="6"/>
    <s v="FOURNISSEURS"/>
    <s v="OD"/>
    <n v="1652.73"/>
    <d v="2025-02-18T00:00:00"/>
    <s v="Liaison inter-établissement vers TO "/>
    <m/>
    <e v="#N/A"/>
    <e v="#N/A"/>
    <n v="63543"/>
    <m/>
    <s v="ARESCOM"/>
    <s v="Q1"/>
    <e v="#REF!"/>
    <e v="#REF!"/>
    <e v="#REF!"/>
  </r>
  <r>
    <s v="401000"/>
    <x v="6"/>
    <s v="FOURNISSEURS"/>
    <s v="OD"/>
    <n v="1652.96"/>
    <d v="2025-08-21T00:00:00"/>
    <s v="Liaison établissement 401000 BECKER KB"/>
    <s v="Non"/>
    <s v="Oui"/>
    <e v="#N/A"/>
    <n v="81410"/>
    <s v="GESTION DES ANNUITÉS"/>
    <s v="BECKER"/>
    <s v="Q3"/>
    <e v="#REF!"/>
    <e v="#REF!"/>
    <e v="#REF!"/>
  </r>
  <r>
    <s v="401000"/>
    <x v="6"/>
    <s v="FOURNISSEURS"/>
    <s v="OD"/>
    <n v="1657.05"/>
    <d v="2025-02-18T00:00:00"/>
    <s v="Liaison inter-établissement vers TO "/>
    <m/>
    <e v="#N/A"/>
    <e v="#N/A"/>
    <n v="63547"/>
    <m/>
    <s v="ARESCOM"/>
    <s v="Q1"/>
    <e v="#REF!"/>
    <e v="#REF!"/>
    <e v="#REF!"/>
  </r>
  <r>
    <s v="401000"/>
    <x v="6"/>
    <s v="FOURNISSEURS"/>
    <s v="OD"/>
    <n v="1670.24"/>
    <d v="2025-03-21T00:00:00"/>
    <s v="Liaison inter-établissement vers TO "/>
    <m/>
    <s v="Non"/>
    <n v="0"/>
    <n v="67988"/>
    <m/>
    <s v="SERVICE ACTION SANTE"/>
    <s v="Q1"/>
    <e v="#REF!"/>
    <e v="#REF!"/>
    <e v="#REF!"/>
  </r>
  <r>
    <s v="401000"/>
    <x v="6"/>
    <s v="FOURNISSEURS"/>
    <s v="OD"/>
    <n v="1679.02"/>
    <d v="2025-12-16T00:00:00"/>
    <s v="Liaison inter-établissement vers TO "/>
    <m/>
    <e v="#N/A"/>
    <e v="#N/A"/>
    <n v="92239"/>
    <m/>
    <s v="ENGIE"/>
    <s v="Q4"/>
    <e v="#REF!"/>
    <e v="#REF!"/>
    <e v="#REF!"/>
  </r>
  <r>
    <s v="401000"/>
    <x v="6"/>
    <s v="FOURNISSEURS"/>
    <s v="OD"/>
    <n v="1730.3"/>
    <d v="2025-08-21T00:00:00"/>
    <s v="Liaison établissement 401000 ALTAIR KB"/>
    <s v="Non"/>
    <s v="Non"/>
    <e v="#N/A"/>
    <n v="81365"/>
    <s v="HONORAIRES DE PROGRESSION SUR LA PÉRIODE DU 1ER AU 31 MAI 2025"/>
    <s v="ALTAIR AVOCATS"/>
    <s v="Q3"/>
    <e v="#REF!"/>
    <e v="#REF!"/>
    <e v="#REF!"/>
  </r>
  <r>
    <s v="401000"/>
    <x v="6"/>
    <s v="FOURNISSEURS"/>
    <s v="OD"/>
    <n v="1751.48"/>
    <d v="2025-04-08T00:00:00"/>
    <s v="Liaison inter-établissement vers TO "/>
    <m/>
    <e v="#N/A"/>
    <e v="#N/A"/>
    <n v="69913"/>
    <m/>
    <s v="ARESCOM"/>
    <s v="Q2"/>
    <e v="#REF!"/>
    <e v="#REF!"/>
    <e v="#REF!"/>
  </r>
  <r>
    <s v="401000"/>
    <x v="6"/>
    <s v="FOURNISSEURS"/>
    <s v="OD"/>
    <n v="1761.79"/>
    <d v="2025-09-08T00:00:00"/>
    <s v="Liaison établissement 401000 NOVA KB"/>
    <m/>
    <e v="#N/A"/>
    <e v="#N/A"/>
    <n v="81734"/>
    <s v="TICKET CONFÉRENCE RMC GBW"/>
    <s v="NOVA-INSTITUT"/>
    <s v="Q3"/>
    <e v="#REF!"/>
    <e v="#REF!"/>
    <e v="#REF!"/>
  </r>
  <r>
    <s v="401000"/>
    <x v="6"/>
    <s v="FOURNISSEURS"/>
    <s v="OD"/>
    <n v="1766.65"/>
    <d v="2025-04-02T00:00:00"/>
    <s v="Liaison établissement 401000 CHIMIREC RO"/>
    <m/>
    <s v="Non"/>
    <n v="0"/>
    <n v="66481"/>
    <s v="Invoice Payment by Pili"/>
    <s v="CHIMIREC CENTRE EST"/>
    <s v="Q2"/>
    <e v="#REF!"/>
    <e v="#REF!"/>
    <e v="#REF!"/>
  </r>
  <r>
    <s v="401000"/>
    <x v="6"/>
    <s v="FOURNISSEURS"/>
    <s v="OD"/>
    <n v="1800"/>
    <d v="2025-02-28T00:00:00"/>
    <s v="Liaison inter-établissement vers TO "/>
    <s v="Non"/>
    <s v="Non"/>
    <e v="#N/A"/>
    <n v="63599"/>
    <m/>
    <s v="WE ARE BOLD"/>
    <s v="Q1"/>
    <e v="#REF!"/>
    <e v="#REF!"/>
    <e v="#REF!"/>
  </r>
  <r>
    <s v="401000"/>
    <x v="6"/>
    <s v="FOURNISSEURS"/>
    <s v="OD"/>
    <n v="1800"/>
    <d v="2025-03-19T00:00:00"/>
    <s v="Liaison inter-établissement vers TO "/>
    <s v="Non"/>
    <s v="Non"/>
    <e v="#N/A"/>
    <n v="63591"/>
    <m/>
    <s v="WE ARE BOLD"/>
    <s v="Q1"/>
    <e v="#REF!"/>
    <e v="#REF!"/>
    <e v="#REF!"/>
  </r>
  <r>
    <s v="401000"/>
    <x v="6"/>
    <s v="FOURNISSEURS"/>
    <s v="OD"/>
    <n v="1800"/>
    <d v="2025-06-04T00:00:00"/>
    <s v="Liaison établissement 401000 MAGELAN KB"/>
    <s v="Non"/>
    <s v="Non"/>
    <e v="#N/A"/>
    <n v="75526"/>
    <s v="Invoice payment by Pili"/>
    <s v="MAGELAN"/>
    <s v="Q2"/>
    <e v="#REF!"/>
    <e v="#REF!"/>
    <e v="#REF!"/>
  </r>
  <r>
    <s v="401000"/>
    <x v="6"/>
    <s v="FOURNISSEURS"/>
    <s v="OD"/>
    <n v="1804.04"/>
    <d v="2025-06-04T00:00:00"/>
    <s v="Liaison établissement 401000 ARESCOM KB"/>
    <m/>
    <e v="#N/A"/>
    <e v="#N/A"/>
    <n v="75501"/>
    <s v="Invoice payment by Pili"/>
    <s v="ARESCOM"/>
    <s v="Q2"/>
    <e v="#REF!"/>
    <e v="#REF!"/>
    <e v="#REF!"/>
  </r>
  <r>
    <s v="401000"/>
    <x v="6"/>
    <s v="FOURNISSEURS"/>
    <s v="OD"/>
    <n v="1804.04"/>
    <d v="2025-08-08T00:00:00"/>
    <s v="Liaison établissement 401000 ARESCOM KB"/>
    <m/>
    <e v="#N/A"/>
    <e v="#N/A"/>
    <n v="80739"/>
    <s v="LICENCES OFFICE 365"/>
    <s v="ARESCOM"/>
    <s v="Q3"/>
    <e v="#REF!"/>
    <e v="#REF!"/>
    <e v="#REF!"/>
  </r>
  <r>
    <s v="401000"/>
    <x v="6"/>
    <s v="FOURNISSEURS"/>
    <s v="OD"/>
    <n v="1812"/>
    <d v="2025-05-12T00:00:00"/>
    <s v="Liaison établissement 401000 AIGP RO"/>
    <m/>
    <e v="#N/A"/>
    <e v="#N/A"/>
    <n v="71751"/>
    <s v="GESTION DE PROJET SÉCURISATION BÂTIMENT DÉMO"/>
    <s v="AIGP INGENIERIE"/>
    <s v="Q2"/>
    <e v="#REF!"/>
    <e v="#REF!"/>
    <e v="#REF!"/>
  </r>
  <r>
    <s v="401000"/>
    <x v="6"/>
    <s v="FOURNISSEURS"/>
    <s v="OD"/>
    <n v="1812"/>
    <d v="2025-06-16T00:00:00"/>
    <s v="Liaison établissement 401000 AIGP RO"/>
    <m/>
    <e v="#N/A"/>
    <e v="#N/A"/>
    <n v="76029"/>
    <s v="GESTION DE PROJET SÉCURISATION BÂTIMENT DÉMO"/>
    <s v="AIGP INGENIERIE"/>
    <s v="Q2"/>
    <e v="#REF!"/>
    <e v="#REF!"/>
    <e v="#REF!"/>
  </r>
  <r>
    <s v="401000"/>
    <x v="6"/>
    <s v="FOURNISSEURS"/>
    <s v="OD"/>
    <n v="1825.81"/>
    <d v="2025-08-21T00:00:00"/>
    <s v="Liaison établissement 401000 ACI RO"/>
    <m/>
    <e v="#N/A"/>
    <e v="#N/A"/>
    <n v="81461"/>
    <s v="R1000 - VANNE À BOISSEAU SPHÉRIQUE KK/F DN40"/>
    <s v="ACI"/>
    <s v="Q3"/>
    <e v="#REF!"/>
    <e v="#REF!"/>
    <e v="#REF!"/>
  </r>
  <r>
    <s v="401000"/>
    <x v="6"/>
    <s v="FOURNISSEURS"/>
    <s v="OD"/>
    <n v="1828.97"/>
    <d v="2025-06-02T00:00:00"/>
    <s v="Liaison établissement 401000 ARESCOM KB"/>
    <m/>
    <e v="#N/A"/>
    <e v="#N/A"/>
    <n v="75226"/>
    <s v="Invoice Payment By Pili"/>
    <s v="ARESCOM"/>
    <s v="Q2"/>
    <e v="#REF!"/>
    <e v="#REF!"/>
    <e v="#REF!"/>
  </r>
  <r>
    <s v="401000"/>
    <x v="6"/>
    <s v="FOURNISSEURS"/>
    <s v="OD"/>
    <n v="1840"/>
    <d v="2025-07-09T00:00:00"/>
    <s v="Liaison établissement 401000 BIOTIKA RO"/>
    <s v="Non"/>
    <e v="#N/A"/>
    <e v="#N/A"/>
    <n v="77194"/>
    <s v="TRANSPORT OF MATERIAL TO ALFA  LAVAL ITALY (MEDICAL LOGISTICS),"/>
    <s v="BIOTIKA"/>
    <s v="Q3"/>
    <e v="#REF!"/>
    <e v="#REF!"/>
    <e v="#REF!"/>
  </r>
  <r>
    <s v="401000"/>
    <x v="6"/>
    <s v="FOURNISSEURS"/>
    <s v="OD"/>
    <n v="1945.3"/>
    <d v="2025-05-23T00:00:00"/>
    <s v="Liaison établissement 401000 ALTAIR KB"/>
    <s v="Non"/>
    <s v="Non"/>
    <e v="#N/A"/>
    <n v="74041"/>
    <s v="Invoice payment by Pili"/>
    <s v="ALTAIR AVOCATS"/>
    <s v="Q2"/>
    <e v="#REF!"/>
    <e v="#REF!"/>
    <e v="#REF!"/>
  </r>
  <r>
    <s v="401000"/>
    <x v="6"/>
    <s v="FOURNISSEURS"/>
    <s v="OD"/>
    <n v="1946.6"/>
    <d v="2025-06-04T00:00:00"/>
    <s v="Liaison inter-établissement vers TO "/>
    <m/>
    <e v="#N/A"/>
    <e v="#N/A"/>
    <n v="81974"/>
    <m/>
    <s v="INITIATIVE &amp; RISK PARTNERS"/>
    <s v="Q2"/>
    <e v="#REF!"/>
    <e v="#REF!"/>
    <e v="#REF!"/>
  </r>
  <r>
    <s v="401000"/>
    <x v="6"/>
    <s v="FOURNISSEURS"/>
    <s v="OD"/>
    <n v="1957.16"/>
    <d v="2025-03-18T00:00:00"/>
    <s v="Liaison inter-établissement vers TO "/>
    <m/>
    <e v="#N/A"/>
    <e v="#N/A"/>
    <n v="72762"/>
    <m/>
    <s v="ENGIE"/>
    <s v="Q1"/>
    <e v="#REF!"/>
    <e v="#REF!"/>
    <e v="#REF!"/>
  </r>
  <r>
    <s v="401000"/>
    <x v="6"/>
    <s v="FOURNISSEURS"/>
    <s v="OD"/>
    <n v="1969.73"/>
    <d v="2025-03-28T00:00:00"/>
    <s v="Liaison établissement 401000 COFICIEL RO"/>
    <m/>
    <e v="#N/A"/>
    <e v="#N/A"/>
    <n v="65020"/>
    <s v="Invoice Payment by Pili"/>
    <s v="COFICIEL"/>
    <s v="Q1"/>
    <e v="#REF!"/>
    <e v="#REF!"/>
    <e v="#REF!"/>
  </r>
  <r>
    <s v="401000"/>
    <x v="6"/>
    <s v="FOURNISSEURS"/>
    <s v="OD"/>
    <n v="1981.1"/>
    <d v="2025-09-26T00:00:00"/>
    <s v="Liaison établissement 401000 ARESCOM KB"/>
    <m/>
    <e v="#N/A"/>
    <e v="#N/A"/>
    <n v="82477"/>
    <s v="INVOICE PAYMENT BY PILI"/>
    <s v="ARESCOM"/>
    <s v="Q3"/>
    <e v="#REF!"/>
    <e v="#REF!"/>
    <e v="#REF!"/>
  </r>
  <r>
    <s v="401000"/>
    <x v="6"/>
    <s v="FOURNISSEURS"/>
    <s v="OD"/>
    <n v="1981.1"/>
    <d v="2025-11-04T00:00:00"/>
    <s v="Liaison établissement 401000 ARESCOM KB"/>
    <m/>
    <e v="#N/A"/>
    <e v="#N/A"/>
    <n v="88052"/>
    <s v="LICENCES OFFICE 365"/>
    <s v="ARESCOM"/>
    <s v="Q4"/>
    <e v="#REF!"/>
    <e v="#REF!"/>
    <e v="#REF!"/>
  </r>
  <r>
    <s v="401000"/>
    <x v="6"/>
    <s v="FOURNISSEURS"/>
    <s v="OD"/>
    <n v="1981.1"/>
    <d v="2025-11-28T00:00:00"/>
    <s v="Liaison établissement 401000 ARESCOM KB"/>
    <m/>
    <e v="#N/A"/>
    <e v="#N/A"/>
    <n v="91226"/>
    <s v="145166"/>
    <s v="ARESCOM"/>
    <s v="Q4"/>
    <e v="#REF!"/>
    <e v="#REF!"/>
    <e v="#REF!"/>
  </r>
  <r>
    <s v="401000"/>
    <x v="6"/>
    <s v="FOURNISSEURS"/>
    <s v="OD"/>
    <n v="1981.1"/>
    <d v="2025-12-30T00:00:00"/>
    <s v="Liaison établissement 401000 ARESCOM KB"/>
    <m/>
    <e v="#N/A"/>
    <e v="#N/A"/>
    <n v="93800"/>
    <s v="145679"/>
    <s v="ARESCOM"/>
    <s v="Q4"/>
    <e v="#REF!"/>
    <e v="#REF!"/>
    <e v="#REF!"/>
  </r>
  <r>
    <s v="401000"/>
    <x v="6"/>
    <s v="FOURNISSEURS"/>
    <s v="OD"/>
    <n v="2000"/>
    <d v="2025-08-08T00:00:00"/>
    <s v="Liaison établissement 401000 WATIER LY"/>
    <s v="Non"/>
    <s v="Non"/>
    <e v="#N/A"/>
    <n v="80734"/>
    <s v="REVUE DE LITT SCIENTIFIQUE INDIGO ET COLORANTS/PIGMENTS"/>
    <s v="WATIER Marie"/>
    <s v="Q3"/>
    <e v="#REF!"/>
    <e v="#REF!"/>
    <e v="#REF!"/>
  </r>
  <r>
    <s v="401000"/>
    <x v="6"/>
    <s v="FOURNISSEURS"/>
    <s v="OD"/>
    <n v="2000"/>
    <d v="2025-09-22T00:00:00"/>
    <s v="Liaison établissement 401000 BIOTIKA RO"/>
    <s v="Non"/>
    <e v="#N/A"/>
    <e v="#N/A"/>
    <n v="82375"/>
    <s v="PHOENIX VBIO - ESSAI DECANTEUR - CENTRIGUGE / MARINER"/>
    <s v="BIOTIKA"/>
    <s v="Q3"/>
    <e v="#REF!"/>
    <e v="#REF!"/>
    <e v="#REF!"/>
  </r>
  <r>
    <s v="401000"/>
    <x v="6"/>
    <s v="FOURNISSEURS"/>
    <s v="OD"/>
    <n v="2034.4"/>
    <d v="2025-01-30T00:00:00"/>
    <s v="Liaison inter-établissement vers TO "/>
    <m/>
    <e v="#N/A"/>
    <e v="#N/A"/>
    <n v="63727"/>
    <m/>
    <s v="FISHER SCIENTIFIC"/>
    <s v="Q1"/>
    <e v="#REF!"/>
    <e v="#REF!"/>
    <e v="#REF!"/>
  </r>
  <r>
    <s v="401000"/>
    <x v="6"/>
    <s v="FOURNISSEURS"/>
    <s v="OD"/>
    <n v="2052"/>
    <d v="2025-12-30T00:00:00"/>
    <s v="Liaison établissement 401000 EIFFAGE ENERGIE SYSTEMES RO"/>
    <m/>
    <e v="#N/A"/>
    <e v="#N/A"/>
    <n v="93790"/>
    <s v="F00034250900143"/>
    <s v="EIFFAGE ENERGIE SYSTEMES"/>
    <s v="Q4"/>
    <e v="#REF!"/>
    <e v="#REF!"/>
    <e v="#REF!"/>
  </r>
  <r>
    <s v="401000"/>
    <x v="6"/>
    <s v="FOURNISSEURS"/>
    <s v="OD"/>
    <n v="2054.6999999999998"/>
    <d v="2025-01-31T00:00:00"/>
    <s v="Liaison inter-établissement vers TO "/>
    <s v="Non"/>
    <s v="Non"/>
    <e v="#N/A"/>
    <n v="63791"/>
    <m/>
    <s v="OSIRIS"/>
    <s v="Q1"/>
    <e v="#REF!"/>
    <e v="#REF!"/>
    <e v="#REF!"/>
  </r>
  <r>
    <s v="401000"/>
    <x v="6"/>
    <s v="FOURNISSEURS"/>
    <s v="OD"/>
    <n v="2062.67"/>
    <d v="2025-04-29T00:00:00"/>
    <s v="Liaison établissement 401000 COTE RO"/>
    <m/>
    <e v="#N/A"/>
    <e v="#N/A"/>
    <n v="70487"/>
    <s v="Invocie Payment by Pili"/>
    <s v="COTE"/>
    <s v="Q2"/>
    <e v="#REF!"/>
    <e v="#REF!"/>
    <e v="#REF!"/>
  </r>
  <r>
    <s v="401000"/>
    <x v="6"/>
    <s v="FOURNISSEURS"/>
    <s v="OD"/>
    <n v="2106.7600000000002"/>
    <d v="2025-09-12T00:00:00"/>
    <s v="Liaison établissement 401000 ARESCOM KB"/>
    <m/>
    <e v="#N/A"/>
    <e v="#N/A"/>
    <n v="81985"/>
    <s v="LICENCES OFFICE 365"/>
    <s v="ARESCOM"/>
    <s v="Q3"/>
    <e v="#REF!"/>
    <e v="#REF!"/>
    <e v="#REF!"/>
  </r>
  <r>
    <s v="401000"/>
    <x v="6"/>
    <s v="FOURNISSEURS"/>
    <s v="OD"/>
    <n v="2142.5"/>
    <d v="2025-03-07T00:00:00"/>
    <s v="Liaison inter-établissement vers TO "/>
    <s v="Non"/>
    <e v="#N/A"/>
    <e v="#N/A"/>
    <n v="63941"/>
    <m/>
    <s v="ZDHC Gateway B.V."/>
    <s v="Q1"/>
    <e v="#REF!"/>
    <e v="#REF!"/>
    <e v="#REF!"/>
  </r>
  <r>
    <s v="401000"/>
    <x v="6"/>
    <s v="FOURNISSEURS"/>
    <s v="OD"/>
    <n v="2160"/>
    <d v="2025-06-02T00:00:00"/>
    <s v="Liaison établissement 401000 COFICIEL RO"/>
    <m/>
    <e v="#N/A"/>
    <e v="#N/A"/>
    <n v="75247"/>
    <s v="Invoice Payment By Pili"/>
    <s v="COFICIEL"/>
    <s v="Q2"/>
    <e v="#REF!"/>
    <e v="#REF!"/>
    <e v="#REF!"/>
  </r>
  <r>
    <s v="401000"/>
    <x v="6"/>
    <s v="FOURNISSEURS"/>
    <s v="OD"/>
    <n v="2175.37"/>
    <d v="2025-08-21T00:00:00"/>
    <s v="Liaison inter-établissement vers TO "/>
    <s v="Non"/>
    <s v="Non"/>
    <e v="#N/A"/>
    <n v="81722"/>
    <m/>
    <s v="NEIL BELL"/>
    <s v="Q3"/>
    <e v="#REF!"/>
    <e v="#REF!"/>
    <e v="#REF!"/>
  </r>
  <r>
    <s v="401000"/>
    <x v="6"/>
    <s v="FOURNISSEURS"/>
    <s v="OD"/>
    <n v="2191.1999999999998"/>
    <d v="2025-03-14T00:00:00"/>
    <s v="Liaison inter-établissement vers TO "/>
    <m/>
    <e v="#N/A"/>
    <e v="#N/A"/>
    <n v="68004"/>
    <m/>
    <s v="LE CURIEUX PROMOTION"/>
    <s v="Q1"/>
    <e v="#REF!"/>
    <e v="#REF!"/>
    <e v="#REF!"/>
  </r>
  <r>
    <s v="401000"/>
    <x v="6"/>
    <s v="FOURNISSEURS"/>
    <s v="OD"/>
    <n v="2214"/>
    <d v="2025-03-14T00:00:00"/>
    <s v="Liaison inter-établissement vers TO "/>
    <m/>
    <e v="#N/A"/>
    <e v="#N/A"/>
    <n v="68052"/>
    <m/>
    <s v="ARCANE INDUSTRIE"/>
    <s v="Q1"/>
    <e v="#REF!"/>
    <e v="#REF!"/>
    <e v="#REF!"/>
  </r>
  <r>
    <s v="401000"/>
    <x v="6"/>
    <s v="FOURNISSEURS"/>
    <s v="OD"/>
    <n v="2220"/>
    <d v="2025-09-22T00:00:00"/>
    <s v="Liaison établissement 401000 PIGNAT RO"/>
    <m/>
    <e v="#N/A"/>
    <e v="#N/A"/>
    <n v="82455"/>
    <s v="FACTURE 0017360"/>
    <s v="PIGNAT"/>
    <s v="Q3"/>
    <e v="#REF!"/>
    <e v="#REF!"/>
    <e v="#REF!"/>
  </r>
  <r>
    <s v="401000"/>
    <x v="6"/>
    <s v="FOURNISSEURS"/>
    <s v="OD"/>
    <n v="2232.13"/>
    <d v="2025-01-15T00:00:00"/>
    <s v="Liaison inter-établissement vers TO "/>
    <m/>
    <e v="#N/A"/>
    <e v="#N/A"/>
    <n v="63683"/>
    <m/>
    <s v="COTE"/>
    <s v="Q1"/>
    <e v="#REF!"/>
    <e v="#REF!"/>
    <e v="#REF!"/>
  </r>
  <r>
    <s v="401000"/>
    <x v="6"/>
    <s v="FOURNISSEURS"/>
    <s v="OD"/>
    <n v="2250"/>
    <d v="2025-07-31T00:00:00"/>
    <s v="Liaison établissement 401000 CHARRIERE LY"/>
    <s v="Non"/>
    <s v="Non"/>
    <e v="#N/A"/>
    <n v="79260"/>
    <s v="PRESTATION CONSEIL DISTRIBUTION E. CHARRIERE"/>
    <s v="CHARRIERE Eugenie"/>
    <s v="Q3"/>
    <e v="#REF!"/>
    <e v="#REF!"/>
    <e v="#REF!"/>
  </r>
  <r>
    <s v="401000"/>
    <x v="6"/>
    <s v="FOURNISSEURS"/>
    <s v="OD"/>
    <n v="2308.36"/>
    <d v="2025-08-21T00:00:00"/>
    <s v="Liaison établissement 401000 CJLAB RO"/>
    <m/>
    <e v="#N/A"/>
    <e v="#N/A"/>
    <n v="81466"/>
    <s v="INTERVENTION SUR HPLC ROUSSILLON"/>
    <s v="C.J. LAB"/>
    <s v="Q3"/>
    <e v="#REF!"/>
    <e v="#REF!"/>
    <e v="#REF!"/>
  </r>
  <r>
    <s v="401000"/>
    <x v="6"/>
    <s v="FOURNISSEURS"/>
    <s v="OD"/>
    <n v="2310.9899999999998"/>
    <d v="2025-08-18T00:00:00"/>
    <s v="Liaison établissement 401000 NEILB LY"/>
    <s v="Non"/>
    <s v="Non"/>
    <e v="#N/A"/>
    <n v="81177"/>
    <s v="MONTHLY CONSULTANCY SERVICES 2025_04"/>
    <s v="NEIL BELL"/>
    <s v="Q3"/>
    <e v="#REF!"/>
    <e v="#REF!"/>
    <e v="#REF!"/>
  </r>
  <r>
    <s v="401000"/>
    <x v="6"/>
    <s v="FOURNISSEURS"/>
    <s v="OD"/>
    <n v="2320"/>
    <d v="2025-06-30T00:00:00"/>
    <s v="Liaison établissement 401000 DOTMATICS KB"/>
    <s v="Non"/>
    <e v="#N/A"/>
    <e v="#N/A"/>
    <n v="76886"/>
    <s v="LICENCES DOTMATICS 2026 - 2 ADDITIONAL CHEMISTRY"/>
    <s v="DOTMATICS LIMITED"/>
    <s v="Q2"/>
    <e v="#REF!"/>
    <e v="#REF!"/>
    <e v="#REF!"/>
  </r>
  <r>
    <s v="401000"/>
    <x v="6"/>
    <s v="FOURNISSEURS"/>
    <s v="OD"/>
    <n v="2326.1999999999998"/>
    <d v="2025-07-31T00:00:00"/>
    <s v="Liaison établissement 401000 RIBIERE RO"/>
    <m/>
    <e v="#N/A"/>
    <e v="#N/A"/>
    <n v="79290"/>
    <s v="DEMO : SÉCURISATION ZONE DÉMONSTRATEUR : - FONDATION POTEAUX EXISTANTS - TERRASSEMENT"/>
    <s v="RIBIERE"/>
    <s v="Q3"/>
    <e v="#REF!"/>
    <e v="#REF!"/>
    <e v="#REF!"/>
  </r>
  <r>
    <s v="401000"/>
    <x v="6"/>
    <s v="FOURNISSEURS"/>
    <s v="OD"/>
    <n v="2328"/>
    <d v="2025-12-05T00:00:00"/>
    <s v="Liaison établissement 401000 HIPOLITO LY"/>
    <m/>
    <e v="#N/A"/>
    <e v="#N/A"/>
    <n v="91364"/>
    <s v="2025/156"/>
    <s v="HIPOLITO"/>
    <s v="Q4"/>
    <e v="#REF!"/>
    <e v="#REF!"/>
    <e v="#REF!"/>
  </r>
  <r>
    <s v="401000"/>
    <x v="6"/>
    <s v="FOURNISSEURS"/>
    <s v="OD"/>
    <n v="2335.12"/>
    <d v="2025-12-30T00:00:00"/>
    <s v="Liaison établissement 401000 CLOUP KB"/>
    <m/>
    <e v="#N/A"/>
    <e v="#N/A"/>
    <n v="93795"/>
    <s v="0190171"/>
    <s v="CLOUP"/>
    <s v="Q4"/>
    <e v="#REF!"/>
    <e v="#REF!"/>
    <e v="#REF!"/>
  </r>
  <r>
    <s v="401000"/>
    <x v="6"/>
    <s v="FOURNISSEURS"/>
    <s v="OD"/>
    <n v="2340"/>
    <d v="2025-01-18T00:00:00"/>
    <s v="Liaison inter-établissement vers TO "/>
    <m/>
    <e v="#N/A"/>
    <e v="#N/A"/>
    <n v="70106"/>
    <m/>
    <s v="CIAMT"/>
    <s v="Q1"/>
    <e v="#REF!"/>
    <e v="#REF!"/>
    <e v="#REF!"/>
  </r>
  <r>
    <s v="401000"/>
    <x v="6"/>
    <s v="FOURNISSEURS"/>
    <s v="OD"/>
    <n v="2350.5"/>
    <d v="2025-03-06T00:00:00"/>
    <s v="Liaison inter-établissement vers TO "/>
    <m/>
    <e v="#N/A"/>
    <e v="#N/A"/>
    <n v="69965"/>
    <m/>
    <s v="Eurofins BLC Leather Technology Centre Limited"/>
    <s v="Q1"/>
    <e v="#REF!"/>
    <e v="#REF!"/>
    <e v="#REF!"/>
  </r>
  <r>
    <s v="401000"/>
    <x v="6"/>
    <s v="FOURNISSEURS"/>
    <s v="OD"/>
    <n v="2400"/>
    <d v="2025-04-18T00:00:00"/>
    <s v="Liaison établissement 401000 BUSINOVE KB"/>
    <s v="Non"/>
    <s v="Non"/>
    <e v="#N/A"/>
    <n v="68147"/>
    <s v="Invoice Payment by Pili"/>
    <s v="BUSINOVE"/>
    <s v="Q2"/>
    <e v="#REF!"/>
    <e v="#REF!"/>
    <e v="#REF!"/>
  </r>
  <r>
    <s v="401000"/>
    <x v="6"/>
    <s v="FOURNISSEURS"/>
    <s v="OD"/>
    <n v="2400"/>
    <d v="2025-10-31T00:00:00"/>
    <s v="Avoir WiSeed"/>
    <s v="Non"/>
    <s v="Non"/>
    <e v="#N/A"/>
    <n v="87492"/>
    <m/>
    <s v="WiSEED"/>
    <s v="Q4"/>
    <e v="#REF!"/>
    <e v="#REF!"/>
    <e v="#REF!"/>
  </r>
  <r>
    <s v="401000"/>
    <x v="6"/>
    <s v="FOURNISSEURS"/>
    <s v="OD"/>
    <n v="2402.54"/>
    <d v="2025-04-02T00:00:00"/>
    <s v="Liaison inter-établissement vers LY "/>
    <s v="Non"/>
    <s v="Non"/>
    <e v="#N/A"/>
    <n v="76940"/>
    <m/>
    <s v="NEIL BELL"/>
    <s v="Q2"/>
    <e v="#REF!"/>
    <e v="#REF!"/>
    <e v="#REF!"/>
  </r>
  <r>
    <s v="401000"/>
    <x v="6"/>
    <s v="FOURNISSEURS"/>
    <s v="OD"/>
    <n v="2402.54"/>
    <d v="2025-04-02T00:00:00"/>
    <s v="Liaison inter-établissement vers TO "/>
    <s v="Non"/>
    <s v="Non"/>
    <e v="#N/A"/>
    <n v="76932"/>
    <m/>
    <s v="NEIL BELL"/>
    <s v="Q2"/>
    <e v="#REF!"/>
    <e v="#REF!"/>
    <e v="#REF!"/>
  </r>
  <r>
    <s v="401000"/>
    <x v="6"/>
    <s v="FOURNISSEURS"/>
    <s v="OD"/>
    <n v="2402.54"/>
    <d v="2025-04-02T00:00:00"/>
    <s v="Liaison inter-établissement vers TO "/>
    <s v="Non"/>
    <s v="Non"/>
    <e v="#N/A"/>
    <n v="76936"/>
    <m/>
    <s v="NEIL BELL"/>
    <s v="Q2"/>
    <e v="#REF!"/>
    <e v="#REF!"/>
    <e v="#REF!"/>
  </r>
  <r>
    <s v="401000"/>
    <x v="6"/>
    <s v="FOURNISSEURS"/>
    <s v="OD"/>
    <n v="2408.88"/>
    <d v="2025-07-18T00:00:00"/>
    <s v="Liaison établissement 401000 NEILB LY"/>
    <s v="Non"/>
    <s v="Non"/>
    <e v="#N/A"/>
    <n v="78321"/>
    <s v="MONTHLY CONSULTANCE SERVICES 2025_03"/>
    <s v="NEIL BELL"/>
    <s v="Q3"/>
    <e v="#REF!"/>
    <e v="#REF!"/>
    <e v="#REF!"/>
  </r>
  <r>
    <s v="401000"/>
    <x v="6"/>
    <s v="FOURNISSEURS"/>
    <s v="OD"/>
    <n v="2412.63"/>
    <d v="2025-07-01T00:00:00"/>
    <s v="Liaison inter-établissement vers TO "/>
    <s v="Non"/>
    <s v="Non"/>
    <e v="#N/A"/>
    <n v="76956"/>
    <m/>
    <s v="NEIL BELL"/>
    <s v="Q3"/>
    <e v="#REF!"/>
    <e v="#REF!"/>
    <e v="#REF!"/>
  </r>
  <r>
    <s v="401000"/>
    <x v="6"/>
    <s v="FOURNISSEURS"/>
    <s v="OD"/>
    <n v="2450.7399999999998"/>
    <d v="2025-03-26T00:00:00"/>
    <s v="Liaison inter-établissement vers TO "/>
    <m/>
    <e v="#N/A"/>
    <e v="#N/A"/>
    <n v="68000"/>
    <m/>
    <s v="DENIOS"/>
    <s v="Q1"/>
    <e v="#REF!"/>
    <e v="#REF!"/>
    <e v="#REF!"/>
  </r>
  <r>
    <s v="401000"/>
    <x v="6"/>
    <s v="FOURNISSEURS"/>
    <s v="OD"/>
    <n v="2472"/>
    <d v="2025-01-30T00:00:00"/>
    <s v="Liaison inter-établissement vers TO "/>
    <m/>
    <e v="#N/A"/>
    <e v="#N/A"/>
    <n v="63877"/>
    <m/>
    <s v="SMTS"/>
    <s v="Q1"/>
    <e v="#REF!"/>
    <e v="#REF!"/>
    <e v="#REF!"/>
  </r>
  <r>
    <s v="401000"/>
    <x v="6"/>
    <s v="FOURNISSEURS"/>
    <s v="OD"/>
    <n v="2500"/>
    <d v="2025-05-08T00:00:00"/>
    <m/>
    <m/>
    <e v="#N/A"/>
    <e v="#N/A"/>
    <n v="84975"/>
    <m/>
    <s v="BPI FRANCE"/>
    <s v="Q2"/>
    <e v="#REF!"/>
    <e v="#REF!"/>
    <e v="#REF!"/>
  </r>
  <r>
    <s v="401000"/>
    <x v="6"/>
    <s v="FOURNISSEURS"/>
    <s v="OD"/>
    <n v="2560.1"/>
    <d v="2025-09-03T00:00:00"/>
    <s v="Liaison inter-établissement vers KB "/>
    <m/>
    <e v="#N/A"/>
    <e v="#N/A"/>
    <n v="87481"/>
    <m/>
    <s v="DENIOS"/>
    <s v="Q3"/>
    <e v="#REF!"/>
    <e v="#REF!"/>
    <e v="#REF!"/>
  </r>
  <r>
    <s v="401000"/>
    <x v="6"/>
    <s v="FOURNISSEURS"/>
    <s v="OD"/>
    <n v="2590"/>
    <d v="2025-07-09T00:00:00"/>
    <s v="Liaison établissement 401000 BIOTIKA RO"/>
    <s v="Non"/>
    <e v="#N/A"/>
    <e v="#N/A"/>
    <n v="77204"/>
    <s v="TRANSPORTATION COSTS"/>
    <s v="BIOTIKA"/>
    <s v="Q3"/>
    <e v="#REF!"/>
    <e v="#REF!"/>
    <e v="#REF!"/>
  </r>
  <r>
    <s v="401000"/>
    <x v="6"/>
    <s v="FOURNISSEURS"/>
    <s v="OD"/>
    <n v="2628"/>
    <d v="2025-03-19T00:00:00"/>
    <s v="Liaison inter-établissement vers TO "/>
    <m/>
    <s v="Non"/>
    <n v="0"/>
    <n v="64401"/>
    <m/>
    <s v="CEGOS"/>
    <s v="Q1"/>
    <e v="#REF!"/>
    <e v="#REF!"/>
    <e v="#REF!"/>
  </r>
  <r>
    <s v="401000"/>
    <x v="6"/>
    <s v="FOURNISSEURS"/>
    <s v="OD"/>
    <n v="2657.84"/>
    <d v="2025-02-15T00:00:00"/>
    <s v="Liaison inter-établissement vers TO "/>
    <m/>
    <s v="Non"/>
    <e v="#N/A"/>
    <n v="64289"/>
    <m/>
    <s v="DIVERS"/>
    <s v="Q1"/>
    <e v="#REF!"/>
    <e v="#REF!"/>
    <e v="#REF!"/>
  </r>
  <r>
    <s v="401000"/>
    <x v="6"/>
    <s v="FOURNISSEURS"/>
    <s v="OD"/>
    <n v="2684.62"/>
    <d v="2025-10-31T00:00:00"/>
    <s v="Liaison établissement 401000 CLOUP RO"/>
    <m/>
    <e v="#N/A"/>
    <e v="#N/A"/>
    <n v="87539"/>
    <s v="0189108"/>
    <s v="CLOUP"/>
    <s v="Q4"/>
    <e v="#REF!"/>
    <e v="#REF!"/>
    <e v="#REF!"/>
  </r>
  <r>
    <s v="401000"/>
    <x v="6"/>
    <s v="FOURNISSEURS"/>
    <s v="OD"/>
    <n v="2700"/>
    <d v="2025-05-26T00:00:00"/>
    <s v="Liaison inter-établissement vers TO "/>
    <m/>
    <s v="Non"/>
    <e v="#N/A"/>
    <n v="74116"/>
    <m/>
    <s v="AXE GESCOM"/>
    <s v="Q2"/>
    <e v="#REF!"/>
    <e v="#REF!"/>
    <e v="#REF!"/>
  </r>
  <r>
    <s v="401000"/>
    <x v="6"/>
    <s v="FOURNISSEURS"/>
    <s v="OD"/>
    <n v="2700"/>
    <d v="2025-08-28T00:00:00"/>
    <s v="Liaison inter-établissement vers TO "/>
    <m/>
    <s v="Non"/>
    <e v="#N/A"/>
    <n v="82139"/>
    <m/>
    <s v="AXE GESCOM"/>
    <s v="Q3"/>
    <e v="#REF!"/>
    <e v="#REF!"/>
    <e v="#REF!"/>
  </r>
  <r>
    <s v="401000"/>
    <x v="6"/>
    <s v="FOURNISSEURS"/>
    <s v="OD"/>
    <n v="2700"/>
    <d v="2025-11-28T00:00:00"/>
    <s v="Liaison inter-établissement vers TO "/>
    <m/>
    <s v="Non"/>
    <e v="#N/A"/>
    <n v="91283"/>
    <m/>
    <s v="AXE GESCOM"/>
    <s v="Q4"/>
    <e v="#REF!"/>
    <e v="#REF!"/>
    <e v="#REF!"/>
  </r>
  <r>
    <s v="401000"/>
    <x v="6"/>
    <s v="FOURNISSEURS"/>
    <s v="OD"/>
    <n v="2806.51"/>
    <d v="2025-02-18T00:00:00"/>
    <s v="Liaison inter-établissement vers TO "/>
    <s v="Non"/>
    <s v="Non"/>
    <e v="#N/A"/>
    <n v="61649"/>
    <m/>
    <s v="F2P AUDIT &amp; CONSEIL"/>
    <s v="Q1"/>
    <e v="#REF!"/>
    <e v="#REF!"/>
    <e v="#REF!"/>
  </r>
  <r>
    <s v="401000"/>
    <x v="6"/>
    <s v="FOURNISSEURS"/>
    <s v="OD"/>
    <n v="2862"/>
    <d v="2025-12-29T00:00:00"/>
    <s v="Liaison inter-établissement vers TO "/>
    <m/>
    <s v="Non"/>
    <e v="#N/A"/>
    <n v="93709"/>
    <m/>
    <s v="AXE GESCOM"/>
    <s v="Q4"/>
    <e v="#REF!"/>
    <e v="#REF!"/>
    <e v="#REF!"/>
  </r>
  <r>
    <s v="401000"/>
    <x v="6"/>
    <s v="FOURNISSEURS"/>
    <s v="OD"/>
    <n v="2875"/>
    <d v="2025-05-07T00:00:00"/>
    <s v="Liaison établissement 401000 ACDV KB"/>
    <m/>
    <s v="Non"/>
    <s v="Oui"/>
    <n v="71759"/>
    <s v="COTISATION 2025"/>
    <s v="ASSOCIATION CHIMIE DU VEGETAL"/>
    <s v="Q2"/>
    <e v="#REF!"/>
    <e v="#REF!"/>
    <e v="#REF!"/>
  </r>
  <r>
    <s v="401000"/>
    <x v="6"/>
    <s v="FOURNISSEURS"/>
    <s v="OD"/>
    <n v="2880"/>
    <d v="2025-10-03T00:00:00"/>
    <s v="Liaison établissement 401000 DMI RO"/>
    <m/>
    <e v="#N/A"/>
    <e v="#N/A"/>
    <n v="82703"/>
    <s v="FACT1901"/>
    <s v="DMI"/>
    <s v="Q4"/>
    <e v="#REF!"/>
    <e v="#REF!"/>
    <e v="#REF!"/>
  </r>
  <r>
    <s v="401000"/>
    <x v="6"/>
    <s v="FOURNISSEURS"/>
    <s v="OD"/>
    <n v="2886.24"/>
    <d v="2025-10-31T00:00:00"/>
    <s v="Liaison établissement 401000 LABSERVICES RO"/>
    <m/>
    <e v="#N/A"/>
    <e v="#N/A"/>
    <n v="87559"/>
    <s v="LSE-049745"/>
    <s v="LABSERVICES"/>
    <s v="Q4"/>
    <e v="#REF!"/>
    <e v="#REF!"/>
    <e v="#REF!"/>
  </r>
  <r>
    <s v="401000"/>
    <x v="6"/>
    <s v="FOURNISSEURS"/>
    <s v="OD"/>
    <n v="2896.04"/>
    <d v="2025-11-17T00:00:00"/>
    <s v="Liaison établissement 401000 TRAITEUR GRAND LY"/>
    <m/>
    <e v="#N/A"/>
    <e v="#N/A"/>
    <n v="90126"/>
    <s v="PRESTATION TRAITEUR SÉMINAIRE PILI"/>
    <s v="TRAITEUR GRAND"/>
    <s v="Q4"/>
    <e v="#REF!"/>
    <e v="#REF!"/>
    <e v="#REF!"/>
  </r>
  <r>
    <s v="401000"/>
    <x v="6"/>
    <s v="FOURNISSEURS"/>
    <s v="OD"/>
    <n v="2904"/>
    <d v="2025-11-28T00:00:00"/>
    <s v="Liaison établissement 401000 INSAR RO"/>
    <m/>
    <e v="#N/A"/>
    <e v="#N/A"/>
    <n v="91206"/>
    <s v="FAR-2025-000189"/>
    <s v="INSA ROUEN"/>
    <s v="Q4"/>
    <e v="#REF!"/>
    <e v="#REF!"/>
    <e v="#REF!"/>
  </r>
  <r>
    <s v="401000"/>
    <x v="6"/>
    <s v="FOURNISSEURS"/>
    <s v="OD"/>
    <n v="2904"/>
    <d v="2025-12-10T00:00:00"/>
    <s v="Liaison établissement 401000 INSAR RO"/>
    <m/>
    <e v="#N/A"/>
    <e v="#N/A"/>
    <n v="92069"/>
    <s v="FAR-2025-000562"/>
    <s v="INSA ROUEN"/>
    <s v="Q4"/>
    <e v="#REF!"/>
    <e v="#REF!"/>
    <e v="#REF!"/>
  </r>
  <r>
    <s v="401000"/>
    <x v="6"/>
    <s v="FOURNISSEURS"/>
    <s v="OD"/>
    <n v="2904"/>
    <d v="2025-12-30T00:00:00"/>
    <s v="Liaison établissement 401000 INSAR RO"/>
    <m/>
    <e v="#N/A"/>
    <e v="#N/A"/>
    <n v="93726"/>
    <s v="FAR-2025-000749"/>
    <s v="INSA ROUEN"/>
    <s v="Q4"/>
    <e v="#REF!"/>
    <e v="#REF!"/>
    <e v="#REF!"/>
  </r>
  <r>
    <s v="401000"/>
    <x v="6"/>
    <s v="FOURNISSEURS"/>
    <s v="OD"/>
    <n v="2907.91"/>
    <d v="2025-03-14T00:00:00"/>
    <s v="Liaison inter-établissement vers TO "/>
    <s v="Non"/>
    <s v="Non"/>
    <e v="#N/A"/>
    <n v="64425"/>
    <m/>
    <s v="F2P AUDIT &amp; CONSEIL"/>
    <s v="Q1"/>
    <e v="#REF!"/>
    <e v="#REF!"/>
    <e v="#REF!"/>
  </r>
  <r>
    <s v="401000"/>
    <x v="6"/>
    <s v="FOURNISSEURS"/>
    <s v="OD"/>
    <n v="2913.06"/>
    <d v="2025-01-17T00:00:00"/>
    <m/>
    <m/>
    <e v="#N/A"/>
    <e v="#N/A"/>
    <n v="71895"/>
    <m/>
    <s v="PROMINENT"/>
    <s v="Q1"/>
    <e v="#REF!"/>
    <e v="#REF!"/>
    <e v="#REF!"/>
  </r>
  <r>
    <s v="401000"/>
    <x v="6"/>
    <s v="FOURNISSEURS"/>
    <s v="OD"/>
    <n v="2913.06"/>
    <d v="2025-01-17T00:00:00"/>
    <s v="Liaison inter-établissement vers TO "/>
    <m/>
    <e v="#N/A"/>
    <e v="#N/A"/>
    <n v="71897"/>
    <m/>
    <s v="PROMINENT"/>
    <s v="Q1"/>
    <e v="#REF!"/>
    <e v="#REF!"/>
    <e v="#REF!"/>
  </r>
  <r>
    <s v="401000"/>
    <x v="6"/>
    <s v="FOURNISSEURS"/>
    <s v="OD"/>
    <n v="2958.01"/>
    <d v="2025-01-31T00:00:00"/>
    <s v="REGUL TROP VERSE BRENNTAG"/>
    <m/>
    <e v="#N/A"/>
    <e v="#N/A"/>
    <n v="82266"/>
    <m/>
    <s v="BRENNTAG"/>
    <s v="Q1"/>
    <e v="#REF!"/>
    <e v="#REF!"/>
    <e v="#REF!"/>
  </r>
  <r>
    <s v="401000"/>
    <x v="6"/>
    <s v="FOURNISSEURS"/>
    <s v="OD"/>
    <n v="3000"/>
    <d v="2025-02-18T00:00:00"/>
    <s v="Liaison inter-établissement vers TO "/>
    <s v="Non"/>
    <s v="Non"/>
    <e v="#N/A"/>
    <n v="63603"/>
    <m/>
    <s v="WE ARE BOLD"/>
    <s v="Q1"/>
    <e v="#REF!"/>
    <e v="#REF!"/>
    <e v="#REF!"/>
  </r>
  <r>
    <s v="401000"/>
    <x v="6"/>
    <s v="FOURNISSEURS"/>
    <s v="OD"/>
    <n v="3000"/>
    <d v="2025-03-19T00:00:00"/>
    <s v="Liaison inter-établissement vers TO "/>
    <s v="Non"/>
    <s v="Non"/>
    <e v="#N/A"/>
    <n v="63595"/>
    <m/>
    <s v="WE ARE BOLD"/>
    <s v="Q1"/>
    <e v="#REF!"/>
    <e v="#REF!"/>
    <e v="#REF!"/>
  </r>
  <r>
    <s v="401000"/>
    <x v="6"/>
    <s v="FOURNISSEURS"/>
    <s v="OD"/>
    <n v="3000"/>
    <d v="2025-04-15T00:00:00"/>
    <s v="Liaison inter-établissement vers TO "/>
    <s v="Non"/>
    <s v="Non"/>
    <e v="#N/A"/>
    <n v="68024"/>
    <m/>
    <s v="WE ARE BOLD"/>
    <s v="Q2"/>
    <e v="#REF!"/>
    <e v="#REF!"/>
    <e v="#REF!"/>
  </r>
  <r>
    <s v="401000"/>
    <x v="6"/>
    <s v="FOURNISSEURS"/>
    <s v="OD"/>
    <n v="3000"/>
    <d v="2025-06-02T00:00:00"/>
    <s v="Liaison établissement 401000 BOLD KB"/>
    <s v="Non"/>
    <s v="Non"/>
    <e v="#N/A"/>
    <n v="75236"/>
    <s v="Invoice Payment By Pili"/>
    <s v="WE ARE BOLD"/>
    <s v="Q2"/>
    <e v="#REF!"/>
    <e v="#REF!"/>
    <e v="#REF!"/>
  </r>
  <r>
    <s v="401000"/>
    <x v="6"/>
    <s v="FOURNISSEURS"/>
    <s v="OD"/>
    <n v="3000"/>
    <d v="2025-07-31T00:00:00"/>
    <s v="Liaison établissement 401000 BOLD KB"/>
    <s v="Non"/>
    <s v="Non"/>
    <e v="#N/A"/>
    <n v="79255"/>
    <s v="FORFAIT JURIDIQUE 2025_05"/>
    <s v="WE ARE BOLD"/>
    <s v="Q3"/>
    <e v="#REF!"/>
    <e v="#REF!"/>
    <e v="#REF!"/>
  </r>
  <r>
    <s v="401000"/>
    <x v="6"/>
    <s v="FOURNISSEURS"/>
    <s v="OD"/>
    <n v="3000"/>
    <d v="2025-08-21T00:00:00"/>
    <s v="Liaison établissement 401000 BOLD KB"/>
    <s v="Non"/>
    <s v="Non"/>
    <e v="#N/A"/>
    <n v="81420"/>
    <s v="PRESTATION BOLD"/>
    <s v="WE ARE BOLD"/>
    <s v="Q3"/>
    <e v="#REF!"/>
    <e v="#REF!"/>
    <e v="#REF!"/>
  </r>
  <r>
    <s v="401000"/>
    <x v="6"/>
    <s v="FOURNISSEURS"/>
    <s v="OD"/>
    <n v="3000"/>
    <d v="2025-09-12T00:00:00"/>
    <s v="Liaison établissement 401000 BOLD KB"/>
    <s v="Non"/>
    <s v="Non"/>
    <e v="#N/A"/>
    <n v="81990"/>
    <s v="FORFAIT JURIDIQUE"/>
    <s v="WE ARE BOLD"/>
    <s v="Q3"/>
    <e v="#REF!"/>
    <e v="#REF!"/>
    <e v="#REF!"/>
  </r>
  <r>
    <s v="401000"/>
    <x v="6"/>
    <s v="FOURNISSEURS"/>
    <s v="OD"/>
    <n v="3027.91"/>
    <d v="2025-04-08T00:00:00"/>
    <s v="Liaison inter-établissement vers TO "/>
    <s v="Non"/>
    <s v="Non"/>
    <e v="#N/A"/>
    <n v="67996"/>
    <m/>
    <s v="F2P AUDIT &amp; CONSEIL"/>
    <s v="Q2"/>
    <e v="#REF!"/>
    <e v="#REF!"/>
    <e v="#REF!"/>
  </r>
  <r>
    <s v="401000"/>
    <x v="6"/>
    <s v="FOURNISSEURS"/>
    <s v="OD"/>
    <n v="3120"/>
    <d v="2025-05-07T00:00:00"/>
    <s v="Liaison établissement 401000 PAGE KB"/>
    <s v="Non"/>
    <s v="Non"/>
    <e v="#N/A"/>
    <n v="71800"/>
    <s v="PACK EXPERT PLUSMP"/>
    <s v="MICHAEL PAGE"/>
    <s v="Q2"/>
    <e v="#REF!"/>
    <e v="#REF!"/>
    <e v="#REF!"/>
  </r>
  <r>
    <s v="401000"/>
    <x v="6"/>
    <s v="FOURNISSEURS"/>
    <s v="OD"/>
    <n v="3316.8"/>
    <d v="2025-01-31T00:00:00"/>
    <s v="Liaison inter-établissement vers TO "/>
    <m/>
    <e v="#N/A"/>
    <e v="#N/A"/>
    <n v="64241"/>
    <m/>
    <s v="ACTEA"/>
    <s v="Q1"/>
    <e v="#REF!"/>
    <e v="#REF!"/>
    <e v="#REF!"/>
  </r>
  <r>
    <s v="401000"/>
    <x v="6"/>
    <s v="FOURNISSEURS"/>
    <s v="OD"/>
    <n v="3316.8"/>
    <d v="2025-02-28T00:00:00"/>
    <s v="Liaison inter-établissement vers TO "/>
    <m/>
    <e v="#N/A"/>
    <e v="#N/A"/>
    <n v="64245"/>
    <m/>
    <s v="ACTEA"/>
    <s v="Q1"/>
    <e v="#REF!"/>
    <e v="#REF!"/>
    <e v="#REF!"/>
  </r>
  <r>
    <s v="401000"/>
    <x v="6"/>
    <s v="FOURNISSEURS"/>
    <s v="OD"/>
    <n v="3316.8"/>
    <d v="2025-03-31T00:00:00"/>
    <s v="Liaison inter-établissement vers TO "/>
    <m/>
    <e v="#N/A"/>
    <e v="#N/A"/>
    <n v="64393"/>
    <m/>
    <s v="ACTEA"/>
    <s v="Q1"/>
    <e v="#REF!"/>
    <e v="#REF!"/>
    <e v="#REF!"/>
  </r>
  <r>
    <s v="401000"/>
    <x v="6"/>
    <s v="FOURNISSEURS"/>
    <s v="OD"/>
    <n v="3316.8"/>
    <d v="2025-04-30T00:00:00"/>
    <s v="Liaison inter-établissement vers TO "/>
    <m/>
    <e v="#N/A"/>
    <e v="#N/A"/>
    <n v="67984"/>
    <m/>
    <s v="ACTEA"/>
    <s v="Q2"/>
    <e v="#REF!"/>
    <e v="#REF!"/>
    <e v="#REF!"/>
  </r>
  <r>
    <s v="401000"/>
    <x v="6"/>
    <s v="FOURNISSEURS"/>
    <s v="OD"/>
    <n v="3316.8"/>
    <d v="2025-05-31T00:00:00"/>
    <s v="Liaison inter-établissement vers TO "/>
    <m/>
    <e v="#N/A"/>
    <e v="#N/A"/>
    <n v="71385"/>
    <m/>
    <s v="ACTEA"/>
    <s v="Q2"/>
    <e v="#REF!"/>
    <e v="#REF!"/>
    <e v="#REF!"/>
  </r>
  <r>
    <s v="401000"/>
    <x v="6"/>
    <s v="FOURNISSEURS"/>
    <s v="OD"/>
    <n v="3316.8"/>
    <d v="2025-06-30T00:00:00"/>
    <s v="Liaison inter-établissement vers TO "/>
    <m/>
    <e v="#N/A"/>
    <e v="#N/A"/>
    <n v="75305"/>
    <m/>
    <s v="ACTEA"/>
    <s v="Q2"/>
    <e v="#REF!"/>
    <e v="#REF!"/>
    <e v="#REF!"/>
  </r>
  <r>
    <s v="401000"/>
    <x v="6"/>
    <s v="FOURNISSEURS"/>
    <s v="OD"/>
    <n v="3316.8"/>
    <d v="2025-07-01T00:00:00"/>
    <s v="Liaison inter-établissement vers TO "/>
    <m/>
    <e v="#N/A"/>
    <e v="#N/A"/>
    <n v="77076"/>
    <m/>
    <s v="ACTEA"/>
    <s v="Q3"/>
    <e v="#REF!"/>
    <e v="#REF!"/>
    <e v="#REF!"/>
  </r>
  <r>
    <s v="401000"/>
    <x v="6"/>
    <s v="FOURNISSEURS"/>
    <s v="OD"/>
    <n v="3316.8"/>
    <d v="2025-08-01T00:00:00"/>
    <s v="Liaison inter-établissement vers TO "/>
    <m/>
    <e v="#N/A"/>
    <e v="#N/A"/>
    <n v="80675"/>
    <m/>
    <s v="ACTEA"/>
    <s v="Q3"/>
    <e v="#REF!"/>
    <e v="#REF!"/>
    <e v="#REF!"/>
  </r>
  <r>
    <s v="401000"/>
    <x v="6"/>
    <s v="FOURNISSEURS"/>
    <s v="OD"/>
    <n v="3316.8"/>
    <d v="2025-09-01T00:00:00"/>
    <s v="Liaison inter-établissement vers TO "/>
    <m/>
    <e v="#N/A"/>
    <e v="#N/A"/>
    <n v="81687"/>
    <m/>
    <s v="ACTEA"/>
    <s v="Q3"/>
    <e v="#REF!"/>
    <e v="#REF!"/>
    <e v="#REF!"/>
  </r>
  <r>
    <s v="401000"/>
    <x v="6"/>
    <s v="FOURNISSEURS"/>
    <s v="OD"/>
    <n v="3316.8"/>
    <d v="2025-10-01T00:00:00"/>
    <s v="Liaison inter-établissement vers TO "/>
    <m/>
    <e v="#N/A"/>
    <e v="#N/A"/>
    <n v="82816"/>
    <m/>
    <s v="ACTEA"/>
    <s v="Q4"/>
    <e v="#REF!"/>
    <e v="#REF!"/>
    <e v="#REF!"/>
  </r>
  <r>
    <s v="401000"/>
    <x v="6"/>
    <s v="FOURNISSEURS"/>
    <s v="OD"/>
    <n v="3316.8"/>
    <d v="2025-11-03T00:00:00"/>
    <s v="Liaison inter-établissement vers TO "/>
    <m/>
    <e v="#N/A"/>
    <e v="#N/A"/>
    <n v="87993"/>
    <m/>
    <s v="ACTEA"/>
    <s v="Q4"/>
    <e v="#REF!"/>
    <e v="#REF!"/>
    <e v="#REF!"/>
  </r>
  <r>
    <s v="401000"/>
    <x v="6"/>
    <s v="FOURNISSEURS"/>
    <s v="OD"/>
    <n v="3316.8"/>
    <d v="2025-12-01T00:00:00"/>
    <s v="Liaison inter-établissement vers TO "/>
    <m/>
    <e v="#N/A"/>
    <e v="#N/A"/>
    <n v="91309"/>
    <m/>
    <s v="ACTEA"/>
    <s v="Q4"/>
    <e v="#REF!"/>
    <e v="#REF!"/>
    <e v="#REF!"/>
  </r>
  <r>
    <s v="401000"/>
    <x v="6"/>
    <s v="FOURNISSEURS"/>
    <s v="OD"/>
    <n v="3408"/>
    <d v="2025-01-30T00:00:00"/>
    <s v="Liaison inter-établissement vers TO "/>
    <m/>
    <e v="#N/A"/>
    <e v="#N/A"/>
    <n v="63929"/>
    <m/>
    <s v="VALENTIN"/>
    <s v="Q1"/>
    <e v="#REF!"/>
    <e v="#REF!"/>
    <e v="#REF!"/>
  </r>
  <r>
    <s v="401000"/>
    <x v="6"/>
    <s v="FOURNISSEURS"/>
    <s v="OD"/>
    <n v="3412.99"/>
    <d v="2025-01-31T00:00:00"/>
    <s v="INTERETS CREDITEURS Q4 2024"/>
    <m/>
    <e v="#N/A"/>
    <e v="#N/A"/>
    <n v="82938"/>
    <m/>
    <s v="Banque Populaire Rive de Paris"/>
    <s v="Q1"/>
    <e v="#REF!"/>
    <e v="#REF!"/>
    <e v="#REF!"/>
  </r>
  <r>
    <s v="401000"/>
    <x v="6"/>
    <s v="FOURNISSEURS"/>
    <s v="OD"/>
    <n v="3462.75"/>
    <d v="2025-02-25T00:00:00"/>
    <s v="Liaison inter-établissement vers TO "/>
    <m/>
    <e v="#N/A"/>
    <e v="#N/A"/>
    <n v="72802"/>
    <m/>
    <s v="NEGATIF -"/>
    <s v="Q1"/>
    <e v="#REF!"/>
    <e v="#REF!"/>
    <e v="#REF!"/>
  </r>
  <r>
    <s v="401000"/>
    <x v="6"/>
    <s v="FOURNISSEURS"/>
    <s v="OD"/>
    <n v="3499.2"/>
    <d v="2025-01-30T00:00:00"/>
    <s v="Liaison inter-établissement vers TO "/>
    <m/>
    <e v="#N/A"/>
    <e v="#N/A"/>
    <n v="63499"/>
    <m/>
    <s v="ADVERIS"/>
    <s v="Q1"/>
    <e v="#REF!"/>
    <e v="#REF!"/>
    <e v="#REF!"/>
  </r>
  <r>
    <s v="401000"/>
    <x v="6"/>
    <s v="FOURNISSEURS"/>
    <s v="OD"/>
    <n v="3516.48"/>
    <d v="2025-04-18T00:00:00"/>
    <s v="Liaison établissement 401000 CHIMIREC RO"/>
    <m/>
    <s v="Non"/>
    <n v="0"/>
    <n v="68157"/>
    <s v="Invoice Payment by Pili"/>
    <s v="CHIMIREC CENTRE EST"/>
    <s v="Q2"/>
    <e v="#REF!"/>
    <e v="#REF!"/>
    <e v="#REF!"/>
  </r>
  <r>
    <s v="401000"/>
    <x v="6"/>
    <s v="FOURNISSEURS"/>
    <s v="OD"/>
    <n v="3547.5"/>
    <d v="2025-02-18T00:00:00"/>
    <s v="Liaison inter-établissement vers TO "/>
    <s v="Non"/>
    <s v="Non"/>
    <e v="#N/A"/>
    <n v="63515"/>
    <m/>
    <s v="ALTAIR AVOCATS"/>
    <s v="Q1"/>
    <e v="#REF!"/>
    <e v="#REF!"/>
    <e v="#REF!"/>
  </r>
  <r>
    <s v="401000"/>
    <x v="6"/>
    <s v="FOURNISSEURS"/>
    <s v="OD"/>
    <n v="3568.48"/>
    <d v="2025-11-28T00:00:00"/>
    <s v="Liaison établissement 401000 CHIMIREC RO"/>
    <m/>
    <s v="Non"/>
    <n v="0"/>
    <n v="91211"/>
    <s v="F061358047"/>
    <s v="CHIMIREC CENTRE EST"/>
    <s v="Q4"/>
    <e v="#REF!"/>
    <e v="#REF!"/>
    <e v="#REF!"/>
  </r>
  <r>
    <s v="401000"/>
    <x v="6"/>
    <s v="FOURNISSEURS"/>
    <s v="OD"/>
    <n v="3574.97"/>
    <d v="2025-12-30T00:00:00"/>
    <s v="Liaison établissement 401000 BIOTIKA RO"/>
    <s v="Non"/>
    <e v="#N/A"/>
    <e v="#N/A"/>
    <n v="93775"/>
    <s v="91250196"/>
    <s v="BIOTIKA"/>
    <s v="Q4"/>
    <e v="#REF!"/>
    <e v="#REF!"/>
    <e v="#REF!"/>
  </r>
  <r>
    <s v="401000"/>
    <x v="6"/>
    <s v="FOURNISSEURS"/>
    <s v="OD"/>
    <n v="3588"/>
    <d v="2025-04-18T00:00:00"/>
    <s v="Liaison établissement 401000 HAYS KB"/>
    <m/>
    <s v="Non"/>
    <e v="#N/A"/>
    <n v="68187"/>
    <s v="Invoice Payment by Pili"/>
    <s v="HAYS"/>
    <s v="Q2"/>
    <e v="#REF!"/>
    <e v="#REF!"/>
    <e v="#REF!"/>
  </r>
  <r>
    <s v="401000"/>
    <x v="6"/>
    <s v="FOURNISSEURS"/>
    <s v="OD"/>
    <n v="3684"/>
    <d v="2025-11-28T00:00:00"/>
    <s v="Liaison établissement 401000 ROUSSELET RO"/>
    <s v="Non"/>
    <e v="#N/A"/>
    <e v="#N/A"/>
    <n v="91266"/>
    <s v="FA006465"/>
    <s v="ROUSSELET CENTRIFUGATION"/>
    <s v="Q4"/>
    <e v="#REF!"/>
    <e v="#REF!"/>
    <e v="#REF!"/>
  </r>
  <r>
    <s v="401000"/>
    <x v="6"/>
    <s v="FOURNISSEURS"/>
    <s v="OD"/>
    <n v="3840"/>
    <d v="2025-02-28T00:00:00"/>
    <s v="Liaison inter-établissement vers TO "/>
    <m/>
    <s v="Non"/>
    <e v="#N/A"/>
    <n v="66555"/>
    <m/>
    <s v="AXE GESCOM"/>
    <s v="Q1"/>
    <e v="#REF!"/>
    <e v="#REF!"/>
    <e v="#REF!"/>
  </r>
  <r>
    <s v="401000"/>
    <x v="6"/>
    <s v="FOURNISSEURS"/>
    <s v="OD"/>
    <n v="3871.32"/>
    <d v="2025-02-28T00:00:00"/>
    <s v="Liaison inter-établissement vers TO "/>
    <m/>
    <e v="#N/A"/>
    <e v="#N/A"/>
    <n v="63663"/>
    <m/>
    <s v="FOURE LAGADEC"/>
    <s v="Q1"/>
    <e v="#REF!"/>
    <e v="#REF!"/>
    <e v="#REF!"/>
  </r>
  <r>
    <s v="401000"/>
    <x v="6"/>
    <s v="FOURNISSEURS"/>
    <s v="OD"/>
    <n v="3875"/>
    <d v="2025-06-16T00:00:00"/>
    <s v="Liaison établissement 401000 BIOTIKA RO"/>
    <s v="Non"/>
    <e v="#N/A"/>
    <e v="#N/A"/>
    <n v="76054"/>
    <s v="TRANSPORT COSTS"/>
    <s v="BIOTIKA"/>
    <s v="Q2"/>
    <e v="#REF!"/>
    <e v="#REF!"/>
    <e v="#REF!"/>
  </r>
  <r>
    <s v="401000"/>
    <x v="6"/>
    <s v="FOURNISSEURS"/>
    <s v="OD"/>
    <n v="3940.98"/>
    <d v="2025-03-31T00:00:00"/>
    <s v="INTERETS CREDITEURS Q1 2025"/>
    <m/>
    <e v="#N/A"/>
    <e v="#N/A"/>
    <n v="82940"/>
    <m/>
    <s v="Banque Populaire Rive de Paris"/>
    <s v="Q1"/>
    <e v="#REF!"/>
    <e v="#REF!"/>
    <e v="#REF!"/>
  </r>
  <r>
    <s v="401000"/>
    <x v="6"/>
    <s v="FOURNISSEURS"/>
    <s v="OD"/>
    <n v="4072"/>
    <d v="2025-09-22T00:00:00"/>
    <s v="Liaison établissement 401000 BIOTIKA RO"/>
    <s v="Non"/>
    <e v="#N/A"/>
    <e v="#N/A"/>
    <n v="82380"/>
    <s v="LOCATION EQUIPEMENT FLOTWEG"/>
    <s v="BIOTIKA"/>
    <s v="Q3"/>
    <e v="#REF!"/>
    <e v="#REF!"/>
    <e v="#REF!"/>
  </r>
  <r>
    <s v="401000"/>
    <x v="6"/>
    <s v="FOURNISSEURS"/>
    <s v="OD"/>
    <n v="4200"/>
    <d v="2025-12-10T00:00:00"/>
    <s v="Liaison établissement 401000 HIPOLITO LY"/>
    <m/>
    <e v="#N/A"/>
    <e v="#N/A"/>
    <n v="92043"/>
    <s v="PROJET VIDÉO PILI"/>
    <s v="HIPOLITO"/>
    <s v="Q4"/>
    <e v="#REF!"/>
    <e v="#REF!"/>
    <e v="#REF!"/>
  </r>
  <r>
    <s v="401000"/>
    <x v="6"/>
    <s v="FOURNISSEURS"/>
    <s v="OD"/>
    <n v="4217.22"/>
    <d v="2025-06-16T00:00:00"/>
    <s v="Liaison établissement 401000 MAZARS KB"/>
    <s v="Non"/>
    <s v="Non"/>
    <e v="#N/A"/>
    <n v="76044"/>
    <s v="AUDIT ERD BPI INOV"/>
    <s v="FORVIS MAZARS"/>
    <s v="Q2"/>
    <e v="#REF!"/>
    <e v="#REF!"/>
    <e v="#REF!"/>
  </r>
  <r>
    <s v="401000"/>
    <x v="6"/>
    <s v="FOURNISSEURS"/>
    <s v="OD"/>
    <n v="4344"/>
    <d v="2025-01-30T00:00:00"/>
    <s v="Liaison inter-établissement vers TO "/>
    <s v="Non"/>
    <e v="#N/A"/>
    <e v="#N/A"/>
    <n v="63751"/>
    <m/>
    <s v="LOPEZ PLOMBERIE ELECTRICITE"/>
    <s v="Q1"/>
    <e v="#REF!"/>
    <e v="#REF!"/>
    <e v="#REF!"/>
  </r>
  <r>
    <s v="401000"/>
    <x v="6"/>
    <s v="FOURNISSEURS"/>
    <s v="OD"/>
    <n v="4471.5600000000004"/>
    <d v="2025-04-15T00:00:00"/>
    <s v="Reclassement paiement Hipolito"/>
    <m/>
    <e v="#N/A"/>
    <e v="#N/A"/>
    <n v="82262"/>
    <m/>
    <m/>
    <s v="Q2"/>
    <e v="#REF!"/>
    <e v="#REF!"/>
    <e v="#REF!"/>
  </r>
  <r>
    <s v="401000"/>
    <x v="6"/>
    <s v="FOURNISSEURS"/>
    <s v="OD"/>
    <n v="4471.5600000000004"/>
    <d v="2025-04-18T00:00:00"/>
    <s v="Liaison établissement 401000 HIPOLITO LY"/>
    <m/>
    <e v="#N/A"/>
    <e v="#N/A"/>
    <n v="68192"/>
    <s v="Invoice Payment by Pili"/>
    <s v="HIPOLITO"/>
    <s v="Q2"/>
    <e v="#REF!"/>
    <e v="#REF!"/>
    <e v="#REF!"/>
  </r>
  <r>
    <s v="401000"/>
    <x v="6"/>
    <s v="FOURNISSEURS"/>
    <s v="OD"/>
    <n v="4560"/>
    <d v="2025-02-28T00:00:00"/>
    <s v="Liaison inter-établissement vers TO "/>
    <m/>
    <e v="#N/A"/>
    <e v="#N/A"/>
    <n v="63647"/>
    <m/>
    <s v="DROOMS"/>
    <s v="Q1"/>
    <e v="#REF!"/>
    <e v="#REF!"/>
    <e v="#REF!"/>
  </r>
  <r>
    <s v="401000"/>
    <x v="6"/>
    <s v="FOURNISSEURS"/>
    <s v="OD"/>
    <n v="4632.59"/>
    <d v="2025-04-18T00:00:00"/>
    <s v="Liaison établissement 401000 BIOADVICE KB"/>
    <s v="Non"/>
    <s v="Non"/>
    <e v="#N/A"/>
    <n v="68142"/>
    <s v="Invoice Payment by Pili"/>
    <s v="BIOADVICE"/>
    <s v="Q2"/>
    <e v="#REF!"/>
    <e v="#REF!"/>
    <e v="#REF!"/>
  </r>
  <r>
    <s v="401000"/>
    <x v="6"/>
    <s v="FOURNISSEURS"/>
    <s v="OD"/>
    <n v="4752"/>
    <d v="2025-03-18T00:00:00"/>
    <s v="Liaison inter-établissement vers TO "/>
    <m/>
    <s v="Non"/>
    <e v="#N/A"/>
    <n v="66548"/>
    <m/>
    <s v="AXE GESCOM"/>
    <s v="Q1"/>
    <e v="#REF!"/>
    <e v="#REF!"/>
    <e v="#REF!"/>
  </r>
  <r>
    <s v="401000"/>
    <x v="6"/>
    <s v="FOURNISSEURS"/>
    <s v="OD"/>
    <n v="4782.96"/>
    <d v="2025-02-18T00:00:00"/>
    <s v="Liaison inter-établissement vers TO "/>
    <m/>
    <e v="#N/A"/>
    <e v="#N/A"/>
    <n v="63667"/>
    <m/>
    <s v="FOURE LAGADEC"/>
    <s v="Q1"/>
    <e v="#REF!"/>
    <e v="#REF!"/>
    <e v="#REF!"/>
  </r>
  <r>
    <s v="401000"/>
    <x v="6"/>
    <s v="FOURNISSEURS"/>
    <s v="OD"/>
    <n v="4979.78"/>
    <d v="2025-11-14T00:00:00"/>
    <s v="Liaison établissement 401000 COTE RO"/>
    <m/>
    <e v="#N/A"/>
    <e v="#N/A"/>
    <n v="90006"/>
    <s v="PRISES LABORATOIRE : 1775.13€ PRISES ATEX : 4130.91€ ALIMENTATION CLIM + AIR : 1501.94€ PLANS : 872.75€"/>
    <s v="COTE"/>
    <s v="Q4"/>
    <e v="#REF!"/>
    <e v="#REF!"/>
    <e v="#REF!"/>
  </r>
  <r>
    <s v="401000"/>
    <x v="6"/>
    <s v="FOURNISSEURS"/>
    <s v="OD"/>
    <n v="5000"/>
    <d v="2025-06-30T00:00:00"/>
    <s v="Liaison établissement 401000 BIOTIKA RO"/>
    <s v="Non"/>
    <e v="#N/A"/>
    <e v="#N/A"/>
    <n v="76880"/>
    <s v="SUMMARY REPORT - AGREEMENT"/>
    <s v="BIOTIKA"/>
    <s v="Q2"/>
    <e v="#REF!"/>
    <e v="#REF!"/>
    <e v="#REF!"/>
  </r>
  <r>
    <s v="401000"/>
    <x v="6"/>
    <s v="FOURNISSEURS"/>
    <s v="OD"/>
    <n v="5000"/>
    <d v="2025-07-09T00:00:00"/>
    <s v="Liaison établissement 401000 BIOTIKA RO"/>
    <s v="Non"/>
    <e v="#N/A"/>
    <e v="#N/A"/>
    <n v="77199"/>
    <s v="AGREEMENT  PHOENIX I - FACTURE FINALE - RAPPORT"/>
    <s v="BIOTIKA"/>
    <s v="Q3"/>
    <e v="#REF!"/>
    <e v="#REF!"/>
    <e v="#REF!"/>
  </r>
  <r>
    <s v="401000"/>
    <x v="6"/>
    <s v="FOURNISSEURS"/>
    <s v="OD"/>
    <n v="5040"/>
    <d v="2025-10-03T00:00:00"/>
    <s v="Liaison établissement 401000 DMI RO"/>
    <m/>
    <e v="#N/A"/>
    <e v="#N/A"/>
    <n v="82708"/>
    <s v="FACT1903"/>
    <s v="DMI"/>
    <s v="Q4"/>
    <e v="#REF!"/>
    <e v="#REF!"/>
    <e v="#REF!"/>
  </r>
  <r>
    <s v="401000"/>
    <x v="6"/>
    <s v="FOURNISSEURS"/>
    <s v="OD"/>
    <n v="5082.07"/>
    <d v="2025-01-30T00:00:00"/>
    <s v="Liaison inter-établissement vers TO "/>
    <m/>
    <s v="Non"/>
    <n v="0"/>
    <n v="63671"/>
    <m/>
    <s v="CHIMIREC CENTRE EST"/>
    <s v="Q1"/>
    <e v="#REF!"/>
    <e v="#REF!"/>
    <e v="#REF!"/>
  </r>
  <r>
    <s v="401000"/>
    <x v="6"/>
    <s v="FOURNISSEURS"/>
    <s v="OD"/>
    <n v="5217.95"/>
    <d v="2025-11-14T00:00:00"/>
    <s v="Liaison établissement 401000 BIOTIKA RO"/>
    <s v="Non"/>
    <e v="#N/A"/>
    <e v="#N/A"/>
    <n v="89995"/>
    <s v="91250161"/>
    <s v="BIOTIKA"/>
    <s v="Q4"/>
    <e v="#REF!"/>
    <e v="#REF!"/>
    <e v="#REF!"/>
  </r>
  <r>
    <s v="401000"/>
    <x v="6"/>
    <s v="FOURNISSEURS"/>
    <s v="OD"/>
    <n v="5328.4"/>
    <d v="2025-11-19T00:00:00"/>
    <s v="Liaison établissement 401000 BIOTIKA RO"/>
    <s v="Non"/>
    <e v="#N/A"/>
    <e v="#N/A"/>
    <n v="90500"/>
    <s v="91250170"/>
    <s v="BIOTIKA"/>
    <s v="Q4"/>
    <e v="#REF!"/>
    <e v="#REF!"/>
    <e v="#REF!"/>
  </r>
  <r>
    <s v="401000"/>
    <x v="6"/>
    <s v="FOURNISSEURS"/>
    <s v="OD"/>
    <n v="5400"/>
    <d v="2025-03-18T00:00:00"/>
    <s v="Liaison inter-établissement vers TO "/>
    <s v="Oui"/>
    <s v="Non"/>
    <e v="#N/A"/>
    <n v="70034"/>
    <m/>
    <s v="CONSEIL CPP"/>
    <s v="Q1"/>
    <e v="#REF!"/>
    <e v="#REF!"/>
    <e v="#REF!"/>
  </r>
  <r>
    <s v="401000"/>
    <x v="6"/>
    <s v="FOURNISSEURS"/>
    <s v="OD"/>
    <n v="5412"/>
    <d v="2025-12-08T00:00:00"/>
    <s v="Liaison établissement 401000 SCMI RO"/>
    <m/>
    <e v="#N/A"/>
    <e v="#N/A"/>
    <n v="91342"/>
    <s v="FA25-08-15222"/>
    <s v="SCMI"/>
    <s v="Q4"/>
    <e v="#REF!"/>
    <e v="#REF!"/>
    <e v="#REF!"/>
  </r>
  <r>
    <s v="401000"/>
    <x v="6"/>
    <s v="FOURNISSEURS"/>
    <s v="OD"/>
    <n v="5415.12"/>
    <d v="2025-04-15T00:00:00"/>
    <s v="Liaison inter-établissement vers TO "/>
    <m/>
    <e v="#N/A"/>
    <e v="#N/A"/>
    <n v="69973"/>
    <m/>
    <s v="FISHER SCIENTIFIC"/>
    <s v="Q2"/>
    <e v="#REF!"/>
    <e v="#REF!"/>
    <e v="#REF!"/>
  </r>
  <r>
    <s v="401000"/>
    <x v="6"/>
    <s v="FOURNISSEURS"/>
    <s v="OD"/>
    <n v="5532"/>
    <d v="2025-02-18T00:00:00"/>
    <s v="Liaison inter-établissement vers TO "/>
    <m/>
    <e v="#N/A"/>
    <e v="#N/A"/>
    <n v="63807"/>
    <m/>
    <s v="REED EXHIBITIONS LTD"/>
    <s v="Q1"/>
    <e v="#REF!"/>
    <e v="#REF!"/>
    <e v="#REF!"/>
  </r>
  <r>
    <s v="401000"/>
    <x v="6"/>
    <s v="FOURNISSEURS"/>
    <s v="OD"/>
    <n v="5686.19"/>
    <d v="2025-12-08T00:00:00"/>
    <s v="Liaison établissement 401000 BIOADVICE KB"/>
    <s v="Non"/>
    <s v="Non"/>
    <e v="#N/A"/>
    <n v="91347"/>
    <s v="F2025-013-PILI"/>
    <s v="BIOADVICE"/>
    <s v="Q4"/>
    <e v="#REF!"/>
    <e v="#REF!"/>
    <e v="#REF!"/>
  </r>
  <r>
    <s v="401000"/>
    <x v="6"/>
    <s v="FOURNISSEURS"/>
    <s v="OD"/>
    <n v="5702.6"/>
    <d v="2025-02-28T00:00:00"/>
    <s v="Liaison inter-établissement vers TO "/>
    <m/>
    <s v="Non"/>
    <e v="#N/A"/>
    <n v="66529"/>
    <m/>
    <s v="AXE GESCOM"/>
    <s v="Q1"/>
    <e v="#REF!"/>
    <e v="#REF!"/>
    <e v="#REF!"/>
  </r>
  <r>
    <s v="401000"/>
    <x v="6"/>
    <s v="FOURNISSEURS"/>
    <s v="OD"/>
    <n v="5720.71"/>
    <d v="2025-08-18T00:00:00"/>
    <s v="Liaison établissement 401000 CHIMIREC RO"/>
    <m/>
    <s v="Non"/>
    <n v="0"/>
    <n v="81121"/>
    <s v="F061352698"/>
    <s v="CHIMIREC CENTRE EST"/>
    <s v="Q3"/>
    <e v="#REF!"/>
    <e v="#REF!"/>
    <e v="#REF!"/>
  </r>
  <r>
    <s v="401000"/>
    <x v="6"/>
    <s v="FOURNISSEURS"/>
    <s v="OD"/>
    <n v="6000"/>
    <d v="2025-02-28T00:00:00"/>
    <s v="Liaison inter-établissement vers TO "/>
    <m/>
    <e v="#N/A"/>
    <e v="#N/A"/>
    <n v="63925"/>
    <m/>
    <s v="UBIQUITIZ CONSULTING"/>
    <s v="Q1"/>
    <e v="#REF!"/>
    <e v="#REF!"/>
    <e v="#REF!"/>
  </r>
  <r>
    <s v="401000"/>
    <x v="6"/>
    <s v="FOURNISSEURS"/>
    <s v="OD"/>
    <n v="6000"/>
    <d v="2025-06-26T00:00:00"/>
    <s v="Liaison établissement 401000 INSIDE KB"/>
    <s v="Non"/>
    <s v="Non"/>
    <e v="#N/A"/>
    <n v="76326"/>
    <s v="INVOICE PAYMENT BY PILI"/>
    <s v="INSIDE MANAGEMENT"/>
    <s v="Q2"/>
    <e v="#REF!"/>
    <e v="#REF!"/>
    <e v="#REF!"/>
  </r>
  <r>
    <s v="401000"/>
    <x v="6"/>
    <s v="FOURNISSEURS"/>
    <s v="OD"/>
    <n v="6171.17"/>
    <d v="2025-04-28T00:00:00"/>
    <s v="Liaison inter-établissement vers TO "/>
    <s v="Non"/>
    <s v="Non"/>
    <e v="#N/A"/>
    <n v="70537"/>
    <m/>
    <s v="BDO EXPERTISE"/>
    <s v="Q2"/>
    <e v="#REF!"/>
    <e v="#REF!"/>
    <e v="#REF!"/>
  </r>
  <r>
    <s v="401000"/>
    <x v="6"/>
    <s v="FOURNISSEURS"/>
    <s v="OD"/>
    <n v="6389.4"/>
    <d v="2025-11-04T00:00:00"/>
    <s v="Liaison établissement 401000 BECKER KB"/>
    <s v="Non"/>
    <s v="Oui"/>
    <e v="#N/A"/>
    <n v="88016"/>
    <s v="ETUDE PI, FTO ET PRÉPARATION AU DÉPÔT D'EXTENSION PCT PALOMA CHIMIE"/>
    <s v="BECKER"/>
    <s v="Q4"/>
    <e v="#REF!"/>
    <e v="#REF!"/>
    <e v="#REF!"/>
  </r>
  <r>
    <s v="401000"/>
    <x v="6"/>
    <s v="FOURNISSEURS"/>
    <s v="OD"/>
    <n v="6591.56"/>
    <d v="2025-08-18T00:00:00"/>
    <s v="Liaison établissement 401000 TRICIA CAREY LY"/>
    <s v="Non"/>
    <s v="Non"/>
    <e v="#N/A"/>
    <n v="81110"/>
    <s v="FACTURE T CARREY CONSULTANTE GO TO MARKET INDIGO - FACTURE FINALE"/>
    <s v="TRICIA CAREY"/>
    <s v="Q3"/>
    <e v="#REF!"/>
    <e v="#REF!"/>
    <e v="#REF!"/>
  </r>
  <r>
    <s v="401000"/>
    <x v="6"/>
    <s v="FOURNISSEURS"/>
    <s v="OD"/>
    <n v="6610"/>
    <d v="2025-06-30T00:00:00"/>
    <s v="Liaison établissement 401000 DOTMATICS KB"/>
    <s v="Non"/>
    <e v="#N/A"/>
    <e v="#N/A"/>
    <n v="76896"/>
    <s v="LICENCES DOTMATICS 2025_06 À 2026_05 - 1 READ ONLY - 5 ADDITIONAL CHEMISTRY"/>
    <s v="DOTMATICS LIMITED"/>
    <s v="Q2"/>
    <e v="#REF!"/>
    <e v="#REF!"/>
    <e v="#REF!"/>
  </r>
  <r>
    <s v="401000"/>
    <x v="6"/>
    <s v="FOURNISSEURS"/>
    <s v="OD"/>
    <n v="6623.52"/>
    <d v="2025-07-31T00:00:00"/>
    <s v="Liaison établissement 401000 OSIRIS RO"/>
    <s v="Non"/>
    <s v="Non"/>
    <e v="#N/A"/>
    <n v="79285"/>
    <s v="DIVERS OSIRIS"/>
    <s v="OSIRIS"/>
    <s v="Q3"/>
    <e v="#REF!"/>
    <e v="#REF!"/>
    <e v="#REF!"/>
  </r>
  <r>
    <s v="401000"/>
    <x v="6"/>
    <s v="FOURNISSEURS"/>
    <s v="OD"/>
    <n v="6859.79"/>
    <d v="2025-02-28T00:00:00"/>
    <s v="Liaison inter-établissement vers TO "/>
    <s v="Non"/>
    <s v="Non"/>
    <e v="#N/A"/>
    <n v="63775"/>
    <m/>
    <s v="OSIRIS"/>
    <s v="Q1"/>
    <e v="#REF!"/>
    <e v="#REF!"/>
    <e v="#REF!"/>
  </r>
  <r>
    <s v="401000"/>
    <x v="6"/>
    <s v="FOURNISSEURS"/>
    <s v="OD"/>
    <n v="6952.17"/>
    <d v="2025-04-02T00:00:00"/>
    <s v="Liaison inter-établissement vers TO "/>
    <s v="Non"/>
    <s v="Non"/>
    <e v="#N/A"/>
    <n v="68134"/>
    <m/>
    <s v="TRICIA CAREY"/>
    <s v="Q2"/>
    <e v="#REF!"/>
    <e v="#REF!"/>
    <e v="#REF!"/>
  </r>
  <r>
    <s v="401000"/>
    <x v="6"/>
    <s v="FOURNISSEURS"/>
    <s v="OD"/>
    <n v="7437.6"/>
    <d v="2025-04-02T00:00:00"/>
    <s v="Liaison établissement 401000 3BCLIM KB"/>
    <m/>
    <e v="#N/A"/>
    <e v="#N/A"/>
    <n v="66476"/>
    <s v="CONTRAT DE MAINTENANCE N°CT0662 - PÉRIODE DU 01/03/2025 AU 28/02/2026"/>
    <s v="3BCLIM"/>
    <s v="Q2"/>
    <e v="#REF!"/>
    <e v="#REF!"/>
    <e v="#REF!"/>
  </r>
  <r>
    <s v="401000"/>
    <x v="6"/>
    <s v="FOURNISSEURS"/>
    <s v="OD"/>
    <n v="7680"/>
    <d v="2025-01-07T00:00:00"/>
    <s v="Liaison inter-établissement vers TO "/>
    <m/>
    <e v="#N/A"/>
    <e v="#N/A"/>
    <n v="63639"/>
    <m/>
    <s v="CISION"/>
    <s v="Q1"/>
    <e v="#REF!"/>
    <e v="#REF!"/>
    <e v="#REF!"/>
  </r>
  <r>
    <s v="401000"/>
    <x v="6"/>
    <s v="FOURNISSEURS"/>
    <s v="OD"/>
    <n v="7756.92"/>
    <d v="2025-01-01T00:00:00"/>
    <s v="Solde écritures Cloture Cloup"/>
    <m/>
    <e v="#N/A"/>
    <e v="#N/A"/>
    <n v="70545"/>
    <m/>
    <s v="CLOUP"/>
    <s v="Q1"/>
    <e v="#REF!"/>
    <e v="#REF!"/>
    <e v="#REF!"/>
  </r>
  <r>
    <s v="401000"/>
    <x v="6"/>
    <s v="FOURNISSEURS"/>
    <s v="OD"/>
    <n v="7781.48"/>
    <d v="2025-08-22T00:00:00"/>
    <s v="Liaison établissement 401000 OSIRIS RO"/>
    <s v="Non"/>
    <s v="Non"/>
    <e v="#N/A"/>
    <n v="81580"/>
    <s v="DIVERS OSIRIS : PRESTATIONS DE SERVICE, LABORATOIRE, STOCKAGE PALETTES"/>
    <s v="OSIRIS"/>
    <s v="Q3"/>
    <e v="#REF!"/>
    <e v="#REF!"/>
    <e v="#REF!"/>
  </r>
  <r>
    <s v="401000"/>
    <x v="6"/>
    <s v="FOURNISSEURS"/>
    <s v="OD"/>
    <n v="8400"/>
    <d v="2025-01-02T00:00:00"/>
    <s v="Liaison inter-établissement vers TO "/>
    <m/>
    <e v="#N/A"/>
    <e v="#N/A"/>
    <n v="63917"/>
    <m/>
    <s v="TECHNIP ENERGIES FRANCE"/>
    <s v="Q1"/>
    <e v="#REF!"/>
    <e v="#REF!"/>
    <e v="#REF!"/>
  </r>
  <r>
    <s v="401000"/>
    <x v="6"/>
    <s v="FOURNISSEURS"/>
    <s v="OD"/>
    <n v="8400"/>
    <d v="2025-06-26T00:00:00"/>
    <s v="Liaison établissement 401000 INSIDE KB"/>
    <s v="Non"/>
    <s v="Non"/>
    <e v="#N/A"/>
    <n v="76334"/>
    <s v="INVOICE PAYMENT BY PILI"/>
    <s v="INSIDE MANAGEMENT"/>
    <s v="Q2"/>
    <e v="#REF!"/>
    <e v="#REF!"/>
    <e v="#REF!"/>
  </r>
  <r>
    <s v="401000"/>
    <x v="6"/>
    <s v="FOURNISSEURS"/>
    <s v="OD"/>
    <n v="8729.66"/>
    <d v="2025-06-02T00:00:00"/>
    <s v="Liaison établissement 401000 OSIRIS RO"/>
    <s v="Non"/>
    <s v="Non"/>
    <e v="#N/A"/>
    <n v="75287"/>
    <s v="Invoice Payment By Pili"/>
    <s v="OSIRIS"/>
    <s v="Q2"/>
    <e v="#REF!"/>
    <e v="#REF!"/>
    <e v="#REF!"/>
  </r>
  <r>
    <s v="401000"/>
    <x v="6"/>
    <s v="FOURNISSEURS"/>
    <s v="OD"/>
    <n v="8763.7000000000007"/>
    <d v="2025-08-21T00:00:00"/>
    <s v="Liaison établissement 401000 BECKER KB"/>
    <s v="Non"/>
    <s v="Oui"/>
    <e v="#N/A"/>
    <n v="81415"/>
    <s v="SUITE ENTRÉE EN PHASE NATIONALE USA - BREVET PHOENIX"/>
    <s v="BECKER"/>
    <s v="Q3"/>
    <e v="#REF!"/>
    <e v="#REF!"/>
    <e v="#REF!"/>
  </r>
  <r>
    <s v="401000"/>
    <x v="6"/>
    <s v="FOURNISSEURS"/>
    <s v="OD"/>
    <n v="8967.9"/>
    <d v="2025-07-25T00:00:00"/>
    <s v="Liaison inter-établissement vers TO "/>
    <s v="Non"/>
    <e v="#N/A"/>
    <e v="#N/A"/>
    <n v="78608"/>
    <m/>
    <s v="BIOTIKA"/>
    <s v="Q3"/>
    <e v="#REF!"/>
    <e v="#REF!"/>
    <e v="#REF!"/>
  </r>
  <r>
    <s v="401000"/>
    <x v="6"/>
    <s v="FOURNISSEURS"/>
    <s v="OD"/>
    <n v="9000"/>
    <d v="2025-06-24T00:00:00"/>
    <s v="Liaison établissement 401000 MANACH KB"/>
    <s v="Non"/>
    <s v="Non"/>
    <e v="#N/A"/>
    <n v="76166"/>
    <s v="PARTICIPATION BOARD MICHEL MANACH"/>
    <s v="Michel Manach"/>
    <s v="Q2"/>
    <e v="#REF!"/>
    <e v="#REF!"/>
    <e v="#REF!"/>
  </r>
  <r>
    <s v="401000"/>
    <x v="6"/>
    <s v="FOURNISSEURS"/>
    <s v="OD"/>
    <n v="9000"/>
    <d v="2025-12-31T00:00:00"/>
    <s v="Liaison établissement 401000 CNAM KB"/>
    <m/>
    <e v="#N/A"/>
    <e v="#N/A"/>
    <n v="93874"/>
    <s v="2110000565"/>
    <s v="CNAM"/>
    <s v="Q4"/>
    <e v="#REF!"/>
    <e v="#REF!"/>
    <e v="#REF!"/>
  </r>
  <r>
    <s v="401000"/>
    <x v="6"/>
    <s v="FOURNISSEURS"/>
    <s v="OD"/>
    <n v="9444.6"/>
    <d v="2025-07-01T00:00:00"/>
    <s v="Liaison établissement 401000 OSIRIS RO"/>
    <s v="Non"/>
    <s v="Non"/>
    <e v="#N/A"/>
    <n v="76834"/>
    <s v="FACTURE MENSUELLE OSIRIS"/>
    <s v="OSIRIS"/>
    <s v="Q3"/>
    <e v="#REF!"/>
    <e v="#REF!"/>
    <e v="#REF!"/>
  </r>
  <r>
    <s v="401000"/>
    <x v="6"/>
    <s v="FOURNISSEURS"/>
    <s v="OD"/>
    <n v="9450"/>
    <d v="2025-11-28T00:00:00"/>
    <s v="Liaison établissement 401000 QWINCY KB"/>
    <s v="Non"/>
    <s v="Non"/>
    <e v="#N/A"/>
    <n v="91196"/>
    <s v="F2025050087"/>
    <s v="QWINCY"/>
    <s v="Q4"/>
    <e v="#REF!"/>
    <e v="#REF!"/>
    <e v="#REF!"/>
  </r>
  <r>
    <s v="401000"/>
    <x v="6"/>
    <s v="FOURNISSEURS"/>
    <s v="OD"/>
    <n v="9720"/>
    <d v="2025-07-31T00:00:00"/>
    <s v="Liaison établissement 401000 CONSEILCPP KB"/>
    <s v="Oui"/>
    <s v="Non"/>
    <e v="#N/A"/>
    <n v="79265"/>
    <s v="ACTIVITÉ DE CONSEIL RÉALISÉE SOUS LA DIRECTION DE MONSIEUR GUILLAUME BOISSONNAT"/>
    <s v="CONSEIL CPP"/>
    <s v="Q3"/>
    <e v="#REF!"/>
    <e v="#REF!"/>
    <e v="#REF!"/>
  </r>
  <r>
    <s v="401000"/>
    <x v="6"/>
    <s v="FOURNISSEURS"/>
    <s v="OD"/>
    <n v="10093.799999999999"/>
    <d v="2025-06-16T00:00:00"/>
    <s v="Liaison établissement 401000 RIBIERE RO"/>
    <m/>
    <e v="#N/A"/>
    <e v="#N/A"/>
    <n v="76024"/>
    <s v="DEMO : SÉCURISATION ZONE DÉMONSTRATEUR : - FONDATION POTEAUX EXISTANTS - TERRASSEMENT"/>
    <s v="RIBIERE"/>
    <s v="Q2"/>
    <e v="#REF!"/>
    <e v="#REF!"/>
    <e v="#REF!"/>
  </r>
  <r>
    <s v="401000"/>
    <x v="6"/>
    <s v="FOURNISSEURS"/>
    <s v="OD"/>
    <n v="10200"/>
    <d v="2025-02-20T00:00:00"/>
    <s v="Liaison inter-établissement vers TO "/>
    <s v="Non"/>
    <e v="#N/A"/>
    <e v="#N/A"/>
    <n v="63755"/>
    <m/>
    <s v="MAMA DATA"/>
    <s v="Q1"/>
    <e v="#REF!"/>
    <e v="#REF!"/>
    <e v="#REF!"/>
  </r>
  <r>
    <s v="401000"/>
    <x v="6"/>
    <s v="FOURNISSEURS"/>
    <s v="OD"/>
    <n v="10380"/>
    <d v="2025-11-28T00:00:00"/>
    <s v="Liaison établissement 401000 KYMONO LY"/>
    <m/>
    <e v="#N/A"/>
    <e v="#N/A"/>
    <n v="91201"/>
    <s v="FACT-20251103-23126"/>
    <s v="Kymono"/>
    <s v="Q4"/>
    <e v="#REF!"/>
    <e v="#REF!"/>
    <e v="#REF!"/>
  </r>
  <r>
    <s v="401000"/>
    <x v="6"/>
    <s v="FOURNISSEURS"/>
    <s v="OD"/>
    <n v="10500"/>
    <d v="2025-09-10T00:00:00"/>
    <s v="Liaison établissement 401000 QWINCY KB"/>
    <s v="Non"/>
    <s v="Non"/>
    <e v="#N/A"/>
    <n v="81979"/>
    <s v="PRESTATION DE SERVICES, AVRIL 2025"/>
    <s v="QWINCY"/>
    <s v="Q3"/>
    <e v="#REF!"/>
    <e v="#REF!"/>
    <e v="#REF!"/>
  </r>
  <r>
    <s v="401000"/>
    <x v="6"/>
    <s v="FOURNISSEURS"/>
    <s v="OD"/>
    <n v="10500"/>
    <d v="2025-11-04T00:00:00"/>
    <s v="Liaison établissement 401000 QWINCY KB"/>
    <s v="Non"/>
    <s v="Non"/>
    <e v="#N/A"/>
    <n v="88005"/>
    <s v="PRESTATION DE SERVICES, AVRIL 2025"/>
    <s v="QWINCY"/>
    <s v="Q4"/>
    <e v="#REF!"/>
    <e v="#REF!"/>
    <e v="#REF!"/>
  </r>
  <r>
    <s v="401000"/>
    <x v="6"/>
    <s v="FOURNISSEURS"/>
    <s v="OD"/>
    <n v="10518.86"/>
    <d v="2025-11-28T00:00:00"/>
    <s v="Liaison établissement 401000 OSIRIS RO"/>
    <s v="Non"/>
    <s v="Non"/>
    <e v="#N/A"/>
    <n v="91231"/>
    <s v="93813582"/>
    <s v="OSIRIS"/>
    <s v="Q4"/>
    <e v="#REF!"/>
    <e v="#REF!"/>
    <e v="#REF!"/>
  </r>
  <r>
    <s v="401000"/>
    <x v="6"/>
    <s v="FOURNISSEURS"/>
    <s v="OD"/>
    <n v="10677.6"/>
    <d v="2025-06-30T00:00:00"/>
    <s v="Liaison établissement 401000 INTEROR RO"/>
    <s v="Non"/>
    <e v="#N/A"/>
    <n v="0"/>
    <n v="76870"/>
    <s v="INDIGO STADE 2"/>
    <s v="INTEROR"/>
    <s v="Q2"/>
    <e v="#REF!"/>
    <e v="#REF!"/>
    <e v="#REF!"/>
  </r>
  <r>
    <s v="401000"/>
    <x v="6"/>
    <s v="FOURNISSEURS"/>
    <s v="OD"/>
    <n v="10714"/>
    <d v="2025-03-19T00:00:00"/>
    <s v="Liaison inter-établissement vers TO "/>
    <m/>
    <e v="#N/A"/>
    <e v="#N/A"/>
    <n v="64453"/>
    <m/>
    <s v="Taros Chemicals GmbH &amp; Co. KG"/>
    <s v="Q1"/>
    <e v="#REF!"/>
    <e v="#REF!"/>
    <e v="#REF!"/>
  </r>
  <r>
    <s v="401000"/>
    <x v="6"/>
    <s v="FOURNISSEURS"/>
    <s v="OD"/>
    <n v="10715"/>
    <d v="2025-06-17T00:00:00"/>
    <s v="Liaison établissement 401000 TAROS KB"/>
    <m/>
    <e v="#N/A"/>
    <e v="#N/A"/>
    <n v="76139"/>
    <s v="FIN DE LA SYNTHÈSE ET DÉVELOPPEMENT DE 1KG CYANOBENZOIC ACID - KEENB"/>
    <s v="Taros Chemicals GmbH &amp; Co. KG"/>
    <s v="Q2"/>
    <e v="#REF!"/>
    <e v="#REF!"/>
    <e v="#REF!"/>
  </r>
  <r>
    <s v="401000"/>
    <x v="6"/>
    <s v="FOURNISSEURS"/>
    <s v="OD"/>
    <n v="10861.31"/>
    <d v="2025-11-04T00:00:00"/>
    <s v="Liaison établissement 401000 OSIRIS RO"/>
    <s v="Non"/>
    <s v="Non"/>
    <e v="#N/A"/>
    <n v="88037"/>
    <s v="DIVERS OSIRIS JUILLET 25"/>
    <s v="OSIRIS"/>
    <s v="Q4"/>
    <e v="#REF!"/>
    <e v="#REF!"/>
    <e v="#REF!"/>
  </r>
  <r>
    <s v="401000"/>
    <x v="6"/>
    <s v="FOURNISSEURS"/>
    <s v="OD"/>
    <n v="11140.7"/>
    <d v="2025-10-15T00:00:00"/>
    <s v="Liaison inter-établissement vers TO "/>
    <m/>
    <e v="#N/A"/>
    <e v="#N/A"/>
    <n v="86968"/>
    <m/>
    <s v="EURECIA"/>
    <s v="Q4"/>
    <e v="#REF!"/>
    <e v="#REF!"/>
    <e v="#REF!"/>
  </r>
  <r>
    <s v="401000"/>
    <x v="6"/>
    <s v="FOURNISSEURS"/>
    <s v="OD"/>
    <n v="11211.25"/>
    <d v="2025-05-14T00:00:00"/>
    <s v="Liaison établissement 401000 BIOTIKA RO"/>
    <s v="Non"/>
    <e v="#N/A"/>
    <e v="#N/A"/>
    <n v="72311"/>
    <m/>
    <s v="BIOTIKA"/>
    <s v="Q2"/>
    <e v="#REF!"/>
    <e v="#REF!"/>
    <e v="#REF!"/>
  </r>
  <r>
    <s v="401000"/>
    <x v="6"/>
    <s v="FOURNISSEURS"/>
    <s v="OD"/>
    <n v="11256"/>
    <d v="2025-06-02T00:00:00"/>
    <s v="Liaison établissement 401000 ACTIVATION KB"/>
    <m/>
    <e v="#N/A"/>
    <e v="#N/A"/>
    <n v="75211"/>
    <s v="Invoice Payment By Pili"/>
    <s v="ACTIVATION"/>
    <s v="Q2"/>
    <e v="#REF!"/>
    <e v="#REF!"/>
    <e v="#REF!"/>
  </r>
  <r>
    <s v="401000"/>
    <x v="6"/>
    <s v="FOURNISSEURS"/>
    <s v="OD"/>
    <n v="11405.2"/>
    <d v="2025-03-06T00:00:00"/>
    <s v="Liaison inter-établissement vers TO "/>
    <m/>
    <s v="Non"/>
    <e v="#N/A"/>
    <n v="66533"/>
    <m/>
    <s v="AXE GESCOM"/>
    <s v="Q1"/>
    <e v="#REF!"/>
    <e v="#REF!"/>
    <e v="#REF!"/>
  </r>
  <r>
    <s v="401000"/>
    <x v="6"/>
    <s v="FOURNISSEURS"/>
    <s v="OD"/>
    <n v="11880"/>
    <d v="2025-01-20T00:00:00"/>
    <s v="Liaison inter-établissement vers TO "/>
    <m/>
    <e v="#N/A"/>
    <e v="#N/A"/>
    <n v="63627"/>
    <m/>
    <s v="Eurolysine"/>
    <s v="Q1"/>
    <e v="#REF!"/>
    <e v="#REF!"/>
    <e v="#REF!"/>
  </r>
  <r>
    <s v="401000"/>
    <x v="6"/>
    <s v="FOURNISSEURS"/>
    <s v="OD"/>
    <n v="12000"/>
    <d v="2025-05-07T00:00:00"/>
    <s v="Liaison établissement 401000 MAZARS KB"/>
    <s v="Non"/>
    <s v="Non"/>
    <e v="#N/A"/>
    <n v="71790"/>
    <s v="COMMISSARIAT AUX COMPTES AU TITRE DE L'EXERCICE CLOS LE 31 DÉCEMBRE 2024"/>
    <s v="FORVIS MAZARS"/>
    <s v="Q2"/>
    <e v="#REF!"/>
    <e v="#REF!"/>
    <e v="#REF!"/>
  </r>
  <r>
    <s v="401000"/>
    <x v="6"/>
    <s v="FOURNISSEURS"/>
    <s v="OD"/>
    <n v="12129.4"/>
    <d v="2025-05-23T00:00:00"/>
    <s v="Liaison établissement 401000 OSIRIS RO"/>
    <s v="Non"/>
    <s v="Non"/>
    <e v="#N/A"/>
    <n v="74046"/>
    <s v="Invoice payment by Pili"/>
    <s v="OSIRIS"/>
    <s v="Q2"/>
    <e v="#REF!"/>
    <e v="#REF!"/>
    <e v="#REF!"/>
  </r>
  <r>
    <s v="401000"/>
    <x v="6"/>
    <s v="FOURNISSEURS"/>
    <s v="OD"/>
    <n v="12500"/>
    <d v="2025-03-07T00:00:00"/>
    <s v="Acompte sur Proforma"/>
    <s v="Non"/>
    <e v="#N/A"/>
    <e v="#N/A"/>
    <n v="50458"/>
    <s v="9912500007"/>
    <s v="BIOTIKA"/>
    <s v="Q1"/>
    <e v="#REF!"/>
    <e v="#REF!"/>
    <e v="#REF!"/>
  </r>
  <r>
    <s v="401000"/>
    <x v="6"/>
    <s v="FOURNISSEURS"/>
    <s v="OD"/>
    <n v="12500"/>
    <d v="2025-03-07T00:00:00"/>
    <s v="Liaison inter-établissement vers TO "/>
    <s v="Non"/>
    <e v="#N/A"/>
    <e v="#N/A"/>
    <n v="63575"/>
    <m/>
    <s v="BIOTIKA"/>
    <s v="Q1"/>
    <e v="#REF!"/>
    <e v="#REF!"/>
    <e v="#REF!"/>
  </r>
  <r>
    <s v="401000"/>
    <x v="6"/>
    <s v="FOURNISSEURS"/>
    <s v="OD"/>
    <n v="12910.19"/>
    <d v="2025-09-08T00:00:00"/>
    <s v="Liaison établissement 401000 MAZARS KB"/>
    <s v="Non"/>
    <s v="Non"/>
    <e v="#N/A"/>
    <n v="81729"/>
    <s v="COMMISSARIAT AUX COMPTES AU TITRE DE L'EXERCICE CLOS LE 31 DÉCEMBRE 2024 - SOLDE"/>
    <s v="FORVIS MAZARS"/>
    <s v="Q3"/>
    <e v="#REF!"/>
    <e v="#REF!"/>
    <e v="#REF!"/>
  </r>
  <r>
    <s v="401000"/>
    <x v="6"/>
    <s v="FOURNISSEURS"/>
    <s v="OD"/>
    <n v="13068"/>
    <d v="2025-02-28T00:00:00"/>
    <s v="Liaison inter-établissement vers TO "/>
    <m/>
    <s v="Non"/>
    <e v="#N/A"/>
    <n v="66544"/>
    <m/>
    <s v="AXE GESCOM"/>
    <s v="Q1"/>
    <e v="#REF!"/>
    <e v="#REF!"/>
    <e v="#REF!"/>
  </r>
  <r>
    <s v="401000"/>
    <x v="6"/>
    <s v="FOURNISSEURS"/>
    <s v="OD"/>
    <n v="13500"/>
    <d v="2025-08-18T00:00:00"/>
    <s v="Liaison établissement 401000 INSIDE KB"/>
    <s v="Non"/>
    <s v="Non"/>
    <e v="#N/A"/>
    <n v="81116"/>
    <s v="MISSION B. LAJUGIE - JUIN 2025"/>
    <s v="INSIDE MANAGEMENT"/>
    <s v="Q3"/>
    <e v="#REF!"/>
    <e v="#REF!"/>
    <e v="#REF!"/>
  </r>
  <r>
    <s v="401000"/>
    <x v="6"/>
    <s v="FOURNISSEURS"/>
    <s v="OD"/>
    <n v="13500"/>
    <d v="2025-11-14T00:00:00"/>
    <s v="Liaison inter-établissement vers TO "/>
    <s v="Non"/>
    <e v="#N/A"/>
    <e v="#N/A"/>
    <n v="90016"/>
    <m/>
    <s v="BIOTIKA"/>
    <s v="Q4"/>
    <e v="#REF!"/>
    <e v="#REF!"/>
    <e v="#REF!"/>
  </r>
  <r>
    <s v="401000"/>
    <x v="6"/>
    <s v="FOURNISSEURS"/>
    <s v="OD"/>
    <n v="13500"/>
    <d v="2025-11-14T00:00:00"/>
    <s v="Paiement reliquat facture Biotika 91250146"/>
    <s v="Non"/>
    <e v="#N/A"/>
    <e v="#N/A"/>
    <n v="90013"/>
    <m/>
    <s v="BIOTIKA"/>
    <s v="Q4"/>
    <e v="#REF!"/>
    <e v="#REF!"/>
    <e v="#REF!"/>
  </r>
  <r>
    <s v="401000"/>
    <x v="6"/>
    <s v="FOURNISSEURS"/>
    <s v="OD"/>
    <n v="13800"/>
    <d v="2025-08-22T00:00:00"/>
    <s v="Liaison établissement 401000 EUROLYSINE RO"/>
    <m/>
    <e v="#N/A"/>
    <e v="#N/A"/>
    <n v="81621"/>
    <s v="MP POUR FERMENTATION VBIO"/>
    <s v="Eurolysine"/>
    <s v="Q3"/>
    <e v="#REF!"/>
    <e v="#REF!"/>
    <e v="#REF!"/>
  </r>
  <r>
    <s v="401000"/>
    <x v="6"/>
    <s v="FOURNISSEURS"/>
    <s v="OD"/>
    <n v="13914.31"/>
    <d v="2025-01-31T00:00:00"/>
    <s v="Liaison inter-établissement vers TO "/>
    <s v="Non"/>
    <s v="Non"/>
    <e v="#N/A"/>
    <n v="63787"/>
    <m/>
    <s v="OSIRIS"/>
    <s v="Q1"/>
    <e v="#REF!"/>
    <e v="#REF!"/>
    <e v="#REF!"/>
  </r>
  <r>
    <s v="401000"/>
    <x v="6"/>
    <s v="FOURNISSEURS"/>
    <s v="OD"/>
    <n v="14205.23"/>
    <d v="2025-06-04T00:00:00"/>
    <s v="Liaison établissement 401000 BUSINOVE KB"/>
    <s v="Non"/>
    <s v="Non"/>
    <e v="#N/A"/>
    <n v="75511"/>
    <s v="Invoice payment by Pili"/>
    <s v="BUSINOVE"/>
    <s v="Q2"/>
    <e v="#REF!"/>
    <e v="#REF!"/>
    <e v="#REF!"/>
  </r>
  <r>
    <s v="401000"/>
    <x v="6"/>
    <s v="FOURNISSEURS"/>
    <s v="OD"/>
    <n v="14271.62"/>
    <d v="2025-09-15T00:00:00"/>
    <s v="Rapprochement Becker"/>
    <s v="Non"/>
    <s v="Oui"/>
    <e v="#N/A"/>
    <n v="82133"/>
    <m/>
    <s v="BECKER"/>
    <s v="Q3"/>
    <e v="#REF!"/>
    <e v="#REF!"/>
    <e v="#REF!"/>
  </r>
  <r>
    <s v="401000"/>
    <x v="6"/>
    <s v="FOURNISSEURS"/>
    <s v="OD"/>
    <n v="15000"/>
    <d v="2025-06-26T00:00:00"/>
    <s v="Liaison établissement 401000 INSIDE KB"/>
    <s v="Non"/>
    <s v="Non"/>
    <e v="#N/A"/>
    <n v="76330"/>
    <s v="INVOICE PAYMENT BY PILI"/>
    <s v="INSIDE MANAGEMENT"/>
    <s v="Q2"/>
    <e v="#REF!"/>
    <e v="#REF!"/>
    <e v="#REF!"/>
  </r>
  <r>
    <s v="401000"/>
    <x v="6"/>
    <s v="FOURNISSEURS"/>
    <s v="OD"/>
    <n v="15840"/>
    <d v="2025-09-11T00:00:00"/>
    <s v="Liaison inter-établissement vers TO "/>
    <s v="Non"/>
    <e v="#N/A"/>
    <e v="#N/A"/>
    <n v="81967"/>
    <m/>
    <s v="KAPP"/>
    <s v="Q3"/>
    <e v="#REF!"/>
    <e v="#REF!"/>
    <e v="#REF!"/>
  </r>
  <r>
    <s v="401000"/>
    <x v="6"/>
    <s v="FOURNISSEURS"/>
    <s v="OD"/>
    <n v="15848.51"/>
    <d v="2025-06-30T00:00:00"/>
    <s v="Liaison établissement 401000 INTEROR RO"/>
    <s v="Non"/>
    <e v="#N/A"/>
    <n v="0"/>
    <n v="76865"/>
    <s v="BROYAGE  AMORTISSEUR DU BROYEUR"/>
    <s v="INTEROR"/>
    <s v="Q2"/>
    <e v="#REF!"/>
    <e v="#REF!"/>
    <e v="#REF!"/>
  </r>
  <r>
    <s v="401000"/>
    <x v="6"/>
    <s v="FOURNISSEURS"/>
    <s v="OD"/>
    <n v="16577.439999999999"/>
    <d v="2025-05-14T00:00:00"/>
    <s v="Liaison établissement 401000 BIOTIKA RO"/>
    <s v="Non"/>
    <e v="#N/A"/>
    <e v="#N/A"/>
    <n v="72315"/>
    <m/>
    <s v="BIOTIKA"/>
    <s v="Q2"/>
    <e v="#REF!"/>
    <e v="#REF!"/>
    <e v="#REF!"/>
  </r>
  <r>
    <s v="401000"/>
    <x v="6"/>
    <s v="FOURNISSEURS"/>
    <s v="OD"/>
    <n v="16824"/>
    <d v="2025-06-02T00:00:00"/>
    <s v="Liaison établissement 401000 ACTIVATION KB"/>
    <m/>
    <e v="#N/A"/>
    <e v="#N/A"/>
    <n v="75216"/>
    <s v="Invoice Payment By Pili"/>
    <s v="ACTIVATION"/>
    <s v="Q2"/>
    <e v="#REF!"/>
    <e v="#REF!"/>
    <e v="#REF!"/>
  </r>
  <r>
    <s v="401000"/>
    <x v="6"/>
    <s v="FOURNISSEURS"/>
    <s v="OD"/>
    <n v="17443"/>
    <d v="2025-10-31T00:00:00"/>
    <s v="Liaison établissement 401000 TAROS KB"/>
    <m/>
    <e v="#N/A"/>
    <e v="#N/A"/>
    <n v="87564"/>
    <s v="INV/2025/00261"/>
    <s v="Taros Chemicals GmbH &amp; Co. KG"/>
    <s v="Q4"/>
    <e v="#REF!"/>
    <e v="#REF!"/>
    <e v="#REF!"/>
  </r>
  <r>
    <s v="401000"/>
    <x v="6"/>
    <s v="FOURNISSEURS"/>
    <s v="OD"/>
    <n v="17444"/>
    <d v="2025-09-22T00:00:00"/>
    <s v="Liaison établissement 401000 TAROS KB"/>
    <m/>
    <e v="#N/A"/>
    <e v="#N/A"/>
    <n v="82361"/>
    <s v="INV/2025/00193"/>
    <s v="Taros Chemicals GmbH &amp; Co. KG"/>
    <s v="Q3"/>
    <e v="#REF!"/>
    <e v="#REF!"/>
    <e v="#REF!"/>
  </r>
  <r>
    <s v="401000"/>
    <x v="6"/>
    <s v="FOURNISSEURS"/>
    <s v="OD"/>
    <n v="20000"/>
    <d v="2025-05-30T00:00:00"/>
    <s v="Liaison établissement 401000 BIOTIKA RO"/>
    <s v="Non"/>
    <e v="#N/A"/>
    <e v="#N/A"/>
    <n v="74895"/>
    <s v="Invoice Payment By Pili"/>
    <s v="BIOTIKA"/>
    <s v="Q2"/>
    <e v="#REF!"/>
    <e v="#REF!"/>
    <e v="#REF!"/>
  </r>
  <r>
    <s v="401000"/>
    <x v="6"/>
    <s v="FOURNISSEURS"/>
    <s v="OD"/>
    <n v="20700"/>
    <d v="2025-03-20T00:00:00"/>
    <s v="Liaison inter-établissement vers TO "/>
    <s v="Non"/>
    <s v="Non"/>
    <e v="#N/A"/>
    <n v="69981"/>
    <m/>
    <s v="INSIDE MANAGEMENT"/>
    <s v="Q1"/>
    <e v="#REF!"/>
    <e v="#REF!"/>
    <e v="#REF!"/>
  </r>
  <r>
    <s v="401000"/>
    <x v="6"/>
    <s v="FOURNISSEURS"/>
    <s v="OD"/>
    <n v="22766.02"/>
    <d v="2025-06-02T00:00:00"/>
    <s v="Liaison établissement 401000 OSIRIS RO"/>
    <s v="Non"/>
    <s v="Non"/>
    <e v="#N/A"/>
    <n v="75272"/>
    <s v="Invoice Payment By Pili"/>
    <s v="OSIRIS"/>
    <s v="Q2"/>
    <e v="#REF!"/>
    <e v="#REF!"/>
    <e v="#REF!"/>
  </r>
  <r>
    <s v="401000"/>
    <x v="6"/>
    <s v="FOURNISSEURS"/>
    <s v="OD"/>
    <n v="23891"/>
    <d v="2025-02-17T00:00:00"/>
    <s v="Liaison inter-établissement"/>
    <s v="Non"/>
    <e v="#N/A"/>
    <e v="#N/A"/>
    <n v="95555"/>
    <m/>
    <s v="BIOTIKA"/>
    <s v="Q1"/>
    <e v="#REF!"/>
    <e v="#REF!"/>
    <e v="#REF!"/>
  </r>
  <r>
    <s v="401000"/>
    <x v="6"/>
    <s v="FOURNISSEURS"/>
    <s v="OD"/>
    <n v="24000"/>
    <d v="2025-09-26T00:00:00"/>
    <s v="Liaison inter-établissement vers TO "/>
    <s v="Non"/>
    <e v="#N/A"/>
    <n v="0"/>
    <n v="86866"/>
    <m/>
    <s v="INTEROR"/>
    <s v="Q3"/>
    <e v="#REF!"/>
    <e v="#REF!"/>
    <e v="#REF!"/>
  </r>
  <r>
    <s v="401000"/>
    <x v="6"/>
    <s v="FOURNISSEURS"/>
    <s v="OD"/>
    <n v="24391"/>
    <d v="2025-03-07T00:00:00"/>
    <s v="Liaison inter-établissement vers TO "/>
    <s v="Non"/>
    <e v="#N/A"/>
    <e v="#N/A"/>
    <n v="63579"/>
    <m/>
    <s v="BIOTIKA"/>
    <s v="Q1"/>
    <e v="#REF!"/>
    <e v="#REF!"/>
    <e v="#REF!"/>
  </r>
  <r>
    <s v="401000"/>
    <x v="6"/>
    <s v="FOURNISSEURS"/>
    <s v="OD"/>
    <n v="24562.880000000001"/>
    <d v="2025-02-18T00:00:00"/>
    <s v="Liaison inter-établissement vers TO "/>
    <s v="Non"/>
    <s v="Non"/>
    <e v="#N/A"/>
    <n v="63559"/>
    <m/>
    <s v="AURIGNAC FINANCE"/>
    <s v="Q1"/>
    <e v="#REF!"/>
    <e v="#REF!"/>
    <e v="#REF!"/>
  </r>
  <r>
    <s v="401000"/>
    <x v="6"/>
    <s v="FOURNISSEURS"/>
    <s v="OD"/>
    <n v="24772.68"/>
    <d v="2025-06-02T00:00:00"/>
    <s v="Liaison établissement 401000 OSIRIS RO"/>
    <s v="Non"/>
    <s v="Non"/>
    <e v="#N/A"/>
    <n v="75282"/>
    <s v="Invoice Payment By Pili"/>
    <s v="OSIRIS"/>
    <s v="Q2"/>
    <e v="#REF!"/>
    <e v="#REF!"/>
    <e v="#REF!"/>
  </r>
  <r>
    <s v="401000"/>
    <x v="6"/>
    <s v="FOURNISSEURS"/>
    <s v="OD"/>
    <n v="27782.3"/>
    <d v="2025-11-04T00:00:00"/>
    <s v="Liaison établissement 401000 AMERICAN CHEMICAL SOCIETY KB"/>
    <m/>
    <e v="#N/A"/>
    <e v="#N/A"/>
    <n v="88171"/>
    <s v="LICENCES SCIFINDER"/>
    <s v="AMERICAN CHEMICAL SOCIETY"/>
    <s v="Q4"/>
    <e v="#REF!"/>
    <e v="#REF!"/>
    <e v="#REF!"/>
  </r>
  <r>
    <s v="401000"/>
    <x v="6"/>
    <s v="FOURNISSEURS"/>
    <s v="OD"/>
    <n v="28000"/>
    <d v="2025-06-30T00:00:00"/>
    <s v="Liaison établissement 401000 BIOTIKA RO"/>
    <s v="Non"/>
    <e v="#N/A"/>
    <e v="#N/A"/>
    <n v="76850"/>
    <s v="INVOICING AFTER FINISHING OF 2TRIALS IN 30L FERMENTER  INVOICING AFTER 3RD TRIAL IN LABORATORY FERMENTER"/>
    <s v="BIOTIKA"/>
    <s v="Q2"/>
    <e v="#REF!"/>
    <e v="#REF!"/>
    <e v="#REF!"/>
  </r>
  <r>
    <s v="401000"/>
    <x v="6"/>
    <s v="FOURNISSEURS"/>
    <s v="OD"/>
    <n v="29000"/>
    <d v="2025-08-14T00:00:00"/>
    <s v="Liaison inter-établissement vers TO "/>
    <s v="Non"/>
    <e v="#N/A"/>
    <e v="#N/A"/>
    <n v="81355"/>
    <m/>
    <s v="BIOTIKA"/>
    <s v="Q3"/>
    <e v="#REF!"/>
    <e v="#REF!"/>
    <e v="#REF!"/>
  </r>
  <r>
    <s v="401000"/>
    <x v="6"/>
    <s v="FOURNISSEURS"/>
    <s v="OD"/>
    <n v="30000"/>
    <d v="2025-05-23T00:00:00"/>
    <s v="Liaison inter-établissement vers TO "/>
    <s v="Non"/>
    <e v="#N/A"/>
    <e v="#N/A"/>
    <n v="78572"/>
    <m/>
    <s v="BIOTIKA"/>
    <s v="Q2"/>
    <e v="#REF!"/>
    <e v="#REF!"/>
    <e v="#REF!"/>
  </r>
  <r>
    <s v="401000"/>
    <x v="6"/>
    <s v="FOURNISSEURS"/>
    <s v="OD"/>
    <n v="30000"/>
    <d v="2025-05-30T00:00:00"/>
    <s v="Liaison inter-établissement vers TO "/>
    <s v="Non"/>
    <e v="#N/A"/>
    <e v="#N/A"/>
    <n v="78576"/>
    <m/>
    <s v="BIOTIKA"/>
    <s v="Q2"/>
    <e v="#REF!"/>
    <e v="#REF!"/>
    <e v="#REF!"/>
  </r>
  <r>
    <s v="401000"/>
    <x v="6"/>
    <s v="FOURNISSEURS"/>
    <s v="OD"/>
    <n v="30000"/>
    <d v="2025-06-06T00:00:00"/>
    <s v="Liaison inter-établissement vers TO "/>
    <s v="Non"/>
    <e v="#N/A"/>
    <e v="#N/A"/>
    <n v="78580"/>
    <m/>
    <s v="BIOTIKA"/>
    <s v="Q2"/>
    <e v="#REF!"/>
    <e v="#REF!"/>
    <e v="#REF!"/>
  </r>
  <r>
    <s v="401000"/>
    <x v="6"/>
    <s v="FOURNISSEURS"/>
    <s v="OD"/>
    <n v="30000"/>
    <d v="2025-06-13T00:00:00"/>
    <s v="Liaison inter-établissement vers TO "/>
    <s v="Non"/>
    <e v="#N/A"/>
    <e v="#N/A"/>
    <n v="78584"/>
    <m/>
    <s v="BIOTIKA"/>
    <s v="Q2"/>
    <e v="#REF!"/>
    <e v="#REF!"/>
    <e v="#REF!"/>
  </r>
  <r>
    <s v="401000"/>
    <x v="6"/>
    <s v="FOURNISSEURS"/>
    <s v="OD"/>
    <n v="30000"/>
    <d v="2025-06-19T00:00:00"/>
    <s v="Liaison inter-établissement vers TO "/>
    <s v="Non"/>
    <e v="#N/A"/>
    <e v="#N/A"/>
    <n v="78588"/>
    <m/>
    <s v="BIOTIKA"/>
    <s v="Q2"/>
    <e v="#REF!"/>
    <e v="#REF!"/>
    <e v="#REF!"/>
  </r>
  <r>
    <s v="401000"/>
    <x v="6"/>
    <s v="FOURNISSEURS"/>
    <s v="OD"/>
    <n v="30000"/>
    <d v="2025-06-26T00:00:00"/>
    <s v="Liaison inter-établissement vers TO "/>
    <s v="Non"/>
    <e v="#N/A"/>
    <e v="#N/A"/>
    <n v="78592"/>
    <m/>
    <s v="BIOTIKA"/>
    <s v="Q2"/>
    <e v="#REF!"/>
    <e v="#REF!"/>
    <e v="#REF!"/>
  </r>
  <r>
    <s v="401000"/>
    <x v="6"/>
    <s v="FOURNISSEURS"/>
    <s v="OD"/>
    <n v="30000"/>
    <d v="2025-06-26T00:00:00"/>
    <s v="Liaison établissement 401000 INSIDE KB"/>
    <s v="Non"/>
    <s v="Non"/>
    <e v="#N/A"/>
    <n v="76322"/>
    <s v="INVOICE PAYMENT BY PILI"/>
    <s v="INSIDE MANAGEMENT"/>
    <s v="Q2"/>
    <e v="#REF!"/>
    <e v="#REF!"/>
    <e v="#REF!"/>
  </r>
  <r>
    <s v="401000"/>
    <x v="6"/>
    <s v="FOURNISSEURS"/>
    <s v="OD"/>
    <n v="30000"/>
    <d v="2025-07-03T00:00:00"/>
    <s v="Liaison inter-établissement vers TO "/>
    <s v="Non"/>
    <e v="#N/A"/>
    <e v="#N/A"/>
    <n v="78596"/>
    <m/>
    <s v="BIOTIKA"/>
    <s v="Q3"/>
    <e v="#REF!"/>
    <e v="#REF!"/>
    <e v="#REF!"/>
  </r>
  <r>
    <s v="401000"/>
    <x v="6"/>
    <s v="FOURNISSEURS"/>
    <s v="OD"/>
    <n v="30000"/>
    <d v="2025-07-11T00:00:00"/>
    <s v="Liaison inter-établissement vers TO "/>
    <s v="Non"/>
    <e v="#N/A"/>
    <e v="#N/A"/>
    <n v="78600"/>
    <m/>
    <s v="BIOTIKA"/>
    <s v="Q3"/>
    <e v="#REF!"/>
    <e v="#REF!"/>
    <e v="#REF!"/>
  </r>
  <r>
    <s v="401000"/>
    <x v="6"/>
    <s v="FOURNISSEURS"/>
    <s v="OD"/>
    <n v="30000"/>
    <d v="2025-07-17T00:00:00"/>
    <s v="Liaison inter-établissement vers TO "/>
    <s v="Non"/>
    <e v="#N/A"/>
    <e v="#N/A"/>
    <n v="78604"/>
    <m/>
    <s v="BIOTIKA"/>
    <s v="Q3"/>
    <e v="#REF!"/>
    <e v="#REF!"/>
    <e v="#REF!"/>
  </r>
  <r>
    <s v="401000"/>
    <x v="6"/>
    <s v="FOURNISSEURS"/>
    <s v="OD"/>
    <n v="30000"/>
    <d v="2025-10-21T00:00:00"/>
    <s v="Liaison établissement 401000 CNAM KB"/>
    <m/>
    <e v="#N/A"/>
    <e v="#N/A"/>
    <n v="87203"/>
    <s v="Facture Convention n°240011005"/>
    <s v="CNAM"/>
    <s v="Q4"/>
    <e v="#REF!"/>
    <e v="#REF!"/>
    <e v="#REF!"/>
  </r>
  <r>
    <s v="401000"/>
    <x v="6"/>
    <s v="FOURNISSEURS"/>
    <s v="OD"/>
    <n v="30840"/>
    <d v="2025-06-30T00:00:00"/>
    <s v="Liaison établissement 401000 DOTMATICS KB"/>
    <s v="Non"/>
    <e v="#N/A"/>
    <e v="#N/A"/>
    <n v="76891"/>
    <s v="LICENCES DOTMATICS 2026 - 1 READ ONLY - 21 CHEMISTRY - 7 BIOREGISTER"/>
    <s v="DOTMATICS LIMITED"/>
    <s v="Q2"/>
    <e v="#REF!"/>
    <e v="#REF!"/>
    <e v="#REF!"/>
  </r>
  <r>
    <s v="401000"/>
    <x v="6"/>
    <s v="FOURNISSEURS"/>
    <s v="OD"/>
    <n v="31200"/>
    <d v="2025-11-28T00:00:00"/>
    <s v="Liaison établissement 401000 LOPEZ PLOMBERIE ELECTRICITE RO"/>
    <s v="Non"/>
    <e v="#N/A"/>
    <e v="#N/A"/>
    <n v="91185"/>
    <s v="FC6781"/>
    <s v="LOPEZ PLOMBERIE ELECTRICITE"/>
    <s v="Q4"/>
    <e v="#REF!"/>
    <e v="#REF!"/>
    <e v="#REF!"/>
  </r>
  <r>
    <s v="401000"/>
    <x v="6"/>
    <s v="FOURNISSEURS"/>
    <s v="OD"/>
    <n v="31500"/>
    <d v="2025-11-14T00:00:00"/>
    <s v="Liaison établissement 401000 BIOTIKA RO"/>
    <s v="Non"/>
    <e v="#N/A"/>
    <e v="#N/A"/>
    <n v="90000"/>
    <s v="DEVELOPMENT AGREEMENT PHOENIX VI, 3.1."/>
    <s v="BIOTIKA"/>
    <s v="Q4"/>
    <e v="#REF!"/>
    <e v="#REF!"/>
    <e v="#REF!"/>
  </r>
  <r>
    <s v="401000"/>
    <x v="6"/>
    <s v="FOURNISSEURS"/>
    <s v="OD"/>
    <n v="34000"/>
    <d v="2025-08-08T00:00:00"/>
    <s v="Liaison établissement 401000 BIOTIKA RO"/>
    <s v="Non"/>
    <e v="#N/A"/>
    <e v="#N/A"/>
    <n v="80724"/>
    <s v="PHOENIX III REPORT"/>
    <s v="BIOTIKA"/>
    <s v="Q3"/>
    <e v="#REF!"/>
    <e v="#REF!"/>
    <e v="#REF!"/>
  </r>
  <r>
    <s v="401000"/>
    <x v="6"/>
    <s v="FOURNISSEURS"/>
    <s v="OD"/>
    <n v="36000"/>
    <d v="2025-03-12T00:00:00"/>
    <s v="Liaison inter-établissement vers TO "/>
    <s v="Non"/>
    <s v="Non"/>
    <e v="#N/A"/>
    <n v="63735"/>
    <m/>
    <s v="INSIDE MANAGEMENT"/>
    <s v="Q1"/>
    <e v="#REF!"/>
    <e v="#REF!"/>
    <e v="#REF!"/>
  </r>
  <r>
    <s v="401000"/>
    <x v="6"/>
    <s v="FOURNISSEURS"/>
    <s v="OD"/>
    <n v="36000"/>
    <d v="2025-03-13T00:00:00"/>
    <s v="Liaison inter-établissement vers TO "/>
    <s v="Non"/>
    <s v="Non"/>
    <e v="#N/A"/>
    <n v="63739"/>
    <m/>
    <s v="INSIDE MANAGEMENT"/>
    <s v="Q1"/>
    <e v="#REF!"/>
    <e v="#REF!"/>
    <e v="#REF!"/>
  </r>
  <r>
    <s v="401000"/>
    <x v="6"/>
    <s v="FOURNISSEURS"/>
    <s v="OD"/>
    <n v="37800"/>
    <d v="2025-04-25T00:00:00"/>
    <s v="Liaison inter-établissement vers TO "/>
    <s v="Non"/>
    <s v="Non"/>
    <e v="#N/A"/>
    <n v="70552"/>
    <m/>
    <s v="INSIDE MANAGEMENT"/>
    <s v="Q2"/>
    <e v="#REF!"/>
    <e v="#REF!"/>
    <e v="#REF!"/>
  </r>
  <r>
    <s v="401000"/>
    <x v="6"/>
    <s v="FOURNISSEURS"/>
    <s v="OD"/>
    <n v="41676"/>
    <d v="2025-02-05T00:00:00"/>
    <s v="Liaison inter-établissement vers TO "/>
    <m/>
    <e v="#N/A"/>
    <e v="#N/A"/>
    <n v="71662"/>
    <m/>
    <s v="AIGP INGENIERIE"/>
    <s v="Q1"/>
    <e v="#REF!"/>
    <e v="#REF!"/>
    <e v="#REF!"/>
  </r>
  <r>
    <s v="512100"/>
    <x v="6"/>
    <s v="BANQUE POPULAIRE RIVE DE PARIS"/>
    <s v="BPRI"/>
    <n v="-168.59"/>
    <d v="2025-07-28T00:00:00"/>
    <s v="/LIB/LINKEDIN RECRUIIE LINKEDIN.COM/"/>
    <s v="Non"/>
    <s v="Non"/>
    <e v="#N/A"/>
    <n v="78970"/>
    <m/>
    <s v="LINKEDIN"/>
    <s v="Q3"/>
    <e v="#REF!"/>
    <e v="#REF!"/>
    <e v="#REF!"/>
  </r>
  <r>
    <s v="401000"/>
    <x v="6"/>
    <s v="FOURNISSEURS"/>
    <s v="OD"/>
    <n v="45360"/>
    <d v="2025-01-02T00:00:00"/>
    <s v="Liaison inter-établissement vers TO "/>
    <m/>
    <e v="#N/A"/>
    <e v="#N/A"/>
    <n v="63913"/>
    <m/>
    <s v="TECHNIP ENERGIES FRANCE"/>
    <s v="Q1"/>
    <e v="#REF!"/>
    <e v="#REF!"/>
    <e v="#REF!"/>
  </r>
  <r>
    <s v="401000"/>
    <x v="6"/>
    <s v="FOURNISSEURS"/>
    <s v="OD"/>
    <n v="56362.01"/>
    <d v="2025-01-07T00:00:00"/>
    <s v="Liaison inter-établissement vers TO "/>
    <m/>
    <e v="#N/A"/>
    <e v="#N/A"/>
    <n v="63743"/>
    <m/>
    <s v="LIBERTY PM"/>
    <s v="Q1"/>
    <e v="#REF!"/>
    <e v="#REF!"/>
    <e v="#REF!"/>
  </r>
  <r>
    <s v="401000"/>
    <x v="6"/>
    <s v="FOURNISSEURS"/>
    <s v="OD"/>
    <n v="64720.5"/>
    <d v="2025-03-12T00:00:00"/>
    <s v="Liaison inter-établissement vers TO "/>
    <m/>
    <e v="#N/A"/>
    <e v="#N/A"/>
    <n v="68032"/>
    <m/>
    <s v="LIBERTY PM"/>
    <s v="Q1"/>
    <e v="#REF!"/>
    <e v="#REF!"/>
    <e v="#REF!"/>
  </r>
  <r>
    <s v="401000"/>
    <x v="6"/>
    <s v="FOURNISSEURS"/>
    <s v="OD"/>
    <n v="99000"/>
    <d v="2025-03-07T00:00:00"/>
    <s v="Acompte sur Proforma"/>
    <s v="Non"/>
    <e v="#N/A"/>
    <e v="#N/A"/>
    <n v="50460"/>
    <s v="9912500006"/>
    <s v="BIOTIKA"/>
    <s v="Q1"/>
    <e v="#REF!"/>
    <e v="#REF!"/>
    <e v="#REF!"/>
  </r>
  <r>
    <s v="401000"/>
    <x v="6"/>
    <s v="FOURNISSEURS"/>
    <s v="OD"/>
    <n v="99000"/>
    <d v="2025-03-31T00:00:00"/>
    <s v="Liaison inter-établissement vers TO "/>
    <s v="Non"/>
    <e v="#N/A"/>
    <e v="#N/A"/>
    <n v="78568"/>
    <m/>
    <s v="BIOTIKA"/>
    <s v="Q1"/>
    <e v="#REF!"/>
    <e v="#REF!"/>
    <e v="#REF!"/>
  </r>
  <r>
    <s v="401000"/>
    <x v="6"/>
    <s v="FOURNISSEURS"/>
    <s v="OD"/>
    <n v="177590.39999999999"/>
    <d v="2025-06-30T00:00:00"/>
    <s v="Liaison établissement 401000 INTEROR RO"/>
    <s v="Non"/>
    <e v="#N/A"/>
    <n v="0"/>
    <n v="76875"/>
    <s v="COMMANDE 4-240154 DU 19/09/2024"/>
    <s v="INTEROR"/>
    <s v="Q2"/>
    <e v="#REF!"/>
    <e v="#REF!"/>
    <e v="#REF!"/>
  </r>
  <r>
    <s v="401000"/>
    <x v="6"/>
    <s v="FOURNISSEURS"/>
    <s v="OD"/>
    <n v="194000"/>
    <d v="2025-02-05T00:00:00"/>
    <s v="Liaison inter-établissement vers TO "/>
    <m/>
    <e v="#N/A"/>
    <e v="#N/A"/>
    <n v="63643"/>
    <m/>
    <s v="GL FILTRATION"/>
    <s v="Q1"/>
    <e v="#REF!"/>
    <e v="#REF!"/>
    <e v="#REF!"/>
  </r>
  <r>
    <s v="401000"/>
    <x v="6"/>
    <s v="FOURNISSEURS"/>
    <s v="OD"/>
    <n v="532771.19999999995"/>
    <d v="2025-09-26T00:00:00"/>
    <s v="Liaison inter-établissement vers TO "/>
    <s v="Non"/>
    <e v="#N/A"/>
    <n v="0"/>
    <n v="86862"/>
    <m/>
    <s v="INTEROR"/>
    <s v="Q3"/>
    <e v="#REF!"/>
    <e v="#REF!"/>
    <e v="#REF!"/>
  </r>
  <r>
    <s v="401000"/>
    <x v="6"/>
    <s v="FOURNISSEURS"/>
    <s v="SP"/>
    <n v="-20000"/>
    <d v="2025-03-10T00:00:00"/>
    <s v="Apport Spendesk"/>
    <m/>
    <e v="#N/A"/>
    <e v="#N/A"/>
    <n v="60053"/>
    <m/>
    <s v="SPENDESK"/>
    <s v="Q1"/>
    <e v="#REF!"/>
    <e v="#REF!"/>
    <e v="#REF!"/>
  </r>
  <r>
    <s v="401000"/>
    <x v="6"/>
    <s v="FOURNISSEURS"/>
    <s v="SP"/>
    <n v="-20000"/>
    <d v="2025-06-10T00:00:00"/>
    <s v="Apport Spendesk"/>
    <m/>
    <e v="#N/A"/>
    <e v="#N/A"/>
    <n v="75916"/>
    <m/>
    <s v="SPENDESK"/>
    <s v="Q2"/>
    <e v="#REF!"/>
    <e v="#REF!"/>
    <e v="#REF!"/>
  </r>
  <r>
    <s v="401000"/>
    <x v="6"/>
    <s v="FOURNISSEURS"/>
    <s v="SP"/>
    <n v="-280.8"/>
    <d v="2025-09-05T00:00:00"/>
    <s v="RÈGLEMENT PAR CARTE SPENDESK"/>
    <m/>
    <e v="#N/A"/>
    <e v="#N/A"/>
    <n v="83061"/>
    <s v="4b5d69d3-3134-5de9-a957-aa8f36abb6ec"/>
    <s v="HOTELS"/>
    <s v="Q3"/>
    <e v="#REF!"/>
    <e v="#REF!"/>
    <e v="#REF!"/>
  </r>
  <r>
    <s v="401000"/>
    <x v="6"/>
    <s v="FOURNISSEURS"/>
    <s v="SP"/>
    <n v="-271.43"/>
    <d v="2025-09-06T00:00:00"/>
    <s v="RÈGLEMENT PAR CARTE SPENDESK"/>
    <m/>
    <e v="#N/A"/>
    <e v="#N/A"/>
    <n v="83063"/>
    <s v="dcd8804f-0403-5444-9281-1618f31cf608"/>
    <s v="AVIS"/>
    <s v="Q3"/>
    <e v="#REF!"/>
    <e v="#REF!"/>
    <e v="#REF!"/>
  </r>
  <r>
    <s v="401000"/>
    <x v="6"/>
    <s v="FOURNISSEURS"/>
    <s v="SP"/>
    <n v="-237.52"/>
    <d v="2025-02-04T00:00:00"/>
    <s v="RÈGLEMENT PAR CARTE SPENDESK"/>
    <m/>
    <e v="#N/A"/>
    <e v="#N/A"/>
    <n v="64164"/>
    <s v="8c1d91c1-723a-5a08-b45d-0bf00bcc4e41"/>
    <s v="DARTY"/>
    <s v="Q1"/>
    <e v="#REF!"/>
    <e v="#REF!"/>
    <e v="#REF!"/>
  </r>
  <r>
    <s v="401000"/>
    <x v="6"/>
    <s v="FOURNISSEURS"/>
    <s v="SP"/>
    <n v="-224.4"/>
    <d v="2025-01-08T00:00:00"/>
    <s v="RÈGLEMENT PAR CARTE SPENDESK"/>
    <m/>
    <e v="#N/A"/>
    <e v="#N/A"/>
    <n v="59977"/>
    <s v="c78ba5f8-c9cd-5f14-bb05-91c543998902"/>
    <s v="SNCF"/>
    <s v="Q1"/>
    <e v="#REF!"/>
    <e v="#REF!"/>
    <e v="#REF!"/>
  </r>
  <r>
    <s v="401000"/>
    <x v="6"/>
    <s v="FOURNISSEURS"/>
    <s v="SP"/>
    <n v="-198"/>
    <d v="2025-10-16T00:00:00"/>
    <s v="RÈGLEMENT PAR CARTE SPENDESK"/>
    <m/>
    <e v="#N/A"/>
    <e v="#N/A"/>
    <n v="87662"/>
    <s v="90435b8f-a000-5cec-a57f-b9a0bd575221"/>
    <s v="CHIMIE PROMOTION"/>
    <s v="Q4"/>
    <e v="#REF!"/>
    <e v="#REF!"/>
    <e v="#REF!"/>
  </r>
  <r>
    <s v="401000"/>
    <x v="6"/>
    <s v="FOURNISSEURS"/>
    <s v="SP"/>
    <n v="-152.33000000000001"/>
    <d v="2025-03-11T00:00:00"/>
    <s v="RÈGLEMENT PAR CARTE SPENDESK"/>
    <m/>
    <e v="#N/A"/>
    <e v="#N/A"/>
    <n v="66220"/>
    <s v="8a3f9731-f19c-565d-9674-5f1a99d4ae74"/>
    <s v="OFFICE DEPOT"/>
    <s v="Q1"/>
    <e v="#REF!"/>
    <e v="#REF!"/>
    <e v="#REF!"/>
  </r>
  <r>
    <s v="401000"/>
    <x v="6"/>
    <s v="FOURNISSEURS"/>
    <s v="SP"/>
    <n v="-131"/>
    <d v="2025-06-21T00:00:00"/>
    <s v="RÈGLEMENT PAR CARTE SPENDESK"/>
    <m/>
    <e v="#N/A"/>
    <e v="#N/A"/>
    <n v="78109"/>
    <s v="33a7c28d-5736-51f9-a6a0-1e448d70e092"/>
    <s v="SNCF"/>
    <s v="Q2"/>
    <e v="#REF!"/>
    <e v="#REF!"/>
    <e v="#REF!"/>
  </r>
  <r>
    <s v="401000"/>
    <x v="6"/>
    <s v="FOURNISSEURS"/>
    <s v="SP"/>
    <n v="-116"/>
    <d v="2025-10-07T00:00:00"/>
    <s v="RÈGLEMENT PAR CARTE SPENDESK"/>
    <m/>
    <e v="#N/A"/>
    <e v="#N/A"/>
    <n v="87638"/>
    <s v="45fc9343-7f80-509c-9b2f-2647b8b14373"/>
    <s v="SNCF"/>
    <s v="Q4"/>
    <e v="#REF!"/>
    <e v="#REF!"/>
    <e v="#REF!"/>
  </r>
  <r>
    <s v="401000"/>
    <x v="6"/>
    <s v="FOURNISSEURS"/>
    <s v="SP"/>
    <n v="-108.26"/>
    <d v="2025-09-06T00:00:00"/>
    <s v="RÈGLEMENT PAR CARTE SPENDESK"/>
    <m/>
    <e v="#N/A"/>
    <e v="#N/A"/>
    <n v="83067"/>
    <s v="17f8dfed-5212-5407-912b-094965d73a82"/>
    <s v="AIR FRANCE"/>
    <s v="Q3"/>
    <e v="#REF!"/>
    <e v="#REF!"/>
    <e v="#REF!"/>
  </r>
  <r>
    <s v="401000"/>
    <x v="6"/>
    <s v="FOURNISSEURS"/>
    <s v="SP"/>
    <n v="-108"/>
    <d v="2025-05-21T00:00:00"/>
    <s v="RÈGLEMENT PAR CARTE SPENDESK"/>
    <m/>
    <e v="#N/A"/>
    <e v="#N/A"/>
    <n v="75065"/>
    <s v="6c7db8c5-a4fa-5a78-af41-a22401d6777a"/>
    <s v="SNCF"/>
    <s v="Q2"/>
    <e v="#REF!"/>
    <e v="#REF!"/>
    <e v="#REF!"/>
  </r>
  <r>
    <s v="401000"/>
    <x v="6"/>
    <s v="FOURNISSEURS"/>
    <s v="SP"/>
    <n v="-95"/>
    <d v="2025-02-01T00:00:00"/>
    <s v="RÈGLEMENT PAR CARTE SPENDESK"/>
    <m/>
    <e v="#N/A"/>
    <e v="#N/A"/>
    <n v="64146"/>
    <s v="e2fc6aca-5b80-57ff-bf66-7a012c16ad28"/>
    <s v="SNCF"/>
    <s v="Q1"/>
    <e v="#REF!"/>
    <e v="#REF!"/>
    <e v="#REF!"/>
  </r>
  <r>
    <s v="401000"/>
    <x v="6"/>
    <s v="FOURNISSEURS"/>
    <s v="SP"/>
    <n v="-95"/>
    <d v="2025-08-28T00:00:00"/>
    <s v="RÈGLEMENT PAR CARTE SPENDESK"/>
    <m/>
    <e v="#N/A"/>
    <e v="#N/A"/>
    <n v="83237"/>
    <s v="dd180acd-4806-523e-807a-f71ff37d40d8"/>
    <s v="SNCF"/>
    <s v="Q3"/>
    <e v="#REF!"/>
    <e v="#REF!"/>
    <e v="#REF!"/>
  </r>
  <r>
    <s v="401000"/>
    <x v="6"/>
    <s v="FOURNISSEURS"/>
    <s v="SP"/>
    <n v="-93"/>
    <d v="2025-12-10T00:00:00"/>
    <s v="RÈGLEMENT PAR CARTE SPENDESK"/>
    <m/>
    <e v="#N/A"/>
    <e v="#N/A"/>
    <n v="94017"/>
    <s v="818c5781-8e4a-5435-875b-7d5b5679bf03"/>
    <s v="SNCF"/>
    <s v="Q4"/>
    <e v="#REF!"/>
    <e v="#REF!"/>
    <e v="#REF!"/>
  </r>
  <r>
    <s v="401000"/>
    <x v="6"/>
    <s v="FOURNISSEURS"/>
    <s v="SP"/>
    <n v="-88"/>
    <d v="2025-05-24T00:00:00"/>
    <s v="RÈGLEMENT PAR CARTE SPENDESK"/>
    <m/>
    <e v="#N/A"/>
    <e v="#N/A"/>
    <n v="75073"/>
    <s v="d1eadbea-6869-5dfc-b9ef-fa9b1795f890"/>
    <s v="SNCF"/>
    <s v="Q2"/>
    <e v="#REF!"/>
    <e v="#REF!"/>
    <e v="#REF!"/>
  </r>
  <r>
    <s v="401000"/>
    <x v="6"/>
    <s v="FOURNISSEURS"/>
    <s v="SP"/>
    <n v="-88"/>
    <d v="2025-11-18T00:00:00"/>
    <s v="RÈGLEMENT PAR CARTE SPENDESK"/>
    <m/>
    <e v="#N/A"/>
    <e v="#N/A"/>
    <n v="91535"/>
    <s v="ecc785bc-3968-542b-8af5-26b359c541c9"/>
    <s v="SNCF"/>
    <s v="Q4"/>
    <e v="#REF!"/>
    <e v="#REF!"/>
    <e v="#REF!"/>
  </r>
  <r>
    <s v="401000"/>
    <x v="6"/>
    <s v="FOURNISSEURS"/>
    <s v="SP"/>
    <n v="-67.48"/>
    <d v="2025-05-14T00:00:00"/>
    <s v="RÈGLEMENT PAR CARTE SPENDESK"/>
    <m/>
    <e v="#N/A"/>
    <e v="#N/A"/>
    <n v="75057"/>
    <s v="78013eb8-85c8-5b4d-9684-445536ae0fe9"/>
    <s v="AIRBNB"/>
    <s v="Q2"/>
    <e v="#REF!"/>
    <e v="#REF!"/>
    <e v="#REF!"/>
  </r>
  <r>
    <s v="401000"/>
    <x v="6"/>
    <s v="FOURNISSEURS"/>
    <s v="SP"/>
    <n v="-58"/>
    <d v="2025-10-31T00:00:00"/>
    <s v="RÈGLEMENT PAR CARTE SPENDESK"/>
    <m/>
    <e v="#N/A"/>
    <e v="#N/A"/>
    <n v="87704"/>
    <s v="188dbbb6-17ab-5146-bc1d-e71e11e9cb80"/>
    <s v="SNCF"/>
    <s v="Q4"/>
    <e v="#REF!"/>
    <e v="#REF!"/>
    <e v="#REF!"/>
  </r>
  <r>
    <s v="401000"/>
    <x v="6"/>
    <s v="FOURNISSEURS"/>
    <s v="SP"/>
    <n v="-55"/>
    <d v="2025-09-09T00:00:00"/>
    <s v="RÈGLEMENT PAR CARTE SPENDESK"/>
    <m/>
    <e v="#N/A"/>
    <e v="#N/A"/>
    <n v="83071"/>
    <s v="7ed92c81-7285-5b9b-9941-b7821b47dde3"/>
    <s v="SNCF"/>
    <s v="Q3"/>
    <e v="#REF!"/>
    <e v="#REF!"/>
    <e v="#REF!"/>
  </r>
  <r>
    <s v="401000"/>
    <x v="6"/>
    <s v="FOURNISSEURS"/>
    <s v="SP"/>
    <n v="-44"/>
    <d v="2025-12-11T00:00:00"/>
    <s v="RÈGLEMENT PAR CARTE SPENDESK"/>
    <m/>
    <e v="#N/A"/>
    <e v="#N/A"/>
    <n v="94023"/>
    <s v="e29b8a52-b5e6-5de8-8076-9ace50cefee5"/>
    <s v="SNCF"/>
    <s v="Q4"/>
    <e v="#REF!"/>
    <e v="#REF!"/>
    <e v="#REF!"/>
  </r>
  <r>
    <s v="401000"/>
    <x v="6"/>
    <s v="FOURNISSEURS"/>
    <s v="SP"/>
    <n v="-32.6"/>
    <d v="2025-06-21T00:00:00"/>
    <s v="RÈGLEMENT PAR CARTE SPENDESK"/>
    <m/>
    <e v="#N/A"/>
    <e v="#N/A"/>
    <n v="78107"/>
    <s v="454ba692-e507-503f-aa35-547615efb7c3"/>
    <s v="BOOKING"/>
    <s v="Q2"/>
    <e v="#REF!"/>
    <e v="#REF!"/>
    <e v="#REF!"/>
  </r>
  <r>
    <s v="401000"/>
    <x v="6"/>
    <s v="FOURNISSEURS"/>
    <s v="SP"/>
    <n v="-23"/>
    <d v="2025-12-10T00:00:00"/>
    <s v="RÈGLEMENT PAR CARTE SPENDESK"/>
    <m/>
    <e v="#N/A"/>
    <e v="#N/A"/>
    <n v="94019"/>
    <s v="07b74734-e6f3-5655-befa-16b706602ac4"/>
    <s v="SNCF"/>
    <s v="Q4"/>
    <e v="#REF!"/>
    <e v="#REF!"/>
    <e v="#REF!"/>
  </r>
  <r>
    <s v="401000"/>
    <x v="6"/>
    <s v="FOURNISSEURS"/>
    <s v="SP"/>
    <n v="-18"/>
    <d v="2025-11-03T00:00:00"/>
    <s v="RÈGLEMENT PAR CARTE SPENDESK"/>
    <m/>
    <e v="#N/A"/>
    <e v="#N/A"/>
    <n v="91493"/>
    <s v="de356779-6af3-51a8-bc79-2c1a3ff02239"/>
    <s v="SNCF"/>
    <s v="Q4"/>
    <e v="#REF!"/>
    <e v="#REF!"/>
    <e v="#REF!"/>
  </r>
  <r>
    <s v="401000"/>
    <x v="6"/>
    <s v="FOURNISSEURS"/>
    <s v="SP"/>
    <n v="-12.6"/>
    <d v="2025-06-21T00:00:00"/>
    <s v="RÈGLEMENT PAR CARTE SPENDESK"/>
    <m/>
    <e v="#N/A"/>
    <e v="#N/A"/>
    <n v="78111"/>
    <s v="5d59cee1-050e-5a13-ad0f-80d541015e9e"/>
    <s v="SNCF"/>
    <s v="Q2"/>
    <e v="#REF!"/>
    <e v="#REF!"/>
    <e v="#REF!"/>
  </r>
  <r>
    <s v="401000"/>
    <x v="6"/>
    <s v="FOURNISSEURS"/>
    <s v="SP"/>
    <n v="-3"/>
    <d v="2025-09-24T00:00:00"/>
    <s v="RÈGLEMENT PAR CARTE SPENDESK"/>
    <m/>
    <e v="#N/A"/>
    <e v="#N/A"/>
    <n v="83115"/>
    <s v="764101bb-c120-59ae-a736-413ba6b48c1b"/>
    <s v="SNCF"/>
    <s v="Q3"/>
    <e v="#REF!"/>
    <e v="#REF!"/>
    <e v="#REF!"/>
  </r>
  <r>
    <s v="401000"/>
    <x v="6"/>
    <s v="FOURNISSEURS"/>
    <s v="SP"/>
    <n v="-1.18"/>
    <d v="2025-12-03T00:00:00"/>
    <s v="RÈGLEMENT PAR CARTE SPENDESK"/>
    <m/>
    <e v="#N/A"/>
    <e v="#N/A"/>
    <n v="93995"/>
    <s v="92896433-3dd2-529d-b7d6-9b35494d718a"/>
    <s v="AIRBNB"/>
    <s v="Q4"/>
    <e v="#REF!"/>
    <e v="#REF!"/>
    <e v="#REF!"/>
  </r>
  <r>
    <s v="401000"/>
    <x v="6"/>
    <s v="FOURNISSEURS"/>
    <s v="SP"/>
    <n v="0.86"/>
    <d v="2025-12-02T00:00:00"/>
    <s v="RÈGLEMENT PAR CARTE SPENDESK"/>
    <m/>
    <e v="#N/A"/>
    <e v="#N/A"/>
    <n v="93987"/>
    <s v="dc9382c6-85fb-54be-81ed-db73f1488230"/>
    <s v="SANITY"/>
    <s v="Q4"/>
    <e v="#REF!"/>
    <e v="#REF!"/>
    <e v="#REF!"/>
  </r>
  <r>
    <s v="401000"/>
    <x v="6"/>
    <s v="FOURNISSEURS"/>
    <s v="SP"/>
    <n v="0.88"/>
    <d v="2025-06-02T00:00:00"/>
    <s v="RÈGLEMENT PAR CARTE SPENDESK"/>
    <m/>
    <e v="#N/A"/>
    <e v="#N/A"/>
    <n v="78067"/>
    <s v="ab7d28b4-2e8c-5021-b6ee-6b572e247f94"/>
    <s v="SHOPIFY"/>
    <s v="Q2"/>
    <e v="#REF!"/>
    <e v="#REF!"/>
    <e v="#REF!"/>
  </r>
  <r>
    <s v="401000"/>
    <x v="6"/>
    <s v="FOURNISSEURS"/>
    <s v="SP"/>
    <n v="0.88"/>
    <d v="2025-08-03T00:00:00"/>
    <s v="RÈGLEMENT PAR CARTE SPENDESK"/>
    <m/>
    <e v="#N/A"/>
    <e v="#N/A"/>
    <n v="83199"/>
    <s v="373a1f7c-c4a1-5db5-868c-de1ee4bf234e"/>
    <s v="SANITY"/>
    <s v="Q3"/>
    <e v="#REF!"/>
    <e v="#REF!"/>
    <e v="#REF!"/>
  </r>
  <r>
    <s v="401000"/>
    <x v="6"/>
    <s v="FOURNISSEURS"/>
    <s v="SP"/>
    <n v="0.92"/>
    <d v="2025-05-02T00:00:00"/>
    <s v="RÈGLEMENT PAR CARTE SPENDESK"/>
    <m/>
    <e v="#N/A"/>
    <e v="#N/A"/>
    <n v="75033"/>
    <s v="a5e414b0-d203-5dc2-9182-a4c8a666d73c"/>
    <s v="SANITY"/>
    <s v="Q2"/>
    <e v="#REF!"/>
    <e v="#REF!"/>
    <e v="#REF!"/>
  </r>
  <r>
    <s v="401000"/>
    <x v="6"/>
    <s v="FOURNISSEURS"/>
    <s v="SP"/>
    <n v="0.96"/>
    <d v="2025-04-02T00:00:00"/>
    <s v="RÈGLEMENT PAR CARTE SPENDESK"/>
    <m/>
    <e v="#N/A"/>
    <e v="#N/A"/>
    <n v="74653"/>
    <s v="3b9d7eae-d0f8-5879-bacd-7f79db693de8"/>
    <s v="SHOPIFY"/>
    <s v="Q2"/>
    <e v="#REF!"/>
    <e v="#REF!"/>
    <e v="#REF!"/>
  </r>
  <r>
    <s v="401000"/>
    <x v="6"/>
    <s v="FOURNISSEURS"/>
    <s v="SP"/>
    <n v="0.97"/>
    <d v="2025-02-02T00:00:00"/>
    <s v="RÈGLEMENT PAR CARTE SPENDESK"/>
    <m/>
    <e v="#N/A"/>
    <e v="#N/A"/>
    <n v="64154"/>
    <s v="37ac82f2-1b0c-57e8-ab0d-fa61850d06a4"/>
    <s v="SANITY"/>
    <s v="Q1"/>
    <e v="#REF!"/>
    <e v="#REF!"/>
    <e v="#REF!"/>
  </r>
  <r>
    <s v="401000"/>
    <x v="6"/>
    <s v="FOURNISSEURS"/>
    <s v="SP"/>
    <n v="1"/>
    <d v="2025-01-02T00:00:00"/>
    <m/>
    <m/>
    <e v="#N/A"/>
    <e v="#N/A"/>
    <n v="61602"/>
    <m/>
    <s v="SANITY"/>
    <s v="Q1"/>
    <e v="#REF!"/>
    <e v="#REF!"/>
    <e v="#REF!"/>
  </r>
  <r>
    <s v="401000"/>
    <x v="6"/>
    <s v="FOURNISSEURS"/>
    <s v="SP"/>
    <n v="1"/>
    <d v="2025-03-02T00:00:00"/>
    <s v="RÈGLEMENT PAR CARTE SPENDESK"/>
    <m/>
    <e v="#N/A"/>
    <e v="#N/A"/>
    <n v="66194"/>
    <s v="5b134cd3-a12e-588d-bc64-f0452ab3fcac"/>
    <s v="SANITY"/>
    <s v="Q1"/>
    <e v="#REF!"/>
    <e v="#REF!"/>
    <e v="#REF!"/>
  </r>
  <r>
    <s v="401000"/>
    <x v="6"/>
    <s v="FOURNISSEURS"/>
    <s v="SP"/>
    <n v="1.18"/>
    <d v="2025-12-12T00:00:00"/>
    <s v="RÈGLEMENT PAR CARTE SPENDESK"/>
    <m/>
    <e v="#N/A"/>
    <e v="#N/A"/>
    <n v="94027"/>
    <s v="7f85e24f-5127-592d-88a0-330b860c20c5"/>
    <s v="AIRBNB"/>
    <s v="Q4"/>
    <e v="#REF!"/>
    <e v="#REF!"/>
    <e v="#REF!"/>
  </r>
  <r>
    <s v="401000"/>
    <x v="6"/>
    <s v="FOURNISSEURS"/>
    <s v="SP"/>
    <n v="1.71"/>
    <d v="2025-10-02T00:00:00"/>
    <s v="RÈGLEMENT PAR CARTE SPENDESK"/>
    <m/>
    <e v="#N/A"/>
    <e v="#N/A"/>
    <n v="87622"/>
    <s v="287f7148-88ec-5d32-9fd0-3ba8e46b82d4"/>
    <s v="SANITY"/>
    <s v="Q4"/>
    <e v="#REF!"/>
    <e v="#REF!"/>
    <e v="#REF!"/>
  </r>
  <r>
    <s v="401000"/>
    <x v="6"/>
    <s v="FOURNISSEURS"/>
    <s v="SP"/>
    <n v="1.74"/>
    <d v="2025-11-03T00:00:00"/>
    <s v="RÈGLEMENT PAR CARTE SPENDESK"/>
    <m/>
    <e v="#N/A"/>
    <e v="#N/A"/>
    <n v="91497"/>
    <s v="86b67f7c-514f-50f2-8d52-07befb3ae2de"/>
    <s v="SANITY"/>
    <s v="Q4"/>
    <e v="#REF!"/>
    <e v="#REF!"/>
    <e v="#REF!"/>
  </r>
  <r>
    <s v="401000"/>
    <x v="6"/>
    <s v="FOURNISSEURS"/>
    <s v="SP"/>
    <n v="1.88"/>
    <d v="2025-08-04T00:00:00"/>
    <s v="RÈGLEMENT PAR CARTE SPENDESK"/>
    <m/>
    <e v="#N/A"/>
    <e v="#N/A"/>
    <n v="83201"/>
    <s v="f827038f-4273-5d5c-8d9c-b615c476b8b6"/>
    <s v="ORANGE"/>
    <s v="Q3"/>
    <e v="#REF!"/>
    <e v="#REF!"/>
    <e v="#REF!"/>
  </r>
  <r>
    <s v="401000"/>
    <x v="6"/>
    <s v="FOURNISSEURS"/>
    <s v="SP"/>
    <n v="2.5499999999999998"/>
    <d v="2025-07-02T00:00:00"/>
    <s v="RÈGLEMENT PAR CARTE SPENDESK"/>
    <m/>
    <e v="#N/A"/>
    <e v="#N/A"/>
    <n v="80910"/>
    <s v="59244056-6756-52d4-a642-85f94eccd142"/>
    <s v="SANITY"/>
    <s v="Q3"/>
    <e v="#REF!"/>
    <e v="#REF!"/>
    <e v="#REF!"/>
  </r>
  <r>
    <s v="401000"/>
    <x v="6"/>
    <s v="FOURNISSEURS"/>
    <s v="SP"/>
    <n v="3.2"/>
    <d v="2025-10-22T00:00:00"/>
    <s v="RÈGLEMENT PAR CARTE SPENDESK"/>
    <s v="Non"/>
    <s v="Non"/>
    <e v="#N/A"/>
    <n v="87676"/>
    <s v="51021-UZSBA"/>
    <s v="INFOGREFFE"/>
    <s v="Q4"/>
    <e v="#REF!"/>
    <e v="#REF!"/>
    <e v="#REF!"/>
  </r>
  <r>
    <s v="401000"/>
    <x v="6"/>
    <s v="FOURNISSEURS"/>
    <s v="SP"/>
    <n v="5.23"/>
    <d v="2025-11-28T00:00:00"/>
    <s v="RÈGLEMENT PAR CARTE SPENDESK"/>
    <m/>
    <e v="#N/A"/>
    <e v="#N/A"/>
    <n v="91565"/>
    <s v="2fd2e97a-da0f-541f-af03-60e052987bfb"/>
    <s v="LA POSTE"/>
    <s v="Q4"/>
    <e v="#REF!"/>
    <e v="#REF!"/>
    <e v="#REF!"/>
  </r>
  <r>
    <s v="401000"/>
    <x v="6"/>
    <s v="FOURNISSEURS"/>
    <s v="SP"/>
    <n v="5.25"/>
    <d v="2025-04-05T00:00:00"/>
    <s v="RÈGLEMENT PAR CARTE SPENDESK"/>
    <m/>
    <e v="#N/A"/>
    <e v="#N/A"/>
    <n v="74667"/>
    <s v="f25c31a9-9f12-5373-8671-13b721aeb9d9"/>
    <s v="LA POSTE"/>
    <s v="Q2"/>
    <e v="#REF!"/>
    <e v="#REF!"/>
    <e v="#REF!"/>
  </r>
  <r>
    <s v="401000"/>
    <x v="6"/>
    <s v="FOURNISSEURS"/>
    <s v="SP"/>
    <n v="5.25"/>
    <d v="2025-07-11T00:00:00"/>
    <s v="RÈGLEMENT PAR CARTE SPENDESK"/>
    <m/>
    <e v="#N/A"/>
    <e v="#N/A"/>
    <n v="80930"/>
    <s v="68769131-c47f-5f2d-a765-b861a3b48474"/>
    <s v="LA POSTE"/>
    <s v="Q3"/>
    <e v="#REF!"/>
    <e v="#REF!"/>
    <e v="#REF!"/>
  </r>
  <r>
    <s v="401000"/>
    <x v="6"/>
    <s v="FOURNISSEURS"/>
    <s v="SP"/>
    <n v="5.25"/>
    <d v="2025-09-04T00:00:00"/>
    <s v="RÈGLEMENT PAR CARTE SPENDESK"/>
    <m/>
    <e v="#N/A"/>
    <e v="#N/A"/>
    <n v="83057"/>
    <s v="8df9db19-b3ec-5e9b-a544-e0f62536a7e2"/>
    <s v="LA POSTE"/>
    <s v="Q3"/>
    <e v="#REF!"/>
    <e v="#REF!"/>
    <e v="#REF!"/>
  </r>
  <r>
    <s v="401000"/>
    <x v="6"/>
    <s v="FOURNISSEURS"/>
    <s v="SP"/>
    <n v="5.25"/>
    <d v="2025-10-04T00:00:00"/>
    <s v="RÈGLEMENT PAR CARTE SPENDESK"/>
    <m/>
    <e v="#N/A"/>
    <e v="#N/A"/>
    <n v="87630"/>
    <s v="L000000137269986"/>
    <s v="LA POSTE"/>
    <s v="Q4"/>
    <e v="#REF!"/>
    <e v="#REF!"/>
    <e v="#REF!"/>
  </r>
  <r>
    <s v="401000"/>
    <x v="6"/>
    <s v="FOURNISSEURS"/>
    <s v="SP"/>
    <n v="6.41"/>
    <d v="2025-07-22T00:00:00"/>
    <s v="RÈGLEMENT PAR CARTE SPENDESK"/>
    <s v="Non"/>
    <s v="Non"/>
    <e v="#N/A"/>
    <n v="80942"/>
    <s v="873e93cd-400b-5310-a5e1-43bb7a4a5c78"/>
    <s v="INFOGREFFE"/>
    <s v="Q3"/>
    <e v="#REF!"/>
    <e v="#REF!"/>
    <e v="#REF!"/>
  </r>
  <r>
    <s v="401000"/>
    <x v="6"/>
    <s v="FOURNISSEURS"/>
    <s v="SP"/>
    <n v="6.54"/>
    <d v="2025-06-24T00:00:00"/>
    <s v="RÈGLEMENT PAR CARTE SPENDESK"/>
    <m/>
    <e v="#N/A"/>
    <e v="#N/A"/>
    <n v="78113"/>
    <s v="2209bf1f-f958-54f9-af1d-7cfecee5bcb2"/>
    <s v="SENDCLOUD"/>
    <s v="Q2"/>
    <e v="#REF!"/>
    <e v="#REF!"/>
    <e v="#REF!"/>
  </r>
  <r>
    <s v="401000"/>
    <x v="6"/>
    <s v="FOURNISSEURS"/>
    <s v="SP"/>
    <n v="7.35"/>
    <d v="2025-11-28T00:00:00"/>
    <s v="RÈGLEMENT PAR CARTE SPENDESK"/>
    <m/>
    <e v="#N/A"/>
    <e v="#N/A"/>
    <n v="91563"/>
    <s v="6784f53f-619d-550b-8e78-bdba96abeaac"/>
    <s v="LA POSTE"/>
    <s v="Q4"/>
    <e v="#REF!"/>
    <e v="#REF!"/>
    <e v="#REF!"/>
  </r>
  <r>
    <s v="401000"/>
    <x v="6"/>
    <s v="FOURNISSEURS"/>
    <s v="SP"/>
    <n v="7.49"/>
    <d v="2025-04-15T00:00:00"/>
    <s v="RÈGLEMENT PAR CARTE SPENDESK"/>
    <m/>
    <e v="#N/A"/>
    <e v="#N/A"/>
    <n v="74703"/>
    <s v="07616dc4-96e4-529e-a829-321e8390a75b"/>
    <s v="LEROY MERLIN"/>
    <s v="Q2"/>
    <e v="#REF!"/>
    <e v="#REF!"/>
    <e v="#REF!"/>
  </r>
  <r>
    <s v="401000"/>
    <x v="6"/>
    <s v="FOURNISSEURS"/>
    <s v="SP"/>
    <n v="8.0399999999999991"/>
    <d v="2025-07-22T00:00:00"/>
    <s v="RÈGLEMENT PAR CARTE SPENDESK"/>
    <m/>
    <e v="#N/A"/>
    <e v="#N/A"/>
    <n v="80944"/>
    <s v="3e096242-0dfb-558e-8299-2eb38e6a6f62"/>
    <s v="SENDCLOUD"/>
    <s v="Q3"/>
    <e v="#REF!"/>
    <e v="#REF!"/>
    <e v="#REF!"/>
  </r>
  <r>
    <s v="401000"/>
    <x v="6"/>
    <s v="FOURNISSEURS"/>
    <s v="SP"/>
    <n v="8.0399999999999991"/>
    <d v="2025-09-02T00:00:00"/>
    <s v="RÈGLEMENT PAR CARTE SPENDESK"/>
    <m/>
    <e v="#N/A"/>
    <e v="#N/A"/>
    <n v="83047"/>
    <s v="4070117f-42a6-59cb-8d70-1027b4791e0e"/>
    <s v="SENDCLOUD"/>
    <s v="Q3"/>
    <e v="#REF!"/>
    <e v="#REF!"/>
    <e v="#REF!"/>
  </r>
  <r>
    <s v="401000"/>
    <x v="6"/>
    <s v="FOURNISSEURS"/>
    <s v="SP"/>
    <n v="8.23"/>
    <d v="2025-07-03T00:00:00"/>
    <s v="RÈGLEMENT PAR CARTE SPENDESK"/>
    <m/>
    <e v="#N/A"/>
    <e v="#N/A"/>
    <n v="80914"/>
    <s v="82368fe3-1e15-5e20-a43e-277c377ff263"/>
    <s v="LA POSTE"/>
    <s v="Q3"/>
    <e v="#REF!"/>
    <e v="#REF!"/>
    <e v="#REF!"/>
  </r>
  <r>
    <s v="401000"/>
    <x v="6"/>
    <s v="FOURNISSEURS"/>
    <s v="SP"/>
    <n v="8.23"/>
    <d v="2025-07-26T00:00:00"/>
    <s v="RÈGLEMENT PAR CARTE SPENDESK"/>
    <m/>
    <e v="#N/A"/>
    <e v="#N/A"/>
    <n v="80950"/>
    <s v="54b778fc-8842-5ebf-8d11-c6e4bdaded1b"/>
    <s v="LA POSTE"/>
    <s v="Q3"/>
    <e v="#REF!"/>
    <e v="#REF!"/>
    <e v="#REF!"/>
  </r>
  <r>
    <s v="401000"/>
    <x v="6"/>
    <s v="FOURNISSEURS"/>
    <s v="SP"/>
    <n v="8.23"/>
    <d v="2025-10-04T00:00:00"/>
    <s v="RÈGLEMENT PAR CARTE SPENDESK"/>
    <m/>
    <e v="#N/A"/>
    <e v="#N/A"/>
    <n v="87632"/>
    <s v="805bfd0c-02c9-5993-9d5c-39c72a732291"/>
    <s v="LA POSTE"/>
    <s v="Q4"/>
    <e v="#REF!"/>
    <e v="#REF!"/>
    <e v="#REF!"/>
  </r>
  <r>
    <s v="401000"/>
    <x v="6"/>
    <s v="FOURNISSEURS"/>
    <s v="SP"/>
    <n v="8.23"/>
    <d v="2025-12-19T00:00:00"/>
    <s v="RÈGLEMENT PAR CARTE SPENDESK"/>
    <m/>
    <e v="#N/A"/>
    <e v="#N/A"/>
    <n v="94039"/>
    <s v="4cf852a8-73e3-5e4a-884e-0fbbc031d88e"/>
    <s v="LA POSTE"/>
    <s v="Q4"/>
    <e v="#REF!"/>
    <e v="#REF!"/>
    <e v="#REF!"/>
  </r>
  <r>
    <s v="401000"/>
    <x v="6"/>
    <s v="FOURNISSEURS"/>
    <s v="SP"/>
    <n v="8.26"/>
    <d v="2025-11-02T00:00:00"/>
    <s v="RÈGLEMENT PAR CARTE SPENDESK"/>
    <m/>
    <e v="#N/A"/>
    <e v="#N/A"/>
    <n v="91489"/>
    <s v="64d795f2-cfdc-5251-a475-b733edba6035"/>
    <s v="SENDCLOUD"/>
    <s v="Q4"/>
    <e v="#REF!"/>
    <e v="#REF!"/>
    <e v="#REF!"/>
  </r>
  <r>
    <s v="401000"/>
    <x v="6"/>
    <s v="FOURNISSEURS"/>
    <s v="SP"/>
    <n v="8.35"/>
    <d v="2025-04-25T00:00:00"/>
    <s v="RÈGLEMENT PAR CARTE SPENDESK"/>
    <m/>
    <e v="#N/A"/>
    <e v="#N/A"/>
    <n v="74717"/>
    <s v="fe657599-d64d-59a5-b37e-9bb67a65fffe"/>
    <s v="LA POSTE"/>
    <s v="Q2"/>
    <e v="#REF!"/>
    <e v="#REF!"/>
    <e v="#REF!"/>
  </r>
  <r>
    <s v="401000"/>
    <x v="6"/>
    <s v="FOURNISSEURS"/>
    <s v="SP"/>
    <n v="8.49"/>
    <d v="2025-04-25T00:00:00"/>
    <s v="RÈGLEMENT PAR CARTE SPENDESK"/>
    <m/>
    <e v="#N/A"/>
    <e v="#N/A"/>
    <n v="74719"/>
    <s v="661ac4e4-26d8-56e0-add9-7734e98eca01"/>
    <s v="LEROY MERLIN"/>
    <s v="Q2"/>
    <e v="#REF!"/>
    <e v="#REF!"/>
    <e v="#REF!"/>
  </r>
  <r>
    <s v="401000"/>
    <x v="6"/>
    <s v="FOURNISSEURS"/>
    <s v="SP"/>
    <n v="8.59"/>
    <d v="2025-04-01T00:00:00"/>
    <s v="RÈGLEMENT PAR CARTE SPENDESK"/>
    <m/>
    <e v="#N/A"/>
    <e v="#N/A"/>
    <n v="74647"/>
    <s v="e04b8323-f8eb-55e8-ae66-6eaf6ca159b4"/>
    <s v="SENDCLOUD"/>
    <s v="Q2"/>
    <e v="#REF!"/>
    <e v="#REF!"/>
    <e v="#REF!"/>
  </r>
  <r>
    <s v="401000"/>
    <x v="6"/>
    <s v="FOURNISSEURS"/>
    <s v="SP"/>
    <n v="8.59"/>
    <d v="2025-07-08T00:00:00"/>
    <s v="RÈGLEMENT PAR CARTE SPENDESK"/>
    <m/>
    <e v="#N/A"/>
    <e v="#N/A"/>
    <n v="80928"/>
    <s v="0650f9c3-4500-5b8c-9016-9907581c6ec6"/>
    <s v="SENDCLOUD"/>
    <s v="Q3"/>
    <e v="#REF!"/>
    <e v="#REF!"/>
    <e v="#REF!"/>
  </r>
  <r>
    <s v="401000"/>
    <x v="6"/>
    <s v="FOURNISSEURS"/>
    <s v="SP"/>
    <n v="8.65"/>
    <d v="2025-12-17T00:00:00"/>
    <s v="RÈGLEMENT PAR CARTE SPENDESK"/>
    <m/>
    <e v="#N/A"/>
    <e v="#N/A"/>
    <n v="94037"/>
    <s v="33c4044c-3e0d-5195-883b-b8531a3939a3"/>
    <s v="LA POSTE"/>
    <s v="Q4"/>
    <e v="#REF!"/>
    <e v="#REF!"/>
    <e v="#REF!"/>
  </r>
  <r>
    <s v="401000"/>
    <x v="6"/>
    <s v="FOURNISSEURS"/>
    <s v="SP"/>
    <n v="9.18"/>
    <d v="2025-04-15T00:00:00"/>
    <s v="RÈGLEMENT PAR CARTE SPENDESK"/>
    <m/>
    <e v="#N/A"/>
    <e v="#N/A"/>
    <n v="74705"/>
    <s v="c0a010e1-a54c-5c7f-a6d5-934e961ec14b"/>
    <s v="SENDCLOUD"/>
    <s v="Q2"/>
    <e v="#REF!"/>
    <e v="#REF!"/>
    <e v="#REF!"/>
  </r>
  <r>
    <s v="401000"/>
    <x v="6"/>
    <s v="FOURNISSEURS"/>
    <s v="SP"/>
    <n v="9.18"/>
    <d v="2025-10-14T00:00:00"/>
    <s v="RÈGLEMENT PAR CARTE SPENDESK"/>
    <m/>
    <e v="#N/A"/>
    <e v="#N/A"/>
    <n v="87652"/>
    <s v="3-25-FR0061974"/>
    <s v="SENDCLOUD"/>
    <s v="Q4"/>
    <e v="#REF!"/>
    <e v="#REF!"/>
    <e v="#REF!"/>
  </r>
  <r>
    <s v="401000"/>
    <x v="6"/>
    <s v="FOURNISSEURS"/>
    <s v="SP"/>
    <n v="9.9499999999999993"/>
    <d v="2025-05-23T00:00:00"/>
    <s v="RÈGLEMENT PAR CARTE SPENDESK"/>
    <m/>
    <e v="#N/A"/>
    <e v="#N/A"/>
    <n v="75067"/>
    <s v="4e66edf9-f0f5-52b2-a95a-146b01f09ca2"/>
    <s v="LA POSTE"/>
    <s v="Q2"/>
    <e v="#REF!"/>
    <e v="#REF!"/>
    <e v="#REF!"/>
  </r>
  <r>
    <s v="401000"/>
    <x v="6"/>
    <s v="FOURNISSEURS"/>
    <s v="SP"/>
    <n v="10"/>
    <d v="2025-01-28T00:00:00"/>
    <s v="RÈGLEMENT PAR CARTE SPENDESK"/>
    <m/>
    <e v="#N/A"/>
    <e v="#N/A"/>
    <n v="60023"/>
    <s v="66"/>
    <s v="ORSON.IO"/>
    <s v="Q1"/>
    <e v="#REF!"/>
    <e v="#REF!"/>
    <e v="#REF!"/>
  </r>
  <r>
    <s v="401000"/>
    <x v="6"/>
    <s v="FOURNISSEURS"/>
    <s v="SP"/>
    <n v="10.49"/>
    <d v="2025-12-12T00:00:00"/>
    <s v="RÈGLEMENT PAR CARTE SPENDESK"/>
    <m/>
    <e v="#N/A"/>
    <e v="#N/A"/>
    <n v="94029"/>
    <s v="54956cc4-ac39-573d-9993-3cb23a479f31"/>
    <s v="LA POSTE"/>
    <s v="Q4"/>
    <e v="#REF!"/>
    <e v="#REF!"/>
    <e v="#REF!"/>
  </r>
  <r>
    <s v="401000"/>
    <x v="6"/>
    <s v="FOURNISSEURS"/>
    <s v="SP"/>
    <n v="12.58"/>
    <d v="2025-03-18T00:00:00"/>
    <s v="RÈGLEMENT PAR CARTE SPENDESK"/>
    <m/>
    <e v="#N/A"/>
    <e v="#N/A"/>
    <n v="66240"/>
    <s v="be3066ee-2b26-5904-88df-cf521099c316"/>
    <s v="SENDCLOUD"/>
    <s v="Q1"/>
    <e v="#REF!"/>
    <e v="#REF!"/>
    <e v="#REF!"/>
  </r>
  <r>
    <s v="401000"/>
    <x v="6"/>
    <s v="FOURNISSEURS"/>
    <s v="SP"/>
    <n v="12.6"/>
    <d v="2025-12-06T00:00:00"/>
    <s v="RÈGLEMENT PAR CARTE SPENDESK"/>
    <m/>
    <e v="#N/A"/>
    <e v="#N/A"/>
    <n v="94001"/>
    <s v="bda3b8f1-6cc2-588b-a7f1-e85400017072"/>
    <s v="SNCF"/>
    <s v="Q4"/>
    <e v="#REF!"/>
    <e v="#REF!"/>
    <e v="#REF!"/>
  </r>
  <r>
    <s v="401000"/>
    <x v="6"/>
    <s v="FOURNISSEURS"/>
    <s v="SP"/>
    <n v="13.07"/>
    <d v="2025-02-22T00:00:00"/>
    <s v="RÈGLEMENT PAR CARTE SPENDESK"/>
    <m/>
    <e v="#N/A"/>
    <e v="#N/A"/>
    <n v="64232"/>
    <s v="97e9e6de-9faf-52de-9662-16c80dc60164"/>
    <s v="CHATEAUDEAU"/>
    <s v="Q1"/>
    <e v="#REF!"/>
    <e v="#REF!"/>
    <e v="#REF!"/>
  </r>
  <r>
    <s v="401000"/>
    <x v="6"/>
    <s v="FOURNISSEURS"/>
    <s v="SP"/>
    <n v="13.94"/>
    <d v="2025-04-25T00:00:00"/>
    <s v="RÈGLEMENT PAR CARTE SPENDESK"/>
    <m/>
    <e v="#N/A"/>
    <e v="#N/A"/>
    <n v="74711"/>
    <s v="3bbbd5a9-175e-5fe4-8e2f-989317dcc4bb"/>
    <s v="LEROY MERLIN"/>
    <s v="Q2"/>
    <e v="#REF!"/>
    <e v="#REF!"/>
    <e v="#REF!"/>
  </r>
  <r>
    <s v="401000"/>
    <x v="6"/>
    <s v="FOURNISSEURS"/>
    <s v="SP"/>
    <n v="14.2"/>
    <d v="2025-08-21T00:00:00"/>
    <s v="RÈGLEMENT PAR CARTE SPENDESK"/>
    <m/>
    <e v="#N/A"/>
    <e v="#N/A"/>
    <n v="83223"/>
    <s v="80f1aabe-64e8-5cbc-9e92-683e45f48443"/>
    <s v="BRUNEAU"/>
    <s v="Q3"/>
    <e v="#REF!"/>
    <e v="#REF!"/>
    <e v="#REF!"/>
  </r>
  <r>
    <s v="401000"/>
    <x v="6"/>
    <s v="FOURNISSEURS"/>
    <s v="SP"/>
    <n v="14.62"/>
    <d v="2025-02-06T00:00:00"/>
    <s v="RÈGLEMENT PAR CARTE SPENDESK"/>
    <m/>
    <e v="#N/A"/>
    <e v="#N/A"/>
    <n v="64182"/>
    <s v="87c2d974-0e01-535c-8171-7aeea5bccec3"/>
    <s v="LA POSTE"/>
    <s v="Q1"/>
    <e v="#REF!"/>
    <e v="#REF!"/>
    <e v="#REF!"/>
  </r>
  <r>
    <s v="401000"/>
    <x v="6"/>
    <s v="FOURNISSEURS"/>
    <s v="SP"/>
    <n v="14.89"/>
    <d v="2025-11-18T00:00:00"/>
    <s v="RÈGLEMENT PAR CARTE SPENDESK"/>
    <m/>
    <e v="#N/A"/>
    <e v="#N/A"/>
    <n v="91541"/>
    <s v="89155c9e-f4d2-5fb5-8b4a-1516ff218600"/>
    <s v="LEROY MERLIN"/>
    <s v="Q4"/>
    <e v="#REF!"/>
    <e v="#REF!"/>
    <e v="#REF!"/>
  </r>
  <r>
    <s v="401000"/>
    <x v="6"/>
    <s v="FOURNISSEURS"/>
    <s v="SP"/>
    <n v="15"/>
    <d v="2025-01-13T00:00:00"/>
    <s v="RÈGLEMENT PAR CARTE SPENDESK"/>
    <m/>
    <e v="#N/A"/>
    <e v="#N/A"/>
    <n v="59985"/>
    <s v="06165983-539e-5b88-b54b-77f6d4205b66"/>
    <s v="COOKIEBOT"/>
    <s v="Q1"/>
    <e v="#REF!"/>
    <e v="#REF!"/>
    <e v="#REF!"/>
  </r>
  <r>
    <s v="401000"/>
    <x v="6"/>
    <s v="FOURNISSEURS"/>
    <s v="SP"/>
    <n v="15"/>
    <d v="2025-02-03T00:00:00"/>
    <s v="RÈGLEMENT PAR CARTE SPENDESK"/>
    <m/>
    <e v="#N/A"/>
    <e v="#N/A"/>
    <n v="64158"/>
    <s v="eb500665-20a7-50c3-a62f-a2d8ece75a06"/>
    <s v="COOKIEBOT"/>
    <s v="Q1"/>
    <e v="#REF!"/>
    <e v="#REF!"/>
    <e v="#REF!"/>
  </r>
  <r>
    <s v="401000"/>
    <x v="6"/>
    <s v="FOURNISSEURS"/>
    <s v="SP"/>
    <n v="15"/>
    <d v="2025-03-03T00:00:00"/>
    <s v="RÈGLEMENT PAR CARTE SPENDESK"/>
    <m/>
    <e v="#N/A"/>
    <e v="#N/A"/>
    <n v="66196"/>
    <s v="1548c517-4040-55da-8a15-7db8b9ff4274"/>
    <s v="COOKIEBOT"/>
    <s v="Q1"/>
    <e v="#REF!"/>
    <e v="#REF!"/>
    <e v="#REF!"/>
  </r>
  <r>
    <s v="401000"/>
    <x v="6"/>
    <s v="FOURNISSEURS"/>
    <s v="SP"/>
    <n v="15"/>
    <d v="2025-04-03T00:00:00"/>
    <s v="RÈGLEMENT PAR CARTE SPENDESK"/>
    <m/>
    <e v="#N/A"/>
    <e v="#N/A"/>
    <n v="74655"/>
    <s v="5f2d76fe-7927-5b2a-b650-46bcb25b58e8"/>
    <s v="COOKIEBOT"/>
    <s v="Q2"/>
    <e v="#REF!"/>
    <e v="#REF!"/>
    <e v="#REF!"/>
  </r>
  <r>
    <s v="401000"/>
    <x v="6"/>
    <s v="FOURNISSEURS"/>
    <s v="SP"/>
    <n v="15"/>
    <d v="2025-05-03T00:00:00"/>
    <s v="RÈGLEMENT PAR CARTE SPENDESK"/>
    <m/>
    <e v="#N/A"/>
    <e v="#N/A"/>
    <n v="75037"/>
    <s v="3a9aedbb-b79c-50ae-8dbe-237cb7b3d1b4"/>
    <s v="COOKIEBOT"/>
    <s v="Q2"/>
    <e v="#REF!"/>
    <e v="#REF!"/>
    <e v="#REF!"/>
  </r>
  <r>
    <s v="401000"/>
    <x v="6"/>
    <s v="FOURNISSEURS"/>
    <s v="SP"/>
    <n v="15"/>
    <d v="2025-06-04T00:00:00"/>
    <s v="RÈGLEMENT PAR CARTE SPENDESK"/>
    <m/>
    <e v="#N/A"/>
    <e v="#N/A"/>
    <n v="78071"/>
    <s v="267d6ad2-349a-503c-883b-1a3591e86735"/>
    <s v="COOKIEBOT"/>
    <s v="Q2"/>
    <e v="#REF!"/>
    <e v="#REF!"/>
    <e v="#REF!"/>
  </r>
  <r>
    <s v="401000"/>
    <x v="6"/>
    <s v="FOURNISSEURS"/>
    <s v="SP"/>
    <n v="15"/>
    <d v="2025-07-04T00:00:00"/>
    <s v="RÈGLEMENT PAR CARTE SPENDESK"/>
    <m/>
    <e v="#N/A"/>
    <e v="#N/A"/>
    <n v="80918"/>
    <s v="ce1bc62e-90ee-5b4f-806f-bff2c41cf912"/>
    <s v="COOKIEBOT"/>
    <s v="Q3"/>
    <e v="#REF!"/>
    <e v="#REF!"/>
    <e v="#REF!"/>
  </r>
  <r>
    <s v="401000"/>
    <x v="6"/>
    <s v="FOURNISSEURS"/>
    <s v="SP"/>
    <n v="15"/>
    <d v="2025-08-03T00:00:00"/>
    <s v="RÈGLEMENT PAR CARTE SPENDESK"/>
    <m/>
    <e v="#N/A"/>
    <e v="#N/A"/>
    <n v="83197"/>
    <s v="d7683ef3-2a4a-5389-a12a-c3f0cad81666"/>
    <s v="COOKIEBOT"/>
    <s v="Q3"/>
    <e v="#REF!"/>
    <e v="#REF!"/>
    <e v="#REF!"/>
  </r>
  <r>
    <s v="401000"/>
    <x v="6"/>
    <s v="FOURNISSEURS"/>
    <s v="SP"/>
    <n v="15.85"/>
    <d v="2025-11-08T00:00:00"/>
    <s v="RÈGLEMENT PAR CARTE SPENDESK"/>
    <m/>
    <e v="#N/A"/>
    <e v="#N/A"/>
    <n v="91515"/>
    <s v="4d770bb0-3739-54ea-9bc5-aa296fddf4c3"/>
    <s v="LA POSTE"/>
    <s v="Q4"/>
    <e v="#REF!"/>
    <e v="#REF!"/>
    <e v="#REF!"/>
  </r>
  <r>
    <s v="401000"/>
    <x v="6"/>
    <s v="FOURNISSEURS"/>
    <s v="SP"/>
    <n v="16.079999999999998"/>
    <d v="2025-03-20T00:00:00"/>
    <s v="RÈGLEMENT PAR CARTE SPENDESK"/>
    <m/>
    <e v="#N/A"/>
    <e v="#N/A"/>
    <n v="66252"/>
    <s v="24963c84-9b8f-516f-9248-92733b79b397"/>
    <s v="RS COMPONENT"/>
    <s v="Q1"/>
    <e v="#REF!"/>
    <e v="#REF!"/>
    <e v="#REF!"/>
  </r>
  <r>
    <s v="401000"/>
    <x v="6"/>
    <s v="FOURNISSEURS"/>
    <s v="SP"/>
    <n v="16.850000000000001"/>
    <d v="2025-02-05T00:00:00"/>
    <s v="RÈGLEMENT PAR CARTE SPENDESK"/>
    <m/>
    <e v="#N/A"/>
    <e v="#N/A"/>
    <n v="64170"/>
    <s v="8fb4927b-2318-5aa3-8955-b7c8a4cd1b38"/>
    <s v="LA POSTE"/>
    <s v="Q1"/>
    <e v="#REF!"/>
    <e v="#REF!"/>
    <e v="#REF!"/>
  </r>
  <r>
    <s v="401000"/>
    <x v="6"/>
    <s v="FOURNISSEURS"/>
    <s v="SP"/>
    <n v="17.52"/>
    <d v="2025-03-19T00:00:00"/>
    <s v="RÈGLEMENT PAR CARTE SPENDESK"/>
    <m/>
    <e v="#N/A"/>
    <e v="#N/A"/>
    <n v="66246"/>
    <s v="35327508-d540-5e91-bc87-41b443fcbe72"/>
    <s v="RS COMPONENT"/>
    <s v="Q1"/>
    <e v="#REF!"/>
    <e v="#REF!"/>
    <e v="#REF!"/>
  </r>
  <r>
    <s v="401000"/>
    <x v="6"/>
    <s v="FOURNISSEURS"/>
    <s v="SP"/>
    <n v="18.55"/>
    <d v="2025-12-10T00:00:00"/>
    <s v="RÈGLEMENT PAR CARTE SPENDESK"/>
    <m/>
    <e v="#N/A"/>
    <e v="#N/A"/>
    <n v="94015"/>
    <s v="ccda2297-c5ad-5c79-ae78-0d34597feef5"/>
    <s v="BRUNEAU"/>
    <s v="Q4"/>
    <e v="#REF!"/>
    <e v="#REF!"/>
    <e v="#REF!"/>
  </r>
  <r>
    <s v="401000"/>
    <x v="6"/>
    <s v="FOURNISSEURS"/>
    <s v="SP"/>
    <n v="18.84"/>
    <d v="2025-03-28T00:00:00"/>
    <s v="RÈGLEMENT PAR CARTE SPENDESK"/>
    <m/>
    <e v="#N/A"/>
    <e v="#N/A"/>
    <n v="66276"/>
    <s v="10"/>
    <s v="LEROY MERLIN"/>
    <s v="Q1"/>
    <e v="#REF!"/>
    <e v="#REF!"/>
    <e v="#REF!"/>
  </r>
  <r>
    <s v="401000"/>
    <x v="6"/>
    <s v="FOURNISSEURS"/>
    <s v="SP"/>
    <n v="18.84"/>
    <d v="2025-04-12T00:00:00"/>
    <s v="RÈGLEMENT PAR CARTE SPENDESK"/>
    <m/>
    <e v="#N/A"/>
    <e v="#N/A"/>
    <n v="74695"/>
    <s v="07a662f5-e6c1-569b-a6f8-326511ced8ea"/>
    <s v="MANUTAN"/>
    <s v="Q2"/>
    <e v="#REF!"/>
    <e v="#REF!"/>
    <e v="#REF!"/>
  </r>
  <r>
    <s v="401000"/>
    <x v="6"/>
    <s v="FOURNISSEURS"/>
    <s v="SP"/>
    <n v="19"/>
    <d v="2025-07-29T00:00:00"/>
    <s v="RÈGLEMENT PAR CARTE SPENDESK"/>
    <m/>
    <e v="#N/A"/>
    <e v="#N/A"/>
    <n v="80952"/>
    <s v="18bd783e-8a4f-5b1a-9989-bd185adefa6e"/>
    <s v="SNCF"/>
    <s v="Q3"/>
    <e v="#REF!"/>
    <e v="#REF!"/>
    <e v="#REF!"/>
  </r>
  <r>
    <s v="401000"/>
    <x v="6"/>
    <s v="FOURNISSEURS"/>
    <s v="SP"/>
    <n v="19.75"/>
    <d v="2025-06-13T00:00:00"/>
    <s v="RÈGLEMENT PAR CARTE SPENDESK"/>
    <m/>
    <e v="#N/A"/>
    <e v="#N/A"/>
    <n v="78087"/>
    <s v="a2a4b150-a5e8-5827-b290-9a8d3f084163"/>
    <s v="GOV.UK"/>
    <s v="Q2"/>
    <e v="#REF!"/>
    <e v="#REF!"/>
    <e v="#REF!"/>
  </r>
  <r>
    <s v="401000"/>
    <x v="6"/>
    <s v="FOURNISSEURS"/>
    <s v="SP"/>
    <n v="19.989999999999998"/>
    <d v="2025-08-14T00:00:00"/>
    <s v="RÈGLEMENT PAR CARTE SPENDESK"/>
    <m/>
    <e v="#N/A"/>
    <e v="#N/A"/>
    <n v="83215"/>
    <s v="61bd2f7e-062c-5110-b7fe-ae57cce270c1"/>
    <s v="FNAC"/>
    <s v="Q3"/>
    <e v="#REF!"/>
    <e v="#REF!"/>
    <e v="#REF!"/>
  </r>
  <r>
    <s v="401000"/>
    <x v="6"/>
    <s v="FOURNISSEURS"/>
    <s v="SP"/>
    <n v="20.89"/>
    <d v="2025-04-25T00:00:00"/>
    <s v="RÈGLEMENT PAR CARTE SPENDESK"/>
    <m/>
    <e v="#N/A"/>
    <e v="#N/A"/>
    <n v="74715"/>
    <s v="e660390f-9f94-5771-afca-4d544c5494b9"/>
    <s v="LEROY MERLIN"/>
    <s v="Q2"/>
    <e v="#REF!"/>
    <e v="#REF!"/>
    <e v="#REF!"/>
  </r>
  <r>
    <s v="401000"/>
    <x v="6"/>
    <s v="FOURNISSEURS"/>
    <s v="SP"/>
    <n v="21.35"/>
    <d v="2025-07-04T00:00:00"/>
    <s v="RÈGLEMENT PAR CARTE SPENDESK"/>
    <m/>
    <e v="#N/A"/>
    <e v="#N/A"/>
    <n v="80920"/>
    <s v="15ad2445-802b-534c-953e-f2b375e666e1"/>
    <s v="LA POSTE"/>
    <s v="Q3"/>
    <e v="#REF!"/>
    <e v="#REF!"/>
    <e v="#REF!"/>
  </r>
  <r>
    <s v="401000"/>
    <x v="6"/>
    <s v="FOURNISSEURS"/>
    <s v="SP"/>
    <n v="21.99"/>
    <d v="2025-08-14T00:00:00"/>
    <s v="RÈGLEMENT PAR CARTE SPENDESK"/>
    <m/>
    <e v="#N/A"/>
    <e v="#N/A"/>
    <n v="83211"/>
    <s v="f1b998ac-c71c-5f38-8eed-962b8d93bf27"/>
    <s v="FNAC"/>
    <s v="Q3"/>
    <e v="#REF!"/>
    <e v="#REF!"/>
    <e v="#REF!"/>
  </r>
  <r>
    <s v="401000"/>
    <x v="6"/>
    <s v="FOURNISSEURS"/>
    <s v="SP"/>
    <n v="22.45"/>
    <d v="2025-02-12T00:00:00"/>
    <s v="RÈGLEMENT PAR CARTE SPENDESK"/>
    <m/>
    <e v="#N/A"/>
    <e v="#N/A"/>
    <n v="64194"/>
    <s v="6828fdaa-c939-532c-9365-5a2784f1bcc1"/>
    <s v="BRUNEAU"/>
    <s v="Q1"/>
    <e v="#REF!"/>
    <e v="#REF!"/>
    <e v="#REF!"/>
  </r>
  <r>
    <s v="401000"/>
    <x v="6"/>
    <s v="FOURNISSEURS"/>
    <s v="SP"/>
    <n v="22.96"/>
    <d v="2025-10-02T00:00:00"/>
    <s v="RÈGLEMENT PAR CARTE SPENDESK"/>
    <m/>
    <e v="#N/A"/>
    <e v="#N/A"/>
    <n v="87624"/>
    <s v="08314649-c2d1-58e2-aa0c-2693db9946a9"/>
    <s v="LA POSTE"/>
    <s v="Q4"/>
    <e v="#REF!"/>
    <e v="#REF!"/>
    <e v="#REF!"/>
  </r>
  <r>
    <s v="401000"/>
    <x v="6"/>
    <s v="FOURNISSEURS"/>
    <s v="SP"/>
    <n v="23.72"/>
    <d v="2025-01-30T00:00:00"/>
    <s v="RÈGLEMENT PAR CARTE SPENDESK"/>
    <m/>
    <e v="#N/A"/>
    <e v="#N/A"/>
    <n v="60025"/>
    <s v="72"/>
    <s v="BRUNEAU"/>
    <s v="Q1"/>
    <e v="#REF!"/>
    <e v="#REF!"/>
    <e v="#REF!"/>
  </r>
  <r>
    <s v="401000"/>
    <x v="6"/>
    <s v="FOURNISSEURS"/>
    <s v="SP"/>
    <n v="24.99"/>
    <d v="2025-08-14T00:00:00"/>
    <s v="RÈGLEMENT PAR CARTE SPENDESK"/>
    <m/>
    <e v="#N/A"/>
    <e v="#N/A"/>
    <n v="83213"/>
    <s v="3087c302-e76e-50d5-aeee-41931d432b12"/>
    <s v="FNAC"/>
    <s v="Q3"/>
    <e v="#REF!"/>
    <e v="#REF!"/>
    <e v="#REF!"/>
  </r>
  <r>
    <s v="401000"/>
    <x v="6"/>
    <s v="FOURNISSEURS"/>
    <s v="SP"/>
    <n v="27.6"/>
    <d v="2025-02-23T00:00:00"/>
    <s v="RÈGLEMENT PAR CARTE SPENDESK"/>
    <m/>
    <s v="Non"/>
    <e v="#N/A"/>
    <n v="64236"/>
    <s v="e11f0d59-efba-5501-b202-acbb24bc6b32"/>
    <s v="DIVERS"/>
    <s v="Q1"/>
    <e v="#REF!"/>
    <e v="#REF!"/>
    <e v="#REF!"/>
  </r>
  <r>
    <s v="401000"/>
    <x v="6"/>
    <s v="FOURNISSEURS"/>
    <s v="SP"/>
    <n v="27.68"/>
    <d v="2025-07-12T00:00:00"/>
    <s v="RÈGLEMENT PAR CARTE SPENDESK"/>
    <m/>
    <e v="#N/A"/>
    <e v="#N/A"/>
    <n v="80934"/>
    <s v="796708db-d5eb-5008-bde4-abcb59e1e6e8"/>
    <s v="RS COMPONENT"/>
    <s v="Q3"/>
    <e v="#REF!"/>
    <e v="#REF!"/>
    <e v="#REF!"/>
  </r>
  <r>
    <s v="401000"/>
    <x v="6"/>
    <s v="FOURNISSEURS"/>
    <s v="SP"/>
    <n v="28"/>
    <d v="2025-11-13T00:00:00"/>
    <s v="RÈGLEMENT PAR CARTE SPENDESK"/>
    <m/>
    <s v="Non"/>
    <e v="#N/A"/>
    <n v="91519"/>
    <s v="f781a802-2410-5120-b8ab-20149bde03bb"/>
    <s v="DIVERS"/>
    <s v="Q4"/>
    <e v="#REF!"/>
    <e v="#REF!"/>
    <e v="#REF!"/>
  </r>
  <r>
    <s v="401000"/>
    <x v="6"/>
    <s v="FOURNISSEURS"/>
    <s v="SP"/>
    <n v="29.95"/>
    <d v="2025-07-25T00:00:00"/>
    <s v="RÈGLEMENT PAR CARTE SPENDESK"/>
    <m/>
    <e v="#N/A"/>
    <e v="#N/A"/>
    <n v="80948"/>
    <s v="c12bc7e7-b419-5f9d-a3b2-02add35e9b12"/>
    <s v="MAILJET"/>
    <s v="Q3"/>
    <e v="#REF!"/>
    <e v="#REF!"/>
    <e v="#REF!"/>
  </r>
  <r>
    <s v="401000"/>
    <x v="6"/>
    <s v="FOURNISSEURS"/>
    <s v="SP"/>
    <n v="30"/>
    <d v="2025-08-25T00:00:00"/>
    <s v="RÈGLEMENT PAR CARTE SPENDESK"/>
    <m/>
    <e v="#N/A"/>
    <e v="#N/A"/>
    <n v="83229"/>
    <s v="b3b9eec1-f0d5-58ae-8965-b15c504d4ec8"/>
    <s v="MAILJET"/>
    <s v="Q3"/>
    <e v="#REF!"/>
    <e v="#REF!"/>
    <e v="#REF!"/>
  </r>
  <r>
    <s v="401000"/>
    <x v="6"/>
    <s v="FOURNISSEURS"/>
    <s v="SP"/>
    <n v="30"/>
    <d v="2025-09-25T00:00:00"/>
    <s v="RÈGLEMENT PAR CARTE SPENDESK"/>
    <m/>
    <e v="#N/A"/>
    <e v="#N/A"/>
    <n v="83121"/>
    <s v="42108703-71f3-5289-8068-47d099c4e502"/>
    <s v="MAILJET"/>
    <s v="Q3"/>
    <e v="#REF!"/>
    <e v="#REF!"/>
    <e v="#REF!"/>
  </r>
  <r>
    <s v="401000"/>
    <x v="6"/>
    <s v="FOURNISSEURS"/>
    <s v="SP"/>
    <n v="30"/>
    <d v="2025-10-25T00:00:00"/>
    <s v="RÈGLEMENT PAR CARTE SPENDESK"/>
    <m/>
    <e v="#N/A"/>
    <e v="#N/A"/>
    <n v="87682"/>
    <s v="9578930"/>
    <s v="MAILJET"/>
    <s v="Q4"/>
    <e v="#REF!"/>
    <e v="#REF!"/>
    <e v="#REF!"/>
  </r>
  <r>
    <s v="401000"/>
    <x v="6"/>
    <s v="FOURNISSEURS"/>
    <s v="SP"/>
    <n v="30"/>
    <d v="2025-11-03T00:00:00"/>
    <s v="RÈGLEMENT PAR CARTE SPENDESK"/>
    <m/>
    <e v="#N/A"/>
    <e v="#N/A"/>
    <n v="91495"/>
    <s v="dce2b5e3-0f37-5d40-8a2f-831deee7bfdf"/>
    <s v="COOKIEBOT"/>
    <s v="Q4"/>
    <e v="#REF!"/>
    <e v="#REF!"/>
    <e v="#REF!"/>
  </r>
  <r>
    <s v="401000"/>
    <x v="6"/>
    <s v="FOURNISSEURS"/>
    <s v="SP"/>
    <n v="30"/>
    <d v="2025-11-25T00:00:00"/>
    <s v="RÈGLEMENT PAR CARTE SPENDESK"/>
    <m/>
    <e v="#N/A"/>
    <e v="#N/A"/>
    <n v="91551"/>
    <s v="f8a29038-791a-5af2-836a-f23ff8d88ec3"/>
    <s v="MAILJET"/>
    <s v="Q4"/>
    <e v="#REF!"/>
    <e v="#REF!"/>
    <e v="#REF!"/>
  </r>
  <r>
    <s v="401000"/>
    <x v="6"/>
    <s v="FOURNISSEURS"/>
    <s v="SP"/>
    <n v="30"/>
    <d v="2025-12-03T00:00:00"/>
    <s v="RÈGLEMENT PAR CARTE SPENDESK"/>
    <m/>
    <e v="#N/A"/>
    <e v="#N/A"/>
    <n v="93991"/>
    <s v="2bab8837-564c-5e7a-a032-6b655a705f8c"/>
    <s v="COOKIEBOT"/>
    <s v="Q4"/>
    <e v="#REF!"/>
    <e v="#REF!"/>
    <e v="#REF!"/>
  </r>
  <r>
    <s v="401000"/>
    <x v="6"/>
    <s v="FOURNISSEURS"/>
    <s v="SP"/>
    <n v="30"/>
    <d v="2025-12-25T00:00:00"/>
    <s v="RÈGLEMENT PAR CARTE SPENDESK"/>
    <m/>
    <e v="#N/A"/>
    <e v="#N/A"/>
    <n v="94043"/>
    <s v="ada95248-64b3-5f27-a9fa-04a700f5e5a9"/>
    <s v="MAILJET"/>
    <s v="Q4"/>
    <e v="#REF!"/>
    <e v="#REF!"/>
    <e v="#REF!"/>
  </r>
  <r>
    <s v="401000"/>
    <x v="6"/>
    <s v="FOURNISSEURS"/>
    <s v="SP"/>
    <n v="31.79"/>
    <d v="2025-01-18T00:00:00"/>
    <s v="RÈGLEMENT PAR CARTE SPENDESK"/>
    <m/>
    <s v="Non"/>
    <e v="#N/A"/>
    <n v="59995"/>
    <s v="ab43fd85-904c-5f3e-bdb5-7b4460662121"/>
    <s v="DIVERS"/>
    <s v="Q1"/>
    <e v="#REF!"/>
    <e v="#REF!"/>
    <e v="#REF!"/>
  </r>
  <r>
    <s v="401000"/>
    <x v="6"/>
    <s v="FOURNISSEURS"/>
    <s v="SP"/>
    <n v="32.85"/>
    <d v="2025-06-18T00:00:00"/>
    <s v="RÈGLEMENT PAR CARTE SPENDESK"/>
    <m/>
    <e v="#N/A"/>
    <e v="#N/A"/>
    <n v="78103"/>
    <s v="48fddd85-cd46-507c-80fe-17116cc99601"/>
    <s v="MONDROGUISTE"/>
    <s v="Q2"/>
    <e v="#REF!"/>
    <e v="#REF!"/>
    <e v="#REF!"/>
  </r>
  <r>
    <s v="401000"/>
    <x v="6"/>
    <s v="FOURNISSEURS"/>
    <s v="SP"/>
    <n v="33.42"/>
    <d v="2025-03-01T00:00:00"/>
    <s v="RÈGLEMENT PAR CARTE SPENDESK"/>
    <m/>
    <e v="#N/A"/>
    <e v="#N/A"/>
    <n v="66190"/>
    <s v="524982d8-1ec8-5eb6-a0ba-f36625be7c1a"/>
    <s v="MANUTAN"/>
    <s v="Q1"/>
    <e v="#REF!"/>
    <e v="#REF!"/>
    <e v="#REF!"/>
  </r>
  <r>
    <s v="401000"/>
    <x v="6"/>
    <s v="FOURNISSEURS"/>
    <s v="SP"/>
    <n v="33.590000000000003"/>
    <d v="2025-10-22T00:00:00"/>
    <s v="RÈGLEMENT PAR CARTE SPENDESK"/>
    <m/>
    <e v="#N/A"/>
    <e v="#N/A"/>
    <n v="87674"/>
    <s v="26.560.029"/>
    <s v="BRUNEAU"/>
    <s v="Q4"/>
    <e v="#REF!"/>
    <e v="#REF!"/>
    <e v="#REF!"/>
  </r>
  <r>
    <s v="401000"/>
    <x v="6"/>
    <s v="FOURNISSEURS"/>
    <s v="SP"/>
    <n v="34.799999999999997"/>
    <d v="2025-01-02T00:00:00"/>
    <s v="RÈGLEMENT PAR CARTE SPENDESK"/>
    <m/>
    <e v="#N/A"/>
    <e v="#N/A"/>
    <n v="59963"/>
    <s v="381b6413-40c3-5588-823c-b46321163e34"/>
    <s v="SENDCLOUD"/>
    <s v="Q1"/>
    <e v="#REF!"/>
    <e v="#REF!"/>
    <e v="#REF!"/>
  </r>
  <r>
    <s v="401000"/>
    <x v="6"/>
    <s v="FOURNISSEURS"/>
    <s v="SP"/>
    <n v="34.799999999999997"/>
    <d v="2025-02-02T00:00:00"/>
    <s v="RÈGLEMENT PAR CARTE SPENDESK"/>
    <m/>
    <e v="#N/A"/>
    <e v="#N/A"/>
    <n v="64156"/>
    <s v="0beb14c1-6acc-5196-834e-84071a6a52ec"/>
    <s v="SENDCLOUD"/>
    <s v="Q1"/>
    <e v="#REF!"/>
    <e v="#REF!"/>
    <e v="#REF!"/>
  </r>
  <r>
    <s v="401000"/>
    <x v="6"/>
    <s v="FOURNISSEURS"/>
    <s v="SP"/>
    <n v="34.799999999999997"/>
    <d v="2025-03-02T00:00:00"/>
    <s v="RÈGLEMENT PAR CARTE SPENDESK"/>
    <m/>
    <e v="#N/A"/>
    <e v="#N/A"/>
    <n v="66192"/>
    <s v="3d9b5f6e-e92e-5a51-8fd9-65725ea817e4"/>
    <s v="SENDCLOUD"/>
    <s v="Q1"/>
    <e v="#REF!"/>
    <e v="#REF!"/>
    <e v="#REF!"/>
  </r>
  <r>
    <s v="401000"/>
    <x v="6"/>
    <s v="FOURNISSEURS"/>
    <s v="SP"/>
    <n v="34.799999999999997"/>
    <d v="2025-05-02T00:00:00"/>
    <s v="RÈGLEMENT PAR CARTE SPENDESK"/>
    <m/>
    <e v="#N/A"/>
    <e v="#N/A"/>
    <n v="75035"/>
    <s v="faf8c3bf-887b-5a29-995f-cc93329029cd"/>
    <s v="SENDCLOUD"/>
    <s v="Q2"/>
    <e v="#REF!"/>
    <e v="#REF!"/>
    <e v="#REF!"/>
  </r>
  <r>
    <s v="401000"/>
    <x v="6"/>
    <s v="FOURNISSEURS"/>
    <s v="SP"/>
    <n v="34.799999999999997"/>
    <d v="2025-06-02T00:00:00"/>
    <s v="RÈGLEMENT PAR CARTE SPENDESK"/>
    <m/>
    <e v="#N/A"/>
    <e v="#N/A"/>
    <n v="78069"/>
    <s v="e1677e42-da40-588a-9be0-6112889976ec"/>
    <s v="SENDCLOUD"/>
    <s v="Q2"/>
    <e v="#REF!"/>
    <e v="#REF!"/>
    <e v="#REF!"/>
  </r>
  <r>
    <s v="401000"/>
    <x v="6"/>
    <s v="FOURNISSEURS"/>
    <s v="SP"/>
    <n v="34.799999999999997"/>
    <d v="2025-08-02T00:00:00"/>
    <s v="RÈGLEMENT PAR CARTE SPENDESK"/>
    <m/>
    <e v="#N/A"/>
    <e v="#N/A"/>
    <n v="83193"/>
    <s v="561daab4-cd93-5c7d-bd17-b93e520c204e"/>
    <s v="SENDCLOUD"/>
    <s v="Q3"/>
    <e v="#REF!"/>
    <e v="#REF!"/>
    <e v="#REF!"/>
  </r>
  <r>
    <s v="401000"/>
    <x v="6"/>
    <s v="FOURNISSEURS"/>
    <s v="SP"/>
    <n v="34.799999999999997"/>
    <d v="2025-12-24T00:00:00"/>
    <s v="RÈGLEMENT PAR CARTE SPENDESK"/>
    <m/>
    <e v="#N/A"/>
    <e v="#N/A"/>
    <n v="94041"/>
    <s v="f59564a4-861d-5a89-8554-db9c046def2e"/>
    <s v="LPI CONSEIL"/>
    <s v="Q4"/>
    <e v="#REF!"/>
    <e v="#REF!"/>
    <e v="#REF!"/>
  </r>
  <r>
    <s v="401000"/>
    <x v="6"/>
    <s v="FOURNISSEURS"/>
    <s v="SP"/>
    <n v="35.04"/>
    <d v="2025-04-02T00:00:00"/>
    <s v="RÈGLEMENT PAR CARTE SPENDESK"/>
    <m/>
    <e v="#N/A"/>
    <e v="#N/A"/>
    <n v="74649"/>
    <s v="ac3bf5e4-d29a-51d0-afb8-052445dd78a4"/>
    <s v="SENDCLOUD"/>
    <s v="Q2"/>
    <e v="#REF!"/>
    <e v="#REF!"/>
    <e v="#REF!"/>
  </r>
  <r>
    <s v="401000"/>
    <x v="6"/>
    <s v="FOURNISSEURS"/>
    <s v="SP"/>
    <n v="35.04"/>
    <d v="2025-07-02T00:00:00"/>
    <s v="RÈGLEMENT PAR CARTE SPENDESK"/>
    <m/>
    <e v="#N/A"/>
    <e v="#N/A"/>
    <n v="80912"/>
    <s v="838bbe1f-2a45-5794-91df-1821b6bbf9e3"/>
    <s v="SENDCLOUD"/>
    <s v="Q3"/>
    <e v="#REF!"/>
    <e v="#REF!"/>
    <e v="#REF!"/>
  </r>
  <r>
    <s v="401000"/>
    <x v="6"/>
    <s v="FOURNISSEURS"/>
    <s v="SP"/>
    <n v="36"/>
    <d v="2025-04-04T00:00:00"/>
    <s v="RÈGLEMENT PAR CARTE SPENDESK"/>
    <m/>
    <s v="Non"/>
    <s v="Oui"/>
    <n v="74657"/>
    <s v="30de78f2-4abd-5aea-afe4-b5d7b4f948ac"/>
    <s v="AXELERA"/>
    <s v="Q2"/>
    <e v="#REF!"/>
    <e v="#REF!"/>
    <e v="#REF!"/>
  </r>
  <r>
    <s v="401000"/>
    <x v="6"/>
    <s v="FOURNISSEURS"/>
    <s v="SP"/>
    <n v="36.06"/>
    <d v="2025-01-18T00:00:00"/>
    <s v="RÈGLEMENT PAR CARTE SPENDESK"/>
    <m/>
    <s v="Non"/>
    <e v="#N/A"/>
    <n v="59999"/>
    <s v="710e0b74-1d8a-516e-a74d-e270b7026ed4"/>
    <s v="DIVERS"/>
    <s v="Q1"/>
    <e v="#REF!"/>
    <e v="#REF!"/>
    <e v="#REF!"/>
  </r>
  <r>
    <s v="401000"/>
    <x v="6"/>
    <s v="FOURNISSEURS"/>
    <s v="SP"/>
    <n v="36.200000000000003"/>
    <d v="2025-01-16T00:00:00"/>
    <s v="RÈGLEMENT PAR CARTE SPENDESK"/>
    <m/>
    <s v="Non"/>
    <e v="#N/A"/>
    <n v="59991"/>
    <s v="510db68c-443c-5263-94e5-27c0d2437b0d"/>
    <s v="DIVERS"/>
    <s v="Q1"/>
    <e v="#REF!"/>
    <e v="#REF!"/>
    <e v="#REF!"/>
  </r>
  <r>
    <s v="401000"/>
    <x v="6"/>
    <s v="FOURNISSEURS"/>
    <s v="SP"/>
    <n v="38.28"/>
    <d v="2025-01-01T00:00:00"/>
    <s v="RÈGLEMENT PAR CARTE SPENDESK"/>
    <m/>
    <e v="#N/A"/>
    <e v="#N/A"/>
    <n v="59959"/>
    <s v="f43f5ab6-1f2a-5245-90e8-f71ecd124185"/>
    <s v="BRUNEAU"/>
    <s v="Q1"/>
    <e v="#REF!"/>
    <e v="#REF!"/>
    <e v="#REF!"/>
  </r>
  <r>
    <s v="401000"/>
    <x v="6"/>
    <s v="FOURNISSEURS"/>
    <s v="SP"/>
    <n v="39"/>
    <d v="2025-01-07T00:00:00"/>
    <s v="RÈGLEMENT PAR CARTE SPENDESK"/>
    <m/>
    <e v="#N/A"/>
    <e v="#N/A"/>
    <n v="59973"/>
    <s v="7269b43a-cd74-55ea-a368-bade819e9a63"/>
    <s v="SNCF"/>
    <s v="Q1"/>
    <e v="#REF!"/>
    <e v="#REF!"/>
    <e v="#REF!"/>
  </r>
  <r>
    <s v="401000"/>
    <x v="6"/>
    <s v="FOURNISSEURS"/>
    <s v="SP"/>
    <n v="39"/>
    <d v="2025-02-06T00:00:00"/>
    <s v="RÈGLEMENT PAR CARTE SPENDESK"/>
    <m/>
    <s v="Non"/>
    <e v="#N/A"/>
    <n v="64180"/>
    <s v="ab051b74-dd00-5db7-9367-7b3b514b6310"/>
    <s v="DIVERS"/>
    <s v="Q1"/>
    <e v="#REF!"/>
    <e v="#REF!"/>
    <e v="#REF!"/>
  </r>
  <r>
    <s v="401000"/>
    <x v="6"/>
    <s v="FOURNISSEURS"/>
    <s v="SP"/>
    <n v="39"/>
    <d v="2025-03-04T00:00:00"/>
    <s v="RÈGLEMENT PAR CARTE SPENDESK"/>
    <m/>
    <e v="#N/A"/>
    <e v="#N/A"/>
    <n v="66208"/>
    <s v="c618ab1f-f9d7-51d5-a584-5dd48681796d"/>
    <s v="SNCF"/>
    <s v="Q1"/>
    <e v="#REF!"/>
    <e v="#REF!"/>
    <e v="#REF!"/>
  </r>
  <r>
    <s v="401000"/>
    <x v="6"/>
    <s v="FOURNISSEURS"/>
    <s v="SP"/>
    <n v="39"/>
    <d v="2025-03-11T00:00:00"/>
    <s v="RÈGLEMENT PAR CARTE SPENDESK"/>
    <m/>
    <e v="#N/A"/>
    <e v="#N/A"/>
    <n v="66218"/>
    <s v="SYNME5"/>
    <s v="SNCF"/>
    <s v="Q1"/>
    <e v="#REF!"/>
    <e v="#REF!"/>
    <e v="#REF!"/>
  </r>
  <r>
    <s v="401000"/>
    <x v="6"/>
    <s v="FOURNISSEURS"/>
    <s v="SP"/>
    <n v="39.6"/>
    <d v="2025-09-02T00:00:00"/>
    <s v="RÈGLEMENT PAR CARTE SPENDESK"/>
    <m/>
    <e v="#N/A"/>
    <e v="#N/A"/>
    <n v="83043"/>
    <s v="2004137f-3f11-5b43-ba12-0b2e13bd90f9"/>
    <s v="SENDCLOUD"/>
    <s v="Q3"/>
    <e v="#REF!"/>
    <e v="#REF!"/>
    <e v="#REF!"/>
  </r>
  <r>
    <s v="401000"/>
    <x v="6"/>
    <s v="FOURNISSEURS"/>
    <s v="SP"/>
    <n v="39.6"/>
    <d v="2025-12-02T00:00:00"/>
    <s v="RÈGLEMENT PAR CARTE SPENDESK"/>
    <m/>
    <e v="#N/A"/>
    <e v="#N/A"/>
    <n v="93981"/>
    <s v="6be8f00f-b55c-565b-b978-476912e41afe"/>
    <s v="SENDCLOUD"/>
    <s v="Q4"/>
    <e v="#REF!"/>
    <e v="#REF!"/>
    <e v="#REF!"/>
  </r>
  <r>
    <s v="401000"/>
    <x v="6"/>
    <s v="FOURNISSEURS"/>
    <s v="SP"/>
    <n v="39.75"/>
    <d v="2025-01-18T00:00:00"/>
    <s v="RÈGLEMENT PAR CARTE SPENDESK"/>
    <m/>
    <e v="#N/A"/>
    <e v="#N/A"/>
    <n v="59997"/>
    <s v="43"/>
    <s v="TRUFFAUT"/>
    <s v="Q1"/>
    <e v="#REF!"/>
    <e v="#REF!"/>
    <e v="#REF!"/>
  </r>
  <r>
    <s v="401000"/>
    <x v="6"/>
    <s v="FOURNISSEURS"/>
    <s v="SP"/>
    <n v="39.9"/>
    <d v="2025-05-12T00:00:00"/>
    <s v="RÈGLEMENT PAR CARTE SPENDESK"/>
    <m/>
    <e v="#N/A"/>
    <e v="#N/A"/>
    <n v="75047"/>
    <s v="1012106f-dc96-5d2c-bb57-916b1832977c"/>
    <s v="LA FOURCHE"/>
    <s v="Q2"/>
    <e v="#REF!"/>
    <e v="#REF!"/>
    <e v="#REF!"/>
  </r>
  <r>
    <s v="401000"/>
    <x v="6"/>
    <s v="FOURNISSEURS"/>
    <s v="SP"/>
    <n v="40"/>
    <d v="2025-08-11T00:00:00"/>
    <s v="RÈGLEMENT PAR CARTE SPENDESK"/>
    <m/>
    <e v="#N/A"/>
    <e v="#N/A"/>
    <n v="83209"/>
    <s v="27b8e432-e618-5d37-bbea-f4bf251d3480"/>
    <s v="ORANGE"/>
    <s v="Q3"/>
    <e v="#REF!"/>
    <e v="#REF!"/>
    <e v="#REF!"/>
  </r>
  <r>
    <s v="401000"/>
    <x v="6"/>
    <s v="FOURNISSEURS"/>
    <s v="SP"/>
    <n v="40.26"/>
    <d v="2025-10-02T00:00:00"/>
    <s v="RÈGLEMENT PAR CARTE SPENDESK"/>
    <m/>
    <e v="#N/A"/>
    <e v="#N/A"/>
    <n v="87626"/>
    <s v="25f74979-c5c7-505a-9170-42c7f5d64e65"/>
    <s v="SENDCLOUD"/>
    <s v="Q4"/>
    <e v="#REF!"/>
    <e v="#REF!"/>
    <e v="#REF!"/>
  </r>
  <r>
    <s v="401000"/>
    <x v="6"/>
    <s v="FOURNISSEURS"/>
    <s v="SP"/>
    <n v="40.840000000000003"/>
    <d v="2025-08-11T00:00:00"/>
    <s v="RÈGLEMENT PAR CARTE SPENDESK"/>
    <m/>
    <e v="#N/A"/>
    <e v="#N/A"/>
    <n v="83207"/>
    <s v="5dadbd72-e91c-5e2c-825d-044c2c113a33"/>
    <s v="ORANGE"/>
    <s v="Q3"/>
    <e v="#REF!"/>
    <e v="#REF!"/>
    <e v="#REF!"/>
  </r>
  <r>
    <s v="401000"/>
    <x v="6"/>
    <s v="FOURNISSEURS"/>
    <s v="SP"/>
    <n v="43.56"/>
    <d v="2025-03-22T00:00:00"/>
    <s v="RÈGLEMENT PAR CARTE SPENDESK"/>
    <m/>
    <s v="Non"/>
    <e v="#N/A"/>
    <n v="66266"/>
    <s v="I01590100023708"/>
    <s v="DIVERS"/>
    <s v="Q1"/>
    <e v="#REF!"/>
    <e v="#REF!"/>
    <e v="#REF!"/>
  </r>
  <r>
    <s v="401000"/>
    <x v="6"/>
    <s v="FOURNISSEURS"/>
    <s v="SP"/>
    <n v="43.78"/>
    <d v="2025-10-15T00:00:00"/>
    <s v="RÈGLEMENT PAR CARTE SPENDESK"/>
    <m/>
    <e v="#N/A"/>
    <e v="#N/A"/>
    <n v="87658"/>
    <s v="430820179"/>
    <s v="SHOPIFY"/>
    <s v="Q4"/>
    <e v="#REF!"/>
    <e v="#REF!"/>
    <e v="#REF!"/>
  </r>
  <r>
    <s v="401000"/>
    <x v="6"/>
    <s v="FOURNISSEURS"/>
    <s v="SP"/>
    <n v="43.79"/>
    <d v="2025-09-15T00:00:00"/>
    <s v="RÈGLEMENT PAR CARTE SPENDESK"/>
    <m/>
    <e v="#N/A"/>
    <e v="#N/A"/>
    <n v="83095"/>
    <s v="8220cfe4-212a-5d59-a5c7-c8483f4c4264"/>
    <s v="SHOPIFY"/>
    <s v="Q3"/>
    <e v="#REF!"/>
    <e v="#REF!"/>
    <e v="#REF!"/>
  </r>
  <r>
    <s v="401000"/>
    <x v="6"/>
    <s v="FOURNISSEURS"/>
    <s v="SP"/>
    <n v="43.82"/>
    <d v="2025-08-16T00:00:00"/>
    <s v="RÈGLEMENT PAR CARTE SPENDESK"/>
    <m/>
    <e v="#N/A"/>
    <e v="#N/A"/>
    <n v="83217"/>
    <s v="be837ed7-17e6-5711-bb77-037dd9abfc09"/>
    <s v="SHOPIFY"/>
    <s v="Q3"/>
    <e v="#REF!"/>
    <e v="#REF!"/>
    <e v="#REF!"/>
  </r>
  <r>
    <s v="401000"/>
    <x v="6"/>
    <s v="FOURNISSEURS"/>
    <s v="SP"/>
    <n v="43.86"/>
    <d v="2025-11-14T00:00:00"/>
    <s v="RÈGLEMENT PAR CARTE SPENDESK"/>
    <m/>
    <e v="#N/A"/>
    <e v="#N/A"/>
    <n v="91521"/>
    <s v="4b8f423a-e052-5ced-ab06-ba8c60cf0237"/>
    <s v="SHOPIFY"/>
    <s v="Q4"/>
    <e v="#REF!"/>
    <e v="#REF!"/>
    <e v="#REF!"/>
  </r>
  <r>
    <s v="401000"/>
    <x v="6"/>
    <s v="FOURNISSEURS"/>
    <s v="SP"/>
    <n v="43.88"/>
    <d v="2025-12-14T00:00:00"/>
    <s v="RÈGLEMENT PAR CARTE SPENDESK"/>
    <m/>
    <e v="#N/A"/>
    <e v="#N/A"/>
    <n v="94031"/>
    <s v="80eafeff-8164-5f06-a6ba-c5ca1e6dbef4"/>
    <s v="SHOPIFY"/>
    <s v="Q4"/>
    <e v="#REF!"/>
    <e v="#REF!"/>
    <e v="#REF!"/>
  </r>
  <r>
    <s v="401000"/>
    <x v="6"/>
    <s v="FOURNISSEURS"/>
    <s v="SP"/>
    <n v="43.9"/>
    <d v="2025-07-17T00:00:00"/>
    <s v="RÈGLEMENT PAR CARTE SPENDESK"/>
    <m/>
    <e v="#N/A"/>
    <e v="#N/A"/>
    <n v="80940"/>
    <s v="bacad622-3154-5d5c-83da-8e2cd0188f24"/>
    <s v="SHOPIFY"/>
    <s v="Q3"/>
    <e v="#REF!"/>
    <e v="#REF!"/>
    <e v="#REF!"/>
  </r>
  <r>
    <s v="401000"/>
    <x v="6"/>
    <s v="FOURNISSEURS"/>
    <s v="SP"/>
    <n v="44"/>
    <d v="2025-05-03T00:00:00"/>
    <s v="RÈGLEMENT PAR CARTE SPENDESK"/>
    <m/>
    <e v="#N/A"/>
    <e v="#N/A"/>
    <n v="75039"/>
    <s v="a53dd4c5-78d7-596f-8fe4-ab6d63cb3a6c"/>
    <s v="LA FOURCHE"/>
    <s v="Q2"/>
    <e v="#REF!"/>
    <e v="#REF!"/>
    <e v="#REF!"/>
  </r>
  <r>
    <s v="401000"/>
    <x v="6"/>
    <s v="FOURNISSEURS"/>
    <s v="SP"/>
    <n v="44.08"/>
    <d v="2025-05-18T00:00:00"/>
    <s v="RÈGLEMENT PAR CARTE SPENDESK"/>
    <m/>
    <e v="#N/A"/>
    <e v="#N/A"/>
    <n v="75063"/>
    <s v="4f79b5ff-d108-553f-837e-79f8f226ff70"/>
    <s v="SHOPIFY"/>
    <s v="Q2"/>
    <e v="#REF!"/>
    <e v="#REF!"/>
    <e v="#REF!"/>
  </r>
  <r>
    <s v="401000"/>
    <x v="6"/>
    <s v="FOURNISSEURS"/>
    <s v="SP"/>
    <n v="44.15"/>
    <d v="2025-06-17T00:00:00"/>
    <s v="RÈGLEMENT PAR CARTE SPENDESK"/>
    <m/>
    <e v="#N/A"/>
    <e v="#N/A"/>
    <n v="78099"/>
    <s v="83ab5c7b-b417-5e06-b5b9-f3b4ecccf538"/>
    <s v="SHOPIFY"/>
    <s v="Q2"/>
    <e v="#REF!"/>
    <e v="#REF!"/>
    <e v="#REF!"/>
  </r>
  <r>
    <s v="401000"/>
    <x v="6"/>
    <s v="FOURNISSEURS"/>
    <s v="SP"/>
    <n v="44.39"/>
    <d v="2025-04-18T00:00:00"/>
    <s v="RÈGLEMENT PAR CARTE SPENDESK"/>
    <m/>
    <e v="#N/A"/>
    <e v="#N/A"/>
    <n v="74707"/>
    <s v="3830070c-bb28-58b1-a5f4-4ca0fe45df23"/>
    <s v="SHOPIFY"/>
    <s v="Q2"/>
    <e v="#REF!"/>
    <e v="#REF!"/>
    <e v="#REF!"/>
  </r>
  <r>
    <s v="401000"/>
    <x v="6"/>
    <s v="FOURNISSEURS"/>
    <s v="SP"/>
    <n v="44.68"/>
    <d v="2025-01-18T00:00:00"/>
    <s v="RÈGLEMENT PAR CARTE SPENDESK"/>
    <m/>
    <e v="#N/A"/>
    <e v="#N/A"/>
    <n v="59993"/>
    <s v="779cb509-1a1f-56c1-82ee-6a3e84b278de"/>
    <s v="SANITY"/>
    <s v="Q1"/>
    <e v="#REF!"/>
    <e v="#REF!"/>
    <e v="#REF!"/>
  </r>
  <r>
    <s v="401000"/>
    <x v="6"/>
    <s v="FOURNISSEURS"/>
    <s v="SP"/>
    <n v="44.69"/>
    <d v="2025-03-19T00:00:00"/>
    <s v="RÈGLEMENT PAR CARTE SPENDESK"/>
    <m/>
    <e v="#N/A"/>
    <e v="#N/A"/>
    <n v="66250"/>
    <s v="f28589b2-78e1-53ba-ac20-a8b37cfaaf38"/>
    <s v="SHOPIFY"/>
    <s v="Q1"/>
    <e v="#REF!"/>
    <e v="#REF!"/>
    <e v="#REF!"/>
  </r>
  <r>
    <s v="401000"/>
    <x v="6"/>
    <s v="FOURNISSEURS"/>
    <s v="SP"/>
    <n v="44.86"/>
    <d v="2025-02-17T00:00:00"/>
    <s v="RÈGLEMENT PAR CARTE SPENDESK"/>
    <m/>
    <e v="#N/A"/>
    <e v="#N/A"/>
    <n v="64220"/>
    <s v="2bbe4067-9d28-533a-8c9f-747b4b07eb98"/>
    <s v="SHOPIFY"/>
    <s v="Q1"/>
    <e v="#REF!"/>
    <e v="#REF!"/>
    <e v="#REF!"/>
  </r>
  <r>
    <s v="401000"/>
    <x v="6"/>
    <s v="FOURNISSEURS"/>
    <s v="SP"/>
    <n v="45"/>
    <d v="2025-01-19T00:00:00"/>
    <s v="RÈGLEMENT PAR CARTE SPENDESK"/>
    <m/>
    <e v="#N/A"/>
    <e v="#N/A"/>
    <n v="60001"/>
    <s v="45"/>
    <s v="BOULANGER"/>
    <s v="Q1"/>
    <e v="#REF!"/>
    <e v="#REF!"/>
    <e v="#REF!"/>
  </r>
  <r>
    <s v="401000"/>
    <x v="6"/>
    <s v="FOURNISSEURS"/>
    <s v="SP"/>
    <n v="45"/>
    <d v="2025-08-02T00:00:00"/>
    <s v="RÈGLEMENT PAR CARTE SPENDESK"/>
    <m/>
    <e v="#N/A"/>
    <e v="#N/A"/>
    <n v="83195"/>
    <s v="c96ff6e2-310a-598c-ac40-fe31e36a4385"/>
    <s v="ANTAI.GOUV.FR"/>
    <s v="Q3"/>
    <e v="#REF!"/>
    <e v="#REF!"/>
    <e v="#REF!"/>
  </r>
  <r>
    <s v="401000"/>
    <x v="6"/>
    <s v="FOURNISSEURS"/>
    <s v="SP"/>
    <n v="45.48"/>
    <d v="2025-09-30T00:00:00"/>
    <s v="RÈGLEMENT PAR CARTE SPENDESK"/>
    <m/>
    <e v="#N/A"/>
    <e v="#N/A"/>
    <n v="83135"/>
    <s v="6137b9f1-5775-54b5-af84-8444ed09732a"/>
    <s v="SENDCLOUD"/>
    <s v="Q3"/>
    <e v="#REF!"/>
    <e v="#REF!"/>
    <e v="#REF!"/>
  </r>
  <r>
    <s v="401000"/>
    <x v="6"/>
    <s v="FOURNISSEURS"/>
    <s v="SP"/>
    <n v="45.99"/>
    <d v="2025-08-21T00:00:00"/>
    <s v="RÈGLEMENT PAR CARTE SPENDESK"/>
    <m/>
    <e v="#N/A"/>
    <e v="#N/A"/>
    <n v="83221"/>
    <s v="24ac0726-a78d-58d1-b2fe-b83701e0e2f1"/>
    <s v="AUER"/>
    <s v="Q3"/>
    <e v="#REF!"/>
    <e v="#REF!"/>
    <e v="#REF!"/>
  </r>
  <r>
    <s v="401000"/>
    <x v="6"/>
    <s v="FOURNISSEURS"/>
    <s v="SP"/>
    <n v="47.54"/>
    <d v="2025-03-21T00:00:00"/>
    <s v="RÈGLEMENT PAR CARTE SPENDESK"/>
    <m/>
    <e v="#N/A"/>
    <e v="#N/A"/>
    <n v="66262"/>
    <s v="d456b4ba-e951-5394-ab70-681c15ad2001"/>
    <s v="BRUNEAU"/>
    <s v="Q1"/>
    <e v="#REF!"/>
    <e v="#REF!"/>
    <e v="#REF!"/>
  </r>
  <r>
    <s v="401000"/>
    <x v="6"/>
    <s v="FOURNISSEURS"/>
    <s v="SP"/>
    <n v="47.86"/>
    <d v="2025-01-25T00:00:00"/>
    <s v="RÈGLEMENT PAR CARTE SPENDESK"/>
    <m/>
    <e v="#N/A"/>
    <e v="#N/A"/>
    <n v="60015"/>
    <s v="63"/>
    <s v="AUCHAN"/>
    <s v="Q1"/>
    <e v="#REF!"/>
    <e v="#REF!"/>
    <e v="#REF!"/>
  </r>
  <r>
    <s v="401000"/>
    <x v="6"/>
    <s v="FOURNISSEURS"/>
    <s v="SP"/>
    <n v="51"/>
    <d v="2025-03-31T00:00:00"/>
    <s v="RÈGLEMENT PAR CARTE SPENDESK"/>
    <m/>
    <e v="#N/A"/>
    <e v="#N/A"/>
    <n v="66280"/>
    <s v="#111886"/>
    <s v="BONJOUR DRINK"/>
    <s v="Q1"/>
    <e v="#REF!"/>
    <e v="#REF!"/>
    <e v="#REF!"/>
  </r>
  <r>
    <s v="401000"/>
    <x v="6"/>
    <s v="FOURNISSEURS"/>
    <s v="SP"/>
    <n v="52.5"/>
    <d v="2025-08-27T00:00:00"/>
    <s v="RÈGLEMENT PAR CARTE SPENDESK"/>
    <m/>
    <e v="#N/A"/>
    <e v="#N/A"/>
    <n v="83233"/>
    <s v="662c3f2b-c689-5f33-b9ca-44527dfc3a5a"/>
    <s v="SNCF"/>
    <s v="Q3"/>
    <e v="#REF!"/>
    <e v="#REF!"/>
    <e v="#REF!"/>
  </r>
  <r>
    <s v="401000"/>
    <x v="6"/>
    <s v="FOURNISSEURS"/>
    <s v="SP"/>
    <n v="55.87"/>
    <d v="2025-05-30T00:00:00"/>
    <s v="RÈGLEMENT PAR CARTE SPENDESK"/>
    <m/>
    <e v="#N/A"/>
    <e v="#N/A"/>
    <n v="75081"/>
    <s v="486802403"/>
    <s v="RS COMPONENT"/>
    <s v="Q2"/>
    <e v="#REF!"/>
    <e v="#REF!"/>
    <e v="#REF!"/>
  </r>
  <r>
    <s v="401000"/>
    <x v="6"/>
    <s v="FOURNISSEURS"/>
    <s v="SP"/>
    <n v="56.99"/>
    <d v="2025-03-11T00:00:00"/>
    <s v="RÈGLEMENT PAR CARTE SPENDESK"/>
    <m/>
    <e v="#N/A"/>
    <e v="#N/A"/>
    <n v="66222"/>
    <s v="cd5b3b99-a428-5d7b-b803-ed71f29ca8c5"/>
    <s v="SNCF"/>
    <s v="Q1"/>
    <e v="#REF!"/>
    <e v="#REF!"/>
    <e v="#REF!"/>
  </r>
  <r>
    <s v="401000"/>
    <x v="6"/>
    <s v="FOURNISSEURS"/>
    <s v="SP"/>
    <n v="57"/>
    <d v="2025-08-27T00:00:00"/>
    <s v="RÈGLEMENT PAR CARTE SPENDESK"/>
    <m/>
    <e v="#N/A"/>
    <e v="#N/A"/>
    <n v="83231"/>
    <s v="c3d4d5f5-4c81-5ce6-8e8f-0a32042efb1c"/>
    <s v="SNCF"/>
    <s v="Q3"/>
    <e v="#REF!"/>
    <e v="#REF!"/>
    <e v="#REF!"/>
  </r>
  <r>
    <s v="401000"/>
    <x v="6"/>
    <s v="FOURNISSEURS"/>
    <s v="SP"/>
    <n v="58"/>
    <d v="2025-02-04T00:00:00"/>
    <s v="RÈGLEMENT PAR CARTE SPENDESK"/>
    <m/>
    <e v="#N/A"/>
    <e v="#N/A"/>
    <n v="64160"/>
    <s v="9240dd71-4fcc-5b5f-bfc6-6d030940d8f1"/>
    <s v="SNCF"/>
    <s v="Q1"/>
    <e v="#REF!"/>
    <e v="#REF!"/>
    <e v="#REF!"/>
  </r>
  <r>
    <s v="401000"/>
    <x v="6"/>
    <s v="FOURNISSEURS"/>
    <s v="SP"/>
    <n v="58"/>
    <d v="2025-02-04T00:00:00"/>
    <s v="RÈGLEMENT PAR CARTE SPENDESK"/>
    <m/>
    <e v="#N/A"/>
    <e v="#N/A"/>
    <n v="64162"/>
    <s v="3e6d038c-ba6e-572a-9464-3f855c127834"/>
    <s v="SNCF"/>
    <s v="Q1"/>
    <e v="#REF!"/>
    <e v="#REF!"/>
    <e v="#REF!"/>
  </r>
  <r>
    <s v="401000"/>
    <x v="6"/>
    <s v="FOURNISSEURS"/>
    <s v="SP"/>
    <n v="58"/>
    <d v="2025-06-04T00:00:00"/>
    <s v="RÈGLEMENT PAR CARTE SPENDESK"/>
    <m/>
    <e v="#N/A"/>
    <e v="#N/A"/>
    <n v="78073"/>
    <s v="2b3b39b3-30da-51f2-9aa6-72a699233c4a"/>
    <s v="SNCF"/>
    <s v="Q2"/>
    <e v="#REF!"/>
    <e v="#REF!"/>
    <e v="#REF!"/>
  </r>
  <r>
    <s v="401000"/>
    <x v="6"/>
    <s v="FOURNISSEURS"/>
    <s v="SP"/>
    <n v="58"/>
    <d v="2025-09-10T00:00:00"/>
    <s v="RÈGLEMENT PAR CARTE SPENDESK"/>
    <m/>
    <e v="#N/A"/>
    <e v="#N/A"/>
    <n v="83077"/>
    <s v="9a3265ab-221a-5407-bdc3-75d39f246d08"/>
    <s v="SNCF"/>
    <s v="Q3"/>
    <e v="#REF!"/>
    <e v="#REF!"/>
    <e v="#REF!"/>
  </r>
  <r>
    <s v="401000"/>
    <x v="6"/>
    <s v="FOURNISSEURS"/>
    <s v="SP"/>
    <n v="58"/>
    <d v="2025-11-18T00:00:00"/>
    <s v="RÈGLEMENT PAR CARTE SPENDESK"/>
    <m/>
    <e v="#N/A"/>
    <e v="#N/A"/>
    <n v="91529"/>
    <s v="c9be4374-37b1-5f11-af7c-cb5342c73897"/>
    <s v="SNCF"/>
    <s v="Q4"/>
    <e v="#REF!"/>
    <e v="#REF!"/>
    <e v="#REF!"/>
  </r>
  <r>
    <s v="401000"/>
    <x v="6"/>
    <s v="FOURNISSEURS"/>
    <s v="SP"/>
    <n v="58"/>
    <d v="2025-11-18T00:00:00"/>
    <s v="RÈGLEMENT PAR CARTE SPENDESK"/>
    <m/>
    <e v="#N/A"/>
    <e v="#N/A"/>
    <n v="91539"/>
    <s v="95786106-0b87-5389-afe2-87847f6bb1ff"/>
    <s v="SNCF"/>
    <s v="Q4"/>
    <e v="#REF!"/>
    <e v="#REF!"/>
    <e v="#REF!"/>
  </r>
  <r>
    <s v="401000"/>
    <x v="6"/>
    <s v="FOURNISSEURS"/>
    <s v="SP"/>
    <n v="58"/>
    <d v="2025-12-04T00:00:00"/>
    <s v="RÈGLEMENT PAR CARTE SPENDESK"/>
    <m/>
    <e v="#N/A"/>
    <e v="#N/A"/>
    <n v="93999"/>
    <s v="8d97d884-150b-5911-8d23-7b5af971894c"/>
    <s v="SNCF"/>
    <s v="Q4"/>
    <e v="#REF!"/>
    <e v="#REF!"/>
    <e v="#REF!"/>
  </r>
  <r>
    <s v="401000"/>
    <x v="6"/>
    <s v="FOURNISSEURS"/>
    <s v="SP"/>
    <n v="58.04"/>
    <d v="2025-06-12T00:00:00"/>
    <s v="RÈGLEMENT PAR CARTE SPENDESK"/>
    <m/>
    <e v="#N/A"/>
    <e v="#N/A"/>
    <n v="78085"/>
    <s v="a427179a-db4f-591f-942b-bcbb259c80d6"/>
    <s v="COURSIER"/>
    <s v="Q2"/>
    <e v="#REF!"/>
    <e v="#REF!"/>
    <e v="#REF!"/>
  </r>
  <r>
    <s v="401000"/>
    <x v="6"/>
    <s v="FOURNISSEURS"/>
    <s v="SP"/>
    <n v="59.54"/>
    <d v="2025-08-28T00:00:00"/>
    <s v="RÈGLEMENT PAR CARTE SPENDESK"/>
    <m/>
    <e v="#N/A"/>
    <e v="#N/A"/>
    <n v="83239"/>
    <s v="f1ba0f58-239b-58ec-a690-7fb8f7390b7d"/>
    <s v="RS COMPONENT"/>
    <s v="Q3"/>
    <e v="#REF!"/>
    <e v="#REF!"/>
    <e v="#REF!"/>
  </r>
  <r>
    <s v="401000"/>
    <x v="6"/>
    <s v="FOURNISSEURS"/>
    <s v="SP"/>
    <n v="60"/>
    <d v="2025-10-19T00:00:00"/>
    <s v="RÈGLEMENT PAR CARTE SPENDESK"/>
    <m/>
    <e v="#N/A"/>
    <e v="#N/A"/>
    <n v="87666"/>
    <s v="5900096"/>
    <s v="COOKIEBOT"/>
    <s v="Q4"/>
    <e v="#REF!"/>
    <e v="#REF!"/>
    <e v="#REF!"/>
  </r>
  <r>
    <s v="401000"/>
    <x v="6"/>
    <s v="FOURNISSEURS"/>
    <s v="SP"/>
    <n v="62.5"/>
    <d v="2025-01-03T00:00:00"/>
    <s v="RÈGLEMENT PAR CARTE SPENDESK"/>
    <m/>
    <e v="#N/A"/>
    <e v="#N/A"/>
    <n v="59967"/>
    <s v="9497986f-1ca3-5608-8b19-2fd65c1caba9"/>
    <s v="SNCF"/>
    <s v="Q1"/>
    <e v="#REF!"/>
    <e v="#REF!"/>
    <e v="#REF!"/>
  </r>
  <r>
    <s v="401000"/>
    <x v="6"/>
    <s v="FOURNISSEURS"/>
    <s v="SP"/>
    <n v="63"/>
    <d v="2025-12-09T00:00:00"/>
    <s v="RÈGLEMENT PAR CARTE SPENDESK"/>
    <m/>
    <e v="#N/A"/>
    <e v="#N/A"/>
    <n v="94007"/>
    <s v="7a3accdf-a2e6-59c9-b6dc-3bb64424b48a"/>
    <s v="SNCF"/>
    <s v="Q4"/>
    <e v="#REF!"/>
    <e v="#REF!"/>
    <e v="#REF!"/>
  </r>
  <r>
    <s v="401000"/>
    <x v="6"/>
    <s v="FOURNISSEURS"/>
    <s v="SP"/>
    <n v="63.64"/>
    <d v="2025-04-05T00:00:00"/>
    <s v="RÈGLEMENT PAR CARTE SPENDESK"/>
    <m/>
    <e v="#N/A"/>
    <e v="#N/A"/>
    <n v="74669"/>
    <s v="30a9e63f-ba82-505f-a1ac-1dfe3b66be51"/>
    <s v="GROUPE LDLC"/>
    <s v="Q2"/>
    <e v="#REF!"/>
    <e v="#REF!"/>
    <e v="#REF!"/>
  </r>
  <r>
    <s v="401000"/>
    <x v="6"/>
    <s v="FOURNISSEURS"/>
    <s v="SP"/>
    <n v="66.959999999999994"/>
    <d v="2025-03-28T00:00:00"/>
    <s v="RÈGLEMENT PAR CARTE SPENDESK"/>
    <m/>
    <e v="#N/A"/>
    <e v="#N/A"/>
    <n v="66274"/>
    <s v="36"/>
    <s v="BRUNEAU"/>
    <s v="Q1"/>
    <e v="#REF!"/>
    <e v="#REF!"/>
    <e v="#REF!"/>
  </r>
  <r>
    <s v="401000"/>
    <x v="6"/>
    <s v="FOURNISSEURS"/>
    <s v="SP"/>
    <n v="68.23"/>
    <d v="2025-06-14T00:00:00"/>
    <s v="RÈGLEMENT PAR CARTE SPENDESK"/>
    <m/>
    <e v="#N/A"/>
    <e v="#N/A"/>
    <n v="78091"/>
    <s v="602e5477-e403-512c-9fd9-6e6c2d4bbdf1"/>
    <s v="LA FOURCHE"/>
    <s v="Q2"/>
    <e v="#REF!"/>
    <e v="#REF!"/>
    <e v="#REF!"/>
  </r>
  <r>
    <s v="401000"/>
    <x v="6"/>
    <s v="FOURNISSEURS"/>
    <s v="SP"/>
    <n v="69.900000000000006"/>
    <d v="2025-05-15T00:00:00"/>
    <s v="RÈGLEMENT PAR CARTE SPENDESK"/>
    <m/>
    <e v="#N/A"/>
    <e v="#N/A"/>
    <n v="75059"/>
    <s v="63402465-a808-5506-99df-4b69e79a8553"/>
    <s v="LEROY MERLIN"/>
    <s v="Q2"/>
    <e v="#REF!"/>
    <e v="#REF!"/>
    <e v="#REF!"/>
  </r>
  <r>
    <s v="401000"/>
    <x v="6"/>
    <s v="FOURNISSEURS"/>
    <s v="SP"/>
    <n v="70"/>
    <d v="2025-10-01T00:00:00"/>
    <s v="RÈGLEMENT PAR CARTE SPENDESK"/>
    <m/>
    <e v="#N/A"/>
    <e v="#N/A"/>
    <n v="87616"/>
    <s v="1ac14193-bc30-5ebd-ba4b-d065c8bbb982"/>
    <s v="AIRLINES"/>
    <s v="Q4"/>
    <e v="#REF!"/>
    <e v="#REF!"/>
    <e v="#REF!"/>
  </r>
  <r>
    <s v="401000"/>
    <x v="6"/>
    <s v="FOURNISSEURS"/>
    <s v="SP"/>
    <n v="71.86"/>
    <d v="2025-06-11T00:00:00"/>
    <s v="RÈGLEMENT PAR CARTE SPENDESK"/>
    <m/>
    <e v="#N/A"/>
    <e v="#N/A"/>
    <n v="78081"/>
    <s v="6e744b22-7dfa-5eda-ac69-4718796eb955"/>
    <s v="GANDI"/>
    <s v="Q2"/>
    <e v="#REF!"/>
    <e v="#REF!"/>
    <e v="#REF!"/>
  </r>
  <r>
    <s v="401000"/>
    <x v="6"/>
    <s v="FOURNISSEURS"/>
    <s v="SP"/>
    <n v="77.64"/>
    <d v="2025-12-14T00:00:00"/>
    <s v="RÈGLEMENT PAR CARTE SPENDESK"/>
    <m/>
    <e v="#N/A"/>
    <e v="#N/A"/>
    <n v="94035"/>
    <s v="0ab8e1be-26c0-51c5-9b6e-06fa9fbf6677"/>
    <s v="BRADY GROUPE"/>
    <s v="Q4"/>
    <e v="#REF!"/>
    <e v="#REF!"/>
    <e v="#REF!"/>
  </r>
  <r>
    <s v="401000"/>
    <x v="6"/>
    <s v="FOURNISSEURS"/>
    <s v="SP"/>
    <n v="79"/>
    <d v="2025-03-17T00:00:00"/>
    <s v="RÈGLEMENT PAR CARTE SPENDESK"/>
    <m/>
    <e v="#N/A"/>
    <e v="#N/A"/>
    <n v="66236"/>
    <s v="JFNRTB"/>
    <s v="SNCF"/>
    <s v="Q1"/>
    <e v="#REF!"/>
    <e v="#REF!"/>
    <e v="#REF!"/>
  </r>
  <r>
    <s v="401000"/>
    <x v="6"/>
    <s v="FOURNISSEURS"/>
    <s v="SP"/>
    <n v="79.989999999999995"/>
    <d v="2025-05-13T00:00:00"/>
    <s v="RÈGLEMENT PAR CARTE SPENDESK"/>
    <m/>
    <e v="#N/A"/>
    <e v="#N/A"/>
    <n v="75053"/>
    <s v="cf78bdff-3272-54c3-a452-477dfe85b3a9"/>
    <s v="AIRBNB"/>
    <s v="Q2"/>
    <e v="#REF!"/>
    <e v="#REF!"/>
    <e v="#REF!"/>
  </r>
  <r>
    <s v="401000"/>
    <x v="6"/>
    <s v="FOURNISSEURS"/>
    <s v="SP"/>
    <n v="80"/>
    <d v="2025-11-18T00:00:00"/>
    <s v="RÈGLEMENT PAR CARTE SPENDESK"/>
    <m/>
    <e v="#N/A"/>
    <e v="#N/A"/>
    <n v="91537"/>
    <s v="e48a382e-47fa-5a82-ab5f-86a703132aee"/>
    <s v="SNCF"/>
    <s v="Q4"/>
    <e v="#REF!"/>
    <e v="#REF!"/>
    <e v="#REF!"/>
  </r>
  <r>
    <s v="401000"/>
    <x v="6"/>
    <s v="FOURNISSEURS"/>
    <s v="SP"/>
    <n v="80.2"/>
    <d v="2025-04-24T00:00:00"/>
    <s v="RÈGLEMENT PAR CARTE SPENDESK"/>
    <m/>
    <e v="#N/A"/>
    <e v="#N/A"/>
    <n v="74709"/>
    <s v="e5b50ab3-4182-5ff8-9cb5-abdc24eebcc9"/>
    <s v="MANUTAN"/>
    <s v="Q2"/>
    <e v="#REF!"/>
    <e v="#REF!"/>
    <e v="#REF!"/>
  </r>
  <r>
    <s v="401000"/>
    <x v="6"/>
    <s v="FOURNISSEURS"/>
    <s v="SP"/>
    <n v="81.23"/>
    <d v="2025-03-06T00:00:00"/>
    <s v="RÈGLEMENT PAR CARTE SPENDESK"/>
    <m/>
    <s v="Non"/>
    <e v="#N/A"/>
    <n v="66212"/>
    <s v="7dffe967-9345-52e7-ba46-834874a1b967"/>
    <s v="DIVERS"/>
    <s v="Q1"/>
    <e v="#REF!"/>
    <e v="#REF!"/>
    <e v="#REF!"/>
  </r>
  <r>
    <s v="401000"/>
    <x v="6"/>
    <s v="FOURNISSEURS"/>
    <s v="SP"/>
    <n v="81.900000000000006"/>
    <d v="2025-09-17T00:00:00"/>
    <s v="RÈGLEMENT PAR CARTE SPENDESK"/>
    <m/>
    <e v="#N/A"/>
    <e v="#N/A"/>
    <n v="83099"/>
    <s v="3992fd7b-b11e-5e65-b857-80dd63505810"/>
    <s v="GETAROUND"/>
    <s v="Q3"/>
    <e v="#REF!"/>
    <e v="#REF!"/>
    <e v="#REF!"/>
  </r>
  <r>
    <s v="401000"/>
    <x v="6"/>
    <s v="FOURNISSEURS"/>
    <s v="SP"/>
    <n v="81.900000000000006"/>
    <d v="2025-11-04T00:00:00"/>
    <s v="RÈGLEMENT PAR CARTE SPENDESK"/>
    <m/>
    <e v="#N/A"/>
    <e v="#N/A"/>
    <n v="91503"/>
    <s v="974fef20-88d8-560f-a5bc-39be7fa3df59"/>
    <s v="MONDROGUISTE"/>
    <s v="Q4"/>
    <e v="#REF!"/>
    <e v="#REF!"/>
    <e v="#REF!"/>
  </r>
  <r>
    <s v="401000"/>
    <x v="6"/>
    <s v="FOURNISSEURS"/>
    <s v="SP"/>
    <n v="83.49"/>
    <d v="2025-11-29T00:00:00"/>
    <s v="RÈGLEMENT PAR CARTE SPENDESK"/>
    <m/>
    <e v="#N/A"/>
    <e v="#N/A"/>
    <n v="91569"/>
    <s v="2112a5e0-cbd1-5443-accc-bc99add003a8"/>
    <s v="LA FOURCHE"/>
    <s v="Q4"/>
    <e v="#REF!"/>
    <e v="#REF!"/>
    <e v="#REF!"/>
  </r>
  <r>
    <s v="401000"/>
    <x v="6"/>
    <s v="FOURNISSEURS"/>
    <s v="SP"/>
    <n v="84.62"/>
    <d v="2025-06-17T00:00:00"/>
    <s v="RÈGLEMENT PAR CARTE SPENDESK"/>
    <m/>
    <e v="#N/A"/>
    <e v="#N/A"/>
    <n v="78095"/>
    <s v="2de028cf-848f-5438-8270-4a23f7244d00"/>
    <s v="BOOKING"/>
    <s v="Q2"/>
    <e v="#REF!"/>
    <e v="#REF!"/>
    <e v="#REF!"/>
  </r>
  <r>
    <s v="401000"/>
    <x v="6"/>
    <s v="FOURNISSEURS"/>
    <s v="SP"/>
    <n v="88"/>
    <d v="2025-01-24T00:00:00"/>
    <s v="RÈGLEMENT PAR CARTE SPENDESK"/>
    <m/>
    <e v="#N/A"/>
    <e v="#N/A"/>
    <n v="60011"/>
    <s v="57"/>
    <s v="SNCF"/>
    <s v="Q1"/>
    <e v="#REF!"/>
    <e v="#REF!"/>
    <e v="#REF!"/>
  </r>
  <r>
    <s v="401000"/>
    <x v="6"/>
    <s v="FOURNISSEURS"/>
    <s v="SP"/>
    <n v="88"/>
    <d v="2025-02-14T00:00:00"/>
    <s v="RÈGLEMENT PAR CARTE SPENDESK"/>
    <m/>
    <e v="#N/A"/>
    <e v="#N/A"/>
    <n v="64204"/>
    <s v="3e69a21c-4121-571d-94aa-34e604a86b68"/>
    <s v="SNCF"/>
    <s v="Q1"/>
    <e v="#REF!"/>
    <e v="#REF!"/>
    <e v="#REF!"/>
  </r>
  <r>
    <s v="401000"/>
    <x v="6"/>
    <s v="FOURNISSEURS"/>
    <s v="SP"/>
    <n v="88"/>
    <d v="2025-02-14T00:00:00"/>
    <s v="RÈGLEMENT PAR CARTE SPENDESK"/>
    <m/>
    <e v="#N/A"/>
    <e v="#N/A"/>
    <n v="64208"/>
    <s v="3a392ef8-1f0a-5703-b95c-aaa355dd48f8"/>
    <s v="SNCF"/>
    <s v="Q1"/>
    <e v="#REF!"/>
    <e v="#REF!"/>
    <e v="#REF!"/>
  </r>
  <r>
    <s v="401000"/>
    <x v="6"/>
    <s v="FOURNISSEURS"/>
    <s v="SP"/>
    <n v="88"/>
    <d v="2025-04-04T00:00:00"/>
    <s v="RÈGLEMENT PAR CARTE SPENDESK"/>
    <m/>
    <e v="#N/A"/>
    <e v="#N/A"/>
    <n v="74661"/>
    <s v="218b9e50-f2fc-57e7-9b57-9f81060c1a7b"/>
    <s v="SNCF"/>
    <s v="Q2"/>
    <e v="#REF!"/>
    <e v="#REF!"/>
    <e v="#REF!"/>
  </r>
  <r>
    <s v="401000"/>
    <x v="6"/>
    <s v="FOURNISSEURS"/>
    <s v="SP"/>
    <n v="88"/>
    <d v="2025-04-09T00:00:00"/>
    <s v="RÈGLEMENT PAR CARTE SPENDESK"/>
    <m/>
    <e v="#N/A"/>
    <e v="#N/A"/>
    <n v="74673"/>
    <s v="d6b8c797-cfa1-5ba3-bdc9-85bc421d4796"/>
    <s v="SNCF"/>
    <s v="Q2"/>
    <e v="#REF!"/>
    <e v="#REF!"/>
    <e v="#REF!"/>
  </r>
  <r>
    <s v="401000"/>
    <x v="6"/>
    <s v="FOURNISSEURS"/>
    <s v="SP"/>
    <n v="88"/>
    <d v="2025-06-13T00:00:00"/>
    <s v="RÈGLEMENT PAR CARTE SPENDESK"/>
    <m/>
    <e v="#N/A"/>
    <e v="#N/A"/>
    <n v="78089"/>
    <s v="cbc5642b-25b1-51f9-8ba9-929fda4f405a"/>
    <s v="SNCF"/>
    <s v="Q2"/>
    <e v="#REF!"/>
    <e v="#REF!"/>
    <e v="#REF!"/>
  </r>
  <r>
    <s v="401000"/>
    <x v="6"/>
    <s v="FOURNISSEURS"/>
    <s v="SP"/>
    <n v="88"/>
    <d v="2025-09-10T00:00:00"/>
    <s v="RÈGLEMENT PAR CARTE SPENDESK"/>
    <m/>
    <e v="#N/A"/>
    <e v="#N/A"/>
    <n v="83075"/>
    <s v="043cdee2-e328-5cb1-b661-01ef815e0bfd"/>
    <s v="SNCF"/>
    <s v="Q3"/>
    <e v="#REF!"/>
    <e v="#REF!"/>
    <e v="#REF!"/>
  </r>
  <r>
    <s v="401000"/>
    <x v="6"/>
    <s v="FOURNISSEURS"/>
    <s v="SP"/>
    <n v="88"/>
    <d v="2025-09-10T00:00:00"/>
    <s v="RÈGLEMENT PAR CARTE SPENDESK"/>
    <m/>
    <e v="#N/A"/>
    <e v="#N/A"/>
    <n v="83081"/>
    <s v="6210bb41-9224-51ec-be31-18208e657db2"/>
    <s v="SNCF"/>
    <s v="Q3"/>
    <e v="#REF!"/>
    <e v="#REF!"/>
    <e v="#REF!"/>
  </r>
  <r>
    <s v="401000"/>
    <x v="6"/>
    <s v="FOURNISSEURS"/>
    <s v="SP"/>
    <n v="88"/>
    <d v="2025-10-09T00:00:00"/>
    <s v="RÈGLEMENT PAR CARTE SPENDESK"/>
    <m/>
    <e v="#N/A"/>
    <e v="#N/A"/>
    <n v="87642"/>
    <s v="14"/>
    <s v="SNCF"/>
    <s v="Q4"/>
    <e v="#REF!"/>
    <e v="#REF!"/>
    <e v="#REF!"/>
  </r>
  <r>
    <s v="401000"/>
    <x v="6"/>
    <s v="FOURNISSEURS"/>
    <s v="SP"/>
    <n v="88"/>
    <d v="2025-10-09T00:00:00"/>
    <s v="RÈGLEMENT PAR CARTE SPENDESK"/>
    <m/>
    <e v="#N/A"/>
    <e v="#N/A"/>
    <n v="87646"/>
    <s v="13"/>
    <s v="SNCF"/>
    <s v="Q4"/>
    <e v="#REF!"/>
    <e v="#REF!"/>
    <e v="#REF!"/>
  </r>
  <r>
    <s v="401000"/>
    <x v="6"/>
    <s v="FOURNISSEURS"/>
    <s v="SP"/>
    <n v="88"/>
    <d v="2025-11-18T00:00:00"/>
    <s v="RÈGLEMENT PAR CARTE SPENDESK"/>
    <m/>
    <e v="#N/A"/>
    <e v="#N/A"/>
    <n v="91531"/>
    <s v="003f68e5-ba3b-5a5c-9d86-0d573bcf56f8"/>
    <s v="SNCF"/>
    <s v="Q4"/>
    <e v="#REF!"/>
    <e v="#REF!"/>
    <e v="#REF!"/>
  </r>
  <r>
    <s v="401000"/>
    <x v="6"/>
    <s v="FOURNISSEURS"/>
    <s v="SP"/>
    <n v="88.12"/>
    <d v="2025-08-23T00:00:00"/>
    <s v="RÈGLEMENT PAR CARTE SPENDESK"/>
    <m/>
    <e v="#N/A"/>
    <e v="#N/A"/>
    <n v="83227"/>
    <s v="ae3149bf-22eb-5351-8d29-e1126dc46acb"/>
    <s v="CHATEAUDEAU"/>
    <s v="Q3"/>
    <e v="#REF!"/>
    <e v="#REF!"/>
    <e v="#REF!"/>
  </r>
  <r>
    <s v="401000"/>
    <x v="6"/>
    <s v="FOURNISSEURS"/>
    <s v="SP"/>
    <n v="89.17"/>
    <d v="2025-05-07T00:00:00"/>
    <s v="RÈGLEMENT PAR CARTE SPENDESK"/>
    <m/>
    <e v="#N/A"/>
    <e v="#N/A"/>
    <n v="75045"/>
    <s v="6cca71c1-bac3-5f91-ad45-2fcace54b688"/>
    <s v="AIRBNB"/>
    <s v="Q2"/>
    <e v="#REF!"/>
    <e v="#REF!"/>
    <e v="#REF!"/>
  </r>
  <r>
    <s v="401000"/>
    <x v="6"/>
    <s v="FOURNISSEURS"/>
    <s v="SP"/>
    <n v="89.99"/>
    <d v="2025-03-11T00:00:00"/>
    <s v="RÈGLEMENT PAR CARTE SPENDESK"/>
    <m/>
    <e v="#N/A"/>
    <e v="#N/A"/>
    <n v="66216"/>
    <s v="2e3852c3-af2d-595e-9193-b2450a8d4984"/>
    <s v="DB"/>
    <s v="Q1"/>
    <e v="#REF!"/>
    <e v="#REF!"/>
    <e v="#REF!"/>
  </r>
  <r>
    <s v="401000"/>
    <x v="6"/>
    <s v="FOURNISSEURS"/>
    <s v="SP"/>
    <n v="90.2"/>
    <d v="2025-04-12T00:00:00"/>
    <s v="RÈGLEMENT PAR CARTE SPENDESK"/>
    <m/>
    <e v="#N/A"/>
    <e v="#N/A"/>
    <n v="74693"/>
    <s v="b2ec798a-25a1-533e-9103-7f7c8ebf1745"/>
    <s v="LEROY MERLIN"/>
    <s v="Q2"/>
    <e v="#REF!"/>
    <e v="#REF!"/>
    <e v="#REF!"/>
  </r>
  <r>
    <s v="401000"/>
    <x v="6"/>
    <s v="FOURNISSEURS"/>
    <s v="SP"/>
    <n v="90.42"/>
    <d v="2025-03-20T00:00:00"/>
    <s v="RÈGLEMENT PAR CARTE SPENDESK"/>
    <m/>
    <e v="#N/A"/>
    <e v="#N/A"/>
    <n v="66254"/>
    <s v="4de98c54-5d92-55c7-ac76-19583d9e5fae"/>
    <s v="RS COMPONENT"/>
    <s v="Q1"/>
    <e v="#REF!"/>
    <e v="#REF!"/>
    <e v="#REF!"/>
  </r>
  <r>
    <s v="401000"/>
    <x v="6"/>
    <s v="FOURNISSEURS"/>
    <s v="SP"/>
    <n v="91.08"/>
    <d v="2025-05-31T00:00:00"/>
    <s v="RÈGLEMENT PAR CARTE SPENDESK"/>
    <m/>
    <e v="#N/A"/>
    <e v="#N/A"/>
    <n v="75085"/>
    <s v="2025/05/001693789"/>
    <s v="LA FOURCHE"/>
    <s v="Q2"/>
    <e v="#REF!"/>
    <e v="#REF!"/>
    <e v="#REF!"/>
  </r>
  <r>
    <s v="401000"/>
    <x v="6"/>
    <s v="FOURNISSEURS"/>
    <s v="SP"/>
    <n v="92.67"/>
    <d v="2025-10-22T00:00:00"/>
    <s v="RÈGLEMENT PAR CARTE SPENDESK"/>
    <m/>
    <e v="#N/A"/>
    <e v="#N/A"/>
    <n v="87670"/>
    <s v="HMMEMYZWWS"/>
    <s v="AIRBNB"/>
    <s v="Q4"/>
    <e v="#REF!"/>
    <e v="#REF!"/>
    <e v="#REF!"/>
  </r>
  <r>
    <s v="401000"/>
    <x v="6"/>
    <s v="FOURNISSEURS"/>
    <s v="SP"/>
    <n v="92.67"/>
    <d v="2025-11-15T00:00:00"/>
    <s v="RÈGLEMENT PAR CARTE SPENDESK"/>
    <m/>
    <e v="#N/A"/>
    <e v="#N/A"/>
    <n v="91525"/>
    <s v="RCJQNJ2Z3F"/>
    <s v="AIRBNB"/>
    <s v="Q4"/>
    <e v="#REF!"/>
    <e v="#REF!"/>
    <e v="#REF!"/>
  </r>
  <r>
    <s v="401000"/>
    <x v="6"/>
    <s v="FOURNISSEURS"/>
    <s v="SP"/>
    <n v="94.12"/>
    <d v="2025-04-15T00:00:00"/>
    <s v="RÈGLEMENT PAR CARTE SPENDESK"/>
    <m/>
    <e v="#N/A"/>
    <e v="#N/A"/>
    <n v="74697"/>
    <s v="5b83487f-7658-5969-8015-3fe6323bd9ef"/>
    <s v="AIRBNB"/>
    <s v="Q2"/>
    <e v="#REF!"/>
    <e v="#REF!"/>
    <e v="#REF!"/>
  </r>
  <r>
    <s v="401000"/>
    <x v="6"/>
    <s v="FOURNISSEURS"/>
    <s v="SP"/>
    <n v="94.78"/>
    <d v="2025-10-28T00:00:00"/>
    <s v="RÈGLEMENT PAR CARTE SPENDESK"/>
    <m/>
    <e v="#N/A"/>
    <e v="#N/A"/>
    <n v="87688"/>
    <s v="31/05668076"/>
    <s v="CHATEAUDEAU"/>
    <s v="Q4"/>
    <e v="#REF!"/>
    <e v="#REF!"/>
    <e v="#REF!"/>
  </r>
  <r>
    <s v="401000"/>
    <x v="6"/>
    <s v="FOURNISSEURS"/>
    <s v="SP"/>
    <n v="95"/>
    <d v="2025-02-01T00:00:00"/>
    <s v="RÈGLEMENT PAR CARTE SPENDESK"/>
    <m/>
    <e v="#N/A"/>
    <e v="#N/A"/>
    <n v="64148"/>
    <s v="d1939ba4-6d97-5b4e-ae85-4d7b3b62c90d"/>
    <s v="SNCF"/>
    <s v="Q1"/>
    <e v="#REF!"/>
    <e v="#REF!"/>
    <e v="#REF!"/>
  </r>
  <r>
    <s v="401000"/>
    <x v="6"/>
    <s v="FOURNISSEURS"/>
    <s v="SP"/>
    <n v="95"/>
    <d v="2025-08-27T00:00:00"/>
    <s v="RÈGLEMENT PAR CARTE SPENDESK"/>
    <m/>
    <e v="#N/A"/>
    <e v="#N/A"/>
    <n v="83235"/>
    <s v="457862af-f8ab-5b55-bcef-37594c3d0c8d"/>
    <s v="SNCF"/>
    <s v="Q3"/>
    <e v="#REF!"/>
    <e v="#REF!"/>
    <e v="#REF!"/>
  </r>
  <r>
    <s v="401000"/>
    <x v="6"/>
    <s v="FOURNISSEURS"/>
    <s v="SP"/>
    <n v="95"/>
    <d v="2025-09-27T00:00:00"/>
    <s v="RÈGLEMENT PAR CARTE SPENDESK"/>
    <m/>
    <e v="#N/A"/>
    <e v="#N/A"/>
    <n v="83133"/>
    <s v="c939b8b5-20a4-5d59-b28d-f165b4b07a43"/>
    <s v="SNCF"/>
    <s v="Q3"/>
    <e v="#REF!"/>
    <e v="#REF!"/>
    <e v="#REF!"/>
  </r>
  <r>
    <s v="401000"/>
    <x v="6"/>
    <s v="FOURNISSEURS"/>
    <s v="SP"/>
    <n v="95"/>
    <d v="2025-10-31T00:00:00"/>
    <s v="RÈGLEMENT PAR CARTE SPENDESK"/>
    <m/>
    <e v="#N/A"/>
    <e v="#N/A"/>
    <n v="87706"/>
    <s v="36"/>
    <s v="SNCF"/>
    <s v="Q4"/>
    <e v="#REF!"/>
    <e v="#REF!"/>
    <e v="#REF!"/>
  </r>
  <r>
    <s v="401000"/>
    <x v="6"/>
    <s v="FOURNISSEURS"/>
    <s v="SP"/>
    <n v="95"/>
    <d v="2025-11-18T00:00:00"/>
    <s v="RÈGLEMENT PAR CARTE SPENDESK"/>
    <m/>
    <e v="#N/A"/>
    <e v="#N/A"/>
    <n v="91545"/>
    <s v="c5c507d1-b4d4-540a-9b85-eb2f03fd9974"/>
    <s v="SNCF"/>
    <s v="Q4"/>
    <e v="#REF!"/>
    <e v="#REF!"/>
    <e v="#REF!"/>
  </r>
  <r>
    <s v="401000"/>
    <x v="6"/>
    <s v="FOURNISSEURS"/>
    <s v="SP"/>
    <n v="96"/>
    <d v="2025-11-01T00:00:00"/>
    <s v="RÈGLEMENT PAR CARTE SPENDESK"/>
    <m/>
    <s v="Non"/>
    <s v="Oui"/>
    <n v="91487"/>
    <s v="106f66d8-39ab-5c57-b8f7-333b473f6856"/>
    <s v="AXELERA"/>
    <s v="Q4"/>
    <e v="#REF!"/>
    <e v="#REF!"/>
    <e v="#REF!"/>
  </r>
  <r>
    <s v="401000"/>
    <x v="6"/>
    <s v="FOURNISSEURS"/>
    <s v="SP"/>
    <n v="99.72"/>
    <d v="2025-09-11T00:00:00"/>
    <s v="RÈGLEMENT PAR CARTE SPENDESK"/>
    <m/>
    <e v="#N/A"/>
    <e v="#N/A"/>
    <n v="83085"/>
    <s v="8eed5877-093a-5f28-ac7c-951541cf397d"/>
    <s v="RAPTOR FRANCE"/>
    <s v="Q3"/>
    <e v="#REF!"/>
    <e v="#REF!"/>
    <e v="#REF!"/>
  </r>
  <r>
    <s v="401000"/>
    <x v="6"/>
    <s v="FOURNISSEURS"/>
    <s v="SP"/>
    <n v="100.16"/>
    <d v="2025-01-07T00:00:00"/>
    <s v="RÈGLEMENT PAR CARTE SPENDESK"/>
    <m/>
    <e v="#N/A"/>
    <e v="#N/A"/>
    <n v="59971"/>
    <s v="01c70ccf-65f0-56f5-8c6b-c4eb7b706d05"/>
    <s v="AIRBNB"/>
    <s v="Q1"/>
    <e v="#REF!"/>
    <e v="#REF!"/>
    <e v="#REF!"/>
  </r>
  <r>
    <s v="401000"/>
    <x v="6"/>
    <s v="FOURNISSEURS"/>
    <s v="SP"/>
    <n v="101.16"/>
    <d v="2025-01-30T00:00:00"/>
    <s v="RÈGLEMENT PAR CARTE SPENDESK"/>
    <m/>
    <e v="#N/A"/>
    <e v="#N/A"/>
    <n v="60027"/>
    <s v="70"/>
    <s v="BOHLENDER"/>
    <s v="Q1"/>
    <e v="#REF!"/>
    <e v="#REF!"/>
    <e v="#REF!"/>
  </r>
  <r>
    <s v="401000"/>
    <x v="6"/>
    <s v="FOURNISSEURS"/>
    <s v="SP"/>
    <n v="101.8"/>
    <d v="2025-12-02T00:00:00"/>
    <s v="RÈGLEMENT PAR CARTE SPENDESK"/>
    <m/>
    <e v="#N/A"/>
    <e v="#N/A"/>
    <n v="93983"/>
    <s v="4f773e89-6161-590b-82d3-c2e158b61d33"/>
    <s v="SNCF"/>
    <s v="Q4"/>
    <e v="#REF!"/>
    <e v="#REF!"/>
    <e v="#REF!"/>
  </r>
  <r>
    <s v="401000"/>
    <x v="6"/>
    <s v="FOURNISSEURS"/>
    <s v="SP"/>
    <n v="102"/>
    <d v="2025-06-26T00:00:00"/>
    <s v="RÈGLEMENT PAR CARTE SPENDESK"/>
    <m/>
    <e v="#N/A"/>
    <e v="#N/A"/>
    <n v="78119"/>
    <s v="1cc1f915-ab6a-55a5-997a-03612425371c"/>
    <s v="SNCF"/>
    <s v="Q2"/>
    <e v="#REF!"/>
    <e v="#REF!"/>
    <e v="#REF!"/>
  </r>
  <r>
    <s v="401000"/>
    <x v="6"/>
    <s v="FOURNISSEURS"/>
    <s v="SP"/>
    <n v="102.98"/>
    <d v="2025-06-25T00:00:00"/>
    <s v="RÈGLEMENT PAR CARTE SPENDESK"/>
    <m/>
    <e v="#N/A"/>
    <e v="#N/A"/>
    <n v="78117"/>
    <s v="26.161.939"/>
    <s v="BRUNEAU"/>
    <s v="Q2"/>
    <e v="#REF!"/>
    <e v="#REF!"/>
    <e v="#REF!"/>
  </r>
  <r>
    <s v="401000"/>
    <x v="6"/>
    <s v="FOURNISSEURS"/>
    <s v="SP"/>
    <n v="106.39"/>
    <d v="2025-02-07T00:00:00"/>
    <s v="RÈGLEMENT PAR CARTE SPENDESK"/>
    <m/>
    <e v="#N/A"/>
    <e v="#N/A"/>
    <n v="64186"/>
    <s v="708506b6-0bc5-5e32-88ee-6e37949b3e1f"/>
    <s v="BOHLENDER"/>
    <s v="Q1"/>
    <e v="#REF!"/>
    <e v="#REF!"/>
    <e v="#REF!"/>
  </r>
  <r>
    <s v="401000"/>
    <x v="6"/>
    <s v="FOURNISSEURS"/>
    <s v="SP"/>
    <n v="106.5"/>
    <d v="2025-03-19T00:00:00"/>
    <s v="RÈGLEMENT PAR CARTE SPENDESK"/>
    <m/>
    <e v="#N/A"/>
    <e v="#N/A"/>
    <n v="66248"/>
    <s v="724c0f2f-fdfd-5b02-ac81-ccf0b0e636d7"/>
    <s v="RS COMPONENT"/>
    <s v="Q1"/>
    <e v="#REF!"/>
    <e v="#REF!"/>
    <e v="#REF!"/>
  </r>
  <r>
    <s v="401000"/>
    <x v="6"/>
    <s v="FOURNISSEURS"/>
    <s v="SP"/>
    <n v="106.82"/>
    <d v="2025-12-12T00:00:00"/>
    <s v="RÈGLEMENT PAR CARTE SPENDESK"/>
    <m/>
    <e v="#N/A"/>
    <e v="#N/A"/>
    <n v="94025"/>
    <s v="0caa06a2-b7e4-55cf-b4a9-9f8329a34ffa"/>
    <s v="BRUNEAU"/>
    <s v="Q4"/>
    <e v="#REF!"/>
    <e v="#REF!"/>
    <e v="#REF!"/>
  </r>
  <r>
    <s v="401000"/>
    <x v="6"/>
    <s v="FOURNISSEURS"/>
    <s v="SP"/>
    <n v="107.64"/>
    <d v="2025-04-28T00:00:00"/>
    <s v="RÈGLEMENT PAR CARTE SPENDESK"/>
    <m/>
    <e v="#N/A"/>
    <e v="#N/A"/>
    <n v="74723"/>
    <s v="dc7f3c12-13e6-5b71-81ab-4a766df37515"/>
    <s v="ARCANE INDUSTRIE"/>
    <s v="Q2"/>
    <e v="#REF!"/>
    <e v="#REF!"/>
    <e v="#REF!"/>
  </r>
  <r>
    <s v="401000"/>
    <x v="6"/>
    <s v="FOURNISSEURS"/>
    <s v="SP"/>
    <n v="108.81"/>
    <d v="2025-08-22T00:00:00"/>
    <s v="RÈGLEMENT PAR CARTE SPENDESK"/>
    <m/>
    <e v="#N/A"/>
    <e v="#N/A"/>
    <n v="83225"/>
    <s v="75e478ae-cbf5-53ee-8f42-0bd294cf57b4"/>
    <s v="BRUNEAU"/>
    <s v="Q3"/>
    <e v="#REF!"/>
    <e v="#REF!"/>
    <e v="#REF!"/>
  </r>
  <r>
    <s v="401000"/>
    <x v="6"/>
    <s v="FOURNISSEURS"/>
    <s v="SP"/>
    <n v="109"/>
    <d v="2025-03-19T00:00:00"/>
    <s v="RÈGLEMENT PAR CARTE SPENDESK"/>
    <m/>
    <e v="#N/A"/>
    <e v="#N/A"/>
    <n v="66244"/>
    <s v="XZCTRD"/>
    <s v="SNCF"/>
    <s v="Q1"/>
    <e v="#REF!"/>
    <e v="#REF!"/>
    <e v="#REF!"/>
  </r>
  <r>
    <s v="401000"/>
    <x v="6"/>
    <s v="FOURNISSEURS"/>
    <s v="SP"/>
    <n v="109"/>
    <d v="2025-05-07T00:00:00"/>
    <s v="RÈGLEMENT PAR CARTE SPENDESK"/>
    <m/>
    <e v="#N/A"/>
    <e v="#N/A"/>
    <n v="75043"/>
    <s v="df57e81a-96c9-55c3-a74d-8ed0f2dffefe"/>
    <s v="SNCF"/>
    <s v="Q2"/>
    <e v="#REF!"/>
    <e v="#REF!"/>
    <e v="#REF!"/>
  </r>
  <r>
    <s v="401000"/>
    <x v="6"/>
    <s v="FOURNISSEURS"/>
    <s v="SP"/>
    <n v="109"/>
    <d v="2025-05-13T00:00:00"/>
    <s v="RÈGLEMENT PAR CARTE SPENDESK"/>
    <m/>
    <e v="#N/A"/>
    <e v="#N/A"/>
    <n v="75055"/>
    <s v="a8af5c4b-1b7f-51b6-8419-d045b461b7e1"/>
    <s v="SNCF"/>
    <s v="Q2"/>
    <e v="#REF!"/>
    <e v="#REF!"/>
    <e v="#REF!"/>
  </r>
  <r>
    <s v="401000"/>
    <x v="6"/>
    <s v="FOURNISSEURS"/>
    <s v="SP"/>
    <n v="109"/>
    <d v="2025-12-09T00:00:00"/>
    <s v="RÈGLEMENT PAR CARTE SPENDESK"/>
    <m/>
    <e v="#N/A"/>
    <e v="#N/A"/>
    <n v="94013"/>
    <s v="037c3ada-5e22-505a-829d-3fc95666edfc"/>
    <s v="SNCF"/>
    <s v="Q4"/>
    <e v="#REF!"/>
    <e v="#REF!"/>
    <e v="#REF!"/>
  </r>
  <r>
    <s v="401000"/>
    <x v="6"/>
    <s v="FOURNISSEURS"/>
    <s v="SP"/>
    <n v="109"/>
    <d v="2025-12-11T00:00:00"/>
    <s v="RÈGLEMENT PAR CARTE SPENDESK"/>
    <m/>
    <e v="#N/A"/>
    <e v="#N/A"/>
    <n v="94021"/>
    <s v="a8aa1097-05a9-5be8-9e1e-fec619d8b5a1"/>
    <s v="SNCF"/>
    <s v="Q4"/>
    <e v="#REF!"/>
    <e v="#REF!"/>
    <e v="#REF!"/>
  </r>
  <r>
    <s v="401000"/>
    <x v="6"/>
    <s v="FOURNISSEURS"/>
    <s v="SP"/>
    <n v="110.17"/>
    <d v="2025-09-26T00:00:00"/>
    <s v="RÈGLEMENT PAR CARTE SPENDESK"/>
    <m/>
    <e v="#N/A"/>
    <e v="#N/A"/>
    <n v="83125"/>
    <s v="D4894"/>
    <s v="BOOKING"/>
    <s v="Q3"/>
    <e v="#REF!"/>
    <e v="#REF!"/>
    <e v="#REF!"/>
  </r>
  <r>
    <s v="401000"/>
    <x v="6"/>
    <s v="FOURNISSEURS"/>
    <s v="SP"/>
    <n v="111"/>
    <d v="2025-04-09T00:00:00"/>
    <s v="RÈGLEMENT PAR CARTE SPENDESK"/>
    <m/>
    <e v="#N/A"/>
    <e v="#N/A"/>
    <n v="74677"/>
    <s v="40652dd0-0774-5411-8380-d80947034ae4"/>
    <s v="SNCF"/>
    <s v="Q2"/>
    <e v="#REF!"/>
    <e v="#REF!"/>
    <e v="#REF!"/>
  </r>
  <r>
    <s v="401000"/>
    <x v="6"/>
    <s v="FOURNISSEURS"/>
    <s v="SP"/>
    <n v="111.05"/>
    <d v="2025-02-22T00:00:00"/>
    <s v="RÈGLEMENT PAR CARTE SPENDESK"/>
    <m/>
    <e v="#N/A"/>
    <e v="#N/A"/>
    <n v="64234"/>
    <s v="d27e5ca6-4348-5f93-a0f1-f12e2f912ab8"/>
    <s v="CHATEAUDEAU"/>
    <s v="Q1"/>
    <e v="#REF!"/>
    <e v="#REF!"/>
    <e v="#REF!"/>
  </r>
  <r>
    <s v="401000"/>
    <x v="6"/>
    <s v="FOURNISSEURS"/>
    <s v="SP"/>
    <n v="111.83"/>
    <d v="2025-07-12T00:00:00"/>
    <s v="RÈGLEMENT PAR CARTE SPENDESK"/>
    <m/>
    <e v="#N/A"/>
    <e v="#N/A"/>
    <n v="80936"/>
    <s v="38b77f64-e19a-5d56-9dfb-a91ff1cdd703"/>
    <s v="RS COMPONENT"/>
    <s v="Q3"/>
    <e v="#REF!"/>
    <e v="#REF!"/>
    <e v="#REF!"/>
  </r>
  <r>
    <s v="401000"/>
    <x v="6"/>
    <s v="FOURNISSEURS"/>
    <s v="SP"/>
    <n v="113"/>
    <d v="2025-04-28T00:00:00"/>
    <s v="RÈGLEMENT PAR CARTE SPENDESK"/>
    <m/>
    <e v="#N/A"/>
    <e v="#N/A"/>
    <n v="74721"/>
    <s v="ffd9860f-98af-5fd4-afac-9999792b1dcf"/>
    <s v="SNCF"/>
    <s v="Q2"/>
    <e v="#REF!"/>
    <e v="#REF!"/>
    <e v="#REF!"/>
  </r>
  <r>
    <s v="401000"/>
    <x v="6"/>
    <s v="FOURNISSEURS"/>
    <s v="SP"/>
    <n v="114.38"/>
    <d v="2025-03-25T00:00:00"/>
    <s v="RÈGLEMENT PAR CARTE SPENDESK"/>
    <m/>
    <e v="#N/A"/>
    <e v="#N/A"/>
    <n v="66268"/>
    <s v="b1cd670e-14b0-5460-827c-222ef9740717"/>
    <s v="MANUTAN"/>
    <s v="Q1"/>
    <e v="#REF!"/>
    <e v="#REF!"/>
    <e v="#REF!"/>
  </r>
  <r>
    <s v="401000"/>
    <x v="6"/>
    <s v="FOURNISSEURS"/>
    <s v="SP"/>
    <n v="115.21"/>
    <d v="2025-07-05T00:00:00"/>
    <s v="RÈGLEMENT PAR CARTE SPENDESK"/>
    <m/>
    <e v="#N/A"/>
    <e v="#N/A"/>
    <n v="80924"/>
    <s v="6"/>
    <s v="CASTORAMA"/>
    <s v="Q3"/>
    <e v="#REF!"/>
    <e v="#REF!"/>
    <e v="#REF!"/>
  </r>
  <r>
    <s v="401000"/>
    <x v="6"/>
    <s v="FOURNISSEURS"/>
    <s v="SP"/>
    <n v="115.61"/>
    <d v="2025-10-12T00:00:00"/>
    <s v="RÈGLEMENT PAR CARTE SPENDESK"/>
    <s v="Non"/>
    <s v="Non"/>
    <e v="#N/A"/>
    <n v="87650"/>
    <s v="7,81153E+11"/>
    <s v="LINKEDIN"/>
    <s v="Q4"/>
    <e v="#REF!"/>
    <e v="#REF!"/>
    <e v="#REF!"/>
  </r>
  <r>
    <s v="401000"/>
    <x v="6"/>
    <s v="FOURNISSEURS"/>
    <s v="SP"/>
    <n v="116"/>
    <d v="2025-01-14T00:00:00"/>
    <s v="RÈGLEMENT PAR CARTE SPENDESK"/>
    <m/>
    <e v="#N/A"/>
    <e v="#N/A"/>
    <n v="59987"/>
    <s v="29"/>
    <s v="SNCF"/>
    <s v="Q1"/>
    <e v="#REF!"/>
    <e v="#REF!"/>
    <e v="#REF!"/>
  </r>
  <r>
    <s v="401000"/>
    <x v="6"/>
    <s v="FOURNISSEURS"/>
    <s v="SP"/>
    <n v="116"/>
    <d v="2025-01-21T00:00:00"/>
    <s v="RÈGLEMENT PAR CARTE SPENDESK"/>
    <m/>
    <e v="#N/A"/>
    <e v="#N/A"/>
    <n v="60003"/>
    <s v="51"/>
    <s v="SNCF"/>
    <s v="Q1"/>
    <e v="#REF!"/>
    <e v="#REF!"/>
    <e v="#REF!"/>
  </r>
  <r>
    <s v="401000"/>
    <x v="6"/>
    <s v="FOURNISSEURS"/>
    <s v="SP"/>
    <n v="116"/>
    <d v="2025-02-12T00:00:00"/>
    <s v="RÈGLEMENT PAR CARTE SPENDESK"/>
    <m/>
    <e v="#N/A"/>
    <e v="#N/A"/>
    <n v="64198"/>
    <s v="4dfb8566-ab10-5cf7-8450-32dc173ae8c8"/>
    <s v="SNCF"/>
    <s v="Q1"/>
    <e v="#REF!"/>
    <e v="#REF!"/>
    <e v="#REF!"/>
  </r>
  <r>
    <s v="401000"/>
    <x v="6"/>
    <s v="FOURNISSEURS"/>
    <s v="SP"/>
    <n v="116"/>
    <d v="2025-05-13T00:00:00"/>
    <s v="RÈGLEMENT PAR CARTE SPENDESK"/>
    <m/>
    <e v="#N/A"/>
    <e v="#N/A"/>
    <n v="75051"/>
    <s v="906251381"/>
    <s v="SNCF"/>
    <s v="Q2"/>
    <e v="#REF!"/>
    <e v="#REF!"/>
    <e v="#REF!"/>
  </r>
  <r>
    <s v="401000"/>
    <x v="6"/>
    <s v="FOURNISSEURS"/>
    <s v="SP"/>
    <n v="116"/>
    <d v="2025-10-06T00:00:00"/>
    <s v="RÈGLEMENT PAR CARTE SPENDESK"/>
    <m/>
    <e v="#N/A"/>
    <e v="#N/A"/>
    <n v="87636"/>
    <s v="6"/>
    <s v="SNCF"/>
    <s v="Q4"/>
    <e v="#REF!"/>
    <e v="#REF!"/>
    <e v="#REF!"/>
  </r>
  <r>
    <s v="401000"/>
    <x v="6"/>
    <s v="FOURNISSEURS"/>
    <s v="SP"/>
    <n v="116"/>
    <d v="2025-10-11T00:00:00"/>
    <s v="RÈGLEMENT PAR CARTE SPENDESK"/>
    <m/>
    <e v="#N/A"/>
    <e v="#N/A"/>
    <n v="87648"/>
    <s v="15"/>
    <s v="SNCF"/>
    <s v="Q4"/>
    <e v="#REF!"/>
    <e v="#REF!"/>
    <e v="#REF!"/>
  </r>
  <r>
    <s v="401000"/>
    <x v="6"/>
    <s v="FOURNISSEURS"/>
    <s v="SP"/>
    <n v="116"/>
    <d v="2025-10-30T00:00:00"/>
    <s v="RÈGLEMENT PAR CARTE SPENDESK"/>
    <m/>
    <e v="#N/A"/>
    <e v="#N/A"/>
    <n v="87698"/>
    <s v="9"/>
    <s v="SNCF"/>
    <s v="Q4"/>
    <e v="#REF!"/>
    <e v="#REF!"/>
    <e v="#REF!"/>
  </r>
  <r>
    <s v="401000"/>
    <x v="6"/>
    <s v="FOURNISSEURS"/>
    <s v="SP"/>
    <n v="116"/>
    <d v="2025-11-02T00:00:00"/>
    <s v="RÈGLEMENT PAR CARTE SPENDESK"/>
    <m/>
    <e v="#N/A"/>
    <e v="#N/A"/>
    <n v="91491"/>
    <s v="39cc2a03-ad23-533a-934a-c68ede2ef8d2"/>
    <s v="SNCF"/>
    <s v="Q4"/>
    <e v="#REF!"/>
    <e v="#REF!"/>
    <e v="#REF!"/>
  </r>
  <r>
    <s v="401000"/>
    <x v="6"/>
    <s v="FOURNISSEURS"/>
    <s v="SP"/>
    <n v="116"/>
    <d v="2025-11-29T00:00:00"/>
    <s v="RÈGLEMENT PAR CARTE SPENDESK"/>
    <m/>
    <e v="#N/A"/>
    <e v="#N/A"/>
    <n v="91567"/>
    <s v="a8495412-7436-58fe-ac3a-2b7d5e4bda2a"/>
    <s v="SNCF"/>
    <s v="Q4"/>
    <e v="#REF!"/>
    <e v="#REF!"/>
    <e v="#REF!"/>
  </r>
  <r>
    <s v="401000"/>
    <x v="6"/>
    <s v="FOURNISSEURS"/>
    <s v="SP"/>
    <n v="116"/>
    <d v="2025-11-29T00:00:00"/>
    <s v="RÈGLEMENT PAR CARTE SPENDESK"/>
    <m/>
    <e v="#N/A"/>
    <e v="#N/A"/>
    <n v="91571"/>
    <s v="d95f2f71-55b6-5686-88e3-af925de5f82f"/>
    <s v="SNCF"/>
    <s v="Q4"/>
    <e v="#REF!"/>
    <e v="#REF!"/>
    <e v="#REF!"/>
  </r>
  <r>
    <s v="401000"/>
    <x v="6"/>
    <s v="FOURNISSEURS"/>
    <s v="SP"/>
    <n v="116.5"/>
    <d v="2025-03-11T00:00:00"/>
    <s v="RÈGLEMENT PAR CARTE SPENDESK"/>
    <m/>
    <e v="#N/A"/>
    <e v="#N/A"/>
    <n v="66224"/>
    <s v="5JK76X"/>
    <s v="SNCF"/>
    <s v="Q1"/>
    <e v="#REF!"/>
    <e v="#REF!"/>
    <e v="#REF!"/>
  </r>
  <r>
    <s v="401000"/>
    <x v="6"/>
    <s v="FOURNISSEURS"/>
    <s v="SP"/>
    <n v="116.53"/>
    <d v="2025-09-19T00:00:00"/>
    <s v="RÈGLEMENT PAR CARTE SPENDESK"/>
    <m/>
    <e v="#N/A"/>
    <e v="#N/A"/>
    <n v="83113"/>
    <s v="6a94a54e-1db2-5170-9153-b467fa368bd4"/>
    <s v="BRUNEAU"/>
    <s v="Q3"/>
    <e v="#REF!"/>
    <e v="#REF!"/>
    <e v="#REF!"/>
  </r>
  <r>
    <s v="401000"/>
    <x v="6"/>
    <s v="FOURNISSEURS"/>
    <s v="SP"/>
    <n v="116.97"/>
    <d v="2025-04-15T00:00:00"/>
    <s v="RÈGLEMENT PAR CARTE SPENDESK"/>
    <m/>
    <e v="#N/A"/>
    <e v="#N/A"/>
    <n v="74699"/>
    <s v="a55bd391-2db5-5579-9ecf-98d558654b97"/>
    <s v="American Airlines"/>
    <s v="Q2"/>
    <e v="#REF!"/>
    <e v="#REF!"/>
    <e v="#REF!"/>
  </r>
  <r>
    <s v="401000"/>
    <x v="6"/>
    <s v="FOURNISSEURS"/>
    <s v="SP"/>
    <n v="116.97"/>
    <d v="2025-04-15T00:00:00"/>
    <s v="RÈGLEMENT PAR CARTE SPENDESK"/>
    <m/>
    <e v="#N/A"/>
    <e v="#N/A"/>
    <n v="74701"/>
    <s v="9fce1994-f694-5ad1-be07-a343e1ded001"/>
    <s v="American Airlines"/>
    <s v="Q2"/>
    <e v="#REF!"/>
    <e v="#REF!"/>
    <e v="#REF!"/>
  </r>
  <r>
    <s v="401000"/>
    <x v="6"/>
    <s v="FOURNISSEURS"/>
    <s v="SP"/>
    <n v="119.4"/>
    <d v="2025-11-19T00:00:00"/>
    <s v="RÈGLEMENT PAR CARTE SPENDESK"/>
    <m/>
    <e v="#N/A"/>
    <e v="#N/A"/>
    <n v="91547"/>
    <s v="1100a2ef-6692-546f-9536-985afe3e027d"/>
    <s v="MONDROGUISTE"/>
    <s v="Q4"/>
    <e v="#REF!"/>
    <e v="#REF!"/>
    <e v="#REF!"/>
  </r>
  <r>
    <s v="401000"/>
    <x v="6"/>
    <s v="FOURNISSEURS"/>
    <s v="SP"/>
    <n v="119.41"/>
    <d v="2025-11-18T00:00:00"/>
    <s v="RÈGLEMENT PAR CARTE SPENDESK"/>
    <m/>
    <e v="#N/A"/>
    <e v="#N/A"/>
    <n v="91533"/>
    <s v="6fc7767c-a53b-5d97-826f-ba9359d1e2ce"/>
    <s v="BOOKING"/>
    <s v="Q4"/>
    <e v="#REF!"/>
    <e v="#REF!"/>
    <e v="#REF!"/>
  </r>
  <r>
    <s v="401000"/>
    <x v="6"/>
    <s v="FOURNISSEURS"/>
    <s v="SP"/>
    <n v="119.99"/>
    <d v="2025-02-09T00:00:00"/>
    <s v="RÈGLEMENT PAR CARTE SPENDESK"/>
    <m/>
    <e v="#N/A"/>
    <e v="#N/A"/>
    <n v="64190"/>
    <s v="faf85e71-54a5-5ce2-9a92-490cc36aa7ac"/>
    <s v="DARTY"/>
    <s v="Q1"/>
    <e v="#REF!"/>
    <e v="#REF!"/>
    <e v="#REF!"/>
  </r>
  <r>
    <s v="401000"/>
    <x v="6"/>
    <s v="FOURNISSEURS"/>
    <s v="SP"/>
    <n v="122"/>
    <d v="2025-04-04T00:00:00"/>
    <s v="RÈGLEMENT PAR CARTE SPENDESK"/>
    <m/>
    <e v="#N/A"/>
    <e v="#N/A"/>
    <n v="74663"/>
    <s v="de02ab6d-709a-5bd8-97ec-2ce1461e372f"/>
    <s v="SNCF"/>
    <s v="Q2"/>
    <e v="#REF!"/>
    <e v="#REF!"/>
    <e v="#REF!"/>
  </r>
  <r>
    <s v="401000"/>
    <x v="6"/>
    <s v="FOURNISSEURS"/>
    <s v="SP"/>
    <n v="122"/>
    <d v="2025-09-03T00:00:00"/>
    <s v="RÈGLEMENT PAR CARTE SPENDESK"/>
    <m/>
    <e v="#N/A"/>
    <e v="#N/A"/>
    <n v="83055"/>
    <s v="45bfb4df-84d1-5810-8a21-3d0b85e7c816"/>
    <s v="SNCF"/>
    <s v="Q3"/>
    <e v="#REF!"/>
    <e v="#REF!"/>
    <e v="#REF!"/>
  </r>
  <r>
    <s v="401000"/>
    <x v="6"/>
    <s v="FOURNISSEURS"/>
    <s v="SP"/>
    <n v="122.63"/>
    <d v="2025-01-08T00:00:00"/>
    <s v="RÈGLEMENT PAR CARTE SPENDESK"/>
    <m/>
    <e v="#N/A"/>
    <e v="#N/A"/>
    <n v="59975"/>
    <s v="19"/>
    <s v="AVIS"/>
    <s v="Q1"/>
    <e v="#REF!"/>
    <e v="#REF!"/>
    <e v="#REF!"/>
  </r>
  <r>
    <s v="401000"/>
    <x v="6"/>
    <s v="FOURNISSEURS"/>
    <s v="SP"/>
    <n v="124"/>
    <d v="2025-12-09T00:00:00"/>
    <s v="RÈGLEMENT PAR CARTE SPENDESK"/>
    <m/>
    <e v="#N/A"/>
    <e v="#N/A"/>
    <n v="94009"/>
    <s v="b6643e22-cba9-5854-9f25-55e1d5c95b1c"/>
    <s v="SNCF"/>
    <s v="Q4"/>
    <e v="#REF!"/>
    <e v="#REF!"/>
    <e v="#REF!"/>
  </r>
  <r>
    <s v="401000"/>
    <x v="6"/>
    <s v="FOURNISSEURS"/>
    <s v="SP"/>
    <n v="125.83"/>
    <d v="2025-10-14T00:00:00"/>
    <s v="RÈGLEMENT PAR CARTE SPENDESK"/>
    <s v="Non"/>
    <s v="Non"/>
    <e v="#N/A"/>
    <n v="87654"/>
    <s v="7,81153E+11"/>
    <s v="LINKEDIN"/>
    <s v="Q4"/>
    <e v="#REF!"/>
    <e v="#REF!"/>
    <e v="#REF!"/>
  </r>
  <r>
    <s v="401000"/>
    <x v="6"/>
    <s v="FOURNISSEURS"/>
    <s v="SP"/>
    <n v="126.59"/>
    <d v="2025-01-26T00:00:00"/>
    <s v="RÈGLEMENT PAR CARTE SPENDESK"/>
    <m/>
    <e v="#N/A"/>
    <e v="#N/A"/>
    <n v="60021"/>
    <s v="64"/>
    <s v="RS COMPONENT"/>
    <s v="Q1"/>
    <e v="#REF!"/>
    <e v="#REF!"/>
    <e v="#REF!"/>
  </r>
  <r>
    <s v="401000"/>
    <x v="6"/>
    <s v="FOURNISSEURS"/>
    <s v="SP"/>
    <n v="128"/>
    <d v="2025-09-05T00:00:00"/>
    <s v="RÈGLEMENT PAR CARTE SPENDESK"/>
    <m/>
    <e v="#N/A"/>
    <e v="#N/A"/>
    <n v="83059"/>
    <s v="1d74e2b8-92e8-5859-b37b-17a4c00d9c33"/>
    <s v="SNCF"/>
    <s v="Q3"/>
    <e v="#REF!"/>
    <e v="#REF!"/>
    <e v="#REF!"/>
  </r>
  <r>
    <s v="401000"/>
    <x v="6"/>
    <s v="FOURNISSEURS"/>
    <s v="SP"/>
    <n v="128"/>
    <d v="2025-10-09T00:00:00"/>
    <s v="RÈGLEMENT PAR CARTE SPENDESK"/>
    <m/>
    <e v="#N/A"/>
    <e v="#N/A"/>
    <n v="87644"/>
    <s v="12"/>
    <s v="SNCF"/>
    <s v="Q4"/>
    <e v="#REF!"/>
    <e v="#REF!"/>
    <e v="#REF!"/>
  </r>
  <r>
    <s v="401000"/>
    <x v="6"/>
    <s v="FOURNISSEURS"/>
    <s v="SP"/>
    <n v="128"/>
    <d v="2025-11-18T00:00:00"/>
    <s v="RÈGLEMENT PAR CARTE SPENDESK"/>
    <m/>
    <e v="#N/A"/>
    <e v="#N/A"/>
    <n v="91543"/>
    <s v="0b90d270-4091-5648-8ceb-24775547aa0a"/>
    <s v="SNCF"/>
    <s v="Q4"/>
    <e v="#REF!"/>
    <e v="#REF!"/>
    <e v="#REF!"/>
  </r>
  <r>
    <s v="401000"/>
    <x v="6"/>
    <s v="FOURNISSEURS"/>
    <s v="SP"/>
    <n v="128"/>
    <d v="2025-11-25T00:00:00"/>
    <s v="RÈGLEMENT PAR CARTE SPENDESK"/>
    <m/>
    <e v="#N/A"/>
    <e v="#N/A"/>
    <n v="91553"/>
    <s v="a515b936-f8b2-5e7c-b775-d00c887fe909"/>
    <s v="SNCF"/>
    <s v="Q4"/>
    <e v="#REF!"/>
    <e v="#REF!"/>
    <e v="#REF!"/>
  </r>
  <r>
    <s v="401000"/>
    <x v="6"/>
    <s v="FOURNISSEURS"/>
    <s v="SP"/>
    <n v="128.93"/>
    <d v="2025-10-25T00:00:00"/>
    <s v="RÈGLEMENT PAR CARTE SPENDESK"/>
    <m/>
    <e v="#N/A"/>
    <e v="#N/A"/>
    <n v="87686"/>
    <s v="2025/AES063627"/>
    <s v="AIRLINES"/>
    <s v="Q4"/>
    <e v="#REF!"/>
    <e v="#REF!"/>
    <e v="#REF!"/>
  </r>
  <r>
    <s v="401000"/>
    <x v="6"/>
    <s v="FOURNISSEURS"/>
    <s v="SP"/>
    <n v="134"/>
    <d v="2025-04-10T00:00:00"/>
    <s v="RÈGLEMENT PAR CARTE SPENDESK"/>
    <m/>
    <e v="#N/A"/>
    <e v="#N/A"/>
    <n v="74679"/>
    <s v="1fa2b4cc-1093-50fa-bd09-58e4f854948c"/>
    <s v="SNCF"/>
    <s v="Q2"/>
    <e v="#REF!"/>
    <e v="#REF!"/>
    <e v="#REF!"/>
  </r>
  <r>
    <s v="401000"/>
    <x v="6"/>
    <s v="FOURNISSEURS"/>
    <s v="SP"/>
    <n v="134.30000000000001"/>
    <d v="2025-05-13T00:00:00"/>
    <s v="RÈGLEMENT PAR CARTE SPENDESK"/>
    <m/>
    <e v="#N/A"/>
    <e v="#N/A"/>
    <n v="75049"/>
    <s v="48108da9-a4a5-541d-87c6-f586773c71ca"/>
    <s v="GANDI"/>
    <s v="Q2"/>
    <e v="#REF!"/>
    <e v="#REF!"/>
    <e v="#REF!"/>
  </r>
  <r>
    <s v="401000"/>
    <x v="6"/>
    <s v="FOURNISSEURS"/>
    <s v="SP"/>
    <n v="140.74"/>
    <d v="2025-03-27T00:00:00"/>
    <s v="RÈGLEMENT PAR CARTE SPENDESK"/>
    <m/>
    <e v="#N/A"/>
    <e v="#N/A"/>
    <n v="66270"/>
    <s v="5ff7cbfe-a864-5161-9d38-2b5e6cb77cd2"/>
    <s v="FISHER SCIENTIFIC"/>
    <s v="Q1"/>
    <e v="#REF!"/>
    <e v="#REF!"/>
    <e v="#REF!"/>
  </r>
  <r>
    <s v="401000"/>
    <x v="6"/>
    <s v="FOURNISSEURS"/>
    <s v="SP"/>
    <n v="142.86000000000001"/>
    <d v="2025-11-14T00:00:00"/>
    <s v="RÈGLEMENT PAR CARTE SPENDESK"/>
    <m/>
    <e v="#N/A"/>
    <e v="#N/A"/>
    <n v="91523"/>
    <s v="8c17f9ed-651c-5c74-a7e4-7ae7f006a708"/>
    <s v="BRUNEAU"/>
    <s v="Q4"/>
    <e v="#REF!"/>
    <e v="#REF!"/>
    <e v="#REF!"/>
  </r>
  <r>
    <s v="401000"/>
    <x v="6"/>
    <s v="FOURNISSEURS"/>
    <s v="SP"/>
    <n v="144.30000000000001"/>
    <d v="2025-09-10T00:00:00"/>
    <s v="RÈGLEMENT PAR CARTE SPENDESK"/>
    <m/>
    <e v="#N/A"/>
    <e v="#N/A"/>
    <n v="83079"/>
    <s v="6cd1fe61-0ac7-5139-93f9-2d482f30737c"/>
    <s v="AIRBNB"/>
    <s v="Q3"/>
    <e v="#REF!"/>
    <e v="#REF!"/>
    <e v="#REF!"/>
  </r>
  <r>
    <s v="401000"/>
    <x v="6"/>
    <s v="FOURNISSEURS"/>
    <s v="SP"/>
    <n v="145.19"/>
    <d v="2025-03-04T00:00:00"/>
    <s v="RÈGLEMENT PAR CARTE SPENDESK"/>
    <m/>
    <s v="Non"/>
    <e v="#N/A"/>
    <n v="66202"/>
    <s v="2a17e029-91bd-5132-bb74-c6af428d479c"/>
    <s v="DIVERS"/>
    <s v="Q1"/>
    <e v="#REF!"/>
    <e v="#REF!"/>
    <e v="#REF!"/>
  </r>
  <r>
    <s v="401000"/>
    <x v="6"/>
    <s v="FOURNISSEURS"/>
    <s v="SP"/>
    <n v="146.1"/>
    <d v="2025-05-24T00:00:00"/>
    <s v="RÈGLEMENT PAR CARTE SPENDESK -  wurth"/>
    <m/>
    <e v="#N/A"/>
    <e v="#N/A"/>
    <n v="75071"/>
    <s v="4332431491"/>
    <s v="WURTH FRANCE"/>
    <s v="Q2"/>
    <e v="#REF!"/>
    <e v="#REF!"/>
    <e v="#REF!"/>
  </r>
  <r>
    <s v="401000"/>
    <x v="6"/>
    <s v="FOURNISSEURS"/>
    <s v="SP"/>
    <n v="147"/>
    <d v="2025-02-18T00:00:00"/>
    <s v="RÈGLEMENT PAR CARTE SPENDESK"/>
    <m/>
    <e v="#N/A"/>
    <e v="#N/A"/>
    <n v="64224"/>
    <s v="4"/>
    <s v="SNCF"/>
    <s v="Q1"/>
    <e v="#REF!"/>
    <e v="#REF!"/>
    <e v="#REF!"/>
  </r>
  <r>
    <s v="401000"/>
    <x v="6"/>
    <s v="FOURNISSEURS"/>
    <s v="SP"/>
    <n v="147.69"/>
    <d v="2025-10-30T00:00:00"/>
    <s v="RÈGLEMENT PAR CARTE SPENDESK"/>
    <m/>
    <e v="#N/A"/>
    <e v="#N/A"/>
    <n v="87700"/>
    <s v="RCDAAZDFBA"/>
    <s v="AIRBNB"/>
    <s v="Q4"/>
    <e v="#REF!"/>
    <e v="#REF!"/>
    <e v="#REF!"/>
  </r>
  <r>
    <s v="401000"/>
    <x v="6"/>
    <s v="FOURNISSEURS"/>
    <s v="SP"/>
    <n v="149"/>
    <d v="2025-02-01T00:00:00"/>
    <s v="RÈGLEMENT PAR CARTE SPENDESK"/>
    <m/>
    <e v="#N/A"/>
    <e v="#N/A"/>
    <n v="64150"/>
    <s v="ea24b637-7f5f-5b7c-8a76-70efbd0220b0"/>
    <s v="SNCF"/>
    <s v="Q1"/>
    <e v="#REF!"/>
    <e v="#REF!"/>
    <e v="#REF!"/>
  </r>
  <r>
    <s v="401000"/>
    <x v="6"/>
    <s v="FOURNISSEURS"/>
    <s v="SP"/>
    <n v="152.15"/>
    <d v="2025-09-17T00:00:00"/>
    <s v="RÈGLEMENT PAR CARTE SPENDESK"/>
    <m/>
    <e v="#N/A"/>
    <e v="#N/A"/>
    <n v="83101"/>
    <s v="41a3aa49-4c70-5a8b-8016-12de9a5a04be"/>
    <s v="AIRBNB"/>
    <s v="Q3"/>
    <e v="#REF!"/>
    <e v="#REF!"/>
    <e v="#REF!"/>
  </r>
  <r>
    <s v="401000"/>
    <x v="6"/>
    <s v="FOURNISSEURS"/>
    <s v="SP"/>
    <n v="152.33000000000001"/>
    <d v="2025-02-11T00:00:00"/>
    <s v="RÈGLEMENT PAR CARTE SPENDESK"/>
    <m/>
    <e v="#N/A"/>
    <e v="#N/A"/>
    <n v="64192"/>
    <s v="bac1b296-16b8-5837-ba66-f23dfc4636ec"/>
    <s v="OFFICE DEPOT"/>
    <s v="Q1"/>
    <e v="#REF!"/>
    <e v="#REF!"/>
    <e v="#REF!"/>
  </r>
  <r>
    <s v="401000"/>
    <x v="6"/>
    <s v="FOURNISSEURS"/>
    <s v="SP"/>
    <n v="154.59"/>
    <d v="2025-05-31T00:00:00"/>
    <s v="RÈGLEMENT PAR CARTE SPENDESK"/>
    <m/>
    <e v="#N/A"/>
    <e v="#N/A"/>
    <n v="75083"/>
    <s v="4901/563037"/>
    <s v="ROUGIER ET PIE"/>
    <s v="Q2"/>
    <e v="#REF!"/>
    <e v="#REF!"/>
    <e v="#REF!"/>
  </r>
  <r>
    <s v="401000"/>
    <x v="6"/>
    <s v="FOURNISSEURS"/>
    <s v="SP"/>
    <n v="154.72"/>
    <d v="2025-04-04T00:00:00"/>
    <s v="RÈGLEMENT PAR CARTE SPENDESK"/>
    <m/>
    <e v="#N/A"/>
    <e v="#N/A"/>
    <n v="74665"/>
    <s v="826ab6d9-c4c0-5410-a425-a0058fb88b6d"/>
    <s v="BOHLENDER"/>
    <s v="Q2"/>
    <e v="#REF!"/>
    <e v="#REF!"/>
    <e v="#REF!"/>
  </r>
  <r>
    <s v="401000"/>
    <x v="6"/>
    <s v="FOURNISSEURS"/>
    <s v="SP"/>
    <n v="154.97999999999999"/>
    <d v="2025-01-06T00:00:00"/>
    <s v="RÈGLEMENT PAR CARTE SPENDESK"/>
    <m/>
    <e v="#N/A"/>
    <e v="#N/A"/>
    <n v="59969"/>
    <s v="7936452b-7820-505d-80dd-336f67a0bed1"/>
    <s v="ADOBE"/>
    <s v="Q1"/>
    <e v="#REF!"/>
    <e v="#REF!"/>
    <e v="#REF!"/>
  </r>
  <r>
    <s v="401000"/>
    <x v="6"/>
    <s v="FOURNISSEURS"/>
    <s v="SP"/>
    <n v="154.97999999999999"/>
    <d v="2025-02-06T00:00:00"/>
    <s v="RÈGLEMENT PAR CARTE SPENDESK"/>
    <m/>
    <e v="#N/A"/>
    <e v="#N/A"/>
    <n v="64176"/>
    <s v="fd350fca-f65d-5ca7-b6d8-db2a00e41b18"/>
    <s v="ADOBE"/>
    <s v="Q1"/>
    <e v="#REF!"/>
    <e v="#REF!"/>
    <e v="#REF!"/>
  </r>
  <r>
    <s v="401000"/>
    <x v="6"/>
    <s v="FOURNISSEURS"/>
    <s v="SP"/>
    <n v="154.97999999999999"/>
    <d v="2025-03-06T00:00:00"/>
    <s v="RÈGLEMENT PAR CARTE SPENDESK"/>
    <m/>
    <e v="#N/A"/>
    <e v="#N/A"/>
    <n v="66210"/>
    <s v="75d7ec6c-188f-5c53-bda8-2338c5da8fe4"/>
    <s v="ADOBE"/>
    <s v="Q1"/>
    <e v="#REF!"/>
    <e v="#REF!"/>
    <e v="#REF!"/>
  </r>
  <r>
    <s v="401000"/>
    <x v="6"/>
    <s v="FOURNISSEURS"/>
    <s v="SP"/>
    <n v="154.97999999999999"/>
    <d v="2025-04-06T00:00:00"/>
    <s v="RÈGLEMENT PAR CARTE SPENDESK"/>
    <m/>
    <e v="#N/A"/>
    <e v="#N/A"/>
    <n v="74671"/>
    <s v="8402a519-790c-5254-b78f-b9a56d546590"/>
    <s v="ADOBE"/>
    <s v="Q2"/>
    <e v="#REF!"/>
    <e v="#REF!"/>
    <e v="#REF!"/>
  </r>
  <r>
    <s v="401000"/>
    <x v="6"/>
    <s v="FOURNISSEURS"/>
    <s v="SP"/>
    <n v="154.97999999999999"/>
    <d v="2025-05-06T00:00:00"/>
    <s v="RÈGLEMENT PAR CARTE SPENDESK"/>
    <m/>
    <e v="#N/A"/>
    <e v="#N/A"/>
    <n v="75041"/>
    <s v="2df33644-ad80-59df-9447-c8ed53b17751"/>
    <s v="ADOBE"/>
    <s v="Q2"/>
    <e v="#REF!"/>
    <e v="#REF!"/>
    <e v="#REF!"/>
  </r>
  <r>
    <s v="401000"/>
    <x v="6"/>
    <s v="FOURNISSEURS"/>
    <s v="SP"/>
    <n v="154.97999999999999"/>
    <d v="2025-06-06T00:00:00"/>
    <s v="RÈGLEMENT PAR CARTE SPENDESK"/>
    <m/>
    <e v="#N/A"/>
    <e v="#N/A"/>
    <n v="78077"/>
    <s v="820f90eb-93ae-5f7e-b244-b4b17a89faef"/>
    <s v="ADOBE"/>
    <s v="Q2"/>
    <e v="#REF!"/>
    <e v="#REF!"/>
    <e v="#REF!"/>
  </r>
  <r>
    <s v="401000"/>
    <x v="6"/>
    <s v="FOURNISSEURS"/>
    <s v="SP"/>
    <n v="154.97999999999999"/>
    <d v="2025-07-06T00:00:00"/>
    <s v="RÈGLEMENT PAR CARTE SPENDESK"/>
    <m/>
    <e v="#N/A"/>
    <e v="#N/A"/>
    <n v="80926"/>
    <s v="bb2c7f4b-0e3d-56bd-b877-eeeec3bd197b"/>
    <s v="ADOBE"/>
    <s v="Q3"/>
    <e v="#REF!"/>
    <e v="#REF!"/>
    <e v="#REF!"/>
  </r>
  <r>
    <s v="401000"/>
    <x v="6"/>
    <s v="FOURNISSEURS"/>
    <s v="SP"/>
    <n v="154.97999999999999"/>
    <d v="2025-08-06T00:00:00"/>
    <s v="RÈGLEMENT PAR CARTE SPENDESK"/>
    <m/>
    <e v="#N/A"/>
    <e v="#N/A"/>
    <n v="83205"/>
    <s v="80ba2f36-7bea-59ef-89b6-22f03233da30"/>
    <s v="ADOBE"/>
    <s v="Q3"/>
    <e v="#REF!"/>
    <e v="#REF!"/>
    <e v="#REF!"/>
  </r>
  <r>
    <s v="401000"/>
    <x v="6"/>
    <s v="FOURNISSEURS"/>
    <s v="SP"/>
    <n v="154.97999999999999"/>
    <d v="2025-09-06T00:00:00"/>
    <s v="RÈGLEMENT PAR CARTE SPENDESK"/>
    <m/>
    <e v="#N/A"/>
    <e v="#N/A"/>
    <n v="83065"/>
    <s v="3d2167af-f5c3-5adc-a277-44527fcdbeab"/>
    <s v="ADOBE"/>
    <s v="Q3"/>
    <e v="#REF!"/>
    <e v="#REF!"/>
    <e v="#REF!"/>
  </r>
  <r>
    <s v="401000"/>
    <x v="6"/>
    <s v="FOURNISSEURS"/>
    <s v="SP"/>
    <n v="154.97999999999999"/>
    <d v="2025-10-06T00:00:00"/>
    <s v="RÈGLEMENT PAR CARTE SPENDESK"/>
    <m/>
    <e v="#N/A"/>
    <e v="#N/A"/>
    <n v="87634"/>
    <s v="IEE2025014888454"/>
    <s v="ADOBE"/>
    <s v="Q4"/>
    <e v="#REF!"/>
    <e v="#REF!"/>
    <e v="#REF!"/>
  </r>
  <r>
    <s v="401000"/>
    <x v="6"/>
    <s v="FOURNISSEURS"/>
    <s v="SP"/>
    <n v="154.97999999999999"/>
    <d v="2025-11-06T00:00:00"/>
    <s v="RÈGLEMENT PAR CARTE SPENDESK"/>
    <m/>
    <e v="#N/A"/>
    <e v="#N/A"/>
    <n v="91511"/>
    <s v="e1bf9e45-8faf-54b5-87a2-c1280fe0786a"/>
    <s v="ADOBE"/>
    <s v="Q4"/>
    <e v="#REF!"/>
    <e v="#REF!"/>
    <e v="#REF!"/>
  </r>
  <r>
    <s v="401000"/>
    <x v="6"/>
    <s v="FOURNISSEURS"/>
    <s v="SP"/>
    <n v="154.97999999999999"/>
    <d v="2025-12-06T00:00:00"/>
    <s v="RÈGLEMENT PAR CARTE SPENDESK"/>
    <m/>
    <e v="#N/A"/>
    <e v="#N/A"/>
    <n v="94003"/>
    <s v="8a6e25db-493c-5b60-a814-c640b27a1bf8"/>
    <s v="ADOBE"/>
    <s v="Q4"/>
    <e v="#REF!"/>
    <e v="#REF!"/>
    <e v="#REF!"/>
  </r>
  <r>
    <s v="401000"/>
    <x v="6"/>
    <s v="FOURNISSEURS"/>
    <s v="SP"/>
    <n v="156"/>
    <d v="2025-02-18T00:00:00"/>
    <s v="RÈGLEMENT PAR CARTE SPENDESK"/>
    <m/>
    <e v="#N/A"/>
    <e v="#N/A"/>
    <n v="64222"/>
    <s v="986155"/>
    <s v="SNCF"/>
    <s v="Q1"/>
    <e v="#REF!"/>
    <e v="#REF!"/>
    <e v="#REF!"/>
  </r>
  <r>
    <s v="401000"/>
    <x v="6"/>
    <s v="FOURNISSEURS"/>
    <s v="SP"/>
    <n v="159"/>
    <d v="2025-02-14T00:00:00"/>
    <s v="RÈGLEMENT PAR CARTE SPENDESK"/>
    <m/>
    <e v="#N/A"/>
    <e v="#N/A"/>
    <n v="64210"/>
    <s v="2"/>
    <s v="SNCF"/>
    <s v="Q1"/>
    <e v="#REF!"/>
    <e v="#REF!"/>
    <e v="#REF!"/>
  </r>
  <r>
    <s v="401000"/>
    <x v="6"/>
    <s v="FOURNISSEURS"/>
    <s v="SP"/>
    <n v="159.5"/>
    <d v="2025-05-01T00:00:00"/>
    <s v="RÈGLEMENT PAR CARTE SPENDESK"/>
    <m/>
    <s v="Non"/>
    <e v="#N/A"/>
    <n v="74725"/>
    <s v="b7bcfdd4-4627-5bc6-9f11-96c5baae2869"/>
    <s v="DIVERS"/>
    <s v="Q2"/>
    <e v="#REF!"/>
    <e v="#REF!"/>
    <e v="#REF!"/>
  </r>
  <r>
    <s v="401000"/>
    <x v="6"/>
    <s v="FOURNISSEURS"/>
    <s v="SP"/>
    <n v="167.8"/>
    <d v="2025-06-20T00:00:00"/>
    <s v="RÈGLEMENT PAR CARTE SPENDESK"/>
    <m/>
    <e v="#N/A"/>
    <e v="#N/A"/>
    <n v="78105"/>
    <s v="9d20d197-be0a-5d8e-acde-8e1e9bb91085"/>
    <s v="NMMEDICAL"/>
    <s v="Q2"/>
    <e v="#REF!"/>
    <e v="#REF!"/>
    <e v="#REF!"/>
  </r>
  <r>
    <s v="401000"/>
    <x v="6"/>
    <s v="FOURNISSEURS"/>
    <s v="SP"/>
    <n v="168.59"/>
    <d v="2025-10-30T00:00:00"/>
    <s v="RÈGLEMENT PAR CARTE SPENDESK"/>
    <s v="Non"/>
    <s v="Non"/>
    <e v="#N/A"/>
    <n v="87702"/>
    <s v="781157960176"/>
    <s v="LINKEDIN"/>
    <s v="Q4"/>
    <e v="#REF!"/>
    <e v="#REF!"/>
    <e v="#REF!"/>
  </r>
  <r>
    <s v="401000"/>
    <x v="6"/>
    <s v="FOURNISSEURS"/>
    <s v="SP"/>
    <n v="168.59"/>
    <d v="2025-11-27T00:00:00"/>
    <s v="RÈGLEMENT PAR CARTE SPENDESK"/>
    <s v="Non"/>
    <s v="Non"/>
    <e v="#N/A"/>
    <n v="91557"/>
    <s v="781177254465"/>
    <s v="LINKEDIN"/>
    <s v="Q4"/>
    <e v="#REF!"/>
    <e v="#REF!"/>
    <e v="#REF!"/>
  </r>
  <r>
    <s v="401000"/>
    <x v="6"/>
    <s v="FOURNISSEURS"/>
    <s v="SP"/>
    <n v="168.59"/>
    <d v="2025-12-27T00:00:00"/>
    <s v="RÈGLEMENT PAR CARTE SPENDESK"/>
    <s v="Non"/>
    <s v="Non"/>
    <e v="#N/A"/>
    <n v="94045"/>
    <s v="781184744822"/>
    <s v="LINKEDIN"/>
    <s v="Q4"/>
    <e v="#REF!"/>
    <e v="#REF!"/>
    <e v="#REF!"/>
  </r>
  <r>
    <s v="401000"/>
    <x v="6"/>
    <s v="FOURNISSEURS"/>
    <s v="SP"/>
    <n v="171.22"/>
    <d v="2025-10-01T00:00:00"/>
    <s v="RÈGLEMENT PAR CARTE SPENDESK"/>
    <m/>
    <e v="#N/A"/>
    <e v="#N/A"/>
    <n v="87618"/>
    <s v="0ef7fab9-99f4-56d3-b3aa-b24ce7a08881"/>
    <s v="AIRLINES"/>
    <s v="Q4"/>
    <e v="#REF!"/>
    <e v="#REF!"/>
    <e v="#REF!"/>
  </r>
  <r>
    <s v="401000"/>
    <x v="6"/>
    <s v="FOURNISSEURS"/>
    <s v="SP"/>
    <n v="172"/>
    <d v="2025-10-29T00:00:00"/>
    <s v="RÈGLEMENT PAR CARTE SPENDESK"/>
    <m/>
    <e v="#N/A"/>
    <e v="#N/A"/>
    <n v="87692"/>
    <s v="32"/>
    <s v="SNCF"/>
    <s v="Q4"/>
    <e v="#REF!"/>
    <e v="#REF!"/>
    <e v="#REF!"/>
  </r>
  <r>
    <s v="401000"/>
    <x v="6"/>
    <s v="FOURNISSEURS"/>
    <s v="SP"/>
    <n v="172.78"/>
    <d v="2025-12-04T00:00:00"/>
    <s v="RÈGLEMENT PAR CARTE SPENDESK"/>
    <m/>
    <e v="#N/A"/>
    <e v="#N/A"/>
    <n v="93997"/>
    <s v="69753fd8-2d3e-5de1-9a68-a3bd620dcd5d"/>
    <s v="GANDI"/>
    <s v="Q4"/>
    <e v="#REF!"/>
    <e v="#REF!"/>
    <e v="#REF!"/>
  </r>
  <r>
    <s v="401000"/>
    <x v="6"/>
    <s v="FOURNISSEURS"/>
    <s v="SP"/>
    <n v="172.8"/>
    <d v="2025-07-05T00:00:00"/>
    <s v="RÈGLEMENT PAR CARTE SPENDESK"/>
    <m/>
    <e v="#N/A"/>
    <e v="#N/A"/>
    <n v="80922"/>
    <s v="M010257369"/>
    <s v="MANUTAN"/>
    <s v="Q3"/>
    <e v="#REF!"/>
    <e v="#REF!"/>
    <e v="#REF!"/>
  </r>
  <r>
    <s v="401000"/>
    <x v="6"/>
    <s v="FOURNISSEURS"/>
    <s v="SP"/>
    <n v="174"/>
    <d v="2025-01-08T00:00:00"/>
    <s v="RÈGLEMENT PAR CARTE SPENDESK"/>
    <m/>
    <e v="#N/A"/>
    <e v="#N/A"/>
    <n v="59979"/>
    <s v="30e2f434-4f8a-5f8b-8d5a-60246e8f91bc"/>
    <s v="SNCF"/>
    <s v="Q1"/>
    <e v="#REF!"/>
    <e v="#REF!"/>
    <e v="#REF!"/>
  </r>
  <r>
    <s v="401000"/>
    <x v="6"/>
    <s v="FOURNISSEURS"/>
    <s v="SP"/>
    <n v="174.96"/>
    <d v="2025-02-15T00:00:00"/>
    <s v="RÈGLEMENT PAR CARTE SPENDESK"/>
    <m/>
    <e v="#N/A"/>
    <e v="#N/A"/>
    <n v="64216"/>
    <s v="2952af1a-3311-5ecc-80e9-46d181080205"/>
    <s v="PROLIANS"/>
    <s v="Q1"/>
    <e v="#REF!"/>
    <e v="#REF!"/>
    <e v="#REF!"/>
  </r>
  <r>
    <s v="401000"/>
    <x v="6"/>
    <s v="FOURNISSEURS"/>
    <s v="SP"/>
    <n v="174.99"/>
    <d v="2025-06-12T00:00:00"/>
    <s v="RÈGLEMENT PAR CARTE SPENDESK"/>
    <m/>
    <e v="#N/A"/>
    <e v="#N/A"/>
    <n v="78083"/>
    <s v="ac2a8cee-fb13-52e8-9d60-7da8e8d0ffdd"/>
    <s v="AIChE"/>
    <s v="Q2"/>
    <e v="#REF!"/>
    <e v="#REF!"/>
    <e v="#REF!"/>
  </r>
  <r>
    <s v="401000"/>
    <x v="6"/>
    <s v="FOURNISSEURS"/>
    <s v="SP"/>
    <n v="176"/>
    <d v="2025-01-23T00:00:00"/>
    <s v="RÈGLEMENT PAR CARTE SPENDESK"/>
    <m/>
    <e v="#N/A"/>
    <e v="#N/A"/>
    <n v="60007"/>
    <s v="56"/>
    <s v="SNCF"/>
    <s v="Q1"/>
    <e v="#REF!"/>
    <e v="#REF!"/>
    <e v="#REF!"/>
  </r>
  <r>
    <s v="401000"/>
    <x v="6"/>
    <s v="FOURNISSEURS"/>
    <s v="SP"/>
    <n v="176"/>
    <d v="2025-02-12T00:00:00"/>
    <s v="RÈGLEMENT PAR CARTE SPENDESK"/>
    <m/>
    <e v="#N/A"/>
    <e v="#N/A"/>
    <n v="64196"/>
    <s v="cd3ce30d-c474-51b0-ac3d-7bd88efbfc4d"/>
    <s v="SNCF"/>
    <s v="Q1"/>
    <e v="#REF!"/>
    <e v="#REF!"/>
    <e v="#REF!"/>
  </r>
  <r>
    <s v="401000"/>
    <x v="6"/>
    <s v="FOURNISSEURS"/>
    <s v="SP"/>
    <n v="176"/>
    <d v="2025-05-24T00:00:00"/>
    <s v="RÈGLEMENT PAR CARTE SPENDESK"/>
    <m/>
    <e v="#N/A"/>
    <e v="#N/A"/>
    <n v="75069"/>
    <s v="71ad2f83-ab07-5de8-a70f-d296b530049e"/>
    <s v="SNCF"/>
    <s v="Q2"/>
    <e v="#REF!"/>
    <e v="#REF!"/>
    <e v="#REF!"/>
  </r>
  <r>
    <s v="401000"/>
    <x v="6"/>
    <s v="FOURNISSEURS"/>
    <s v="SP"/>
    <n v="176"/>
    <d v="2025-05-27T00:00:00"/>
    <s v="RÈGLEMENT PAR CARTE SPENDESK"/>
    <m/>
    <e v="#N/A"/>
    <e v="#N/A"/>
    <n v="75075"/>
    <s v="410390444"/>
    <s v="SNCF"/>
    <s v="Q2"/>
    <e v="#REF!"/>
    <e v="#REF!"/>
    <e v="#REF!"/>
  </r>
  <r>
    <s v="401000"/>
    <x v="6"/>
    <s v="FOURNISSEURS"/>
    <s v="SP"/>
    <n v="176"/>
    <d v="2025-09-15T00:00:00"/>
    <s v="RÈGLEMENT PAR CARTE SPENDESK"/>
    <m/>
    <e v="#N/A"/>
    <e v="#N/A"/>
    <n v="83097"/>
    <s v="75dbca78-e2f5-520b-86f9-ed57b81ffe9c"/>
    <s v="SNCF"/>
    <s v="Q3"/>
    <e v="#REF!"/>
    <e v="#REF!"/>
    <e v="#REF!"/>
  </r>
  <r>
    <s v="401000"/>
    <x v="6"/>
    <s v="FOURNISSEURS"/>
    <s v="SP"/>
    <n v="176"/>
    <d v="2025-10-21T00:00:00"/>
    <s v="RÈGLEMENT PAR CARTE SPENDESK"/>
    <m/>
    <e v="#N/A"/>
    <e v="#N/A"/>
    <n v="87668"/>
    <s v="4LJC74"/>
    <s v="SNCF"/>
    <s v="Q4"/>
    <e v="#REF!"/>
    <e v="#REF!"/>
    <e v="#REF!"/>
  </r>
  <r>
    <s v="401000"/>
    <x v="6"/>
    <s v="FOURNISSEURS"/>
    <s v="SP"/>
    <n v="178.36"/>
    <d v="2025-07-12T00:00:00"/>
    <s v="RÈGLEMENT PAR CARTE SPENDESK"/>
    <m/>
    <e v="#N/A"/>
    <e v="#N/A"/>
    <n v="80932"/>
    <s v="85ebf491-ea7b-58cf-b206-672eef4c4114"/>
    <s v="RS COMPONENT"/>
    <s v="Q3"/>
    <e v="#REF!"/>
    <e v="#REF!"/>
    <e v="#REF!"/>
  </r>
  <r>
    <s v="401000"/>
    <x v="6"/>
    <s v="FOURNISSEURS"/>
    <s v="SP"/>
    <n v="181.54"/>
    <d v="2025-09-19T00:00:00"/>
    <s v="RÈGLEMENT PAR CARTE SPENDESK"/>
    <m/>
    <e v="#N/A"/>
    <e v="#N/A"/>
    <n v="83109"/>
    <s v="72ec65c6-2b8a-5aa3-b3c4-291bf2fc5861"/>
    <s v="AIRLINES"/>
    <s v="Q3"/>
    <e v="#REF!"/>
    <e v="#REF!"/>
    <e v="#REF!"/>
  </r>
  <r>
    <s v="401000"/>
    <x v="6"/>
    <s v="FOURNISSEURS"/>
    <s v="SP"/>
    <n v="181.54"/>
    <d v="2025-09-19T00:00:00"/>
    <s v="RÈGLEMENT PAR CARTE SPENDESK"/>
    <m/>
    <s v="Non"/>
    <e v="#N/A"/>
    <n v="83111"/>
    <s v="5943d6e0-5e82-5287-9d93-6dd06d196f23"/>
    <s v="DIVERS"/>
    <s v="Q3"/>
    <e v="#REF!"/>
    <e v="#REF!"/>
    <e v="#REF!"/>
  </r>
  <r>
    <s v="401000"/>
    <x v="6"/>
    <s v="FOURNISSEURS"/>
    <s v="SP"/>
    <n v="182.39"/>
    <d v="2025-10-16T00:00:00"/>
    <s v="RÈGLEMENT PAR CARTE SPENDESK"/>
    <s v="Non"/>
    <s v="Non"/>
    <e v="#N/A"/>
    <n v="87664"/>
    <s v="7,81154E+11"/>
    <s v="LINKEDIN"/>
    <s v="Q4"/>
    <e v="#REF!"/>
    <e v="#REF!"/>
    <e v="#REF!"/>
  </r>
  <r>
    <s v="401000"/>
    <x v="6"/>
    <s v="FOURNISSEURS"/>
    <s v="SP"/>
    <n v="182.93"/>
    <d v="2025-02-14T00:00:00"/>
    <s v="RÈGLEMENT PAR CARTE SPENDESK"/>
    <m/>
    <e v="#N/A"/>
    <e v="#N/A"/>
    <n v="64202"/>
    <s v=" RC2FST55ZQ"/>
    <s v="AIRBNB"/>
    <s v="Q1"/>
    <e v="#REF!"/>
    <e v="#REF!"/>
    <e v="#REF!"/>
  </r>
  <r>
    <s v="401000"/>
    <x v="6"/>
    <s v="FOURNISSEURS"/>
    <s v="SP"/>
    <n v="186"/>
    <d v="2025-05-18T00:00:00"/>
    <s v="RÈGLEMENT PAR CARTE SPENDESK"/>
    <m/>
    <e v="#N/A"/>
    <e v="#N/A"/>
    <n v="75061"/>
    <s v="6fa2a246-93b1-5bdc-bdd9-04a4268390c4"/>
    <s v="SNCF"/>
    <s v="Q2"/>
    <e v="#REF!"/>
    <e v="#REF!"/>
    <e v="#REF!"/>
  </r>
  <r>
    <s v="401000"/>
    <x v="6"/>
    <s v="FOURNISSEURS"/>
    <s v="SP"/>
    <n v="186.02"/>
    <d v="2025-10-15T00:00:00"/>
    <s v="RÈGLEMENT PAR CARTE SPENDESK"/>
    <m/>
    <e v="#N/A"/>
    <e v="#N/A"/>
    <n v="87660"/>
    <s v="487515511"/>
    <s v="RS COMPONENT"/>
    <s v="Q4"/>
    <e v="#REF!"/>
    <e v="#REF!"/>
    <e v="#REF!"/>
  </r>
  <r>
    <s v="401000"/>
    <x v="6"/>
    <s v="FOURNISSEURS"/>
    <s v="SP"/>
    <n v="187.05"/>
    <d v="2025-06-07T00:00:00"/>
    <s v="RÈGLEMENT PAR CARTE SPENDESK"/>
    <m/>
    <e v="#N/A"/>
    <e v="#N/A"/>
    <n v="78079"/>
    <s v="39d53c1a-2723-5501-aeb1-b05c626fab39"/>
    <s v="LA FOURCHE"/>
    <s v="Q2"/>
    <e v="#REF!"/>
    <e v="#REF!"/>
    <e v="#REF!"/>
  </r>
  <r>
    <s v="401000"/>
    <x v="6"/>
    <s v="FOURNISSEURS"/>
    <s v="SP"/>
    <n v="187.65"/>
    <d v="2025-12-03T00:00:00"/>
    <s v="RÈGLEMENT PAR CARTE SPENDESK"/>
    <m/>
    <e v="#N/A"/>
    <e v="#N/A"/>
    <n v="93993"/>
    <s v="RCY2H8KTSM"/>
    <s v="AIRBNB"/>
    <s v="Q4"/>
    <e v="#REF!"/>
    <e v="#REF!"/>
    <e v="#REF!"/>
  </r>
  <r>
    <s v="401000"/>
    <x v="6"/>
    <s v="FOURNISSEURS"/>
    <s v="SP"/>
    <n v="188"/>
    <d v="2025-11-15T00:00:00"/>
    <s v="RÈGLEMENT PAR CARTE SPENDESK"/>
    <m/>
    <e v="#N/A"/>
    <e v="#N/A"/>
    <n v="91527"/>
    <s v="13593035-35f9-5209-a8f6-8513e04af6fc"/>
    <s v="SNCF"/>
    <s v="Q4"/>
    <e v="#REF!"/>
    <e v="#REF!"/>
    <e v="#REF!"/>
  </r>
  <r>
    <s v="401000"/>
    <x v="6"/>
    <s v="FOURNISSEURS"/>
    <s v="SP"/>
    <n v="191"/>
    <d v="2025-12-03T00:00:00"/>
    <s v="RÈGLEMENT PAR CARTE SPENDESK"/>
    <m/>
    <e v="#N/A"/>
    <e v="#N/A"/>
    <n v="93989"/>
    <s v="08675daa-cb8f-5072-af8b-d063efb9e352"/>
    <s v="SNCF"/>
    <s v="Q4"/>
    <e v="#REF!"/>
    <e v="#REF!"/>
    <e v="#REF!"/>
  </r>
  <r>
    <s v="401000"/>
    <x v="6"/>
    <s v="FOURNISSEURS"/>
    <s v="SP"/>
    <n v="194"/>
    <d v="2025-10-22T00:00:00"/>
    <s v="RÈGLEMENT PAR CARTE SPENDESK"/>
    <m/>
    <e v="#N/A"/>
    <e v="#N/A"/>
    <n v="87672"/>
    <s v="3K57KA"/>
    <s v="SNCF"/>
    <s v="Q4"/>
    <e v="#REF!"/>
    <e v="#REF!"/>
    <e v="#REF!"/>
  </r>
  <r>
    <s v="401000"/>
    <x v="6"/>
    <s v="FOURNISSEURS"/>
    <s v="SP"/>
    <n v="194.2"/>
    <d v="2025-06-17T00:00:00"/>
    <s v="RÈGLEMENT PAR CARTE SPENDESK"/>
    <m/>
    <e v="#N/A"/>
    <e v="#N/A"/>
    <n v="78101"/>
    <s v="2df8f013-d7e9-56c7-a0f7-b51fcd68c8a2"/>
    <s v="SNCF"/>
    <s v="Q2"/>
    <e v="#REF!"/>
    <e v="#REF!"/>
    <e v="#REF!"/>
  </r>
  <r>
    <s v="401000"/>
    <x v="6"/>
    <s v="FOURNISSEURS"/>
    <s v="SP"/>
    <n v="195.54"/>
    <d v="2025-10-24T00:00:00"/>
    <s v="RÈGLEMENT PAR CARTE SPENDESK"/>
    <m/>
    <e v="#N/A"/>
    <e v="#N/A"/>
    <n v="87678"/>
    <s v="26.565.420"/>
    <s v="BRUNEAU"/>
    <s v="Q4"/>
    <e v="#REF!"/>
    <e v="#REF!"/>
    <e v="#REF!"/>
  </r>
  <r>
    <s v="401000"/>
    <x v="6"/>
    <s v="FOURNISSEURS"/>
    <s v="SP"/>
    <n v="198"/>
    <d v="2025-02-21T00:00:00"/>
    <s v="RÈGLEMENT PAR CARTE SPENDESK"/>
    <m/>
    <s v="Non"/>
    <e v="#N/A"/>
    <n v="64228"/>
    <s v="144933"/>
    <s v="DIVERS"/>
    <s v="Q1"/>
    <e v="#REF!"/>
    <e v="#REF!"/>
    <e v="#REF!"/>
  </r>
  <r>
    <s v="401000"/>
    <x v="6"/>
    <s v="FOURNISSEURS"/>
    <s v="SP"/>
    <n v="198"/>
    <d v="2025-07-30T00:00:00"/>
    <s v="RÈGLEMENT PAR CARTE SPENDESK"/>
    <m/>
    <e v="#N/A"/>
    <e v="#N/A"/>
    <n v="80956"/>
    <s v="b49079f1-da17-5a1b-a9c3-67fef5e4dc71"/>
    <s v="CHIMIE PROMOTION"/>
    <s v="Q3"/>
    <e v="#REF!"/>
    <e v="#REF!"/>
    <e v="#REF!"/>
  </r>
  <r>
    <s v="401000"/>
    <x v="6"/>
    <s v="FOURNISSEURS"/>
    <s v="SP"/>
    <n v="199.33"/>
    <d v="2025-02-14T00:00:00"/>
    <s v="RÈGLEMENT PAR CARTE SPENDESK"/>
    <m/>
    <e v="#N/A"/>
    <e v="#N/A"/>
    <n v="64206"/>
    <s v="e573cf4a-4aa0-57db-8d8c-106760c490a0"/>
    <s v="BRUNEAU"/>
    <s v="Q1"/>
    <e v="#REF!"/>
    <e v="#REF!"/>
    <e v="#REF!"/>
  </r>
  <r>
    <s v="401000"/>
    <x v="6"/>
    <s v="FOURNISSEURS"/>
    <s v="SP"/>
    <n v="199.9"/>
    <d v="2025-09-27T00:00:00"/>
    <s v="RÈGLEMENT PAR CARTE SPENDESK"/>
    <m/>
    <e v="#N/A"/>
    <e v="#N/A"/>
    <n v="83131"/>
    <s v="2666d904-7397-5e56-919d-8a80dfa6cfad"/>
    <s v="SNCF"/>
    <s v="Q3"/>
    <e v="#REF!"/>
    <e v="#REF!"/>
    <e v="#REF!"/>
  </r>
  <r>
    <s v="401000"/>
    <x v="6"/>
    <s v="FOURNISSEURS"/>
    <s v="SP"/>
    <n v="204.67"/>
    <d v="2025-04-04T00:00:00"/>
    <s v="RÈGLEMENT PAR CARTE SPENDESK"/>
    <m/>
    <e v="#N/A"/>
    <e v="#N/A"/>
    <n v="74659"/>
    <s v="20349f9f-14b6-525c-af0f-c7a01956ce56"/>
    <s v="FISHER SCIENTIFIC"/>
    <s v="Q2"/>
    <e v="#REF!"/>
    <e v="#REF!"/>
    <e v="#REF!"/>
  </r>
  <r>
    <s v="401000"/>
    <x v="6"/>
    <s v="FOURNISSEURS"/>
    <s v="SP"/>
    <n v="209.16"/>
    <d v="2025-08-01T00:00:00"/>
    <s v="RÈGLEMENT PAR CARTE SPENDESK"/>
    <m/>
    <e v="#N/A"/>
    <e v="#N/A"/>
    <n v="83191"/>
    <s v="49a91752-87b0-50c8-80ff-aef2c17bafd3"/>
    <s v="BRUNEAU"/>
    <s v="Q3"/>
    <e v="#REF!"/>
    <e v="#REF!"/>
    <e v="#REF!"/>
  </r>
  <r>
    <s v="401000"/>
    <x v="6"/>
    <s v="FOURNISSEURS"/>
    <s v="SP"/>
    <n v="210.2"/>
    <d v="2025-12-14T00:00:00"/>
    <s v="RÈGLEMENT PAR CARTE SPENDESK"/>
    <m/>
    <e v="#N/A"/>
    <e v="#N/A"/>
    <n v="94033"/>
    <s v="997997bf-ceac-512a-a048-b58ffa51184e"/>
    <s v="BRADY GROUPE"/>
    <s v="Q4"/>
    <e v="#REF!"/>
    <e v="#REF!"/>
    <e v="#REF!"/>
  </r>
  <r>
    <s v="401000"/>
    <x v="6"/>
    <s v="FOURNISSEURS"/>
    <s v="SP"/>
    <n v="211.5"/>
    <d v="2025-04-10T00:00:00"/>
    <s v="RÈGLEMENT PAR CARTE SPENDESK"/>
    <m/>
    <e v="#N/A"/>
    <e v="#N/A"/>
    <n v="74683"/>
    <s v="68c17aba-6312-5a9e-8795-9d951aa8b94d"/>
    <s v="SNCF"/>
    <s v="Q2"/>
    <e v="#REF!"/>
    <e v="#REF!"/>
    <e v="#REF!"/>
  </r>
  <r>
    <s v="401000"/>
    <x v="6"/>
    <s v="FOURNISSEURS"/>
    <s v="SP"/>
    <n v="212.8"/>
    <d v="2025-05-29T00:00:00"/>
    <s v="RÈGLEMENT PAR CARTE SPENDESK"/>
    <m/>
    <e v="#N/A"/>
    <e v="#N/A"/>
    <n v="75079"/>
    <s v="100235408986"/>
    <s v="EUROPCAR"/>
    <s v="Q2"/>
    <e v="#REF!"/>
    <e v="#REF!"/>
    <e v="#REF!"/>
  </r>
  <r>
    <s v="401000"/>
    <x v="6"/>
    <s v="FOURNISSEURS"/>
    <s v="SP"/>
    <n v="213.45"/>
    <d v="2025-07-03T00:00:00"/>
    <s v="RÈGLEMENT PAR CARTE SPENDESK"/>
    <m/>
    <e v="#N/A"/>
    <e v="#N/A"/>
    <n v="80916"/>
    <s v="79657fec-46cb-52f4-944e-8e6bd8a0395a"/>
    <s v="PTFE TUBE SHOP"/>
    <s v="Q3"/>
    <e v="#REF!"/>
    <e v="#REF!"/>
    <e v="#REF!"/>
  </r>
  <r>
    <s v="401000"/>
    <x v="6"/>
    <s v="FOURNISSEURS"/>
    <s v="SP"/>
    <n v="214.03"/>
    <d v="2025-09-08T00:00:00"/>
    <s v="RÈGLEMENT PAR CARTE SPENDESK"/>
    <m/>
    <e v="#N/A"/>
    <e v="#N/A"/>
    <n v="83069"/>
    <s v="1187784"/>
    <s v="LITFAD"/>
    <s v="Q3"/>
    <e v="#REF!"/>
    <e v="#REF!"/>
    <e v="#REF!"/>
  </r>
  <r>
    <s v="401000"/>
    <x v="6"/>
    <s v="FOURNISSEURS"/>
    <s v="SP"/>
    <n v="215.2"/>
    <d v="2025-03-18T00:00:00"/>
    <s v="RÈGLEMENT PAR CARTE SPENDESK"/>
    <m/>
    <e v="#N/A"/>
    <e v="#N/A"/>
    <n v="66238"/>
    <s v="1c639291-35d9-5df2-a134-936a2421ba2d"/>
    <s v="SNCF"/>
    <s v="Q1"/>
    <e v="#REF!"/>
    <e v="#REF!"/>
    <e v="#REF!"/>
  </r>
  <r>
    <s v="401000"/>
    <x v="6"/>
    <s v="FOURNISSEURS"/>
    <s v="SP"/>
    <n v="223.02"/>
    <d v="2025-03-31T00:00:00"/>
    <s v="RÈGLEMENT PAR CARTE SPENDESK"/>
    <m/>
    <e v="#N/A"/>
    <e v="#N/A"/>
    <n v="66278"/>
    <s v="89596308"/>
    <s v="ORANGE"/>
    <s v="Q1"/>
    <e v="#REF!"/>
    <e v="#REF!"/>
    <e v="#REF!"/>
  </r>
  <r>
    <s v="401000"/>
    <x v="6"/>
    <s v="FOURNISSEURS"/>
    <s v="SP"/>
    <n v="224.4"/>
    <d v="2025-01-08T00:00:00"/>
    <s v="RÈGLEMENT PAR CARTE SPENDESK"/>
    <m/>
    <e v="#N/A"/>
    <e v="#N/A"/>
    <n v="59981"/>
    <s v="18"/>
    <s v="SNCF"/>
    <s v="Q1"/>
    <e v="#REF!"/>
    <e v="#REF!"/>
    <e v="#REF!"/>
  </r>
  <r>
    <s v="401000"/>
    <x v="6"/>
    <s v="FOURNISSEURS"/>
    <s v="SP"/>
    <n v="230.49"/>
    <d v="2025-11-26T00:00:00"/>
    <s v="RÈGLEMENT PAR CARTE SPENDESK"/>
    <m/>
    <e v="#N/A"/>
    <e v="#N/A"/>
    <n v="91555"/>
    <s v="4b65e99d-1d76-5492-b898-a5f44f3d80aa"/>
    <s v="AIRBNB"/>
    <s v="Q4"/>
    <e v="#REF!"/>
    <e v="#REF!"/>
    <e v="#REF!"/>
  </r>
  <r>
    <s v="401000"/>
    <x v="6"/>
    <s v="FOURNISSEURS"/>
    <s v="SP"/>
    <n v="230.89"/>
    <d v="2025-07-13T00:00:00"/>
    <s v="RÈGLEMENT PAR CARTE SPENDESK"/>
    <m/>
    <e v="#N/A"/>
    <e v="#N/A"/>
    <n v="80938"/>
    <s v="017457a8-b4f1-5dce-bd56-3fb72df445f8"/>
    <s v="RS COMPONENT"/>
    <s v="Q3"/>
    <e v="#REF!"/>
    <e v="#REF!"/>
    <e v="#REF!"/>
  </r>
  <r>
    <s v="401000"/>
    <x v="6"/>
    <s v="FOURNISSEURS"/>
    <s v="SP"/>
    <n v="233.11"/>
    <d v="2025-01-31T00:00:00"/>
    <s v="RÈGLEMENT PAR CARTE SPENDESK"/>
    <m/>
    <e v="#N/A"/>
    <e v="#N/A"/>
    <n v="60029"/>
    <s v="77"/>
    <s v="BRUNEAU"/>
    <s v="Q1"/>
    <e v="#REF!"/>
    <e v="#REF!"/>
    <e v="#REF!"/>
  </r>
  <r>
    <s v="401000"/>
    <x v="6"/>
    <s v="FOURNISSEURS"/>
    <s v="SP"/>
    <n v="233.68"/>
    <d v="2025-06-24T00:00:00"/>
    <s v="RÈGLEMENT PAR CARTE SPENDESK"/>
    <m/>
    <e v="#N/A"/>
    <e v="#N/A"/>
    <n v="78115"/>
    <s v="ab680233-e9dd-50a5-b34d-44795edbe927"/>
    <s v="BRUNEAU"/>
    <s v="Q2"/>
    <e v="#REF!"/>
    <e v="#REF!"/>
    <e v="#REF!"/>
  </r>
  <r>
    <s v="401000"/>
    <x v="6"/>
    <s v="FOURNISSEURS"/>
    <s v="SP"/>
    <n v="235"/>
    <d v="2025-02-06T00:00:00"/>
    <s v="RÈGLEMENT PAR CARTE SPENDESK"/>
    <m/>
    <s v="Non"/>
    <e v="#N/A"/>
    <n v="64184"/>
    <s v="d496a9ee-564b-53fc-9573-728c539c9136"/>
    <s v="DIVERS"/>
    <s v="Q1"/>
    <e v="#REF!"/>
    <e v="#REF!"/>
    <e v="#REF!"/>
  </r>
  <r>
    <s v="401000"/>
    <x v="6"/>
    <s v="FOURNISSEURS"/>
    <s v="SP"/>
    <n v="237.52"/>
    <d v="2025-02-01T00:00:00"/>
    <s v="RÈGLEMENT PAR CARTE SPENDESK"/>
    <m/>
    <e v="#N/A"/>
    <e v="#N/A"/>
    <n v="64152"/>
    <s v="f8ee060c-59e8-59fd-8ba1-50c3fb7efa32"/>
    <s v="DARTY"/>
    <s v="Q1"/>
    <e v="#REF!"/>
    <e v="#REF!"/>
    <e v="#REF!"/>
  </r>
  <r>
    <s v="401000"/>
    <x v="6"/>
    <s v="FOURNISSEURS"/>
    <s v="SP"/>
    <n v="239.8"/>
    <d v="2025-02-05T00:00:00"/>
    <s v="RÈGLEMENT PAR CARTE SPENDESK"/>
    <m/>
    <e v="#N/A"/>
    <e v="#N/A"/>
    <n v="64172"/>
    <s v="abbdc824-106e-54f1-b7dc-c8092e216a99"/>
    <s v="SNCF"/>
    <s v="Q1"/>
    <e v="#REF!"/>
    <e v="#REF!"/>
    <e v="#REF!"/>
  </r>
  <r>
    <s v="401000"/>
    <x v="6"/>
    <s v="FOURNISSEURS"/>
    <s v="SP"/>
    <n v="242.14"/>
    <d v="2025-02-05T00:00:00"/>
    <s v="RÈGLEMENT PAR CARTE SPENDESK"/>
    <m/>
    <s v="Non"/>
    <e v="#N/A"/>
    <n v="64168"/>
    <s v="3"/>
    <s v="DIVERS"/>
    <s v="Q1"/>
    <e v="#REF!"/>
    <e v="#REF!"/>
    <e v="#REF!"/>
  </r>
  <r>
    <s v="401000"/>
    <x v="6"/>
    <s v="FOURNISSEURS"/>
    <s v="SP"/>
    <n v="243.98"/>
    <d v="2025-03-04T00:00:00"/>
    <s v="RÈGLEMENT PAR CARTE SPENDESK"/>
    <m/>
    <s v="Non"/>
    <e v="#N/A"/>
    <n v="66206"/>
    <s v="9a83905b-98a5-5e1a-bdec-3c86f36bf73b"/>
    <s v="DIVERS"/>
    <s v="Q1"/>
    <e v="#REF!"/>
    <e v="#REF!"/>
    <e v="#REF!"/>
  </r>
  <r>
    <s v="401000"/>
    <x v="6"/>
    <s v="FOURNISSEURS"/>
    <s v="SP"/>
    <n v="244.12"/>
    <d v="2025-10-15T00:00:00"/>
    <s v="RÈGLEMENT PAR CARTE SPENDESK"/>
    <s v="Non"/>
    <s v="Non"/>
    <e v="#N/A"/>
    <n v="87656"/>
    <s v="7,81154E+11"/>
    <s v="LINKEDIN"/>
    <s v="Q4"/>
    <e v="#REF!"/>
    <e v="#REF!"/>
    <e v="#REF!"/>
  </r>
  <r>
    <s v="401000"/>
    <x v="6"/>
    <s v="FOURNISSEURS"/>
    <s v="SP"/>
    <n v="246"/>
    <d v="2025-10-24T00:00:00"/>
    <s v="RÈGLEMENT PAR CARTE SPENDESK"/>
    <m/>
    <e v="#N/A"/>
    <e v="#N/A"/>
    <n v="87680"/>
    <s v="U6D3UH"/>
    <s v="SNCF"/>
    <s v="Q4"/>
    <e v="#REF!"/>
    <e v="#REF!"/>
    <e v="#REF!"/>
  </r>
  <r>
    <s v="401000"/>
    <x v="6"/>
    <s v="FOURNISSEURS"/>
    <s v="SP"/>
    <n v="250.63"/>
    <d v="2025-03-18T00:00:00"/>
    <s v="RÈGLEMENT PAR CARTE SPENDESK"/>
    <m/>
    <e v="#N/A"/>
    <e v="#N/A"/>
    <n v="66242"/>
    <s v="83458222"/>
    <s v="MANUTAN"/>
    <s v="Q1"/>
    <e v="#REF!"/>
    <e v="#REF!"/>
    <e v="#REF!"/>
  </r>
  <r>
    <s v="401000"/>
    <x v="6"/>
    <s v="FOURNISSEURS"/>
    <s v="SP"/>
    <n v="250.63"/>
    <d v="2025-07-25T00:00:00"/>
    <s v="RÈGLEMENT PAR CARTE SPENDESK"/>
    <m/>
    <e v="#N/A"/>
    <e v="#N/A"/>
    <n v="80946"/>
    <s v="9a20d82d-915d-51fe-8738-3e7114e957de"/>
    <s v="MANUTAN"/>
    <s v="Q3"/>
    <e v="#REF!"/>
    <e v="#REF!"/>
    <e v="#REF!"/>
  </r>
  <r>
    <s v="401000"/>
    <x v="6"/>
    <s v="FOURNISSEURS"/>
    <s v="SP"/>
    <n v="254.99"/>
    <d v="2025-02-20T00:00:00"/>
    <s v="RÈGLEMENT PAR CARTE SPENDESK"/>
    <m/>
    <s v="Non"/>
    <e v="#N/A"/>
    <n v="64226"/>
    <s v="d3848e18-e9c5-5cdc-a11c-fd3520f16434"/>
    <s v="DIVERS"/>
    <s v="Q1"/>
    <e v="#REF!"/>
    <e v="#REF!"/>
    <e v="#REF!"/>
  </r>
  <r>
    <s v="401000"/>
    <x v="6"/>
    <s v="FOURNISSEURS"/>
    <s v="SP"/>
    <n v="257.47000000000003"/>
    <d v="2025-05-01T00:00:00"/>
    <s v="RÈGLEMENT PAR CARTE SPENDESK"/>
    <m/>
    <e v="#N/A"/>
    <e v="#N/A"/>
    <n v="74727"/>
    <s v="a518dcf8-046c-50f2-9db5-d62f406c375a"/>
    <s v="MANUTAN"/>
    <s v="Q2"/>
    <e v="#REF!"/>
    <e v="#REF!"/>
    <e v="#REF!"/>
  </r>
  <r>
    <s v="401000"/>
    <x v="6"/>
    <s v="FOURNISSEURS"/>
    <s v="SP"/>
    <n v="258"/>
    <d v="2025-09-10T00:00:00"/>
    <s v="RÈGLEMENT PAR CARTE SPENDESK"/>
    <m/>
    <e v="#N/A"/>
    <e v="#N/A"/>
    <n v="83073"/>
    <s v="d1eb44d5-d22c-5026-9546-3104d4063de2"/>
    <s v="SNCF"/>
    <s v="Q3"/>
    <e v="#REF!"/>
    <e v="#REF!"/>
    <e v="#REF!"/>
  </r>
  <r>
    <s v="401000"/>
    <x v="6"/>
    <s v="FOURNISSEURS"/>
    <s v="SP"/>
    <n v="258.27999999999997"/>
    <d v="2025-07-30T00:00:00"/>
    <s v="RÈGLEMENT PAR CARTE SPENDESK"/>
    <m/>
    <e v="#N/A"/>
    <e v="#N/A"/>
    <n v="80954"/>
    <s v="bab8c17f-049e-5a98-a099-7cd38c525dc9"/>
    <s v="PTFE TUBE SHOP"/>
    <s v="Q3"/>
    <e v="#REF!"/>
    <e v="#REF!"/>
    <e v="#REF!"/>
  </r>
  <r>
    <s v="401000"/>
    <x v="6"/>
    <s v="FOURNISSEURS"/>
    <s v="SP"/>
    <n v="264.89999999999998"/>
    <d v="2025-11-06T00:00:00"/>
    <s v="RÈGLEMENT PAR CARTE SPENDESK"/>
    <m/>
    <e v="#N/A"/>
    <e v="#N/A"/>
    <n v="91507"/>
    <s v="f297b876-42e8-53c3-a5ef-652e41463d60"/>
    <s v="HOTELS"/>
    <s v="Q4"/>
    <e v="#REF!"/>
    <e v="#REF!"/>
    <e v="#REF!"/>
  </r>
  <r>
    <s v="401000"/>
    <x v="6"/>
    <s v="FOURNISSEURS"/>
    <s v="SP"/>
    <n v="266.8"/>
    <d v="2025-11-09T00:00:00"/>
    <s v="RÈGLEMENT PAR CARTE SPENDESK"/>
    <m/>
    <e v="#N/A"/>
    <e v="#N/A"/>
    <n v="91517"/>
    <s v="508702dd-4e55-5de0-9f7b-ddf51ecf841d"/>
    <s v="BOOKING"/>
    <s v="Q4"/>
    <e v="#REF!"/>
    <e v="#REF!"/>
    <e v="#REF!"/>
  </r>
  <r>
    <s v="401000"/>
    <x v="6"/>
    <s v="FOURNISSEURS"/>
    <s v="SP"/>
    <n v="271.43"/>
    <d v="2025-09-03T00:00:00"/>
    <s v="RÈGLEMENT PAR CARTE SPENDESK"/>
    <m/>
    <e v="#N/A"/>
    <e v="#N/A"/>
    <n v="83053"/>
    <s v="9c9be2d3-f37e-50f4-b7a6-85050acd90a3"/>
    <s v="AVIS"/>
    <s v="Q3"/>
    <e v="#REF!"/>
    <e v="#REF!"/>
    <e v="#REF!"/>
  </r>
  <r>
    <s v="401000"/>
    <x v="6"/>
    <s v="FOURNISSEURS"/>
    <s v="SP"/>
    <n v="279.01"/>
    <d v="2025-06-28T00:00:00"/>
    <s v="RÈGLEMENT PAR CARTE SPENDESK"/>
    <m/>
    <e v="#N/A"/>
    <e v="#N/A"/>
    <n v="78121"/>
    <s v="f6f82da0-4af1-5f6a-a6ac-4a312539396a"/>
    <s v="FNAC"/>
    <s v="Q2"/>
    <e v="#REF!"/>
    <e v="#REF!"/>
    <e v="#REF!"/>
  </r>
  <r>
    <s v="401000"/>
    <x v="6"/>
    <s v="FOURNISSEURS"/>
    <s v="SP"/>
    <n v="280.8"/>
    <d v="2025-09-03T00:00:00"/>
    <s v="RÈGLEMENT PAR CARTE SPENDESK"/>
    <m/>
    <e v="#N/A"/>
    <e v="#N/A"/>
    <n v="83049"/>
    <s v="0f434514-6d96-5013-9d4d-416f5fae64e2"/>
    <s v="HOTELS"/>
    <s v="Q3"/>
    <e v="#REF!"/>
    <e v="#REF!"/>
    <e v="#REF!"/>
  </r>
  <r>
    <s v="401000"/>
    <x v="6"/>
    <s v="FOURNISSEURS"/>
    <s v="SP"/>
    <n v="288"/>
    <d v="2025-01-23T00:00:00"/>
    <s v="RÈGLEMENT PAR CARTE SPENDESK"/>
    <m/>
    <s v="Non"/>
    <e v="#N/A"/>
    <n v="60009"/>
    <s v="55"/>
    <s v="DIVERS"/>
    <s v="Q1"/>
    <e v="#REF!"/>
    <e v="#REF!"/>
    <e v="#REF!"/>
  </r>
  <r>
    <s v="401000"/>
    <x v="6"/>
    <s v="FOURNISSEURS"/>
    <s v="SP"/>
    <n v="290"/>
    <d v="2025-10-29T00:00:00"/>
    <s v="RÈGLEMENT PAR CARTE SPENDESK"/>
    <m/>
    <e v="#N/A"/>
    <e v="#N/A"/>
    <n v="87690"/>
    <s v="33"/>
    <s v="SNCF"/>
    <s v="Q4"/>
    <e v="#REF!"/>
    <e v="#REF!"/>
    <e v="#REF!"/>
  </r>
  <r>
    <s v="401000"/>
    <x v="6"/>
    <s v="FOURNISSEURS"/>
    <s v="SP"/>
    <n v="294.95999999999998"/>
    <d v="2025-10-25T00:00:00"/>
    <s v="RÈGLEMENT PAR CARTE SPENDESK"/>
    <m/>
    <e v="#N/A"/>
    <e v="#N/A"/>
    <n v="87684"/>
    <s v="EJIN372492126"/>
    <s v="AIRLINES"/>
    <s v="Q4"/>
    <e v="#REF!"/>
    <e v="#REF!"/>
    <e v="#REF!"/>
  </r>
  <r>
    <s v="401000"/>
    <x v="6"/>
    <s v="FOURNISSEURS"/>
    <s v="SP"/>
    <n v="298"/>
    <d v="2025-02-06T00:00:00"/>
    <s v="RÈGLEMENT PAR CARTE SPENDESK"/>
    <m/>
    <s v="Non"/>
    <e v="#N/A"/>
    <n v="64178"/>
    <s v="8f760600-e323-5e12-86da-35601b0c7d15"/>
    <s v="DIVERS"/>
    <s v="Q1"/>
    <e v="#REF!"/>
    <e v="#REF!"/>
    <e v="#REF!"/>
  </r>
  <r>
    <s v="401000"/>
    <x v="6"/>
    <s v="FOURNISSEURS"/>
    <s v="SP"/>
    <n v="303.47000000000003"/>
    <d v="2025-12-09T00:00:00"/>
    <s v="RÈGLEMENT PAR CARTE SPENDESK"/>
    <m/>
    <e v="#N/A"/>
    <e v="#N/A"/>
    <n v="94011"/>
    <s v="RCRPE9842Z"/>
    <s v="AIRBNB"/>
    <s v="Q4"/>
    <e v="#REF!"/>
    <e v="#REF!"/>
    <e v="#REF!"/>
  </r>
  <r>
    <s v="401000"/>
    <x v="6"/>
    <s v="FOURNISSEURS"/>
    <s v="SP"/>
    <n v="304"/>
    <d v="2025-09-18T00:00:00"/>
    <s v="RÈGLEMENT PAR CARTE SPENDESK"/>
    <m/>
    <e v="#N/A"/>
    <e v="#N/A"/>
    <n v="83103"/>
    <s v="155cba78-56fe-55f0-8b50-9fc9f9e19887"/>
    <s v="SNCF"/>
    <s v="Q3"/>
    <e v="#REF!"/>
    <e v="#REF!"/>
    <e v="#REF!"/>
  </r>
  <r>
    <s v="401000"/>
    <x v="6"/>
    <s v="FOURNISSEURS"/>
    <s v="SP"/>
    <n v="316.7"/>
    <d v="2025-03-21T00:00:00"/>
    <s v="RÈGLEMENT PAR CARTE SPENDESK"/>
    <m/>
    <s v="Non"/>
    <e v="#N/A"/>
    <n v="66258"/>
    <s v="95f83cf3-2084-5fc2-9289-c1b4a8fcf964"/>
    <s v="DIVERS"/>
    <s v="Q1"/>
    <e v="#REF!"/>
    <e v="#REF!"/>
    <e v="#REF!"/>
  </r>
  <r>
    <s v="401000"/>
    <x v="6"/>
    <s v="FOURNISSEURS"/>
    <s v="SP"/>
    <n v="328.09"/>
    <d v="2025-08-21T00:00:00"/>
    <s v="RÈGLEMENT PAR CARTE SPENDESK"/>
    <m/>
    <e v="#N/A"/>
    <e v="#N/A"/>
    <n v="83219"/>
    <s v="6e9f9f45-8d37-5683-a0ab-123fb58f9c65"/>
    <s v="ARCANE INDUSTRIE"/>
    <s v="Q3"/>
    <e v="#REF!"/>
    <e v="#REF!"/>
    <e v="#REF!"/>
  </r>
  <r>
    <s v="401000"/>
    <x v="6"/>
    <s v="FOURNISSEURS"/>
    <s v="SP"/>
    <n v="328.09"/>
    <d v="2025-11-05T00:00:00"/>
    <s v="RÈGLEMENT PAR CARTE SPENDESK"/>
    <m/>
    <e v="#N/A"/>
    <e v="#N/A"/>
    <n v="91505"/>
    <s v="df1fce7d-5959-5750-b7b2-520e30c2f0d5"/>
    <s v="ARCANE INDUSTRIE"/>
    <s v="Q4"/>
    <e v="#REF!"/>
    <e v="#REF!"/>
    <e v="#REF!"/>
  </r>
  <r>
    <s v="401000"/>
    <x v="6"/>
    <s v="FOURNISSEURS"/>
    <s v="SP"/>
    <n v="329.7"/>
    <d v="2025-09-11T00:00:00"/>
    <s v="RÈGLEMENT PAR CARTE SPENDESK"/>
    <m/>
    <e v="#N/A"/>
    <e v="#N/A"/>
    <n v="83091"/>
    <s v="1cac2f7f-2d74-55d7-8bf3-a70062554e01"/>
    <s v="GETAROUND"/>
    <s v="Q3"/>
    <e v="#REF!"/>
    <e v="#REF!"/>
    <e v="#REF!"/>
  </r>
  <r>
    <s v="401000"/>
    <x v="6"/>
    <s v="FOURNISSEURS"/>
    <s v="SP"/>
    <n v="330.2"/>
    <d v="2025-03-21T00:00:00"/>
    <s v="RÈGLEMENT PAR CARTE SPENDESK"/>
    <m/>
    <e v="#N/A"/>
    <e v="#N/A"/>
    <n v="66264"/>
    <s v="f3dc065c-869c-5863-ab84-45f0910a7c09"/>
    <s v="BRUNEAU"/>
    <s v="Q1"/>
    <e v="#REF!"/>
    <e v="#REF!"/>
    <e v="#REF!"/>
  </r>
  <r>
    <s v="401000"/>
    <x v="6"/>
    <s v="FOURNISSEURS"/>
    <s v="SP"/>
    <n v="343.5"/>
    <d v="2025-11-01T00:00:00"/>
    <s v="RÈGLEMENT PAR CARTE SPENDESK"/>
    <m/>
    <e v="#N/A"/>
    <e v="#N/A"/>
    <n v="91485"/>
    <s v="b6484150-b11b-5af4-9134-19d9694b4589"/>
    <s v="RS COMPONENT"/>
    <s v="Q4"/>
    <e v="#REF!"/>
    <e v="#REF!"/>
    <e v="#REF!"/>
  </r>
  <r>
    <s v="401000"/>
    <x v="6"/>
    <s v="FOURNISSEURS"/>
    <s v="SP"/>
    <n v="349"/>
    <d v="2025-05-29T00:00:00"/>
    <s v="RÈGLEMENT PAR CARTE SPENDESK"/>
    <m/>
    <e v="#N/A"/>
    <e v="#N/A"/>
    <n v="75077"/>
    <s v="CAYZLK"/>
    <s v="SNCF"/>
    <s v="Q2"/>
    <e v="#REF!"/>
    <e v="#REF!"/>
    <e v="#REF!"/>
  </r>
  <r>
    <s v="401000"/>
    <x v="6"/>
    <s v="FOURNISSEURS"/>
    <s v="SP"/>
    <n v="349"/>
    <d v="2025-11-28T00:00:00"/>
    <s v="RÈGLEMENT PAR CARTE SPENDESK"/>
    <m/>
    <e v="#N/A"/>
    <e v="#N/A"/>
    <n v="91561"/>
    <s v="13f71443-6c53-5a8c-809f-b798d2d14da7"/>
    <s v="SNCF"/>
    <s v="Q4"/>
    <e v="#REF!"/>
    <e v="#REF!"/>
    <e v="#REF!"/>
  </r>
  <r>
    <s v="401000"/>
    <x v="6"/>
    <s v="FOURNISSEURS"/>
    <s v="SP"/>
    <n v="349"/>
    <d v="2025-12-09T00:00:00"/>
    <s v="RÈGLEMENT PAR CARTE SPENDESK"/>
    <m/>
    <e v="#N/A"/>
    <e v="#N/A"/>
    <n v="94005"/>
    <s v="e572a8c4-7452-5103-8f98-5ab0688530c7"/>
    <s v="SNCF"/>
    <s v="Q4"/>
    <e v="#REF!"/>
    <e v="#REF!"/>
    <e v="#REF!"/>
  </r>
  <r>
    <s v="401000"/>
    <x v="6"/>
    <s v="FOURNISSEURS"/>
    <s v="SP"/>
    <n v="350.44"/>
    <d v="2025-10-08T00:00:00"/>
    <s v="RÈGLEMENT PAR CARTE SPENDESK"/>
    <m/>
    <e v="#N/A"/>
    <e v="#N/A"/>
    <n v="87640"/>
    <s v="M010580398"/>
    <s v="MANUTAN"/>
    <s v="Q4"/>
    <e v="#REF!"/>
    <e v="#REF!"/>
    <e v="#REF!"/>
  </r>
  <r>
    <s v="401000"/>
    <x v="6"/>
    <s v="FOURNISSEURS"/>
    <s v="SP"/>
    <n v="351.7"/>
    <d v="2025-09-11T00:00:00"/>
    <s v="RÈGLEMENT PAR CARTE SPENDESK"/>
    <m/>
    <e v="#N/A"/>
    <e v="#N/A"/>
    <n v="83087"/>
    <s v="23953b35-df4b-5e49-84e0-c8e19b59a5e0"/>
    <s v="GETAROUND"/>
    <s v="Q3"/>
    <e v="#REF!"/>
    <e v="#REF!"/>
    <e v="#REF!"/>
  </r>
  <r>
    <s v="401000"/>
    <x v="6"/>
    <s v="FOURNISSEURS"/>
    <s v="SP"/>
    <n v="354.95"/>
    <d v="2025-03-07T00:00:00"/>
    <s v="RÈGLEMENT PAR CARTE SPENDESK"/>
    <m/>
    <e v="#N/A"/>
    <e v="#N/A"/>
    <n v="66214"/>
    <s v="b73beb1d-2292-5e97-84df-cb4a5c5a9213"/>
    <s v="BRUNEAU"/>
    <s v="Q1"/>
    <e v="#REF!"/>
    <e v="#REF!"/>
    <e v="#REF!"/>
  </r>
  <r>
    <s v="401000"/>
    <x v="6"/>
    <s v="FOURNISSEURS"/>
    <s v="SP"/>
    <n v="360"/>
    <d v="2025-06-17T00:00:00"/>
    <s v="RÈGLEMENT PAR CARTE SPENDESK"/>
    <m/>
    <s v="Non"/>
    <s v="Oui"/>
    <n v="78097"/>
    <s v="f5596441-84af-5fb9-8a04-00f44b8bf225"/>
    <s v="BIOECONOMY FOR CHANGE"/>
    <s v="Q2"/>
    <e v="#REF!"/>
    <e v="#REF!"/>
    <e v="#REF!"/>
  </r>
  <r>
    <s v="401000"/>
    <x v="6"/>
    <s v="FOURNISSEURS"/>
    <s v="SP"/>
    <n v="360"/>
    <d v="2025-09-25T00:00:00"/>
    <s v="RÈGLEMENT PAR CARTE SPENDESK"/>
    <m/>
    <e v="#N/A"/>
    <e v="#N/A"/>
    <n v="83117"/>
    <s v="0648a750-5ac9-5766-8510-e31c81db58bc"/>
    <s v="BILLETWEB"/>
    <s v="Q3"/>
    <e v="#REF!"/>
    <e v="#REF!"/>
    <e v="#REF!"/>
  </r>
  <r>
    <s v="401000"/>
    <x v="6"/>
    <s v="FOURNISSEURS"/>
    <s v="SP"/>
    <n v="360"/>
    <d v="2025-11-04T00:00:00"/>
    <s v="RÈGLEMENT PAR CARTE SPENDESK"/>
    <m/>
    <e v="#N/A"/>
    <e v="#N/A"/>
    <n v="91499"/>
    <s v="37ed279b-ca0d-562c-b617-95fd1e94902f"/>
    <s v="YOUSIGN"/>
    <s v="Q4"/>
    <e v="#REF!"/>
    <e v="#REF!"/>
    <e v="#REF!"/>
  </r>
  <r>
    <s v="401000"/>
    <x v="6"/>
    <s v="FOURNISSEURS"/>
    <s v="SP"/>
    <n v="360.46"/>
    <d v="2025-04-11T00:00:00"/>
    <s v="RÈGLEMENT PAR CARTE SPENDESK"/>
    <m/>
    <e v="#N/A"/>
    <e v="#N/A"/>
    <n v="74687"/>
    <s v="71b530af-0c0a-5420-9094-bc1ec5bb2d0c"/>
    <s v="AVIS"/>
    <s v="Q2"/>
    <e v="#REF!"/>
    <e v="#REF!"/>
    <e v="#REF!"/>
  </r>
  <r>
    <s v="401000"/>
    <x v="6"/>
    <s v="FOURNISSEURS"/>
    <s v="SP"/>
    <n v="362.31"/>
    <d v="2025-03-14T00:00:00"/>
    <s v="RÈGLEMENT PAR CARTE SPENDESK"/>
    <m/>
    <s v="Non"/>
    <e v="#N/A"/>
    <n v="66232"/>
    <s v="bfe5bab9-9491-5ebf-80bf-fa4e1bf6e613"/>
    <s v="DIVERS"/>
    <s v="Q1"/>
    <e v="#REF!"/>
    <e v="#REF!"/>
    <e v="#REF!"/>
  </r>
  <r>
    <s v="401000"/>
    <x v="6"/>
    <s v="FOURNISSEURS"/>
    <s v="SP"/>
    <n v="376.96"/>
    <d v="2025-10-01T00:00:00"/>
    <s v="RÈGLEMENT PAR CARTE SPENDESK"/>
    <m/>
    <e v="#N/A"/>
    <e v="#N/A"/>
    <n v="87614"/>
    <s v="963486915"/>
    <s v="AVIS"/>
    <s v="Q4"/>
    <e v="#REF!"/>
    <e v="#REF!"/>
    <e v="#REF!"/>
  </r>
  <r>
    <s v="401000"/>
    <x v="6"/>
    <s v="FOURNISSEURS"/>
    <s v="SP"/>
    <n v="378"/>
    <d v="2025-09-25T00:00:00"/>
    <s v="RÈGLEMENT PAR CARTE SPENDESK"/>
    <m/>
    <e v="#N/A"/>
    <e v="#N/A"/>
    <n v="83119"/>
    <s v="d17b3700-cf16-569e-a0c5-1629769151de"/>
    <s v="HOTELS"/>
    <s v="Q3"/>
    <e v="#REF!"/>
    <e v="#REF!"/>
    <e v="#REF!"/>
  </r>
  <r>
    <s v="401000"/>
    <x v="6"/>
    <s v="FOURNISSEURS"/>
    <s v="SP"/>
    <n v="380"/>
    <d v="2025-09-26T00:00:00"/>
    <s v="RÈGLEMENT PAR CARTE SPENDESK"/>
    <m/>
    <e v="#N/A"/>
    <e v="#N/A"/>
    <n v="83123"/>
    <s v="4"/>
    <s v="SNCF"/>
    <s v="Q3"/>
    <e v="#REF!"/>
    <e v="#REF!"/>
    <e v="#REF!"/>
  </r>
  <r>
    <s v="401000"/>
    <x v="6"/>
    <s v="FOURNISSEURS"/>
    <s v="SP"/>
    <n v="380.53"/>
    <d v="2025-03-12T00:00:00"/>
    <s v="RÈGLEMENT PAR CARTE SPENDESK"/>
    <m/>
    <s v="Non"/>
    <e v="#N/A"/>
    <n v="66228"/>
    <s v="671d376b-e7ef-5eb9-92d4-043b6b22af9b"/>
    <s v="DIVERS"/>
    <s v="Q1"/>
    <e v="#REF!"/>
    <e v="#REF!"/>
    <e v="#REF!"/>
  </r>
  <r>
    <s v="401000"/>
    <x v="6"/>
    <s v="FOURNISSEURS"/>
    <s v="SP"/>
    <n v="391.51"/>
    <d v="2025-10-30T00:00:00"/>
    <s v="RÈGLEMENT PAR CARTE SPENDESK"/>
    <m/>
    <e v="#N/A"/>
    <e v="#N/A"/>
    <n v="87696"/>
    <s v="681587"/>
    <s v="INFORMA MARKETS"/>
    <s v="Q4"/>
    <e v="#REF!"/>
    <e v="#REF!"/>
    <e v="#REF!"/>
  </r>
  <r>
    <s v="401000"/>
    <x v="6"/>
    <s v="FOURNISSEURS"/>
    <s v="SP"/>
    <n v="396.6"/>
    <d v="2025-03-28T00:00:00"/>
    <s v="RÈGLEMENT PAR CARTE SPENDESK"/>
    <m/>
    <e v="#N/A"/>
    <e v="#N/A"/>
    <n v="66272"/>
    <s v="76109f6d-e578-5474-be45-79c365f05768"/>
    <s v="RS COMPONENT"/>
    <s v="Q1"/>
    <e v="#REF!"/>
    <e v="#REF!"/>
    <e v="#REF!"/>
  </r>
  <r>
    <s v="401000"/>
    <x v="6"/>
    <s v="FOURNISSEURS"/>
    <s v="SP"/>
    <n v="404.49"/>
    <d v="2025-10-30T00:00:00"/>
    <s v="RÈGLEMENT PAR CARTE SPENDESK"/>
    <m/>
    <e v="#N/A"/>
    <e v="#N/A"/>
    <n v="87694"/>
    <s v="051908870"/>
    <s v="BACKMARKET"/>
    <s v="Q4"/>
    <e v="#REF!"/>
    <e v="#REF!"/>
    <e v="#REF!"/>
  </r>
  <r>
    <s v="401000"/>
    <x v="6"/>
    <s v="FOURNISSEURS"/>
    <s v="SP"/>
    <n v="418.37"/>
    <d v="2025-11-25T00:00:00"/>
    <s v="RÈGLEMENT PAR CARTE SPENDESK"/>
    <m/>
    <e v="#N/A"/>
    <e v="#N/A"/>
    <n v="91549"/>
    <s v="FA038569"/>
    <s v="ARCANE INDUSTRIE"/>
    <s v="Q4"/>
    <e v="#REF!"/>
    <e v="#REF!"/>
    <e v="#REF!"/>
  </r>
  <r>
    <s v="401000"/>
    <x v="6"/>
    <s v="FOURNISSEURS"/>
    <s v="SP"/>
    <n v="418.37"/>
    <d v="2025-12-30T00:00:00"/>
    <s v="RÈGLEMENT PAR CARTE SPENDESK"/>
    <m/>
    <e v="#N/A"/>
    <e v="#N/A"/>
    <n v="94047"/>
    <s v="FA039092"/>
    <s v="ARCANE INDUSTRIE"/>
    <s v="Q4"/>
    <e v="#REF!"/>
    <e v="#REF!"/>
    <e v="#REF!"/>
  </r>
  <r>
    <s v="401000"/>
    <x v="6"/>
    <s v="FOURNISSEURS"/>
    <s v="SP"/>
    <n v="430.7"/>
    <d v="2025-09-11T00:00:00"/>
    <s v="RÈGLEMENT PAR CARTE SPENDESK"/>
    <m/>
    <e v="#N/A"/>
    <e v="#N/A"/>
    <n v="83089"/>
    <s v="de22c0f2-e232-5075-a76a-eab752d9db8d"/>
    <s v="GETAROUND"/>
    <s v="Q3"/>
    <e v="#REF!"/>
    <e v="#REF!"/>
    <e v="#REF!"/>
  </r>
  <r>
    <s v="401000"/>
    <x v="6"/>
    <s v="FOURNISSEURS"/>
    <s v="SP"/>
    <n v="447"/>
    <d v="2025-02-06T00:00:00"/>
    <s v="RÈGLEMENT PAR CARTE SPENDESK"/>
    <m/>
    <s v="Non"/>
    <e v="#N/A"/>
    <n v="64174"/>
    <s v="a7116b29-90ad-5842-ae2c-de357a42a495"/>
    <s v="DIVERS"/>
    <s v="Q1"/>
    <e v="#REF!"/>
    <e v="#REF!"/>
    <e v="#REF!"/>
  </r>
  <r>
    <s v="401000"/>
    <x v="6"/>
    <s v="FOURNISSEURS"/>
    <s v="SP"/>
    <n v="465.82"/>
    <d v="2025-11-06T00:00:00"/>
    <s v="RÈGLEMENT PAR CARTE SPENDESK"/>
    <m/>
    <e v="#N/A"/>
    <e v="#N/A"/>
    <n v="91513"/>
    <s v="ec60992e-d474-5d4c-8ea0-58901fbff27f"/>
    <s v="AIRBNB"/>
    <s v="Q4"/>
    <e v="#REF!"/>
    <e v="#REF!"/>
    <e v="#REF!"/>
  </r>
  <r>
    <s v="401000"/>
    <x v="6"/>
    <s v="FOURNISSEURS"/>
    <s v="SP"/>
    <n v="474.75"/>
    <d v="2025-09-26T00:00:00"/>
    <s v="RÈGLEMENT PAR CARTE SPENDESK"/>
    <m/>
    <e v="#N/A"/>
    <e v="#N/A"/>
    <n v="83129"/>
    <s v="225004446141"/>
    <s v="AIRLINES"/>
    <s v="Q3"/>
    <e v="#REF!"/>
    <e v="#REF!"/>
    <e v="#REF!"/>
  </r>
  <r>
    <s v="401000"/>
    <x v="6"/>
    <s v="FOURNISSEURS"/>
    <s v="SP"/>
    <n v="483.95"/>
    <d v="2025-09-19T00:00:00"/>
    <s v="RÈGLEMENT PAR CARTE SPENDESK"/>
    <m/>
    <e v="#N/A"/>
    <e v="#N/A"/>
    <n v="83107"/>
    <s v="15d34d06-1da2-50bf-adcb-79d4affe16be"/>
    <s v="AIR FRANCE"/>
    <s v="Q3"/>
    <e v="#REF!"/>
    <e v="#REF!"/>
    <e v="#REF!"/>
  </r>
  <r>
    <s v="401000"/>
    <x v="6"/>
    <s v="FOURNISSEURS"/>
    <s v="SP"/>
    <n v="491.92"/>
    <d v="2025-09-18T00:00:00"/>
    <s v="RÈGLEMENT PAR CARTE SPENDESK"/>
    <m/>
    <e v="#N/A"/>
    <e v="#N/A"/>
    <n v="83105"/>
    <s v="5b886491-0d60-569d-b8c7-1c686ca52fa6"/>
    <s v="INTERMARCHE"/>
    <s v="Q3"/>
    <e v="#REF!"/>
    <e v="#REF!"/>
    <e v="#REF!"/>
  </r>
  <r>
    <s v="401000"/>
    <x v="6"/>
    <s v="FOURNISSEURS"/>
    <s v="SP"/>
    <n v="509.43"/>
    <d v="2025-01-24T00:00:00"/>
    <s v="RÈGLEMENT PAR CARTE SPENDESK"/>
    <m/>
    <s v="Non"/>
    <e v="#N/A"/>
    <n v="60013"/>
    <s v="60"/>
    <s v="DIVERS"/>
    <s v="Q1"/>
    <e v="#REF!"/>
    <e v="#REF!"/>
    <e v="#REF!"/>
  </r>
  <r>
    <s v="401000"/>
    <x v="6"/>
    <s v="FOURNISSEURS"/>
    <s v="SP"/>
    <n v="530.49"/>
    <d v="2025-09-11T00:00:00"/>
    <s v="RÈGLEMENT PAR CARTE SPENDESK"/>
    <m/>
    <e v="#N/A"/>
    <e v="#N/A"/>
    <n v="83083"/>
    <s v="6fd13b02-82f2-5c33-9321-2132f92604fd"/>
    <s v="AIRBNB"/>
    <s v="Q3"/>
    <e v="#REF!"/>
    <e v="#REF!"/>
    <e v="#REF!"/>
  </r>
  <r>
    <s v="401000"/>
    <x v="6"/>
    <s v="FOURNISSEURS"/>
    <s v="SP"/>
    <n v="543"/>
    <d v="2025-11-06T00:00:00"/>
    <s v="RÈGLEMENT PAR CARTE SPENDESK"/>
    <m/>
    <e v="#N/A"/>
    <e v="#N/A"/>
    <n v="91509"/>
    <s v="33a6eba9-abba-57cb-a07f-9533ac167799"/>
    <s v="SNCF"/>
    <s v="Q4"/>
    <e v="#REF!"/>
    <e v="#REF!"/>
    <e v="#REF!"/>
  </r>
  <r>
    <s v="401000"/>
    <x v="6"/>
    <s v="FOURNISSEURS"/>
    <s v="SP"/>
    <n v="561.89"/>
    <d v="2025-02-22T00:00:00"/>
    <s v="RÈGLEMENT PAR CARTE SPENDESK"/>
    <m/>
    <e v="#N/A"/>
    <e v="#N/A"/>
    <n v="64230"/>
    <s v="5"/>
    <s v="MANUTAN"/>
    <s v="Q1"/>
    <e v="#REF!"/>
    <e v="#REF!"/>
    <e v="#REF!"/>
  </r>
  <r>
    <s v="401000"/>
    <x v="6"/>
    <s v="FOURNISSEURS"/>
    <s v="SP"/>
    <n v="563.88"/>
    <d v="2025-06-28T00:00:00"/>
    <s v="RÈGLEMENT PAR CARTE SPENDESK"/>
    <m/>
    <e v="#N/A"/>
    <e v="#N/A"/>
    <n v="78123"/>
    <s v="c9ea72b8-0f48-5f03-8932-5fb74db20359"/>
    <s v="ARCANE INDUSTRIE"/>
    <s v="Q2"/>
    <e v="#REF!"/>
    <e v="#REF!"/>
    <e v="#REF!"/>
  </r>
  <r>
    <s v="401000"/>
    <x v="6"/>
    <s v="FOURNISSEURS"/>
    <s v="SP"/>
    <n v="566.26"/>
    <d v="2025-11-27T00:00:00"/>
    <s v="RÈGLEMENT PAR CARTE SPENDESK"/>
    <m/>
    <e v="#N/A"/>
    <e v="#N/A"/>
    <n v="91559"/>
    <s v="RC3Z9J494Z"/>
    <s v="AIRBNB"/>
    <s v="Q4"/>
    <e v="#REF!"/>
    <e v="#REF!"/>
    <e v="#REF!"/>
  </r>
  <r>
    <s v="401000"/>
    <x v="6"/>
    <s v="FOURNISSEURS"/>
    <s v="SP"/>
    <n v="567"/>
    <d v="2025-04-10T00:00:00"/>
    <s v="RÈGLEMENT PAR CARTE SPENDESK"/>
    <m/>
    <e v="#N/A"/>
    <e v="#N/A"/>
    <n v="74681"/>
    <s v="e3aec1c3-f9f9-5d64-9f33-c9088d01f4a9"/>
    <s v="BOOKING"/>
    <s v="Q2"/>
    <e v="#REF!"/>
    <e v="#REF!"/>
    <e v="#REF!"/>
  </r>
  <r>
    <s v="401000"/>
    <x v="6"/>
    <s v="FOURNISSEURS"/>
    <s v="SP"/>
    <n v="568.70000000000005"/>
    <d v="2025-01-16T00:00:00"/>
    <s v="RÈGLEMENT PAR CARTE SPENDESK"/>
    <m/>
    <s v="Non"/>
    <e v="#N/A"/>
    <n v="59989"/>
    <s v="34"/>
    <s v="DIVERS"/>
    <s v="Q1"/>
    <e v="#REF!"/>
    <e v="#REF!"/>
    <e v="#REF!"/>
  </r>
  <r>
    <s v="401000"/>
    <x v="6"/>
    <s v="FOURNISSEURS"/>
    <s v="SP"/>
    <n v="579.08000000000004"/>
    <d v="2025-04-09T00:00:00"/>
    <s v="RÈGLEMENT PAR CARTE SPENDESK"/>
    <m/>
    <e v="#N/A"/>
    <e v="#N/A"/>
    <n v="74675"/>
    <s v="14d5b81b-f408-5ac4-8ba6-8582b1904526"/>
    <s v="MANUTAN"/>
    <s v="Q2"/>
    <e v="#REF!"/>
    <e v="#REF!"/>
    <e v="#REF!"/>
  </r>
  <r>
    <s v="401000"/>
    <x v="6"/>
    <s v="FOURNISSEURS"/>
    <s v="SP"/>
    <n v="597.6"/>
    <d v="2025-09-12T00:00:00"/>
    <s v="RÈGLEMENT PAR CARTE SPENDESK"/>
    <m/>
    <e v="#N/A"/>
    <e v="#N/A"/>
    <n v="83093"/>
    <s v="44565257-4a4b-5610-862c-7fa569ac820d"/>
    <s v="ARCANE INDUSTRIE"/>
    <s v="Q3"/>
    <e v="#REF!"/>
    <e v="#REF!"/>
    <e v="#REF!"/>
  </r>
  <r>
    <s v="401000"/>
    <x v="6"/>
    <s v="FOURNISSEURS"/>
    <s v="SP"/>
    <n v="598.1"/>
    <d v="2025-04-11T00:00:00"/>
    <s v="RÈGLEMENT PAR CARTE SPENDESK"/>
    <m/>
    <e v="#N/A"/>
    <e v="#N/A"/>
    <n v="74685"/>
    <s v="25c75b32-42f6-5676-a719-2a647dba6f0c"/>
    <s v="LUFTHANSA"/>
    <s v="Q2"/>
    <e v="#REF!"/>
    <e v="#REF!"/>
    <e v="#REF!"/>
  </r>
  <r>
    <s v="401000"/>
    <x v="6"/>
    <s v="FOURNISSEURS"/>
    <s v="SP"/>
    <n v="598.1"/>
    <d v="2025-04-11T00:00:00"/>
    <s v="RÈGLEMENT PAR CARTE SPENDESK"/>
    <m/>
    <e v="#N/A"/>
    <e v="#N/A"/>
    <n v="74691"/>
    <s v="4d263b52-7fac-5654-9143-bacdcd5d2089"/>
    <s v="LUFTHANSA"/>
    <s v="Q2"/>
    <e v="#REF!"/>
    <e v="#REF!"/>
    <e v="#REF!"/>
  </r>
  <r>
    <s v="401000"/>
    <x v="6"/>
    <s v="FOURNISSEURS"/>
    <s v="SP"/>
    <n v="614.4"/>
    <d v="2025-02-08T00:00:00"/>
    <s v="RÈGLEMENT PAR CARTE SPENDESK"/>
    <m/>
    <e v="#N/A"/>
    <e v="#N/A"/>
    <n v="64188"/>
    <s v="9ce17bb2-251e-5dcf-b9e8-219749c41025"/>
    <s v="ARCANE INDUSTRIE"/>
    <s v="Q1"/>
    <e v="#REF!"/>
    <e v="#REF!"/>
    <e v="#REF!"/>
  </r>
  <r>
    <s v="401000"/>
    <x v="6"/>
    <s v="FOURNISSEURS"/>
    <s v="SP"/>
    <n v="644.83000000000004"/>
    <d v="2025-01-09T00:00:00"/>
    <s v="RÈGLEMENT PAR CARTE SPENDESK"/>
    <m/>
    <e v="#N/A"/>
    <e v="#N/A"/>
    <n v="59983"/>
    <s v="bbbdff27-f4e2-5666-bf0c-a256e647bd7c"/>
    <s v="DENIOS"/>
    <s v="Q1"/>
    <e v="#REF!"/>
    <e v="#REF!"/>
    <e v="#REF!"/>
  </r>
  <r>
    <s v="401000"/>
    <x v="6"/>
    <s v="FOURNISSEURS"/>
    <s v="SP"/>
    <n v="660"/>
    <d v="2025-10-03T00:00:00"/>
    <s v="RÈGLEMENT PAR CARTE SPENDESK"/>
    <m/>
    <e v="#N/A"/>
    <e v="#N/A"/>
    <n v="87628"/>
    <s v="7"/>
    <s v="HOTELS"/>
    <s v="Q4"/>
    <e v="#REF!"/>
    <e v="#REF!"/>
    <e v="#REF!"/>
  </r>
  <r>
    <s v="401000"/>
    <x v="6"/>
    <s v="FOURNISSEURS"/>
    <s v="SP"/>
    <n v="696.42"/>
    <d v="2025-03-12T00:00:00"/>
    <s v="RÈGLEMENT PAR CARTE SPENDESK"/>
    <m/>
    <s v="Non"/>
    <e v="#N/A"/>
    <n v="66226"/>
    <s v="47188329-0431-5a5f-949b-9d87729eea8c"/>
    <s v="DIVERS"/>
    <s v="Q1"/>
    <e v="#REF!"/>
    <e v="#REF!"/>
    <e v="#REF!"/>
  </r>
  <r>
    <s v="401000"/>
    <x v="6"/>
    <s v="FOURNISSEURS"/>
    <s v="SP"/>
    <n v="721"/>
    <d v="2025-04-25T00:00:00"/>
    <s v="RÈGLEMENT PAR CARTE SPENDESK"/>
    <m/>
    <e v="#N/A"/>
    <e v="#N/A"/>
    <n v="74713"/>
    <s v="7d4d14b1-d19b-5f2f-b42d-e0b2f02e27ea"/>
    <s v="SNCF"/>
    <s v="Q2"/>
    <e v="#REF!"/>
    <e v="#REF!"/>
    <e v="#REF!"/>
  </r>
  <r>
    <s v="401000"/>
    <x v="6"/>
    <s v="FOURNISSEURS"/>
    <s v="SP"/>
    <n v="747.97"/>
    <d v="2025-01-23T00:00:00"/>
    <s v="RÈGLEMENT PAR CARTE SPENDESK"/>
    <m/>
    <s v="Non"/>
    <e v="#N/A"/>
    <n v="60005"/>
    <s v="9282"/>
    <s v="DIVERS"/>
    <s v="Q1"/>
    <e v="#REF!"/>
    <e v="#REF!"/>
    <e v="#REF!"/>
  </r>
  <r>
    <s v="401000"/>
    <x v="6"/>
    <s v="FOURNISSEURS"/>
    <s v="SP"/>
    <n v="760.57"/>
    <d v="2025-03-04T00:00:00"/>
    <s v="RÈGLEMENT PAR CARTE SPENDESK"/>
    <m/>
    <s v="Non"/>
    <e v="#N/A"/>
    <n v="66200"/>
    <s v="0eb7d4ae-d718-5b46-b1ca-ff699ef7cd40"/>
    <s v="DIVERS"/>
    <s v="Q1"/>
    <e v="#REF!"/>
    <e v="#REF!"/>
    <e v="#REF!"/>
  </r>
  <r>
    <s v="401000"/>
    <x v="6"/>
    <s v="FOURNISSEURS"/>
    <s v="SP"/>
    <n v="770.24"/>
    <d v="2025-09-03T00:00:00"/>
    <s v="RÈGLEMENT PAR CARTE SPENDESK"/>
    <m/>
    <e v="#N/A"/>
    <e v="#N/A"/>
    <n v="83051"/>
    <s v="f177f840-60c3-5276-ba1a-4430a0bbec15"/>
    <s v="AIR FRANCE"/>
    <s v="Q3"/>
    <e v="#REF!"/>
    <e v="#REF!"/>
    <e v="#REF!"/>
  </r>
  <r>
    <s v="401000"/>
    <x v="6"/>
    <s v="FOURNISSEURS"/>
    <s v="SP"/>
    <n v="778.8"/>
    <d v="2025-01-02T00:00:00"/>
    <s v="RÈGLEMENT PAR CARTE SPENDESK"/>
    <m/>
    <e v="#N/A"/>
    <e v="#N/A"/>
    <n v="59961"/>
    <s v="e3fd495e-866a-5565-a78b-c18bec862be3"/>
    <s v="SPENDESK"/>
    <s v="Q1"/>
    <e v="#REF!"/>
    <e v="#REF!"/>
    <e v="#REF!"/>
  </r>
  <r>
    <s v="401000"/>
    <x v="6"/>
    <s v="FOURNISSEURS"/>
    <s v="SP"/>
    <n v="778.8"/>
    <d v="2025-02-04T00:00:00"/>
    <s v="RÈGLEMENT PAR CARTE SPENDESK"/>
    <m/>
    <e v="#N/A"/>
    <e v="#N/A"/>
    <n v="64166"/>
    <s v="e95a43e0-12fe-5752-8cc7-5ee7f868efc6"/>
    <s v="SPENDESK"/>
    <s v="Q1"/>
    <e v="#REF!"/>
    <e v="#REF!"/>
    <e v="#REF!"/>
  </r>
  <r>
    <s v="401000"/>
    <x v="6"/>
    <s v="FOURNISSEURS"/>
    <s v="SP"/>
    <n v="778.8"/>
    <d v="2025-03-04T00:00:00"/>
    <s v="RÈGLEMENT PAR CARTE SPENDESK"/>
    <m/>
    <e v="#N/A"/>
    <e v="#N/A"/>
    <n v="66204"/>
    <s v="4062108d-1f83-5fc3-ac9e-0c1fcf9e8f02"/>
    <s v="SPENDESK"/>
    <s v="Q1"/>
    <e v="#REF!"/>
    <e v="#REF!"/>
    <e v="#REF!"/>
  </r>
  <r>
    <s v="401000"/>
    <x v="6"/>
    <s v="FOURNISSEURS"/>
    <s v="SP"/>
    <n v="778.8"/>
    <d v="2025-04-02T00:00:00"/>
    <s v="RÈGLEMENT PAR CARTE SPENDESK"/>
    <m/>
    <e v="#N/A"/>
    <e v="#N/A"/>
    <n v="74651"/>
    <s v="30b7ef54-b190-512c-82a9-28e87982c722"/>
    <s v="SPENDESK"/>
    <s v="Q2"/>
    <e v="#REF!"/>
    <e v="#REF!"/>
    <e v="#REF!"/>
  </r>
  <r>
    <s v="401000"/>
    <x v="6"/>
    <s v="FOURNISSEURS"/>
    <s v="SP"/>
    <n v="778.8"/>
    <d v="2025-05-02T00:00:00"/>
    <s v="RÈGLEMENT PAR CARTE SPENDESK"/>
    <m/>
    <e v="#N/A"/>
    <e v="#N/A"/>
    <n v="75031"/>
    <s v="f151f2c7-ea86-56de-84b4-1487261b1cdf"/>
    <s v="SPENDESK"/>
    <s v="Q2"/>
    <e v="#REF!"/>
    <e v="#REF!"/>
    <e v="#REF!"/>
  </r>
  <r>
    <s v="401000"/>
    <x v="6"/>
    <s v="FOURNISSEURS"/>
    <s v="SP"/>
    <n v="778.8"/>
    <d v="2025-06-05T00:00:00"/>
    <s v="RÈGLEMENT PAR CARTE SPENDESK"/>
    <m/>
    <e v="#N/A"/>
    <e v="#N/A"/>
    <n v="78075"/>
    <s v="49bdd097-18ee-53fc-88f7-b034b7061d4a"/>
    <s v="SPENDESK"/>
    <s v="Q2"/>
    <e v="#REF!"/>
    <e v="#REF!"/>
    <e v="#REF!"/>
  </r>
  <r>
    <s v="401000"/>
    <x v="6"/>
    <s v="FOURNISSEURS"/>
    <s v="SP"/>
    <n v="778.8"/>
    <d v="2025-07-02T00:00:00"/>
    <s v="RÈGLEMENT PAR CARTE SPENDESK"/>
    <m/>
    <e v="#N/A"/>
    <e v="#N/A"/>
    <n v="80908"/>
    <s v="e1a95bc7-ab80-5b8f-a004-4ad6760b133f"/>
    <s v="SPENDESK"/>
    <s v="Q3"/>
    <e v="#REF!"/>
    <e v="#REF!"/>
    <e v="#REF!"/>
  </r>
  <r>
    <s v="401000"/>
    <x v="6"/>
    <s v="FOURNISSEURS"/>
    <s v="SP"/>
    <n v="778.8"/>
    <d v="2025-08-05T00:00:00"/>
    <s v="RÈGLEMENT PAR CARTE SPENDESK"/>
    <m/>
    <e v="#N/A"/>
    <e v="#N/A"/>
    <n v="83203"/>
    <s v="86423e38-1363-5c52-9a72-96732e54dd12"/>
    <s v="SPENDESK"/>
    <s v="Q3"/>
    <e v="#REF!"/>
    <e v="#REF!"/>
    <e v="#REF!"/>
  </r>
  <r>
    <s v="401000"/>
    <x v="6"/>
    <s v="FOURNISSEURS"/>
    <s v="SP"/>
    <n v="778.8"/>
    <d v="2025-09-02T00:00:00"/>
    <s v="RÈGLEMENT PAR CARTE SPENDESK"/>
    <m/>
    <e v="#N/A"/>
    <e v="#N/A"/>
    <n v="83045"/>
    <s v="d95d79d7-02da-5b89-9001-c7179a318a4e"/>
    <s v="SPENDESK"/>
    <s v="Q3"/>
    <e v="#REF!"/>
    <e v="#REF!"/>
    <e v="#REF!"/>
  </r>
  <r>
    <s v="401000"/>
    <x v="6"/>
    <s v="FOURNISSEURS"/>
    <s v="SP"/>
    <n v="778.8"/>
    <d v="2025-10-02T00:00:00"/>
    <s v="RÈGLEMENT PAR CARTE SPENDESK"/>
    <m/>
    <e v="#N/A"/>
    <e v="#N/A"/>
    <n v="87620"/>
    <s v="6eb11db7-5c35-5961-9a15-e313cfec3617"/>
    <s v="SPENDESK"/>
    <s v="Q4"/>
    <e v="#REF!"/>
    <e v="#REF!"/>
    <e v="#REF!"/>
  </r>
  <r>
    <s v="401000"/>
    <x v="6"/>
    <s v="FOURNISSEURS"/>
    <s v="SP"/>
    <n v="778.8"/>
    <d v="2025-11-04T00:00:00"/>
    <s v="RÈGLEMENT PAR CARTE SPENDESK"/>
    <m/>
    <e v="#N/A"/>
    <e v="#N/A"/>
    <n v="91501"/>
    <s v="fb623519-20b1-53ab-ae75-f44c5b37444c"/>
    <s v="SPENDESK"/>
    <s v="Q4"/>
    <e v="#REF!"/>
    <e v="#REF!"/>
    <e v="#REF!"/>
  </r>
  <r>
    <s v="401000"/>
    <x v="6"/>
    <s v="FOURNISSEURS"/>
    <s v="SP"/>
    <n v="778.8"/>
    <d v="2025-12-02T00:00:00"/>
    <s v="RÈGLEMENT PAR CARTE SPENDESK"/>
    <m/>
    <e v="#N/A"/>
    <e v="#N/A"/>
    <n v="93985"/>
    <s v="31c0650d-4f10-5ff5-b7e5-6bff617ab514"/>
    <s v="SPENDESK"/>
    <s v="Q4"/>
    <e v="#REF!"/>
    <e v="#REF!"/>
    <e v="#REF!"/>
  </r>
  <r>
    <s v="401000"/>
    <x v="6"/>
    <s v="FOURNISSEURS"/>
    <s v="SP"/>
    <n v="800.84"/>
    <d v="2025-01-25T00:00:00"/>
    <s v="RÈGLEMENT PAR CARTE SPENDESK"/>
    <m/>
    <e v="#N/A"/>
    <e v="#N/A"/>
    <n v="60017"/>
    <s v="61"/>
    <s v="AIR FRANCE"/>
    <s v="Q1"/>
    <e v="#REF!"/>
    <e v="#REF!"/>
    <e v="#REF!"/>
  </r>
  <r>
    <s v="401000"/>
    <x v="6"/>
    <s v="FOURNISSEURS"/>
    <s v="SP"/>
    <n v="800.84"/>
    <d v="2025-01-25T00:00:00"/>
    <s v="RÈGLEMENT PAR CARTE SPENDESK"/>
    <m/>
    <e v="#N/A"/>
    <e v="#N/A"/>
    <n v="60019"/>
    <s v="62"/>
    <s v="AIR FRANCE"/>
    <s v="Q1"/>
    <e v="#REF!"/>
    <e v="#REF!"/>
    <e v="#REF!"/>
  </r>
  <r>
    <s v="401000"/>
    <x v="6"/>
    <s v="FOURNISSEURS"/>
    <s v="SP"/>
    <n v="859.07"/>
    <d v="2025-08-01T00:00:00"/>
    <s v="RÈGLEMENT PAR CARTE SPENDESK"/>
    <m/>
    <e v="#N/A"/>
    <e v="#N/A"/>
    <n v="83189"/>
    <s v="d41f740d-88da-5319-bc7c-98be296614df"/>
    <s v="MAXOUTILS"/>
    <s v="Q3"/>
    <e v="#REF!"/>
    <e v="#REF!"/>
    <e v="#REF!"/>
  </r>
  <r>
    <s v="401000"/>
    <x v="6"/>
    <s v="FOURNISSEURS"/>
    <s v="SP"/>
    <n v="908.56"/>
    <d v="2025-09-26T00:00:00"/>
    <s v="RÈGLEMENT PAR CARTE SPENDESK"/>
    <m/>
    <e v="#N/A"/>
    <e v="#N/A"/>
    <n v="83127"/>
    <s v="1b2732dc-3abb-5b5a-a75e-b7c86eaef540"/>
    <s v="AIRLINES"/>
    <s v="Q3"/>
    <e v="#REF!"/>
    <e v="#REF!"/>
    <e v="#REF!"/>
  </r>
  <r>
    <s v="401000"/>
    <x v="6"/>
    <s v="FOURNISSEURS"/>
    <s v="SP"/>
    <n v="1044"/>
    <d v="2025-07-31T00:00:00"/>
    <s v="RÈGLEMENT PAR CARTE SPENDESK"/>
    <m/>
    <e v="#N/A"/>
    <e v="#N/A"/>
    <n v="80958"/>
    <s v="daf806d3-6415-5a68-96a1-87e3214357eb"/>
    <s v="SNCF"/>
    <s v="Q3"/>
    <e v="#REF!"/>
    <e v="#REF!"/>
    <e v="#REF!"/>
  </r>
  <r>
    <s v="401000"/>
    <x v="6"/>
    <s v="FOURNISSEURS"/>
    <s v="SP"/>
    <n v="1243.02"/>
    <d v="2025-03-03T00:00:00"/>
    <s v="RÈGLEMENT PAR CARTE SPENDESK"/>
    <m/>
    <e v="#N/A"/>
    <e v="#N/A"/>
    <n v="66198"/>
    <s v="5c270067-8ad9-510b-a712-9318a205f219"/>
    <s v="AIR FRANCE"/>
    <s v="Q1"/>
    <e v="#REF!"/>
    <e v="#REF!"/>
    <e v="#REF!"/>
  </r>
  <r>
    <s v="401000"/>
    <x v="6"/>
    <s v="FOURNISSEURS"/>
    <s v="SP"/>
    <n v="1265.82"/>
    <d v="2025-03-13T00:00:00"/>
    <s v="RÈGLEMENT PAR CARTE SPENDESK"/>
    <m/>
    <s v="Non"/>
    <e v="#N/A"/>
    <n v="66230"/>
    <s v="7d20bb5a-73e2-5a4b-9003-3363381ee9e4"/>
    <s v="DIVERS"/>
    <s v="Q1"/>
    <e v="#REF!"/>
    <e v="#REF!"/>
    <e v="#REF!"/>
  </r>
  <r>
    <s v="401000"/>
    <x v="6"/>
    <s v="FOURNISSEURS"/>
    <s v="SP"/>
    <n v="1356.48"/>
    <d v="2025-02-15T00:00:00"/>
    <s v="RÈGLEMENT PAR CARTE SPENDESK"/>
    <m/>
    <e v="#N/A"/>
    <e v="#N/A"/>
    <n v="64214"/>
    <s v="6c1c9d17-289b-501c-9e7d-a93fbfd95754"/>
    <s v="MANUTAN"/>
    <s v="Q1"/>
    <e v="#REF!"/>
    <e v="#REF!"/>
    <e v="#REF!"/>
  </r>
  <r>
    <s v="401000"/>
    <x v="6"/>
    <s v="FOURNISSEURS"/>
    <s v="SP"/>
    <n v="1548.62"/>
    <d v="2025-03-21T00:00:00"/>
    <s v="RÈGLEMENT PAR CARTE SPENDESK"/>
    <m/>
    <e v="#N/A"/>
    <e v="#N/A"/>
    <n v="66260"/>
    <s v="cc418b0c-3f0e-5f11-b09a-7f7e48ec8a39"/>
    <s v="AIR FRANCE"/>
    <s v="Q1"/>
    <e v="#REF!"/>
    <e v="#REF!"/>
    <e v="#REF!"/>
  </r>
  <r>
    <s v="401000"/>
    <x v="6"/>
    <s v="FOURNISSEURS"/>
    <s v="SP"/>
    <n v="1579.77"/>
    <d v="2025-04-11T00:00:00"/>
    <s v="RÈGLEMENT PAR CARTE SPENDESK"/>
    <m/>
    <e v="#N/A"/>
    <e v="#N/A"/>
    <n v="74689"/>
    <s v="44c03823-2083-5539-958d-9a5d9a6d5e93"/>
    <s v="AIR FRANCE"/>
    <s v="Q2"/>
    <e v="#REF!"/>
    <e v="#REF!"/>
    <e v="#REF!"/>
  </r>
  <r>
    <s v="401000"/>
    <x v="6"/>
    <s v="FOURNISSEURS"/>
    <s v="SP"/>
    <n v="1582.5"/>
    <d v="2025-06-15T00:00:00"/>
    <s v="RÈGLEMENT PAR CARTE SPENDESK"/>
    <m/>
    <e v="#N/A"/>
    <e v="#N/A"/>
    <n v="78093"/>
    <s v="31d3e048-479d-5b5e-bb30-b8858b9ad27c"/>
    <s v="GREENDELTA"/>
    <s v="Q2"/>
    <e v="#REF!"/>
    <e v="#REF!"/>
    <e v="#REF!"/>
  </r>
  <r>
    <s v="401000"/>
    <x v="6"/>
    <s v="FOURNISSEURS"/>
    <s v="SP"/>
    <n v="1619.08"/>
    <d v="2025-03-21T00:00:00"/>
    <s v="RÈGLEMENT PAR CARTE SPENDESK"/>
    <m/>
    <e v="#N/A"/>
    <e v="#N/A"/>
    <n v="66256"/>
    <s v="AFFR0025307613"/>
    <s v="AIR FRANCE"/>
    <s v="Q1"/>
    <e v="#REF!"/>
    <e v="#REF!"/>
    <e v="#REF!"/>
  </r>
  <r>
    <s v="401000"/>
    <x v="6"/>
    <s v="FOURNISSEURS"/>
    <s v="SP"/>
    <n v="2214"/>
    <d v="2025-03-14T00:00:00"/>
    <s v="RÈGLEMENT PAR CARTE SPENDESK"/>
    <m/>
    <e v="#N/A"/>
    <e v="#N/A"/>
    <n v="66234"/>
    <s v="d7b5f5de-544c-53dd-a4cf-66c916d64233"/>
    <s v="ARCANE INDUSTRIE"/>
    <s v="Q1"/>
    <e v="#REF!"/>
    <e v="#REF!"/>
    <e v="#REF!"/>
  </r>
  <r>
    <s v="401000"/>
    <x v="6"/>
    <s v="FOURNISSEURS"/>
    <s v="SP"/>
    <n v="2657.84"/>
    <d v="2025-02-15T00:00:00"/>
    <s v="RÈGLEMENT PAR CARTE SPENDESK"/>
    <m/>
    <s v="Non"/>
    <e v="#N/A"/>
    <n v="64212"/>
    <s v="e76492ed-9c30-551b-9da8-b886fcab2325"/>
    <s v="DIVERS"/>
    <s v="Q1"/>
    <e v="#REF!"/>
    <e v="#REF!"/>
    <e v="#REF!"/>
  </r>
  <r>
    <s v="401000"/>
    <x v="6"/>
    <s v="FOURNISSEURS"/>
    <s v="TVA"/>
    <n v="-1"/>
    <d v="2025-03-31T00:00:00"/>
    <s v="TVA Intracom"/>
    <s v="Non"/>
    <e v="#N/A"/>
    <e v="#N/A"/>
    <n v="68220"/>
    <s v="91250008"/>
    <s v="BIOTIKA"/>
    <s v="Q1"/>
    <e v="#REF!"/>
    <e v="#REF!"/>
    <e v="#REF!"/>
  </r>
  <r>
    <s v="401000"/>
    <x v="6"/>
    <s v="FOURNISSEURS"/>
    <s v="TVA"/>
    <n v="-1"/>
    <d v="2025-03-31T00:00:00"/>
    <s v="TVA Intracom"/>
    <s v="Non"/>
    <e v="#N/A"/>
    <e v="#N/A"/>
    <n v="68223"/>
    <s v="91250018"/>
    <s v="ZDHC Gateway B.V."/>
    <s v="Q1"/>
    <e v="#REF!"/>
    <e v="#REF!"/>
    <e v="#REF!"/>
  </r>
  <r>
    <s v="401000"/>
    <x v="6"/>
    <s v="FOURNISSEURS"/>
    <s v="TVA"/>
    <n v="-1"/>
    <d v="2025-03-31T00:00:00"/>
    <s v="TVA Intracom"/>
    <m/>
    <e v="#N/A"/>
    <e v="#N/A"/>
    <n v="68227"/>
    <m/>
    <s v="SHOPIFY"/>
    <s v="Q1"/>
    <e v="#REF!"/>
    <e v="#REF!"/>
    <e v="#REF!"/>
  </r>
  <r>
    <s v="401000"/>
    <x v="6"/>
    <s v="FOURNISSEURS"/>
    <s v="TVA"/>
    <n v="-1"/>
    <d v="2025-03-31T00:00:00"/>
    <s v="TVA Intracom"/>
    <m/>
    <e v="#N/A"/>
    <e v="#N/A"/>
    <n v="68231"/>
    <m/>
    <s v="ADOBE"/>
    <s v="Q1"/>
    <e v="#REF!"/>
    <e v="#REF!"/>
    <e v="#REF!"/>
  </r>
  <r>
    <s v="401000"/>
    <x v="6"/>
    <s v="FOURNISSEURS"/>
    <s v="TVA"/>
    <n v="-1"/>
    <d v="2025-03-31T00:00:00"/>
    <s v="TVA Intracom"/>
    <m/>
    <e v="#N/A"/>
    <e v="#N/A"/>
    <n v="68235"/>
    <m/>
    <s v="COOKIEBOT"/>
    <s v="Q1"/>
    <e v="#REF!"/>
    <e v="#REF!"/>
    <e v="#REF!"/>
  </r>
  <r>
    <s v="401000"/>
    <x v="6"/>
    <s v="FOURNISSEURS"/>
    <s v="TVA"/>
    <n v="-1"/>
    <d v="2025-03-31T00:00:00"/>
    <s v="TVA Intracom"/>
    <m/>
    <e v="#N/A"/>
    <e v="#N/A"/>
    <n v="68239"/>
    <m/>
    <s v="TCI"/>
    <s v="Q1"/>
    <e v="#REF!"/>
    <e v="#REF!"/>
    <e v="#REF!"/>
  </r>
  <r>
    <s v="401000"/>
    <x v="6"/>
    <s v="FOURNISSEURS"/>
    <s v="TVA"/>
    <n v="-1"/>
    <d v="2025-03-31T00:00:00"/>
    <s v="TVA Intracom"/>
    <m/>
    <e v="#N/A"/>
    <e v="#N/A"/>
    <n v="68243"/>
    <m/>
    <s v="BLD PHARMATECH"/>
    <s v="Q1"/>
    <e v="#REF!"/>
    <e v="#REF!"/>
    <e v="#REF!"/>
  </r>
  <r>
    <s v="401000"/>
    <x v="6"/>
    <s v="FOURNISSEURS"/>
    <s v="TVA"/>
    <n v="1"/>
    <d v="2025-03-31T00:00:00"/>
    <s v="TVA Intracom"/>
    <s v="Non"/>
    <e v="#N/A"/>
    <e v="#N/A"/>
    <n v="68219"/>
    <s v="91250008"/>
    <s v="BIOTIKA"/>
    <s v="Q1"/>
    <e v="#REF!"/>
    <e v="#REF!"/>
    <e v="#REF!"/>
  </r>
  <r>
    <s v="401000"/>
    <x v="6"/>
    <s v="FOURNISSEURS"/>
    <s v="TVA"/>
    <n v="1"/>
    <d v="2025-03-31T00:00:00"/>
    <s v="TVA Intracom"/>
    <s v="Non"/>
    <e v="#N/A"/>
    <e v="#N/A"/>
    <n v="68224"/>
    <s v="91250018"/>
    <s v="ZDHC Gateway B.V."/>
    <s v="Q1"/>
    <e v="#REF!"/>
    <e v="#REF!"/>
    <e v="#REF!"/>
  </r>
  <r>
    <s v="401000"/>
    <x v="6"/>
    <s v="FOURNISSEURS"/>
    <s v="TVA"/>
    <n v="1"/>
    <d v="2025-03-31T00:00:00"/>
    <s v="TVA Intracom"/>
    <m/>
    <e v="#N/A"/>
    <e v="#N/A"/>
    <n v="68228"/>
    <m/>
    <s v="SHOPIFY"/>
    <s v="Q1"/>
    <e v="#REF!"/>
    <e v="#REF!"/>
    <e v="#REF!"/>
  </r>
  <r>
    <s v="401000"/>
    <x v="6"/>
    <s v="FOURNISSEURS"/>
    <s v="TVA"/>
    <n v="1"/>
    <d v="2025-03-31T00:00:00"/>
    <s v="TVA Intracom"/>
    <m/>
    <e v="#N/A"/>
    <e v="#N/A"/>
    <n v="68232"/>
    <m/>
    <s v="ADOBE"/>
    <s v="Q1"/>
    <e v="#REF!"/>
    <e v="#REF!"/>
    <e v="#REF!"/>
  </r>
  <r>
    <s v="401000"/>
    <x v="6"/>
    <s v="FOURNISSEURS"/>
    <s v="TVA"/>
    <n v="1"/>
    <d v="2025-03-31T00:00:00"/>
    <s v="TVA Intracom"/>
    <m/>
    <e v="#N/A"/>
    <e v="#N/A"/>
    <n v="68236"/>
    <m/>
    <s v="COOKIEBOT"/>
    <s v="Q1"/>
    <e v="#REF!"/>
    <e v="#REF!"/>
    <e v="#REF!"/>
  </r>
  <r>
    <s v="401000"/>
    <x v="6"/>
    <s v="FOURNISSEURS"/>
    <s v="TVA"/>
    <n v="1"/>
    <d v="2025-03-31T00:00:00"/>
    <s v="TVA Intracom"/>
    <m/>
    <e v="#N/A"/>
    <e v="#N/A"/>
    <n v="68240"/>
    <m/>
    <s v="TCI"/>
    <s v="Q1"/>
    <e v="#REF!"/>
    <e v="#REF!"/>
    <e v="#REF!"/>
  </r>
  <r>
    <s v="401000"/>
    <x v="6"/>
    <s v="FOURNISSEURS"/>
    <s v="TVA"/>
    <n v="1"/>
    <d v="2025-03-31T00:00:00"/>
    <s v="TVA Intracom"/>
    <m/>
    <e v="#N/A"/>
    <e v="#N/A"/>
    <n v="68244"/>
    <m/>
    <s v="BLD PHARMATECH"/>
    <s v="Q1"/>
    <e v="#REF!"/>
    <e v="#REF!"/>
    <e v="#REF!"/>
  </r>
  <r>
    <s v="408100"/>
    <x v="6"/>
    <s v="FOURNISSEURS - FACTURES NON PARVENUES"/>
    <s v="AC"/>
    <n v="562.30999999999995"/>
    <d v="2025-05-05T00:00:00"/>
    <s v="MISSION CIR 2024"/>
    <s v="Non"/>
    <s v="Non"/>
    <e v="#N/A"/>
    <n v="77454"/>
    <s v="F-2025-4258"/>
    <s v="BUSINOVE"/>
    <s v="Q2"/>
    <e v="#REF!"/>
    <e v="#REF!"/>
    <e v="#REF!"/>
  </r>
  <r>
    <s v="408100"/>
    <x v="6"/>
    <s v="FOURNISSEURS - FACTURES NON PARVENUES"/>
    <s v="AC"/>
    <n v="1000"/>
    <d v="2025-04-15T00:00:00"/>
    <s v="SAB #16 - WANDA DISCHERT - MARS 2025"/>
    <s v="Non"/>
    <s v="Non"/>
    <e v="#N/A"/>
    <n v="77523"/>
    <s v="01/04/2025"/>
    <s v="IN MANAGEMENT"/>
    <s v="Q2"/>
    <e v="#REF!"/>
    <e v="#REF!"/>
    <e v="#REF!"/>
  </r>
  <r>
    <s v="408100"/>
    <x v="6"/>
    <s v="FOURNISSEURS - FACTURES NON PARVENUES"/>
    <s v="AC"/>
    <n v="1300"/>
    <d v="2025-05-11T00:00:00"/>
    <s v="ETUDE + CONSEIL SCIENTIFIQUE ZACHARIAS AMARA CS#16 - MARS 2025"/>
    <s v="Non"/>
    <s v="Non"/>
    <e v="#N/A"/>
    <n v="72709"/>
    <s v="2025/0327"/>
    <s v="CHEM"/>
    <s v="Q2"/>
    <e v="#REF!"/>
    <e v="#REF!"/>
    <e v="#REF!"/>
  </r>
  <r>
    <s v="408100"/>
    <x v="6"/>
    <s v="FOURNISSEURS - FACTURES NON PARVENUES"/>
    <s v="AC"/>
    <n v="1500"/>
    <d v="2025-05-06T00:00:00"/>
    <s v="ACTIVITÉ DE CONSEIL RÉALISÉE SOUS LA DIRECTION DE MONSIEUR GUILLAUME BOISSONNAT"/>
    <s v="Oui"/>
    <s v="Non"/>
    <e v="#N/A"/>
    <n v="77494"/>
    <s v="FAC0261"/>
    <s v="CONSEIL CPP"/>
    <s v="Q2"/>
    <e v="#REF!"/>
    <e v="#REF!"/>
    <e v="#REF!"/>
  </r>
  <r>
    <s v="408100"/>
    <x v="6"/>
    <s v="FOURNISSEURS - FACTURES NON PARVENUES"/>
    <s v="AC"/>
    <n v="1800"/>
    <d v="2025-03-31T00:00:00"/>
    <s v="MISSION PILI CS"/>
    <s v="Non"/>
    <s v="Non"/>
    <e v="#N/A"/>
    <n v="77510"/>
    <s v="F2025-05-PILI"/>
    <s v="BIOADVICE"/>
    <s v="Q1"/>
    <e v="#REF!"/>
    <e v="#REF!"/>
    <e v="#REF!"/>
  </r>
  <r>
    <s v="408100"/>
    <x v="6"/>
    <s v="FOURNISSEURS - FACTURES NON PARVENUES"/>
    <s v="AC"/>
    <n v="2000"/>
    <d v="2025-03-31T00:00:00"/>
    <s v="MISSION CIR"/>
    <s v="Non"/>
    <s v="Non"/>
    <e v="#N/A"/>
    <n v="77441"/>
    <s v="F-2025-4164"/>
    <s v="BUSINOVE"/>
    <s v="Q1"/>
    <e v="#REF!"/>
    <e v="#REF!"/>
    <e v="#REF!"/>
  </r>
  <r>
    <s v="408100"/>
    <x v="6"/>
    <s v="FOURNISSEURS - FACTURES NON PARVENUES"/>
    <s v="AC"/>
    <n v="2000"/>
    <d v="2025-11-03T00:00:00"/>
    <s v="REPRISE PARTIELLE FNP - MISSION CIR 2025"/>
    <s v="Non"/>
    <s v="Non"/>
    <e v="#N/A"/>
    <n v="94827"/>
    <s v="F-2025-4578"/>
    <s v="BUSINOVE"/>
    <s v="Q4"/>
    <e v="#REF!"/>
    <e v="#REF!"/>
    <e v="#REF!"/>
  </r>
  <r>
    <s v="408100"/>
    <x v="6"/>
    <s v="FOURNISSEURS - FACTURES NON PARVENUES"/>
    <s v="AC"/>
    <n v="11837.69"/>
    <d v="2025-05-05T00:00:00"/>
    <s v="MISSION CIR 2024"/>
    <s v="Non"/>
    <s v="Non"/>
    <e v="#N/A"/>
    <n v="77443"/>
    <s v="F-2025-4258"/>
    <s v="BUSINOVE"/>
    <s v="Q2"/>
    <e v="#REF!"/>
    <e v="#REF!"/>
    <e v="#REF!"/>
  </r>
  <r>
    <s v="408100"/>
    <x v="6"/>
    <s v="FOURNISSEURS - FACTURES NON PARVENUES"/>
    <s v="AC"/>
    <n v="12000"/>
    <d v="2025-04-09T00:00:00"/>
    <s v="COMMISSARIAT AUX COMPTES AU TITRE DE L'EXERCICE CLOS LE 31 DÉCEMBRE 2024 - REPRISE FNP"/>
    <m/>
    <e v="#N/A"/>
    <e v="#N/A"/>
    <n v="77179"/>
    <s v="E002VPR-25-04-0564"/>
    <m/>
    <s v="Q2"/>
    <e v="#REF!"/>
    <e v="#REF!"/>
    <e v="#REF!"/>
  </r>
  <r>
    <s v="408100"/>
    <x v="6"/>
    <s v="FOURNISSEURS - FACTURES NON PARVENUES"/>
    <s v="AC"/>
    <n v="18000"/>
    <d v="2025-06-29T00:00:00"/>
    <s v="COMMISSARIAT AUX COMPTES AU TITRE DE L'EXERCICE CLOS LE 31 DÉCEMBRE 2024 - REPRISE FNP"/>
    <m/>
    <e v="#N/A"/>
    <e v="#N/A"/>
    <n v="77185"/>
    <s v="E002VPR-25-06-2158"/>
    <m/>
    <s v="Q2"/>
    <e v="#REF!"/>
    <e v="#REF!"/>
    <e v="#REF!"/>
  </r>
  <r>
    <s v="408100"/>
    <x v="6"/>
    <s v="FOURNISSEURS - FACTURES NON PARVENUES"/>
    <s v="AC"/>
    <n v="23000"/>
    <d v="2025-03-07T00:00:00"/>
    <s v="LOYER INSA TWB - 2024 - REPRISE FNP"/>
    <m/>
    <e v="#N/A"/>
    <e v="#N/A"/>
    <n v="77135"/>
    <s v="FAR-2025-000149"/>
    <m/>
    <s v="Q1"/>
    <e v="#REF!"/>
    <e v="#REF!"/>
    <e v="#REF!"/>
  </r>
  <r>
    <s v="408100"/>
    <x v="6"/>
    <s v="FOURNISSEURS - FACTURES NON PARVENUES"/>
    <s v="AC"/>
    <n v="181545"/>
    <d v="2025-04-29T00:00:00"/>
    <s v="AVENANT 11 AU CONTRAT DE RECHERCHE TWB SIGNÉ LE 30/01/2018 1ER VERSEMENT AU 01/05/2025"/>
    <m/>
    <s v="Non"/>
    <e v="#N/A"/>
    <n v="77127"/>
    <s v="2110002592"/>
    <s v="INRAE TOULOUSE"/>
    <s v="Q2"/>
    <e v="#REF!"/>
    <e v="#REF!"/>
    <e v="#REF!"/>
  </r>
  <r>
    <s v="408100"/>
    <x v="6"/>
    <s v="FOURNISSEURS - FACTURES NON PARVENUES"/>
    <s v="AC"/>
    <n v="363089"/>
    <d v="2025-12-03T00:00:00"/>
    <s v="AVENANT 11 CONTRAT RECHERCHE TWB - 2E ET 3E VERSEMENTS"/>
    <m/>
    <s v="Non"/>
    <e v="#N/A"/>
    <n v="92015"/>
    <s v="2110011866"/>
    <s v="INRAE TOULOUSE"/>
    <s v="Q4"/>
    <e v="#REF!"/>
    <e v="#REF!"/>
    <e v="#REF!"/>
  </r>
  <r>
    <s v="408100"/>
    <x v="6"/>
    <s v="FOURNISSEURS - FACTURES NON PARVENUES"/>
    <s v="AN"/>
    <n v="-30000"/>
    <d v="2025-01-01T00:00:00"/>
    <s v="Report à nouveau Exercice 2025"/>
    <m/>
    <e v="#N/A"/>
    <e v="#N/A"/>
    <n v="84755"/>
    <m/>
    <m/>
    <s v="Q1"/>
    <e v="#REF!"/>
    <e v="#REF!"/>
    <e v="#REF!"/>
  </r>
  <r>
    <s v="408100"/>
    <x v="6"/>
    <s v="FOURNISSEURS - FACTURES NON PARVENUES"/>
    <s v="AN"/>
    <n v="-23000"/>
    <d v="2025-01-01T00:00:00"/>
    <s v="Report à nouveau Exercice 2025"/>
    <m/>
    <e v="#N/A"/>
    <e v="#N/A"/>
    <n v="84754"/>
    <m/>
    <m/>
    <s v="Q1"/>
    <e v="#REF!"/>
    <e v="#REF!"/>
    <e v="#REF!"/>
  </r>
  <r>
    <s v="408100"/>
    <x v="6"/>
    <s v="FOURNISSEURS - FACTURES NON PARVENUES"/>
    <s v="AN"/>
    <n v="-14400"/>
    <d v="2025-01-01T00:00:00"/>
    <s v="Report à nouveau Exercice 2025"/>
    <m/>
    <e v="#N/A"/>
    <e v="#N/A"/>
    <n v="84752"/>
    <m/>
    <m/>
    <s v="Q1"/>
    <e v="#REF!"/>
    <e v="#REF!"/>
    <e v="#REF!"/>
  </r>
  <r>
    <s v="408100"/>
    <x v="6"/>
    <s v="FOURNISSEURS - FACTURES NON PARVENUES"/>
    <s v="AN"/>
    <n v="-9568.2000000000007"/>
    <d v="2025-01-01T00:00:00"/>
    <s v="Report à nouveau Exercice 2025"/>
    <m/>
    <e v="#N/A"/>
    <e v="#N/A"/>
    <n v="84751"/>
    <m/>
    <m/>
    <s v="Q1"/>
    <e v="#REF!"/>
    <e v="#REF!"/>
    <e v="#REF!"/>
  </r>
  <r>
    <s v="408100"/>
    <x v="6"/>
    <s v="FOURNISSEURS - FACTURES NON PARVENUES"/>
    <s v="AN"/>
    <n v="-5904"/>
    <d v="2025-01-01T00:00:00"/>
    <s v="Report à nouveau Exercice 2025"/>
    <m/>
    <e v="#N/A"/>
    <e v="#N/A"/>
    <n v="84753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748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749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750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962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963"/>
    <m/>
    <m/>
    <s v="Q1"/>
    <e v="#REF!"/>
    <e v="#REF!"/>
    <e v="#REF!"/>
  </r>
  <r>
    <s v="408100"/>
    <x v="6"/>
    <s v="FOURNISSEURS - FACTURES NON PARVENUES"/>
    <s v="AN"/>
    <n v="0"/>
    <d v="2025-01-01T00:00:00"/>
    <s v="Report à nouveau Exercice 2025"/>
    <m/>
    <e v="#N/A"/>
    <e v="#N/A"/>
    <n v="84964"/>
    <m/>
    <m/>
    <s v="Q1"/>
    <e v="#REF!"/>
    <e v="#REF!"/>
    <e v="#REF!"/>
  </r>
  <r>
    <s v="408100"/>
    <x v="6"/>
    <s v="FOURNISSEURS - FACTURES NON PARVENUES"/>
    <s v="JC"/>
    <n v="-2003.17"/>
    <d v="2025-01-01T00:00:00"/>
    <s v="LOYER INSA TWB - 2025"/>
    <m/>
    <e v="#N/A"/>
    <e v="#N/A"/>
    <n v="77136"/>
    <s v="LOYER INSA TWB - 2025"/>
    <s v="INSA TOULOUSE"/>
    <s v="Q1"/>
    <e v="#REF!"/>
    <e v="#REF!"/>
    <e v="#REF!"/>
  </r>
  <r>
    <s v="408100"/>
    <x v="6"/>
    <s v="FOURNISSEURS - FACTURES NON PARVENUES"/>
    <s v="JC"/>
    <n v="-2003.17"/>
    <d v="2025-02-01T00:00:00"/>
    <s v="LOYER INSA TWB - 2025"/>
    <m/>
    <e v="#N/A"/>
    <e v="#N/A"/>
    <n v="77138"/>
    <s v="LOYER INSA TWB - 2025"/>
    <s v="INSA TOULOUSE"/>
    <s v="Q1"/>
    <e v="#REF!"/>
    <e v="#REF!"/>
    <e v="#REF!"/>
  </r>
  <r>
    <s v="408100"/>
    <x v="6"/>
    <s v="FOURNISSEURS - FACTURES NON PARVENUES"/>
    <s v="JC"/>
    <n v="-2003.17"/>
    <d v="2025-03-01T00:00:00"/>
    <s v="LOYER INSA TWB - 2025"/>
    <m/>
    <e v="#N/A"/>
    <e v="#N/A"/>
    <n v="77140"/>
    <s v="LOYER INSA TWB - 2025"/>
    <s v="INSA TOULOUSE"/>
    <s v="Q1"/>
    <e v="#REF!"/>
    <e v="#REF!"/>
    <e v="#REF!"/>
  </r>
  <r>
    <s v="408100"/>
    <x v="6"/>
    <s v="FOURNISSEURS - FACTURES NON PARVENUES"/>
    <s v="JC"/>
    <n v="-2003.17"/>
    <d v="2025-04-01T00:00:00"/>
    <s v="LOYER INSA TWB - 2025"/>
    <m/>
    <e v="#N/A"/>
    <e v="#N/A"/>
    <n v="77142"/>
    <s v="LOYER INSA TWB - 2025"/>
    <s v="INSA TOULOUSE"/>
    <s v="Q2"/>
    <e v="#REF!"/>
    <e v="#REF!"/>
    <e v="#REF!"/>
  </r>
  <r>
    <s v="408100"/>
    <x v="6"/>
    <s v="FOURNISSEURS - FACTURES NON PARVENUES"/>
    <s v="JC"/>
    <n v="-2003.17"/>
    <d v="2025-05-01T00:00:00"/>
    <s v="LOYER INSA TWB - 2025"/>
    <m/>
    <e v="#N/A"/>
    <e v="#N/A"/>
    <n v="77144"/>
    <s v="LOYER INSA TWB - 2025"/>
    <s v="INSA TOULOUSE"/>
    <s v="Q2"/>
    <e v="#REF!"/>
    <e v="#REF!"/>
    <e v="#REF!"/>
  </r>
  <r>
    <s v="408100"/>
    <x v="6"/>
    <s v="FOURNISSEURS - FACTURES NON PARVENUES"/>
    <s v="JC"/>
    <n v="-2003.17"/>
    <d v="2025-06-01T00:00:00"/>
    <s v="LOYER INSA TWB - 2025"/>
    <m/>
    <e v="#N/A"/>
    <e v="#N/A"/>
    <n v="77146"/>
    <s v="LOYER INSA TWB - 2025"/>
    <s v="INSA TOULOUSE"/>
    <s v="Q2"/>
    <e v="#REF!"/>
    <e v="#REF!"/>
    <e v="#REF!"/>
  </r>
  <r>
    <s v="408100"/>
    <x v="6"/>
    <s v="FOURNISSEURS - FACTURES NON PARVENUES"/>
    <s v="JC"/>
    <n v="-2003.17"/>
    <d v="2025-07-01T00:00:00"/>
    <s v="LOYER INSA TWB - 2025"/>
    <m/>
    <e v="#N/A"/>
    <e v="#N/A"/>
    <n v="77148"/>
    <s v="LOYER INSA TWB - 2025"/>
    <s v="INSA TOULOUSE"/>
    <s v="Q3"/>
    <e v="#REF!"/>
    <e v="#REF!"/>
    <e v="#REF!"/>
  </r>
  <r>
    <s v="408100"/>
    <x v="6"/>
    <s v="FOURNISSEURS - FACTURES NON PARVENUES"/>
    <s v="JC"/>
    <n v="-2003.17"/>
    <d v="2025-08-01T00:00:00"/>
    <s v="LOYER INSA TWB - 2025"/>
    <m/>
    <e v="#N/A"/>
    <e v="#N/A"/>
    <n v="77150"/>
    <s v="LOYER INSA TWB - 2025"/>
    <s v="INSA TOULOUSE"/>
    <s v="Q3"/>
    <e v="#REF!"/>
    <e v="#REF!"/>
    <e v="#REF!"/>
  </r>
  <r>
    <s v="408100"/>
    <x v="6"/>
    <s v="FOURNISSEURS - FACTURES NON PARVENUES"/>
    <s v="JC"/>
    <n v="-2003.17"/>
    <d v="2025-09-01T00:00:00"/>
    <s v="LOYER INSA TWB - 2025"/>
    <m/>
    <e v="#N/A"/>
    <e v="#N/A"/>
    <n v="77152"/>
    <s v="LOYER INSA TWB - 2025"/>
    <s v="INSA TOULOUSE"/>
    <s v="Q3"/>
    <e v="#REF!"/>
    <e v="#REF!"/>
    <e v="#REF!"/>
  </r>
  <r>
    <s v="408100"/>
    <x v="6"/>
    <s v="FOURNISSEURS - FACTURES NON PARVENUES"/>
    <s v="JC"/>
    <n v="-2003.17"/>
    <d v="2025-10-01T00:00:00"/>
    <s v="LOYER INSA TWB - 2025"/>
    <m/>
    <e v="#N/A"/>
    <e v="#N/A"/>
    <n v="77154"/>
    <s v="LOYER INSA TWB - 2025"/>
    <s v="INSA TOULOUSE"/>
    <s v="Q4"/>
    <e v="#REF!"/>
    <e v="#REF!"/>
    <e v="#REF!"/>
  </r>
  <r>
    <s v="408100"/>
    <x v="6"/>
    <s v="FOURNISSEURS - FACTURES NON PARVENUES"/>
    <s v="JC"/>
    <n v="-2003.17"/>
    <d v="2025-11-01T00:00:00"/>
    <s v="LOYER INSA TWB - 2025"/>
    <m/>
    <e v="#N/A"/>
    <e v="#N/A"/>
    <n v="77156"/>
    <s v="LOYER INSA TWB - 2025"/>
    <s v="INSA TOULOUSE"/>
    <s v="Q4"/>
    <e v="#REF!"/>
    <e v="#REF!"/>
    <e v="#REF!"/>
  </r>
  <r>
    <s v="408100"/>
    <x v="6"/>
    <s v="FOURNISSEURS - FACTURES NON PARVENUES"/>
    <s v="JC"/>
    <n v="-2003.17"/>
    <d v="2025-12-01T00:00:00"/>
    <s v="LOYER INSA TWB - 2025"/>
    <m/>
    <e v="#N/A"/>
    <e v="#N/A"/>
    <n v="77158"/>
    <s v="LOYER INSA TWB - 2025"/>
    <s v="INSA TOULOUSE"/>
    <s v="Q4"/>
    <e v="#REF!"/>
    <e v="#REF!"/>
    <e v="#REF!"/>
  </r>
  <r>
    <s v="408100"/>
    <x v="6"/>
    <s v="FOURNISSEURS - FACTURES NON PARVENUES"/>
    <s v="JC"/>
    <n v="-1879.17"/>
    <d v="2025-01-01T00:00:00"/>
    <s v="FNP - CAC MAZARS"/>
    <s v="Non"/>
    <s v="Non"/>
    <e v="#N/A"/>
    <n v="86829"/>
    <m/>
    <s v="FORVIS MAZARS"/>
    <s v="Q1"/>
    <e v="#REF!"/>
    <e v="#REF!"/>
    <e v="#REF!"/>
  </r>
  <r>
    <s v="408100"/>
    <x v="6"/>
    <s v="FOURNISSEURS - FACTURES NON PARVENUES"/>
    <s v="JC"/>
    <n v="-1879.17"/>
    <d v="2025-02-01T00:00:00"/>
    <s v="FNP - CAC MAZARS"/>
    <s v="Non"/>
    <s v="Non"/>
    <e v="#N/A"/>
    <n v="86825"/>
    <m/>
    <s v="FORVIS MAZARS"/>
    <s v="Q1"/>
    <e v="#REF!"/>
    <e v="#REF!"/>
    <e v="#REF!"/>
  </r>
  <r>
    <s v="408100"/>
    <x v="6"/>
    <s v="FOURNISSEURS - FACTURES NON PARVENUES"/>
    <s v="JC"/>
    <n v="-1879.17"/>
    <d v="2025-03-01T00:00:00"/>
    <s v="FNP - CAC MAZARS"/>
    <s v="Non"/>
    <s v="Non"/>
    <e v="#N/A"/>
    <n v="86827"/>
    <m/>
    <s v="FORVIS MAZARS"/>
    <s v="Q1"/>
    <e v="#REF!"/>
    <e v="#REF!"/>
    <e v="#REF!"/>
  </r>
  <r>
    <s v="408100"/>
    <x v="6"/>
    <s v="FOURNISSEURS - FACTURES NON PARVENUES"/>
    <s v="JC"/>
    <n v="-1879.17"/>
    <d v="2025-04-01T00:00:00"/>
    <s v="FNP - CAC MAZARS"/>
    <s v="Non"/>
    <s v="Non"/>
    <e v="#N/A"/>
    <n v="86831"/>
    <m/>
    <s v="FORVIS MAZARS"/>
    <s v="Q2"/>
    <e v="#REF!"/>
    <e v="#REF!"/>
    <e v="#REF!"/>
  </r>
  <r>
    <s v="408100"/>
    <x v="6"/>
    <s v="FOURNISSEURS - FACTURES NON PARVENUES"/>
    <s v="JC"/>
    <n v="-1879.17"/>
    <d v="2025-05-01T00:00:00"/>
    <s v="FNP - CAC MAZARS"/>
    <s v="Non"/>
    <s v="Non"/>
    <e v="#N/A"/>
    <n v="86833"/>
    <m/>
    <s v="FORVIS MAZARS"/>
    <s v="Q2"/>
    <e v="#REF!"/>
    <e v="#REF!"/>
    <e v="#REF!"/>
  </r>
  <r>
    <s v="408100"/>
    <x v="6"/>
    <s v="FOURNISSEURS - FACTURES NON PARVENUES"/>
    <s v="JC"/>
    <n v="-1879.17"/>
    <d v="2025-06-01T00:00:00"/>
    <s v="FNP - CAC MAZARS"/>
    <s v="Non"/>
    <s v="Non"/>
    <e v="#N/A"/>
    <n v="86835"/>
    <m/>
    <s v="FORVIS MAZARS"/>
    <s v="Q2"/>
    <e v="#REF!"/>
    <e v="#REF!"/>
    <e v="#REF!"/>
  </r>
  <r>
    <s v="408100"/>
    <x v="6"/>
    <s v="FOURNISSEURS - FACTURES NON PARVENUES"/>
    <s v="JC"/>
    <n v="-1879.17"/>
    <d v="2025-07-01T00:00:00"/>
    <s v="FNP - CAC MAZARS"/>
    <s v="Non"/>
    <s v="Non"/>
    <e v="#N/A"/>
    <n v="86837"/>
    <m/>
    <s v="FORVIS MAZARS"/>
    <s v="Q3"/>
    <e v="#REF!"/>
    <e v="#REF!"/>
    <e v="#REF!"/>
  </r>
  <r>
    <s v="408100"/>
    <x v="6"/>
    <s v="FOURNISSEURS - FACTURES NON PARVENUES"/>
    <s v="JC"/>
    <n v="-1879.17"/>
    <d v="2025-08-01T00:00:00"/>
    <s v="FNP - CAC MAZARS"/>
    <s v="Non"/>
    <s v="Non"/>
    <e v="#N/A"/>
    <n v="86839"/>
    <m/>
    <s v="FORVIS MAZARS"/>
    <s v="Q3"/>
    <e v="#REF!"/>
    <e v="#REF!"/>
    <e v="#REF!"/>
  </r>
  <r>
    <s v="408100"/>
    <x v="6"/>
    <s v="FOURNISSEURS - FACTURES NON PARVENUES"/>
    <s v="JC"/>
    <n v="-1879.17"/>
    <d v="2025-09-01T00:00:00"/>
    <s v="FNP - CAC MAZARS"/>
    <s v="Non"/>
    <s v="Non"/>
    <e v="#N/A"/>
    <n v="86841"/>
    <m/>
    <s v="FORVIS MAZARS"/>
    <s v="Q3"/>
    <e v="#REF!"/>
    <e v="#REF!"/>
    <e v="#REF!"/>
  </r>
  <r>
    <s v="408100"/>
    <x v="6"/>
    <s v="FOURNISSEURS - FACTURES NON PARVENUES"/>
    <s v="JC"/>
    <n v="-1879.17"/>
    <d v="2025-10-01T00:00:00"/>
    <s v="FNP - CAC MAZARS"/>
    <s v="Non"/>
    <s v="Non"/>
    <e v="#N/A"/>
    <n v="86843"/>
    <m/>
    <s v="FORVIS MAZARS"/>
    <s v="Q4"/>
    <e v="#REF!"/>
    <e v="#REF!"/>
    <e v="#REF!"/>
  </r>
  <r>
    <s v="408100"/>
    <x v="6"/>
    <s v="FOURNISSEURS - FACTURES NON PARVENUES"/>
    <s v="JC"/>
    <n v="-1879.17"/>
    <d v="2025-11-01T00:00:00"/>
    <s v="FNP - CAC MAZARS"/>
    <s v="Non"/>
    <s v="Non"/>
    <e v="#N/A"/>
    <n v="86845"/>
    <m/>
    <s v="FORVIS MAZARS"/>
    <s v="Q4"/>
    <e v="#REF!"/>
    <e v="#REF!"/>
    <e v="#REF!"/>
  </r>
  <r>
    <s v="408100"/>
    <x v="6"/>
    <s v="FOURNISSEURS - FACTURES NON PARVENUES"/>
    <s v="JC"/>
    <n v="-1879.13"/>
    <d v="2025-12-01T00:00:00"/>
    <s v="FNP - CAC MAZARS"/>
    <s v="Non"/>
    <s v="Non"/>
    <e v="#N/A"/>
    <n v="86847"/>
    <m/>
    <s v="FORVIS MAZARS"/>
    <s v="Q4"/>
    <e v="#REF!"/>
    <e v="#REF!"/>
    <e v="#REF!"/>
  </r>
  <r>
    <s v="408100"/>
    <x v="6"/>
    <s v="FOURNISSEURS - FACTURES NON PARVENUES"/>
    <s v="OD"/>
    <n v="-43226"/>
    <d v="2025-01-01T00:00:00"/>
    <s v="Contrat Hébergement TWB"/>
    <m/>
    <s v="Non"/>
    <e v="#N/A"/>
    <n v="77117"/>
    <m/>
    <s v="INRAE TOULOUSE"/>
    <s v="Q1"/>
    <e v="#REF!"/>
    <e v="#REF!"/>
    <e v="#REF!"/>
  </r>
  <r>
    <s v="408100"/>
    <x v="6"/>
    <s v="FOURNISSEURS - FACTURES NON PARVENUES"/>
    <s v="OD"/>
    <n v="-43226"/>
    <d v="2025-02-01T00:00:00"/>
    <s v="Contrat Hébergement TWB"/>
    <m/>
    <s v="Non"/>
    <e v="#N/A"/>
    <n v="77111"/>
    <m/>
    <s v="INRAE TOULOUSE"/>
    <s v="Q1"/>
    <e v="#REF!"/>
    <e v="#REF!"/>
    <e v="#REF!"/>
  </r>
  <r>
    <s v="408100"/>
    <x v="6"/>
    <s v="FOURNISSEURS - FACTURES NON PARVENUES"/>
    <s v="OD"/>
    <n v="-43226"/>
    <d v="2025-03-01T00:00:00"/>
    <s v="Contrat Hébergement TWB"/>
    <m/>
    <s v="Non"/>
    <e v="#N/A"/>
    <n v="77114"/>
    <m/>
    <s v="INRAE TOULOUSE"/>
    <s v="Q1"/>
    <e v="#REF!"/>
    <e v="#REF!"/>
    <e v="#REF!"/>
  </r>
  <r>
    <s v="408100"/>
    <x v="6"/>
    <s v="FOURNISSEURS - FACTURES NON PARVENUES"/>
    <s v="OD"/>
    <n v="-43226"/>
    <d v="2025-04-01T00:00:00"/>
    <s v="Contrat Hébergement TWB"/>
    <m/>
    <s v="Non"/>
    <e v="#N/A"/>
    <n v="77105"/>
    <m/>
    <s v="INRAE TOULOUSE"/>
    <s v="Q2"/>
    <e v="#REF!"/>
    <e v="#REF!"/>
    <e v="#REF!"/>
  </r>
  <r>
    <s v="408100"/>
    <x v="6"/>
    <s v="FOURNISSEURS - FACTURES NON PARVENUES"/>
    <s v="OD"/>
    <n v="-43226"/>
    <d v="2025-05-01T00:00:00"/>
    <s v="Contrat Hébergement TWB"/>
    <m/>
    <s v="Non"/>
    <e v="#N/A"/>
    <n v="77120"/>
    <m/>
    <s v="INRAE TOULOUSE"/>
    <s v="Q2"/>
    <e v="#REF!"/>
    <e v="#REF!"/>
    <e v="#REF!"/>
  </r>
  <r>
    <s v="408100"/>
    <x v="6"/>
    <s v="FOURNISSEURS - FACTURES NON PARVENUES"/>
    <s v="OD"/>
    <n v="-43226"/>
    <d v="2025-06-01T00:00:00"/>
    <s v="Contrat Hébergement TWB"/>
    <m/>
    <s v="Non"/>
    <e v="#N/A"/>
    <n v="77123"/>
    <m/>
    <s v="INRAE TOULOUSE"/>
    <s v="Q2"/>
    <e v="#REF!"/>
    <e v="#REF!"/>
    <e v="#REF!"/>
  </r>
  <r>
    <s v="408100"/>
    <x v="6"/>
    <s v="FOURNISSEURS - FACTURES NON PARVENUES"/>
    <s v="OD"/>
    <n v="-43226"/>
    <d v="2025-07-01T00:00:00"/>
    <s v="Contrat Hébergement TWB"/>
    <m/>
    <s v="Non"/>
    <e v="#N/A"/>
    <n v="77160"/>
    <m/>
    <s v="INRAE TOULOUSE"/>
    <s v="Q3"/>
    <e v="#REF!"/>
    <e v="#REF!"/>
    <e v="#REF!"/>
  </r>
  <r>
    <s v="408100"/>
    <x v="6"/>
    <s v="FOURNISSEURS - FACTURES NON PARVENUES"/>
    <s v="OD"/>
    <n v="-43226"/>
    <d v="2025-08-01T00:00:00"/>
    <s v="Contrat Hébergement TWB"/>
    <m/>
    <s v="Non"/>
    <e v="#N/A"/>
    <n v="77163"/>
    <m/>
    <s v="INRAE TOULOUSE"/>
    <s v="Q3"/>
    <e v="#REF!"/>
    <e v="#REF!"/>
    <e v="#REF!"/>
  </r>
  <r>
    <s v="408100"/>
    <x v="6"/>
    <s v="FOURNISSEURS - FACTURES NON PARVENUES"/>
    <s v="OD"/>
    <n v="-43226"/>
    <d v="2025-09-01T00:00:00"/>
    <s v="Contrat Hébergement TWB"/>
    <m/>
    <s v="Non"/>
    <e v="#N/A"/>
    <n v="77169"/>
    <m/>
    <s v="INRAE TOULOUSE"/>
    <s v="Q3"/>
    <e v="#REF!"/>
    <e v="#REF!"/>
    <e v="#REF!"/>
  </r>
  <r>
    <s v="408100"/>
    <x v="6"/>
    <s v="FOURNISSEURS - FACTURES NON PARVENUES"/>
    <s v="OD"/>
    <n v="-43226"/>
    <d v="2025-10-01T00:00:00"/>
    <s v="Contrat Hébergement TWB"/>
    <m/>
    <s v="Non"/>
    <e v="#N/A"/>
    <n v="77166"/>
    <m/>
    <s v="INRAE TOULOUSE"/>
    <s v="Q4"/>
    <e v="#REF!"/>
    <e v="#REF!"/>
    <e v="#REF!"/>
  </r>
  <r>
    <s v="408100"/>
    <x v="6"/>
    <s v="FOURNISSEURS - FACTURES NON PARVENUES"/>
    <s v="OD"/>
    <n v="-43226"/>
    <d v="2025-11-01T00:00:00"/>
    <s v="Contrat Hébergement TWB"/>
    <m/>
    <s v="Non"/>
    <e v="#N/A"/>
    <n v="77172"/>
    <m/>
    <s v="INRAE TOULOUSE"/>
    <s v="Q4"/>
    <e v="#REF!"/>
    <e v="#REF!"/>
    <e v="#REF!"/>
  </r>
  <r>
    <s v="408100"/>
    <x v="6"/>
    <s v="FOURNISSEURS - FACTURES NON PARVENUES"/>
    <s v="OD"/>
    <n v="-43222"/>
    <d v="2025-12-01T00:00:00"/>
    <s v="Contrat Hébergement TWB"/>
    <m/>
    <s v="Non"/>
    <e v="#N/A"/>
    <n v="77175"/>
    <m/>
    <s v="INRAE TOULOUSE"/>
    <s v="Q4"/>
    <e v="#REF!"/>
    <e v="#REF!"/>
    <e v="#REF!"/>
  </r>
  <r>
    <s v="408100"/>
    <x v="6"/>
    <s v="FOURNISSEURS - FACTURES NON PARVENUES"/>
    <s v="OD"/>
    <n v="-25926"/>
    <d v="2025-01-23T00:00:00"/>
    <s v="Contrat Hébergement TWB"/>
    <m/>
    <s v="Non"/>
    <e v="#N/A"/>
    <n v="77103"/>
    <m/>
    <s v="INRAE TOULOUSE"/>
    <s v="Q1"/>
    <e v="#REF!"/>
    <e v="#REF!"/>
    <e v="#REF!"/>
  </r>
  <r>
    <s v="408100"/>
    <x v="6"/>
    <s v="FOURNISSEURS - FACTURES NON PARVENUES"/>
    <s v="OD"/>
    <n v="-18000"/>
    <d v="2025-06-29T00:00:00"/>
    <s v="Liaison inter-établissement"/>
    <s v="Non"/>
    <s v="Non"/>
    <e v="#N/A"/>
    <n v="77190"/>
    <m/>
    <s v="FORVIS MAZARS"/>
    <s v="Q2"/>
    <e v="#REF!"/>
    <e v="#REF!"/>
    <e v="#REF!"/>
  </r>
  <r>
    <s v="408100"/>
    <x v="6"/>
    <s v="FOURNISSEURS - FACTURES NON PARVENUES"/>
    <s v="OD"/>
    <n v="-12000"/>
    <d v="2025-04-09T00:00:00"/>
    <s v="Liaison inter-établissement"/>
    <s v="Non"/>
    <s v="Non"/>
    <e v="#N/A"/>
    <n v="77183"/>
    <m/>
    <s v="FORVIS MAZARS"/>
    <s v="Q2"/>
    <e v="#REF!"/>
    <e v="#REF!"/>
    <e v="#REF!"/>
  </r>
  <r>
    <s v="408100"/>
    <x v="6"/>
    <s v="FOURNISSEURS - FACTURES NON PARVENUES"/>
    <s v="OD"/>
    <n v="-11837.69"/>
    <d v="2025-05-05T00:00:00"/>
    <s v="Liaison inter-établissement"/>
    <s v="Non"/>
    <s v="Non"/>
    <e v="#N/A"/>
    <n v="77452"/>
    <m/>
    <s v="BUSINOVE"/>
    <s v="Q2"/>
    <e v="#REF!"/>
    <e v="#REF!"/>
    <e v="#REF!"/>
  </r>
  <r>
    <s v="408100"/>
    <x v="6"/>
    <s v="FOURNISSEURS - FACTURES NON PARVENUES"/>
    <s v="OD"/>
    <n v="-2750"/>
    <d v="2025-03-31T00:00:00"/>
    <s v="FNP TAROS SYNTHÈSE ET DÉVELOPPEMENT DE 1KG CYANOBENZOIC ACID - KEENB"/>
    <m/>
    <e v="#N/A"/>
    <e v="#N/A"/>
    <n v="77487"/>
    <m/>
    <s v="Taros Chemicals GmbH &amp; Co. KG"/>
    <s v="Q1"/>
    <e v="#REF!"/>
    <e v="#REF!"/>
    <e v="#REF!"/>
  </r>
  <r>
    <s v="408100"/>
    <x v="6"/>
    <s v="FOURNISSEURS - FACTURES NON PARVENUES"/>
    <s v="OD"/>
    <n v="-2133.42"/>
    <d v="2025-09-01T00:00:00"/>
    <s v="AAR - DENIOS"/>
    <m/>
    <e v="#N/A"/>
    <e v="#N/A"/>
    <n v="89303"/>
    <m/>
    <s v="DENIOS"/>
    <s v="Q3"/>
    <e v="#REF!"/>
    <e v="#REF!"/>
    <e v="#REF!"/>
  </r>
  <r>
    <s v="408100"/>
    <x v="6"/>
    <s v="FOURNISSEURS - FACTURES NON PARVENUES"/>
    <s v="OD"/>
    <n v="-2133.42"/>
    <d v="2025-09-01T00:00:00"/>
    <s v="Liaison inter-établissement vers KB "/>
    <m/>
    <e v="#N/A"/>
    <e v="#N/A"/>
    <n v="92183"/>
    <m/>
    <s v="DENIOS"/>
    <s v="Q3"/>
    <e v="#REF!"/>
    <e v="#REF!"/>
    <e v="#REF!"/>
  </r>
  <r>
    <s v="408100"/>
    <x v="6"/>
    <s v="FOURNISSEURS - FACTURES NON PARVENUES"/>
    <s v="OD"/>
    <n v="-2000"/>
    <d v="2025-03-31T00:00:00"/>
    <s v="Liaison inter-établissement"/>
    <s v="Non"/>
    <s v="Non"/>
    <e v="#N/A"/>
    <n v="77448"/>
    <m/>
    <s v="BUSINOVE"/>
    <s v="Q1"/>
    <e v="#REF!"/>
    <e v="#REF!"/>
    <e v="#REF!"/>
  </r>
  <r>
    <s v="408100"/>
    <x v="6"/>
    <s v="FOURNISSEURS - FACTURES NON PARVENUES"/>
    <s v="OD"/>
    <n v="-1800"/>
    <d v="2025-03-01T00:00:00"/>
    <s v="FNP - Conseil Scientifique - CB"/>
    <s v="Non"/>
    <s v="Non"/>
    <e v="#N/A"/>
    <n v="77491"/>
    <m/>
    <s v="BIOADVICE"/>
    <s v="Q1"/>
    <e v="#REF!"/>
    <e v="#REF!"/>
    <e v="#REF!"/>
  </r>
  <r>
    <s v="408100"/>
    <x v="6"/>
    <s v="FOURNISSEURS - FACTURES NON PARVENUES"/>
    <s v="OD"/>
    <n v="-1800"/>
    <d v="2025-03-31T00:00:00"/>
    <s v="Liaison inter-établissement"/>
    <s v="Non"/>
    <s v="Non"/>
    <e v="#N/A"/>
    <n v="77513"/>
    <m/>
    <s v="BIOADVICE"/>
    <s v="Q1"/>
    <e v="#REF!"/>
    <e v="#REF!"/>
    <e v="#REF!"/>
  </r>
  <r>
    <s v="408100"/>
    <x v="6"/>
    <s v="FOURNISSEURS - FACTURES NON PARVENUES"/>
    <s v="OD"/>
    <n v="-1636"/>
    <d v="2025-02-01T00:00:00"/>
    <s v="FNP ENGIE"/>
    <m/>
    <e v="#N/A"/>
    <e v="#N/A"/>
    <n v="77412"/>
    <m/>
    <s v="ENGIE"/>
    <s v="Q1"/>
    <e v="#REF!"/>
    <e v="#REF!"/>
    <e v="#REF!"/>
  </r>
  <r>
    <s v="408100"/>
    <x v="6"/>
    <s v="FOURNISSEURS - FACTURES NON PARVENUES"/>
    <s v="OD"/>
    <n v="-1500"/>
    <d v="2025-03-01T00:00:00"/>
    <s v="FNP - Conseil Scientifique - SR"/>
    <s v="Oui"/>
    <s v="Non"/>
    <e v="#N/A"/>
    <n v="77496"/>
    <m/>
    <s v="CONSEIL CPP"/>
    <s v="Q1"/>
    <e v="#REF!"/>
    <e v="#REF!"/>
    <e v="#REF!"/>
  </r>
  <r>
    <s v="408100"/>
    <x v="6"/>
    <s v="FOURNISSEURS - FACTURES NON PARVENUES"/>
    <s v="OD"/>
    <n v="-1500"/>
    <d v="2025-05-06T00:00:00"/>
    <s v="Liaison inter-établissement"/>
    <s v="Oui"/>
    <s v="Non"/>
    <e v="#N/A"/>
    <n v="77507"/>
    <m/>
    <s v="CONSEIL CPP"/>
    <s v="Q2"/>
    <e v="#REF!"/>
    <e v="#REF!"/>
    <e v="#REF!"/>
  </r>
  <r>
    <s v="408100"/>
    <x v="6"/>
    <s v="FOURNISSEURS - FACTURES NON PARVENUES"/>
    <s v="OD"/>
    <n v="-1495.72"/>
    <d v="2025-09-30T00:00:00"/>
    <s v="FNP ENGIE"/>
    <m/>
    <e v="#N/A"/>
    <e v="#N/A"/>
    <n v="89445"/>
    <m/>
    <s v="ENGIE"/>
    <s v="Q3"/>
    <e v="#REF!"/>
    <e v="#REF!"/>
    <e v="#REF!"/>
  </r>
  <r>
    <s v="408100"/>
    <x v="6"/>
    <s v="FOURNISSEURS - FACTURES NON PARVENUES"/>
    <s v="OD"/>
    <n v="-1300"/>
    <d v="2025-03-01T00:00:00"/>
    <s v="FNP - Conseil Scientifique - ZA"/>
    <s v="Non"/>
    <s v="Non"/>
    <e v="#N/A"/>
    <n v="77504"/>
    <m/>
    <s v="CHEM"/>
    <s v="Q1"/>
    <e v="#REF!"/>
    <e v="#REF!"/>
    <e v="#REF!"/>
  </r>
  <r>
    <s v="408100"/>
    <x v="6"/>
    <s v="FOURNISSEURS - FACTURES NON PARVENUES"/>
    <s v="OD"/>
    <n v="-1300"/>
    <d v="2025-05-11T00:00:00"/>
    <s v="Liaison inter-établissement"/>
    <s v="Non"/>
    <s v="Non"/>
    <e v="#N/A"/>
    <n v="77517"/>
    <m/>
    <s v="CHEM"/>
    <s v="Q2"/>
    <e v="#REF!"/>
    <e v="#REF!"/>
    <e v="#REF!"/>
  </r>
  <r>
    <s v="408100"/>
    <x v="6"/>
    <s v="FOURNISSEURS - FACTURES NON PARVENUES"/>
    <s v="OD"/>
    <n v="-1200"/>
    <d v="2025-01-01T00:00:00"/>
    <s v="FORFAIT MISSION CIR 2025"/>
    <s v="Non"/>
    <s v="Non"/>
    <e v="#N/A"/>
    <n v="77460"/>
    <s v="FNP_BUSINOVE_2025"/>
    <s v="BUSINOVE"/>
    <s v="Q1"/>
    <e v="#REF!"/>
    <e v="#REF!"/>
    <e v="#REF!"/>
  </r>
  <r>
    <s v="408100"/>
    <x v="6"/>
    <s v="FOURNISSEURS - FACTURES NON PARVENUES"/>
    <s v="OD"/>
    <n v="-1200"/>
    <d v="2025-02-01T00:00:00"/>
    <s v="FORFAIT MISSION CIR 2025"/>
    <s v="Non"/>
    <s v="Non"/>
    <e v="#N/A"/>
    <n v="77462"/>
    <s v="FNP_BUSINOVE_2025"/>
    <s v="BUSINOVE"/>
    <s v="Q1"/>
    <e v="#REF!"/>
    <e v="#REF!"/>
    <e v="#REF!"/>
  </r>
  <r>
    <s v="408100"/>
    <x v="6"/>
    <s v="FOURNISSEURS - FACTURES NON PARVENUES"/>
    <s v="OD"/>
    <n v="-1200"/>
    <d v="2025-03-01T00:00:00"/>
    <s v="FORFAIT MISSION CIR 2025"/>
    <s v="Non"/>
    <s v="Non"/>
    <e v="#N/A"/>
    <n v="77464"/>
    <s v="FNP_BUSINOVE_2025"/>
    <s v="BUSINOVE"/>
    <s v="Q1"/>
    <e v="#REF!"/>
    <e v="#REF!"/>
    <e v="#REF!"/>
  </r>
  <r>
    <s v="408100"/>
    <x v="6"/>
    <s v="FOURNISSEURS - FACTURES NON PARVENUES"/>
    <s v="OD"/>
    <n v="-1200"/>
    <d v="2025-04-01T00:00:00"/>
    <s v="FORFAIT MISSION CIR 2025"/>
    <s v="Non"/>
    <s v="Non"/>
    <e v="#N/A"/>
    <n v="77466"/>
    <s v="FNP_BUSINOVE_2025"/>
    <s v="BUSINOVE"/>
    <s v="Q2"/>
    <e v="#REF!"/>
    <e v="#REF!"/>
    <e v="#REF!"/>
  </r>
  <r>
    <s v="408100"/>
    <x v="6"/>
    <s v="FOURNISSEURS - FACTURES NON PARVENUES"/>
    <s v="OD"/>
    <n v="-1200"/>
    <d v="2025-05-01T00:00:00"/>
    <s v="FORFAIT MISSION CIR 2025"/>
    <s v="Non"/>
    <s v="Non"/>
    <e v="#N/A"/>
    <n v="77468"/>
    <s v="FNP_BUSINOVE_2025"/>
    <s v="BUSINOVE"/>
    <s v="Q2"/>
    <e v="#REF!"/>
    <e v="#REF!"/>
    <e v="#REF!"/>
  </r>
  <r>
    <s v="408100"/>
    <x v="6"/>
    <s v="FOURNISSEURS - FACTURES NON PARVENUES"/>
    <s v="OD"/>
    <n v="-1200"/>
    <d v="2025-06-01T00:00:00"/>
    <s v="FORFAIT MISSION CIR 2025"/>
    <s v="Non"/>
    <s v="Non"/>
    <e v="#N/A"/>
    <n v="77470"/>
    <s v="FNP_BUSINOVE_2025"/>
    <s v="BUSINOVE"/>
    <s v="Q2"/>
    <e v="#REF!"/>
    <e v="#REF!"/>
    <e v="#REF!"/>
  </r>
  <r>
    <s v="408100"/>
    <x v="6"/>
    <s v="FOURNISSEURS - FACTURES NON PARVENUES"/>
    <s v="OD"/>
    <n v="-1200"/>
    <d v="2025-07-01T00:00:00"/>
    <s v="FORFAIT MISSION CIR 2025"/>
    <s v="Non"/>
    <s v="Non"/>
    <e v="#N/A"/>
    <n v="77472"/>
    <s v="FNP_BUSINOVE_2025"/>
    <s v="BUSINOVE"/>
    <s v="Q3"/>
    <e v="#REF!"/>
    <e v="#REF!"/>
    <e v="#REF!"/>
  </r>
  <r>
    <s v="408100"/>
    <x v="6"/>
    <s v="FOURNISSEURS - FACTURES NON PARVENUES"/>
    <s v="OD"/>
    <n v="-1200"/>
    <d v="2025-08-01T00:00:00"/>
    <s v="FORFAIT MISSION CIR 2025"/>
    <s v="Non"/>
    <s v="Non"/>
    <e v="#N/A"/>
    <n v="77474"/>
    <s v="FNP_BUSINOVE_2025"/>
    <s v="BUSINOVE"/>
    <s v="Q3"/>
    <e v="#REF!"/>
    <e v="#REF!"/>
    <e v="#REF!"/>
  </r>
  <r>
    <s v="408100"/>
    <x v="6"/>
    <s v="FOURNISSEURS - FACTURES NON PARVENUES"/>
    <s v="OD"/>
    <n v="-1200"/>
    <d v="2025-09-01T00:00:00"/>
    <s v="FORFAIT MISSION CIR 2025"/>
    <s v="Non"/>
    <s v="Non"/>
    <e v="#N/A"/>
    <n v="77476"/>
    <s v="FNP_BUSINOVE_2025"/>
    <s v="BUSINOVE"/>
    <s v="Q3"/>
    <e v="#REF!"/>
    <e v="#REF!"/>
    <e v="#REF!"/>
  </r>
  <r>
    <s v="408100"/>
    <x v="6"/>
    <s v="FOURNISSEURS - FACTURES NON PARVENUES"/>
    <s v="OD"/>
    <n v="-1200"/>
    <d v="2025-10-01T00:00:00"/>
    <s v="FORFAIT MISSION CIR 2025"/>
    <s v="Non"/>
    <s v="Non"/>
    <e v="#N/A"/>
    <n v="77478"/>
    <s v="FNP_BUSINOVE_2025"/>
    <s v="BUSINOVE"/>
    <s v="Q4"/>
    <e v="#REF!"/>
    <e v="#REF!"/>
    <e v="#REF!"/>
  </r>
  <r>
    <s v="408100"/>
    <x v="6"/>
    <s v="FOURNISSEURS - FACTURES NON PARVENUES"/>
    <s v="OD"/>
    <n v="-1200"/>
    <d v="2025-11-01T00:00:00"/>
    <s v="FORFAIT MISSION CIR 2025"/>
    <s v="Non"/>
    <s v="Non"/>
    <e v="#N/A"/>
    <n v="77480"/>
    <s v="FNP_BUSINOVE_2025"/>
    <s v="BUSINOVE"/>
    <s v="Q4"/>
    <e v="#REF!"/>
    <e v="#REF!"/>
    <e v="#REF!"/>
  </r>
  <r>
    <s v="408100"/>
    <x v="6"/>
    <s v="FOURNISSEURS - FACTURES NON PARVENUES"/>
    <s v="OD"/>
    <n v="-1200"/>
    <d v="2025-12-01T00:00:00"/>
    <s v="FORFAIT MISSION CIR 2025"/>
    <s v="Non"/>
    <s v="Non"/>
    <e v="#N/A"/>
    <n v="77482"/>
    <s v="FNP_BUSINOVE_2025"/>
    <s v="BUSINOVE"/>
    <s v="Q4"/>
    <e v="#REF!"/>
    <e v="#REF!"/>
    <e v="#REF!"/>
  </r>
  <r>
    <s v="408100"/>
    <x v="6"/>
    <s v="FOURNISSEURS - FACTURES NON PARVENUES"/>
    <s v="OD"/>
    <n v="-1123.3"/>
    <d v="2025-04-01T00:00:00"/>
    <s v="LOCATION LYON 202504"/>
    <m/>
    <e v="#N/A"/>
    <e v="#N/A"/>
    <n v="89843"/>
    <s v="FNP REGIE CONSEIL"/>
    <s v="REGIE CONSEIL"/>
    <s v="Q2"/>
    <e v="#REF!"/>
    <e v="#REF!"/>
    <e v="#REF!"/>
  </r>
  <r>
    <s v="408100"/>
    <x v="6"/>
    <s v="FOURNISSEURS - FACTURES NON PARVENUES"/>
    <s v="OD"/>
    <n v="-1123.3"/>
    <d v="2025-04-01T00:00:00"/>
    <s v="Liaison inter-établissement"/>
    <m/>
    <e v="#N/A"/>
    <e v="#N/A"/>
    <n v="92127"/>
    <m/>
    <s v="REGIE CONSEIL"/>
    <s v="Q2"/>
    <e v="#REF!"/>
    <e v="#REF!"/>
    <e v="#REF!"/>
  </r>
  <r>
    <s v="408100"/>
    <x v="6"/>
    <s v="FOURNISSEURS - FACTURES NON PARVENUES"/>
    <s v="OD"/>
    <n v="-1027"/>
    <d v="2025-01-01T00:00:00"/>
    <s v="FNP ENGIE"/>
    <m/>
    <e v="#N/A"/>
    <e v="#N/A"/>
    <n v="77410"/>
    <m/>
    <s v="ENGIE"/>
    <s v="Q1"/>
    <e v="#REF!"/>
    <e v="#REF!"/>
    <e v="#REF!"/>
  </r>
  <r>
    <s v="408100"/>
    <x v="6"/>
    <s v="FOURNISSEURS - FACTURES NON PARVENUES"/>
    <s v="OD"/>
    <n v="-1000"/>
    <d v="2025-03-01T00:00:00"/>
    <s v="FNP - Conseil Scientifique - WD"/>
    <s v="Non"/>
    <s v="Non"/>
    <e v="#N/A"/>
    <n v="77502"/>
    <m/>
    <s v="IN MANAGEMENT"/>
    <s v="Q1"/>
    <e v="#REF!"/>
    <e v="#REF!"/>
    <e v="#REF!"/>
  </r>
  <r>
    <s v="408100"/>
    <x v="6"/>
    <s v="FOURNISSEURS - FACTURES NON PARVENUES"/>
    <s v="OD"/>
    <n v="-1000"/>
    <d v="2025-04-15T00:00:00"/>
    <s v="Liaison inter-établissement"/>
    <s v="Non"/>
    <s v="Non"/>
    <e v="#N/A"/>
    <n v="77526"/>
    <m/>
    <s v="IN MANAGEMENT"/>
    <s v="Q2"/>
    <e v="#REF!"/>
    <e v="#REF!"/>
    <e v="#REF!"/>
  </r>
  <r>
    <s v="408100"/>
    <x v="6"/>
    <s v="FOURNISSEURS - FACTURES NON PARVENUES"/>
    <s v="OD"/>
    <n v="-756"/>
    <d v="2025-07-01T00:00:00"/>
    <s v="BUSINESS INTERNET"/>
    <m/>
    <e v="#N/A"/>
    <e v="#N/A"/>
    <n v="89473"/>
    <s v="FNP ORANGE"/>
    <s v="ORANGE"/>
    <s v="Q3"/>
    <e v="#REF!"/>
    <e v="#REF!"/>
    <e v="#REF!"/>
  </r>
  <r>
    <s v="408100"/>
    <x v="6"/>
    <s v="FOURNISSEURS - FACTURES NON PARVENUES"/>
    <s v="OD"/>
    <n v="-756"/>
    <d v="2025-07-01T00:00:00"/>
    <s v="Liaison inter-établissement"/>
    <m/>
    <e v="#N/A"/>
    <e v="#N/A"/>
    <n v="89503"/>
    <m/>
    <s v="ORANGE"/>
    <s v="Q3"/>
    <e v="#REF!"/>
    <e v="#REF!"/>
    <e v="#REF!"/>
  </r>
  <r>
    <s v="408100"/>
    <x v="6"/>
    <s v="FOURNISSEURS - FACTURES NON PARVENUES"/>
    <s v="OD"/>
    <n v="-562.30999999999995"/>
    <d v="2025-05-05T00:00:00"/>
    <s v="Liaison inter-établissement"/>
    <s v="Non"/>
    <s v="Non"/>
    <e v="#N/A"/>
    <n v="77458"/>
    <m/>
    <s v="BUSINOVE"/>
    <s v="Q2"/>
    <e v="#REF!"/>
    <e v="#REF!"/>
    <e v="#REF!"/>
  </r>
  <r>
    <s v="408100"/>
    <x v="6"/>
    <s v="FOURNISSEURS - FACTURES NON PARVENUES"/>
    <s v="OD"/>
    <n v="-458.41"/>
    <d v="2025-03-31T00:00:00"/>
    <s v="LOYER INSA TWB - 2024 - REPRISE FNP"/>
    <m/>
    <e v="#N/A"/>
    <e v="#N/A"/>
    <n v="77531"/>
    <m/>
    <s v="INSA TOULOUSE"/>
    <s v="Q1"/>
    <e v="#REF!"/>
    <e v="#REF!"/>
    <e v="#REF!"/>
  </r>
  <r>
    <s v="408100"/>
    <x v="6"/>
    <s v="FOURNISSEURS - FACTURES NON PARVENUES"/>
    <s v="OD"/>
    <n v="-450.05"/>
    <d v="2025-04-01T00:00:00"/>
    <s v="Liaison inter-établissement"/>
    <m/>
    <e v="#N/A"/>
    <e v="#N/A"/>
    <n v="89495"/>
    <m/>
    <s v="ORANGE"/>
    <s v="Q2"/>
    <e v="#REF!"/>
    <e v="#REF!"/>
    <e v="#REF!"/>
  </r>
  <r>
    <s v="408100"/>
    <x v="6"/>
    <s v="FOURNISSEURS - FACTURES NON PARVENUES"/>
    <s v="OD"/>
    <n v="-450.05"/>
    <d v="2025-04-01T00:00:00"/>
    <s v="MOBILE - PERFORMANCE PRO - 13 LIGNES"/>
    <m/>
    <e v="#N/A"/>
    <e v="#N/A"/>
    <n v="89461"/>
    <s v="FNP ORANGE"/>
    <s v="ORANGE"/>
    <s v="Q2"/>
    <e v="#REF!"/>
    <e v="#REF!"/>
    <e v="#REF!"/>
  </r>
  <r>
    <s v="408100"/>
    <x v="6"/>
    <s v="FOURNISSEURS - FACTURES NON PARVENUES"/>
    <s v="OD"/>
    <n v="-436.4"/>
    <d v="2025-08-01T00:00:00"/>
    <s v="Liaison inter-établissement"/>
    <m/>
    <e v="#N/A"/>
    <e v="#N/A"/>
    <n v="89507"/>
    <m/>
    <s v="ORANGE"/>
    <s v="Q3"/>
    <e v="#REF!"/>
    <e v="#REF!"/>
    <e v="#REF!"/>
  </r>
  <r>
    <s v="408100"/>
    <x v="6"/>
    <s v="FOURNISSEURS - FACTURES NON PARVENUES"/>
    <s v="OD"/>
    <n v="-436.4"/>
    <d v="2025-08-01T00:00:00"/>
    <s v="MOBILE - PERFORMANCE PRO - 13 LIGNES"/>
    <m/>
    <e v="#N/A"/>
    <e v="#N/A"/>
    <n v="89469"/>
    <s v="FNP ORANGE"/>
    <s v="ORANGE"/>
    <s v="Q3"/>
    <e v="#REF!"/>
    <e v="#REF!"/>
    <e v="#REF!"/>
  </r>
  <r>
    <s v="408100"/>
    <x v="6"/>
    <s v="FOURNISSEURS - FACTURES NON PARVENUES"/>
    <s v="OD"/>
    <n v="-382.5"/>
    <d v="2025-06-01T00:00:00"/>
    <s v="Liaison inter-établissement"/>
    <m/>
    <e v="#N/A"/>
    <e v="#N/A"/>
    <n v="89499"/>
    <m/>
    <s v="ORANGE"/>
    <s v="Q2"/>
    <e v="#REF!"/>
    <e v="#REF!"/>
    <e v="#REF!"/>
  </r>
  <r>
    <s v="408100"/>
    <x v="6"/>
    <s v="FOURNISSEURS - FACTURES NON PARVENUES"/>
    <s v="OD"/>
    <n v="-382.5"/>
    <d v="2025-06-01T00:00:00"/>
    <s v="MOBILE - PERFORMANCE PRO - 13 LIGNES"/>
    <m/>
    <e v="#N/A"/>
    <e v="#N/A"/>
    <n v="89465"/>
    <s v="FNP ORANGE"/>
    <s v="ORANGE"/>
    <s v="Q2"/>
    <e v="#REF!"/>
    <e v="#REF!"/>
    <e v="#REF!"/>
  </r>
  <r>
    <s v="408100"/>
    <x v="6"/>
    <s v="FOURNISSEURS - FACTURES NON PARVENUES"/>
    <s v="OD"/>
    <n v="-201.42"/>
    <d v="2025-02-01T00:00:00"/>
    <s v="Liaison inter-établissement"/>
    <m/>
    <e v="#N/A"/>
    <e v="#N/A"/>
    <n v="89487"/>
    <m/>
    <s v="ORANGE"/>
    <s v="Q1"/>
    <e v="#REF!"/>
    <e v="#REF!"/>
    <e v="#REF!"/>
  </r>
  <r>
    <s v="408100"/>
    <x v="6"/>
    <s v="FOURNISSEURS - FACTURES NON PARVENUES"/>
    <s v="OD"/>
    <n v="-201.42"/>
    <d v="2025-02-01T00:00:00"/>
    <s v="MOBILE - PERFORMANCE PRO - 8 LIGNES"/>
    <m/>
    <e v="#N/A"/>
    <e v="#N/A"/>
    <n v="89477"/>
    <s v="FNP ORANGE"/>
    <s v="ORANGE"/>
    <s v="Q1"/>
    <e v="#REF!"/>
    <e v="#REF!"/>
    <e v="#REF!"/>
  </r>
  <r>
    <s v="408100"/>
    <x v="6"/>
    <s v="FOURNISSEURS - FACTURES NON PARVENUES"/>
    <s v="OD"/>
    <n v="-43.5"/>
    <d v="2025-02-01T00:00:00"/>
    <s v="Liaison inter-établissement"/>
    <m/>
    <e v="#N/A"/>
    <e v="#N/A"/>
    <n v="89491"/>
    <m/>
    <s v="ORANGE"/>
    <s v="Q1"/>
    <e v="#REF!"/>
    <e v="#REF!"/>
    <e v="#REF!"/>
  </r>
  <r>
    <s v="408100"/>
    <x v="6"/>
    <s v="FOURNISSEURS - FACTURES NON PARVENUES"/>
    <s v="OD"/>
    <n v="-43.5"/>
    <d v="2025-02-01T00:00:00"/>
    <s v="MOBILE - PERFORMANCE PRO - 1 LIGNE"/>
    <m/>
    <e v="#N/A"/>
    <e v="#N/A"/>
    <n v="89481"/>
    <s v="FNP ORANGE"/>
    <s v="ORANGE"/>
    <s v="Q1"/>
    <e v="#REF!"/>
    <e v="#REF!"/>
    <e v="#REF!"/>
  </r>
  <r>
    <s v="408100"/>
    <x v="6"/>
    <s v="FOURNISSEURS - FACTURES NON PARVENUES"/>
    <s v="OD"/>
    <n v="-35.79"/>
    <d v="2025-09-30T00:00:00"/>
    <s v="FNP ENGIE"/>
    <m/>
    <e v="#N/A"/>
    <e v="#N/A"/>
    <n v="89458"/>
    <m/>
    <s v="ENGIE"/>
    <s v="Q3"/>
    <e v="#REF!"/>
    <e v="#REF!"/>
    <e v="#REF!"/>
  </r>
  <r>
    <s v="408100"/>
    <x v="6"/>
    <s v="FOURNISSEURS - FACTURES NON PARVENUES"/>
    <s v="OD"/>
    <n v="-35.79"/>
    <d v="2025-09-30T00:00:00"/>
    <s v="Liaison inter-établissement vers LY "/>
    <m/>
    <e v="#N/A"/>
    <e v="#N/A"/>
    <n v="89538"/>
    <m/>
    <s v="ENGIE"/>
    <s v="Q3"/>
    <e v="#REF!"/>
    <e v="#REF!"/>
    <e v="#REF!"/>
  </r>
  <r>
    <s v="408100"/>
    <x v="6"/>
    <s v="FOURNISSEURS - FACTURES NON PARVENUES"/>
    <s v="OD"/>
    <n v="-3.48"/>
    <d v="2025-04-01T00:00:00"/>
    <s v="FNP ENGIE"/>
    <m/>
    <e v="#N/A"/>
    <e v="#N/A"/>
    <n v="89441"/>
    <m/>
    <s v="ENGIE"/>
    <s v="Q2"/>
    <e v="#REF!"/>
    <e v="#REF!"/>
    <e v="#REF!"/>
  </r>
  <r>
    <s v="408100"/>
    <x v="6"/>
    <s v="FOURNISSEURS - FACTURES NON PARVENUES"/>
    <s v="OD"/>
    <n v="-3.48"/>
    <d v="2025-04-01T00:00:00"/>
    <s v="Liaison inter-établissement"/>
    <m/>
    <e v="#N/A"/>
    <e v="#N/A"/>
    <n v="89453"/>
    <m/>
    <s v="ENGIE"/>
    <s v="Q2"/>
    <e v="#REF!"/>
    <e v="#REF!"/>
    <e v="#REF!"/>
  </r>
  <r>
    <s v="408100"/>
    <x v="6"/>
    <s v="FOURNISSEURS - FACTURES NON PARVENUES"/>
    <s v="OD"/>
    <n v="-1"/>
    <d v="2025-03-31T00:00:00"/>
    <s v="LOYER INSA TWB - 2024 - REPRISE FNP"/>
    <m/>
    <e v="#N/A"/>
    <e v="#N/A"/>
    <n v="77538"/>
    <m/>
    <m/>
    <s v="Q1"/>
    <e v="#REF!"/>
    <e v="#REF!"/>
    <e v="#REF!"/>
  </r>
  <r>
    <s v="408100"/>
    <x v="6"/>
    <s v="FOURNISSEURS - FACTURES NON PARVENUES"/>
    <s v="OD"/>
    <n v="1"/>
    <d v="2025-03-31T00:00:00"/>
    <s v="LOYER INSA TWB - 2024 - REPRISE FNP"/>
    <m/>
    <e v="#N/A"/>
    <e v="#N/A"/>
    <n v="77537"/>
    <m/>
    <m/>
    <s v="Q1"/>
    <e v="#REF!"/>
    <e v="#REF!"/>
    <e v="#REF!"/>
  </r>
  <r>
    <s v="408100"/>
    <x v="6"/>
    <s v="FOURNISSEURS - FACTURES NON PARVENUES"/>
    <s v="OD"/>
    <n v="3.48"/>
    <d v="2025-04-01T00:00:00"/>
    <s v="FNP ENGIE"/>
    <m/>
    <e v="#N/A"/>
    <e v="#N/A"/>
    <n v="89443"/>
    <m/>
    <s v="ENGIE"/>
    <s v="Q2"/>
    <e v="#REF!"/>
    <e v="#REF!"/>
    <e v="#REF!"/>
  </r>
  <r>
    <s v="408100"/>
    <x v="6"/>
    <s v="FOURNISSEURS - FACTURES NON PARVENUES"/>
    <s v="OD"/>
    <n v="3.48"/>
    <d v="2025-04-01T00:00:00"/>
    <s v="Liaison inter-établissement vers TO "/>
    <m/>
    <e v="#N/A"/>
    <e v="#N/A"/>
    <n v="89452"/>
    <m/>
    <s v="ENGIE"/>
    <s v="Q2"/>
    <e v="#REF!"/>
    <e v="#REF!"/>
    <e v="#REF!"/>
  </r>
  <r>
    <s v="408100"/>
    <x v="6"/>
    <s v="FOURNISSEURS - FACTURES NON PARVENUES"/>
    <s v="OD"/>
    <n v="35.79"/>
    <d v="2025-09-30T00:00:00"/>
    <s v="FNP ENGIE"/>
    <m/>
    <e v="#N/A"/>
    <e v="#N/A"/>
    <n v="89455"/>
    <m/>
    <s v="ENGIE"/>
    <s v="Q3"/>
    <e v="#REF!"/>
    <e v="#REF!"/>
    <e v="#REF!"/>
  </r>
  <r>
    <s v="408100"/>
    <x v="6"/>
    <s v="FOURNISSEURS - FACTURES NON PARVENUES"/>
    <s v="OD"/>
    <n v="35.79"/>
    <d v="2025-09-30T00:00:00"/>
    <s v="Liaison inter-établissement"/>
    <m/>
    <e v="#N/A"/>
    <e v="#N/A"/>
    <n v="89539"/>
    <m/>
    <s v="ENGIE"/>
    <s v="Q3"/>
    <e v="#REF!"/>
    <e v="#REF!"/>
    <e v="#REF!"/>
  </r>
  <r>
    <s v="408100"/>
    <x v="6"/>
    <s v="FOURNISSEURS - FACTURES NON PARVENUES"/>
    <s v="OD"/>
    <n v="43.5"/>
    <d v="2025-02-01T00:00:00"/>
    <s v="Liaison inter-établissement vers KB "/>
    <m/>
    <e v="#N/A"/>
    <e v="#N/A"/>
    <n v="89490"/>
    <m/>
    <s v="ORANGE"/>
    <s v="Q1"/>
    <e v="#REF!"/>
    <e v="#REF!"/>
    <e v="#REF!"/>
  </r>
  <r>
    <s v="408100"/>
    <x v="6"/>
    <s v="FOURNISSEURS - FACTURES NON PARVENUES"/>
    <s v="OD"/>
    <n v="43.5"/>
    <d v="2025-02-01T00:00:00"/>
    <s v="MOBILE - PERFORMANCE PRO - 1 LIGNE"/>
    <m/>
    <e v="#N/A"/>
    <e v="#N/A"/>
    <n v="89483"/>
    <s v="FNP ORANGE"/>
    <s v="ORANGE"/>
    <s v="Q1"/>
    <e v="#REF!"/>
    <e v="#REF!"/>
    <e v="#REF!"/>
  </r>
  <r>
    <s v="408100"/>
    <x v="6"/>
    <s v="FOURNISSEURS - FACTURES NON PARVENUES"/>
    <s v="OD"/>
    <n v="201.42"/>
    <d v="2025-02-01T00:00:00"/>
    <s v="Liaison inter-établissement vers TO "/>
    <m/>
    <e v="#N/A"/>
    <e v="#N/A"/>
    <n v="89486"/>
    <m/>
    <s v="ORANGE"/>
    <s v="Q1"/>
    <e v="#REF!"/>
    <e v="#REF!"/>
    <e v="#REF!"/>
  </r>
  <r>
    <s v="408100"/>
    <x v="6"/>
    <s v="FOURNISSEURS - FACTURES NON PARVENUES"/>
    <s v="OD"/>
    <n v="201.42"/>
    <d v="2025-02-01T00:00:00"/>
    <s v="MOBILE - PERFORMANCE PRO - 8 LIGNES"/>
    <m/>
    <e v="#N/A"/>
    <e v="#N/A"/>
    <n v="89479"/>
    <s v="FNP ORANGE"/>
    <s v="ORANGE"/>
    <s v="Q1"/>
    <e v="#REF!"/>
    <e v="#REF!"/>
    <e v="#REF!"/>
  </r>
  <r>
    <s v="408100"/>
    <x v="6"/>
    <s v="FOURNISSEURS - FACTURES NON PARVENUES"/>
    <s v="OD"/>
    <n v="288.22000000000003"/>
    <d v="2025-01-31T00:00:00"/>
    <s v="EXT - FNP de Cloture"/>
    <s v="Non"/>
    <s v="Non"/>
    <e v="#N/A"/>
    <n v="77557"/>
    <m/>
    <s v="F2P AUDIT &amp; CONSEIL"/>
    <s v="Q1"/>
    <e v="#REF!"/>
    <e v="#REF!"/>
    <e v="#REF!"/>
  </r>
  <r>
    <s v="408100"/>
    <x v="6"/>
    <s v="FOURNISSEURS - FACTURES NON PARVENUES"/>
    <s v="OD"/>
    <n v="382.5"/>
    <d v="2025-06-01T00:00:00"/>
    <s v="Liaison inter-établissement vers KB "/>
    <m/>
    <e v="#N/A"/>
    <e v="#N/A"/>
    <n v="89498"/>
    <m/>
    <s v="ORANGE"/>
    <s v="Q2"/>
    <e v="#REF!"/>
    <e v="#REF!"/>
    <e v="#REF!"/>
  </r>
  <r>
    <s v="408100"/>
    <x v="6"/>
    <s v="FOURNISSEURS - FACTURES NON PARVENUES"/>
    <s v="OD"/>
    <n v="382.5"/>
    <d v="2025-06-01T00:00:00"/>
    <s v="MOBILE - PERFORMANCE PRO - 13 LIGNES"/>
    <m/>
    <e v="#N/A"/>
    <e v="#N/A"/>
    <n v="89467"/>
    <s v="FNP ORANGE"/>
    <s v="ORANGE"/>
    <s v="Q2"/>
    <e v="#REF!"/>
    <e v="#REF!"/>
    <e v="#REF!"/>
  </r>
  <r>
    <s v="408100"/>
    <x v="6"/>
    <s v="FOURNISSEURS - FACTURES NON PARVENUES"/>
    <s v="OD"/>
    <n v="400"/>
    <d v="2025-05-31T00:00:00"/>
    <s v="EXT - FNP de Cloture"/>
    <s v="Non"/>
    <s v="Non"/>
    <e v="#N/A"/>
    <n v="77545"/>
    <m/>
    <s v="F2P AUDIT &amp; CONSEIL"/>
    <s v="Q2"/>
    <e v="#REF!"/>
    <e v="#REF!"/>
    <e v="#REF!"/>
  </r>
  <r>
    <s v="408100"/>
    <x v="6"/>
    <s v="FOURNISSEURS - FACTURES NON PARVENUES"/>
    <s v="OD"/>
    <n v="436.4"/>
    <d v="2025-08-01T00:00:00"/>
    <s v="Liaison inter-établissement vers KB "/>
    <m/>
    <e v="#N/A"/>
    <e v="#N/A"/>
    <n v="89506"/>
    <m/>
    <s v="ORANGE"/>
    <s v="Q3"/>
    <e v="#REF!"/>
    <e v="#REF!"/>
    <e v="#REF!"/>
  </r>
  <r>
    <s v="408100"/>
    <x v="6"/>
    <s v="FOURNISSEURS - FACTURES NON PARVENUES"/>
    <s v="OD"/>
    <n v="436.4"/>
    <d v="2025-08-01T00:00:00"/>
    <s v="MOBILE - PERFORMANCE PRO - 13 LIGNES"/>
    <m/>
    <e v="#N/A"/>
    <e v="#N/A"/>
    <n v="89471"/>
    <s v="FNP ORANGE"/>
    <s v="ORANGE"/>
    <s v="Q3"/>
    <e v="#REF!"/>
    <e v="#REF!"/>
    <e v="#REF!"/>
  </r>
  <r>
    <s v="408100"/>
    <x v="6"/>
    <s v="FOURNISSEURS - FACTURES NON PARVENUES"/>
    <s v="OD"/>
    <n v="450.05"/>
    <d v="2025-04-01T00:00:00"/>
    <s v="Liaison inter-établissement vers KB "/>
    <m/>
    <e v="#N/A"/>
    <e v="#N/A"/>
    <n v="89494"/>
    <m/>
    <s v="ORANGE"/>
    <s v="Q2"/>
    <e v="#REF!"/>
    <e v="#REF!"/>
    <e v="#REF!"/>
  </r>
  <r>
    <s v="408100"/>
    <x v="6"/>
    <s v="FOURNISSEURS - FACTURES NON PARVENUES"/>
    <s v="OD"/>
    <n v="450.05"/>
    <d v="2025-04-01T00:00:00"/>
    <s v="MOBILE - PERFORMANCE PRO - 13 LIGNES"/>
    <m/>
    <e v="#N/A"/>
    <e v="#N/A"/>
    <n v="89463"/>
    <s v="FNP ORANGE"/>
    <s v="ORANGE"/>
    <s v="Q2"/>
    <e v="#REF!"/>
    <e v="#REF!"/>
    <e v="#REF!"/>
  </r>
  <r>
    <s v="408100"/>
    <x v="6"/>
    <s v="FOURNISSEURS - FACTURES NON PARVENUES"/>
    <s v="OD"/>
    <n v="458.41"/>
    <d v="2025-03-31T00:00:00"/>
    <s v="LOYER INSA TWB - 2024 - REPRISE FNP"/>
    <m/>
    <e v="#N/A"/>
    <e v="#N/A"/>
    <n v="77529"/>
    <m/>
    <m/>
    <s v="Q1"/>
    <e v="#REF!"/>
    <e v="#REF!"/>
    <e v="#REF!"/>
  </r>
  <r>
    <s v="408100"/>
    <x v="6"/>
    <s v="FOURNISSEURS - FACTURES NON PARVENUES"/>
    <s v="OD"/>
    <n v="562.30999999999995"/>
    <d v="2025-05-05T00:00:00"/>
    <s v="Liaison inter-établissement vers KB "/>
    <s v="Non"/>
    <s v="Non"/>
    <e v="#N/A"/>
    <n v="77457"/>
    <m/>
    <s v="BUSINOVE"/>
    <s v="Q2"/>
    <e v="#REF!"/>
    <e v="#REF!"/>
    <e v="#REF!"/>
  </r>
  <r>
    <s v="408100"/>
    <x v="6"/>
    <s v="FOURNISSEURS - FACTURES NON PARVENUES"/>
    <s v="OD"/>
    <n v="756"/>
    <d v="2025-07-01T00:00:00"/>
    <s v="BUSINESS INTERNET"/>
    <m/>
    <e v="#N/A"/>
    <e v="#N/A"/>
    <n v="89475"/>
    <s v="FNP ORANGE"/>
    <s v="ORANGE"/>
    <s v="Q3"/>
    <e v="#REF!"/>
    <e v="#REF!"/>
    <e v="#REF!"/>
  </r>
  <r>
    <s v="408100"/>
    <x v="6"/>
    <s v="FOURNISSEURS - FACTURES NON PARVENUES"/>
    <s v="OD"/>
    <n v="756"/>
    <d v="2025-07-01T00:00:00"/>
    <s v="Liaison inter-établissement vers TO "/>
    <m/>
    <e v="#N/A"/>
    <e v="#N/A"/>
    <n v="89502"/>
    <m/>
    <s v="ORANGE"/>
    <s v="Q3"/>
    <e v="#REF!"/>
    <e v="#REF!"/>
    <e v="#REF!"/>
  </r>
  <r>
    <s v="408100"/>
    <x v="6"/>
    <s v="FOURNISSEURS - FACTURES NON PARVENUES"/>
    <s v="OD"/>
    <n v="1000"/>
    <d v="2025-04-15T00:00:00"/>
    <s v="Liaison inter-établissement vers KB "/>
    <s v="Non"/>
    <s v="Non"/>
    <e v="#N/A"/>
    <n v="77525"/>
    <m/>
    <s v="IN MANAGEMENT"/>
    <s v="Q2"/>
    <e v="#REF!"/>
    <e v="#REF!"/>
    <e v="#REF!"/>
  </r>
  <r>
    <s v="408100"/>
    <x v="6"/>
    <s v="FOURNISSEURS - FACTURES NON PARVENUES"/>
    <s v="OD"/>
    <n v="1027"/>
    <d v="2025-02-01T00:00:00"/>
    <s v="FNP ENGIE"/>
    <m/>
    <e v="#N/A"/>
    <e v="#N/A"/>
    <n v="77408"/>
    <m/>
    <s v="ENGIE"/>
    <s v="Q1"/>
    <e v="#REF!"/>
    <e v="#REF!"/>
    <e v="#REF!"/>
  </r>
  <r>
    <s v="408100"/>
    <x v="6"/>
    <s v="FOURNISSEURS - FACTURES NON PARVENUES"/>
    <s v="OD"/>
    <n v="1123.3"/>
    <d v="2025-04-01T00:00:00"/>
    <s v="LOCATION LYON 202504"/>
    <m/>
    <e v="#N/A"/>
    <e v="#N/A"/>
    <n v="89846"/>
    <s v="FNP REGIE CONSEIL"/>
    <s v="REGIE CONSEIL"/>
    <s v="Q2"/>
    <e v="#REF!"/>
    <e v="#REF!"/>
    <e v="#REF!"/>
  </r>
  <r>
    <s v="408100"/>
    <x v="6"/>
    <s v="FOURNISSEURS - FACTURES NON PARVENUES"/>
    <s v="OD"/>
    <n v="1123.3"/>
    <d v="2025-04-01T00:00:00"/>
    <s v="Liaison inter-établissement vers TO "/>
    <m/>
    <e v="#N/A"/>
    <e v="#N/A"/>
    <n v="92126"/>
    <m/>
    <s v="REGIE CONSEIL"/>
    <s v="Q2"/>
    <e v="#REF!"/>
    <e v="#REF!"/>
    <e v="#REF!"/>
  </r>
  <r>
    <s v="408100"/>
    <x v="6"/>
    <s v="FOURNISSEURS - FACTURES NON PARVENUES"/>
    <s v="OD"/>
    <n v="1300"/>
    <d v="2025-05-11T00:00:00"/>
    <s v="Liaison inter-établissement vers KB "/>
    <s v="Non"/>
    <s v="Non"/>
    <e v="#N/A"/>
    <n v="77516"/>
    <m/>
    <s v="CHEM"/>
    <s v="Q2"/>
    <e v="#REF!"/>
    <e v="#REF!"/>
    <e v="#REF!"/>
  </r>
  <r>
    <s v="408100"/>
    <x v="6"/>
    <s v="FOURNISSEURS - FACTURES NON PARVENUES"/>
    <s v="OD"/>
    <n v="1495.72"/>
    <d v="2025-10-01T00:00:00"/>
    <s v="FNP ENGIE"/>
    <m/>
    <e v="#N/A"/>
    <e v="#N/A"/>
    <n v="89448"/>
    <m/>
    <s v="ENGIE"/>
    <s v="Q4"/>
    <e v="#REF!"/>
    <e v="#REF!"/>
    <e v="#REF!"/>
  </r>
  <r>
    <s v="408100"/>
    <x v="6"/>
    <s v="FOURNISSEURS - FACTURES NON PARVENUES"/>
    <s v="OD"/>
    <n v="1500"/>
    <d v="2025-05-06T00:00:00"/>
    <s v="Liaison inter-établissement vers KB "/>
    <s v="Oui"/>
    <s v="Non"/>
    <e v="#N/A"/>
    <n v="77506"/>
    <m/>
    <s v="CONSEIL CPP"/>
    <s v="Q2"/>
    <e v="#REF!"/>
    <e v="#REF!"/>
    <e v="#REF!"/>
  </r>
  <r>
    <s v="408100"/>
    <x v="6"/>
    <s v="FOURNISSEURS - FACTURES NON PARVENUES"/>
    <s v="OD"/>
    <n v="1594.7"/>
    <d v="2025-01-31T00:00:00"/>
    <s v="EXT - FNP de Cloture"/>
    <s v="Non"/>
    <s v="Non"/>
    <e v="#N/A"/>
    <n v="77547"/>
    <m/>
    <s v="F2P AUDIT &amp; CONSEIL"/>
    <s v="Q1"/>
    <e v="#REF!"/>
    <e v="#REF!"/>
    <e v="#REF!"/>
  </r>
  <r>
    <s v="408100"/>
    <x v="6"/>
    <s v="FOURNISSEURS - FACTURES NON PARVENUES"/>
    <s v="OD"/>
    <n v="1636"/>
    <d v="2025-03-01T00:00:00"/>
    <s v="FNP ENGIE"/>
    <m/>
    <e v="#N/A"/>
    <e v="#N/A"/>
    <n v="77414"/>
    <m/>
    <s v="ENGIE"/>
    <s v="Q1"/>
    <e v="#REF!"/>
    <e v="#REF!"/>
    <e v="#REF!"/>
  </r>
  <r>
    <s v="408100"/>
    <x v="6"/>
    <s v="FOURNISSEURS - FACTURES NON PARVENUES"/>
    <s v="OD"/>
    <n v="1800"/>
    <d v="2025-03-31T00:00:00"/>
    <s v="Liaison inter-établissement vers KB "/>
    <s v="Non"/>
    <s v="Non"/>
    <e v="#N/A"/>
    <n v="77512"/>
    <m/>
    <s v="BIOADVICE"/>
    <s v="Q1"/>
    <e v="#REF!"/>
    <e v="#REF!"/>
    <e v="#REF!"/>
  </r>
  <r>
    <s v="408100"/>
    <x v="6"/>
    <s v="FOURNISSEURS - FACTURES NON PARVENUES"/>
    <s v="OD"/>
    <n v="2000"/>
    <d v="2025-03-31T00:00:00"/>
    <s v="Liaison inter-établissement vers KB "/>
    <s v="Non"/>
    <s v="Non"/>
    <e v="#N/A"/>
    <n v="77447"/>
    <m/>
    <s v="BUSINOVE"/>
    <s v="Q1"/>
    <e v="#REF!"/>
    <e v="#REF!"/>
    <e v="#REF!"/>
  </r>
  <r>
    <s v="408100"/>
    <x v="6"/>
    <s v="FOURNISSEURS - FACTURES NON PARVENUES"/>
    <s v="OD"/>
    <n v="2133.42"/>
    <d v="2025-08-31T00:00:00"/>
    <s v="AAR - DENIOS"/>
    <m/>
    <e v="#N/A"/>
    <e v="#N/A"/>
    <n v="89301"/>
    <m/>
    <s v="DENIOS"/>
    <s v="Q3"/>
    <e v="#REF!"/>
    <e v="#REF!"/>
    <e v="#REF!"/>
  </r>
  <r>
    <s v="408100"/>
    <x v="6"/>
    <s v="FOURNISSEURS - FACTURES NON PARVENUES"/>
    <s v="OD"/>
    <n v="2133.42"/>
    <d v="2025-09-01T00:00:00"/>
    <s v="Liaison inter-établissement"/>
    <m/>
    <e v="#N/A"/>
    <e v="#N/A"/>
    <n v="92184"/>
    <m/>
    <s v="DENIOS"/>
    <s v="Q3"/>
    <e v="#REF!"/>
    <e v="#REF!"/>
    <e v="#REF!"/>
  </r>
  <r>
    <s v="408100"/>
    <x v="6"/>
    <s v="FOURNISSEURS - FACTURES NON PARVENUES"/>
    <s v="OD"/>
    <n v="2338.7600000000002"/>
    <d v="2025-01-31T00:00:00"/>
    <s v="EXT - FNP de Cloture"/>
    <s v="Non"/>
    <s v="Non"/>
    <e v="#N/A"/>
    <n v="77539"/>
    <m/>
    <s v="F2P AUDIT &amp; CONSEIL"/>
    <s v="Q1"/>
    <e v="#REF!"/>
    <e v="#REF!"/>
    <e v="#REF!"/>
  </r>
  <r>
    <s v="408100"/>
    <x v="6"/>
    <s v="FOURNISSEURS - FACTURES NON PARVENUES"/>
    <s v="OD"/>
    <n v="2423.2600000000002"/>
    <d v="2025-02-28T00:00:00"/>
    <s v="EXT - FNP de Cloture"/>
    <s v="Non"/>
    <s v="Non"/>
    <e v="#N/A"/>
    <n v="77541"/>
    <m/>
    <s v="F2P AUDIT &amp; CONSEIL"/>
    <s v="Q1"/>
    <e v="#REF!"/>
    <e v="#REF!"/>
    <e v="#REF!"/>
  </r>
  <r>
    <s v="408100"/>
    <x v="6"/>
    <s v="FOURNISSEURS - FACTURES NON PARVENUES"/>
    <s v="OD"/>
    <n v="2523.2600000000002"/>
    <d v="2025-03-31T00:00:00"/>
    <s v="EXT - FNP de Cloture"/>
    <s v="Non"/>
    <s v="Non"/>
    <e v="#N/A"/>
    <n v="77543"/>
    <m/>
    <s v="F2P AUDIT &amp; CONSEIL"/>
    <s v="Q1"/>
    <e v="#REF!"/>
    <e v="#REF!"/>
    <e v="#REF!"/>
  </r>
  <r>
    <s v="408100"/>
    <x v="6"/>
    <s v="FOURNISSEURS - FACTURES NON PARVENUES"/>
    <s v="OD"/>
    <n v="2750"/>
    <d v="2025-04-01T00:00:00"/>
    <s v="FNP TAROS SYNTHÈSE ET DÉVELOPPEMENT DE 1KG CYANOBENZOIC ACID - KEENB"/>
    <m/>
    <e v="#N/A"/>
    <e v="#N/A"/>
    <n v="77485"/>
    <m/>
    <s v="Taros Chemicals GmbH &amp; Co. KG"/>
    <s v="Q2"/>
    <e v="#REF!"/>
    <e v="#REF!"/>
    <e v="#REF!"/>
  </r>
  <r>
    <s v="408100"/>
    <x v="6"/>
    <s v="FOURNISSEURS - FACTURES NON PARVENUES"/>
    <s v="OD"/>
    <n v="5904"/>
    <d v="2025-01-31T00:00:00"/>
    <s v="EXT - FNP de Cloture"/>
    <s v="Non"/>
    <s v="Non"/>
    <e v="#N/A"/>
    <n v="77560"/>
    <m/>
    <s v="BDO EXPERTISE"/>
    <s v="Q1"/>
    <e v="#REF!"/>
    <e v="#REF!"/>
    <e v="#REF!"/>
  </r>
  <r>
    <s v="408100"/>
    <x v="6"/>
    <s v="FOURNISSEURS - FACTURES NON PARVENUES"/>
    <s v="OD"/>
    <n v="11837.69"/>
    <d v="2025-05-05T00:00:00"/>
    <s v="Liaison inter-établissement vers KB "/>
    <s v="Non"/>
    <s v="Non"/>
    <e v="#N/A"/>
    <n v="77451"/>
    <m/>
    <s v="BUSINOVE"/>
    <s v="Q2"/>
    <e v="#REF!"/>
    <e v="#REF!"/>
    <e v="#REF!"/>
  </r>
  <r>
    <s v="408100"/>
    <x v="6"/>
    <s v="FOURNISSEURS - FACTURES NON PARVENUES"/>
    <s v="OD"/>
    <n v="12000"/>
    <d v="2025-04-09T00:00:00"/>
    <s v="Liaison inter-établissement vers KB "/>
    <s v="Non"/>
    <s v="Non"/>
    <e v="#N/A"/>
    <n v="77182"/>
    <m/>
    <s v="FORVIS MAZARS"/>
    <s v="Q2"/>
    <e v="#REF!"/>
    <e v="#REF!"/>
    <e v="#REF!"/>
  </r>
  <r>
    <s v="408100"/>
    <x v="6"/>
    <s v="FOURNISSEURS - FACTURES NON PARVENUES"/>
    <s v="OD"/>
    <n v="18000"/>
    <d v="2025-06-29T00:00:00"/>
    <s v="Liaison inter-établissement vers KB "/>
    <s v="Non"/>
    <s v="Non"/>
    <e v="#N/A"/>
    <n v="77189"/>
    <m/>
    <s v="FORVIS MAZARS"/>
    <s v="Q2"/>
    <e v="#REF!"/>
    <e v="#REF!"/>
    <e v="#REF!"/>
  </r>
  <r>
    <s v="409100"/>
    <x v="6"/>
    <s v="FOURNISSEURS - AVANCES ET ACOMPTES CMDES"/>
    <s v="AC"/>
    <n v="-64000"/>
    <d v="2025-07-18T00:00:00"/>
    <s v="AGREEMENT IV -  4 TRIALS IN THE 30L LABORATORY FERMENTER"/>
    <s v="Non"/>
    <e v="#N/A"/>
    <e v="#N/A"/>
    <n v="78802"/>
    <s v="91250101"/>
    <s v="BIOTIKA"/>
    <s v="Q3"/>
    <e v="#REF!"/>
    <e v="#REF!"/>
    <e v="#REF!"/>
  </r>
  <r>
    <s v="409100"/>
    <x v="6"/>
    <s v="FOURNISSEURS - AVANCES ET ACOMPTES CMDES"/>
    <s v="AC"/>
    <n v="-19543.52"/>
    <d v="2025-06-03T00:00:00"/>
    <s v="LOYER KB (AVEC FRANCHISE)"/>
    <m/>
    <e v="#N/A"/>
    <e v="#N/A"/>
    <n v="77265"/>
    <s v="0049020250021"/>
    <s v="LIBERTY PM"/>
    <s v="Q2"/>
    <e v="#REF!"/>
    <e v="#REF!"/>
    <e v="#REF!"/>
  </r>
  <r>
    <s v="409100"/>
    <x v="6"/>
    <s v="FOURNISSEURS - AVANCES ET ACOMPTES CMDES"/>
    <s v="AC"/>
    <n v="-18000"/>
    <d v="2025-12-22T00:00:00"/>
    <s v="FABRICATION LOTS PILOTES PHOENIX VBIO"/>
    <m/>
    <e v="#N/A"/>
    <e v="#N/A"/>
    <n v="93651"/>
    <s v="2512021"/>
    <s v="VEG'EXTRA"/>
    <s v="Q4"/>
    <e v="#REF!"/>
    <e v="#REF!"/>
    <e v="#REF!"/>
  </r>
  <r>
    <s v="409100"/>
    <x v="6"/>
    <s v="FOURNISSEURS - AVANCES ET ACOMPTES CMDES"/>
    <s v="AC"/>
    <n v="-4300"/>
    <d v="2025-03-10T00:00:00"/>
    <s v="LOGEMENT SÉMINAIRE PILI 2025 ECHÉANCIER DES RÈGLEMENTS, PAR VIREMENTS BANCAIRES : •1290€ AVANT LE 17 MARS 2025 •2150€ AVANT LE 1"/>
    <m/>
    <e v="#N/A"/>
    <e v="#N/A"/>
    <n v="66112"/>
    <s v="3101-25"/>
    <s v="LMDA"/>
    <s v="Q1"/>
    <e v="#REF!"/>
    <e v="#REF!"/>
    <e v="#REF!"/>
  </r>
  <r>
    <s v="409100"/>
    <x v="6"/>
    <s v="FOURNISSEURS - AVANCES ET ACOMPTES CMDES"/>
    <s v="AC"/>
    <n v="-4260"/>
    <d v="2025-11-26T00:00:00"/>
    <s v="ASSEMBLAGE QUEUES DE LOTS INDIGO BROYÉ POUR 1 LOT 185KG"/>
    <m/>
    <e v="#N/A"/>
    <e v="#N/A"/>
    <n v="91823"/>
    <s v="F1125486"/>
    <s v="SD TECH"/>
    <s v="Q4"/>
    <e v="#REF!"/>
    <e v="#REF!"/>
    <e v="#REF!"/>
  </r>
  <r>
    <s v="409100"/>
    <x v="6"/>
    <s v="FOURNISSEURS - AVANCES ET ACOMPTES CMDES"/>
    <s v="AC"/>
    <n v="-3280"/>
    <d v="2025-03-10T00:00:00"/>
    <s v="LOCATION LOGEMENT SÉMINAIRE PILI 2025 ECHÉANCIER DES RÈGLEMENTS, PAR VIREMENTS BANCAIRES : • 984€ AVANT LE 17 MARS 2025 • 1640€"/>
    <m/>
    <e v="#N/A"/>
    <e v="#N/A"/>
    <n v="66054"/>
    <s v="3101-25"/>
    <s v="DOMAINE DE CHRISTIN SAS"/>
    <s v="Q1"/>
    <e v="#REF!"/>
    <e v="#REF!"/>
    <e v="#REF!"/>
  </r>
  <r>
    <s v="409100"/>
    <x v="6"/>
    <s v="FOURNISSEURS - AVANCES ET ACOMPTES CMDES"/>
    <s v="AC"/>
    <n v="-2896.05"/>
    <d v="2025-09-23T00:00:00"/>
    <s v="PRESTATION TRAITEUR SÉMINAIRE PILI"/>
    <m/>
    <e v="#N/A"/>
    <e v="#N/A"/>
    <n v="87126"/>
    <s v="TG34/3888"/>
    <s v="TRAITEUR GRAND"/>
    <s v="Q3"/>
    <e v="#REF!"/>
    <e v="#REF!"/>
    <e v="#REF!"/>
  </r>
  <r>
    <s v="409100"/>
    <x v="6"/>
    <s v="FOURNISSEURS - AVANCES ET ACOMPTES CMDES"/>
    <s v="AC"/>
    <n v="-2725"/>
    <d v="2025-08-21T00:00:00"/>
    <s v="COUVERTURE RESPONSABILITÉ DES DIRIGEANTS"/>
    <m/>
    <e v="#N/A"/>
    <e v="#N/A"/>
    <n v="82242"/>
    <s v="2025-Q100406"/>
    <s v="INITIATIVE &amp; RISK PARTNERS"/>
    <s v="Q3"/>
    <e v="#REF!"/>
    <e v="#REF!"/>
    <e v="#REF!"/>
  </r>
  <r>
    <s v="409100"/>
    <x v="6"/>
    <s v="FOURNISSEURS - AVANCES ET ACOMPTES CMDES"/>
    <s v="AC"/>
    <n v="-2280"/>
    <d v="2025-07-07T00:00:00"/>
    <s v="BACS DE RÉTENTION ACIER GALVANISÉ 2 IBC OU 3 PALETTES EUROPES (COMPATIBLE RACKS)"/>
    <m/>
    <e v="#N/A"/>
    <e v="#N/A"/>
    <n v="77098"/>
    <s v="FA19414"/>
    <s v="APIE"/>
    <s v="Q3"/>
    <e v="#REF!"/>
    <e v="#REF!"/>
    <e v="#REF!"/>
  </r>
  <r>
    <s v="409100"/>
    <x v="6"/>
    <s v="FOURNISSEURS - AVANCES ET ACOMPTES CMDES"/>
    <s v="AC"/>
    <n v="-1946.88"/>
    <d v="2025-10-03T00:00:00"/>
    <s v="GESTION DES ANNUITÉS - SÉRIE B3404"/>
    <s v="Non"/>
    <s v="Oui"/>
    <e v="#N/A"/>
    <n v="85146"/>
    <s v="254445"/>
    <s v="BECKER"/>
    <s v="Q4"/>
    <e v="#REF!"/>
    <e v="#REF!"/>
    <e v="#REF!"/>
  </r>
  <r>
    <s v="409100"/>
    <x v="6"/>
    <s v="FOURNISSEURS - AVANCES ET ACOMPTES CMDES"/>
    <s v="AC"/>
    <n v="-1231.2"/>
    <d v="2025-10-06T00:00:00"/>
    <s v="LOCATION N°225070176 DU 01/10/25 AU 03/10/25 - CS PILI"/>
    <m/>
    <e v="#N/A"/>
    <n v="0"/>
    <n v="84989"/>
    <s v="C5101347"/>
    <s v="LOCAPROD EVENEMENT"/>
    <s v="Q4"/>
    <e v="#REF!"/>
    <e v="#REF!"/>
    <e v="#REF!"/>
  </r>
  <r>
    <s v="409100"/>
    <x v="6"/>
    <s v="FOURNISSEURS - AVANCES ET ACOMPTES CMDES"/>
    <s v="AC"/>
    <n v="-900"/>
    <d v="2025-03-10T00:00:00"/>
    <s v="LOGEMENT SÉMINAIRE PILI 2025 ECHÉANCIER DES RÈGLEMENTS, PAR VIREMENTS BANCAIRES : •300€ AVANT LE 17 MARS 2025 •450€ AVANT LE 17"/>
    <m/>
    <e v="#N/A"/>
    <e v="#N/A"/>
    <n v="66143"/>
    <s v="3101-25"/>
    <s v="BURAY ERIC"/>
    <s v="Q1"/>
    <e v="#REF!"/>
    <e v="#REF!"/>
    <e v="#REF!"/>
  </r>
  <r>
    <s v="409100"/>
    <x v="6"/>
    <s v="FOURNISSEURS - AVANCES ET ACOMPTES CMDES"/>
    <s v="AC"/>
    <n v="-798"/>
    <d v="2025-12-11T00:00:00"/>
    <s v="SOLDE VERSE PAR PR"/>
    <m/>
    <e v="#N/A"/>
    <e v="#N/A"/>
    <n v="94820"/>
    <s v="031"/>
    <s v="RJM LA ROSA NEGRA"/>
    <s v="Q4"/>
    <e v="#REF!"/>
    <e v="#REF!"/>
    <e v="#REF!"/>
  </r>
  <r>
    <s v="409100"/>
    <x v="6"/>
    <s v="FOURNISSEURS - AVANCES ET ACOMPTES CMDES"/>
    <s v="AC"/>
    <n v="-342"/>
    <d v="2025-12-11T00:00:00"/>
    <s v="ACOMPTE VERSE"/>
    <m/>
    <e v="#N/A"/>
    <e v="#N/A"/>
    <n v="94816"/>
    <s v="031"/>
    <s v="RJM LA ROSA NEGRA"/>
    <s v="Q4"/>
    <e v="#REF!"/>
    <e v="#REF!"/>
    <e v="#REF!"/>
  </r>
  <r>
    <s v="409100"/>
    <x v="6"/>
    <s v="FOURNISSEURS - AVANCES ET ACOMPTES CMDES"/>
    <s v="AC"/>
    <n v="-324"/>
    <d v="2025-09-30T00:00:00"/>
    <s v="ENTRETIEN DU LINGE DU SÉMINAIRE DU 17 AU 19 SEPTEMBRE 2025 - 36 COUCHAGES"/>
    <m/>
    <e v="#N/A"/>
    <e v="#N/A"/>
    <n v="87274"/>
    <s v="9301-25"/>
    <s v="DOMAINE DE CHRISTIN SAS"/>
    <s v="Q3"/>
    <e v="#REF!"/>
    <e v="#REF!"/>
    <e v="#REF!"/>
  </r>
  <r>
    <s v="409100"/>
    <x v="6"/>
    <s v="FOURNISSEURS - AVANCES ET ACOMPTES CMDES"/>
    <s v="AC"/>
    <n v="-280"/>
    <d v="2025-01-31T00:00:00"/>
    <s v="PF INVOICE 132/F"/>
    <m/>
    <e v="#N/A"/>
    <e v="#N/A"/>
    <n v="87996"/>
    <m/>
    <s v="SOFFIERA"/>
    <s v="Q1"/>
    <e v="#REF!"/>
    <e v="#REF!"/>
    <e v="#REF!"/>
  </r>
  <r>
    <s v="409100"/>
    <x v="6"/>
    <s v="FOURNISSEURS - AVANCES ET ACOMPTES CMDES"/>
    <s v="AN"/>
    <n v="280"/>
    <d v="2025-01-01T00:00:00"/>
    <s v="Report à nouveau Exercice 2025"/>
    <m/>
    <e v="#N/A"/>
    <e v="#N/A"/>
    <n v="84757"/>
    <m/>
    <m/>
    <s v="Q1"/>
    <e v="#REF!"/>
    <e v="#REF!"/>
    <e v="#REF!"/>
  </r>
  <r>
    <s v="409100"/>
    <x v="6"/>
    <s v="FOURNISSEURS - AVANCES ET ACOMPTES CMDES"/>
    <s v="AN"/>
    <n v="2913.06"/>
    <d v="2025-01-01T00:00:00"/>
    <s v="Report à nouveau Exercice 2025"/>
    <m/>
    <e v="#N/A"/>
    <e v="#N/A"/>
    <n v="84756"/>
    <m/>
    <m/>
    <s v="Q1"/>
    <e v="#REF!"/>
    <e v="#REF!"/>
    <e v="#REF!"/>
  </r>
  <r>
    <s v="411000"/>
    <x v="6"/>
    <s v="CLIENTS"/>
    <s v="BPRI"/>
    <n v="-565"/>
    <d v="2025-07-31T00:00:00"/>
    <s v="/LIB/RAPATR ETR COMM/LIB/BUSINESS EXPENSE/LIB/BUSINESS EXPENSES F250613-2/LIB/DIC CORPORATION"/>
    <m/>
    <e v="#N/A"/>
    <e v="#N/A"/>
    <n v="79406"/>
    <m/>
    <s v="DIC CORPORATION"/>
    <s v="Q3"/>
    <e v="#REF!"/>
    <e v="#REF!"/>
    <e v="#REF!"/>
  </r>
  <r>
    <s v="512100"/>
    <x v="6"/>
    <s v="BANQUE POPULAIRE RIVE DE PARIS"/>
    <s v="BPRI"/>
    <n v="565"/>
    <d v="2025-07-31T00:00:00"/>
    <s v="/LIB/RAPATR ETR COMM/LIB/BUSINESS EXPENSE/LIB/BUSINESS EXPENSES F250613-2/LIB/DIC CORPORATION"/>
    <m/>
    <e v="#N/A"/>
    <e v="#N/A"/>
    <n v="79405"/>
    <m/>
    <s v="DIC CORPORATION"/>
    <s v="Q3"/>
    <e v="#REF!"/>
    <e v="#REF!"/>
    <e v="#REF!"/>
  </r>
  <r>
    <s v="409100"/>
    <x v="6"/>
    <s v="FOURNISSEURS - AVANCES ET ACOMPTES CMDES"/>
    <s v="BPRI"/>
    <n v="150"/>
    <d v="2025-09-12T00:00:00"/>
    <s v="DERNIER VERSEMENT PILI"/>
    <m/>
    <e v="#N/A"/>
    <e v="#N/A"/>
    <n v="82085"/>
    <m/>
    <m/>
    <s v="Q3"/>
    <e v="#REF!"/>
    <e v="#REF!"/>
    <e v="#REF!"/>
  </r>
  <r>
    <s v="409100"/>
    <x v="6"/>
    <s v="FOURNISSEURS - AVANCES ET ACOMPTES CMDES"/>
    <s v="BPRI"/>
    <n v="300"/>
    <d v="2025-03-19T00:00:00"/>
    <s v="Acompte Commande Pili"/>
    <m/>
    <e v="#N/A"/>
    <e v="#N/A"/>
    <n v="61877"/>
    <m/>
    <m/>
    <s v="Q1"/>
    <e v="#REF!"/>
    <e v="#REF!"/>
    <e v="#REF!"/>
  </r>
  <r>
    <s v="409100"/>
    <x v="6"/>
    <s v="FOURNISSEURS - AVANCES ET ACOMPTES CMDES"/>
    <s v="BPRI"/>
    <n v="342"/>
    <d v="2025-12-10T00:00:00"/>
    <s v="FACTURE DACOMPTE 010"/>
    <m/>
    <e v="#N/A"/>
    <e v="#N/A"/>
    <n v="92080"/>
    <m/>
    <s v="RJM LA ROSA NEGRA"/>
    <s v="Q4"/>
    <e v="#REF!"/>
    <e v="#REF!"/>
    <e v="#REF!"/>
  </r>
  <r>
    <s v="409100"/>
    <x v="6"/>
    <s v="FOURNISSEURS - AVANCES ET ACOMPTES CMDES"/>
    <s v="BPRI"/>
    <n v="450"/>
    <d v="2025-06-16T00:00:00"/>
    <s v="Séminaire Pili - Echéance du 17 juin 2025"/>
    <m/>
    <e v="#N/A"/>
    <e v="#N/A"/>
    <n v="76145"/>
    <m/>
    <m/>
    <s v="Q2"/>
    <e v="#REF!"/>
    <e v="#REF!"/>
    <e v="#REF!"/>
  </r>
  <r>
    <s v="409100"/>
    <x v="6"/>
    <s v="FOURNISSEURS - AVANCES ET ACOMPTES CMDES"/>
    <s v="BPRI"/>
    <n v="539"/>
    <d v="2025-12-19T00:00:00"/>
    <s v="Pro-forma invoice 561687"/>
    <m/>
    <e v="#N/A"/>
    <e v="#N/A"/>
    <n v="92700"/>
    <m/>
    <s v="APOLLO SCIENTIFIC"/>
    <s v="Q4"/>
    <e v="#REF!"/>
    <e v="#REF!"/>
    <e v="#REF!"/>
  </r>
  <r>
    <s v="409100"/>
    <x v="6"/>
    <s v="FOURNISSEURS - AVANCES ET ACOMPTES CMDES"/>
    <s v="BPRI"/>
    <n v="656"/>
    <d v="2025-09-12T00:00:00"/>
    <s v="DERNIER VERSEMENT PILI"/>
    <m/>
    <e v="#N/A"/>
    <e v="#N/A"/>
    <n v="82084"/>
    <m/>
    <m/>
    <s v="Q3"/>
    <e v="#REF!"/>
    <e v="#REF!"/>
    <e v="#REF!"/>
  </r>
  <r>
    <s v="409100"/>
    <x v="6"/>
    <s v="FOURNISSEURS - AVANCES ET ACOMPTES CMDES"/>
    <s v="BPRI"/>
    <n v="860"/>
    <d v="2025-09-12T00:00:00"/>
    <s v="DERNIER VERSEMENT PILI"/>
    <m/>
    <e v="#N/A"/>
    <e v="#N/A"/>
    <n v="82083"/>
    <m/>
    <m/>
    <s v="Q3"/>
    <e v="#REF!"/>
    <e v="#REF!"/>
    <e v="#REF!"/>
  </r>
  <r>
    <s v="409100"/>
    <x v="6"/>
    <s v="FOURNISSEURS - AVANCES ET ACOMPTES CMDES"/>
    <s v="BPRI"/>
    <n v="897.6"/>
    <d v="2025-11-07T00:00:00"/>
    <s v="Proforma 2510-007"/>
    <m/>
    <e v="#N/A"/>
    <e v="#N/A"/>
    <n v="89415"/>
    <m/>
    <m/>
    <s v="Q4"/>
    <e v="#REF!"/>
    <e v="#REF!"/>
    <e v="#REF!"/>
  </r>
  <r>
    <s v="409100"/>
    <x v="6"/>
    <s v="FOURNISSEURS - AVANCES ET ACOMPTES CMDES"/>
    <s v="BPRI"/>
    <n v="984"/>
    <d v="2025-03-19T00:00:00"/>
    <s v="Acompte Commande Pili"/>
    <m/>
    <e v="#N/A"/>
    <e v="#N/A"/>
    <n v="61876"/>
    <m/>
    <m/>
    <s v="Q1"/>
    <e v="#REF!"/>
    <e v="#REF!"/>
    <e v="#REF!"/>
  </r>
  <r>
    <s v="411000"/>
    <x v="6"/>
    <s v="CLIENTS"/>
    <s v="BPRI"/>
    <n v="-279540"/>
    <d v="2025-10-01T00:00:00"/>
    <s v="/LIB/RAPATR ETR COMM/LIB/INV:F250404-1 ,/LIB/VIR DE    279 540,00EUR/LIB/INV:F250404-1 , F250703-1,F25092/LIB/COH TURKEY TEKSTIL"/>
    <m/>
    <e v="#N/A"/>
    <e v="#N/A"/>
    <n v="82556"/>
    <m/>
    <s v="COH TURKEY"/>
    <s v="Q4"/>
    <e v="#REF!"/>
    <e v="#REF!"/>
    <e v="#REF!"/>
  </r>
  <r>
    <s v="409100"/>
    <x v="6"/>
    <s v="FOURNISSEURS - AVANCES ET ACOMPTES CMDES"/>
    <s v="BPRI"/>
    <n v="1140"/>
    <d v="2025-06-17T00:00:00"/>
    <s v="Acompte 50% Cde PO230 - Facture FA19374"/>
    <m/>
    <e v="#N/A"/>
    <e v="#N/A"/>
    <n v="76123"/>
    <m/>
    <s v="APIE"/>
    <s v="Q2"/>
    <e v="#REF!"/>
    <e v="#REF!"/>
    <e v="#REF!"/>
  </r>
  <r>
    <s v="409100"/>
    <x v="6"/>
    <s v="FOURNISSEURS - AVANCES ET ACOMPTES CMDES"/>
    <s v="BPRI"/>
    <n v="1140"/>
    <d v="2025-07-07T00:00:00"/>
    <s v="Solde Cde PO230 - Facture FA19414"/>
    <m/>
    <e v="#N/A"/>
    <e v="#N/A"/>
    <n v="77017"/>
    <m/>
    <s v="APIE"/>
    <s v="Q3"/>
    <e v="#REF!"/>
    <e v="#REF!"/>
    <e v="#REF!"/>
  </r>
  <r>
    <s v="409100"/>
    <x v="6"/>
    <s v="FOURNISSEURS - AVANCES ET ACOMPTES CMDES"/>
    <s v="BPRI"/>
    <n v="1231.2"/>
    <d v="2025-09-22T00:00:00"/>
    <s v="RESERVATION N°225070176 PILI"/>
    <m/>
    <e v="#N/A"/>
    <n v="0"/>
    <n v="82366"/>
    <m/>
    <s v="LOCAPROD EVENEMENT"/>
    <s v="Q3"/>
    <e v="#REF!"/>
    <e v="#REF!"/>
    <e v="#REF!"/>
  </r>
  <r>
    <s v="409100"/>
    <x v="6"/>
    <s v="FOURNISSEURS - AVANCES ET ACOMPTES CMDES"/>
    <s v="BPRI"/>
    <n v="1290"/>
    <d v="2025-03-19T00:00:00"/>
    <s v="Acompte Commande Pili"/>
    <m/>
    <e v="#N/A"/>
    <e v="#N/A"/>
    <n v="61875"/>
    <m/>
    <m/>
    <s v="Q1"/>
    <e v="#REF!"/>
    <e v="#REF!"/>
    <e v="#REF!"/>
  </r>
  <r>
    <s v="409100"/>
    <x v="6"/>
    <s v="FOURNISSEURS - AVANCES ET ACOMPTES CMDES"/>
    <s v="BPRI"/>
    <n v="1640"/>
    <d v="2025-06-16T00:00:00"/>
    <s v="Séminaire Pili - Echéance du 17 juin 2025"/>
    <m/>
    <e v="#N/A"/>
    <e v="#N/A"/>
    <n v="76146"/>
    <m/>
    <m/>
    <s v="Q2"/>
    <e v="#REF!"/>
    <e v="#REF!"/>
    <e v="#REF!"/>
  </r>
  <r>
    <s v="409100"/>
    <x v="6"/>
    <s v="FOURNISSEURS - AVANCES ET ACOMPTES CMDES"/>
    <s v="BPRI"/>
    <n v="2000"/>
    <d v="2025-09-22T00:00:00"/>
    <s v="Demande d'instructions paiement annuités dues pour Octobre 2025"/>
    <s v="Non"/>
    <s v="Oui"/>
    <e v="#N/A"/>
    <n v="82452"/>
    <m/>
    <s v="BECKER"/>
    <s v="Q3"/>
    <e v="#REF!"/>
    <e v="#REF!"/>
    <e v="#REF!"/>
  </r>
  <r>
    <s v="409100"/>
    <x v="6"/>
    <s v="FOURNISSEURS - AVANCES ET ACOMPTES CMDES"/>
    <s v="BPRI"/>
    <n v="2150"/>
    <d v="2025-06-16T00:00:00"/>
    <s v="Séminaire Pili - Echéance du 17 juin 2025"/>
    <m/>
    <e v="#N/A"/>
    <e v="#N/A"/>
    <n v="76144"/>
    <m/>
    <m/>
    <s v="Q2"/>
    <e v="#REF!"/>
    <e v="#REF!"/>
    <e v="#REF!"/>
  </r>
  <r>
    <s v="409100"/>
    <x v="6"/>
    <s v="FOURNISSEURS - AVANCES ET ACOMPTES CMDES"/>
    <s v="BPRI"/>
    <n v="2725"/>
    <d v="2025-09-12T00:00:00"/>
    <s v="Quittance n°2025-Q100406"/>
    <m/>
    <e v="#N/A"/>
    <e v="#N/A"/>
    <n v="82087"/>
    <m/>
    <s v="INITIATIVE &amp; RISK PARTNERS"/>
    <s v="Q3"/>
    <e v="#REF!"/>
    <e v="#REF!"/>
    <e v="#REF!"/>
  </r>
  <r>
    <s v="409100"/>
    <x v="6"/>
    <s v="FOURNISSEURS - AVANCES ET ACOMPTES CMDES"/>
    <s v="BPRI"/>
    <n v="2896.05"/>
    <d v="2025-08-08T00:00:00"/>
    <s v="ACOMPTE PILI TG34/D-12182-4"/>
    <m/>
    <e v="#N/A"/>
    <e v="#N/A"/>
    <n v="80721"/>
    <m/>
    <s v="TRAITEUR GRAND"/>
    <s v="Q3"/>
    <e v="#REF!"/>
    <e v="#REF!"/>
    <e v="#REF!"/>
  </r>
  <r>
    <s v="409100"/>
    <x v="6"/>
    <s v="FOURNISSEURS - AVANCES ET ACOMPTES CMDES"/>
    <s v="BPRI"/>
    <n v="3362.4"/>
    <d v="2025-01-16T00:00:00"/>
    <s v="EVI REMISE"/>
    <m/>
    <e v="#N/A"/>
    <e v="#N/A"/>
    <n v="21010"/>
    <s v="0GLD296"/>
    <s v="SD TECH"/>
    <s v="Q1"/>
    <e v="#REF!"/>
    <e v="#REF!"/>
    <e v="#REF!"/>
  </r>
  <r>
    <s v="409100"/>
    <x v="6"/>
    <s v="FOURNISSEURS - AVANCES ET ACOMPTES CMDES"/>
    <s v="BPRI"/>
    <n v="13500"/>
    <d v="2025-09-08T00:00:00"/>
    <s v="PROFORMA INVOICE No. 9912500020 - PHOENIX VI"/>
    <m/>
    <e v="#N/A"/>
    <e v="#N/A"/>
    <n v="81738"/>
    <m/>
    <m/>
    <s v="Q3"/>
    <e v="#REF!"/>
    <e v="#REF!"/>
    <e v="#REF!"/>
  </r>
  <r>
    <s v="409100"/>
    <x v="6"/>
    <s v="FOURNISSEURS - AVANCES ET ACOMPTES CMDES"/>
    <s v="BPRI"/>
    <n v="18000"/>
    <d v="2025-11-25T00:00:00"/>
    <s v="25011001PRO"/>
    <m/>
    <e v="#N/A"/>
    <e v="#N/A"/>
    <n v="91142"/>
    <m/>
    <s v="VEG'EXTRA"/>
    <s v="Q4"/>
    <e v="#REF!"/>
    <e v="#REF!"/>
    <e v="#REF!"/>
  </r>
  <r>
    <s v="409100"/>
    <x v="6"/>
    <s v="FOURNISSEURS - AVANCES ET ACOMPTES CMDES"/>
    <s v="BPRI"/>
    <n v="19543.52"/>
    <d v="2025-07-01T00:00:00"/>
    <s v="Règlement loyer Q3 2025 - Pili"/>
    <m/>
    <e v="#N/A"/>
    <e v="#N/A"/>
    <n v="76832"/>
    <m/>
    <m/>
    <s v="Q3"/>
    <e v="#REF!"/>
    <e v="#REF!"/>
    <e v="#REF!"/>
  </r>
  <r>
    <s v="409100"/>
    <x v="6"/>
    <s v="FOURNISSEURS - AVANCES ET ACOMPTES CMDES"/>
    <s v="BPRI"/>
    <n v="64000"/>
    <d v="2025-06-19T00:00:00"/>
    <s v="Proforma invoice  No. 9912500011"/>
    <s v="Non"/>
    <e v="#N/A"/>
    <e v="#N/A"/>
    <n v="76159"/>
    <m/>
    <s v="BIOTIKA"/>
    <s v="Q2"/>
    <e v="#REF!"/>
    <e v="#REF!"/>
    <e v="#REF!"/>
  </r>
  <r>
    <s v="409100"/>
    <x v="6"/>
    <s v="FOURNISSEURS - AVANCES ET ACOMPTES CMDES"/>
    <s v="OD"/>
    <n v="-64000"/>
    <d v="2025-07-18T00:00:00"/>
    <s v="Liaison inter-établissement"/>
    <s v="Non"/>
    <e v="#N/A"/>
    <e v="#N/A"/>
    <n v="78949"/>
    <m/>
    <s v="BIOTIKA"/>
    <s v="Q3"/>
    <e v="#REF!"/>
    <e v="#REF!"/>
    <e v="#REF!"/>
  </r>
  <r>
    <s v="409100"/>
    <x v="6"/>
    <s v="FOURNISSEURS - AVANCES ET ACOMPTES CMDES"/>
    <s v="OD"/>
    <n v="-19543.52"/>
    <d v="2025-07-01T00:00:00"/>
    <s v="Liaison inter-établissement"/>
    <m/>
    <e v="#N/A"/>
    <e v="#N/A"/>
    <n v="77354"/>
    <m/>
    <s v="LIBERTY PM"/>
    <s v="Q3"/>
    <e v="#REF!"/>
    <e v="#REF!"/>
    <e v="#REF!"/>
  </r>
  <r>
    <s v="409100"/>
    <x v="6"/>
    <s v="FOURNISSEURS - AVANCES ET ACOMPTES CMDES"/>
    <s v="OD"/>
    <n v="-18000"/>
    <d v="2025-12-22T00:00:00"/>
    <s v="Liaison inter-établissement"/>
    <m/>
    <e v="#N/A"/>
    <e v="#N/A"/>
    <n v="93721"/>
    <m/>
    <s v="VEG'EXTRA"/>
    <s v="Q4"/>
    <e v="#REF!"/>
    <e v="#REF!"/>
    <e v="#REF!"/>
  </r>
  <r>
    <s v="409100"/>
    <x v="6"/>
    <s v="FOURNISSEURS - AVANCES ET ACOMPTES CMDES"/>
    <s v="OD"/>
    <n v="-13500"/>
    <d v="2025-11-14T00:00:00"/>
    <s v="Paiement reliquat facture Biotika 91250146"/>
    <s v="Non"/>
    <e v="#N/A"/>
    <e v="#N/A"/>
    <n v="90014"/>
    <m/>
    <s v="BIOTIKA"/>
    <s v="Q4"/>
    <e v="#REF!"/>
    <e v="#REF!"/>
    <e v="#REF!"/>
  </r>
  <r>
    <s v="409100"/>
    <x v="6"/>
    <s v="FOURNISSEURS - AVANCES ET ACOMPTES CMDES"/>
    <s v="OD"/>
    <n v="-4260"/>
    <d v="2025-11-26T00:00:00"/>
    <s v="Liaison inter-établissement"/>
    <m/>
    <e v="#N/A"/>
    <e v="#N/A"/>
    <n v="91860"/>
    <m/>
    <s v="SD TECH"/>
    <s v="Q4"/>
    <e v="#REF!"/>
    <e v="#REF!"/>
    <e v="#REF!"/>
  </r>
  <r>
    <s v="409100"/>
    <x v="6"/>
    <s v="FOURNISSEURS - AVANCES ET ACOMPTES CMDES"/>
    <s v="OD"/>
    <n v="-3280"/>
    <d v="2025-09-12T00:00:00"/>
    <s v="Liaison inter-établissement"/>
    <m/>
    <e v="#N/A"/>
    <e v="#N/A"/>
    <n v="85007"/>
    <m/>
    <s v="DOMAINE DE CHRISTIN SAS"/>
    <s v="Q3"/>
    <e v="#REF!"/>
    <e v="#REF!"/>
    <e v="#REF!"/>
  </r>
  <r>
    <s v="409100"/>
    <x v="6"/>
    <s v="FOURNISSEURS - AVANCES ET ACOMPTES CMDES"/>
    <s v="OD"/>
    <n v="-2913.06"/>
    <d v="2025-01-17T00:00:00"/>
    <m/>
    <m/>
    <e v="#N/A"/>
    <e v="#N/A"/>
    <n v="71894"/>
    <m/>
    <s v="PROMINENT"/>
    <s v="Q1"/>
    <e v="#REF!"/>
    <e v="#REF!"/>
    <e v="#REF!"/>
  </r>
  <r>
    <s v="409100"/>
    <x v="6"/>
    <s v="FOURNISSEURS - AVANCES ET ACOMPTES CMDES"/>
    <s v="OD"/>
    <n v="-2896.05"/>
    <d v="2025-09-23T00:00:00"/>
    <s v="Liaison inter-établissement"/>
    <m/>
    <e v="#N/A"/>
    <e v="#N/A"/>
    <n v="87129"/>
    <m/>
    <s v="TRAITEUR GRAND"/>
    <s v="Q3"/>
    <e v="#REF!"/>
    <e v="#REF!"/>
    <e v="#REF!"/>
  </r>
  <r>
    <s v="409100"/>
    <x v="6"/>
    <s v="FOURNISSEURS - AVANCES ET ACOMPTES CMDES"/>
    <s v="OD"/>
    <n v="-2280"/>
    <d v="2025-07-07T00:00:00"/>
    <s v="Liaison inter-établissement"/>
    <m/>
    <e v="#N/A"/>
    <e v="#N/A"/>
    <n v="78976"/>
    <m/>
    <s v="APIE"/>
    <s v="Q3"/>
    <e v="#REF!"/>
    <e v="#REF!"/>
    <e v="#REF!"/>
  </r>
  <r>
    <s v="409100"/>
    <x v="6"/>
    <s v="FOURNISSEURS - AVANCES ET ACOMPTES CMDES"/>
    <s v="OD"/>
    <n v="-1231.2"/>
    <d v="2025-10-06T00:00:00"/>
    <s v="Liaison inter-établissement"/>
    <m/>
    <e v="#N/A"/>
    <n v="0"/>
    <n v="85003"/>
    <m/>
    <s v="LOCAPROD EVENEMENT"/>
    <s v="Q4"/>
    <e v="#REF!"/>
    <e v="#REF!"/>
    <e v="#REF!"/>
  </r>
  <r>
    <s v="409100"/>
    <x v="6"/>
    <s v="FOURNISSEURS - AVANCES ET ACOMPTES CMDES"/>
    <s v="OD"/>
    <n v="-900"/>
    <d v="2025-09-12T00:00:00"/>
    <s v="Liaison inter-établissement"/>
    <m/>
    <e v="#N/A"/>
    <e v="#N/A"/>
    <n v="85011"/>
    <m/>
    <s v="BURAY ERIC"/>
    <s v="Q3"/>
    <e v="#REF!"/>
    <e v="#REF!"/>
    <e v="#REF!"/>
  </r>
  <r>
    <s v="409100"/>
    <x v="6"/>
    <s v="FOURNISSEURS - AVANCES ET ACOMPTES CMDES"/>
    <s v="OD"/>
    <n v="-324"/>
    <d v="2025-10-21T00:00:00"/>
    <s v="Liaison inter-établissement"/>
    <m/>
    <e v="#N/A"/>
    <e v="#N/A"/>
    <n v="87490"/>
    <m/>
    <s v="DOMAINE DE CHRISTIN SAS"/>
    <s v="Q4"/>
    <e v="#REF!"/>
    <e v="#REF!"/>
    <e v="#REF!"/>
  </r>
  <r>
    <s v="409100"/>
    <x v="6"/>
    <s v="FOURNISSEURS - AVANCES ET ACOMPTES CMDES"/>
    <s v="OD"/>
    <n v="-280"/>
    <d v="2025-01-31T00:00:00"/>
    <s v="Liaison inter-établissement vers RO "/>
    <m/>
    <e v="#N/A"/>
    <e v="#N/A"/>
    <n v="88000"/>
    <m/>
    <s v="SOFFIERA"/>
    <s v="Q1"/>
    <e v="#REF!"/>
    <e v="#REF!"/>
    <e v="#REF!"/>
  </r>
  <r>
    <s v="409100"/>
    <x v="6"/>
    <s v="FOURNISSEURS - AVANCES ET ACOMPTES CMDES"/>
    <s v="OD"/>
    <n v="-53.12"/>
    <d v="2025-11-14T00:00:00"/>
    <s v="Imputation reliquat acompte Becker"/>
    <s v="Non"/>
    <s v="Oui"/>
    <e v="#N/A"/>
    <n v="89975"/>
    <m/>
    <s v="BECKER"/>
    <s v="Q4"/>
    <e v="#REF!"/>
    <e v="#REF!"/>
    <e v="#REF!"/>
  </r>
  <r>
    <s v="409100"/>
    <x v="6"/>
    <s v="FOURNISSEURS - AVANCES ET ACOMPTES CMDES"/>
    <s v="OD"/>
    <n v="280"/>
    <d v="2025-01-31T00:00:00"/>
    <s v="Liaison inter-établissement"/>
    <m/>
    <e v="#N/A"/>
    <e v="#N/A"/>
    <n v="88001"/>
    <m/>
    <s v="SOFFIERA"/>
    <s v="Q1"/>
    <e v="#REF!"/>
    <e v="#REF!"/>
    <e v="#REF!"/>
  </r>
  <r>
    <s v="409100"/>
    <x v="6"/>
    <s v="FOURNISSEURS - AVANCES ET ACOMPTES CMDES"/>
    <s v="OD"/>
    <n v="324"/>
    <d v="2025-10-21T00:00:00"/>
    <s v="Liaison inter-établissement vers TO "/>
    <m/>
    <e v="#N/A"/>
    <e v="#N/A"/>
    <n v="87489"/>
    <m/>
    <s v="DOMAINE DE CHRISTIN SAS"/>
    <s v="Q4"/>
    <e v="#REF!"/>
    <e v="#REF!"/>
    <e v="#REF!"/>
  </r>
  <r>
    <s v="409100"/>
    <x v="6"/>
    <s v="FOURNISSEURS - AVANCES ET ACOMPTES CMDES"/>
    <s v="OD"/>
    <n v="798"/>
    <d v="2025-12-11T00:00:00"/>
    <s v="SODLE VERSE PAR PR"/>
    <m/>
    <e v="#N/A"/>
    <e v="#N/A"/>
    <n v="94824"/>
    <s v="NDF 25000324"/>
    <s v="RJM LA ROSA NEGRA"/>
    <s v="Q4"/>
    <e v="#REF!"/>
    <e v="#REF!"/>
    <e v="#REF!"/>
  </r>
  <r>
    <s v="409100"/>
    <x v="6"/>
    <s v="FOURNISSEURS - AVANCES ET ACOMPTES CMDES"/>
    <s v="OD"/>
    <n v="900"/>
    <d v="2025-09-12T00:00:00"/>
    <s v="Liaison inter-établissement vers TO "/>
    <m/>
    <e v="#N/A"/>
    <e v="#N/A"/>
    <n v="85010"/>
    <m/>
    <s v="BURAY ERIC"/>
    <s v="Q3"/>
    <e v="#REF!"/>
    <e v="#REF!"/>
    <e v="#REF!"/>
  </r>
  <r>
    <s v="409100"/>
    <x v="6"/>
    <s v="FOURNISSEURS - AVANCES ET ACOMPTES CMDES"/>
    <s v="OD"/>
    <n v="1231.2"/>
    <d v="2025-10-06T00:00:00"/>
    <s v="Liaison inter-établissement vers TO "/>
    <m/>
    <e v="#N/A"/>
    <n v="0"/>
    <n v="85002"/>
    <m/>
    <s v="LOCAPROD EVENEMENT"/>
    <s v="Q4"/>
    <e v="#REF!"/>
    <e v="#REF!"/>
    <e v="#REF!"/>
  </r>
  <r>
    <s v="409100"/>
    <x v="6"/>
    <s v="FOURNISSEURS - AVANCES ET ACOMPTES CMDES"/>
    <s v="OD"/>
    <n v="2280"/>
    <d v="2025-07-07T00:00:00"/>
    <s v="Liaison inter-établissement vers TO "/>
    <m/>
    <e v="#N/A"/>
    <e v="#N/A"/>
    <n v="78975"/>
    <m/>
    <s v="APIE"/>
    <s v="Q3"/>
    <e v="#REF!"/>
    <e v="#REF!"/>
    <e v="#REF!"/>
  </r>
  <r>
    <s v="409100"/>
    <x v="6"/>
    <s v="FOURNISSEURS - AVANCES ET ACOMPTES CMDES"/>
    <s v="OD"/>
    <n v="2896.05"/>
    <d v="2025-09-23T00:00:00"/>
    <s v="Liaison inter-établissement vers TO "/>
    <m/>
    <e v="#N/A"/>
    <e v="#N/A"/>
    <n v="87128"/>
    <m/>
    <s v="TRAITEUR GRAND"/>
    <s v="Q3"/>
    <e v="#REF!"/>
    <e v="#REF!"/>
    <e v="#REF!"/>
  </r>
  <r>
    <s v="409100"/>
    <x v="6"/>
    <s v="FOURNISSEURS - AVANCES ET ACOMPTES CMDES"/>
    <s v="OD"/>
    <n v="3280"/>
    <d v="2025-09-12T00:00:00"/>
    <s v="Liaison inter-établissement vers TO "/>
    <m/>
    <e v="#N/A"/>
    <e v="#N/A"/>
    <n v="85006"/>
    <m/>
    <s v="DOMAINE DE CHRISTIN SAS"/>
    <s v="Q3"/>
    <e v="#REF!"/>
    <e v="#REF!"/>
    <e v="#REF!"/>
  </r>
  <r>
    <s v="409100"/>
    <x v="6"/>
    <s v="FOURNISSEURS - AVANCES ET ACOMPTES CMDES"/>
    <s v="OD"/>
    <n v="4260"/>
    <d v="2025-11-26T00:00:00"/>
    <s v="Liaison inter-établissement vers TO "/>
    <m/>
    <e v="#N/A"/>
    <e v="#N/A"/>
    <n v="91859"/>
    <m/>
    <s v="SD TECH"/>
    <s v="Q4"/>
    <e v="#REF!"/>
    <e v="#REF!"/>
    <e v="#REF!"/>
  </r>
  <r>
    <s v="409100"/>
    <x v="6"/>
    <s v="FOURNISSEURS - AVANCES ET ACOMPTES CMDES"/>
    <s v="OD"/>
    <n v="18000"/>
    <d v="2025-12-22T00:00:00"/>
    <s v="Liaison inter-établissement vers TO "/>
    <m/>
    <e v="#N/A"/>
    <e v="#N/A"/>
    <n v="93720"/>
    <m/>
    <s v="VEG'EXTRA"/>
    <s v="Q4"/>
    <e v="#REF!"/>
    <e v="#REF!"/>
    <e v="#REF!"/>
  </r>
  <r>
    <s v="409100"/>
    <x v="6"/>
    <s v="FOURNISSEURS - AVANCES ET ACOMPTES CMDES"/>
    <s v="OD"/>
    <n v="19543.52"/>
    <d v="2025-07-01T00:00:00"/>
    <s v="Liaison inter-établissement vers TO "/>
    <m/>
    <e v="#N/A"/>
    <e v="#N/A"/>
    <n v="77353"/>
    <m/>
    <s v="LIBERTY PM"/>
    <s v="Q3"/>
    <e v="#REF!"/>
    <e v="#REF!"/>
    <e v="#REF!"/>
  </r>
  <r>
    <s v="409100"/>
    <x v="6"/>
    <s v="FOURNISSEURS - AVANCES ET ACOMPTES CMDES"/>
    <s v="OD"/>
    <n v="64000"/>
    <d v="2025-07-18T00:00:00"/>
    <s v="Liaison inter-établissement vers TO "/>
    <s v="Non"/>
    <e v="#N/A"/>
    <e v="#N/A"/>
    <n v="78948"/>
    <m/>
    <s v="BIOTIKA"/>
    <s v="Q3"/>
    <e v="#REF!"/>
    <e v="#REF!"/>
    <e v="#REF!"/>
  </r>
  <r>
    <s v="411000"/>
    <x v="6"/>
    <s v="CLIENTS"/>
    <s v="AN"/>
    <n v="1692"/>
    <d v="2025-01-01T00:00:00"/>
    <s v="Report à nouveau Exercice 2025"/>
    <m/>
    <e v="#N/A"/>
    <e v="#N/A"/>
    <n v="84758"/>
    <m/>
    <m/>
    <s v="Q1"/>
    <e v="#REF!"/>
    <e v="#REF!"/>
    <e v="#REF!"/>
  </r>
  <r>
    <s v="411000"/>
    <x v="6"/>
    <s v="CLIENTS"/>
    <s v="AN"/>
    <n v="1800"/>
    <d v="2025-01-01T00:00:00"/>
    <s v="Report à nouveau Exercice 2025"/>
    <m/>
    <e v="#N/A"/>
    <e v="#N/A"/>
    <n v="84760"/>
    <m/>
    <m/>
    <s v="Q1"/>
    <e v="#REF!"/>
    <e v="#REF!"/>
    <e v="#REF!"/>
  </r>
  <r>
    <s v="411000"/>
    <x v="6"/>
    <s v="CLIENTS"/>
    <s v="AN"/>
    <n v="4030"/>
    <d v="2025-01-01T00:00:00"/>
    <s v="Report à nouveau Exercice 2025"/>
    <m/>
    <e v="#N/A"/>
    <e v="#N/A"/>
    <n v="84759"/>
    <m/>
    <m/>
    <s v="Q1"/>
    <e v="#REF!"/>
    <e v="#REF!"/>
    <e v="#REF!"/>
  </r>
  <r>
    <s v="512100"/>
    <x v="6"/>
    <s v="BANQUE POPULAIRE RIVE DE PARIS"/>
    <s v="BPRI"/>
    <n v="279540"/>
    <d v="2025-10-01T00:00:00"/>
    <s v="/LIB/RAPATR ETR COMM/LIB/INV:F250404-1 ,/LIB/VIR DE    279 540,00EUR/LIB/INV:F250404-1 , F250703-1,F25092/LIB/COH TURKEY TEKSTIL"/>
    <m/>
    <e v="#N/A"/>
    <e v="#N/A"/>
    <n v="82555"/>
    <m/>
    <s v="COH TURKEY"/>
    <s v="Q4"/>
    <e v="#REF!"/>
    <e v="#REF!"/>
    <e v="#REF!"/>
  </r>
  <r>
    <s v="411000"/>
    <x v="6"/>
    <s v="CLIENTS"/>
    <s v="BPRI"/>
    <n v="-4030"/>
    <d v="2025-02-11T00:00:00"/>
    <s v="RAPATR ETR COMM"/>
    <m/>
    <e v="#N/A"/>
    <e v="#N/A"/>
    <n v="21280"/>
    <s v="A2B3FL1"/>
    <s v="CITIZENS OF HUMANITY LLC"/>
    <s v="Q1"/>
    <e v="#REF!"/>
    <e v="#REF!"/>
    <e v="#REF!"/>
  </r>
  <r>
    <s v="411000"/>
    <x v="6"/>
    <s v="CLIENTS"/>
    <s v="BPRI"/>
    <n v="-1800"/>
    <d v="2025-05-16T00:00:00"/>
    <s v="Règlement Client"/>
    <m/>
    <e v="#N/A"/>
    <e v="#N/A"/>
    <n v="72845"/>
    <m/>
    <s v="MAINCO"/>
    <s v="Q2"/>
    <e v="#REF!"/>
    <e v="#REF!"/>
    <e v="#REF!"/>
  </r>
  <r>
    <s v="411000"/>
    <x v="6"/>
    <s v="CLIENTS"/>
    <s v="BPRI"/>
    <n v="-1570"/>
    <d v="2025-06-19T00:00:00"/>
    <s v="Virement SEPA NIG"/>
    <m/>
    <e v="#N/A"/>
    <e v="#N/A"/>
    <n v="76154"/>
    <m/>
    <s v="NIG Nahrungs-Ingenieurtechnik GmbH"/>
    <s v="Q2"/>
    <e v="#REF!"/>
    <e v="#REF!"/>
    <e v="#REF!"/>
  </r>
  <r>
    <s v="425500"/>
    <x v="6"/>
    <s v="PERSONNEL - AVANCES"/>
    <s v="BPRI"/>
    <n v="180"/>
    <d v="2025-12-02T00:00:00"/>
    <s v="/LIB/VIR ADMIN CYBER/LIB/OAE502500107945B/LIB/TRESO. DE LYON AMENDES/LIB/OAE502500107945BAMO96244AA069018"/>
    <m/>
    <e v="#N/A"/>
    <e v="#N/A"/>
    <n v="91315"/>
    <m/>
    <m/>
    <s v="Q4"/>
    <e v="#REF!"/>
    <e v="#REF!"/>
    <e v="#REF!"/>
  </r>
  <r>
    <s v="512100"/>
    <x v="6"/>
    <s v="BANQUE POPULAIRE RIVE DE PARIS"/>
    <s v="BPRI"/>
    <n v="-180"/>
    <d v="2025-12-02T00:00:00"/>
    <s v="/LIB/VIR ADMIN CYBER/LIB/OAE502500107945B/LIB/TRESO. DE LYON AMENDES/LIB/OAE502500107945BAMO96244AA069018"/>
    <m/>
    <e v="#N/A"/>
    <e v="#N/A"/>
    <n v="91314"/>
    <m/>
    <m/>
    <s v="Q4"/>
    <e v="#REF!"/>
    <e v="#REF!"/>
    <e v="#REF!"/>
  </r>
  <r>
    <s v="411000"/>
    <x v="6"/>
    <s v="CLIENTS"/>
    <s v="BPRI"/>
    <n v="-440"/>
    <d v="2025-02-25T00:00:00"/>
    <s v="EVI PAYPAL EUROPE S.A.R.L. E"/>
    <m/>
    <s v="Non"/>
    <e v="#N/A"/>
    <n v="21426"/>
    <s v="2LCW2IE"/>
    <s v="DIVERS"/>
    <s v="Q1"/>
    <e v="#REF!"/>
    <e v="#REF!"/>
    <e v="#REF!"/>
  </r>
  <r>
    <s v="467200"/>
    <x v="6"/>
    <s v="CREANCES SUR PREFINANCEMENT CIR"/>
    <s v="BPRI"/>
    <n v="-163130.23999999999"/>
    <d v="2025-10-27T00:00:00"/>
    <s v="/LIB/VIR DE    163 130,24EUR PILI CI/LIB/SIENNA INNOVATIO/LIB/VIR DE    163 130,24EUR/LIB/PILI CIR 2024/LIB/SIENNA INNOVATION 5"/>
    <m/>
    <e v="#N/A"/>
    <e v="#N/A"/>
    <n v="87386"/>
    <m/>
    <m/>
    <s v="Q4"/>
    <e v="#REF!"/>
    <e v="#REF!"/>
    <e v="#REF!"/>
  </r>
  <r>
    <s v="411000"/>
    <x v="6"/>
    <s v="CLIENTS"/>
    <s v="BPRI"/>
    <n v="-216.45"/>
    <d v="2025-05-30T00:00:00"/>
    <s v="Encaissement Shopify"/>
    <m/>
    <s v="Non"/>
    <e v="#N/A"/>
    <n v="75003"/>
    <m/>
    <s v="DIVERS"/>
    <s v="Q2"/>
    <e v="#REF!"/>
    <e v="#REF!"/>
    <e v="#REF!"/>
  </r>
  <r>
    <s v="411000"/>
    <x v="6"/>
    <s v="CLIENTS"/>
    <s v="BPRI"/>
    <n v="-216.45"/>
    <d v="2025-06-11T00:00:00"/>
    <s v="Virement reçu Shopify - GAM"/>
    <m/>
    <s v="Non"/>
    <e v="#N/A"/>
    <n v="75943"/>
    <m/>
    <s v="DIVERS"/>
    <s v="Q2"/>
    <e v="#REF!"/>
    <e v="#REF!"/>
    <e v="#REF!"/>
  </r>
  <r>
    <s v="411000"/>
    <x v="6"/>
    <s v="CLIENTS"/>
    <s v="BPRI"/>
    <n v="-151.44"/>
    <d v="2025-07-03T00:00:00"/>
    <s v="Vente GAM"/>
    <m/>
    <s v="Non"/>
    <e v="#N/A"/>
    <n v="76993"/>
    <m/>
    <s v="DIVERS"/>
    <s v="Q3"/>
    <e v="#REF!"/>
    <e v="#REF!"/>
    <e v="#REF!"/>
  </r>
  <r>
    <s v="411000"/>
    <x v="6"/>
    <s v="CLIENTS"/>
    <s v="BPRI"/>
    <n v="-127.2"/>
    <d v="2025-02-18T00:00:00"/>
    <s v="EVI CITIZENS OF HUMANITY - E"/>
    <m/>
    <e v="#N/A"/>
    <e v="#N/A"/>
    <n v="21368"/>
    <s v="29S4RXU"/>
    <s v="CITIZENS OF HUMANITY EUROPE SRL"/>
    <s v="Q1"/>
    <e v="#REF!"/>
    <e v="#REF!"/>
    <e v="#REF!"/>
  </r>
  <r>
    <s v="411000"/>
    <x v="6"/>
    <s v="CLIENTS"/>
    <s v="OD"/>
    <n v="-1"/>
    <d v="2025-01-01T00:00:00"/>
    <s v="Lettrage 2025"/>
    <m/>
    <e v="#N/A"/>
    <e v="#N/A"/>
    <n v="80834"/>
    <m/>
    <s v="OPCO"/>
    <s v="Q1"/>
    <e v="#REF!"/>
    <e v="#REF!"/>
    <e v="#REF!"/>
  </r>
  <r>
    <s v="411000"/>
    <x v="6"/>
    <s v="CLIENTS"/>
    <s v="OD"/>
    <n v="1"/>
    <d v="2025-01-01T00:00:00"/>
    <s v="Lettrage 2025"/>
    <m/>
    <e v="#N/A"/>
    <e v="#N/A"/>
    <n v="80833"/>
    <m/>
    <s v="OPCO"/>
    <s v="Q1"/>
    <e v="#REF!"/>
    <e v="#REF!"/>
    <e v="#REF!"/>
  </r>
  <r>
    <s v="411000"/>
    <x v="6"/>
    <s v="CLIENTS"/>
    <s v="VT"/>
    <n v="-23200"/>
    <d v="2025-09-26T00:00:00"/>
    <s v="Credit Note F250926_2"/>
    <m/>
    <e v="#N/A"/>
    <e v="#N/A"/>
    <n v="82551"/>
    <s v="F250926_2"/>
    <s v="COH TURKEY"/>
    <s v="Q3"/>
    <e v="#REF!"/>
    <e v="#REF!"/>
    <e v="#REF!"/>
  </r>
  <r>
    <s v="411000"/>
    <x v="6"/>
    <s v="CLIENTS"/>
    <s v="VT"/>
    <n v="-22620"/>
    <d v="2025-09-26T00:00:00"/>
    <m/>
    <m/>
    <e v="#N/A"/>
    <e v="#N/A"/>
    <n v="82546"/>
    <s v="F250926_1"/>
    <s v="COH TURKEY"/>
    <s v="Q3"/>
    <e v="#REF!"/>
    <e v="#REF!"/>
    <e v="#REF!"/>
  </r>
  <r>
    <s v="411000"/>
    <x v="6"/>
    <s v="CLIENTS"/>
    <s v="VT"/>
    <n v="-4640"/>
    <d v="2025-09-26T00:00:00"/>
    <s v="Credit Note F250926_3"/>
    <m/>
    <e v="#N/A"/>
    <e v="#N/A"/>
    <n v="82553"/>
    <s v="F250926_3"/>
    <s v="COH TURKEY"/>
    <s v="Q3"/>
    <e v="#REF!"/>
    <e v="#REF!"/>
    <e v="#REF!"/>
  </r>
  <r>
    <s v="411000"/>
    <x v="6"/>
    <s v="CLIENTS"/>
    <s v="VT"/>
    <n v="-2448"/>
    <d v="2025-01-31T00:00:00"/>
    <s v="Facture n° F241108-1 OPCO annulée"/>
    <m/>
    <e v="#N/A"/>
    <e v="#N/A"/>
    <n v="80840"/>
    <m/>
    <s v="OPCO"/>
    <s v="Q1"/>
    <e v="#REF!"/>
    <e v="#REF!"/>
    <e v="#REF!"/>
  </r>
  <r>
    <s v="411000"/>
    <x v="6"/>
    <s v="CLIENTS"/>
    <s v="VT"/>
    <n v="127.2"/>
    <d v="2025-02-15T00:00:00"/>
    <s v="300g Indigo"/>
    <m/>
    <e v="#N/A"/>
    <e v="#N/A"/>
    <n v="72268"/>
    <m/>
    <s v="CITIZENS OF HUMANITY EUROPE SRL"/>
    <s v="Q1"/>
    <e v="#REF!"/>
    <e v="#REF!"/>
    <e v="#REF!"/>
  </r>
  <r>
    <s v="411000"/>
    <x v="6"/>
    <s v="CLIENTS"/>
    <s v="VT"/>
    <n v="151.44"/>
    <d v="2025-07-03T00:00:00"/>
    <s v="Vente GAM"/>
    <m/>
    <s v="Non"/>
    <e v="#N/A"/>
    <n v="76988"/>
    <s v="1040"/>
    <s v="DIVERS"/>
    <s v="Q3"/>
    <e v="#REF!"/>
    <e v="#REF!"/>
    <e v="#REF!"/>
  </r>
  <r>
    <s v="411000"/>
    <x v="6"/>
    <s v="CLIENTS"/>
    <s v="VT"/>
    <n v="216.45"/>
    <d v="2025-05-27T00:00:00"/>
    <s v="Vente GAM"/>
    <m/>
    <s v="Non"/>
    <e v="#N/A"/>
    <n v="75548"/>
    <s v="1038"/>
    <s v="DIVERS"/>
    <s v="Q2"/>
    <e v="#REF!"/>
    <e v="#REF!"/>
    <e v="#REF!"/>
  </r>
  <r>
    <s v="411000"/>
    <x v="6"/>
    <s v="CLIENTS"/>
    <s v="VT"/>
    <n v="216.45"/>
    <d v="2025-06-07T00:00:00"/>
    <s v="Vente GAM"/>
    <m/>
    <s v="Non"/>
    <e v="#N/A"/>
    <n v="75909"/>
    <s v="1039"/>
    <s v="DIVERS"/>
    <s v="Q2"/>
    <e v="#REF!"/>
    <e v="#REF!"/>
    <e v="#REF!"/>
  </r>
  <r>
    <s v="411000"/>
    <x v="6"/>
    <s v="CLIENTS"/>
    <s v="VT"/>
    <n v="312"/>
    <d v="2025-11-26T00:00:00"/>
    <s v="COMMERCIAL INVOICE N° F251126_1"/>
    <m/>
    <e v="#N/A"/>
    <e v="#N/A"/>
    <n v="93902"/>
    <m/>
    <s v="TOTALENERGIES ONETECH"/>
    <s v="Q4"/>
    <e v="#REF!"/>
    <e v="#REF!"/>
    <e v="#REF!"/>
  </r>
  <r>
    <s v="411000"/>
    <x v="6"/>
    <s v="CLIENTS"/>
    <s v="VT"/>
    <n v="440"/>
    <d v="2025-04-01T00:00:00"/>
    <s v="Vente GAM"/>
    <m/>
    <s v="Non"/>
    <e v="#N/A"/>
    <n v="71734"/>
    <m/>
    <s v="DIVERS"/>
    <s v="Q2"/>
    <e v="#REF!"/>
    <e v="#REF!"/>
    <e v="#REF!"/>
  </r>
  <r>
    <s v="411000"/>
    <x v="6"/>
    <s v="CLIENTS"/>
    <s v="VT"/>
    <n v="504"/>
    <d v="2025-07-25T00:00:00"/>
    <s v="Facture OPCO F_TR20250725_1"/>
    <m/>
    <e v="#N/A"/>
    <e v="#N/A"/>
    <n v="80830"/>
    <m/>
    <s v="OPCO"/>
    <s v="Q3"/>
    <e v="#REF!"/>
    <e v="#REF!"/>
    <e v="#REF!"/>
  </r>
  <r>
    <s v="411000"/>
    <x v="6"/>
    <s v="CLIENTS"/>
    <s v="VT"/>
    <n v="565"/>
    <d v="2025-06-13T00:00:00"/>
    <s v="F250613_2 - Pili bioaromatic PABA sample"/>
    <m/>
    <e v="#N/A"/>
    <e v="#N/A"/>
    <n v="81194"/>
    <m/>
    <s v="DIC CORPORATION"/>
    <s v="Q2"/>
    <e v="#REF!"/>
    <e v="#REF!"/>
    <e v="#REF!"/>
  </r>
  <r>
    <s v="411000"/>
    <x v="6"/>
    <s v="CLIENTS"/>
    <s v="VT"/>
    <n v="756"/>
    <d v="2025-01-31T00:00:00"/>
    <s v="Facture n° F241126-1 OPCO corrigée"/>
    <m/>
    <e v="#N/A"/>
    <e v="#N/A"/>
    <n v="80836"/>
    <m/>
    <s v="OPCO"/>
    <s v="Q1"/>
    <e v="#REF!"/>
    <e v="#REF!"/>
    <e v="#REF!"/>
  </r>
  <r>
    <s v="411000"/>
    <x v="6"/>
    <s v="CLIENTS"/>
    <s v="VT"/>
    <n v="1570"/>
    <d v="2025-05-26T00:00:00"/>
    <s v="Pili indigo sample - 10 kg - as per quote D250417_1"/>
    <m/>
    <e v="#N/A"/>
    <e v="#N/A"/>
    <n v="76148"/>
    <m/>
    <s v="NIG Nahrungs-Ingenieurtechnik GmbH"/>
    <s v="Q2"/>
    <e v="#REF!"/>
    <e v="#REF!"/>
    <e v="#REF!"/>
  </r>
  <r>
    <s v="411000"/>
    <x v="6"/>
    <s v="CLIENTS"/>
    <s v="VT"/>
    <n v="30000"/>
    <d v="2025-07-03T00:00:00"/>
    <s v="Commercial Invoice F250703_1 - 0.2t Indigo"/>
    <m/>
    <e v="#N/A"/>
    <e v="#N/A"/>
    <n v="80827"/>
    <m/>
    <s v="COH TURKEY"/>
    <s v="Q3"/>
    <e v="#REF!"/>
    <e v="#REF!"/>
    <e v="#REF!"/>
  </r>
  <r>
    <s v="411000"/>
    <x v="6"/>
    <s v="CLIENTS"/>
    <s v="VT"/>
    <n v="150000"/>
    <d v="2025-04-04T00:00:00"/>
    <s v="1ton Indigo"/>
    <m/>
    <e v="#N/A"/>
    <e v="#N/A"/>
    <n v="72272"/>
    <s v="F250404_1"/>
    <s v="COH TURKEY"/>
    <s v="Q2"/>
    <e v="#REF!"/>
    <e v="#REF!"/>
    <e v="#REF!"/>
  </r>
  <r>
    <s v="411000"/>
    <x v="6"/>
    <s v="CLIENTS"/>
    <s v="VT"/>
    <n v="150000"/>
    <d v="2025-09-24T00:00:00"/>
    <s v=" F250924_1"/>
    <m/>
    <e v="#N/A"/>
    <e v="#N/A"/>
    <n v="82543"/>
    <s v=" F250924_1"/>
    <s v="COH TURKEY"/>
    <s v="Q3"/>
    <e v="#REF!"/>
    <e v="#REF!"/>
    <e v="#REF!"/>
  </r>
  <r>
    <s v="421000"/>
    <x v="6"/>
    <s v="PERSONNEL - RÉMUNÉRATIONS DUES"/>
    <s v="AN"/>
    <n v="-593.87"/>
    <d v="2025-01-01T00:00:00"/>
    <s v="Report à nouveau Exercice 2025"/>
    <m/>
    <e v="#N/A"/>
    <e v="#N/A"/>
    <n v="84761"/>
    <m/>
    <m/>
    <s v="Q1"/>
    <e v="#REF!"/>
    <e v="#REF!"/>
    <e v="#REF!"/>
  </r>
  <r>
    <s v="421000"/>
    <x v="6"/>
    <s v="PERSONNEL - RÉMUNÉRATIONS DUES"/>
    <s v="BPRI"/>
    <n v="66.959999999999994"/>
    <d v="2025-01-14T00:00:00"/>
    <s v="Règlement NDF"/>
    <m/>
    <e v="#N/A"/>
    <e v="#N/A"/>
    <n v="20976"/>
    <s v="1112780"/>
    <m/>
    <s v="Q1"/>
    <e v="#REF!"/>
    <e v="#REF!"/>
    <e v="#REF!"/>
  </r>
  <r>
    <s v="421000"/>
    <x v="6"/>
    <s v="PERSONNEL - RÉMUNÉRATIONS DUES"/>
    <s v="BPRI"/>
    <n v="592.9"/>
    <d v="2025-01-31T00:00:00"/>
    <s v="EVI CHABRET OCEANE"/>
    <m/>
    <e v="#N/A"/>
    <e v="#N/A"/>
    <n v="21150"/>
    <s v="1806734"/>
    <m/>
    <s v="Q1"/>
    <e v="#REF!"/>
    <e v="#REF!"/>
    <e v="#REF!"/>
  </r>
  <r>
    <s v="421000"/>
    <x v="6"/>
    <s v="PERSONNEL - RÉMUNÉRATIONS DUES"/>
    <s v="BPRI"/>
    <n v="593.87"/>
    <d v="2025-01-31T00:00:00"/>
    <s v="EVI CHABRET OCEANE"/>
    <m/>
    <e v="#N/A"/>
    <e v="#N/A"/>
    <n v="21148"/>
    <s v="1806620"/>
    <m/>
    <s v="Q1"/>
    <e v="#REF!"/>
    <e v="#REF!"/>
    <e v="#REF!"/>
  </r>
  <r>
    <s v="421000"/>
    <x v="6"/>
    <s v="PERSONNEL - RÉMUNÉRATIONS DUES"/>
    <s v="BPRI"/>
    <n v="1328.12"/>
    <d v="2025-07-11T00:00:00"/>
    <s v="STC I.S."/>
    <m/>
    <e v="#N/A"/>
    <e v="#N/A"/>
    <n v="77372"/>
    <m/>
    <m/>
    <s v="Q3"/>
    <e v="#REF!"/>
    <e v="#REF!"/>
    <e v="#REF!"/>
  </r>
  <r>
    <s v="421000"/>
    <x v="6"/>
    <s v="PERSONNEL - RÉMUNÉRATIONS DUES"/>
    <s v="BPRI"/>
    <n v="1455.19"/>
    <d v="2025-03-12T00:00:00"/>
    <s v="Virement STC - Tatiana Ghanem"/>
    <m/>
    <e v="#N/A"/>
    <e v="#N/A"/>
    <n v="61610"/>
    <m/>
    <m/>
    <s v="Q1"/>
    <e v="#REF!"/>
    <e v="#REF!"/>
    <e v="#REF!"/>
  </r>
  <r>
    <s v="421000"/>
    <x v="6"/>
    <s v="PERSONNEL - RÉMUNÉRATIONS DUES"/>
    <s v="BPRI"/>
    <n v="2131.12"/>
    <d v="2025-01-27T00:00:00"/>
    <s v="EVI BABA-HAMED WALID"/>
    <m/>
    <e v="#N/A"/>
    <e v="#N/A"/>
    <n v="21082"/>
    <s v="1586842"/>
    <m/>
    <s v="Q1"/>
    <e v="#REF!"/>
    <e v="#REF!"/>
    <e v="#REF!"/>
  </r>
  <r>
    <s v="421000"/>
    <x v="6"/>
    <s v="PERSONNEL - RÉMUNÉRATIONS DUES"/>
    <s v="BPRI"/>
    <n v="3309.49"/>
    <d v="2025-07-11T00:00:00"/>
    <s v="STC"/>
    <m/>
    <e v="#N/A"/>
    <e v="#N/A"/>
    <n v="77369"/>
    <m/>
    <m/>
    <s v="Q3"/>
    <e v="#REF!"/>
    <e v="#REF!"/>
    <e v="#REF!"/>
  </r>
  <r>
    <s v="421000"/>
    <x v="6"/>
    <s v="PERSONNEL - RÉMUNÉRATIONS DUES"/>
    <s v="BPRI"/>
    <n v="4562.87"/>
    <d v="2025-01-13T00:00:00"/>
    <s v="EVI TRAORE HATOUMA"/>
    <m/>
    <e v="#N/A"/>
    <e v="#N/A"/>
    <n v="20954"/>
    <s v="1100170"/>
    <m/>
    <s v="Q1"/>
    <e v="#REF!"/>
    <e v="#REF!"/>
    <e v="#REF!"/>
  </r>
  <r>
    <s v="421000"/>
    <x v="6"/>
    <s v="PERSONNEL - RÉMUNÉRATIONS DUES"/>
    <s v="BPRI"/>
    <n v="6519.53"/>
    <d v="2025-07-15T00:00:00"/>
    <s v="VIR STC WBH"/>
    <m/>
    <e v="#N/A"/>
    <e v="#N/A"/>
    <n v="77596"/>
    <m/>
    <m/>
    <s v="Q3"/>
    <e v="#REF!"/>
    <e v="#REF!"/>
    <e v="#REF!"/>
  </r>
  <r>
    <s v="512100"/>
    <x v="6"/>
    <s v="BANQUE POPULAIRE RIVE DE PARIS"/>
    <s v="BPRI"/>
    <n v="163130.23999999999"/>
    <d v="2025-10-27T00:00:00"/>
    <s v="/LIB/VIR DE    163 130,24EUR PILI CI/LIB/SIENNA INNOVATIO/LIB/VIR DE    163 130,24EUR/LIB/PILI CIR 2024/LIB/SIENNA INNOVATION 5"/>
    <m/>
    <e v="#N/A"/>
    <e v="#N/A"/>
    <n v="87385"/>
    <m/>
    <m/>
    <s v="Q4"/>
    <e v="#REF!"/>
    <e v="#REF!"/>
    <e v="#REF!"/>
  </r>
  <r>
    <s v="401000"/>
    <x v="6"/>
    <s v="FOURNISSEURS"/>
    <s v="BPRI"/>
    <n v="-36"/>
    <d v="2025-10-17T00:00:00"/>
    <s v="/LIB/VIR INST ASS AXELERA/LIB/A2025A000571 PIL/LIB/ASS AXELERA/LIB/A2025A000571 PILI RBST WEB/LIB/A2025A000571 PILI RBST WEB"/>
    <m/>
    <s v="Non"/>
    <s v="Oui"/>
    <n v="87146"/>
    <m/>
    <s v="AXELERA"/>
    <s v="Q4"/>
    <e v="#REF!"/>
    <e v="#REF!"/>
    <e v="#REF!"/>
  </r>
  <r>
    <s v="512100"/>
    <x v="6"/>
    <s v="BANQUE POPULAIRE RIVE DE PARIS"/>
    <s v="BPRI"/>
    <n v="36"/>
    <d v="2025-10-17T00:00:00"/>
    <s v="/LIB/VIR INST ASS AXELERA/LIB/A2025A000571 PIL/LIB/ASS AXELERA/LIB/A2025A000571 PILI RBST WEB/LIB/A2025A000571 PILI RBST WEB"/>
    <m/>
    <s v="Non"/>
    <s v="Oui"/>
    <n v="87145"/>
    <m/>
    <s v="AXELERA"/>
    <s v="Q4"/>
    <e v="#REF!"/>
    <e v="#REF!"/>
    <e v="#REF!"/>
  </r>
  <r>
    <s v="421000"/>
    <x v="6"/>
    <s v="PERSONNEL - RÉMUNÉRATIONS DUES"/>
    <s v="BPRI"/>
    <n v="129036.33"/>
    <d v="2025-01-27T00:00:00"/>
    <s v="EVI REMISE"/>
    <m/>
    <e v="#N/A"/>
    <e v="#N/A"/>
    <n v="21097"/>
    <s v="0GLERFG"/>
    <m/>
    <s v="Q1"/>
    <e v="#REF!"/>
    <e v="#REF!"/>
    <e v="#REF!"/>
  </r>
  <r>
    <s v="421000"/>
    <x v="6"/>
    <s v="PERSONNEL - RÉMUNÉRATIONS DUES"/>
    <s v="BPRI"/>
    <n v="130037.97"/>
    <d v="2025-08-21T00:00:00"/>
    <s v="REMISE SALAIRES AOUT 25"/>
    <m/>
    <e v="#N/A"/>
    <e v="#N/A"/>
    <n v="81552"/>
    <m/>
    <m/>
    <s v="Q3"/>
    <e v="#REF!"/>
    <e v="#REF!"/>
    <e v="#REF!"/>
  </r>
  <r>
    <s v="421000"/>
    <x v="6"/>
    <s v="PERSONNEL - RÉMUNÉRATIONS DUES"/>
    <s v="BPRI"/>
    <n v="131767.35999999999"/>
    <d v="2025-04-23T00:00:00"/>
    <s v="Virement Paie"/>
    <m/>
    <e v="#N/A"/>
    <e v="#N/A"/>
    <n v="68214"/>
    <m/>
    <m/>
    <s v="Q2"/>
    <e v="#REF!"/>
    <e v="#REF!"/>
    <e v="#REF!"/>
  </r>
  <r>
    <s v="421000"/>
    <x v="6"/>
    <s v="PERSONNEL - RÉMUNÉRATIONS DUES"/>
    <s v="BPRI"/>
    <n v="132064.99"/>
    <d v="2025-05-28T00:00:00"/>
    <s v="Virement Salaire"/>
    <m/>
    <e v="#N/A"/>
    <e v="#N/A"/>
    <n v="74114"/>
    <m/>
    <m/>
    <s v="Q2"/>
    <e v="#REF!"/>
    <e v="#REF!"/>
    <e v="#REF!"/>
  </r>
  <r>
    <s v="421000"/>
    <x v="6"/>
    <s v="PERSONNEL - RÉMUNÉRATIONS DUES"/>
    <s v="BPRI"/>
    <n v="132313.84"/>
    <d v="2025-06-26T00:00:00"/>
    <s v="Remise SEPA Salaires juin 2025"/>
    <m/>
    <e v="#N/A"/>
    <e v="#N/A"/>
    <n v="76290"/>
    <m/>
    <m/>
    <s v="Q2"/>
    <e v="#REF!"/>
    <e v="#REF!"/>
    <e v="#REF!"/>
  </r>
  <r>
    <s v="421000"/>
    <x v="6"/>
    <s v="PERSONNEL - RÉMUNÉRATIONS DUES"/>
    <s v="BPRI"/>
    <n v="132551.6"/>
    <d v="2025-09-25T00:00:00"/>
    <s v="REMISE SALAIRE"/>
    <m/>
    <e v="#N/A"/>
    <e v="#N/A"/>
    <n v="82613"/>
    <m/>
    <m/>
    <s v="Q3"/>
    <e v="#REF!"/>
    <e v="#REF!"/>
    <e v="#REF!"/>
  </r>
  <r>
    <s v="421000"/>
    <x v="6"/>
    <s v="PERSONNEL - RÉMUNÉRATIONS DUES"/>
    <s v="BPRI"/>
    <n v="132945.54"/>
    <d v="2025-07-25T00:00:00"/>
    <s v="REMISE SALAIRES JUILLET 2025"/>
    <m/>
    <e v="#N/A"/>
    <e v="#N/A"/>
    <n v="78967"/>
    <m/>
    <m/>
    <s v="Q3"/>
    <e v="#REF!"/>
    <e v="#REF!"/>
    <e v="#REF!"/>
  </r>
  <r>
    <s v="421000"/>
    <x v="6"/>
    <s v="PERSONNEL - RÉMUNÉRATIONS DUES"/>
    <s v="BPRI"/>
    <n v="133307.65"/>
    <d v="2025-03-25T00:00:00"/>
    <s v="Virement salaires"/>
    <m/>
    <e v="#N/A"/>
    <e v="#N/A"/>
    <n v="64526"/>
    <m/>
    <m/>
    <s v="Q1"/>
    <e v="#REF!"/>
    <e v="#REF!"/>
    <e v="#REF!"/>
  </r>
  <r>
    <s v="421000"/>
    <x v="6"/>
    <s v="PERSONNEL - RÉMUNÉRATIONS DUES"/>
    <s v="BPRI"/>
    <n v="271634.38"/>
    <d v="2025-02-25T00:00:00"/>
    <s v="EVI REMISE"/>
    <m/>
    <e v="#N/A"/>
    <e v="#N/A"/>
    <n v="21421"/>
    <s v="0GLLOPL"/>
    <m/>
    <s v="Q1"/>
    <e v="#REF!"/>
    <e v="#REF!"/>
    <e v="#REF!"/>
  </r>
  <r>
    <s v="421000"/>
    <x v="6"/>
    <s v="PERSONNEL - RÉMUNÉRATIONS DUES"/>
    <s v="OD"/>
    <n v="1.07"/>
    <d v="2025-09-30T00:00:00"/>
    <s v="REGUL NAP SLIMANE"/>
    <m/>
    <e v="#N/A"/>
    <e v="#N/A"/>
    <n v="84243"/>
    <m/>
    <m/>
    <s v="Q3"/>
    <e v="#REF!"/>
    <e v="#REF!"/>
    <e v="#REF!"/>
  </r>
  <r>
    <s v="421000"/>
    <x v="6"/>
    <s v="PERSONNEL - RÉMUNÉRATIONS DUES"/>
    <s v="OD"/>
    <n v="74.52"/>
    <d v="2025-07-31T00:00:00"/>
    <s v="Régul de net à payer"/>
    <m/>
    <e v="#N/A"/>
    <e v="#N/A"/>
    <n v="79954"/>
    <m/>
    <m/>
    <s v="Q3"/>
    <e v="#REF!"/>
    <e v="#REF!"/>
    <e v="#REF!"/>
  </r>
  <r>
    <s v="421000"/>
    <x v="6"/>
    <s v="PERSONNEL - RÉMUNÉRATIONS DUES"/>
    <s v="OD"/>
    <n v="4104.26"/>
    <d v="2025-06-02T00:00:00"/>
    <s v="Solde de tout compte THIDEJ"/>
    <m/>
    <e v="#N/A"/>
    <e v="#N/A"/>
    <n v="76279"/>
    <m/>
    <s v="Thibault Dejardin"/>
    <s v="Q2"/>
    <e v="#REF!"/>
    <e v="#REF!"/>
    <e v="#REF!"/>
  </r>
  <r>
    <s v="421000"/>
    <x v="6"/>
    <s v="PERSONNEL - RÉMUNÉRATIONS DUES"/>
    <s v="SA"/>
    <n v="-271634.38"/>
    <d v="2025-02-28T00:00:00"/>
    <s v="NET A PAYER"/>
    <m/>
    <e v="#N/A"/>
    <e v="#N/A"/>
    <n v="85167"/>
    <s v="SA202502"/>
    <m/>
    <s v="Q1"/>
    <e v="#REF!"/>
    <e v="#REF!"/>
    <e v="#REF!"/>
  </r>
  <r>
    <s v="421000"/>
    <x v="6"/>
    <s v="PERSONNEL - RÉMUNÉRATIONS DUES"/>
    <s v="SA"/>
    <n v="-144177.20000000001"/>
    <d v="2025-07-31T00:00:00"/>
    <s v="NET A PAYER"/>
    <m/>
    <e v="#N/A"/>
    <e v="#N/A"/>
    <n v="79783"/>
    <s v="SA202507"/>
    <m/>
    <s v="Q3"/>
    <e v="#REF!"/>
    <e v="#REF!"/>
    <e v="#REF!"/>
  </r>
  <r>
    <s v="421000"/>
    <x v="6"/>
    <s v="PERSONNEL - RÉMUNÉRATIONS DUES"/>
    <s v="SA"/>
    <n v="-134762.84"/>
    <d v="2025-03-31T00:00:00"/>
    <s v="NET A PAYER"/>
    <m/>
    <e v="#N/A"/>
    <e v="#N/A"/>
    <n v="80464"/>
    <s v="SA202503"/>
    <m/>
    <s v="Q1"/>
    <e v="#REF!"/>
    <e v="#REF!"/>
    <e v="#REF!"/>
  </r>
  <r>
    <s v="421000"/>
    <x v="6"/>
    <s v="PERSONNEL - RÉMUNÉRATIONS DUES"/>
    <s v="SA"/>
    <n v="-133067.16"/>
    <d v="2025-06-30T00:00:00"/>
    <s v="NET A PAYER"/>
    <m/>
    <e v="#N/A"/>
    <e v="#N/A"/>
    <n v="79957"/>
    <s v="SA202506"/>
    <m/>
    <s v="Q2"/>
    <e v="#REF!"/>
    <e v="#REF!"/>
    <e v="#REF!"/>
  </r>
  <r>
    <s v="421000"/>
    <x v="6"/>
    <s v="PERSONNEL - RÉMUNÉRATIONS DUES"/>
    <s v="SA"/>
    <n v="-132552.67000000001"/>
    <d v="2025-09-30T00:00:00"/>
    <s v="NET A PAYER"/>
    <m/>
    <e v="#N/A"/>
    <e v="#N/A"/>
    <n v="84069"/>
    <s v="SA202509"/>
    <m/>
    <s v="Q3"/>
    <e v="#REF!"/>
    <e v="#REF!"/>
    <e v="#REF!"/>
  </r>
  <r>
    <s v="421000"/>
    <x v="6"/>
    <s v="PERSONNEL - RÉMUNÉRATIONS DUES"/>
    <s v="SA"/>
    <n v="-132064.99"/>
    <d v="2025-05-31T00:00:00"/>
    <s v="NET A PAYER"/>
    <m/>
    <e v="#N/A"/>
    <e v="#N/A"/>
    <n v="80126"/>
    <s v="SA202505"/>
    <m/>
    <s v="Q2"/>
    <e v="#REF!"/>
    <e v="#REF!"/>
    <e v="#REF!"/>
  </r>
  <r>
    <s v="421000"/>
    <x v="6"/>
    <s v="PERSONNEL - RÉMUNÉRATIONS DUES"/>
    <s v="SA"/>
    <n v="-131767.35999999999"/>
    <d v="2025-04-30T00:00:00"/>
    <s v="NET A PAYER"/>
    <m/>
    <e v="#N/A"/>
    <e v="#N/A"/>
    <n v="80294"/>
    <s v="SA202504"/>
    <m/>
    <s v="Q2"/>
    <e v="#REF!"/>
    <e v="#REF!"/>
    <e v="#REF!"/>
  </r>
  <r>
    <s v="421000"/>
    <x v="6"/>
    <s v="PERSONNEL - RÉMUNÉRATIONS DUES"/>
    <s v="SA"/>
    <n v="-130718.52"/>
    <d v="2025-01-31T00:00:00"/>
    <s v="NET A PAYER"/>
    <m/>
    <e v="#N/A"/>
    <e v="#N/A"/>
    <n v="85358"/>
    <s v="SA202501"/>
    <m/>
    <s v="Q1"/>
    <e v="#REF!"/>
    <e v="#REF!"/>
    <e v="#REF!"/>
  </r>
  <r>
    <s v="421000"/>
    <x v="6"/>
    <s v="PERSONNEL - RÉMUNÉRATIONS DUES"/>
    <s v="SA"/>
    <n v="-130037.97"/>
    <d v="2025-08-31T00:00:00"/>
    <s v="NET A PAYER"/>
    <m/>
    <e v="#N/A"/>
    <e v="#N/A"/>
    <n v="83902"/>
    <s v="SA202508"/>
    <m/>
    <s v="Q3"/>
    <e v="#REF!"/>
    <e v="#REF!"/>
    <e v="#REF!"/>
  </r>
  <r>
    <s v="421000"/>
    <x v="6"/>
    <s v="PERSONNEL - RÉMUNÉRATIONS DUES"/>
    <s v="SA"/>
    <n v="-128198.13"/>
    <d v="2025-11-30T00:00:00"/>
    <s v="NET A PAYER"/>
    <m/>
    <e v="#N/A"/>
    <e v="#N/A"/>
    <n v="92242"/>
    <s v="SA202511"/>
    <m/>
    <s v="Q4"/>
    <e v="#REF!"/>
    <e v="#REF!"/>
    <e v="#REF!"/>
  </r>
  <r>
    <s v="421000"/>
    <x v="6"/>
    <s v="PERSONNEL - RÉMUNÉRATIONS DUES"/>
    <s v="SA"/>
    <n v="-127908.95"/>
    <d v="2025-10-31T00:00:00"/>
    <s v="NET A PAYER"/>
    <m/>
    <e v="#N/A"/>
    <e v="#N/A"/>
    <n v="87733"/>
    <s v="SA202510"/>
    <m/>
    <s v="Q4"/>
    <e v="#REF!"/>
    <e v="#REF!"/>
    <e v="#REF!"/>
  </r>
  <r>
    <s v="421000"/>
    <x v="6"/>
    <s v="PERSONNEL - RÉMUNÉRATIONS DUES"/>
    <s v="SA"/>
    <n v="-126799.96"/>
    <d v="2025-12-31T00:00:00"/>
    <s v="NET A PAYER"/>
    <m/>
    <e v="#N/A"/>
    <e v="#N/A"/>
    <n v="92701"/>
    <s v="SA202512"/>
    <m/>
    <s v="Q4"/>
    <e v="#REF!"/>
    <e v="#REF!"/>
    <e v="#REF!"/>
  </r>
  <r>
    <s v="421000"/>
    <x v="6"/>
    <s v="PERSONNEL - RÉMUNÉRATIONS DUES"/>
    <s v="SA"/>
    <n v="-4562.87"/>
    <d v="2025-01-31T00:00:00"/>
    <s v="ACOMPTE DU 14/01/2025"/>
    <m/>
    <e v="#N/A"/>
    <e v="#N/A"/>
    <n v="85357"/>
    <s v="SA202501"/>
    <m/>
    <s v="Q1"/>
    <e v="#REF!"/>
    <e v="#REF!"/>
    <e v="#REF!"/>
  </r>
  <r>
    <s v="421000"/>
    <x v="6"/>
    <s v="PERSONNEL - RÉMUNÉRATIONS DUES"/>
    <s v="SA"/>
    <n v="-3350.94"/>
    <d v="2025-06-30T00:00:00"/>
    <s v="ACOMPTE DE JUIN 2025"/>
    <m/>
    <e v="#N/A"/>
    <e v="#N/A"/>
    <n v="79956"/>
    <s v="SA202506"/>
    <m/>
    <s v="Q2"/>
    <e v="#REF!"/>
    <e v="#REF!"/>
    <e v="#REF!"/>
  </r>
  <r>
    <s v="421000"/>
    <x v="6"/>
    <s v="PERSONNEL - RÉMUNÉRATIONS DUES"/>
    <s v="SA"/>
    <n v="-1108.79"/>
    <d v="2025-01-31T00:00:00"/>
    <s v="ACOMPTE DE JANVIER 2025"/>
    <m/>
    <e v="#N/A"/>
    <e v="#N/A"/>
    <n v="85356"/>
    <s v="SA202501"/>
    <m/>
    <s v="Q1"/>
    <e v="#REF!"/>
    <e v="#REF!"/>
    <e v="#REF!"/>
  </r>
  <r>
    <s v="421000"/>
    <x v="6"/>
    <s v="PERSONNEL - RÉMUNÉRATIONS DUES"/>
    <s v="SA"/>
    <n v="4.66"/>
    <d v="2025-10-31T00:00:00"/>
    <s v="Régul sur mutuelle A.B."/>
    <m/>
    <e v="#N/A"/>
    <e v="#N/A"/>
    <n v="87909"/>
    <m/>
    <m/>
    <s v="Q4"/>
    <e v="#REF!"/>
    <e v="#REF!"/>
    <e v="#REF!"/>
  </r>
  <r>
    <s v="425200"/>
    <x v="6"/>
    <s v="PERSONNEL - NOTE DE FRAIS"/>
    <s v="AN"/>
    <n v="-476.9"/>
    <d v="2025-01-01T00:00:00"/>
    <s v="Report à nouveau Exercice 2025"/>
    <m/>
    <e v="#N/A"/>
    <e v="#N/A"/>
    <n v="84965"/>
    <m/>
    <m/>
    <s v="Q1"/>
    <e v="#REF!"/>
    <e v="#REF!"/>
    <e v="#REF!"/>
  </r>
  <r>
    <s v="425200"/>
    <x v="6"/>
    <s v="PERSONNEL - NOTE DE FRAIS"/>
    <s v="AN"/>
    <n v="-19.5"/>
    <d v="2025-01-01T00:00:00"/>
    <s v="Report à nouveau Exercice 2025"/>
    <m/>
    <e v="#N/A"/>
    <e v="#N/A"/>
    <n v="84765"/>
    <m/>
    <m/>
    <s v="Q1"/>
    <e v="#REF!"/>
    <e v="#REF!"/>
    <e v="#REF!"/>
  </r>
  <r>
    <s v="425200"/>
    <x v="6"/>
    <s v="PERSONNEL - NOTE DE FRAIS"/>
    <s v="AN"/>
    <n v="0"/>
    <d v="2025-01-01T00:00:00"/>
    <s v="Report à nouveau Exercice 2025"/>
    <m/>
    <e v="#N/A"/>
    <e v="#N/A"/>
    <n v="84762"/>
    <m/>
    <m/>
    <s v="Q1"/>
    <e v="#REF!"/>
    <e v="#REF!"/>
    <e v="#REF!"/>
  </r>
  <r>
    <s v="425200"/>
    <x v="6"/>
    <s v="PERSONNEL - NOTE DE FRAIS"/>
    <s v="AN"/>
    <n v="0"/>
    <d v="2025-01-01T00:00:00"/>
    <s v="Report à nouveau Exercice 2025"/>
    <m/>
    <e v="#N/A"/>
    <e v="#N/A"/>
    <n v="84822"/>
    <m/>
    <m/>
    <s v="Q1"/>
    <e v="#REF!"/>
    <e v="#REF!"/>
    <e v="#REF!"/>
  </r>
  <r>
    <s v="425200"/>
    <x v="6"/>
    <s v="PERSONNEL - NOTE DE FRAIS"/>
    <s v="AN"/>
    <n v="0"/>
    <d v="2025-01-01T00:00:00"/>
    <s v="Report à nouveau Exercice 2025"/>
    <m/>
    <e v="#N/A"/>
    <e v="#N/A"/>
    <n v="84866"/>
    <m/>
    <m/>
    <s v="Q1"/>
    <e v="#REF!"/>
    <e v="#REF!"/>
    <e v="#REF!"/>
  </r>
  <r>
    <s v="425200"/>
    <x v="6"/>
    <s v="PERSONNEL - NOTE DE FRAIS"/>
    <s v="AN"/>
    <n v="13.2"/>
    <d v="2025-01-01T00:00:00"/>
    <s v="Report à nouveau Exercice 2025"/>
    <m/>
    <e v="#N/A"/>
    <e v="#N/A"/>
    <n v="84766"/>
    <m/>
    <m/>
    <s v="Q1"/>
    <e v="#REF!"/>
    <e v="#REF!"/>
    <e v="#REF!"/>
  </r>
  <r>
    <s v="425200"/>
    <x v="6"/>
    <s v="PERSONNEL - NOTE DE FRAIS"/>
    <s v="AN"/>
    <n v="278.39999999999998"/>
    <d v="2025-01-01T00:00:00"/>
    <s v="Report à nouveau Exercice 2025"/>
    <m/>
    <e v="#N/A"/>
    <e v="#N/A"/>
    <n v="84764"/>
    <m/>
    <m/>
    <s v="Q1"/>
    <e v="#REF!"/>
    <e v="#REF!"/>
    <e v="#REF!"/>
  </r>
  <r>
    <s v="425200"/>
    <x v="6"/>
    <s v="PERSONNEL - NOTE DE FRAIS"/>
    <s v="AN"/>
    <n v="541.89"/>
    <d v="2025-01-01T00:00:00"/>
    <s v="Report à nouveau Exercice 2025"/>
    <m/>
    <e v="#N/A"/>
    <e v="#N/A"/>
    <n v="84763"/>
    <m/>
    <m/>
    <s v="Q1"/>
    <e v="#REF!"/>
    <e v="#REF!"/>
    <e v="#REF!"/>
  </r>
  <r>
    <s v="425200"/>
    <x v="6"/>
    <s v="PERSONNEL - NOTE DE FRAIS"/>
    <s v="BPRI"/>
    <n v="-73"/>
    <d v="2025-02-12T00:00:00"/>
    <s v="ANNUL.FACT.CB"/>
    <m/>
    <e v="#N/A"/>
    <e v="#N/A"/>
    <n v="21284"/>
    <s v="1ZRXBUS"/>
    <s v="Jérémie Blache"/>
    <s v="Q1"/>
    <e v="#REF!"/>
    <e v="#REF!"/>
    <e v="#REF!"/>
  </r>
  <r>
    <s v="425200"/>
    <x v="6"/>
    <s v="PERSONNEL - NOTE DE FRAIS"/>
    <s v="BPRI"/>
    <n v="-73"/>
    <d v="2025-02-12T00:00:00"/>
    <s v="ANNUL.FACT.CB"/>
    <m/>
    <e v="#N/A"/>
    <e v="#N/A"/>
    <n v="21286"/>
    <s v="1ZRXBUT"/>
    <s v="Jérémie Blache"/>
    <s v="Q1"/>
    <e v="#REF!"/>
    <e v="#REF!"/>
    <e v="#REF!"/>
  </r>
  <r>
    <s v="425200"/>
    <x v="6"/>
    <s v="PERSONNEL - NOTE DE FRAIS"/>
    <s v="BPRI"/>
    <n v="3.6"/>
    <d v="2025-08-08T00:00:00"/>
    <s v="NDF"/>
    <m/>
    <e v="#N/A"/>
    <e v="#N/A"/>
    <n v="80770"/>
    <m/>
    <m/>
    <s v="Q3"/>
    <e v="#REF!"/>
    <e v="#REF!"/>
    <e v="#REF!"/>
  </r>
  <r>
    <s v="425200"/>
    <x v="6"/>
    <s v="PERSONNEL - NOTE DE FRAIS"/>
    <s v="BPRI"/>
    <n v="4.32"/>
    <d v="2025-05-16T00:00:00"/>
    <s v="Règlement NDF"/>
    <m/>
    <e v="#N/A"/>
    <e v="#N/A"/>
    <n v="72806"/>
    <m/>
    <s v="Jérémie Blache"/>
    <s v="Q2"/>
    <e v="#REF!"/>
    <e v="#REF!"/>
    <e v="#REF!"/>
  </r>
  <r>
    <s v="425200"/>
    <x v="6"/>
    <s v="PERSONNEL - NOTE DE FRAIS"/>
    <s v="BPRI"/>
    <n v="4.55"/>
    <d v="2025-04-30T00:00:00"/>
    <s v="Règlement NDF"/>
    <m/>
    <e v="#N/A"/>
    <e v="#N/A"/>
    <n v="70621"/>
    <m/>
    <s v="Jérémie Blache"/>
    <s v="Q2"/>
    <e v="#REF!"/>
    <e v="#REF!"/>
    <e v="#REF!"/>
  </r>
  <r>
    <s v="425200"/>
    <x v="6"/>
    <s v="PERSONNEL - NOTE DE FRAIS"/>
    <s v="BPRI"/>
    <n v="4.8"/>
    <d v="2025-04-07T00:00:00"/>
    <s v="Règlement NDF"/>
    <m/>
    <e v="#N/A"/>
    <e v="#N/A"/>
    <n v="66635"/>
    <m/>
    <m/>
    <s v="Q2"/>
    <e v="#REF!"/>
    <e v="#REF!"/>
    <e v="#REF!"/>
  </r>
  <r>
    <s v="425200"/>
    <x v="6"/>
    <s v="PERSONNEL - NOTE DE FRAIS"/>
    <s v="BPRI"/>
    <n v="4.9000000000000004"/>
    <d v="2025-11-24T00:00:00"/>
    <s v="25000291"/>
    <m/>
    <e v="#N/A"/>
    <e v="#N/A"/>
    <n v="90633"/>
    <m/>
    <m/>
    <s v="Q4"/>
    <e v="#REF!"/>
    <e v="#REF!"/>
    <e v="#REF!"/>
  </r>
  <r>
    <s v="425200"/>
    <x v="6"/>
    <s v="PERSONNEL - NOTE DE FRAIS"/>
    <s v="BPRI"/>
    <n v="5"/>
    <d v="2025-02-26T00:00:00"/>
    <s v="BENAUD"/>
    <m/>
    <e v="#N/A"/>
    <e v="#N/A"/>
    <n v="21438"/>
    <s v="2808083"/>
    <s v="Benoit Audic"/>
    <s v="Q1"/>
    <e v="#REF!"/>
    <e v="#REF!"/>
    <e v="#REF!"/>
  </r>
  <r>
    <s v="425200"/>
    <x v="6"/>
    <s v="PERSONNEL - NOTE DE FRAIS"/>
    <s v="BPRI"/>
    <n v="6"/>
    <d v="2025-09-16T00:00:00"/>
    <s v="NDF"/>
    <m/>
    <e v="#N/A"/>
    <e v="#N/A"/>
    <n v="82422"/>
    <m/>
    <m/>
    <s v="Q3"/>
    <e v="#REF!"/>
    <e v="#REF!"/>
    <e v="#REF!"/>
  </r>
  <r>
    <s v="425200"/>
    <x v="6"/>
    <s v="PERSONNEL - NOTE DE FRAIS"/>
    <s v="BPRI"/>
    <n v="6"/>
    <d v="2025-10-23T00:00:00"/>
    <s v="NDF"/>
    <m/>
    <e v="#N/A"/>
    <e v="#N/A"/>
    <n v="87354"/>
    <m/>
    <m/>
    <s v="Q4"/>
    <e v="#REF!"/>
    <e v="#REF!"/>
    <e v="#REF!"/>
  </r>
  <r>
    <s v="425200"/>
    <x v="6"/>
    <s v="PERSONNEL - NOTE DE FRAIS"/>
    <s v="BPRI"/>
    <n v="7.7"/>
    <d v="2025-04-07T00:00:00"/>
    <s v="Règlement NDF"/>
    <m/>
    <e v="#N/A"/>
    <e v="#N/A"/>
    <n v="66634"/>
    <m/>
    <m/>
    <s v="Q2"/>
    <e v="#REF!"/>
    <e v="#REF!"/>
    <e v="#REF!"/>
  </r>
  <r>
    <s v="425200"/>
    <x v="6"/>
    <s v="PERSONNEL - NOTE DE FRAIS"/>
    <s v="BPRI"/>
    <n v="8.25"/>
    <d v="2025-04-29T00:00:00"/>
    <s v="Règlement NDF"/>
    <m/>
    <e v="#N/A"/>
    <e v="#N/A"/>
    <n v="70515"/>
    <m/>
    <s v="Jérémie Blache"/>
    <s v="Q2"/>
    <e v="#REF!"/>
    <e v="#REF!"/>
    <e v="#REF!"/>
  </r>
  <r>
    <s v="425200"/>
    <x v="6"/>
    <s v="PERSONNEL - NOTE DE FRAIS"/>
    <s v="BPRI"/>
    <n v="8.3000000000000007"/>
    <d v="2025-06-13T00:00:00"/>
    <s v="Rbt Note de frais"/>
    <m/>
    <e v="#N/A"/>
    <e v="#N/A"/>
    <n v="76012"/>
    <m/>
    <m/>
    <s v="Q2"/>
    <e v="#REF!"/>
    <e v="#REF!"/>
    <e v="#REF!"/>
  </r>
  <r>
    <s v="425200"/>
    <x v="6"/>
    <s v="PERSONNEL - NOTE DE FRAIS"/>
    <s v="BPRI"/>
    <n v="8.9"/>
    <d v="2025-04-30T00:00:00"/>
    <s v="Règlement NDF"/>
    <m/>
    <e v="#N/A"/>
    <e v="#N/A"/>
    <n v="70618"/>
    <m/>
    <s v="Jérémie Blache"/>
    <s v="Q2"/>
    <e v="#REF!"/>
    <e v="#REF!"/>
    <e v="#REF!"/>
  </r>
  <r>
    <s v="425200"/>
    <x v="6"/>
    <s v="PERSONNEL - NOTE DE FRAIS"/>
    <s v="BPRI"/>
    <n v="9.75"/>
    <d v="2025-12-23T00:00:00"/>
    <s v="NDF 25000319"/>
    <m/>
    <e v="#N/A"/>
    <e v="#N/A"/>
    <n v="93540"/>
    <m/>
    <m/>
    <s v="Q4"/>
    <e v="#REF!"/>
    <e v="#REF!"/>
    <e v="#REF!"/>
  </r>
  <r>
    <s v="425200"/>
    <x v="6"/>
    <s v="PERSONNEL - NOTE DE FRAIS"/>
    <s v="BPRI"/>
    <n v="10.1"/>
    <d v="2025-02-18T00:00:00"/>
    <s v="JERBLA"/>
    <m/>
    <e v="#N/A"/>
    <e v="#N/A"/>
    <n v="21308"/>
    <s v="2524875"/>
    <s v="Jérémie Blache"/>
    <s v="Q1"/>
    <e v="#REF!"/>
    <e v="#REF!"/>
    <e v="#REF!"/>
  </r>
  <r>
    <s v="425200"/>
    <x v="6"/>
    <s v="PERSONNEL - NOTE DE FRAIS"/>
    <s v="BPRI"/>
    <n v="10.8"/>
    <d v="2025-11-24T00:00:00"/>
    <s v="25000292"/>
    <m/>
    <e v="#N/A"/>
    <e v="#N/A"/>
    <n v="90640"/>
    <m/>
    <m/>
    <s v="Q4"/>
    <e v="#REF!"/>
    <e v="#REF!"/>
    <e v="#REF!"/>
  </r>
  <r>
    <s v="425200"/>
    <x v="6"/>
    <s v="PERSONNEL - NOTE DE FRAIS"/>
    <s v="BPRI"/>
    <n v="10.9"/>
    <d v="2025-03-14T00:00:00"/>
    <s v="Règlement NDF"/>
    <m/>
    <e v="#N/A"/>
    <e v="#N/A"/>
    <n v="61692"/>
    <m/>
    <s v="Jérémie Blache"/>
    <s v="Q1"/>
    <e v="#REF!"/>
    <e v="#REF!"/>
    <e v="#REF!"/>
  </r>
  <r>
    <s v="425200"/>
    <x v="6"/>
    <s v="PERSONNEL - NOTE DE FRAIS"/>
    <s v="BPRI"/>
    <n v="10.95"/>
    <d v="2025-11-24T00:00:00"/>
    <s v="25000290"/>
    <m/>
    <e v="#N/A"/>
    <e v="#N/A"/>
    <n v="90630"/>
    <m/>
    <m/>
    <s v="Q4"/>
    <e v="#REF!"/>
    <e v="#REF!"/>
    <e v="#REF!"/>
  </r>
  <r>
    <s v="425200"/>
    <x v="6"/>
    <s v="PERSONNEL - NOTE DE FRAIS"/>
    <s v="BPRI"/>
    <n v="11.3"/>
    <d v="2025-10-07T00:00:00"/>
    <s v="NDF"/>
    <m/>
    <e v="#N/A"/>
    <e v="#N/A"/>
    <n v="84378"/>
    <m/>
    <m/>
    <s v="Q4"/>
    <e v="#REF!"/>
    <e v="#REF!"/>
    <e v="#REF!"/>
  </r>
  <r>
    <s v="425200"/>
    <x v="6"/>
    <s v="PERSONNEL - NOTE DE FRAIS"/>
    <s v="BPRI"/>
    <n v="11.48"/>
    <d v="2025-06-13T00:00:00"/>
    <s v="Rbt Note de frais"/>
    <m/>
    <e v="#N/A"/>
    <e v="#N/A"/>
    <n v="76006"/>
    <m/>
    <m/>
    <s v="Q2"/>
    <e v="#REF!"/>
    <e v="#REF!"/>
    <e v="#REF!"/>
  </r>
  <r>
    <s v="425200"/>
    <x v="6"/>
    <s v="PERSONNEL - NOTE DE FRAIS"/>
    <s v="BPRI"/>
    <n v="11.5"/>
    <d v="2025-07-18T00:00:00"/>
    <s v="NDF"/>
    <m/>
    <e v="#N/A"/>
    <e v="#N/A"/>
    <n v="78327"/>
    <m/>
    <m/>
    <s v="Q3"/>
    <e v="#REF!"/>
    <e v="#REF!"/>
    <e v="#REF!"/>
  </r>
  <r>
    <s v="425200"/>
    <x v="6"/>
    <s v="PERSONNEL - NOTE DE FRAIS"/>
    <s v="BPRI"/>
    <n v="11.99"/>
    <d v="2025-01-27T00:00:00"/>
    <s v="Règlement NDF"/>
    <m/>
    <e v="#N/A"/>
    <e v="#N/A"/>
    <n v="21090"/>
    <s v="1587985"/>
    <s v="Nicolas Canu"/>
    <s v="Q1"/>
    <e v="#REF!"/>
    <e v="#REF!"/>
    <e v="#REF!"/>
  </r>
  <r>
    <s v="425200"/>
    <x v="6"/>
    <s v="PERSONNEL - NOTE DE FRAIS"/>
    <s v="BPRI"/>
    <n v="11.99"/>
    <d v="2025-10-23T00:00:00"/>
    <s v="NDF"/>
    <m/>
    <e v="#N/A"/>
    <e v="#N/A"/>
    <n v="87356"/>
    <m/>
    <m/>
    <s v="Q4"/>
    <e v="#REF!"/>
    <e v="#REF!"/>
    <e v="#REF!"/>
  </r>
  <r>
    <s v="425200"/>
    <x v="6"/>
    <s v="PERSONNEL - NOTE DE FRAIS"/>
    <s v="BPRI"/>
    <n v="12.1"/>
    <d v="2025-12-23T00:00:00"/>
    <s v="NDF 25000310"/>
    <m/>
    <e v="#N/A"/>
    <e v="#N/A"/>
    <n v="93539"/>
    <m/>
    <m/>
    <s v="Q4"/>
    <e v="#REF!"/>
    <e v="#REF!"/>
    <e v="#REF!"/>
  </r>
  <r>
    <s v="425200"/>
    <x v="6"/>
    <s v="PERSONNEL - NOTE DE FRAIS"/>
    <s v="BPRI"/>
    <n v="12.15"/>
    <d v="2025-03-10T00:00:00"/>
    <s v="Règlement NDF"/>
    <m/>
    <e v="#N/A"/>
    <e v="#N/A"/>
    <n v="60056"/>
    <m/>
    <s v="Jérémie Blache"/>
    <s v="Q1"/>
    <e v="#REF!"/>
    <e v="#REF!"/>
    <e v="#REF!"/>
  </r>
  <r>
    <s v="425200"/>
    <x v="6"/>
    <s v="PERSONNEL - NOTE DE FRAIS"/>
    <s v="BPRI"/>
    <n v="12.15"/>
    <d v="2025-04-07T00:00:00"/>
    <s v="Règlement NDF"/>
    <m/>
    <e v="#N/A"/>
    <e v="#N/A"/>
    <n v="66633"/>
    <m/>
    <m/>
    <s v="Q2"/>
    <e v="#REF!"/>
    <e v="#REF!"/>
    <e v="#REF!"/>
  </r>
  <r>
    <s v="425200"/>
    <x v="6"/>
    <s v="PERSONNEL - NOTE DE FRAIS"/>
    <s v="BPRI"/>
    <n v="12.35"/>
    <d v="2025-12-23T00:00:00"/>
    <s v="NDF 25000320"/>
    <m/>
    <e v="#N/A"/>
    <e v="#N/A"/>
    <n v="93538"/>
    <m/>
    <m/>
    <s v="Q4"/>
    <e v="#REF!"/>
    <e v="#REF!"/>
    <e v="#REF!"/>
  </r>
  <r>
    <s v="425200"/>
    <x v="6"/>
    <s v="PERSONNEL - NOTE DE FRAIS"/>
    <s v="BPRI"/>
    <n v="12.6"/>
    <d v="2025-04-07T00:00:00"/>
    <s v="Règlement NDF"/>
    <m/>
    <e v="#N/A"/>
    <e v="#N/A"/>
    <n v="66632"/>
    <m/>
    <m/>
    <s v="Q2"/>
    <e v="#REF!"/>
    <e v="#REF!"/>
    <e v="#REF!"/>
  </r>
  <r>
    <s v="425200"/>
    <x v="6"/>
    <s v="PERSONNEL - NOTE DE FRAIS"/>
    <s v="BPRI"/>
    <n v="12.62"/>
    <d v="2025-04-30T00:00:00"/>
    <s v="Règlement NDF"/>
    <m/>
    <e v="#N/A"/>
    <e v="#N/A"/>
    <n v="70615"/>
    <m/>
    <s v="Filipe Gomes"/>
    <s v="Q2"/>
    <e v="#REF!"/>
    <e v="#REF!"/>
    <e v="#REF!"/>
  </r>
  <r>
    <s v="425200"/>
    <x v="6"/>
    <s v="PERSONNEL - NOTE DE FRAIS"/>
    <s v="BPRI"/>
    <n v="12.85"/>
    <d v="2025-04-30T00:00:00"/>
    <s v="Règlement NDF"/>
    <m/>
    <e v="#N/A"/>
    <e v="#N/A"/>
    <n v="70612"/>
    <m/>
    <s v="Jérémie Blache"/>
    <s v="Q2"/>
    <e v="#REF!"/>
    <e v="#REF!"/>
    <e v="#REF!"/>
  </r>
  <r>
    <s v="425200"/>
    <x v="6"/>
    <s v="PERSONNEL - NOTE DE FRAIS"/>
    <s v="BPRI"/>
    <n v="12.85"/>
    <d v="2025-10-23T00:00:00"/>
    <s v="NDF"/>
    <m/>
    <e v="#N/A"/>
    <e v="#N/A"/>
    <n v="87350"/>
    <m/>
    <m/>
    <s v="Q4"/>
    <e v="#REF!"/>
    <e v="#REF!"/>
    <e v="#REF!"/>
  </r>
  <r>
    <s v="425200"/>
    <x v="6"/>
    <s v="PERSONNEL - NOTE DE FRAIS"/>
    <s v="BPRI"/>
    <n v="12.9"/>
    <d v="2025-10-23T00:00:00"/>
    <s v="NDF"/>
    <m/>
    <e v="#N/A"/>
    <e v="#N/A"/>
    <n v="87355"/>
    <m/>
    <m/>
    <s v="Q4"/>
    <e v="#REF!"/>
    <e v="#REF!"/>
    <e v="#REF!"/>
  </r>
  <r>
    <s v="425200"/>
    <x v="6"/>
    <s v="PERSONNEL - NOTE DE FRAIS"/>
    <s v="BPRI"/>
    <n v="12.95"/>
    <d v="2025-10-07T00:00:00"/>
    <s v="NDF"/>
    <m/>
    <e v="#N/A"/>
    <e v="#N/A"/>
    <n v="84384"/>
    <m/>
    <m/>
    <s v="Q4"/>
    <e v="#REF!"/>
    <e v="#REF!"/>
    <e v="#REF!"/>
  </r>
  <r>
    <s v="425200"/>
    <x v="6"/>
    <s v="PERSONNEL - NOTE DE FRAIS"/>
    <s v="BPRI"/>
    <n v="13"/>
    <d v="2025-07-18T00:00:00"/>
    <s v="NDF"/>
    <m/>
    <e v="#N/A"/>
    <e v="#N/A"/>
    <n v="78331"/>
    <m/>
    <m/>
    <s v="Q3"/>
    <e v="#REF!"/>
    <e v="#REF!"/>
    <e v="#REF!"/>
  </r>
  <r>
    <s v="425200"/>
    <x v="6"/>
    <s v="PERSONNEL - NOTE DE FRAIS"/>
    <s v="BPRI"/>
    <n v="13.65"/>
    <d v="2025-12-23T00:00:00"/>
    <s v="NDF 25000323"/>
    <m/>
    <e v="#N/A"/>
    <e v="#N/A"/>
    <n v="93537"/>
    <m/>
    <m/>
    <s v="Q4"/>
    <e v="#REF!"/>
    <e v="#REF!"/>
    <e v="#REF!"/>
  </r>
  <r>
    <s v="425200"/>
    <x v="6"/>
    <s v="PERSONNEL - NOTE DE FRAIS"/>
    <s v="BPRI"/>
    <n v="13.75"/>
    <d v="2025-10-07T00:00:00"/>
    <s v="NDF"/>
    <m/>
    <e v="#N/A"/>
    <e v="#N/A"/>
    <n v="84383"/>
    <m/>
    <m/>
    <s v="Q4"/>
    <e v="#REF!"/>
    <e v="#REF!"/>
    <e v="#REF!"/>
  </r>
  <r>
    <s v="425200"/>
    <x v="6"/>
    <s v="PERSONNEL - NOTE DE FRAIS"/>
    <s v="BPRI"/>
    <n v="14.08"/>
    <d v="2025-02-05T00:00:00"/>
    <s v="ANTMAR"/>
    <m/>
    <e v="#N/A"/>
    <e v="#N/A"/>
    <n v="21184"/>
    <s v="2044613"/>
    <s v="Anthony Martinez"/>
    <s v="Q1"/>
    <e v="#REF!"/>
    <e v="#REF!"/>
    <e v="#REF!"/>
  </r>
  <r>
    <s v="425200"/>
    <x v="6"/>
    <s v="PERSONNEL - NOTE DE FRAIS"/>
    <s v="BPRI"/>
    <n v="14.65"/>
    <d v="2025-01-27T00:00:00"/>
    <s v="EVI M JEREMIE BLACHE"/>
    <m/>
    <e v="#N/A"/>
    <e v="#N/A"/>
    <n v="21088"/>
    <s v="1587419"/>
    <s v="Jérémie Blache"/>
    <s v="Q1"/>
    <e v="#REF!"/>
    <e v="#REF!"/>
    <e v="#REF!"/>
  </r>
  <r>
    <s v="425200"/>
    <x v="6"/>
    <s v="PERSONNEL - NOTE DE FRAIS"/>
    <s v="BPRI"/>
    <n v="14.7"/>
    <d v="2025-09-16T00:00:00"/>
    <s v="NDF"/>
    <m/>
    <e v="#N/A"/>
    <e v="#N/A"/>
    <n v="82416"/>
    <m/>
    <m/>
    <s v="Q3"/>
    <e v="#REF!"/>
    <e v="#REF!"/>
    <e v="#REF!"/>
  </r>
  <r>
    <s v="425200"/>
    <x v="6"/>
    <s v="PERSONNEL - NOTE DE FRAIS"/>
    <s v="BPRI"/>
    <n v="14.9"/>
    <d v="2025-03-04T00:00:00"/>
    <s v="Règlement NDF"/>
    <m/>
    <e v="#N/A"/>
    <e v="#N/A"/>
    <n v="58880"/>
    <m/>
    <s v="Jérémie Blache"/>
    <s v="Q1"/>
    <e v="#REF!"/>
    <e v="#REF!"/>
    <e v="#REF!"/>
  </r>
  <r>
    <s v="425200"/>
    <x v="6"/>
    <s v="PERSONNEL - NOTE DE FRAIS"/>
    <s v="BPRI"/>
    <n v="14.9"/>
    <d v="2025-10-07T00:00:00"/>
    <s v="NDF"/>
    <m/>
    <e v="#N/A"/>
    <e v="#N/A"/>
    <n v="84380"/>
    <m/>
    <m/>
    <s v="Q4"/>
    <e v="#REF!"/>
    <e v="#REF!"/>
    <e v="#REF!"/>
  </r>
  <r>
    <s v="425200"/>
    <x v="6"/>
    <s v="PERSONNEL - NOTE DE FRAIS"/>
    <s v="BPRI"/>
    <n v="14.95"/>
    <d v="2025-01-07T00:00:00"/>
    <s v="EVI BLANCHARD VINCENT"/>
    <m/>
    <e v="#N/A"/>
    <e v="#N/A"/>
    <n v="20904"/>
    <s v="857587"/>
    <s v="Vincent Blanchard"/>
    <s v="Q1"/>
    <e v="#REF!"/>
    <e v="#REF!"/>
    <e v="#REF!"/>
  </r>
  <r>
    <s v="425200"/>
    <x v="6"/>
    <s v="PERSONNEL - NOTE DE FRAIS"/>
    <s v="BPRI"/>
    <n v="15.7"/>
    <d v="2025-02-18T00:00:00"/>
    <s v="JERBLA"/>
    <m/>
    <e v="#N/A"/>
    <e v="#N/A"/>
    <n v="21310"/>
    <s v="2524995"/>
    <s v="Jérémie Blache"/>
    <s v="Q1"/>
    <e v="#REF!"/>
    <e v="#REF!"/>
    <e v="#REF!"/>
  </r>
  <r>
    <s v="425200"/>
    <x v="6"/>
    <s v="PERSONNEL - NOTE DE FRAIS"/>
    <s v="BPRI"/>
    <n v="15.7"/>
    <d v="2025-11-24T00:00:00"/>
    <s v="25000302"/>
    <m/>
    <e v="#N/A"/>
    <e v="#N/A"/>
    <n v="90627"/>
    <m/>
    <m/>
    <s v="Q4"/>
    <e v="#REF!"/>
    <e v="#REF!"/>
    <e v="#REF!"/>
  </r>
  <r>
    <s v="425200"/>
    <x v="6"/>
    <s v="PERSONNEL - NOTE DE FRAIS"/>
    <s v="BPRI"/>
    <n v="16"/>
    <d v="2025-05-16T00:00:00"/>
    <s v="Règlement NDF"/>
    <m/>
    <e v="#N/A"/>
    <e v="#N/A"/>
    <n v="72809"/>
    <m/>
    <s v="Jérémie Blache"/>
    <s v="Q2"/>
    <e v="#REF!"/>
    <e v="#REF!"/>
    <e v="#REF!"/>
  </r>
  <r>
    <s v="425200"/>
    <x v="6"/>
    <s v="PERSONNEL - NOTE DE FRAIS"/>
    <s v="BPRI"/>
    <n v="16"/>
    <d v="2025-09-16T00:00:00"/>
    <s v="NDF"/>
    <m/>
    <e v="#N/A"/>
    <e v="#N/A"/>
    <n v="82418"/>
    <m/>
    <m/>
    <s v="Q3"/>
    <e v="#REF!"/>
    <e v="#REF!"/>
    <e v="#REF!"/>
  </r>
  <r>
    <s v="425200"/>
    <x v="6"/>
    <s v="PERSONNEL - NOTE DE FRAIS"/>
    <s v="BPRI"/>
    <n v="18.100000000000001"/>
    <d v="2025-04-30T00:00:00"/>
    <s v="Règlement NDF"/>
    <m/>
    <e v="#N/A"/>
    <e v="#N/A"/>
    <n v="70609"/>
    <m/>
    <s v="Vincent Blanchard"/>
    <s v="Q2"/>
    <e v="#REF!"/>
    <e v="#REF!"/>
    <e v="#REF!"/>
  </r>
  <r>
    <s v="425200"/>
    <x v="6"/>
    <s v="PERSONNEL - NOTE DE FRAIS"/>
    <s v="BPRI"/>
    <n v="18.3"/>
    <d v="2025-02-18T00:00:00"/>
    <s v="JERBLA"/>
    <m/>
    <e v="#N/A"/>
    <e v="#N/A"/>
    <n v="21312"/>
    <s v="2529824"/>
    <s v="Jérémie Blache"/>
    <s v="Q1"/>
    <e v="#REF!"/>
    <e v="#REF!"/>
    <e v="#REF!"/>
  </r>
  <r>
    <s v="425200"/>
    <x v="6"/>
    <s v="PERSONNEL - NOTE DE FRAIS"/>
    <s v="BPRI"/>
    <n v="18.5"/>
    <d v="2025-04-07T00:00:00"/>
    <s v="Règlement NDF"/>
    <m/>
    <e v="#N/A"/>
    <e v="#N/A"/>
    <n v="66631"/>
    <m/>
    <m/>
    <s v="Q2"/>
    <e v="#REF!"/>
    <e v="#REF!"/>
    <e v="#REF!"/>
  </r>
  <r>
    <s v="425200"/>
    <x v="6"/>
    <s v="PERSONNEL - NOTE DE FRAIS"/>
    <s v="BPRI"/>
    <n v="19"/>
    <d v="2025-08-21T00:00:00"/>
    <s v="NDF"/>
    <m/>
    <e v="#N/A"/>
    <e v="#N/A"/>
    <n v="81361"/>
    <m/>
    <m/>
    <s v="Q3"/>
    <e v="#REF!"/>
    <e v="#REF!"/>
    <e v="#REF!"/>
  </r>
  <r>
    <s v="425200"/>
    <x v="6"/>
    <s v="PERSONNEL - NOTE DE FRAIS"/>
    <s v="BPRI"/>
    <n v="19"/>
    <d v="2025-10-23T00:00:00"/>
    <s v="NDF"/>
    <m/>
    <e v="#N/A"/>
    <e v="#N/A"/>
    <n v="87360"/>
    <m/>
    <m/>
    <s v="Q4"/>
    <e v="#REF!"/>
    <e v="#REF!"/>
    <e v="#REF!"/>
  </r>
  <r>
    <s v="425200"/>
    <x v="6"/>
    <s v="PERSONNEL - NOTE DE FRAIS"/>
    <s v="BPRI"/>
    <n v="19.850000000000001"/>
    <d v="2025-01-13T00:00:00"/>
    <s v="EVI AUDIC BENOIT"/>
    <m/>
    <e v="#N/A"/>
    <e v="#N/A"/>
    <n v="20972"/>
    <s v="1106898"/>
    <s v="Benoit Audic"/>
    <s v="Q1"/>
    <e v="#REF!"/>
    <e v="#REF!"/>
    <e v="#REF!"/>
  </r>
  <r>
    <s v="425200"/>
    <x v="6"/>
    <s v="PERSONNEL - NOTE DE FRAIS"/>
    <s v="BPRI"/>
    <n v="19.989999999999998"/>
    <d v="2025-02-18T00:00:00"/>
    <s v="VINBLA"/>
    <m/>
    <e v="#N/A"/>
    <e v="#N/A"/>
    <n v="21306"/>
    <s v="2524797"/>
    <s v="Vincent Blanchard"/>
    <s v="Q1"/>
    <e v="#REF!"/>
    <e v="#REF!"/>
    <e v="#REF!"/>
  </r>
  <r>
    <s v="425200"/>
    <x v="6"/>
    <s v="PERSONNEL - NOTE DE FRAIS"/>
    <s v="BPRI"/>
    <n v="20.190000000000001"/>
    <d v="2025-04-07T00:00:00"/>
    <s v="Règlement NDF"/>
    <m/>
    <e v="#N/A"/>
    <e v="#N/A"/>
    <n v="66630"/>
    <m/>
    <m/>
    <s v="Q2"/>
    <e v="#REF!"/>
    <e v="#REF!"/>
    <e v="#REF!"/>
  </r>
  <r>
    <s v="425200"/>
    <x v="6"/>
    <s v="PERSONNEL - NOTE DE FRAIS"/>
    <s v="BPRI"/>
    <n v="20.25"/>
    <d v="2025-02-26T00:00:00"/>
    <s v="ANTMAR"/>
    <m/>
    <e v="#N/A"/>
    <e v="#N/A"/>
    <n v="21434"/>
    <s v="2807819"/>
    <s v="Anthony Martinez"/>
    <s v="Q1"/>
    <e v="#REF!"/>
    <e v="#REF!"/>
    <e v="#REF!"/>
  </r>
  <r>
    <s v="425200"/>
    <x v="6"/>
    <s v="PERSONNEL - NOTE DE FRAIS"/>
    <s v="BPRI"/>
    <n v="21.3"/>
    <d v="2025-04-25T00:00:00"/>
    <s v="Virement NDF"/>
    <m/>
    <e v="#N/A"/>
    <e v="#N/A"/>
    <n v="70230"/>
    <m/>
    <s v="Lucie Crépin"/>
    <s v="Q2"/>
    <e v="#REF!"/>
    <e v="#REF!"/>
    <e v="#REF!"/>
  </r>
  <r>
    <s v="425200"/>
    <x v="6"/>
    <s v="PERSONNEL - NOTE DE FRAIS"/>
    <s v="BPRI"/>
    <n v="21.86"/>
    <d v="2025-04-07T00:00:00"/>
    <s v="Règlement NDF"/>
    <m/>
    <e v="#N/A"/>
    <e v="#N/A"/>
    <n v="66629"/>
    <m/>
    <m/>
    <s v="Q2"/>
    <e v="#REF!"/>
    <e v="#REF!"/>
    <e v="#REF!"/>
  </r>
  <r>
    <s v="425200"/>
    <x v="6"/>
    <s v="PERSONNEL - NOTE DE FRAIS"/>
    <s v="BPRI"/>
    <n v="22.49"/>
    <d v="2025-04-04T00:00:00"/>
    <s v="Règlement NDF"/>
    <m/>
    <e v="#N/A"/>
    <e v="#N/A"/>
    <n v="66615"/>
    <m/>
    <m/>
    <s v="Q2"/>
    <e v="#REF!"/>
    <e v="#REF!"/>
    <e v="#REF!"/>
  </r>
  <r>
    <s v="425200"/>
    <x v="6"/>
    <s v="PERSONNEL - NOTE DE FRAIS"/>
    <s v="BPRI"/>
    <n v="22.5"/>
    <d v="2025-12-23T00:00:00"/>
    <s v="NDF 25000311"/>
    <m/>
    <e v="#N/A"/>
    <e v="#N/A"/>
    <n v="93536"/>
    <m/>
    <m/>
    <s v="Q4"/>
    <e v="#REF!"/>
    <e v="#REF!"/>
    <e v="#REF!"/>
  </r>
  <r>
    <s v="425200"/>
    <x v="6"/>
    <s v="PERSONNEL - NOTE DE FRAIS"/>
    <s v="BPRI"/>
    <n v="22.8"/>
    <d v="2025-05-22T00:00:00"/>
    <s v="Remboursement NDF"/>
    <m/>
    <e v="#N/A"/>
    <e v="#N/A"/>
    <n v="74058"/>
    <m/>
    <m/>
    <s v="Q2"/>
    <e v="#REF!"/>
    <e v="#REF!"/>
    <e v="#REF!"/>
  </r>
  <r>
    <s v="425200"/>
    <x v="6"/>
    <s v="PERSONNEL - NOTE DE FRAIS"/>
    <s v="BPRI"/>
    <n v="23.6"/>
    <d v="2025-12-23T00:00:00"/>
    <s v="NDF 25000312"/>
    <m/>
    <e v="#N/A"/>
    <e v="#N/A"/>
    <n v="93535"/>
    <m/>
    <m/>
    <s v="Q4"/>
    <e v="#REF!"/>
    <e v="#REF!"/>
    <e v="#REF!"/>
  </r>
  <r>
    <s v="425200"/>
    <x v="6"/>
    <s v="PERSONNEL - NOTE DE FRAIS"/>
    <s v="BPRI"/>
    <n v="24"/>
    <d v="2025-10-07T00:00:00"/>
    <s v="NDF"/>
    <m/>
    <e v="#N/A"/>
    <e v="#N/A"/>
    <n v="84403"/>
    <m/>
    <m/>
    <s v="Q4"/>
    <e v="#REF!"/>
    <e v="#REF!"/>
    <e v="#REF!"/>
  </r>
  <r>
    <s v="425200"/>
    <x v="6"/>
    <s v="PERSONNEL - NOTE DE FRAIS"/>
    <s v="BPRI"/>
    <n v="24.4"/>
    <d v="2025-03-10T00:00:00"/>
    <s v="Règlement NDF"/>
    <m/>
    <e v="#N/A"/>
    <e v="#N/A"/>
    <n v="60059"/>
    <m/>
    <s v="Jérémie Blache"/>
    <s v="Q1"/>
    <e v="#REF!"/>
    <e v="#REF!"/>
    <e v="#REF!"/>
  </r>
  <r>
    <s v="425200"/>
    <x v="6"/>
    <s v="PERSONNEL - NOTE DE FRAIS"/>
    <s v="BPRI"/>
    <n v="24.5"/>
    <d v="2025-02-11T00:00:00"/>
    <s v="Règlement NDF"/>
    <m/>
    <e v="#N/A"/>
    <e v="#N/A"/>
    <n v="21272"/>
    <s v="2260877"/>
    <s v="Filipe Gomes"/>
    <s v="Q1"/>
    <e v="#REF!"/>
    <e v="#REF!"/>
    <e v="#REF!"/>
  </r>
  <r>
    <s v="425200"/>
    <x v="6"/>
    <s v="PERSONNEL - NOTE DE FRAIS"/>
    <s v="BPRI"/>
    <n v="24.5"/>
    <d v="2025-02-11T00:00:00"/>
    <s v="VINBLA"/>
    <m/>
    <e v="#N/A"/>
    <e v="#N/A"/>
    <n v="21278"/>
    <s v="2261295"/>
    <s v="Vincent Blanchard"/>
    <s v="Q1"/>
    <e v="#REF!"/>
    <e v="#REF!"/>
    <e v="#REF!"/>
  </r>
  <r>
    <s v="425200"/>
    <x v="6"/>
    <s v="PERSONNEL - NOTE DE FRAIS"/>
    <s v="BPRI"/>
    <n v="24.8"/>
    <d v="2025-10-07T00:00:00"/>
    <s v="NDF"/>
    <m/>
    <e v="#N/A"/>
    <e v="#N/A"/>
    <n v="84377"/>
    <m/>
    <m/>
    <s v="Q4"/>
    <e v="#REF!"/>
    <e v="#REF!"/>
    <e v="#REF!"/>
  </r>
  <r>
    <s v="425200"/>
    <x v="6"/>
    <s v="PERSONNEL - NOTE DE FRAIS"/>
    <s v="BPRI"/>
    <n v="25.38"/>
    <d v="2025-10-07T00:00:00"/>
    <s v="NDF"/>
    <m/>
    <e v="#N/A"/>
    <e v="#N/A"/>
    <n v="84398"/>
    <m/>
    <m/>
    <s v="Q4"/>
    <e v="#REF!"/>
    <e v="#REF!"/>
    <e v="#REF!"/>
  </r>
  <r>
    <s v="425200"/>
    <x v="6"/>
    <s v="PERSONNEL - NOTE DE FRAIS"/>
    <s v="BPRI"/>
    <n v="25.5"/>
    <d v="2025-10-07T00:00:00"/>
    <s v="NDF"/>
    <m/>
    <e v="#N/A"/>
    <e v="#N/A"/>
    <n v="84389"/>
    <m/>
    <m/>
    <s v="Q4"/>
    <e v="#REF!"/>
    <e v="#REF!"/>
    <e v="#REF!"/>
  </r>
  <r>
    <s v="425200"/>
    <x v="6"/>
    <s v="PERSONNEL - NOTE DE FRAIS"/>
    <s v="BPRI"/>
    <n v="25.57"/>
    <d v="2025-05-16T00:00:00"/>
    <s v="Règlement NDF"/>
    <m/>
    <e v="#N/A"/>
    <e v="#N/A"/>
    <n v="72812"/>
    <m/>
    <s v="Jérémie Blache"/>
    <s v="Q2"/>
    <e v="#REF!"/>
    <e v="#REF!"/>
    <e v="#REF!"/>
  </r>
  <r>
    <s v="425200"/>
    <x v="6"/>
    <s v="PERSONNEL - NOTE DE FRAIS"/>
    <s v="BPRI"/>
    <n v="25.78"/>
    <d v="2025-05-22T00:00:00"/>
    <s v="Remboursement NDF"/>
    <m/>
    <e v="#N/A"/>
    <e v="#N/A"/>
    <n v="74059"/>
    <m/>
    <m/>
    <s v="Q2"/>
    <e v="#REF!"/>
    <e v="#REF!"/>
    <e v="#REF!"/>
  </r>
  <r>
    <s v="425200"/>
    <x v="6"/>
    <s v="PERSONNEL - NOTE DE FRAIS"/>
    <s v="BPRI"/>
    <n v="25.8"/>
    <d v="2025-04-04T00:00:00"/>
    <s v="Règlement NDF"/>
    <m/>
    <e v="#N/A"/>
    <e v="#N/A"/>
    <n v="66614"/>
    <m/>
    <m/>
    <s v="Q2"/>
    <e v="#REF!"/>
    <e v="#REF!"/>
    <e v="#REF!"/>
  </r>
  <r>
    <s v="425200"/>
    <x v="6"/>
    <s v="PERSONNEL - NOTE DE FRAIS"/>
    <s v="BPRI"/>
    <n v="25.87"/>
    <d v="2025-10-07T00:00:00"/>
    <s v="NDF"/>
    <m/>
    <e v="#N/A"/>
    <e v="#N/A"/>
    <n v="84395"/>
    <m/>
    <m/>
    <s v="Q4"/>
    <e v="#REF!"/>
    <e v="#REF!"/>
    <e v="#REF!"/>
  </r>
  <r>
    <s v="425200"/>
    <x v="6"/>
    <s v="PERSONNEL - NOTE DE FRAIS"/>
    <s v="BPRI"/>
    <n v="26.02"/>
    <d v="2025-04-04T00:00:00"/>
    <s v="Règlement NDF"/>
    <m/>
    <e v="#N/A"/>
    <e v="#N/A"/>
    <n v="66613"/>
    <m/>
    <m/>
    <s v="Q2"/>
    <e v="#REF!"/>
    <e v="#REF!"/>
    <e v="#REF!"/>
  </r>
  <r>
    <s v="425200"/>
    <x v="6"/>
    <s v="PERSONNEL - NOTE DE FRAIS"/>
    <s v="BPRI"/>
    <n v="26.61"/>
    <d v="2025-10-23T00:00:00"/>
    <s v="NDF"/>
    <m/>
    <e v="#N/A"/>
    <e v="#N/A"/>
    <n v="87359"/>
    <m/>
    <m/>
    <s v="Q4"/>
    <e v="#REF!"/>
    <e v="#REF!"/>
    <e v="#REF!"/>
  </r>
  <r>
    <s v="425200"/>
    <x v="6"/>
    <s v="PERSONNEL - NOTE DE FRAIS"/>
    <s v="BPRI"/>
    <n v="27.61"/>
    <d v="2025-06-27T00:00:00"/>
    <s v="NDF"/>
    <m/>
    <e v="#N/A"/>
    <e v="#N/A"/>
    <n v="76315"/>
    <m/>
    <m/>
    <s v="Q2"/>
    <e v="#REF!"/>
    <e v="#REF!"/>
    <e v="#REF!"/>
  </r>
  <r>
    <s v="425200"/>
    <x v="6"/>
    <s v="PERSONNEL - NOTE DE FRAIS"/>
    <s v="BPRI"/>
    <n v="28.83"/>
    <d v="2025-04-07T00:00:00"/>
    <s v="Règlement NDF"/>
    <m/>
    <e v="#N/A"/>
    <e v="#N/A"/>
    <n v="66628"/>
    <m/>
    <m/>
    <s v="Q2"/>
    <e v="#REF!"/>
    <e v="#REF!"/>
    <e v="#REF!"/>
  </r>
  <r>
    <s v="425200"/>
    <x v="6"/>
    <s v="PERSONNEL - NOTE DE FRAIS"/>
    <s v="BPRI"/>
    <n v="29.84"/>
    <d v="2025-12-23T00:00:00"/>
    <s v="NDF 25000313"/>
    <m/>
    <e v="#N/A"/>
    <e v="#N/A"/>
    <n v="93534"/>
    <m/>
    <m/>
    <s v="Q4"/>
    <e v="#REF!"/>
    <e v="#REF!"/>
    <e v="#REF!"/>
  </r>
  <r>
    <s v="425200"/>
    <x v="6"/>
    <s v="PERSONNEL - NOTE DE FRAIS"/>
    <s v="BPRI"/>
    <n v="29.9"/>
    <d v="2025-04-30T00:00:00"/>
    <s v="Règlement NDF"/>
    <m/>
    <e v="#N/A"/>
    <e v="#N/A"/>
    <n v="70606"/>
    <m/>
    <s v="Thibault Dejardin"/>
    <s v="Q2"/>
    <e v="#REF!"/>
    <e v="#REF!"/>
    <e v="#REF!"/>
  </r>
  <r>
    <s v="425200"/>
    <x v="6"/>
    <s v="PERSONNEL - NOTE DE FRAIS"/>
    <s v="BPRI"/>
    <n v="30"/>
    <d v="2025-01-13T00:00:00"/>
    <s v="EVI ADENIS MARIE-SARAH"/>
    <m/>
    <e v="#N/A"/>
    <e v="#N/A"/>
    <n v="20964"/>
    <s v="1106157"/>
    <s v="Marie-Sarah Adenis"/>
    <s v="Q1"/>
    <e v="#REF!"/>
    <e v="#REF!"/>
    <e v="#REF!"/>
  </r>
  <r>
    <s v="425200"/>
    <x v="6"/>
    <s v="PERSONNEL - NOTE DE FRAIS"/>
    <s v="BPRI"/>
    <n v="30"/>
    <d v="2025-11-24T00:00:00"/>
    <s v="25000298"/>
    <m/>
    <e v="#N/A"/>
    <e v="#N/A"/>
    <n v="90629"/>
    <m/>
    <m/>
    <s v="Q4"/>
    <e v="#REF!"/>
    <e v="#REF!"/>
    <e v="#REF!"/>
  </r>
  <r>
    <s v="425200"/>
    <x v="6"/>
    <s v="PERSONNEL - NOTE DE FRAIS"/>
    <s v="BPRI"/>
    <n v="30.66"/>
    <d v="2025-04-30T00:00:00"/>
    <s v="Règlement NDF"/>
    <m/>
    <e v="#N/A"/>
    <e v="#N/A"/>
    <n v="70603"/>
    <m/>
    <s v="Jérémie Blache"/>
    <s v="Q2"/>
    <e v="#REF!"/>
    <e v="#REF!"/>
    <e v="#REF!"/>
  </r>
  <r>
    <s v="425200"/>
    <x v="6"/>
    <s v="PERSONNEL - NOTE DE FRAIS"/>
    <s v="BPRI"/>
    <n v="32.1"/>
    <d v="2025-12-23T00:00:00"/>
    <s v="NDF 25000308"/>
    <m/>
    <e v="#N/A"/>
    <e v="#N/A"/>
    <n v="93533"/>
    <m/>
    <m/>
    <s v="Q4"/>
    <e v="#REF!"/>
    <e v="#REF!"/>
    <e v="#REF!"/>
  </r>
  <r>
    <s v="425200"/>
    <x v="6"/>
    <s v="PERSONNEL - NOTE DE FRAIS"/>
    <s v="BPRI"/>
    <n v="33.299999999999997"/>
    <d v="2025-04-07T00:00:00"/>
    <s v="Règlement NDF"/>
    <m/>
    <e v="#N/A"/>
    <e v="#N/A"/>
    <n v="66627"/>
    <m/>
    <m/>
    <s v="Q2"/>
    <e v="#REF!"/>
    <e v="#REF!"/>
    <e v="#REF!"/>
  </r>
  <r>
    <s v="425200"/>
    <x v="6"/>
    <s v="PERSONNEL - NOTE DE FRAIS"/>
    <s v="BPRI"/>
    <n v="35"/>
    <d v="2025-07-18T00:00:00"/>
    <s v="NDF"/>
    <m/>
    <e v="#N/A"/>
    <e v="#N/A"/>
    <n v="78328"/>
    <m/>
    <m/>
    <s v="Q3"/>
    <e v="#REF!"/>
    <e v="#REF!"/>
    <e v="#REF!"/>
  </r>
  <r>
    <s v="425200"/>
    <x v="6"/>
    <s v="PERSONNEL - NOTE DE FRAIS"/>
    <s v="BPRI"/>
    <n v="40.96"/>
    <d v="2025-02-11T00:00:00"/>
    <s v="TATGHA"/>
    <m/>
    <e v="#N/A"/>
    <e v="#N/A"/>
    <n v="21266"/>
    <s v="2260496"/>
    <s v="Tatiana Ghanem"/>
    <s v="Q1"/>
    <e v="#REF!"/>
    <e v="#REF!"/>
    <e v="#REF!"/>
  </r>
  <r>
    <s v="425200"/>
    <x v="6"/>
    <s v="PERSONNEL - NOTE DE FRAIS"/>
    <s v="BPRI"/>
    <n v="40.99"/>
    <d v="2025-04-30T00:00:00"/>
    <s v="Règlement NDF"/>
    <m/>
    <e v="#N/A"/>
    <e v="#N/A"/>
    <n v="70600"/>
    <m/>
    <s v="Jérémie Blache"/>
    <s v="Q2"/>
    <e v="#REF!"/>
    <e v="#REF!"/>
    <e v="#REF!"/>
  </r>
  <r>
    <s v="425200"/>
    <x v="6"/>
    <s v="PERSONNEL - NOTE DE FRAIS"/>
    <s v="BPRI"/>
    <n v="41.91"/>
    <d v="2025-02-05T00:00:00"/>
    <s v="TATGHA"/>
    <m/>
    <e v="#N/A"/>
    <e v="#N/A"/>
    <n v="21188"/>
    <s v="2045142"/>
    <s v="Tatiana Ghanem"/>
    <s v="Q1"/>
    <e v="#REF!"/>
    <e v="#REF!"/>
    <e v="#REF!"/>
  </r>
  <r>
    <s v="425200"/>
    <x v="6"/>
    <s v="PERSONNEL - NOTE DE FRAIS"/>
    <s v="BPRI"/>
    <n v="42.71"/>
    <d v="2025-04-30T00:00:00"/>
    <s v="Règlement NDF"/>
    <m/>
    <e v="#N/A"/>
    <e v="#N/A"/>
    <n v="70597"/>
    <m/>
    <s v="Jérémie Blache"/>
    <s v="Q2"/>
    <e v="#REF!"/>
    <e v="#REF!"/>
    <e v="#REF!"/>
  </r>
  <r>
    <s v="425200"/>
    <x v="6"/>
    <s v="PERSONNEL - NOTE DE FRAIS"/>
    <s v="BPRI"/>
    <n v="43.5"/>
    <d v="2025-09-16T00:00:00"/>
    <s v="NDF"/>
    <m/>
    <e v="#N/A"/>
    <e v="#N/A"/>
    <n v="82423"/>
    <m/>
    <m/>
    <s v="Q3"/>
    <e v="#REF!"/>
    <e v="#REF!"/>
    <e v="#REF!"/>
  </r>
  <r>
    <s v="425200"/>
    <x v="6"/>
    <s v="PERSONNEL - NOTE DE FRAIS"/>
    <s v="BPRI"/>
    <n v="44.1"/>
    <d v="2025-06-13T00:00:00"/>
    <s v="Rbt Note de frais"/>
    <m/>
    <e v="#N/A"/>
    <e v="#N/A"/>
    <n v="76011"/>
    <m/>
    <m/>
    <s v="Q2"/>
    <e v="#REF!"/>
    <e v="#REF!"/>
    <e v="#REF!"/>
  </r>
  <r>
    <s v="425200"/>
    <x v="6"/>
    <s v="PERSONNEL - NOTE DE FRAIS"/>
    <s v="BPRI"/>
    <n v="44.34"/>
    <d v="2025-04-30T00:00:00"/>
    <s v="Règlement NDF"/>
    <m/>
    <e v="#N/A"/>
    <e v="#N/A"/>
    <n v="70594"/>
    <m/>
    <s v="Jérémie Blache"/>
    <s v="Q2"/>
    <e v="#REF!"/>
    <e v="#REF!"/>
    <e v="#REF!"/>
  </r>
  <r>
    <s v="425200"/>
    <x v="6"/>
    <s v="PERSONNEL - NOTE DE FRAIS"/>
    <s v="BPRI"/>
    <n v="45"/>
    <d v="2025-09-16T00:00:00"/>
    <s v="NDF"/>
    <m/>
    <e v="#N/A"/>
    <e v="#N/A"/>
    <n v="82421"/>
    <m/>
    <m/>
    <s v="Q3"/>
    <e v="#REF!"/>
    <e v="#REF!"/>
    <e v="#REF!"/>
  </r>
  <r>
    <s v="425200"/>
    <x v="6"/>
    <s v="PERSONNEL - NOTE DE FRAIS"/>
    <s v="BPRI"/>
    <n v="45"/>
    <d v="2025-10-23T00:00:00"/>
    <s v="NDF"/>
    <m/>
    <e v="#N/A"/>
    <e v="#N/A"/>
    <n v="87362"/>
    <m/>
    <m/>
    <s v="Q4"/>
    <e v="#REF!"/>
    <e v="#REF!"/>
    <e v="#REF!"/>
  </r>
  <r>
    <s v="425200"/>
    <x v="6"/>
    <s v="PERSONNEL - NOTE DE FRAIS"/>
    <s v="BPRI"/>
    <n v="45.5"/>
    <d v="2025-10-07T00:00:00"/>
    <s v="NDF"/>
    <m/>
    <e v="#N/A"/>
    <e v="#N/A"/>
    <n v="84400"/>
    <m/>
    <m/>
    <s v="Q4"/>
    <e v="#REF!"/>
    <e v="#REF!"/>
    <e v="#REF!"/>
  </r>
  <r>
    <s v="425200"/>
    <x v="6"/>
    <s v="PERSONNEL - NOTE DE FRAIS"/>
    <s v="BPRI"/>
    <n v="45.9"/>
    <d v="2025-05-22T00:00:00"/>
    <s v="Remboursement NDF"/>
    <m/>
    <e v="#N/A"/>
    <e v="#N/A"/>
    <n v="74060"/>
    <m/>
    <m/>
    <s v="Q2"/>
    <e v="#REF!"/>
    <e v="#REF!"/>
    <e v="#REF!"/>
  </r>
  <r>
    <s v="425200"/>
    <x v="6"/>
    <s v="PERSONNEL - NOTE DE FRAIS"/>
    <s v="BPRI"/>
    <n v="46.2"/>
    <d v="2025-11-24T00:00:00"/>
    <s v="25000299"/>
    <m/>
    <e v="#N/A"/>
    <e v="#N/A"/>
    <n v="90641"/>
    <m/>
    <m/>
    <s v="Q4"/>
    <e v="#REF!"/>
    <e v="#REF!"/>
    <e v="#REF!"/>
  </r>
  <r>
    <s v="425200"/>
    <x v="6"/>
    <s v="PERSONNEL - NOTE DE FRAIS"/>
    <s v="BPRI"/>
    <n v="47.25"/>
    <d v="2025-02-26T00:00:00"/>
    <s v="AUDBAY"/>
    <m/>
    <e v="#N/A"/>
    <e v="#N/A"/>
    <n v="21430"/>
    <s v="2806244"/>
    <s v="Audrey Baylac"/>
    <s v="Q1"/>
    <e v="#REF!"/>
    <e v="#REF!"/>
    <e v="#REF!"/>
  </r>
  <r>
    <s v="425200"/>
    <x v="6"/>
    <s v="PERSONNEL - NOTE DE FRAIS"/>
    <s v="BPRI"/>
    <n v="48"/>
    <d v="2025-09-16T00:00:00"/>
    <s v="NDF"/>
    <m/>
    <e v="#N/A"/>
    <e v="#N/A"/>
    <n v="82425"/>
    <m/>
    <m/>
    <s v="Q3"/>
    <e v="#REF!"/>
    <e v="#REF!"/>
    <e v="#REF!"/>
  </r>
  <r>
    <s v="425200"/>
    <x v="6"/>
    <s v="PERSONNEL - NOTE DE FRAIS"/>
    <s v="BPRI"/>
    <n v="49.85"/>
    <d v="2025-01-20T00:00:00"/>
    <s v="EVI BARRY BENJAMIN"/>
    <m/>
    <e v="#N/A"/>
    <e v="#N/A"/>
    <n v="21028"/>
    <s v="1363616"/>
    <s v="Benjamin Barry"/>
    <s v="Q1"/>
    <e v="#REF!"/>
    <e v="#REF!"/>
    <e v="#REF!"/>
  </r>
  <r>
    <s v="425200"/>
    <x v="6"/>
    <s v="PERSONNEL - NOTE DE FRAIS"/>
    <s v="BPRI"/>
    <n v="49.98"/>
    <d v="2025-01-20T00:00:00"/>
    <s v="EVI M JEREMIE BLACHE"/>
    <m/>
    <e v="#N/A"/>
    <e v="#N/A"/>
    <n v="21032"/>
    <s v="1363871"/>
    <s v="Jérémie Blache"/>
    <s v="Q1"/>
    <e v="#REF!"/>
    <e v="#REF!"/>
    <e v="#REF!"/>
  </r>
  <r>
    <s v="425200"/>
    <x v="6"/>
    <s v="PERSONNEL - NOTE DE FRAIS"/>
    <s v="BPRI"/>
    <n v="49.99"/>
    <d v="2025-02-26T00:00:00"/>
    <s v="ANNGOU"/>
    <m/>
    <e v="#N/A"/>
    <e v="#N/A"/>
    <n v="21442"/>
    <s v="2808616"/>
    <s v="Anne-Sophie Goutierre"/>
    <s v="Q1"/>
    <e v="#REF!"/>
    <e v="#REF!"/>
    <e v="#REF!"/>
  </r>
  <r>
    <s v="425200"/>
    <x v="6"/>
    <s v="PERSONNEL - NOTE DE FRAIS"/>
    <s v="BPRI"/>
    <n v="50"/>
    <d v="2025-02-05T00:00:00"/>
    <s v="JERBLA"/>
    <m/>
    <e v="#N/A"/>
    <e v="#N/A"/>
    <n v="21186"/>
    <s v="2044725"/>
    <s v="Jérémie Blache"/>
    <s v="Q1"/>
    <e v="#REF!"/>
    <e v="#REF!"/>
    <e v="#REF!"/>
  </r>
  <r>
    <s v="425200"/>
    <x v="6"/>
    <s v="PERSONNEL - NOTE DE FRAIS"/>
    <s v="BPRI"/>
    <n v="50"/>
    <d v="2025-03-04T00:00:00"/>
    <s v="Règlement NDF"/>
    <m/>
    <e v="#N/A"/>
    <e v="#N/A"/>
    <n v="58871"/>
    <m/>
    <s v="Jérémie Blache"/>
    <s v="Q1"/>
    <e v="#REF!"/>
    <e v="#REF!"/>
    <e v="#REF!"/>
  </r>
  <r>
    <s v="425200"/>
    <x v="6"/>
    <s v="PERSONNEL - NOTE DE FRAIS"/>
    <s v="BPRI"/>
    <n v="50"/>
    <d v="2025-04-04T00:00:00"/>
    <s v="Règlement NDF"/>
    <m/>
    <e v="#N/A"/>
    <e v="#N/A"/>
    <n v="66612"/>
    <m/>
    <m/>
    <s v="Q2"/>
    <e v="#REF!"/>
    <e v="#REF!"/>
    <e v="#REF!"/>
  </r>
  <r>
    <s v="425200"/>
    <x v="6"/>
    <s v="PERSONNEL - NOTE DE FRAIS"/>
    <s v="BPRI"/>
    <n v="50.4"/>
    <d v="2025-04-04T00:00:00"/>
    <s v="Règlement NDF"/>
    <m/>
    <e v="#N/A"/>
    <e v="#N/A"/>
    <n v="66611"/>
    <m/>
    <m/>
    <s v="Q2"/>
    <e v="#REF!"/>
    <e v="#REF!"/>
    <e v="#REF!"/>
  </r>
  <r>
    <s v="425200"/>
    <x v="6"/>
    <s v="PERSONNEL - NOTE DE FRAIS"/>
    <s v="BPRI"/>
    <n v="51"/>
    <d v="2025-01-07T00:00:00"/>
    <s v="EVI CREPIN LUCIE"/>
    <m/>
    <e v="#N/A"/>
    <e v="#N/A"/>
    <n v="20902"/>
    <s v="857415"/>
    <s v="Lucie Crépin"/>
    <s v="Q1"/>
    <e v="#REF!"/>
    <e v="#REF!"/>
    <e v="#REF!"/>
  </r>
  <r>
    <s v="425200"/>
    <x v="6"/>
    <s v="PERSONNEL - NOTE DE FRAIS"/>
    <s v="BPRI"/>
    <n v="51.7"/>
    <d v="2025-10-07T00:00:00"/>
    <s v="NDF"/>
    <m/>
    <e v="#N/A"/>
    <e v="#N/A"/>
    <n v="84397"/>
    <m/>
    <m/>
    <s v="Q4"/>
    <e v="#REF!"/>
    <e v="#REF!"/>
    <e v="#REF!"/>
  </r>
  <r>
    <s v="425200"/>
    <x v="6"/>
    <s v="PERSONNEL - NOTE DE FRAIS"/>
    <s v="BPRI"/>
    <n v="52.97"/>
    <d v="2025-09-16T00:00:00"/>
    <s v="NDF"/>
    <m/>
    <e v="#N/A"/>
    <e v="#N/A"/>
    <n v="82427"/>
    <m/>
    <m/>
    <s v="Q3"/>
    <e v="#REF!"/>
    <e v="#REF!"/>
    <e v="#REF!"/>
  </r>
  <r>
    <s v="425200"/>
    <x v="6"/>
    <s v="PERSONNEL - NOTE DE FRAIS"/>
    <s v="BPRI"/>
    <n v="53.17"/>
    <d v="2025-02-11T00:00:00"/>
    <s v="JERBLA"/>
    <m/>
    <e v="#N/A"/>
    <e v="#N/A"/>
    <n v="21268"/>
    <s v="2260614"/>
    <s v="Jérémie Blache"/>
    <s v="Q1"/>
    <e v="#REF!"/>
    <e v="#REF!"/>
    <e v="#REF!"/>
  </r>
  <r>
    <s v="425200"/>
    <x v="6"/>
    <s v="PERSONNEL - NOTE DE FRAIS"/>
    <s v="BPRI"/>
    <n v="54"/>
    <d v="2025-06-27T00:00:00"/>
    <s v="NDF"/>
    <m/>
    <e v="#N/A"/>
    <e v="#N/A"/>
    <n v="76316"/>
    <m/>
    <m/>
    <s v="Q2"/>
    <e v="#REF!"/>
    <e v="#REF!"/>
    <e v="#REF!"/>
  </r>
  <r>
    <s v="425200"/>
    <x v="6"/>
    <s v="PERSONNEL - NOTE DE FRAIS"/>
    <s v="BPRI"/>
    <n v="54.87"/>
    <d v="2025-03-04T00:00:00"/>
    <s v="Règlement NDF"/>
    <m/>
    <e v="#N/A"/>
    <e v="#N/A"/>
    <n v="58868"/>
    <m/>
    <s v="Jérémie Blache"/>
    <s v="Q1"/>
    <e v="#REF!"/>
    <e v="#REF!"/>
    <e v="#REF!"/>
  </r>
  <r>
    <s v="425200"/>
    <x v="6"/>
    <s v="PERSONNEL - NOTE DE FRAIS"/>
    <s v="BPRI"/>
    <n v="54.88"/>
    <d v="2025-04-29T00:00:00"/>
    <s v="Règlement NDF"/>
    <m/>
    <e v="#N/A"/>
    <e v="#N/A"/>
    <n v="70512"/>
    <m/>
    <s v="Jérémie Blache"/>
    <s v="Q2"/>
    <e v="#REF!"/>
    <e v="#REF!"/>
    <e v="#REF!"/>
  </r>
  <r>
    <s v="425200"/>
    <x v="6"/>
    <s v="PERSONNEL - NOTE DE FRAIS"/>
    <s v="BPRI"/>
    <n v="55.7"/>
    <d v="2025-10-07T00:00:00"/>
    <s v="NDF"/>
    <m/>
    <e v="#N/A"/>
    <e v="#N/A"/>
    <n v="84382"/>
    <m/>
    <m/>
    <s v="Q4"/>
    <e v="#REF!"/>
    <e v="#REF!"/>
    <e v="#REF!"/>
  </r>
  <r>
    <s v="425200"/>
    <x v="6"/>
    <s v="PERSONNEL - NOTE DE FRAIS"/>
    <s v="BPRI"/>
    <n v="56.4"/>
    <d v="2025-02-05T00:00:00"/>
    <s v="240125 CB    5564"/>
    <m/>
    <e v="#N/A"/>
    <e v="#N/A"/>
    <n v="21218"/>
    <s v="1OP3VG0"/>
    <s v="Pascal Simonney"/>
    <s v="Q1"/>
    <e v="#REF!"/>
    <e v="#REF!"/>
    <e v="#REF!"/>
  </r>
  <r>
    <s v="425200"/>
    <x v="6"/>
    <s v="PERSONNEL - NOTE DE FRAIS"/>
    <s v="BPRI"/>
    <n v="57"/>
    <d v="2025-02-11T00:00:00"/>
    <s v="JERBLA"/>
    <m/>
    <e v="#N/A"/>
    <e v="#N/A"/>
    <n v="21270"/>
    <s v="2260736"/>
    <s v="Jérémie Blache"/>
    <s v="Q1"/>
    <e v="#REF!"/>
    <e v="#REF!"/>
    <e v="#REF!"/>
  </r>
  <r>
    <s v="425200"/>
    <x v="6"/>
    <s v="PERSONNEL - NOTE DE FRAIS"/>
    <s v="BPRI"/>
    <n v="57.1"/>
    <d v="2025-12-23T00:00:00"/>
    <s v="NDF 25000326"/>
    <m/>
    <e v="#N/A"/>
    <e v="#N/A"/>
    <n v="93551"/>
    <m/>
    <m/>
    <s v="Q4"/>
    <e v="#REF!"/>
    <e v="#REF!"/>
    <e v="#REF!"/>
  </r>
  <r>
    <s v="425200"/>
    <x v="6"/>
    <s v="PERSONNEL - NOTE DE FRAIS"/>
    <s v="BPRI"/>
    <n v="57.9"/>
    <d v="2025-11-24T00:00:00"/>
    <s v="25000300"/>
    <m/>
    <e v="#N/A"/>
    <e v="#N/A"/>
    <n v="90631"/>
    <m/>
    <m/>
    <s v="Q4"/>
    <e v="#REF!"/>
    <e v="#REF!"/>
    <e v="#REF!"/>
  </r>
  <r>
    <s v="425200"/>
    <x v="6"/>
    <s v="PERSONNEL - NOTE DE FRAIS"/>
    <s v="BPRI"/>
    <n v="58.25"/>
    <d v="2025-10-23T00:00:00"/>
    <s v="NDF"/>
    <m/>
    <e v="#N/A"/>
    <e v="#N/A"/>
    <n v="87344"/>
    <m/>
    <m/>
    <s v="Q4"/>
    <e v="#REF!"/>
    <e v="#REF!"/>
    <e v="#REF!"/>
  </r>
  <r>
    <s v="425200"/>
    <x v="6"/>
    <s v="PERSONNEL - NOTE DE FRAIS"/>
    <s v="BPRI"/>
    <n v="59.38"/>
    <d v="2025-05-13T00:00:00"/>
    <s v="Règlement NDF"/>
    <m/>
    <e v="#N/A"/>
    <e v="#N/A"/>
    <n v="71969"/>
    <m/>
    <s v="Jérémie Blache"/>
    <s v="Q2"/>
    <e v="#REF!"/>
    <e v="#REF!"/>
    <e v="#REF!"/>
  </r>
  <r>
    <s v="425200"/>
    <x v="6"/>
    <s v="PERSONNEL - NOTE DE FRAIS"/>
    <s v="BPRI"/>
    <n v="59.73"/>
    <d v="2025-05-16T00:00:00"/>
    <s v="Règlement NDF"/>
    <m/>
    <e v="#N/A"/>
    <e v="#N/A"/>
    <n v="72815"/>
    <m/>
    <s v="Jérémie Blache"/>
    <s v="Q2"/>
    <e v="#REF!"/>
    <e v="#REF!"/>
    <e v="#REF!"/>
  </r>
  <r>
    <s v="425200"/>
    <x v="6"/>
    <s v="PERSONNEL - NOTE DE FRAIS"/>
    <s v="BPRI"/>
    <n v="60.18"/>
    <d v="2025-01-27T00:00:00"/>
    <s v="EVI GOUTIERRE ANNE-SOPHIE"/>
    <m/>
    <e v="#N/A"/>
    <e v="#N/A"/>
    <n v="21084"/>
    <s v="1586911"/>
    <s v="Anne-Sophie Goutierre"/>
    <s v="Q1"/>
    <e v="#REF!"/>
    <e v="#REF!"/>
    <e v="#REF!"/>
  </r>
  <r>
    <s v="425200"/>
    <x v="6"/>
    <s v="PERSONNEL - NOTE DE FRAIS"/>
    <s v="BPRI"/>
    <n v="61.3"/>
    <d v="2025-04-07T00:00:00"/>
    <s v="Règlement NDF"/>
    <m/>
    <e v="#N/A"/>
    <e v="#N/A"/>
    <n v="66626"/>
    <m/>
    <m/>
    <s v="Q2"/>
    <e v="#REF!"/>
    <e v="#REF!"/>
    <e v="#REF!"/>
  </r>
  <r>
    <s v="425200"/>
    <x v="6"/>
    <s v="PERSONNEL - NOTE DE FRAIS"/>
    <s v="BPRI"/>
    <n v="61.85"/>
    <d v="2025-04-07T00:00:00"/>
    <s v="Règlement NDF"/>
    <m/>
    <e v="#N/A"/>
    <e v="#N/A"/>
    <n v="66625"/>
    <m/>
    <m/>
    <s v="Q2"/>
    <e v="#REF!"/>
    <e v="#REF!"/>
    <e v="#REF!"/>
  </r>
  <r>
    <s v="425200"/>
    <x v="6"/>
    <s v="PERSONNEL - NOTE DE FRAIS"/>
    <s v="BPRI"/>
    <n v="62.15"/>
    <d v="2025-07-18T00:00:00"/>
    <s v="NDF"/>
    <m/>
    <e v="#N/A"/>
    <e v="#N/A"/>
    <n v="78329"/>
    <m/>
    <m/>
    <s v="Q3"/>
    <e v="#REF!"/>
    <e v="#REF!"/>
    <e v="#REF!"/>
  </r>
  <r>
    <s v="425200"/>
    <x v="6"/>
    <s v="PERSONNEL - NOTE DE FRAIS"/>
    <s v="BPRI"/>
    <n v="62.4"/>
    <d v="2025-06-13T00:00:00"/>
    <s v="Rbt Note de frais"/>
    <m/>
    <e v="#N/A"/>
    <e v="#N/A"/>
    <n v="76010"/>
    <m/>
    <m/>
    <s v="Q2"/>
    <e v="#REF!"/>
    <e v="#REF!"/>
    <e v="#REF!"/>
  </r>
  <r>
    <s v="425200"/>
    <x v="6"/>
    <s v="PERSONNEL - NOTE DE FRAIS"/>
    <s v="BPRI"/>
    <n v="64"/>
    <d v="2025-08-21T00:00:00"/>
    <s v="NDF"/>
    <m/>
    <e v="#N/A"/>
    <e v="#N/A"/>
    <n v="81359"/>
    <m/>
    <m/>
    <s v="Q3"/>
    <e v="#REF!"/>
    <e v="#REF!"/>
    <e v="#REF!"/>
  </r>
  <r>
    <s v="425200"/>
    <x v="6"/>
    <s v="PERSONNEL - NOTE DE FRAIS"/>
    <s v="BPRI"/>
    <n v="64.8"/>
    <d v="2025-08-08T00:00:00"/>
    <s v="NDF"/>
    <m/>
    <e v="#N/A"/>
    <e v="#N/A"/>
    <n v="80772"/>
    <m/>
    <m/>
    <s v="Q3"/>
    <e v="#REF!"/>
    <e v="#REF!"/>
    <e v="#REF!"/>
  </r>
  <r>
    <s v="425200"/>
    <x v="6"/>
    <s v="PERSONNEL - NOTE DE FRAIS"/>
    <s v="BPRI"/>
    <n v="65.88"/>
    <d v="2025-01-27T00:00:00"/>
    <s v="EVI LACONDEMINE JULIE"/>
    <m/>
    <e v="#N/A"/>
    <e v="#N/A"/>
    <n v="21086"/>
    <s v="1587204"/>
    <s v="Julie Lacondemine"/>
    <s v="Q1"/>
    <e v="#REF!"/>
    <e v="#REF!"/>
    <e v="#REF!"/>
  </r>
  <r>
    <s v="425200"/>
    <x v="6"/>
    <s v="PERSONNEL - NOTE DE FRAIS"/>
    <s v="BPRI"/>
    <n v="67.05"/>
    <d v="2025-04-04T00:00:00"/>
    <s v="Règlement NDF"/>
    <m/>
    <e v="#N/A"/>
    <e v="#N/A"/>
    <n v="66610"/>
    <m/>
    <m/>
    <s v="Q2"/>
    <e v="#REF!"/>
    <e v="#REF!"/>
    <e v="#REF!"/>
  </r>
  <r>
    <s v="425200"/>
    <x v="6"/>
    <s v="PERSONNEL - NOTE DE FRAIS"/>
    <s v="BPRI"/>
    <n v="68.7"/>
    <d v="2025-04-02T00:00:00"/>
    <s v="Règlement NDF"/>
    <m/>
    <e v="#N/A"/>
    <e v="#N/A"/>
    <n v="66521"/>
    <m/>
    <s v="Loic masseboeuf"/>
    <s v="Q2"/>
    <e v="#REF!"/>
    <e v="#REF!"/>
    <e v="#REF!"/>
  </r>
  <r>
    <s v="425200"/>
    <x v="6"/>
    <s v="PERSONNEL - NOTE DE FRAIS"/>
    <s v="BPRI"/>
    <n v="73"/>
    <d v="2025-02-12T00:00:00"/>
    <s v="110225 CB    3583"/>
    <m/>
    <e v="#N/A"/>
    <e v="#N/A"/>
    <n v="21290"/>
    <s v="209V436"/>
    <s v="Jérémie Blache"/>
    <s v="Q1"/>
    <e v="#REF!"/>
    <e v="#REF!"/>
    <e v="#REF!"/>
  </r>
  <r>
    <s v="425200"/>
    <x v="6"/>
    <s v="PERSONNEL - NOTE DE FRAIS"/>
    <s v="BPRI"/>
    <n v="73"/>
    <d v="2025-02-12T00:00:00"/>
    <s v="110225 CB    3583"/>
    <m/>
    <e v="#N/A"/>
    <e v="#N/A"/>
    <n v="21292"/>
    <s v="209V437"/>
    <s v="Jérémie Blache"/>
    <s v="Q1"/>
    <e v="#REF!"/>
    <e v="#REF!"/>
    <e v="#REF!"/>
  </r>
  <r>
    <s v="425200"/>
    <x v="6"/>
    <s v="PERSONNEL - NOTE DE FRAIS"/>
    <s v="BPRI"/>
    <n v="73"/>
    <d v="2025-05-13T00:00:00"/>
    <s v="Règlement NDF"/>
    <m/>
    <e v="#N/A"/>
    <e v="#N/A"/>
    <n v="71972"/>
    <m/>
    <s v="Jérémie Blache"/>
    <s v="Q2"/>
    <e v="#REF!"/>
    <e v="#REF!"/>
    <e v="#REF!"/>
  </r>
  <r>
    <s v="425200"/>
    <x v="6"/>
    <s v="PERSONNEL - NOTE DE FRAIS"/>
    <s v="BPRI"/>
    <n v="76.69"/>
    <d v="2025-08-08T00:00:00"/>
    <s v="NDF"/>
    <m/>
    <e v="#N/A"/>
    <e v="#N/A"/>
    <n v="80769"/>
    <m/>
    <m/>
    <s v="Q3"/>
    <e v="#REF!"/>
    <e v="#REF!"/>
    <e v="#REF!"/>
  </r>
  <r>
    <s v="425200"/>
    <x v="6"/>
    <s v="PERSONNEL - NOTE DE FRAIS"/>
    <s v="BPRI"/>
    <n v="81"/>
    <d v="2025-10-07T00:00:00"/>
    <s v="NDF"/>
    <m/>
    <e v="#N/A"/>
    <e v="#N/A"/>
    <n v="84388"/>
    <m/>
    <m/>
    <s v="Q4"/>
    <e v="#REF!"/>
    <e v="#REF!"/>
    <e v="#REF!"/>
  </r>
  <r>
    <s v="425200"/>
    <x v="6"/>
    <s v="PERSONNEL - NOTE DE FRAIS"/>
    <s v="BPRI"/>
    <n v="82.17"/>
    <d v="2025-12-23T00:00:00"/>
    <s v="NDF 25000328"/>
    <m/>
    <e v="#N/A"/>
    <e v="#N/A"/>
    <n v="93527"/>
    <m/>
    <m/>
    <s v="Q4"/>
    <e v="#REF!"/>
    <e v="#REF!"/>
    <e v="#REF!"/>
  </r>
  <r>
    <s v="425200"/>
    <x v="6"/>
    <s v="PERSONNEL - NOTE DE FRAIS"/>
    <s v="BPRI"/>
    <n v="82.21"/>
    <d v="2025-04-29T00:00:00"/>
    <s v="Règlement NDF"/>
    <m/>
    <e v="#N/A"/>
    <e v="#N/A"/>
    <n v="70509"/>
    <m/>
    <s v="Jérémie Blache"/>
    <s v="Q2"/>
    <e v="#REF!"/>
    <e v="#REF!"/>
    <e v="#REF!"/>
  </r>
  <r>
    <s v="425200"/>
    <x v="6"/>
    <s v="PERSONNEL - NOTE DE FRAIS"/>
    <s v="BPRI"/>
    <n v="83.7"/>
    <d v="2025-05-22T00:00:00"/>
    <s v="Remboursement NDF"/>
    <m/>
    <e v="#N/A"/>
    <e v="#N/A"/>
    <n v="74062"/>
    <m/>
    <m/>
    <s v="Q2"/>
    <e v="#REF!"/>
    <e v="#REF!"/>
    <e v="#REF!"/>
  </r>
  <r>
    <s v="425200"/>
    <x v="6"/>
    <s v="PERSONNEL - NOTE DE FRAIS"/>
    <s v="BPRI"/>
    <n v="84.5"/>
    <d v="2025-04-04T00:00:00"/>
    <s v="Règlement NDF"/>
    <m/>
    <e v="#N/A"/>
    <e v="#N/A"/>
    <n v="66609"/>
    <m/>
    <m/>
    <s v="Q2"/>
    <e v="#REF!"/>
    <e v="#REF!"/>
    <e v="#REF!"/>
  </r>
  <r>
    <s v="425200"/>
    <x v="6"/>
    <s v="PERSONNEL - NOTE DE FRAIS"/>
    <s v="BPRI"/>
    <n v="85.58"/>
    <d v="2025-06-27T00:00:00"/>
    <s v="NDF"/>
    <m/>
    <e v="#N/A"/>
    <e v="#N/A"/>
    <n v="76314"/>
    <m/>
    <m/>
    <s v="Q2"/>
    <e v="#REF!"/>
    <e v="#REF!"/>
    <e v="#REF!"/>
  </r>
  <r>
    <s v="425200"/>
    <x v="6"/>
    <s v="PERSONNEL - NOTE DE FRAIS"/>
    <s v="BPRI"/>
    <n v="88.46"/>
    <d v="2025-04-07T00:00:00"/>
    <s v="Règlement NDF"/>
    <m/>
    <e v="#N/A"/>
    <e v="#N/A"/>
    <n v="66624"/>
    <m/>
    <m/>
    <s v="Q2"/>
    <e v="#REF!"/>
    <e v="#REF!"/>
    <e v="#REF!"/>
  </r>
  <r>
    <s v="425200"/>
    <x v="6"/>
    <s v="PERSONNEL - NOTE DE FRAIS"/>
    <s v="BPRI"/>
    <n v="88.53"/>
    <d v="2025-05-13T00:00:00"/>
    <s v="Règlement NDF"/>
    <m/>
    <e v="#N/A"/>
    <e v="#N/A"/>
    <n v="71975"/>
    <m/>
    <s v="Jérémie Blache"/>
    <s v="Q2"/>
    <e v="#REF!"/>
    <e v="#REF!"/>
    <e v="#REF!"/>
  </r>
  <r>
    <s v="425200"/>
    <x v="6"/>
    <s v="PERSONNEL - NOTE DE FRAIS"/>
    <s v="BPRI"/>
    <n v="90.92"/>
    <d v="2025-04-07T00:00:00"/>
    <s v="Règlement NDF"/>
    <m/>
    <e v="#N/A"/>
    <e v="#N/A"/>
    <n v="66623"/>
    <m/>
    <m/>
    <s v="Q2"/>
    <e v="#REF!"/>
    <e v="#REF!"/>
    <e v="#REF!"/>
  </r>
  <r>
    <s v="425200"/>
    <x v="6"/>
    <s v="PERSONNEL - NOTE DE FRAIS"/>
    <s v="BPRI"/>
    <n v="91"/>
    <d v="2025-03-24T00:00:00"/>
    <s v="Règlement Note de frais"/>
    <m/>
    <e v="#N/A"/>
    <e v="#N/A"/>
    <n v="64497"/>
    <m/>
    <s v="Julie Lacondemine"/>
    <s v="Q1"/>
    <e v="#REF!"/>
    <e v="#REF!"/>
    <e v="#REF!"/>
  </r>
  <r>
    <s v="425200"/>
    <x v="6"/>
    <s v="PERSONNEL - NOTE DE FRAIS"/>
    <s v="BPRI"/>
    <n v="91.95"/>
    <d v="2025-04-29T00:00:00"/>
    <s v="Règlement NDF"/>
    <m/>
    <e v="#N/A"/>
    <e v="#N/A"/>
    <n v="70506"/>
    <m/>
    <s v="Océane Chabret"/>
    <s v="Q2"/>
    <e v="#REF!"/>
    <e v="#REF!"/>
    <e v="#REF!"/>
  </r>
  <r>
    <s v="425200"/>
    <x v="6"/>
    <s v="PERSONNEL - NOTE DE FRAIS"/>
    <s v="BPRI"/>
    <n v="93.78"/>
    <d v="2025-05-13T00:00:00"/>
    <s v="Règlement NDF"/>
    <m/>
    <e v="#N/A"/>
    <e v="#N/A"/>
    <n v="71978"/>
    <m/>
    <s v="Jérémie Blache"/>
    <s v="Q2"/>
    <e v="#REF!"/>
    <e v="#REF!"/>
    <e v="#REF!"/>
  </r>
  <r>
    <s v="425200"/>
    <x v="6"/>
    <s v="PERSONNEL - NOTE DE FRAIS"/>
    <s v="BPRI"/>
    <n v="93.98"/>
    <d v="2025-10-07T00:00:00"/>
    <s v="NDF"/>
    <m/>
    <e v="#N/A"/>
    <e v="#N/A"/>
    <n v="84394"/>
    <m/>
    <m/>
    <s v="Q4"/>
    <e v="#REF!"/>
    <e v="#REF!"/>
    <e v="#REF!"/>
  </r>
  <r>
    <s v="425200"/>
    <x v="6"/>
    <s v="PERSONNEL - NOTE DE FRAIS"/>
    <s v="BPRI"/>
    <n v="94.45"/>
    <d v="2025-04-04T00:00:00"/>
    <s v="Règlement NDF"/>
    <m/>
    <e v="#N/A"/>
    <e v="#N/A"/>
    <n v="66608"/>
    <m/>
    <m/>
    <s v="Q2"/>
    <e v="#REF!"/>
    <e v="#REF!"/>
    <e v="#REF!"/>
  </r>
  <r>
    <s v="425200"/>
    <x v="6"/>
    <s v="PERSONNEL - NOTE DE FRAIS"/>
    <s v="BPRI"/>
    <n v="94.51"/>
    <d v="2025-04-04T00:00:00"/>
    <s v="Règlement NDF"/>
    <m/>
    <e v="#N/A"/>
    <e v="#N/A"/>
    <n v="66607"/>
    <m/>
    <m/>
    <s v="Q2"/>
    <e v="#REF!"/>
    <e v="#REF!"/>
    <e v="#REF!"/>
  </r>
  <r>
    <s v="425200"/>
    <x v="6"/>
    <s v="PERSONNEL - NOTE DE FRAIS"/>
    <s v="BPRI"/>
    <n v="94.95"/>
    <d v="2025-05-22T00:00:00"/>
    <s v="Remboursement NDF"/>
    <m/>
    <e v="#N/A"/>
    <e v="#N/A"/>
    <n v="74057"/>
    <m/>
    <m/>
    <s v="Q2"/>
    <e v="#REF!"/>
    <e v="#REF!"/>
    <e v="#REF!"/>
  </r>
  <r>
    <s v="425200"/>
    <x v="6"/>
    <s v="PERSONNEL - NOTE DE FRAIS"/>
    <s v="BPRI"/>
    <n v="96.42"/>
    <d v="2025-01-20T00:00:00"/>
    <s v="EVI PEROCHEAU CLEMENT"/>
    <m/>
    <e v="#N/A"/>
    <e v="#N/A"/>
    <n v="21026"/>
    <s v="1363511"/>
    <s v="Clément Perrocheau"/>
    <s v="Q1"/>
    <e v="#REF!"/>
    <e v="#REF!"/>
    <e v="#REF!"/>
  </r>
  <r>
    <s v="425200"/>
    <x v="6"/>
    <s v="PERSONNEL - NOTE DE FRAIS"/>
    <s v="BPRI"/>
    <n v="96.58"/>
    <d v="2025-04-25T00:00:00"/>
    <s v="Règlement NDF"/>
    <m/>
    <e v="#N/A"/>
    <e v="#N/A"/>
    <n v="70224"/>
    <m/>
    <s v="Loic masseboeuf"/>
    <s v="Q2"/>
    <e v="#REF!"/>
    <e v="#REF!"/>
    <e v="#REF!"/>
  </r>
  <r>
    <s v="425200"/>
    <x v="6"/>
    <s v="PERSONNEL - NOTE DE FRAIS"/>
    <s v="BPRI"/>
    <n v="98.04"/>
    <d v="2025-07-18T00:00:00"/>
    <s v="NDF"/>
    <m/>
    <e v="#N/A"/>
    <e v="#N/A"/>
    <n v="78332"/>
    <m/>
    <m/>
    <s v="Q3"/>
    <e v="#REF!"/>
    <e v="#REF!"/>
    <e v="#REF!"/>
  </r>
  <r>
    <s v="425200"/>
    <x v="6"/>
    <s v="PERSONNEL - NOTE DE FRAIS"/>
    <s v="BPRI"/>
    <n v="100"/>
    <d v="2025-05-13T00:00:00"/>
    <s v="Règlement NDF"/>
    <m/>
    <e v="#N/A"/>
    <e v="#N/A"/>
    <n v="71981"/>
    <m/>
    <s v="Jérémie Blache"/>
    <s v="Q2"/>
    <e v="#REF!"/>
    <e v="#REF!"/>
    <e v="#REF!"/>
  </r>
  <r>
    <s v="425200"/>
    <x v="6"/>
    <s v="PERSONNEL - NOTE DE FRAIS"/>
    <s v="BPRI"/>
    <n v="103"/>
    <d v="2025-10-23T00:00:00"/>
    <s v="NDF"/>
    <m/>
    <e v="#N/A"/>
    <e v="#N/A"/>
    <n v="87353"/>
    <m/>
    <m/>
    <s v="Q4"/>
    <e v="#REF!"/>
    <e v="#REF!"/>
    <e v="#REF!"/>
  </r>
  <r>
    <s v="425200"/>
    <x v="6"/>
    <s v="PERSONNEL - NOTE DE FRAIS"/>
    <s v="BPRI"/>
    <n v="107.4"/>
    <d v="2025-03-10T00:00:00"/>
    <s v="Règlement NDF"/>
    <m/>
    <e v="#N/A"/>
    <e v="#N/A"/>
    <n v="60062"/>
    <m/>
    <s v="Jérémie Blache"/>
    <s v="Q1"/>
    <e v="#REF!"/>
    <e v="#REF!"/>
    <e v="#REF!"/>
  </r>
  <r>
    <s v="425200"/>
    <x v="6"/>
    <s v="PERSONNEL - NOTE DE FRAIS"/>
    <s v="BPRI"/>
    <n v="108.32"/>
    <d v="2025-05-16T00:00:00"/>
    <s v="Règlement NDF"/>
    <m/>
    <e v="#N/A"/>
    <e v="#N/A"/>
    <n v="72818"/>
    <m/>
    <s v="Jérémie Blache"/>
    <s v="Q2"/>
    <e v="#REF!"/>
    <e v="#REF!"/>
    <e v="#REF!"/>
  </r>
  <r>
    <s v="425200"/>
    <x v="6"/>
    <s v="PERSONNEL - NOTE DE FRAIS"/>
    <s v="BPRI"/>
    <n v="108.5"/>
    <d v="2025-12-23T00:00:00"/>
    <s v="NDF 25000318"/>
    <m/>
    <e v="#N/A"/>
    <e v="#N/A"/>
    <n v="93545"/>
    <m/>
    <m/>
    <s v="Q4"/>
    <e v="#REF!"/>
    <e v="#REF!"/>
    <e v="#REF!"/>
  </r>
  <r>
    <s v="425200"/>
    <x v="6"/>
    <s v="PERSONNEL - NOTE DE FRAIS"/>
    <s v="BPRI"/>
    <n v="110.7"/>
    <d v="2025-01-13T00:00:00"/>
    <s v="Règlement NDF"/>
    <m/>
    <e v="#N/A"/>
    <e v="#N/A"/>
    <n v="20962"/>
    <s v="1105990"/>
    <s v="Yves Combret"/>
    <s v="Q1"/>
    <e v="#REF!"/>
    <e v="#REF!"/>
    <e v="#REF!"/>
  </r>
  <r>
    <s v="425200"/>
    <x v="6"/>
    <s v="PERSONNEL - NOTE DE FRAIS"/>
    <s v="BPRI"/>
    <n v="115.56"/>
    <d v="2025-06-13T00:00:00"/>
    <s v="Rbt Note de frais"/>
    <m/>
    <e v="#N/A"/>
    <e v="#N/A"/>
    <n v="76013"/>
    <m/>
    <m/>
    <s v="Q2"/>
    <e v="#REF!"/>
    <e v="#REF!"/>
    <e v="#REF!"/>
  </r>
  <r>
    <s v="425200"/>
    <x v="6"/>
    <s v="PERSONNEL - NOTE DE FRAIS"/>
    <s v="BPRI"/>
    <n v="118.5"/>
    <d v="2025-02-26T00:00:00"/>
    <s v="JERBLA"/>
    <m/>
    <e v="#N/A"/>
    <e v="#N/A"/>
    <n v="21436"/>
    <s v="2807962"/>
    <s v="Jérémie Blache"/>
    <s v="Q1"/>
    <e v="#REF!"/>
    <e v="#REF!"/>
    <e v="#REF!"/>
  </r>
  <r>
    <s v="425200"/>
    <x v="6"/>
    <s v="PERSONNEL - NOTE DE FRAIS"/>
    <s v="BPRI"/>
    <n v="120"/>
    <d v="2025-05-13T00:00:00"/>
    <s v="Règlement NDF"/>
    <m/>
    <e v="#N/A"/>
    <e v="#N/A"/>
    <n v="71987"/>
    <m/>
    <s v="Marie-Sarah Adenis"/>
    <s v="Q2"/>
    <e v="#REF!"/>
    <e v="#REF!"/>
    <e v="#REF!"/>
  </r>
  <r>
    <s v="425200"/>
    <x v="6"/>
    <s v="PERSONNEL - NOTE DE FRAIS"/>
    <s v="BPRI"/>
    <n v="120.05"/>
    <d v="2025-06-27T00:00:00"/>
    <s v="NDF"/>
    <m/>
    <e v="#N/A"/>
    <e v="#N/A"/>
    <n v="76319"/>
    <m/>
    <m/>
    <s v="Q2"/>
    <e v="#REF!"/>
    <e v="#REF!"/>
    <e v="#REF!"/>
  </r>
  <r>
    <s v="425200"/>
    <x v="6"/>
    <s v="PERSONNEL - NOTE DE FRAIS"/>
    <s v="BPRI"/>
    <n v="123"/>
    <d v="2025-05-13T00:00:00"/>
    <s v="Règlement NDF"/>
    <m/>
    <e v="#N/A"/>
    <e v="#N/A"/>
    <n v="71990"/>
    <m/>
    <s v="Thibault Dejardin"/>
    <s v="Q2"/>
    <e v="#REF!"/>
    <e v="#REF!"/>
    <e v="#REF!"/>
  </r>
  <r>
    <s v="425200"/>
    <x v="6"/>
    <s v="PERSONNEL - NOTE DE FRAIS"/>
    <s v="BPRI"/>
    <n v="124"/>
    <d v="2025-12-23T00:00:00"/>
    <s v="NDF 25000317"/>
    <m/>
    <e v="#N/A"/>
    <e v="#N/A"/>
    <n v="93544"/>
    <m/>
    <m/>
    <s v="Q4"/>
    <e v="#REF!"/>
    <e v="#REF!"/>
    <e v="#REF!"/>
  </r>
  <r>
    <s v="425200"/>
    <x v="6"/>
    <s v="PERSONNEL - NOTE DE FRAIS"/>
    <s v="BPRI"/>
    <n v="128"/>
    <d v="2025-03-24T00:00:00"/>
    <s v="Règlement NDF"/>
    <m/>
    <e v="#N/A"/>
    <e v="#N/A"/>
    <n v="64503"/>
    <m/>
    <s v="Jérémie Blache"/>
    <s v="Q1"/>
    <e v="#REF!"/>
    <e v="#REF!"/>
    <e v="#REF!"/>
  </r>
  <r>
    <s v="425200"/>
    <x v="6"/>
    <s v="PERSONNEL - NOTE DE FRAIS"/>
    <s v="BPRI"/>
    <n v="129.87"/>
    <d v="2025-10-07T00:00:00"/>
    <s v="NDF"/>
    <m/>
    <e v="#N/A"/>
    <e v="#N/A"/>
    <n v="84390"/>
    <m/>
    <m/>
    <s v="Q4"/>
    <e v="#REF!"/>
    <e v="#REF!"/>
    <e v="#REF!"/>
  </r>
  <r>
    <s v="425200"/>
    <x v="6"/>
    <s v="PERSONNEL - NOTE DE FRAIS"/>
    <s v="BPRI"/>
    <n v="134.05000000000001"/>
    <d v="2025-10-23T00:00:00"/>
    <s v="NDF"/>
    <m/>
    <e v="#N/A"/>
    <e v="#N/A"/>
    <n v="87358"/>
    <m/>
    <m/>
    <s v="Q4"/>
    <e v="#REF!"/>
    <e v="#REF!"/>
    <e v="#REF!"/>
  </r>
  <r>
    <s v="425200"/>
    <x v="6"/>
    <s v="PERSONNEL - NOTE DE FRAIS"/>
    <s v="BPRI"/>
    <n v="137.47"/>
    <d v="2025-10-07T00:00:00"/>
    <s v="NDF"/>
    <m/>
    <e v="#N/A"/>
    <e v="#N/A"/>
    <n v="84375"/>
    <m/>
    <m/>
    <s v="Q4"/>
    <e v="#REF!"/>
    <e v="#REF!"/>
    <e v="#REF!"/>
  </r>
  <r>
    <s v="425200"/>
    <x v="6"/>
    <s v="PERSONNEL - NOTE DE FRAIS"/>
    <s v="BPRI"/>
    <n v="143.18"/>
    <d v="2025-10-07T00:00:00"/>
    <s v="NDF"/>
    <m/>
    <e v="#N/A"/>
    <e v="#N/A"/>
    <n v="84387"/>
    <m/>
    <m/>
    <s v="Q4"/>
    <e v="#REF!"/>
    <e v="#REF!"/>
    <e v="#REF!"/>
  </r>
  <r>
    <s v="425200"/>
    <x v="6"/>
    <s v="PERSONNEL - NOTE DE FRAIS"/>
    <s v="BPRI"/>
    <n v="143.83000000000001"/>
    <d v="2025-04-14T00:00:00"/>
    <s v="Règlement NDF"/>
    <m/>
    <e v="#N/A"/>
    <e v="#N/A"/>
    <n v="67594"/>
    <s v="25000108"/>
    <s v="Mylène Menanteau"/>
    <s v="Q2"/>
    <e v="#REF!"/>
    <e v="#REF!"/>
    <e v="#REF!"/>
  </r>
  <r>
    <s v="425200"/>
    <x v="6"/>
    <s v="PERSONNEL - NOTE DE FRAIS"/>
    <s v="BPRI"/>
    <n v="145.03"/>
    <d v="2025-09-16T00:00:00"/>
    <s v="NDF"/>
    <m/>
    <e v="#N/A"/>
    <e v="#N/A"/>
    <n v="82419"/>
    <m/>
    <m/>
    <s v="Q3"/>
    <e v="#REF!"/>
    <e v="#REF!"/>
    <e v="#REF!"/>
  </r>
  <r>
    <s v="425200"/>
    <x v="6"/>
    <s v="PERSONNEL - NOTE DE FRAIS"/>
    <s v="BPRI"/>
    <n v="150.04"/>
    <d v="2025-10-07T00:00:00"/>
    <s v="NDF"/>
    <m/>
    <e v="#N/A"/>
    <e v="#N/A"/>
    <n v="84381"/>
    <m/>
    <m/>
    <s v="Q4"/>
    <e v="#REF!"/>
    <e v="#REF!"/>
    <e v="#REF!"/>
  </r>
  <r>
    <s v="425200"/>
    <x v="6"/>
    <s v="PERSONNEL - NOTE DE FRAIS"/>
    <s v="BPRI"/>
    <n v="152.02000000000001"/>
    <d v="2025-10-23T00:00:00"/>
    <s v="NDF"/>
    <m/>
    <e v="#N/A"/>
    <e v="#N/A"/>
    <n v="87361"/>
    <m/>
    <m/>
    <s v="Q4"/>
    <e v="#REF!"/>
    <e v="#REF!"/>
    <e v="#REF!"/>
  </r>
  <r>
    <s v="425200"/>
    <x v="6"/>
    <s v="PERSONNEL - NOTE DE FRAIS"/>
    <s v="BPRI"/>
    <n v="156.51"/>
    <d v="2025-04-14T00:00:00"/>
    <s v="Règlement NDF"/>
    <m/>
    <e v="#N/A"/>
    <e v="#N/A"/>
    <n v="67597"/>
    <s v="25000109"/>
    <s v="Mylène Menanteau"/>
    <s v="Q2"/>
    <e v="#REF!"/>
    <e v="#REF!"/>
    <e v="#REF!"/>
  </r>
  <r>
    <s v="425200"/>
    <x v="6"/>
    <s v="PERSONNEL - NOTE DE FRAIS"/>
    <s v="BPRI"/>
    <n v="162.19"/>
    <d v="2025-12-23T00:00:00"/>
    <s v="NDF 25000304"/>
    <m/>
    <e v="#N/A"/>
    <e v="#N/A"/>
    <n v="93541"/>
    <m/>
    <m/>
    <s v="Q4"/>
    <e v="#REF!"/>
    <e v="#REF!"/>
    <e v="#REF!"/>
  </r>
  <r>
    <s v="425200"/>
    <x v="6"/>
    <s v="PERSONNEL - NOTE DE FRAIS"/>
    <s v="BPRI"/>
    <n v="163.69999999999999"/>
    <d v="2025-03-10T00:00:00"/>
    <s v="Virement Note de Frais"/>
    <m/>
    <e v="#N/A"/>
    <e v="#N/A"/>
    <n v="60065"/>
    <m/>
    <s v="Lucie Crépin"/>
    <s v="Q1"/>
    <e v="#REF!"/>
    <e v="#REF!"/>
    <e v="#REF!"/>
  </r>
  <r>
    <s v="425200"/>
    <x v="6"/>
    <s v="PERSONNEL - NOTE DE FRAIS"/>
    <s v="BPRI"/>
    <n v="164.2"/>
    <d v="2025-04-07T00:00:00"/>
    <s v="Règlement NDF"/>
    <m/>
    <e v="#N/A"/>
    <e v="#N/A"/>
    <n v="66622"/>
    <m/>
    <m/>
    <s v="Q2"/>
    <e v="#REF!"/>
    <e v="#REF!"/>
    <e v="#REF!"/>
  </r>
  <r>
    <s v="425200"/>
    <x v="6"/>
    <s v="PERSONNEL - NOTE DE FRAIS"/>
    <s v="BPRI"/>
    <n v="165.4"/>
    <d v="2025-12-23T00:00:00"/>
    <s v="NDF 25000316"/>
    <m/>
    <e v="#N/A"/>
    <e v="#N/A"/>
    <n v="93532"/>
    <m/>
    <m/>
    <s v="Q4"/>
    <e v="#REF!"/>
    <e v="#REF!"/>
    <e v="#REF!"/>
  </r>
  <r>
    <s v="425200"/>
    <x v="6"/>
    <s v="PERSONNEL - NOTE DE FRAIS"/>
    <s v="BPRI"/>
    <n v="166.82"/>
    <d v="2025-02-03T00:00:00"/>
    <s v="Règlement NDF"/>
    <m/>
    <e v="#N/A"/>
    <e v="#N/A"/>
    <n v="21170"/>
    <s v="1935302"/>
    <s v="Loic masseboeuf"/>
    <s v="Q1"/>
    <e v="#REF!"/>
    <e v="#REF!"/>
    <e v="#REF!"/>
  </r>
  <r>
    <s v="425200"/>
    <x v="6"/>
    <s v="PERSONNEL - NOTE DE FRAIS"/>
    <s v="BPRI"/>
    <n v="173.99"/>
    <d v="2025-05-13T00:00:00"/>
    <s v="Règlement NDF"/>
    <m/>
    <e v="#N/A"/>
    <e v="#N/A"/>
    <n v="71993"/>
    <m/>
    <s v="Emilie Amillastré"/>
    <s v="Q2"/>
    <e v="#REF!"/>
    <e v="#REF!"/>
    <e v="#REF!"/>
  </r>
  <r>
    <s v="425200"/>
    <x v="6"/>
    <s v="PERSONNEL - NOTE DE FRAIS"/>
    <s v="BPRI"/>
    <n v="174"/>
    <d v="2025-03-04T00:00:00"/>
    <s v="Remboursement NDF"/>
    <m/>
    <e v="#N/A"/>
    <e v="#N/A"/>
    <n v="58886"/>
    <m/>
    <s v="Thibault Dejardin"/>
    <s v="Q1"/>
    <e v="#REF!"/>
    <e v="#REF!"/>
    <e v="#REF!"/>
  </r>
  <r>
    <s v="425200"/>
    <x v="6"/>
    <s v="PERSONNEL - NOTE DE FRAIS"/>
    <s v="BPRI"/>
    <n v="174.5"/>
    <d v="2025-12-23T00:00:00"/>
    <s v="NDF 25000327"/>
    <m/>
    <e v="#N/A"/>
    <e v="#N/A"/>
    <n v="93531"/>
    <m/>
    <m/>
    <s v="Q4"/>
    <e v="#REF!"/>
    <e v="#REF!"/>
    <e v="#REF!"/>
  </r>
  <r>
    <s v="425200"/>
    <x v="6"/>
    <s v="PERSONNEL - NOTE DE FRAIS"/>
    <s v="BPRI"/>
    <n v="175"/>
    <d v="2025-10-23T00:00:00"/>
    <s v="NDF"/>
    <m/>
    <e v="#N/A"/>
    <e v="#N/A"/>
    <n v="87351"/>
    <m/>
    <m/>
    <s v="Q4"/>
    <e v="#REF!"/>
    <e v="#REF!"/>
    <e v="#REF!"/>
  </r>
  <r>
    <s v="425200"/>
    <x v="6"/>
    <s v="PERSONNEL - NOTE DE FRAIS"/>
    <s v="BPRI"/>
    <n v="175.18"/>
    <d v="2025-10-23T00:00:00"/>
    <s v="NDF"/>
    <m/>
    <e v="#N/A"/>
    <e v="#N/A"/>
    <n v="87348"/>
    <m/>
    <m/>
    <s v="Q4"/>
    <e v="#REF!"/>
    <e v="#REF!"/>
    <e v="#REF!"/>
  </r>
  <r>
    <s v="425200"/>
    <x v="6"/>
    <s v="PERSONNEL - NOTE DE FRAIS"/>
    <s v="BPRI"/>
    <n v="180"/>
    <d v="2025-04-07T00:00:00"/>
    <s v="Règlement NDF"/>
    <m/>
    <e v="#N/A"/>
    <e v="#N/A"/>
    <n v="66621"/>
    <m/>
    <m/>
    <s v="Q2"/>
    <e v="#REF!"/>
    <e v="#REF!"/>
    <e v="#REF!"/>
  </r>
  <r>
    <s v="425200"/>
    <x v="6"/>
    <s v="PERSONNEL - NOTE DE FRAIS"/>
    <s v="BPRI"/>
    <n v="185.81"/>
    <d v="2025-12-23T00:00:00"/>
    <s v="NDF 25000307"/>
    <m/>
    <e v="#N/A"/>
    <e v="#N/A"/>
    <n v="93547"/>
    <m/>
    <m/>
    <s v="Q4"/>
    <e v="#REF!"/>
    <e v="#REF!"/>
    <e v="#REF!"/>
  </r>
  <r>
    <s v="425200"/>
    <x v="6"/>
    <s v="PERSONNEL - NOTE DE FRAIS"/>
    <s v="BPRI"/>
    <n v="187.26"/>
    <d v="2025-02-03T00:00:00"/>
    <s v="Règlement NDF"/>
    <m/>
    <e v="#N/A"/>
    <e v="#N/A"/>
    <n v="21172"/>
    <s v="1935429"/>
    <s v="Loic masseboeuf"/>
    <s v="Q1"/>
    <e v="#REF!"/>
    <e v="#REF!"/>
    <e v="#REF!"/>
  </r>
  <r>
    <s v="425200"/>
    <x v="6"/>
    <s v="PERSONNEL - NOTE DE FRAIS"/>
    <s v="BPRI"/>
    <n v="187.86"/>
    <d v="2025-11-24T00:00:00"/>
    <s v="25000293"/>
    <m/>
    <e v="#N/A"/>
    <e v="#N/A"/>
    <n v="90639"/>
    <m/>
    <m/>
    <s v="Q4"/>
    <e v="#REF!"/>
    <e v="#REF!"/>
    <e v="#REF!"/>
  </r>
  <r>
    <s v="425200"/>
    <x v="6"/>
    <s v="PERSONNEL - NOTE DE FRAIS"/>
    <s v="BPRI"/>
    <n v="191.8"/>
    <d v="2025-06-13T00:00:00"/>
    <s v="Rbt Note de frais"/>
    <m/>
    <e v="#N/A"/>
    <e v="#N/A"/>
    <n v="76005"/>
    <m/>
    <m/>
    <s v="Q2"/>
    <e v="#REF!"/>
    <e v="#REF!"/>
    <e v="#REF!"/>
  </r>
  <r>
    <s v="425200"/>
    <x v="6"/>
    <s v="PERSONNEL - NOTE DE FRAIS"/>
    <s v="BPRI"/>
    <n v="196"/>
    <d v="2025-04-25T00:00:00"/>
    <s v="Règlement NDF"/>
    <m/>
    <e v="#N/A"/>
    <e v="#N/A"/>
    <n v="70236"/>
    <m/>
    <s v="Eugénie Terrangle"/>
    <s v="Q2"/>
    <e v="#REF!"/>
    <e v="#REF!"/>
    <e v="#REF!"/>
  </r>
  <r>
    <s v="425200"/>
    <x v="6"/>
    <s v="PERSONNEL - NOTE DE FRAIS"/>
    <s v="BPRI"/>
    <n v="200"/>
    <d v="2025-01-13T00:00:00"/>
    <s v="EVI M JEREMIE BLACHE"/>
    <m/>
    <e v="#N/A"/>
    <e v="#N/A"/>
    <n v="20958"/>
    <s v="1105717"/>
    <s v="Jérémie Blache"/>
    <s v="Q1"/>
    <e v="#REF!"/>
    <e v="#REF!"/>
    <e v="#REF!"/>
  </r>
  <r>
    <s v="425200"/>
    <x v="6"/>
    <s v="PERSONNEL - NOTE DE FRAIS"/>
    <s v="BPRI"/>
    <n v="200"/>
    <d v="2025-02-11T00:00:00"/>
    <s v="JERBLA"/>
    <m/>
    <e v="#N/A"/>
    <e v="#N/A"/>
    <n v="21274"/>
    <s v="2261106"/>
    <s v="Jérémie Blache"/>
    <s v="Q1"/>
    <e v="#REF!"/>
    <e v="#REF!"/>
    <e v="#REF!"/>
  </r>
  <r>
    <s v="425200"/>
    <x v="6"/>
    <s v="PERSONNEL - NOTE DE FRAIS"/>
    <s v="BPRI"/>
    <n v="200"/>
    <d v="2025-04-29T00:00:00"/>
    <s v="Règlement NDF"/>
    <m/>
    <e v="#N/A"/>
    <e v="#N/A"/>
    <n v="70503"/>
    <m/>
    <s v="Jérémie Blache"/>
    <s v="Q2"/>
    <e v="#REF!"/>
    <e v="#REF!"/>
    <e v="#REF!"/>
  </r>
  <r>
    <s v="425200"/>
    <x v="6"/>
    <s v="PERSONNEL - NOTE DE FRAIS"/>
    <s v="BPRI"/>
    <n v="200"/>
    <d v="2025-05-13T00:00:00"/>
    <s v="Règlement NDF"/>
    <m/>
    <e v="#N/A"/>
    <e v="#N/A"/>
    <n v="71984"/>
    <m/>
    <s v="Jérémie Blache"/>
    <s v="Q2"/>
    <e v="#REF!"/>
    <e v="#REF!"/>
    <e v="#REF!"/>
  </r>
  <r>
    <s v="425200"/>
    <x v="6"/>
    <s v="PERSONNEL - NOTE DE FRAIS"/>
    <s v="BPRI"/>
    <n v="201.29"/>
    <d v="2025-06-27T00:00:00"/>
    <s v="NDF"/>
    <m/>
    <e v="#N/A"/>
    <e v="#N/A"/>
    <n v="76310"/>
    <m/>
    <m/>
    <s v="Q2"/>
    <e v="#REF!"/>
    <e v="#REF!"/>
    <e v="#REF!"/>
  </r>
  <r>
    <s v="425200"/>
    <x v="6"/>
    <s v="PERSONNEL - NOTE DE FRAIS"/>
    <s v="BPRI"/>
    <n v="203.6"/>
    <d v="2025-09-16T00:00:00"/>
    <s v="NDF"/>
    <m/>
    <e v="#N/A"/>
    <e v="#N/A"/>
    <n v="82430"/>
    <m/>
    <m/>
    <s v="Q3"/>
    <e v="#REF!"/>
    <e v="#REF!"/>
    <e v="#REF!"/>
  </r>
  <r>
    <s v="425200"/>
    <x v="6"/>
    <s v="PERSONNEL - NOTE DE FRAIS"/>
    <s v="BPRI"/>
    <n v="204"/>
    <d v="2025-02-18T00:00:00"/>
    <s v="Règlement NDF"/>
    <m/>
    <e v="#N/A"/>
    <e v="#N/A"/>
    <n v="21318"/>
    <s v="2530196"/>
    <s v="Maud Sanchez"/>
    <s v="Q1"/>
    <e v="#REF!"/>
    <e v="#REF!"/>
    <e v="#REF!"/>
  </r>
  <r>
    <s v="425200"/>
    <x v="6"/>
    <s v="PERSONNEL - NOTE DE FRAIS"/>
    <s v="BPRI"/>
    <n v="204.45"/>
    <d v="2025-09-16T00:00:00"/>
    <s v="NDF"/>
    <m/>
    <e v="#N/A"/>
    <e v="#N/A"/>
    <n v="82420"/>
    <m/>
    <m/>
    <s v="Q3"/>
    <e v="#REF!"/>
    <e v="#REF!"/>
    <e v="#REF!"/>
  </r>
  <r>
    <s v="425200"/>
    <x v="6"/>
    <s v="PERSONNEL - NOTE DE FRAIS"/>
    <s v="BPRI"/>
    <n v="211.45"/>
    <d v="2025-04-07T00:00:00"/>
    <s v="Règlement NDF"/>
    <m/>
    <e v="#N/A"/>
    <e v="#N/A"/>
    <n v="66620"/>
    <m/>
    <m/>
    <s v="Q2"/>
    <e v="#REF!"/>
    <e v="#REF!"/>
    <e v="#REF!"/>
  </r>
  <r>
    <s v="425200"/>
    <x v="6"/>
    <s v="PERSONNEL - NOTE DE FRAIS"/>
    <s v="BPRI"/>
    <n v="214.88"/>
    <d v="2025-10-07T00:00:00"/>
    <s v="NDF"/>
    <m/>
    <e v="#N/A"/>
    <e v="#N/A"/>
    <n v="84396"/>
    <m/>
    <m/>
    <s v="Q4"/>
    <e v="#REF!"/>
    <e v="#REF!"/>
    <e v="#REF!"/>
  </r>
  <r>
    <s v="425200"/>
    <x v="6"/>
    <s v="PERSONNEL - NOTE DE FRAIS"/>
    <s v="BPRI"/>
    <n v="215"/>
    <d v="2025-08-21T00:00:00"/>
    <s v="NDF"/>
    <m/>
    <e v="#N/A"/>
    <e v="#N/A"/>
    <n v="81360"/>
    <m/>
    <m/>
    <s v="Q3"/>
    <e v="#REF!"/>
    <e v="#REF!"/>
    <e v="#REF!"/>
  </r>
  <r>
    <s v="425200"/>
    <x v="6"/>
    <s v="PERSONNEL - NOTE DE FRAIS"/>
    <s v="BPRI"/>
    <n v="215.29"/>
    <d v="2025-12-23T00:00:00"/>
    <s v="NDF 25000306"/>
    <m/>
    <e v="#N/A"/>
    <e v="#N/A"/>
    <n v="93530"/>
    <m/>
    <m/>
    <s v="Q4"/>
    <e v="#REF!"/>
    <e v="#REF!"/>
    <e v="#REF!"/>
  </r>
  <r>
    <s v="425200"/>
    <x v="6"/>
    <s v="PERSONNEL - NOTE DE FRAIS"/>
    <s v="BPRI"/>
    <n v="218.75"/>
    <d v="2025-11-24T00:00:00"/>
    <s v="25000199"/>
    <m/>
    <e v="#N/A"/>
    <e v="#N/A"/>
    <n v="90638"/>
    <m/>
    <m/>
    <s v="Q4"/>
    <e v="#REF!"/>
    <e v="#REF!"/>
    <e v="#REF!"/>
  </r>
  <r>
    <s v="425200"/>
    <x v="6"/>
    <s v="PERSONNEL - NOTE DE FRAIS"/>
    <s v="BPRI"/>
    <n v="224.1"/>
    <d v="2025-04-07T00:00:00"/>
    <s v="Règlement NDF"/>
    <m/>
    <e v="#N/A"/>
    <e v="#N/A"/>
    <n v="66619"/>
    <m/>
    <m/>
    <s v="Q2"/>
    <e v="#REF!"/>
    <e v="#REF!"/>
    <e v="#REF!"/>
  </r>
  <r>
    <s v="425200"/>
    <x v="6"/>
    <s v="PERSONNEL - NOTE DE FRAIS"/>
    <s v="BPRI"/>
    <n v="229.55"/>
    <d v="2025-02-26T00:00:00"/>
    <s v="ANNGOU"/>
    <m/>
    <e v="#N/A"/>
    <e v="#N/A"/>
    <n v="21440"/>
    <s v="2808420"/>
    <s v="Anne-Sophie Goutierre"/>
    <s v="Q1"/>
    <e v="#REF!"/>
    <e v="#REF!"/>
    <e v="#REF!"/>
  </r>
  <r>
    <s v="425200"/>
    <x v="6"/>
    <s v="PERSONNEL - NOTE DE FRAIS"/>
    <s v="BPRI"/>
    <n v="230.1"/>
    <d v="2025-10-07T00:00:00"/>
    <s v="NDF"/>
    <m/>
    <e v="#N/A"/>
    <e v="#N/A"/>
    <n v="84392"/>
    <m/>
    <m/>
    <s v="Q4"/>
    <e v="#REF!"/>
    <e v="#REF!"/>
    <e v="#REF!"/>
  </r>
  <r>
    <s v="425200"/>
    <x v="6"/>
    <s v="PERSONNEL - NOTE DE FRAIS"/>
    <s v="BPRI"/>
    <n v="232.89"/>
    <d v="2025-12-23T00:00:00"/>
    <s v="NDF 25000321"/>
    <m/>
    <e v="#N/A"/>
    <e v="#N/A"/>
    <n v="93553"/>
    <m/>
    <m/>
    <s v="Q4"/>
    <e v="#REF!"/>
    <e v="#REF!"/>
    <e v="#REF!"/>
  </r>
  <r>
    <s v="425200"/>
    <x v="6"/>
    <s v="PERSONNEL - NOTE DE FRAIS"/>
    <s v="BPRI"/>
    <n v="234.64"/>
    <d v="2025-03-04T00:00:00"/>
    <s v="Règlement NDF"/>
    <m/>
    <e v="#N/A"/>
    <e v="#N/A"/>
    <n v="58874"/>
    <m/>
    <s v="Guillaume Boissonnat-Wu"/>
    <s v="Q1"/>
    <e v="#REF!"/>
    <e v="#REF!"/>
    <e v="#REF!"/>
  </r>
  <r>
    <s v="425200"/>
    <x v="6"/>
    <s v="PERSONNEL - NOTE DE FRAIS"/>
    <s v="BPRI"/>
    <n v="235.04"/>
    <d v="2025-04-30T00:00:00"/>
    <s v="Règlement NDF"/>
    <m/>
    <e v="#N/A"/>
    <e v="#N/A"/>
    <n v="70591"/>
    <m/>
    <s v="Nicolas Canu"/>
    <s v="Q2"/>
    <e v="#REF!"/>
    <e v="#REF!"/>
    <e v="#REF!"/>
  </r>
  <r>
    <s v="425200"/>
    <x v="6"/>
    <s v="PERSONNEL - NOTE DE FRAIS"/>
    <s v="BPRI"/>
    <n v="247"/>
    <d v="2025-07-18T00:00:00"/>
    <s v="NDF"/>
    <m/>
    <e v="#N/A"/>
    <e v="#N/A"/>
    <n v="78333"/>
    <m/>
    <m/>
    <s v="Q3"/>
    <e v="#REF!"/>
    <e v="#REF!"/>
    <e v="#REF!"/>
  </r>
  <r>
    <s v="425200"/>
    <x v="6"/>
    <s v="PERSONNEL - NOTE DE FRAIS"/>
    <s v="BPRI"/>
    <n v="253.22"/>
    <d v="2025-07-18T00:00:00"/>
    <s v="NDF"/>
    <m/>
    <e v="#N/A"/>
    <e v="#N/A"/>
    <n v="78330"/>
    <m/>
    <m/>
    <s v="Q3"/>
    <e v="#REF!"/>
    <e v="#REF!"/>
    <e v="#REF!"/>
  </r>
  <r>
    <s v="425200"/>
    <x v="6"/>
    <s v="PERSONNEL - NOTE DE FRAIS"/>
    <s v="BPRI"/>
    <n v="257.08999999999997"/>
    <d v="2025-02-18T00:00:00"/>
    <s v="EMIAMI"/>
    <m/>
    <e v="#N/A"/>
    <e v="#N/A"/>
    <n v="21314"/>
    <s v="2529959"/>
    <s v="Emilie Amillastré"/>
    <s v="Q1"/>
    <e v="#REF!"/>
    <e v="#REF!"/>
    <e v="#REF!"/>
  </r>
  <r>
    <s v="425200"/>
    <x v="6"/>
    <s v="PERSONNEL - NOTE DE FRAIS"/>
    <s v="BPRI"/>
    <n v="257.10000000000002"/>
    <d v="2025-05-22T00:00:00"/>
    <s v="Remboursement NDF"/>
    <m/>
    <e v="#N/A"/>
    <e v="#N/A"/>
    <n v="74061"/>
    <m/>
    <m/>
    <s v="Q2"/>
    <e v="#REF!"/>
    <e v="#REF!"/>
    <e v="#REF!"/>
  </r>
  <r>
    <s v="425200"/>
    <x v="6"/>
    <s v="PERSONNEL - NOTE DE FRAIS"/>
    <s v="BPRI"/>
    <n v="260.2"/>
    <d v="2025-03-14T00:00:00"/>
    <s v="Règlement NDF"/>
    <m/>
    <e v="#N/A"/>
    <e v="#N/A"/>
    <n v="61689"/>
    <m/>
    <s v="Benjamin Barry"/>
    <s v="Q1"/>
    <e v="#REF!"/>
    <e v="#REF!"/>
    <e v="#REF!"/>
  </r>
  <r>
    <s v="425200"/>
    <x v="6"/>
    <s v="PERSONNEL - NOTE DE FRAIS"/>
    <s v="BPRI"/>
    <n v="260.73"/>
    <d v="2025-02-11T00:00:00"/>
    <s v="AUDBAY"/>
    <m/>
    <e v="#N/A"/>
    <e v="#N/A"/>
    <n v="21264"/>
    <s v="2260263"/>
    <s v="Audrey Baylac"/>
    <s v="Q1"/>
    <e v="#REF!"/>
    <e v="#REF!"/>
    <e v="#REF!"/>
  </r>
  <r>
    <s v="425200"/>
    <x v="6"/>
    <s v="PERSONNEL - NOTE DE FRAIS"/>
    <s v="BPRI"/>
    <n v="261.79000000000002"/>
    <d v="2025-10-07T00:00:00"/>
    <s v="NDF"/>
    <m/>
    <e v="#N/A"/>
    <e v="#N/A"/>
    <n v="84385"/>
    <m/>
    <m/>
    <s v="Q4"/>
    <e v="#REF!"/>
    <e v="#REF!"/>
    <e v="#REF!"/>
  </r>
  <r>
    <s v="425200"/>
    <x v="6"/>
    <s v="PERSONNEL - NOTE DE FRAIS"/>
    <s v="BPRI"/>
    <n v="263.60000000000002"/>
    <d v="2025-11-24T00:00:00"/>
    <s v="25000294"/>
    <m/>
    <e v="#N/A"/>
    <e v="#N/A"/>
    <n v="90636"/>
    <m/>
    <m/>
    <s v="Q4"/>
    <e v="#REF!"/>
    <e v="#REF!"/>
    <e v="#REF!"/>
  </r>
  <r>
    <s v="425200"/>
    <x v="6"/>
    <s v="PERSONNEL - NOTE DE FRAIS"/>
    <s v="BPRI"/>
    <n v="266"/>
    <d v="2025-03-14T00:00:00"/>
    <s v="Règlement NDF"/>
    <m/>
    <e v="#N/A"/>
    <e v="#N/A"/>
    <n v="61686"/>
    <m/>
    <s v="Océane Chabret"/>
    <s v="Q1"/>
    <e v="#REF!"/>
    <e v="#REF!"/>
    <e v="#REF!"/>
  </r>
  <r>
    <s v="425200"/>
    <x v="6"/>
    <s v="PERSONNEL - NOTE DE FRAIS"/>
    <s v="BPRI"/>
    <n v="267.39999999999998"/>
    <d v="2025-04-14T00:00:00"/>
    <s v="Règlement NDF"/>
    <m/>
    <e v="#N/A"/>
    <e v="#N/A"/>
    <n v="67591"/>
    <s v="25000107"/>
    <s v="Anne-Sophie Goutierre"/>
    <s v="Q2"/>
    <e v="#REF!"/>
    <e v="#REF!"/>
    <e v="#REF!"/>
  </r>
  <r>
    <s v="425200"/>
    <x v="6"/>
    <s v="PERSONNEL - NOTE DE FRAIS"/>
    <s v="BPRI"/>
    <n v="271.06"/>
    <d v="2025-01-07T00:00:00"/>
    <s v="EVI COMBRET YVES"/>
    <m/>
    <e v="#N/A"/>
    <e v="#N/A"/>
    <n v="20906"/>
    <s v="857714"/>
    <s v="Yves Combret"/>
    <s v="Q1"/>
    <e v="#REF!"/>
    <e v="#REF!"/>
    <e v="#REF!"/>
  </r>
  <r>
    <s v="425200"/>
    <x v="6"/>
    <s v="PERSONNEL - NOTE DE FRAIS"/>
    <s v="BPRI"/>
    <n v="273.60000000000002"/>
    <d v="2025-05-16T00:00:00"/>
    <s v="Règlement NDF"/>
    <m/>
    <e v="#N/A"/>
    <e v="#N/A"/>
    <n v="72821"/>
    <m/>
    <s v="Thibault Dejardin"/>
    <s v="Q2"/>
    <e v="#REF!"/>
    <e v="#REF!"/>
    <e v="#REF!"/>
  </r>
  <r>
    <s v="425200"/>
    <x v="6"/>
    <s v="PERSONNEL - NOTE DE FRAIS"/>
    <s v="BPRI"/>
    <n v="273.94"/>
    <d v="2025-05-28T00:00:00"/>
    <s v="Remboursement CB ORANGE"/>
    <m/>
    <e v="#N/A"/>
    <e v="#N/A"/>
    <n v="74106"/>
    <m/>
    <s v="Bertrand Lajugie"/>
    <s v="Q2"/>
    <e v="#REF!"/>
    <e v="#REF!"/>
    <e v="#REF!"/>
  </r>
  <r>
    <s v="425200"/>
    <x v="6"/>
    <s v="PERSONNEL - NOTE DE FRAIS"/>
    <s v="BPRI"/>
    <n v="274.45999999999998"/>
    <d v="2025-06-27T00:00:00"/>
    <s v="NDF"/>
    <m/>
    <e v="#N/A"/>
    <e v="#N/A"/>
    <n v="76313"/>
    <m/>
    <m/>
    <s v="Q2"/>
    <e v="#REF!"/>
    <e v="#REF!"/>
    <e v="#REF!"/>
  </r>
  <r>
    <s v="425200"/>
    <x v="6"/>
    <s v="PERSONNEL - NOTE DE FRAIS"/>
    <s v="BPRI"/>
    <n v="274.49"/>
    <d v="2025-02-18T00:00:00"/>
    <s v="BOBFER"/>
    <m/>
    <e v="#N/A"/>
    <e v="#N/A"/>
    <n v="21316"/>
    <s v="2530087"/>
    <s v="Bob Fernandez"/>
    <s v="Q1"/>
    <e v="#REF!"/>
    <e v="#REF!"/>
    <e v="#REF!"/>
  </r>
  <r>
    <s v="425200"/>
    <x v="6"/>
    <s v="PERSONNEL - NOTE DE FRAIS"/>
    <s v="BPRI"/>
    <n v="279.42"/>
    <d v="2025-11-24T00:00:00"/>
    <s v="25000279"/>
    <m/>
    <e v="#N/A"/>
    <e v="#N/A"/>
    <n v="90637"/>
    <m/>
    <m/>
    <s v="Q4"/>
    <e v="#REF!"/>
    <e v="#REF!"/>
    <e v="#REF!"/>
  </r>
  <r>
    <s v="425200"/>
    <x v="6"/>
    <s v="PERSONNEL - NOTE DE FRAIS"/>
    <s v="BPRI"/>
    <n v="279.43"/>
    <d v="2025-12-23T00:00:00"/>
    <s v="NDF 25000309"/>
    <m/>
    <e v="#N/A"/>
    <e v="#N/A"/>
    <n v="93529"/>
    <m/>
    <m/>
    <s v="Q4"/>
    <e v="#REF!"/>
    <e v="#REF!"/>
    <e v="#REF!"/>
  </r>
  <r>
    <s v="425200"/>
    <x v="6"/>
    <s v="PERSONNEL - NOTE DE FRAIS"/>
    <s v="BPRI"/>
    <n v="282.08999999999997"/>
    <d v="2025-05-16T00:00:00"/>
    <s v="Règlement NDF"/>
    <m/>
    <e v="#N/A"/>
    <e v="#N/A"/>
    <n v="72824"/>
    <m/>
    <s v="Julie Lacondemine"/>
    <s v="Q2"/>
    <e v="#REF!"/>
    <e v="#REF!"/>
    <e v="#REF!"/>
  </r>
  <r>
    <s v="425200"/>
    <x v="6"/>
    <s v="PERSONNEL - NOTE DE FRAIS"/>
    <s v="BPRI"/>
    <n v="300"/>
    <d v="2025-06-27T00:00:00"/>
    <s v="NDF"/>
    <m/>
    <e v="#N/A"/>
    <e v="#N/A"/>
    <n v="76317"/>
    <m/>
    <m/>
    <s v="Q2"/>
    <e v="#REF!"/>
    <e v="#REF!"/>
    <e v="#REF!"/>
  </r>
  <r>
    <s v="425200"/>
    <x v="6"/>
    <s v="PERSONNEL - NOTE DE FRAIS"/>
    <s v="BPRI"/>
    <n v="313.33"/>
    <d v="2025-04-25T00:00:00"/>
    <s v="Virement NDF"/>
    <m/>
    <e v="#N/A"/>
    <e v="#N/A"/>
    <n v="70227"/>
    <m/>
    <s v="Bob Fernandez"/>
    <s v="Q2"/>
    <e v="#REF!"/>
    <e v="#REF!"/>
    <e v="#REF!"/>
  </r>
  <r>
    <s v="425200"/>
    <x v="6"/>
    <s v="PERSONNEL - NOTE DE FRAIS"/>
    <s v="BPRI"/>
    <n v="313.36"/>
    <d v="2025-10-23T00:00:00"/>
    <s v="NDF"/>
    <m/>
    <e v="#N/A"/>
    <e v="#N/A"/>
    <n v="87347"/>
    <m/>
    <m/>
    <s v="Q4"/>
    <e v="#REF!"/>
    <e v="#REF!"/>
    <e v="#REF!"/>
  </r>
  <r>
    <s v="425200"/>
    <x v="6"/>
    <s v="PERSONNEL - NOTE DE FRAIS"/>
    <s v="BPRI"/>
    <n v="318.52999999999997"/>
    <d v="2025-02-26T00:00:00"/>
    <s v="BOBFER"/>
    <m/>
    <e v="#N/A"/>
    <e v="#N/A"/>
    <n v="21432"/>
    <s v="2806613"/>
    <s v="Bob Fernandez"/>
    <s v="Q1"/>
    <e v="#REF!"/>
    <e v="#REF!"/>
    <e v="#REF!"/>
  </r>
  <r>
    <s v="425200"/>
    <x v="6"/>
    <s v="PERSONNEL - NOTE DE FRAIS"/>
    <s v="BPRI"/>
    <n v="319.2"/>
    <d v="2025-10-07T00:00:00"/>
    <s v="NDF"/>
    <m/>
    <e v="#N/A"/>
    <e v="#N/A"/>
    <n v="84399"/>
    <m/>
    <m/>
    <s v="Q4"/>
    <e v="#REF!"/>
    <e v="#REF!"/>
    <e v="#REF!"/>
  </r>
  <r>
    <s v="425200"/>
    <x v="6"/>
    <s v="PERSONNEL - NOTE DE FRAIS"/>
    <s v="BPRI"/>
    <n v="322.85000000000002"/>
    <d v="2025-10-23T00:00:00"/>
    <s v="NDF"/>
    <m/>
    <e v="#N/A"/>
    <e v="#N/A"/>
    <n v="87345"/>
    <m/>
    <m/>
    <s v="Q4"/>
    <e v="#REF!"/>
    <e v="#REF!"/>
    <e v="#REF!"/>
  </r>
  <r>
    <s v="425200"/>
    <x v="6"/>
    <s v="PERSONNEL - NOTE DE FRAIS"/>
    <s v="BPRI"/>
    <n v="330.14"/>
    <d v="2025-09-16T00:00:00"/>
    <s v="NDF"/>
    <m/>
    <e v="#N/A"/>
    <e v="#N/A"/>
    <n v="82426"/>
    <m/>
    <m/>
    <s v="Q3"/>
    <e v="#REF!"/>
    <e v="#REF!"/>
    <e v="#REF!"/>
  </r>
  <r>
    <s v="425200"/>
    <x v="6"/>
    <s v="PERSONNEL - NOTE DE FRAIS"/>
    <s v="BPRI"/>
    <n v="332.45"/>
    <d v="2025-03-14T00:00:00"/>
    <s v="Règlement NDF"/>
    <m/>
    <e v="#N/A"/>
    <e v="#N/A"/>
    <n v="61683"/>
    <m/>
    <s v="Marie-Sarah Adenis"/>
    <s v="Q1"/>
    <e v="#REF!"/>
    <e v="#REF!"/>
    <e v="#REF!"/>
  </r>
  <r>
    <s v="425200"/>
    <x v="6"/>
    <s v="PERSONNEL - NOTE DE FRAIS"/>
    <s v="BPRI"/>
    <n v="338.57"/>
    <d v="2025-11-24T00:00:00"/>
    <s v="25000295"/>
    <m/>
    <e v="#N/A"/>
    <e v="#N/A"/>
    <n v="90632"/>
    <m/>
    <m/>
    <s v="Q4"/>
    <e v="#REF!"/>
    <e v="#REF!"/>
    <e v="#REF!"/>
  </r>
  <r>
    <s v="425200"/>
    <x v="6"/>
    <s v="PERSONNEL - NOTE DE FRAIS"/>
    <s v="BPRI"/>
    <n v="349.67"/>
    <d v="2025-04-25T00:00:00"/>
    <s v="Virement NDF"/>
    <m/>
    <e v="#N/A"/>
    <e v="#N/A"/>
    <n v="70233"/>
    <m/>
    <s v="Lucie Crépin"/>
    <s v="Q2"/>
    <e v="#REF!"/>
    <e v="#REF!"/>
    <e v="#REF!"/>
  </r>
  <r>
    <s v="425200"/>
    <x v="6"/>
    <s v="PERSONNEL - NOTE DE FRAIS"/>
    <s v="BPRI"/>
    <n v="355.52"/>
    <d v="2025-10-23T00:00:00"/>
    <s v="NDF"/>
    <m/>
    <e v="#N/A"/>
    <e v="#N/A"/>
    <n v="87346"/>
    <m/>
    <m/>
    <s v="Q4"/>
    <e v="#REF!"/>
    <e v="#REF!"/>
    <e v="#REF!"/>
  </r>
  <r>
    <s v="425200"/>
    <x v="6"/>
    <s v="PERSONNEL - NOTE DE FRAIS"/>
    <s v="BPRI"/>
    <n v="365.3"/>
    <d v="2025-10-23T00:00:00"/>
    <s v="NDF"/>
    <m/>
    <e v="#N/A"/>
    <e v="#N/A"/>
    <n v="87349"/>
    <m/>
    <m/>
    <s v="Q4"/>
    <e v="#REF!"/>
    <e v="#REF!"/>
    <e v="#REF!"/>
  </r>
  <r>
    <s v="425200"/>
    <x v="6"/>
    <s v="PERSONNEL - NOTE DE FRAIS"/>
    <s v="BPRI"/>
    <n v="384.15"/>
    <d v="2025-06-27T00:00:00"/>
    <s v="NDF"/>
    <m/>
    <e v="#N/A"/>
    <e v="#N/A"/>
    <n v="76309"/>
    <m/>
    <m/>
    <s v="Q2"/>
    <e v="#REF!"/>
    <e v="#REF!"/>
    <e v="#REF!"/>
  </r>
  <r>
    <s v="425200"/>
    <x v="6"/>
    <s v="PERSONNEL - NOTE DE FRAIS"/>
    <s v="BPRI"/>
    <n v="388.14"/>
    <d v="2025-08-08T00:00:00"/>
    <s v="NDF"/>
    <m/>
    <e v="#N/A"/>
    <e v="#N/A"/>
    <n v="80773"/>
    <m/>
    <m/>
    <s v="Q3"/>
    <e v="#REF!"/>
    <e v="#REF!"/>
    <e v="#REF!"/>
  </r>
  <r>
    <s v="425200"/>
    <x v="6"/>
    <s v="PERSONNEL - NOTE DE FRAIS"/>
    <s v="BPRI"/>
    <n v="398.79"/>
    <d v="2025-06-27T00:00:00"/>
    <s v="NDF"/>
    <m/>
    <e v="#N/A"/>
    <e v="#N/A"/>
    <n v="76311"/>
    <m/>
    <m/>
    <s v="Q2"/>
    <e v="#REF!"/>
    <e v="#REF!"/>
    <e v="#REF!"/>
  </r>
  <r>
    <s v="425200"/>
    <x v="6"/>
    <s v="PERSONNEL - NOTE DE FRAIS"/>
    <s v="BPRI"/>
    <n v="406.11"/>
    <d v="2025-12-23T00:00:00"/>
    <s v="NDF 25000314"/>
    <m/>
    <e v="#N/A"/>
    <e v="#N/A"/>
    <n v="93550"/>
    <m/>
    <m/>
    <s v="Q4"/>
    <e v="#REF!"/>
    <e v="#REF!"/>
    <e v="#REF!"/>
  </r>
  <r>
    <s v="425200"/>
    <x v="6"/>
    <s v="PERSONNEL - NOTE DE FRAIS"/>
    <s v="BPRI"/>
    <n v="415.62"/>
    <d v="2025-10-07T00:00:00"/>
    <s v="NDF"/>
    <m/>
    <e v="#N/A"/>
    <e v="#N/A"/>
    <n v="84401"/>
    <m/>
    <m/>
    <s v="Q4"/>
    <e v="#REF!"/>
    <e v="#REF!"/>
    <e v="#REF!"/>
  </r>
  <r>
    <s v="425200"/>
    <x v="6"/>
    <s v="PERSONNEL - NOTE DE FRAIS"/>
    <s v="BPRI"/>
    <n v="418.01"/>
    <d v="2025-11-24T00:00:00"/>
    <s v="25000301"/>
    <m/>
    <e v="#N/A"/>
    <e v="#N/A"/>
    <n v="90643"/>
    <m/>
    <m/>
    <s v="Q4"/>
    <e v="#REF!"/>
    <e v="#REF!"/>
    <e v="#REF!"/>
  </r>
  <r>
    <s v="425200"/>
    <x v="6"/>
    <s v="PERSONNEL - NOTE DE FRAIS"/>
    <s v="BPRI"/>
    <n v="436.49"/>
    <d v="2025-12-23T00:00:00"/>
    <s v="NDF 25000322"/>
    <m/>
    <e v="#N/A"/>
    <e v="#N/A"/>
    <n v="93543"/>
    <m/>
    <m/>
    <s v="Q4"/>
    <e v="#REF!"/>
    <e v="#REF!"/>
    <e v="#REF!"/>
  </r>
  <r>
    <s v="425200"/>
    <x v="6"/>
    <s v="PERSONNEL - NOTE DE FRAIS"/>
    <s v="BPRI"/>
    <n v="437.86"/>
    <d v="2025-01-13T00:00:00"/>
    <s v="EVI BARRY BENJAMIN"/>
    <m/>
    <e v="#N/A"/>
    <e v="#N/A"/>
    <n v="20968"/>
    <s v="1106577"/>
    <s v="Benjamin Barry"/>
    <s v="Q1"/>
    <e v="#REF!"/>
    <e v="#REF!"/>
    <e v="#REF!"/>
  </r>
  <r>
    <s v="425200"/>
    <x v="6"/>
    <s v="PERSONNEL - NOTE DE FRAIS"/>
    <s v="BPRI"/>
    <n v="437.92"/>
    <d v="2025-06-27T00:00:00"/>
    <s v="NDF"/>
    <m/>
    <e v="#N/A"/>
    <e v="#N/A"/>
    <n v="76307"/>
    <m/>
    <m/>
    <s v="Q2"/>
    <e v="#REF!"/>
    <e v="#REF!"/>
    <e v="#REF!"/>
  </r>
  <r>
    <s v="425200"/>
    <x v="6"/>
    <s v="PERSONNEL - NOTE DE FRAIS"/>
    <s v="BPRI"/>
    <n v="443.2"/>
    <d v="2025-10-07T00:00:00"/>
    <s v="NDF"/>
    <m/>
    <e v="#N/A"/>
    <e v="#N/A"/>
    <n v="84404"/>
    <m/>
    <m/>
    <s v="Q4"/>
    <e v="#REF!"/>
    <e v="#REF!"/>
    <e v="#REF!"/>
  </r>
  <r>
    <s v="425200"/>
    <x v="6"/>
    <s v="PERSONNEL - NOTE DE FRAIS"/>
    <s v="BPRI"/>
    <n v="443.25"/>
    <d v="2025-01-13T00:00:00"/>
    <s v="EVI COTTET KEVIN"/>
    <m/>
    <e v="#N/A"/>
    <e v="#N/A"/>
    <n v="20960"/>
    <s v="1105910"/>
    <s v="Kevin Cottet"/>
    <s v="Q1"/>
    <e v="#REF!"/>
    <e v="#REF!"/>
    <e v="#REF!"/>
  </r>
  <r>
    <s v="425200"/>
    <x v="6"/>
    <s v="PERSONNEL - NOTE DE FRAIS"/>
    <s v="BPRI"/>
    <n v="447.88"/>
    <d v="2025-02-06T00:00:00"/>
    <s v="050225 CB    5564"/>
    <m/>
    <e v="#N/A"/>
    <e v="#N/A"/>
    <n v="21230"/>
    <s v="1QCN4DH"/>
    <s v="Pascal Simonney"/>
    <s v="Q1"/>
    <e v="#REF!"/>
    <e v="#REF!"/>
    <e v="#REF!"/>
  </r>
  <r>
    <s v="425200"/>
    <x v="6"/>
    <s v="PERSONNEL - NOTE DE FRAIS"/>
    <s v="BPRI"/>
    <n v="455.3"/>
    <d v="2025-08-21T00:00:00"/>
    <s v="NDF"/>
    <m/>
    <e v="#N/A"/>
    <e v="#N/A"/>
    <n v="81362"/>
    <m/>
    <m/>
    <s v="Q3"/>
    <e v="#REF!"/>
    <e v="#REF!"/>
    <e v="#REF!"/>
  </r>
  <r>
    <s v="425200"/>
    <x v="6"/>
    <s v="PERSONNEL - NOTE DE FRAIS"/>
    <s v="BPRI"/>
    <n v="461.83"/>
    <d v="2025-11-24T00:00:00"/>
    <s v="25000296"/>
    <m/>
    <e v="#N/A"/>
    <e v="#N/A"/>
    <n v="90628"/>
    <m/>
    <m/>
    <s v="Q4"/>
    <e v="#REF!"/>
    <e v="#REF!"/>
    <e v="#REF!"/>
  </r>
  <r>
    <s v="425200"/>
    <x v="6"/>
    <s v="PERSONNEL - NOTE DE FRAIS"/>
    <s v="BPRI"/>
    <n v="470"/>
    <d v="2025-05-13T00:00:00"/>
    <s v="Règlement NDF"/>
    <m/>
    <e v="#N/A"/>
    <e v="#N/A"/>
    <n v="71996"/>
    <m/>
    <s v="Océane Chabret"/>
    <s v="Q2"/>
    <e v="#REF!"/>
    <e v="#REF!"/>
    <e v="#REF!"/>
  </r>
  <r>
    <s v="425200"/>
    <x v="6"/>
    <s v="PERSONNEL - NOTE DE FRAIS"/>
    <s v="BPRI"/>
    <n v="473.94"/>
    <d v="2025-04-07T00:00:00"/>
    <s v="Règlement NDF"/>
    <m/>
    <e v="#N/A"/>
    <e v="#N/A"/>
    <n v="66618"/>
    <m/>
    <m/>
    <s v="Q2"/>
    <e v="#REF!"/>
    <e v="#REF!"/>
    <e v="#REF!"/>
  </r>
  <r>
    <s v="425200"/>
    <x v="6"/>
    <s v="PERSONNEL - NOTE DE FRAIS"/>
    <s v="BPRI"/>
    <n v="474.85"/>
    <d v="2025-12-23T00:00:00"/>
    <s v="NDF 25000303"/>
    <m/>
    <e v="#N/A"/>
    <e v="#N/A"/>
    <n v="93528"/>
    <m/>
    <m/>
    <s v="Q4"/>
    <e v="#REF!"/>
    <e v="#REF!"/>
    <e v="#REF!"/>
  </r>
  <r>
    <s v="425200"/>
    <x v="6"/>
    <s v="PERSONNEL - NOTE DE FRAIS"/>
    <s v="BPRI"/>
    <n v="482.71"/>
    <d v="2025-06-13T00:00:00"/>
    <s v="Rbt Note de frais"/>
    <m/>
    <e v="#N/A"/>
    <e v="#N/A"/>
    <n v="76007"/>
    <m/>
    <m/>
    <s v="Q2"/>
    <e v="#REF!"/>
    <e v="#REF!"/>
    <e v="#REF!"/>
  </r>
  <r>
    <s v="425200"/>
    <x v="6"/>
    <s v="PERSONNEL - NOTE DE FRAIS"/>
    <s v="BPRI"/>
    <n v="506.39"/>
    <d v="2025-11-24T00:00:00"/>
    <s v="25000288"/>
    <m/>
    <e v="#N/A"/>
    <e v="#N/A"/>
    <n v="90634"/>
    <m/>
    <m/>
    <s v="Q4"/>
    <e v="#REF!"/>
    <e v="#REF!"/>
    <e v="#REF!"/>
  </r>
  <r>
    <s v="425200"/>
    <x v="6"/>
    <s v="PERSONNEL - NOTE DE FRAIS"/>
    <s v="BPRI"/>
    <n v="508.38"/>
    <d v="2025-07-18T00:00:00"/>
    <s v="NDF"/>
    <m/>
    <e v="#N/A"/>
    <e v="#N/A"/>
    <n v="78326"/>
    <m/>
    <m/>
    <s v="Q3"/>
    <e v="#REF!"/>
    <e v="#REF!"/>
    <e v="#REF!"/>
  </r>
  <r>
    <s v="425200"/>
    <x v="6"/>
    <s v="PERSONNEL - NOTE DE FRAIS"/>
    <s v="BPRI"/>
    <n v="512.89"/>
    <d v="2025-03-10T00:00:00"/>
    <s v="Règlement NDF"/>
    <m/>
    <e v="#N/A"/>
    <e v="#N/A"/>
    <n v="60068"/>
    <m/>
    <s v="Nicolas Canu"/>
    <s v="Q1"/>
    <e v="#REF!"/>
    <e v="#REF!"/>
    <e v="#REF!"/>
  </r>
  <r>
    <s v="425200"/>
    <x v="6"/>
    <s v="PERSONNEL - NOTE DE FRAIS"/>
    <s v="BPRI"/>
    <n v="513.29999999999995"/>
    <d v="2025-01-13T00:00:00"/>
    <s v="EVI AMILLASTRE EMILIE"/>
    <m/>
    <e v="#N/A"/>
    <e v="#N/A"/>
    <n v="20970"/>
    <s v="1106725"/>
    <s v="Emilie Amillastré"/>
    <s v="Q1"/>
    <e v="#REF!"/>
    <e v="#REF!"/>
    <e v="#REF!"/>
  </r>
  <r>
    <s v="425200"/>
    <x v="6"/>
    <s v="PERSONNEL - NOTE DE FRAIS"/>
    <s v="BPRI"/>
    <n v="519.54999999999995"/>
    <d v="2025-01-13T00:00:00"/>
    <s v="EVI RULLIERE PAULINE"/>
    <m/>
    <e v="#N/A"/>
    <e v="#N/A"/>
    <n v="20966"/>
    <s v="1106433"/>
    <s v="Pauline Rullière"/>
    <s v="Q1"/>
    <e v="#REF!"/>
    <e v="#REF!"/>
    <e v="#REF!"/>
  </r>
  <r>
    <s v="425200"/>
    <x v="6"/>
    <s v="PERSONNEL - NOTE DE FRAIS"/>
    <s v="BPRI"/>
    <n v="521.07000000000005"/>
    <d v="2025-01-07T00:00:00"/>
    <s v="Règlement NDF"/>
    <m/>
    <e v="#N/A"/>
    <e v="#N/A"/>
    <n v="20908"/>
    <s v="858053"/>
    <s v="Marie Rézeau"/>
    <s v="Q1"/>
    <e v="#REF!"/>
    <e v="#REF!"/>
    <e v="#REF!"/>
  </r>
  <r>
    <s v="425200"/>
    <x v="6"/>
    <s v="PERSONNEL - NOTE DE FRAIS"/>
    <s v="BPRI"/>
    <n v="525.16"/>
    <d v="2025-10-07T00:00:00"/>
    <s v="NDF"/>
    <m/>
    <e v="#N/A"/>
    <e v="#N/A"/>
    <n v="84379"/>
    <m/>
    <m/>
    <s v="Q4"/>
    <e v="#REF!"/>
    <e v="#REF!"/>
    <e v="#REF!"/>
  </r>
  <r>
    <s v="425200"/>
    <x v="6"/>
    <s v="PERSONNEL - NOTE DE FRAIS"/>
    <s v="BPRI"/>
    <n v="529.91999999999996"/>
    <d v="2025-06-27T00:00:00"/>
    <s v="NDF"/>
    <m/>
    <e v="#N/A"/>
    <e v="#N/A"/>
    <n v="76318"/>
    <m/>
    <m/>
    <s v="Q2"/>
    <e v="#REF!"/>
    <e v="#REF!"/>
    <e v="#REF!"/>
  </r>
  <r>
    <s v="425200"/>
    <x v="6"/>
    <s v="PERSONNEL - NOTE DE FRAIS"/>
    <s v="BPRI"/>
    <n v="542.49"/>
    <d v="2025-03-24T00:00:00"/>
    <s v="Règlement NDF"/>
    <m/>
    <e v="#N/A"/>
    <e v="#N/A"/>
    <n v="64500"/>
    <m/>
    <s v="Océane Chabret"/>
    <s v="Q1"/>
    <e v="#REF!"/>
    <e v="#REF!"/>
    <e v="#REF!"/>
  </r>
  <r>
    <s v="425200"/>
    <x v="6"/>
    <s v="PERSONNEL - NOTE DE FRAIS"/>
    <s v="BPRI"/>
    <n v="545.98"/>
    <d v="2025-08-08T00:00:00"/>
    <s v="NDF"/>
    <m/>
    <e v="#N/A"/>
    <e v="#N/A"/>
    <n v="80777"/>
    <m/>
    <m/>
    <s v="Q3"/>
    <e v="#REF!"/>
    <e v="#REF!"/>
    <e v="#REF!"/>
  </r>
  <r>
    <s v="425200"/>
    <x v="6"/>
    <s v="PERSONNEL - NOTE DE FRAIS"/>
    <s v="BPRI"/>
    <n v="556.52"/>
    <d v="2025-11-24T00:00:00"/>
    <s v="25000297"/>
    <m/>
    <e v="#N/A"/>
    <e v="#N/A"/>
    <n v="90626"/>
    <m/>
    <m/>
    <s v="Q4"/>
    <e v="#REF!"/>
    <e v="#REF!"/>
    <e v="#REF!"/>
  </r>
  <r>
    <s v="425200"/>
    <x v="6"/>
    <s v="PERSONNEL - NOTE DE FRAIS"/>
    <s v="BPRI"/>
    <n v="564.84"/>
    <d v="2025-12-23T00:00:00"/>
    <s v="NDF 25000305"/>
    <m/>
    <e v="#N/A"/>
    <e v="#N/A"/>
    <n v="93546"/>
    <m/>
    <m/>
    <s v="Q4"/>
    <e v="#REF!"/>
    <e v="#REF!"/>
    <e v="#REF!"/>
  </r>
  <r>
    <s v="425200"/>
    <x v="6"/>
    <s v="PERSONNEL - NOTE DE FRAIS"/>
    <s v="BPRI"/>
    <n v="569.29999999999995"/>
    <d v="2025-09-16T00:00:00"/>
    <s v="NDF"/>
    <m/>
    <e v="#N/A"/>
    <e v="#N/A"/>
    <n v="82428"/>
    <m/>
    <m/>
    <s v="Q3"/>
    <e v="#REF!"/>
    <e v="#REF!"/>
    <e v="#REF!"/>
  </r>
  <r>
    <s v="425200"/>
    <x v="6"/>
    <s v="PERSONNEL - NOTE DE FRAIS"/>
    <s v="BPRI"/>
    <n v="570.53"/>
    <d v="2025-04-29T00:00:00"/>
    <s v="Règlement NDF"/>
    <m/>
    <e v="#N/A"/>
    <e v="#N/A"/>
    <n v="70500"/>
    <m/>
    <s v="Marie Rézeau"/>
    <s v="Q2"/>
    <e v="#REF!"/>
    <e v="#REF!"/>
    <e v="#REF!"/>
  </r>
  <r>
    <s v="425200"/>
    <x v="6"/>
    <s v="PERSONNEL - NOTE DE FRAIS"/>
    <s v="BPRI"/>
    <n v="575.9"/>
    <d v="2025-12-23T00:00:00"/>
    <s v="NDF 25000315"/>
    <m/>
    <e v="#N/A"/>
    <e v="#N/A"/>
    <n v="93542"/>
    <m/>
    <m/>
    <s v="Q4"/>
    <e v="#REF!"/>
    <e v="#REF!"/>
    <e v="#REF!"/>
  </r>
  <r>
    <s v="425200"/>
    <x v="6"/>
    <s v="PERSONNEL - NOTE DE FRAIS"/>
    <s v="BPRI"/>
    <n v="576.4"/>
    <d v="2025-02-05T00:00:00"/>
    <s v="ALAPIN"/>
    <m/>
    <e v="#N/A"/>
    <e v="#N/A"/>
    <n v="21182"/>
    <s v="2044475"/>
    <s v="Alain Pinchard"/>
    <s v="Q1"/>
    <e v="#REF!"/>
    <e v="#REF!"/>
    <e v="#REF!"/>
  </r>
  <r>
    <s v="425200"/>
    <x v="6"/>
    <s v="PERSONNEL - NOTE DE FRAIS"/>
    <s v="BPRI"/>
    <n v="577.20000000000005"/>
    <d v="2025-06-27T00:00:00"/>
    <s v="NDF"/>
    <m/>
    <e v="#N/A"/>
    <e v="#N/A"/>
    <n v="76312"/>
    <m/>
    <m/>
    <s v="Q2"/>
    <e v="#REF!"/>
    <e v="#REF!"/>
    <e v="#REF!"/>
  </r>
  <r>
    <s v="425200"/>
    <x v="6"/>
    <s v="PERSONNEL - NOTE DE FRAIS"/>
    <s v="BPRI"/>
    <n v="581.4"/>
    <d v="2025-03-14T00:00:00"/>
    <s v="Règlement NDF"/>
    <m/>
    <e v="#N/A"/>
    <e v="#N/A"/>
    <n v="61680"/>
    <m/>
    <s v="Kevin Cottet"/>
    <s v="Q1"/>
    <e v="#REF!"/>
    <e v="#REF!"/>
    <e v="#REF!"/>
  </r>
  <r>
    <s v="425200"/>
    <x v="6"/>
    <s v="PERSONNEL - NOTE DE FRAIS"/>
    <s v="BPRI"/>
    <n v="599.64"/>
    <d v="2025-10-07T00:00:00"/>
    <s v="NDF"/>
    <m/>
    <e v="#N/A"/>
    <e v="#N/A"/>
    <n v="84386"/>
    <m/>
    <m/>
    <s v="Q4"/>
    <e v="#REF!"/>
    <e v="#REF!"/>
    <e v="#REF!"/>
  </r>
  <r>
    <s v="425200"/>
    <x v="6"/>
    <s v="PERSONNEL - NOTE DE FRAIS"/>
    <s v="BPRI"/>
    <n v="599.85"/>
    <d v="2025-11-24T00:00:00"/>
    <s v="25000284"/>
    <m/>
    <e v="#N/A"/>
    <e v="#N/A"/>
    <n v="90635"/>
    <m/>
    <m/>
    <s v="Q4"/>
    <e v="#REF!"/>
    <e v="#REF!"/>
    <e v="#REF!"/>
  </r>
  <r>
    <s v="425200"/>
    <x v="6"/>
    <s v="PERSONNEL - NOTE DE FRAIS"/>
    <s v="BPRI"/>
    <n v="600"/>
    <d v="2025-01-13T00:00:00"/>
    <s v="EVI M JEREMIE BLACHE"/>
    <m/>
    <e v="#N/A"/>
    <e v="#N/A"/>
    <n v="20956"/>
    <s v="1105506"/>
    <s v="Jérémie Blache"/>
    <s v="Q1"/>
    <e v="#REF!"/>
    <e v="#REF!"/>
    <e v="#REF!"/>
  </r>
  <r>
    <s v="425200"/>
    <x v="6"/>
    <s v="PERSONNEL - NOTE DE FRAIS"/>
    <s v="BPRI"/>
    <n v="600"/>
    <d v="2025-02-11T00:00:00"/>
    <s v="JERBLA"/>
    <m/>
    <e v="#N/A"/>
    <e v="#N/A"/>
    <n v="21276"/>
    <s v="2261182"/>
    <s v="Jérémie Blache"/>
    <s v="Q1"/>
    <e v="#REF!"/>
    <e v="#REF!"/>
    <e v="#REF!"/>
  </r>
  <r>
    <s v="425200"/>
    <x v="6"/>
    <s v="PERSONNEL - NOTE DE FRAIS"/>
    <s v="BPRI"/>
    <n v="600"/>
    <d v="2025-03-10T00:00:00"/>
    <s v="Règlement NDF"/>
    <m/>
    <e v="#N/A"/>
    <e v="#N/A"/>
    <n v="60071"/>
    <m/>
    <s v="Jérémie Blache"/>
    <s v="Q1"/>
    <e v="#REF!"/>
    <e v="#REF!"/>
    <e v="#REF!"/>
  </r>
  <r>
    <s v="425200"/>
    <x v="6"/>
    <s v="PERSONNEL - NOTE DE FRAIS"/>
    <s v="BPRI"/>
    <n v="600"/>
    <d v="2025-06-13T00:00:00"/>
    <s v="Rbt Note de frais"/>
    <m/>
    <e v="#N/A"/>
    <e v="#N/A"/>
    <n v="76009"/>
    <m/>
    <m/>
    <s v="Q2"/>
    <e v="#REF!"/>
    <e v="#REF!"/>
    <e v="#REF!"/>
  </r>
  <r>
    <s v="425200"/>
    <x v="6"/>
    <s v="PERSONNEL - NOTE DE FRAIS"/>
    <s v="BPRI"/>
    <n v="603.70000000000005"/>
    <d v="2025-02-18T00:00:00"/>
    <s v="KEVCOT"/>
    <m/>
    <e v="#N/A"/>
    <e v="#N/A"/>
    <n v="21304"/>
    <s v="2524726"/>
    <s v="Kevin Cottet"/>
    <s v="Q1"/>
    <e v="#REF!"/>
    <e v="#REF!"/>
    <e v="#REF!"/>
  </r>
  <r>
    <s v="425200"/>
    <x v="6"/>
    <s v="PERSONNEL - NOTE DE FRAIS"/>
    <s v="BPRI"/>
    <n v="631.70000000000005"/>
    <d v="2025-08-08T00:00:00"/>
    <s v="NDF"/>
    <m/>
    <e v="#N/A"/>
    <e v="#N/A"/>
    <n v="80774"/>
    <m/>
    <m/>
    <s v="Q3"/>
    <e v="#REF!"/>
    <e v="#REF!"/>
    <e v="#REF!"/>
  </r>
  <r>
    <s v="425200"/>
    <x v="6"/>
    <s v="PERSONNEL - NOTE DE FRAIS"/>
    <s v="BPRI"/>
    <n v="634.23"/>
    <d v="2025-10-23T00:00:00"/>
    <s v="NDF"/>
    <m/>
    <e v="#N/A"/>
    <e v="#N/A"/>
    <n v="87357"/>
    <m/>
    <m/>
    <s v="Q4"/>
    <e v="#REF!"/>
    <e v="#REF!"/>
    <e v="#REF!"/>
  </r>
  <r>
    <s v="425200"/>
    <x v="6"/>
    <s v="PERSONNEL - NOTE DE FRAIS"/>
    <s v="BPRI"/>
    <n v="659.73"/>
    <d v="2025-10-07T00:00:00"/>
    <s v="NDF"/>
    <m/>
    <e v="#N/A"/>
    <e v="#N/A"/>
    <n v="84391"/>
    <m/>
    <m/>
    <s v="Q4"/>
    <e v="#REF!"/>
    <e v="#REF!"/>
    <e v="#REF!"/>
  </r>
  <r>
    <s v="425200"/>
    <x v="6"/>
    <s v="PERSONNEL - NOTE DE FRAIS"/>
    <s v="BPRI"/>
    <n v="661.11"/>
    <d v="2025-06-27T00:00:00"/>
    <s v="NDF"/>
    <m/>
    <e v="#N/A"/>
    <e v="#N/A"/>
    <n v="76308"/>
    <m/>
    <m/>
    <s v="Q2"/>
    <e v="#REF!"/>
    <e v="#REF!"/>
    <e v="#REF!"/>
  </r>
  <r>
    <s v="425200"/>
    <x v="6"/>
    <s v="PERSONNEL - NOTE DE FRAIS"/>
    <s v="BPRI"/>
    <n v="663.32"/>
    <d v="2025-02-11T00:00:00"/>
    <s v="Règlement NDF"/>
    <m/>
    <e v="#N/A"/>
    <e v="#N/A"/>
    <n v="21262"/>
    <s v="2260166"/>
    <s v="Guillaume Boissonnat-Wu"/>
    <s v="Q1"/>
    <e v="#REF!"/>
    <e v="#REF!"/>
    <e v="#REF!"/>
  </r>
  <r>
    <s v="425200"/>
    <x v="6"/>
    <s v="PERSONNEL - NOTE DE FRAIS"/>
    <s v="BPRI"/>
    <n v="674.43"/>
    <d v="2025-08-08T00:00:00"/>
    <s v="NDF"/>
    <m/>
    <e v="#N/A"/>
    <e v="#N/A"/>
    <n v="80775"/>
    <m/>
    <m/>
    <s v="Q3"/>
    <e v="#REF!"/>
    <e v="#REF!"/>
    <e v="#REF!"/>
  </r>
  <r>
    <s v="425200"/>
    <x v="6"/>
    <s v="PERSONNEL - NOTE DE FRAIS"/>
    <s v="BPRI"/>
    <n v="704.44"/>
    <d v="2025-06-13T00:00:00"/>
    <s v="Rbt Note de frais"/>
    <m/>
    <e v="#N/A"/>
    <e v="#N/A"/>
    <n v="76008"/>
    <m/>
    <m/>
    <s v="Q2"/>
    <e v="#REF!"/>
    <e v="#REF!"/>
    <e v="#REF!"/>
  </r>
  <r>
    <s v="425200"/>
    <x v="6"/>
    <s v="PERSONNEL - NOTE DE FRAIS"/>
    <s v="BPRI"/>
    <n v="715.72"/>
    <d v="2025-10-07T00:00:00"/>
    <s v="NDF"/>
    <m/>
    <e v="#N/A"/>
    <e v="#N/A"/>
    <n v="84393"/>
    <m/>
    <m/>
    <s v="Q4"/>
    <e v="#REF!"/>
    <e v="#REF!"/>
    <e v="#REF!"/>
  </r>
  <r>
    <s v="425200"/>
    <x v="6"/>
    <s v="PERSONNEL - NOTE DE FRAIS"/>
    <s v="BPRI"/>
    <n v="729.31"/>
    <d v="2025-03-10T00:00:00"/>
    <s v="Règlement NDF"/>
    <m/>
    <e v="#N/A"/>
    <e v="#N/A"/>
    <n v="60074"/>
    <m/>
    <s v="Marine Bonnaud"/>
    <s v="Q1"/>
    <e v="#REF!"/>
    <e v="#REF!"/>
    <e v="#REF!"/>
  </r>
  <r>
    <s v="425200"/>
    <x v="6"/>
    <s v="PERSONNEL - NOTE DE FRAIS"/>
    <s v="BPRI"/>
    <n v="731.15"/>
    <d v="2025-02-18T00:00:00"/>
    <s v="ALAPIN"/>
    <m/>
    <e v="#N/A"/>
    <e v="#N/A"/>
    <n v="21300"/>
    <s v="2524523"/>
    <s v="Alain Pinchard"/>
    <s v="Q1"/>
    <e v="#REF!"/>
    <e v="#REF!"/>
    <e v="#REF!"/>
  </r>
  <r>
    <s v="425200"/>
    <x v="6"/>
    <s v="PERSONNEL - NOTE DE FRAIS"/>
    <s v="BPRI"/>
    <n v="731.4"/>
    <d v="2025-10-23T00:00:00"/>
    <s v="NDF"/>
    <m/>
    <e v="#N/A"/>
    <e v="#N/A"/>
    <n v="87352"/>
    <m/>
    <m/>
    <s v="Q4"/>
    <e v="#REF!"/>
    <e v="#REF!"/>
    <e v="#REF!"/>
  </r>
  <r>
    <s v="425200"/>
    <x v="6"/>
    <s v="PERSONNEL - NOTE DE FRAIS"/>
    <s v="BPRI"/>
    <n v="753.22"/>
    <d v="2025-11-24T00:00:00"/>
    <s v="25000265"/>
    <m/>
    <e v="#N/A"/>
    <e v="#N/A"/>
    <n v="90642"/>
    <m/>
    <m/>
    <s v="Q4"/>
    <e v="#REF!"/>
    <e v="#REF!"/>
    <e v="#REF!"/>
  </r>
  <r>
    <s v="425200"/>
    <x v="6"/>
    <s v="PERSONNEL - NOTE DE FRAIS"/>
    <s v="BPRI"/>
    <n v="766.45"/>
    <d v="2025-01-20T00:00:00"/>
    <s v="EVI PINCHART ALAIN"/>
    <m/>
    <e v="#N/A"/>
    <e v="#N/A"/>
    <n v="21030"/>
    <s v="1363803"/>
    <s v="Alain Pinchard"/>
    <s v="Q1"/>
    <e v="#REF!"/>
    <e v="#REF!"/>
    <e v="#REF!"/>
  </r>
  <r>
    <s v="425200"/>
    <x v="6"/>
    <s v="PERSONNEL - NOTE DE FRAIS"/>
    <s v="BPRI"/>
    <n v="783.7"/>
    <d v="2025-03-10T00:00:00"/>
    <s v="Virement Note de Frais"/>
    <m/>
    <e v="#N/A"/>
    <e v="#N/A"/>
    <n v="60077"/>
    <m/>
    <s v="Pauline Rullière"/>
    <s v="Q1"/>
    <e v="#REF!"/>
    <e v="#REF!"/>
    <e v="#REF!"/>
  </r>
  <r>
    <s v="425200"/>
    <x v="6"/>
    <s v="PERSONNEL - NOTE DE FRAIS"/>
    <s v="BPRI"/>
    <n v="814.27"/>
    <d v="2025-10-07T00:00:00"/>
    <s v="NDF"/>
    <m/>
    <e v="#N/A"/>
    <e v="#N/A"/>
    <n v="84374"/>
    <m/>
    <m/>
    <s v="Q4"/>
    <e v="#REF!"/>
    <e v="#REF!"/>
    <e v="#REF!"/>
  </r>
  <r>
    <s v="425200"/>
    <x v="6"/>
    <s v="PERSONNEL - NOTE DE FRAIS"/>
    <s v="BPRI"/>
    <n v="817.52"/>
    <d v="2025-04-14T00:00:00"/>
    <s v="Règlement NDF"/>
    <m/>
    <e v="#N/A"/>
    <e v="#N/A"/>
    <n v="67588"/>
    <s v="25000106"/>
    <s v="Yves Combret"/>
    <s v="Q2"/>
    <e v="#REF!"/>
    <e v="#REF!"/>
    <e v="#REF!"/>
  </r>
  <r>
    <s v="425200"/>
    <x v="6"/>
    <s v="PERSONNEL - NOTE DE FRAIS"/>
    <s v="BPRI"/>
    <n v="824"/>
    <d v="2025-12-23T00:00:00"/>
    <s v="NDF 25000324"/>
    <m/>
    <e v="#N/A"/>
    <e v="#N/A"/>
    <n v="93549"/>
    <m/>
    <m/>
    <s v="Q4"/>
    <e v="#REF!"/>
    <e v="#REF!"/>
    <e v="#REF!"/>
  </r>
  <r>
    <s v="425200"/>
    <x v="6"/>
    <s v="PERSONNEL - NOTE DE FRAIS"/>
    <s v="BPRI"/>
    <n v="859.06"/>
    <d v="2025-04-04T00:00:00"/>
    <s v="Règlement NDF"/>
    <m/>
    <e v="#N/A"/>
    <e v="#N/A"/>
    <n v="66606"/>
    <m/>
    <m/>
    <s v="Q2"/>
    <e v="#REF!"/>
    <e v="#REF!"/>
    <e v="#REF!"/>
  </r>
  <r>
    <s v="425200"/>
    <x v="6"/>
    <s v="PERSONNEL - NOTE DE FRAIS"/>
    <s v="BPRI"/>
    <n v="859.74"/>
    <d v="2025-02-10T00:00:00"/>
    <s v="PIEBOL"/>
    <m/>
    <e v="#N/A"/>
    <e v="#N/A"/>
    <n v="21242"/>
    <s v="2259621"/>
    <s v="Pierre-Yves Bolle"/>
    <s v="Q1"/>
    <e v="#REF!"/>
    <e v="#REF!"/>
    <e v="#REF!"/>
  </r>
  <r>
    <s v="425200"/>
    <x v="6"/>
    <s v="PERSONNEL - NOTE DE FRAIS"/>
    <s v="BPRI"/>
    <n v="859.96"/>
    <d v="2025-04-07T00:00:00"/>
    <s v="Règlement NDF"/>
    <m/>
    <e v="#N/A"/>
    <e v="#N/A"/>
    <n v="66617"/>
    <m/>
    <m/>
    <s v="Q2"/>
    <e v="#REF!"/>
    <e v="#REF!"/>
    <e v="#REF!"/>
  </r>
  <r>
    <s v="425200"/>
    <x v="6"/>
    <s v="PERSONNEL - NOTE DE FRAIS"/>
    <s v="BPRI"/>
    <n v="865.99"/>
    <d v="2025-12-23T00:00:00"/>
    <s v="NDF 25000289 DEDUCT RBT SNCF"/>
    <m/>
    <e v="#N/A"/>
    <e v="#N/A"/>
    <n v="93548"/>
    <m/>
    <m/>
    <s v="Q4"/>
    <e v="#REF!"/>
    <e v="#REF!"/>
    <e v="#REF!"/>
  </r>
  <r>
    <s v="425200"/>
    <x v="6"/>
    <s v="PERSONNEL - NOTE DE FRAIS"/>
    <s v="BPRI"/>
    <n v="875.02"/>
    <d v="2025-12-23T00:00:00"/>
    <s v="NDF 25000332"/>
    <m/>
    <e v="#N/A"/>
    <e v="#N/A"/>
    <n v="93552"/>
    <m/>
    <m/>
    <s v="Q4"/>
    <e v="#REF!"/>
    <e v="#REF!"/>
    <e v="#REF!"/>
  </r>
  <r>
    <s v="425200"/>
    <x v="6"/>
    <s v="PERSONNEL - NOTE DE FRAIS"/>
    <s v="BPRI"/>
    <n v="885.32"/>
    <d v="2025-10-07T00:00:00"/>
    <s v="NDF"/>
    <m/>
    <e v="#N/A"/>
    <e v="#N/A"/>
    <n v="84376"/>
    <m/>
    <m/>
    <s v="Q4"/>
    <e v="#REF!"/>
    <e v="#REF!"/>
    <e v="#REF!"/>
  </r>
  <r>
    <s v="425200"/>
    <x v="6"/>
    <s v="PERSONNEL - NOTE DE FRAIS"/>
    <s v="BPRI"/>
    <n v="1001.32"/>
    <d v="2025-05-13T00:00:00"/>
    <s v="Règlement NDF"/>
    <m/>
    <e v="#N/A"/>
    <e v="#N/A"/>
    <n v="71999"/>
    <m/>
    <s v="Pauline Rullière"/>
    <s v="Q2"/>
    <e v="#REF!"/>
    <e v="#REF!"/>
    <e v="#REF!"/>
  </r>
  <r>
    <s v="425200"/>
    <x v="6"/>
    <s v="PERSONNEL - NOTE DE FRAIS"/>
    <s v="BPRI"/>
    <n v="1046.69"/>
    <d v="2025-03-14T00:00:00"/>
    <s v="Règlement NDF"/>
    <m/>
    <e v="#N/A"/>
    <e v="#N/A"/>
    <n v="61677"/>
    <m/>
    <s v="Maud Sanchez"/>
    <s v="Q1"/>
    <e v="#REF!"/>
    <e v="#REF!"/>
    <e v="#REF!"/>
  </r>
  <r>
    <s v="425200"/>
    <x v="6"/>
    <s v="PERSONNEL - NOTE DE FRAIS"/>
    <s v="BPRI"/>
    <n v="1073.05"/>
    <d v="2025-03-04T00:00:00"/>
    <s v="Remboursement NDF"/>
    <m/>
    <e v="#N/A"/>
    <e v="#N/A"/>
    <n v="58883"/>
    <m/>
    <s v="Benjamin Barry"/>
    <s v="Q1"/>
    <e v="#REF!"/>
    <e v="#REF!"/>
    <e v="#REF!"/>
  </r>
  <r>
    <s v="425200"/>
    <x v="6"/>
    <s v="PERSONNEL - NOTE DE FRAIS"/>
    <s v="BPRI"/>
    <n v="1136.6300000000001"/>
    <d v="2025-02-18T00:00:00"/>
    <s v="PAURUL"/>
    <m/>
    <e v="#N/A"/>
    <e v="#N/A"/>
    <n v="21302"/>
    <s v="2524625"/>
    <s v="Pauline Rullière"/>
    <s v="Q1"/>
    <e v="#REF!"/>
    <e v="#REF!"/>
    <e v="#REF!"/>
  </r>
  <r>
    <s v="425200"/>
    <x v="6"/>
    <s v="PERSONNEL - NOTE DE FRAIS"/>
    <s v="BPRI"/>
    <n v="1249.03"/>
    <d v="2025-03-24T00:00:00"/>
    <s v="Règlement NDF"/>
    <m/>
    <e v="#N/A"/>
    <e v="#N/A"/>
    <n v="64506"/>
    <m/>
    <s v="Marie Rézeau"/>
    <s v="Q1"/>
    <e v="#REF!"/>
    <e v="#REF!"/>
    <e v="#REF!"/>
  </r>
  <r>
    <s v="425200"/>
    <x v="6"/>
    <s v="PERSONNEL - NOTE DE FRAIS"/>
    <s v="BPRI"/>
    <n v="1304.95"/>
    <d v="2025-10-07T00:00:00"/>
    <s v="NDF"/>
    <m/>
    <e v="#N/A"/>
    <e v="#N/A"/>
    <n v="84402"/>
    <m/>
    <m/>
    <s v="Q4"/>
    <e v="#REF!"/>
    <e v="#REF!"/>
    <e v="#REF!"/>
  </r>
  <r>
    <s v="425200"/>
    <x v="6"/>
    <s v="PERSONNEL - NOTE DE FRAIS"/>
    <s v="BPRI"/>
    <n v="1307.31"/>
    <d v="2025-04-30T00:00:00"/>
    <s v="Règlement NDF"/>
    <m/>
    <e v="#N/A"/>
    <e v="#N/A"/>
    <n v="70588"/>
    <m/>
    <s v="Kevin Cottet"/>
    <s v="Q2"/>
    <e v="#REF!"/>
    <e v="#REF!"/>
    <e v="#REF!"/>
  </r>
  <r>
    <s v="425200"/>
    <x v="6"/>
    <s v="PERSONNEL - NOTE DE FRAIS"/>
    <s v="BPRI"/>
    <n v="1312"/>
    <d v="2025-03-04T00:00:00"/>
    <s v="Remboursement NDF"/>
    <m/>
    <e v="#N/A"/>
    <e v="#N/A"/>
    <n v="58862"/>
    <m/>
    <s v="Lucie Crépin"/>
    <s v="Q1"/>
    <e v="#REF!"/>
    <e v="#REF!"/>
    <e v="#REF!"/>
  </r>
  <r>
    <s v="425200"/>
    <x v="6"/>
    <s v="PERSONNEL - NOTE DE FRAIS"/>
    <s v="BPRI"/>
    <n v="1442.42"/>
    <d v="2025-09-16T00:00:00"/>
    <s v="NDF"/>
    <m/>
    <e v="#N/A"/>
    <e v="#N/A"/>
    <n v="82424"/>
    <m/>
    <m/>
    <s v="Q3"/>
    <e v="#REF!"/>
    <e v="#REF!"/>
    <e v="#REF!"/>
  </r>
  <r>
    <s v="425200"/>
    <x v="6"/>
    <s v="PERSONNEL - NOTE DE FRAIS"/>
    <s v="BPRI"/>
    <n v="1462.9"/>
    <d v="2025-08-08T00:00:00"/>
    <s v="NDF"/>
    <m/>
    <e v="#N/A"/>
    <e v="#N/A"/>
    <n v="80776"/>
    <m/>
    <m/>
    <s v="Q3"/>
    <e v="#REF!"/>
    <e v="#REF!"/>
    <e v="#REF!"/>
  </r>
  <r>
    <s v="425200"/>
    <x v="6"/>
    <s v="PERSONNEL - NOTE DE FRAIS"/>
    <s v="BPRI"/>
    <n v="1471.57"/>
    <d v="2025-04-29T00:00:00"/>
    <s v="Règlement NDF"/>
    <m/>
    <e v="#N/A"/>
    <e v="#N/A"/>
    <n v="70497"/>
    <m/>
    <s v="Pierre-Yves Bolle"/>
    <s v="Q2"/>
    <e v="#REF!"/>
    <e v="#REF!"/>
    <e v="#REF!"/>
  </r>
  <r>
    <s v="425200"/>
    <x v="6"/>
    <s v="PERSONNEL - NOTE DE FRAIS"/>
    <s v="BPRI"/>
    <n v="1524.49"/>
    <d v="2025-08-08T00:00:00"/>
    <s v="NDF"/>
    <m/>
    <e v="#N/A"/>
    <e v="#N/A"/>
    <n v="80771"/>
    <m/>
    <m/>
    <s v="Q3"/>
    <e v="#REF!"/>
    <e v="#REF!"/>
    <e v="#REF!"/>
  </r>
  <r>
    <s v="425200"/>
    <x v="6"/>
    <s v="PERSONNEL - NOTE DE FRAIS"/>
    <s v="BPRI"/>
    <n v="1538.59"/>
    <d v="2025-07-18T00:00:00"/>
    <s v="NDF"/>
    <m/>
    <e v="#N/A"/>
    <e v="#N/A"/>
    <n v="78334"/>
    <m/>
    <m/>
    <s v="Q3"/>
    <e v="#REF!"/>
    <e v="#REF!"/>
    <e v="#REF!"/>
  </r>
  <r>
    <s v="425200"/>
    <x v="6"/>
    <s v="PERSONNEL - NOTE DE FRAIS"/>
    <s v="BPRI"/>
    <n v="1544"/>
    <d v="2025-09-16T00:00:00"/>
    <s v="NDF"/>
    <m/>
    <e v="#N/A"/>
    <e v="#N/A"/>
    <n v="82417"/>
    <m/>
    <m/>
    <s v="Q3"/>
    <e v="#REF!"/>
    <e v="#REF!"/>
    <e v="#REF!"/>
  </r>
  <r>
    <s v="425200"/>
    <x v="6"/>
    <s v="PERSONNEL - NOTE DE FRAIS"/>
    <s v="BPRI"/>
    <n v="1561.05"/>
    <d v="2025-09-16T00:00:00"/>
    <s v="NDF"/>
    <m/>
    <e v="#N/A"/>
    <e v="#N/A"/>
    <n v="82429"/>
    <m/>
    <m/>
    <s v="Q3"/>
    <e v="#REF!"/>
    <e v="#REF!"/>
    <e v="#REF!"/>
  </r>
  <r>
    <s v="425200"/>
    <x v="6"/>
    <s v="PERSONNEL - NOTE DE FRAIS"/>
    <s v="BPRI"/>
    <n v="1815.9"/>
    <d v="2025-04-04T00:00:00"/>
    <s v="Règlement NDF"/>
    <m/>
    <e v="#N/A"/>
    <e v="#N/A"/>
    <n v="66605"/>
    <m/>
    <m/>
    <s v="Q2"/>
    <e v="#REF!"/>
    <e v="#REF!"/>
    <e v="#REF!"/>
  </r>
  <r>
    <s v="425200"/>
    <x v="6"/>
    <s v="PERSONNEL - NOTE DE FRAIS"/>
    <s v="BPRI"/>
    <n v="1827.26"/>
    <d v="2025-06-27T00:00:00"/>
    <s v="NDF"/>
    <m/>
    <e v="#N/A"/>
    <e v="#N/A"/>
    <n v="76306"/>
    <m/>
    <m/>
    <s v="Q2"/>
    <e v="#REF!"/>
    <e v="#REF!"/>
    <e v="#REF!"/>
  </r>
  <r>
    <s v="425200"/>
    <x v="6"/>
    <s v="PERSONNEL - NOTE DE FRAIS"/>
    <s v="BPRI"/>
    <n v="4104.26"/>
    <d v="2025-06-02T00:00:00"/>
    <s v="Solde de tout Compte "/>
    <m/>
    <e v="#N/A"/>
    <e v="#N/A"/>
    <n v="75303"/>
    <m/>
    <s v="Thibault Dejardin"/>
    <s v="Q2"/>
    <e v="#REF!"/>
    <e v="#REF!"/>
    <e v="#REF!"/>
  </r>
  <r>
    <s v="425200"/>
    <x v="6"/>
    <s v="PERSONNEL - NOTE DE FRAIS"/>
    <s v="NDF"/>
    <n v="-1827.26"/>
    <d v="2025-06-06T00:00:00"/>
    <s v="NDF"/>
    <m/>
    <e v="#N/A"/>
    <e v="#N/A"/>
    <n v="76797"/>
    <s v="25000122"/>
    <s v="Pierre-Yves Bolle"/>
    <s v="Q2"/>
    <e v="#REF!"/>
    <e v="#REF!"/>
    <e v="#REF!"/>
  </r>
  <r>
    <s v="425200"/>
    <x v="6"/>
    <s v="PERSONNEL - NOTE DE FRAIS"/>
    <s v="NDF"/>
    <n v="-1815.9"/>
    <d v="2025-03-26T00:00:00"/>
    <s v="NDF"/>
    <m/>
    <e v="#N/A"/>
    <e v="#N/A"/>
    <n v="75805"/>
    <s v="25000086"/>
    <s v="Pauline Rullière"/>
    <s v="Q1"/>
    <e v="#REF!"/>
    <e v="#REF!"/>
    <e v="#REF!"/>
  </r>
  <r>
    <s v="425200"/>
    <x v="6"/>
    <s v="PERSONNEL - NOTE DE FRAIS"/>
    <s v="NDF"/>
    <n v="-1544"/>
    <d v="2025-09-10T00:00:00"/>
    <s v="NDF 25000223"/>
    <m/>
    <e v="#N/A"/>
    <e v="#N/A"/>
    <n v="88139"/>
    <s v="25000223"/>
    <s v="Lucie Crépin"/>
    <s v="Q3"/>
    <e v="#REF!"/>
    <e v="#REF!"/>
    <e v="#REF!"/>
  </r>
  <r>
    <s v="425200"/>
    <x v="6"/>
    <s v="PERSONNEL - NOTE DE FRAIS"/>
    <s v="NDF"/>
    <n v="-1471.57"/>
    <d v="2025-02-12T00:00:00"/>
    <s v="NDF"/>
    <m/>
    <e v="#N/A"/>
    <e v="#N/A"/>
    <n v="76470"/>
    <s v="25000096"/>
    <s v="Pierre-Yves Bolle"/>
    <s v="Q1"/>
    <e v="#REF!"/>
    <e v="#REF!"/>
    <e v="#REF!"/>
  </r>
  <r>
    <s v="425200"/>
    <x v="6"/>
    <s v="PERSONNEL - NOTE DE FRAIS"/>
    <s v="NDF"/>
    <n v="-1312"/>
    <d v="2025-03-03T00:00:00"/>
    <s v="NOTE DE FRAIS"/>
    <m/>
    <e v="#N/A"/>
    <e v="#N/A"/>
    <n v="73708"/>
    <s v="25000059"/>
    <s v="Lucie Crépin"/>
    <s v="Q1"/>
    <e v="#REF!"/>
    <e v="#REF!"/>
    <e v="#REF!"/>
  </r>
  <r>
    <s v="425200"/>
    <x v="6"/>
    <s v="PERSONNEL - NOTE DE FRAIS"/>
    <s v="NDF"/>
    <n v="-1307.31"/>
    <d v="2025-04-22T00:00:00"/>
    <s v="NOTE DE FRAIS"/>
    <m/>
    <e v="#N/A"/>
    <e v="#N/A"/>
    <n v="74344"/>
    <s v="25000131"/>
    <s v="Kevin Cottet"/>
    <s v="Q2"/>
    <e v="#REF!"/>
    <e v="#REF!"/>
    <e v="#REF!"/>
  </r>
  <r>
    <s v="425200"/>
    <x v="6"/>
    <s v="PERSONNEL - NOTE DE FRAIS"/>
    <s v="NDF"/>
    <n v="-1249.03"/>
    <d v="2025-03-19T00:00:00"/>
    <s v="NDF"/>
    <m/>
    <e v="#N/A"/>
    <e v="#N/A"/>
    <n v="75779"/>
    <s v="250000021"/>
    <s v="Marie Rézeau"/>
    <s v="Q1"/>
    <e v="#REF!"/>
    <e v="#REF!"/>
    <e v="#REF!"/>
  </r>
  <r>
    <s v="425200"/>
    <x v="6"/>
    <s v="PERSONNEL - NOTE DE FRAIS"/>
    <s v="NDF"/>
    <n v="-1136.6300000000001"/>
    <d v="2025-01-01T00:00:00"/>
    <s v="NDF"/>
    <m/>
    <e v="#N/A"/>
    <e v="#N/A"/>
    <n v="75664"/>
    <s v="25000009"/>
    <s v="Pauline Rullière"/>
    <s v="Q1"/>
    <e v="#REF!"/>
    <e v="#REF!"/>
    <e v="#REF!"/>
  </r>
  <r>
    <s v="425200"/>
    <x v="6"/>
    <s v="PERSONNEL - NOTE DE FRAIS"/>
    <s v="NDF"/>
    <n v="-1073.05"/>
    <d v="2025-02-26T00:00:00"/>
    <s v="NOTE DE FRAIS"/>
    <m/>
    <e v="#N/A"/>
    <e v="#N/A"/>
    <n v="74193"/>
    <s v="25000054"/>
    <s v="Benjamin Barry"/>
    <s v="Q1"/>
    <e v="#REF!"/>
    <e v="#REF!"/>
    <e v="#REF!"/>
  </r>
  <r>
    <s v="425200"/>
    <x v="6"/>
    <s v="PERSONNEL - NOTE DE FRAIS"/>
    <s v="NDF"/>
    <n v="-1046.69"/>
    <d v="2025-03-14T00:00:00"/>
    <s v="NDF"/>
    <m/>
    <e v="#N/A"/>
    <e v="#N/A"/>
    <n v="75767"/>
    <s v="25000053"/>
    <s v="Maud Sanchez"/>
    <s v="Q1"/>
    <e v="#REF!"/>
    <e v="#REF!"/>
    <e v="#REF!"/>
  </r>
  <r>
    <s v="425200"/>
    <x v="6"/>
    <s v="PERSONNEL - NOTE DE FRAIS"/>
    <s v="NDF"/>
    <n v="-1001.32"/>
    <d v="2025-03-13T00:00:00"/>
    <s v="NDF"/>
    <m/>
    <e v="#N/A"/>
    <e v="#N/A"/>
    <n v="76492"/>
    <s v="25000061"/>
    <s v="Pauline Rullière"/>
    <s v="Q1"/>
    <e v="#REF!"/>
    <e v="#REF!"/>
    <e v="#REF!"/>
  </r>
  <r>
    <s v="425200"/>
    <x v="6"/>
    <s v="PERSONNEL - NOTE DE FRAIS"/>
    <s v="NDF"/>
    <n v="-919.5"/>
    <d v="2025-10-02T00:00:00"/>
    <s v="NDF 25000260"/>
    <m/>
    <e v="#N/A"/>
    <e v="#N/A"/>
    <n v="89239"/>
    <s v="25000260"/>
    <s v="Pauline Rullière"/>
    <s v="Q4"/>
    <e v="#REF!"/>
    <e v="#REF!"/>
    <e v="#REF!"/>
  </r>
  <r>
    <s v="425200"/>
    <x v="6"/>
    <s v="PERSONNEL - NOTE DE FRAIS"/>
    <s v="NDF"/>
    <n v="-885.32"/>
    <d v="2025-09-16T00:00:00"/>
    <s v="NDF 25000232"/>
    <m/>
    <e v="#N/A"/>
    <e v="#N/A"/>
    <n v="88525"/>
    <s v="25000232"/>
    <s v="Audrey Baylac"/>
    <s v="Q3"/>
    <e v="#REF!"/>
    <e v="#REF!"/>
    <e v="#REF!"/>
  </r>
  <r>
    <s v="425200"/>
    <x v="6"/>
    <s v="PERSONNEL - NOTE DE FRAIS"/>
    <s v="NDF"/>
    <n v="-859.96"/>
    <d v="2025-03-04T00:00:00"/>
    <s v="NDF"/>
    <m/>
    <e v="#N/A"/>
    <e v="#N/A"/>
    <n v="75743"/>
    <s v="25000104"/>
    <s v="Kevin Cottet"/>
    <s v="Q1"/>
    <e v="#REF!"/>
    <e v="#REF!"/>
    <e v="#REF!"/>
  </r>
  <r>
    <s v="425200"/>
    <x v="6"/>
    <s v="PERSONNEL - NOTE DE FRAIS"/>
    <s v="NDF"/>
    <n v="-859.74"/>
    <d v="2025-01-07T00:00:00"/>
    <s v="NDF"/>
    <m/>
    <e v="#N/A"/>
    <e v="#N/A"/>
    <n v="75674"/>
    <s v="3307202564"/>
    <s v="Pierre-Yves Bolle"/>
    <s v="Q1"/>
    <e v="#REF!"/>
    <e v="#REF!"/>
    <e v="#REF!"/>
  </r>
  <r>
    <s v="425200"/>
    <x v="6"/>
    <s v="PERSONNEL - NOTE DE FRAIS"/>
    <s v="NDF"/>
    <n v="-859.06"/>
    <d v="2025-03-05T00:00:00"/>
    <s v="NDF"/>
    <m/>
    <e v="#N/A"/>
    <e v="#N/A"/>
    <n v="75751"/>
    <s v="25000065"/>
    <s v="Guillaume Boissonnat-Wu"/>
    <s v="Q1"/>
    <e v="#REF!"/>
    <e v="#REF!"/>
    <e v="#REF!"/>
  </r>
  <r>
    <s v="425200"/>
    <x v="6"/>
    <s v="PERSONNEL - NOTE DE FRAIS"/>
    <s v="NDF"/>
    <n v="-824"/>
    <d v="2025-12-11T00:00:00"/>
    <s v="NDF 25000324"/>
    <m/>
    <e v="#N/A"/>
    <e v="#N/A"/>
    <n v="93271"/>
    <s v="25000324"/>
    <s v="Pauline Rullière"/>
    <s v="Q4"/>
    <e v="#REF!"/>
    <e v="#REF!"/>
    <e v="#REF!"/>
  </r>
  <r>
    <s v="425200"/>
    <x v="6"/>
    <s v="PERSONNEL - NOTE DE FRAIS"/>
    <s v="NDF"/>
    <n v="-817.52"/>
    <d v="2025-04-05T00:00:00"/>
    <s v="NDF"/>
    <m/>
    <e v="#N/A"/>
    <e v="#N/A"/>
    <n v="75833"/>
    <s v="25000106"/>
    <s v="Yves Combret"/>
    <s v="Q2"/>
    <e v="#REF!"/>
    <e v="#REF!"/>
    <e v="#REF!"/>
  </r>
  <r>
    <s v="425200"/>
    <x v="6"/>
    <s v="PERSONNEL - NOTE DE FRAIS"/>
    <s v="NDF"/>
    <n v="-783.7"/>
    <d v="2025-03-02T00:00:00"/>
    <s v="NDF"/>
    <m/>
    <e v="#N/A"/>
    <e v="#N/A"/>
    <n v="75737"/>
    <s v="25000043"/>
    <s v="Pauline Rullière"/>
    <s v="Q1"/>
    <e v="#REF!"/>
    <e v="#REF!"/>
    <e v="#REF!"/>
  </r>
  <r>
    <s v="425200"/>
    <x v="6"/>
    <s v="PERSONNEL - NOTE DE FRAIS"/>
    <s v="NDF"/>
    <n v="-766.45"/>
    <d v="2025-01-01T00:00:00"/>
    <s v="NOTE DE FRAIS"/>
    <m/>
    <e v="#N/A"/>
    <e v="#N/A"/>
    <n v="74162"/>
    <s v="25000012"/>
    <s v="Alain Pinchard"/>
    <s v="Q1"/>
    <e v="#REF!"/>
    <e v="#REF!"/>
    <e v="#REF!"/>
  </r>
  <r>
    <s v="425200"/>
    <x v="6"/>
    <s v="PERSONNEL - NOTE DE FRAIS"/>
    <s v="NDF"/>
    <n v="-731.15"/>
    <d v="2025-01-31T00:00:00"/>
    <s v="NOTE DE FRAIS"/>
    <m/>
    <e v="#N/A"/>
    <e v="#N/A"/>
    <n v="74175"/>
    <s v="25000001"/>
    <s v="Alain Pinchard"/>
    <s v="Q1"/>
    <e v="#REF!"/>
    <e v="#REF!"/>
    <e v="#REF!"/>
  </r>
  <r>
    <s v="425200"/>
    <x v="6"/>
    <s v="PERSONNEL - NOTE DE FRAIS"/>
    <s v="NDF"/>
    <n v="-729.31"/>
    <d v="2025-03-04T00:00:00"/>
    <s v="NOTE DE FRAIS"/>
    <m/>
    <e v="#N/A"/>
    <e v="#N/A"/>
    <n v="73713"/>
    <s v="25000064"/>
    <s v="Marine Bonnaud"/>
    <s v="Q1"/>
    <e v="#REF!"/>
    <e v="#REF!"/>
    <e v="#REF!"/>
  </r>
  <r>
    <s v="425200"/>
    <x v="6"/>
    <s v="PERSONNEL - NOTE DE FRAIS"/>
    <s v="NDF"/>
    <n v="-724"/>
    <d v="2025-07-23T00:00:00"/>
    <s v="NDF 25000194"/>
    <m/>
    <e v="#N/A"/>
    <e v="#N/A"/>
    <n v="88862"/>
    <s v="25000194"/>
    <s v="Marie Rézeau"/>
    <s v="Q3"/>
    <e v="#REF!"/>
    <e v="#REF!"/>
    <e v="#REF!"/>
  </r>
  <r>
    <s v="425200"/>
    <x v="6"/>
    <s v="PERSONNEL - NOTE DE FRAIS"/>
    <s v="NDF"/>
    <n v="-704.44"/>
    <d v="2025-06-02T00:00:00"/>
    <s v="NDF"/>
    <m/>
    <e v="#N/A"/>
    <e v="#N/A"/>
    <n v="76552"/>
    <s v="25000160"/>
    <s v="Benjamin Barry"/>
    <s v="Q2"/>
    <e v="#REF!"/>
    <e v="#REF!"/>
    <e v="#REF!"/>
  </r>
  <r>
    <s v="425200"/>
    <x v="6"/>
    <s v="PERSONNEL - NOTE DE FRAIS"/>
    <s v="NDF"/>
    <n v="-676.75"/>
    <d v="2025-07-15T00:00:00"/>
    <s v="NDF 25000196"/>
    <m/>
    <e v="#N/A"/>
    <e v="#N/A"/>
    <n v="88751"/>
    <s v="25000196"/>
    <s v="Benjamin Barry"/>
    <s v="Q3"/>
    <e v="#REF!"/>
    <e v="#REF!"/>
    <e v="#REF!"/>
  </r>
  <r>
    <s v="425200"/>
    <x v="6"/>
    <s v="PERSONNEL - NOTE DE FRAIS"/>
    <s v="NDF"/>
    <n v="-663.32"/>
    <d v="2025-01-30T00:00:00"/>
    <s v="NDF"/>
    <m/>
    <e v="#N/A"/>
    <e v="#N/A"/>
    <n v="75693"/>
    <s v="25000023"/>
    <s v="Guillaume Boissonnat-Wu"/>
    <s v="Q1"/>
    <e v="#REF!"/>
    <e v="#REF!"/>
    <e v="#REF!"/>
  </r>
  <r>
    <s v="425200"/>
    <x v="6"/>
    <s v="PERSONNEL - NOTE DE FRAIS"/>
    <s v="NDF"/>
    <n v="-661.11"/>
    <d v="2025-05-25T00:00:00"/>
    <s v="NDF"/>
    <m/>
    <e v="#N/A"/>
    <e v="#N/A"/>
    <n v="76739"/>
    <s v="25000161"/>
    <s v="Marie-Sarah Adenis"/>
    <s v="Q2"/>
    <e v="#REF!"/>
    <e v="#REF!"/>
    <e v="#REF!"/>
  </r>
  <r>
    <s v="425200"/>
    <x v="6"/>
    <s v="PERSONNEL - NOTE DE FRAIS"/>
    <s v="NDF"/>
    <n v="-630"/>
    <d v="2025-08-28T00:00:00"/>
    <s v="NDF 25000214"/>
    <m/>
    <e v="#N/A"/>
    <e v="#N/A"/>
    <n v="88586"/>
    <s v="25000214"/>
    <s v="Emilie Amillastré"/>
    <s v="Q3"/>
    <e v="#REF!"/>
    <e v="#REF!"/>
    <e v="#REF!"/>
  </r>
  <r>
    <s v="425200"/>
    <x v="6"/>
    <s v="PERSONNEL - NOTE DE FRAIS"/>
    <s v="NDF"/>
    <n v="-603.70000000000005"/>
    <d v="2025-02-08T00:00:00"/>
    <s v="NDF"/>
    <m/>
    <e v="#N/A"/>
    <e v="#N/A"/>
    <n v="75715"/>
    <s v="25000030"/>
    <s v="Kevin Cottet"/>
    <s v="Q1"/>
    <e v="#REF!"/>
    <e v="#REF!"/>
    <e v="#REF!"/>
  </r>
  <r>
    <s v="425200"/>
    <x v="6"/>
    <s v="PERSONNEL - NOTE DE FRAIS"/>
    <s v="NDF"/>
    <n v="-600"/>
    <d v="2025-01-27T00:00:00"/>
    <s v="NOTE DE FRAIS"/>
    <m/>
    <e v="#N/A"/>
    <e v="#N/A"/>
    <n v="73640"/>
    <s v="25000002"/>
    <s v="Jérémie Blache"/>
    <s v="Q1"/>
    <e v="#REF!"/>
    <e v="#REF!"/>
    <e v="#REF!"/>
  </r>
  <r>
    <s v="425200"/>
    <x v="6"/>
    <s v="PERSONNEL - NOTE DE FRAIS"/>
    <s v="NDF"/>
    <n v="-600"/>
    <d v="2025-02-01T00:00:00"/>
    <s v="NDF"/>
    <m/>
    <e v="#N/A"/>
    <e v="#N/A"/>
    <n v="76458"/>
    <s v="25000031"/>
    <s v="Jérémie Blache"/>
    <s v="Q1"/>
    <e v="#REF!"/>
    <e v="#REF!"/>
    <e v="#REF!"/>
  </r>
  <r>
    <s v="425200"/>
    <x v="6"/>
    <s v="PERSONNEL - NOTE DE FRAIS"/>
    <s v="NDF"/>
    <n v="-600"/>
    <d v="2025-03-01T00:00:00"/>
    <s v="NDF"/>
    <m/>
    <e v="#N/A"/>
    <e v="#N/A"/>
    <n v="76472"/>
    <s v="25000063"/>
    <s v="Jérémie Blache"/>
    <s v="Q1"/>
    <e v="#REF!"/>
    <e v="#REF!"/>
    <e v="#REF!"/>
  </r>
  <r>
    <s v="425200"/>
    <x v="6"/>
    <s v="PERSONNEL - NOTE DE FRAIS"/>
    <s v="NDF"/>
    <n v="-600"/>
    <d v="2025-06-24T00:00:00"/>
    <s v="NDF"/>
    <m/>
    <e v="#N/A"/>
    <e v="#N/A"/>
    <n v="76616"/>
    <s v="25000163"/>
    <s v="Jérémie Blache"/>
    <s v="Q2"/>
    <e v="#REF!"/>
    <e v="#REF!"/>
    <e v="#REF!"/>
  </r>
  <r>
    <s v="425200"/>
    <x v="6"/>
    <s v="PERSONNEL - NOTE DE FRAIS"/>
    <s v="NDF"/>
    <n v="-594.1"/>
    <d v="2025-08-28T00:00:00"/>
    <s v="NDF 25000212"/>
    <m/>
    <e v="#N/A"/>
    <e v="#N/A"/>
    <n v="88077"/>
    <s v="25000212"/>
    <s v="Bob Fernandez"/>
    <s v="Q3"/>
    <e v="#REF!"/>
    <e v="#REF!"/>
    <e v="#REF!"/>
  </r>
  <r>
    <s v="425200"/>
    <x v="6"/>
    <s v="PERSONNEL - NOTE DE FRAIS"/>
    <s v="NDF"/>
    <n v="-594.1"/>
    <d v="2025-08-28T00:00:00"/>
    <s v="NDF 25000212"/>
    <m/>
    <e v="#N/A"/>
    <e v="#N/A"/>
    <n v="88079"/>
    <s v="25000212"/>
    <s v="Bob Fernandez"/>
    <s v="Q3"/>
    <e v="#REF!"/>
    <e v="#REF!"/>
    <e v="#REF!"/>
  </r>
  <r>
    <s v="425200"/>
    <x v="6"/>
    <s v="PERSONNEL - NOTE DE FRAIS"/>
    <s v="NDF"/>
    <n v="-581.4"/>
    <d v="2025-02-04T00:00:00"/>
    <s v="NDF"/>
    <m/>
    <e v="#N/A"/>
    <e v="#N/A"/>
    <n v="75701"/>
    <s v="25000070"/>
    <s v="Kevin Cottet"/>
    <s v="Q1"/>
    <e v="#REF!"/>
    <e v="#REF!"/>
    <e v="#REF!"/>
  </r>
  <r>
    <s v="425200"/>
    <x v="6"/>
    <s v="PERSONNEL - NOTE DE FRAIS"/>
    <s v="NDF"/>
    <n v="-577.20000000000005"/>
    <d v="2025-05-06T00:00:00"/>
    <s v="NDF"/>
    <m/>
    <e v="#N/A"/>
    <e v="#N/A"/>
    <n v="76508"/>
    <s v="25000168"/>
    <s v="Kevin Cottet"/>
    <s v="Q2"/>
    <e v="#REF!"/>
    <e v="#REF!"/>
    <e v="#REF!"/>
  </r>
  <r>
    <s v="425200"/>
    <x v="6"/>
    <s v="PERSONNEL - NOTE DE FRAIS"/>
    <s v="NDF"/>
    <n v="-576.4"/>
    <d v="2025-01-01T00:00:00"/>
    <s v="NOTE DE FRAIS"/>
    <m/>
    <e v="#N/A"/>
    <e v="#N/A"/>
    <n v="74158"/>
    <s v="24000043"/>
    <s v="Alain Pinchard"/>
    <s v="Q1"/>
    <e v="#REF!"/>
    <e v="#REF!"/>
    <e v="#REF!"/>
  </r>
  <r>
    <s v="425200"/>
    <x v="6"/>
    <s v="PERSONNEL - NOTE DE FRAIS"/>
    <s v="NDF"/>
    <n v="-570.53"/>
    <d v="2025-04-10T00:00:00"/>
    <s v="NOTE DE FRAIS"/>
    <m/>
    <e v="#N/A"/>
    <e v="#N/A"/>
    <n v="74313"/>
    <s v="25000112"/>
    <s v="Marie Rézeau"/>
    <s v="Q2"/>
    <e v="#REF!"/>
    <e v="#REF!"/>
    <e v="#REF!"/>
  </r>
  <r>
    <s v="425200"/>
    <x v="6"/>
    <s v="PERSONNEL - NOTE DE FRAIS"/>
    <s v="NDF"/>
    <n v="-542.49"/>
    <d v="2025-03-20T00:00:00"/>
    <s v="NOTE DE FRAIS"/>
    <m/>
    <e v="#N/A"/>
    <e v="#N/A"/>
    <n v="73726"/>
    <s v="25000078"/>
    <s v="Océane Chabret"/>
    <s v="Q1"/>
    <e v="#REF!"/>
    <e v="#REF!"/>
    <e v="#REF!"/>
  </r>
  <r>
    <s v="425200"/>
    <x v="6"/>
    <s v="PERSONNEL - NOTE DE FRAIS"/>
    <s v="NDF"/>
    <n v="-533.16999999999996"/>
    <d v="2025-11-24T00:00:00"/>
    <s v="NDF 25000265"/>
    <m/>
    <e v="#N/A"/>
    <e v="#N/A"/>
    <n v="90964"/>
    <s v="25000265"/>
    <s v="Marie Rézeau"/>
    <s v="Q4"/>
    <e v="#REF!"/>
    <e v="#REF!"/>
    <e v="#REF!"/>
  </r>
  <r>
    <s v="425200"/>
    <x v="6"/>
    <s v="PERSONNEL - NOTE DE FRAIS"/>
    <s v="NDF"/>
    <n v="-529.91999999999996"/>
    <d v="2025-06-18T00:00:00"/>
    <s v="NDF"/>
    <m/>
    <e v="#N/A"/>
    <e v="#N/A"/>
    <n v="76747"/>
    <s v="41722"/>
    <s v="Yves Combret"/>
    <s v="Q2"/>
    <e v="#REF!"/>
    <e v="#REF!"/>
    <e v="#REF!"/>
  </r>
  <r>
    <s v="425200"/>
    <x v="6"/>
    <s v="PERSONNEL - NOTE DE FRAIS"/>
    <s v="NDF"/>
    <n v="-525.16"/>
    <d v="2025-10-02T00:00:00"/>
    <s v="NDF 25000258"/>
    <m/>
    <e v="#N/A"/>
    <e v="#N/A"/>
    <n v="88398"/>
    <s v="25000258"/>
    <s v="Jérémie Blache"/>
    <s v="Q4"/>
    <e v="#REF!"/>
    <e v="#REF!"/>
    <e v="#REF!"/>
  </r>
  <r>
    <s v="425200"/>
    <x v="6"/>
    <s v="PERSONNEL - NOTE DE FRAIS"/>
    <s v="NDF"/>
    <n v="-521.07000000000005"/>
    <d v="2025-01-01T00:00:00"/>
    <s v="NDF"/>
    <m/>
    <e v="#N/A"/>
    <e v="#N/A"/>
    <n v="75656"/>
    <s v="24000362"/>
    <s v="Marie Rézeau"/>
    <s v="Q1"/>
    <e v="#REF!"/>
    <e v="#REF!"/>
    <e v="#REF!"/>
  </r>
  <r>
    <s v="425200"/>
    <x v="6"/>
    <s v="PERSONNEL - NOTE DE FRAIS"/>
    <s v="NDF"/>
    <n v="-519.54999999999995"/>
    <d v="2025-01-01T00:00:00"/>
    <s v="NDF"/>
    <m/>
    <e v="#N/A"/>
    <e v="#N/A"/>
    <n v="75650"/>
    <s v="24000356"/>
    <s v="Pauline Rullière"/>
    <s v="Q1"/>
    <e v="#REF!"/>
    <e v="#REF!"/>
    <e v="#REF!"/>
  </r>
  <r>
    <s v="425200"/>
    <x v="6"/>
    <s v="PERSONNEL - NOTE DE FRAIS"/>
    <s v="NDF"/>
    <n v="-513.29999999999995"/>
    <d v="2025-01-01T00:00:00"/>
    <s v="NOTE DE FRAIS"/>
    <m/>
    <e v="#N/A"/>
    <e v="#N/A"/>
    <n v="73610"/>
    <s v="25000008"/>
    <s v="Emilie Amillastré"/>
    <s v="Q1"/>
    <e v="#REF!"/>
    <e v="#REF!"/>
    <e v="#REF!"/>
  </r>
  <r>
    <s v="425200"/>
    <x v="6"/>
    <s v="PERSONNEL - NOTE DE FRAIS"/>
    <s v="NDF"/>
    <n v="-512.89"/>
    <d v="2025-03-06T00:00:00"/>
    <s v="NDF"/>
    <m/>
    <e v="#N/A"/>
    <e v="#N/A"/>
    <n v="75757"/>
    <s v="25000062"/>
    <s v="Nicolas Canu"/>
    <s v="Q1"/>
    <e v="#REF!"/>
    <e v="#REF!"/>
    <e v="#REF!"/>
  </r>
  <r>
    <s v="425200"/>
    <x v="6"/>
    <s v="PERSONNEL - NOTE DE FRAIS"/>
    <s v="NDF"/>
    <n v="-504.28"/>
    <d v="2025-02-28T00:00:00"/>
    <s v="CB PASSIM"/>
    <m/>
    <e v="#N/A"/>
    <e v="#N/A"/>
    <n v="76792"/>
    <m/>
    <s v="Pascal Simonney"/>
    <s v="Q1"/>
    <e v="#REF!"/>
    <e v="#REF!"/>
    <e v="#REF!"/>
  </r>
  <r>
    <s v="425200"/>
    <x v="6"/>
    <s v="PERSONNEL - NOTE DE FRAIS"/>
    <s v="NDF"/>
    <n v="-499.26"/>
    <d v="2025-12-10T00:00:00"/>
    <s v="NDF 25000332"/>
    <m/>
    <e v="#N/A"/>
    <e v="#N/A"/>
    <n v="93305"/>
    <s v="25000332"/>
    <s v="Yves Combret"/>
    <s v="Q4"/>
    <e v="#REF!"/>
    <e v="#REF!"/>
    <e v="#REF!"/>
  </r>
  <r>
    <s v="425200"/>
    <x v="6"/>
    <s v="PERSONNEL - NOTE DE FRAIS"/>
    <s v="NDF"/>
    <n v="-482.71"/>
    <d v="2025-06-03T00:00:00"/>
    <s v="NDF"/>
    <m/>
    <e v="#N/A"/>
    <e v="#N/A"/>
    <n v="76558"/>
    <s v="25000162"/>
    <s v="Bob Fernandez"/>
    <s v="Q2"/>
    <e v="#REF!"/>
    <e v="#REF!"/>
    <e v="#REF!"/>
  </r>
  <r>
    <s v="425200"/>
    <x v="6"/>
    <s v="PERSONNEL - NOTE DE FRAIS"/>
    <s v="NDF"/>
    <n v="-473.94"/>
    <d v="2025-03-26T00:00:00"/>
    <s v="NDF"/>
    <m/>
    <e v="#N/A"/>
    <e v="#N/A"/>
    <n v="75799"/>
    <s v="25000052"/>
    <s v="Maud Sanchez"/>
    <s v="Q1"/>
    <e v="#REF!"/>
    <e v="#REF!"/>
    <e v="#REF!"/>
  </r>
  <r>
    <s v="425200"/>
    <x v="6"/>
    <s v="PERSONNEL - NOTE DE FRAIS"/>
    <s v="NDF"/>
    <n v="-470"/>
    <d v="2025-05-12T00:00:00"/>
    <s v="NOTE DE FRAIS"/>
    <m/>
    <e v="#N/A"/>
    <e v="#N/A"/>
    <n v="74415"/>
    <s v="25000142"/>
    <s v="Océane Chabret"/>
    <s v="Q2"/>
    <e v="#REF!"/>
    <e v="#REF!"/>
    <e v="#REF!"/>
  </r>
  <r>
    <s v="425200"/>
    <x v="6"/>
    <s v="PERSONNEL - NOTE DE FRAIS"/>
    <s v="NDF"/>
    <n v="-443.25"/>
    <d v="2025-01-01T00:00:00"/>
    <s v="NDF"/>
    <m/>
    <e v="#N/A"/>
    <e v="#N/A"/>
    <n v="75644"/>
    <s v="24000393"/>
    <s v="Kevin Cottet"/>
    <s v="Q1"/>
    <e v="#REF!"/>
    <e v="#REF!"/>
    <e v="#REF!"/>
  </r>
  <r>
    <s v="425200"/>
    <x v="6"/>
    <s v="PERSONNEL - NOTE DE FRAIS"/>
    <s v="NDF"/>
    <n v="-437.92"/>
    <d v="2025-05-27T00:00:00"/>
    <s v="NDF"/>
    <m/>
    <e v="#N/A"/>
    <e v="#N/A"/>
    <n v="76741"/>
    <s v="25000159"/>
    <s v="Marie-Sarah Adenis"/>
    <s v="Q2"/>
    <e v="#REF!"/>
    <e v="#REF!"/>
    <e v="#REF!"/>
  </r>
  <r>
    <s v="425200"/>
    <x v="6"/>
    <s v="PERSONNEL - NOTE DE FRAIS"/>
    <s v="NDF"/>
    <n v="-437.86"/>
    <d v="2025-01-13T00:00:00"/>
    <s v="NOTE DE FRAIS"/>
    <m/>
    <e v="#N/A"/>
    <e v="#N/A"/>
    <n v="73615"/>
    <s v="25000007"/>
    <s v="Benjamin Barry"/>
    <s v="Q1"/>
    <e v="#REF!"/>
    <e v="#REF!"/>
    <e v="#REF!"/>
  </r>
  <r>
    <s v="425200"/>
    <x v="6"/>
    <s v="PERSONNEL - NOTE DE FRAIS"/>
    <s v="NDF"/>
    <n v="-411.75"/>
    <d v="2025-12-01T00:00:00"/>
    <s v="NDF 25000289"/>
    <m/>
    <e v="#N/A"/>
    <e v="#N/A"/>
    <n v="93470"/>
    <s v="25000289"/>
    <s v="Pauline Rullière"/>
    <s v="Q4"/>
    <e v="#REF!"/>
    <e v="#REF!"/>
    <e v="#REF!"/>
  </r>
  <r>
    <s v="425200"/>
    <x v="6"/>
    <s v="PERSONNEL - NOTE DE FRAIS"/>
    <s v="NDF"/>
    <n v="-400"/>
    <d v="2025-12-11T00:00:00"/>
    <s v="NDF 25000322"/>
    <m/>
    <e v="#N/A"/>
    <e v="#N/A"/>
    <n v="93269"/>
    <s v="25000322"/>
    <s v="Lucie Crépin"/>
    <s v="Q4"/>
    <e v="#REF!"/>
    <e v="#REF!"/>
    <e v="#REF!"/>
  </r>
  <r>
    <s v="425200"/>
    <x v="6"/>
    <s v="PERSONNEL - NOTE DE FRAIS"/>
    <s v="NDF"/>
    <n v="-398.79"/>
    <d v="2025-04-15T00:00:00"/>
    <s v="NDF"/>
    <m/>
    <e v="#N/A"/>
    <e v="#N/A"/>
    <n v="76501"/>
    <s v="25000167"/>
    <s v="Anne-Sophie Goutierre"/>
    <s v="Q2"/>
    <e v="#REF!"/>
    <e v="#REF!"/>
    <e v="#REF!"/>
  </r>
  <r>
    <s v="425200"/>
    <x v="6"/>
    <s v="PERSONNEL - NOTE DE FRAIS"/>
    <s v="NDF"/>
    <n v="-384.15"/>
    <d v="2025-06-04T00:00:00"/>
    <s v="NDF"/>
    <m/>
    <e v="#N/A"/>
    <e v="#N/A"/>
    <n v="76745"/>
    <s v="25000164"/>
    <s v="Marie-Sarah Adenis"/>
    <s v="Q2"/>
    <e v="#REF!"/>
    <e v="#REF!"/>
    <e v="#REF!"/>
  </r>
  <r>
    <s v="425200"/>
    <x v="6"/>
    <s v="PERSONNEL - NOTE DE FRAIS"/>
    <s v="NDF"/>
    <n v="-349.67"/>
    <d v="2025-03-03T00:00:00"/>
    <s v="NOTE DE FRAIS"/>
    <m/>
    <e v="#N/A"/>
    <e v="#N/A"/>
    <n v="74273"/>
    <s v="25000058"/>
    <s v="Lucie Crépin"/>
    <s v="Q1"/>
    <e v="#REF!"/>
    <e v="#REF!"/>
    <e v="#REF!"/>
  </r>
  <r>
    <s v="425200"/>
    <x v="6"/>
    <s v="PERSONNEL - NOTE DE FRAIS"/>
    <s v="NDF"/>
    <n v="-346"/>
    <d v="2025-09-21T00:00:00"/>
    <s v="NDF 25000195"/>
    <m/>
    <e v="#N/A"/>
    <e v="#N/A"/>
    <n v="88155"/>
    <s v="25000195"/>
    <s v="Pauline Rullière"/>
    <s v="Q3"/>
    <e v="#REF!"/>
    <e v="#REF!"/>
    <e v="#REF!"/>
  </r>
  <r>
    <s v="425200"/>
    <x v="6"/>
    <s v="PERSONNEL - NOTE DE FRAIS"/>
    <s v="NDF"/>
    <n v="-344.4"/>
    <d v="2025-06-05T00:00:00"/>
    <s v="NDF 25000338"/>
    <m/>
    <e v="#N/A"/>
    <e v="#N/A"/>
    <n v="95840"/>
    <s v="25000338"/>
    <s v="Alain Pinchard"/>
    <s v="Q2"/>
    <e v="#REF!"/>
    <e v="#REF!"/>
    <e v="#REF!"/>
  </r>
  <r>
    <s v="425200"/>
    <x v="6"/>
    <s v="PERSONNEL - NOTE DE FRAIS"/>
    <s v="NDF"/>
    <n v="-332.45"/>
    <d v="2025-03-09T00:00:00"/>
    <s v="NDF"/>
    <m/>
    <e v="#N/A"/>
    <e v="#N/A"/>
    <n v="75761"/>
    <s v="25000069"/>
    <s v="Marie-Sarah Adenis"/>
    <s v="Q1"/>
    <e v="#REF!"/>
    <e v="#REF!"/>
    <e v="#REF!"/>
  </r>
  <r>
    <s v="425200"/>
    <x v="6"/>
    <s v="PERSONNEL - NOTE DE FRAIS"/>
    <s v="NDF"/>
    <n v="-326.5"/>
    <d v="2025-10-02T00:00:00"/>
    <s v="NDF 25000222"/>
    <m/>
    <e v="#N/A"/>
    <e v="#N/A"/>
    <n v="88614"/>
    <s v="25000222"/>
    <s v="Pauline Rullière"/>
    <s v="Q4"/>
    <e v="#REF!"/>
    <e v="#REF!"/>
    <e v="#REF!"/>
  </r>
  <r>
    <s v="425200"/>
    <x v="6"/>
    <s v="PERSONNEL - NOTE DE FRAIS"/>
    <s v="NDF"/>
    <n v="-319.2"/>
    <d v="2025-09-17T00:00:00"/>
    <s v="NDF 25000249"/>
    <m/>
    <e v="#N/A"/>
    <e v="#N/A"/>
    <n v="88483"/>
    <s v="25000249"/>
    <s v="Nuria RAMOS"/>
    <s v="Q3"/>
    <e v="#REF!"/>
    <e v="#REF!"/>
    <e v="#REF!"/>
  </r>
  <r>
    <s v="425200"/>
    <x v="6"/>
    <s v="PERSONNEL - NOTE DE FRAIS"/>
    <s v="NDF"/>
    <n v="-318.52999999999997"/>
    <d v="2025-02-19T00:00:00"/>
    <s v="NOTE DE FRAIS"/>
    <m/>
    <e v="#N/A"/>
    <e v="#N/A"/>
    <n v="73681"/>
    <s v="25000045"/>
    <s v="Bob Fernandez"/>
    <s v="Q1"/>
    <e v="#REF!"/>
    <e v="#REF!"/>
    <e v="#REF!"/>
  </r>
  <r>
    <s v="425200"/>
    <x v="6"/>
    <s v="PERSONNEL - NOTE DE FRAIS"/>
    <s v="NDF"/>
    <n v="-313.33"/>
    <d v="2025-04-08T00:00:00"/>
    <s v="NOTE DE FRAIS"/>
    <m/>
    <e v="#N/A"/>
    <e v="#N/A"/>
    <n v="74299"/>
    <s v="25000110"/>
    <s v="Bob Fernandez"/>
    <s v="Q2"/>
    <e v="#REF!"/>
    <e v="#REF!"/>
    <e v="#REF!"/>
  </r>
  <r>
    <s v="425200"/>
    <x v="6"/>
    <s v="PERSONNEL - NOTE DE FRAIS"/>
    <s v="NDF"/>
    <n v="-311"/>
    <d v="2025-11-24T00:00:00"/>
    <s v="NDF 25000284"/>
    <m/>
    <e v="#N/A"/>
    <e v="#N/A"/>
    <n v="90948"/>
    <s v="25000284"/>
    <s v="Pierre-Yves Bolle"/>
    <s v="Q4"/>
    <e v="#REF!"/>
    <e v="#REF!"/>
    <e v="#REF!"/>
  </r>
  <r>
    <s v="425200"/>
    <x v="6"/>
    <s v="PERSONNEL - NOTE DE FRAIS"/>
    <s v="NDF"/>
    <n v="-310.02"/>
    <d v="2025-11-26T00:00:00"/>
    <s v="NDF 25000303"/>
    <m/>
    <e v="#N/A"/>
    <e v="#N/A"/>
    <n v="93356"/>
    <s v="25000303"/>
    <s v="Jérémie Blache"/>
    <s v="Q4"/>
    <e v="#REF!"/>
    <e v="#REF!"/>
    <e v="#REF!"/>
  </r>
  <r>
    <s v="425200"/>
    <x v="6"/>
    <s v="PERSONNEL - NOTE DE FRAIS"/>
    <s v="NDF"/>
    <n v="-300"/>
    <d v="2025-06-01T00:00:00"/>
    <s v="NDF"/>
    <m/>
    <e v="#N/A"/>
    <e v="#N/A"/>
    <n v="76539"/>
    <s v="25000175"/>
    <s v="Jérémie Blache"/>
    <s v="Q2"/>
    <e v="#REF!"/>
    <e v="#REF!"/>
    <e v="#REF!"/>
  </r>
  <r>
    <s v="425200"/>
    <x v="6"/>
    <s v="PERSONNEL - NOTE DE FRAIS"/>
    <s v="NDF"/>
    <n v="-299.38"/>
    <d v="2025-07-04T00:00:00"/>
    <s v="NDF 25000193"/>
    <m/>
    <e v="#N/A"/>
    <e v="#N/A"/>
    <n v="88628"/>
    <s v="25000193"/>
    <s v="Océane Chabret"/>
    <s v="Q3"/>
    <e v="#REF!"/>
    <e v="#REF!"/>
    <e v="#REF!"/>
  </r>
  <r>
    <s v="425200"/>
    <x v="6"/>
    <s v="PERSONNEL - NOTE DE FRAIS"/>
    <s v="NDF"/>
    <n v="-298.99"/>
    <d v="2025-10-02T00:00:00"/>
    <s v="NDF 25000263"/>
    <m/>
    <e v="#N/A"/>
    <e v="#N/A"/>
    <n v="88423"/>
    <s v="25000263"/>
    <s v="Yves Combret"/>
    <s v="Q4"/>
    <e v="#REF!"/>
    <e v="#REF!"/>
    <e v="#REF!"/>
  </r>
  <r>
    <s v="425200"/>
    <x v="6"/>
    <s v="PERSONNEL - NOTE DE FRAIS"/>
    <s v="NDF"/>
    <n v="-295.20999999999998"/>
    <d v="2025-05-20T00:00:00"/>
    <s v="NDF 25000111"/>
    <m/>
    <e v="#N/A"/>
    <e v="#N/A"/>
    <n v="89188"/>
    <s v="25000111"/>
    <s v="Pauline Rullière"/>
    <s v="Q2"/>
    <e v="#REF!"/>
    <e v="#REF!"/>
    <e v="#REF!"/>
  </r>
  <r>
    <s v="425200"/>
    <x v="6"/>
    <s v="PERSONNEL - NOTE DE FRAIS"/>
    <s v="NDF"/>
    <n v="-282.08999999999997"/>
    <d v="2025-04-29T00:00:00"/>
    <s v="NOTE DE FRAIS"/>
    <m/>
    <e v="#N/A"/>
    <e v="#N/A"/>
    <n v="74374"/>
    <s v="25000134"/>
    <s v="Julie Lacondemine"/>
    <s v="Q2"/>
    <e v="#REF!"/>
    <e v="#REF!"/>
    <e v="#REF!"/>
  </r>
  <r>
    <s v="425200"/>
    <x v="6"/>
    <s v="PERSONNEL - NOTE DE FRAIS"/>
    <s v="NDF"/>
    <n v="-281.83"/>
    <d v="2025-09-22T00:00:00"/>
    <s v="NDF 25000253"/>
    <m/>
    <e v="#N/A"/>
    <e v="#N/A"/>
    <n v="88454"/>
    <s v="25000253"/>
    <s v="Bob Fernandez"/>
    <s v="Q3"/>
    <e v="#REF!"/>
    <e v="#REF!"/>
    <e v="#REF!"/>
  </r>
  <r>
    <s v="425200"/>
    <x v="6"/>
    <s v="PERSONNEL - NOTE DE FRAIS"/>
    <s v="NDF"/>
    <n v="-279.43"/>
    <d v="2025-12-04T00:00:00"/>
    <s v="NDF 25000309"/>
    <m/>
    <e v="#N/A"/>
    <e v="#N/A"/>
    <n v="93316"/>
    <s v="25000309"/>
    <s v="Jérémie Blache"/>
    <s v="Q4"/>
    <e v="#REF!"/>
    <e v="#REF!"/>
    <e v="#REF!"/>
  </r>
  <r>
    <s v="425200"/>
    <x v="6"/>
    <s v="PERSONNEL - NOTE DE FRAIS"/>
    <s v="NDF"/>
    <n v="-274.49"/>
    <d v="2025-02-13T00:00:00"/>
    <s v="NOTE DE FRAIS"/>
    <m/>
    <e v="#N/A"/>
    <e v="#N/A"/>
    <n v="73677"/>
    <s v="25000041"/>
    <s v="Bob Fernandez"/>
    <s v="Q1"/>
    <e v="#REF!"/>
    <e v="#REF!"/>
    <e v="#REF!"/>
  </r>
  <r>
    <s v="425200"/>
    <x v="6"/>
    <s v="PERSONNEL - NOTE DE FRAIS"/>
    <s v="NDF"/>
    <n v="-274.45999999999998"/>
    <d v="2025-05-19T00:00:00"/>
    <s v="NDF"/>
    <m/>
    <e v="#N/A"/>
    <e v="#N/A"/>
    <n v="76516"/>
    <s v="25000169"/>
    <s v="Marie-Sarah Adenis"/>
    <s v="Q2"/>
    <e v="#REF!"/>
    <e v="#REF!"/>
    <e v="#REF!"/>
  </r>
  <r>
    <s v="425200"/>
    <x v="6"/>
    <s v="PERSONNEL - NOTE DE FRAIS"/>
    <s v="NDF"/>
    <n v="-273.60000000000002"/>
    <d v="2025-05-09T00:00:00"/>
    <s v="NOTE DE FRAIS"/>
    <m/>
    <e v="#N/A"/>
    <e v="#N/A"/>
    <n v="74412"/>
    <s v="25000140"/>
    <s v="Thibault Dejardin"/>
    <s v="Q2"/>
    <e v="#REF!"/>
    <e v="#REF!"/>
    <e v="#REF!"/>
  </r>
  <r>
    <s v="425200"/>
    <x v="6"/>
    <s v="PERSONNEL - NOTE DE FRAIS"/>
    <s v="NDF"/>
    <n v="-272.8"/>
    <d v="2025-03-06T00:00:00"/>
    <s v="NDF 25000338"/>
    <m/>
    <e v="#N/A"/>
    <e v="#N/A"/>
    <n v="95944"/>
    <s v="25000338"/>
    <s v="Alain Pinchard"/>
    <s v="Q1"/>
    <e v="#REF!"/>
    <e v="#REF!"/>
    <e v="#REF!"/>
  </r>
  <r>
    <s v="425200"/>
    <x v="6"/>
    <s v="PERSONNEL - NOTE DE FRAIS"/>
    <s v="NDF"/>
    <n v="-271.06"/>
    <d v="2025-01-01T00:00:00"/>
    <s v="NDF"/>
    <m/>
    <e v="#N/A"/>
    <e v="#N/A"/>
    <n v="76451"/>
    <s v="24000392"/>
    <s v="Yves Combret"/>
    <s v="Q1"/>
    <e v="#REF!"/>
    <e v="#REF!"/>
    <e v="#REF!"/>
  </r>
  <r>
    <s v="425200"/>
    <x v="6"/>
    <s v="PERSONNEL - NOTE DE FRAIS"/>
    <s v="NDF"/>
    <n v="-267.39999999999998"/>
    <d v="2025-03-11T00:00:00"/>
    <s v="NOTE DE FRAIS"/>
    <m/>
    <e v="#N/A"/>
    <e v="#N/A"/>
    <n v="74275"/>
    <s v="25000107"/>
    <s v="Anne-Sophie Goutierre"/>
    <s v="Q1"/>
    <e v="#REF!"/>
    <e v="#REF!"/>
    <e v="#REF!"/>
  </r>
  <r>
    <s v="425200"/>
    <x v="6"/>
    <s v="PERSONNEL - NOTE DE FRAIS"/>
    <s v="NDF"/>
    <n v="-266"/>
    <d v="2025-03-12T00:00:00"/>
    <s v="NOTE DE FRAIS"/>
    <m/>
    <e v="#N/A"/>
    <e v="#N/A"/>
    <n v="73718"/>
    <s v="25000072"/>
    <s v="Océane Chabret"/>
    <s v="Q1"/>
    <e v="#REF!"/>
    <e v="#REF!"/>
    <e v="#REF!"/>
  </r>
  <r>
    <s v="425200"/>
    <x v="6"/>
    <s v="PERSONNEL - NOTE DE FRAIS"/>
    <s v="NDF"/>
    <n v="-260.73"/>
    <d v="2025-01-27T00:00:00"/>
    <s v="NOTE DE FRAIS"/>
    <m/>
    <e v="#N/A"/>
    <e v="#N/A"/>
    <n v="73638"/>
    <s v="25000019"/>
    <s v="Audrey Baylac"/>
    <s v="Q1"/>
    <e v="#REF!"/>
    <e v="#REF!"/>
    <e v="#REF!"/>
  </r>
  <r>
    <s v="425200"/>
    <x v="6"/>
    <s v="PERSONNEL - NOTE DE FRAIS"/>
    <s v="NDF"/>
    <n v="-260.2"/>
    <d v="2025-03-14T00:00:00"/>
    <s v="NDF"/>
    <m/>
    <e v="#N/A"/>
    <e v="#N/A"/>
    <n v="75771"/>
    <s v="25000074"/>
    <s v="Benjamin Barry"/>
    <s v="Q1"/>
    <e v="#REF!"/>
    <e v="#REF!"/>
    <e v="#REF!"/>
  </r>
  <r>
    <s v="425200"/>
    <x v="6"/>
    <s v="PERSONNEL - NOTE DE FRAIS"/>
    <s v="NDF"/>
    <n v="-257.10000000000002"/>
    <d v="2025-05-17T00:00:00"/>
    <s v="NDF"/>
    <m/>
    <e v="#N/A"/>
    <e v="#N/A"/>
    <n v="76514"/>
    <s v="25000151"/>
    <s v="Guillaume Boissonnat-Wu"/>
    <s v="Q2"/>
    <e v="#REF!"/>
    <e v="#REF!"/>
    <e v="#REF!"/>
  </r>
  <r>
    <s v="425200"/>
    <x v="6"/>
    <s v="PERSONNEL - NOTE DE FRAIS"/>
    <s v="NDF"/>
    <n v="-257.08999999999997"/>
    <d v="2025-02-06T00:00:00"/>
    <s v="NDF"/>
    <m/>
    <e v="#N/A"/>
    <e v="#N/A"/>
    <n v="75707"/>
    <s v="25000037"/>
    <s v="Emilie Amillastré"/>
    <s v="Q1"/>
    <e v="#REF!"/>
    <e v="#REF!"/>
    <e v="#REF!"/>
  </r>
  <r>
    <s v="425200"/>
    <x v="6"/>
    <s v="PERSONNEL - NOTE DE FRAIS"/>
    <s v="NDF"/>
    <n v="-254.22"/>
    <d v="2025-08-28T00:00:00"/>
    <s v="NDF 25000212"/>
    <m/>
    <e v="#N/A"/>
    <e v="#N/A"/>
    <n v="88105"/>
    <s v="25000212"/>
    <s v="Bob Fernandez"/>
    <s v="Q3"/>
    <e v="#REF!"/>
    <e v="#REF!"/>
    <e v="#REF!"/>
  </r>
  <r>
    <s v="425200"/>
    <x v="6"/>
    <s v="PERSONNEL - NOTE DE FRAIS"/>
    <s v="NDF"/>
    <n v="-248.4"/>
    <d v="2025-10-01T00:00:00"/>
    <s v="NDF 25000259"/>
    <m/>
    <e v="#N/A"/>
    <e v="#N/A"/>
    <n v="88448"/>
    <s v="25000259"/>
    <s v="Guillaume Boissonnat-Wu"/>
    <s v="Q4"/>
    <e v="#REF!"/>
    <e v="#REF!"/>
    <e v="#REF!"/>
  </r>
  <r>
    <s v="425200"/>
    <x v="6"/>
    <s v="PERSONNEL - NOTE DE FRAIS"/>
    <s v="NDF"/>
    <n v="-247"/>
    <d v="2025-06-18T00:00:00"/>
    <s v="NDF 25000186"/>
    <m/>
    <e v="#N/A"/>
    <e v="#N/A"/>
    <n v="88664"/>
    <s v="25000186"/>
    <s v="Yves Combret"/>
    <s v="Q2"/>
    <e v="#REF!"/>
    <e v="#REF!"/>
    <e v="#REF!"/>
  </r>
  <r>
    <s v="425200"/>
    <x v="6"/>
    <s v="PERSONNEL - NOTE DE FRAIS"/>
    <s v="NDF"/>
    <n v="-246.36"/>
    <d v="2025-10-06T00:00:00"/>
    <s v="NDF 25000275"/>
    <m/>
    <e v="#N/A"/>
    <e v="#N/A"/>
    <n v="88928"/>
    <s v="25000275"/>
    <s v="Jérémie Blache"/>
    <s v="Q4"/>
    <e v="#REF!"/>
    <e v="#REF!"/>
    <e v="#REF!"/>
  </r>
  <r>
    <s v="425200"/>
    <x v="6"/>
    <s v="PERSONNEL - NOTE DE FRAIS"/>
    <s v="NDF"/>
    <n v="-245.5"/>
    <d v="2025-07-25T00:00:00"/>
    <s v="NDF 25000196"/>
    <m/>
    <e v="#N/A"/>
    <e v="#N/A"/>
    <n v="88730"/>
    <s v="25000196"/>
    <s v="Benjamin Barry"/>
    <s v="Q3"/>
    <e v="#REF!"/>
    <e v="#REF!"/>
    <e v="#REF!"/>
  </r>
  <r>
    <s v="425200"/>
    <x v="6"/>
    <s v="PERSONNEL - NOTE DE FRAIS"/>
    <s v="NDF"/>
    <n v="-242.54"/>
    <d v="2025-10-14T00:00:00"/>
    <s v="NDF 25000275"/>
    <m/>
    <e v="#N/A"/>
    <e v="#N/A"/>
    <n v="88935"/>
    <s v="25000275"/>
    <s v="Jérémie Blache"/>
    <s v="Q4"/>
    <e v="#REF!"/>
    <e v="#REF!"/>
    <e v="#REF!"/>
  </r>
  <r>
    <s v="425200"/>
    <x v="6"/>
    <s v="PERSONNEL - NOTE DE FRAIS"/>
    <s v="NDF"/>
    <n v="-236.3"/>
    <d v="2025-06-18T00:00:00"/>
    <s v="NDF 25000111"/>
    <m/>
    <e v="#N/A"/>
    <e v="#N/A"/>
    <n v="89193"/>
    <s v="25000111"/>
    <s v="Pauline Rullière"/>
    <s v="Q2"/>
    <e v="#REF!"/>
    <e v="#REF!"/>
    <e v="#REF!"/>
  </r>
  <r>
    <s v="425200"/>
    <x v="6"/>
    <s v="PERSONNEL - NOTE DE FRAIS"/>
    <s v="NDF"/>
    <n v="-235.04"/>
    <d v="2025-04-30T00:00:00"/>
    <s v="NOTE DE FRAIS"/>
    <m/>
    <e v="#N/A"/>
    <e v="#N/A"/>
    <n v="74396"/>
    <s v="25000119"/>
    <s v="Nicolas Canu"/>
    <s v="Q2"/>
    <e v="#REF!"/>
    <e v="#REF!"/>
    <e v="#REF!"/>
  </r>
  <r>
    <s v="425200"/>
    <x v="6"/>
    <s v="PERSONNEL - NOTE DE FRAIS"/>
    <s v="NDF"/>
    <n v="-234.64"/>
    <d v="2025-02-19T00:00:00"/>
    <s v="NDF"/>
    <m/>
    <e v="#N/A"/>
    <e v="#N/A"/>
    <n v="75731"/>
    <s v="25000057"/>
    <s v="Guillaume Boissonnat-Wu"/>
    <s v="Q1"/>
    <e v="#REF!"/>
    <e v="#REF!"/>
    <e v="#REF!"/>
  </r>
  <r>
    <s v="425200"/>
    <x v="6"/>
    <s v="PERSONNEL - NOTE DE FRAIS"/>
    <s v="NDF"/>
    <n v="-232.89"/>
    <d v="2025-12-10T00:00:00"/>
    <s v="NDF 25000321"/>
    <m/>
    <e v="#N/A"/>
    <e v="#N/A"/>
    <n v="93275"/>
    <s v="25000321"/>
    <s v="Yves Combret"/>
    <s v="Q4"/>
    <e v="#REF!"/>
    <e v="#REF!"/>
    <e v="#REF!"/>
  </r>
  <r>
    <s v="425200"/>
    <x v="6"/>
    <s v="PERSONNEL - NOTE DE FRAIS"/>
    <s v="NDF"/>
    <n v="-230.58"/>
    <d v="2025-07-15T00:00:00"/>
    <s v="NDF 25000196"/>
    <m/>
    <e v="#N/A"/>
    <e v="#N/A"/>
    <n v="88753"/>
    <s v="25000196"/>
    <s v="Benjamin Barry"/>
    <s v="Q3"/>
    <e v="#REF!"/>
    <e v="#REF!"/>
    <e v="#REF!"/>
  </r>
  <r>
    <s v="425200"/>
    <x v="6"/>
    <s v="PERSONNEL - NOTE DE FRAIS"/>
    <s v="NDF"/>
    <n v="-229.83"/>
    <d v="2025-08-24T00:00:00"/>
    <s v="NDF 25000210"/>
    <m/>
    <e v="#N/A"/>
    <e v="#N/A"/>
    <n v="88109"/>
    <s v="25000210"/>
    <s v="Bob Fernandez"/>
    <s v="Q3"/>
    <e v="#REF!"/>
    <e v="#REF!"/>
    <e v="#REF!"/>
  </r>
  <r>
    <s v="425200"/>
    <x v="6"/>
    <s v="PERSONNEL - NOTE DE FRAIS"/>
    <s v="NDF"/>
    <n v="-229.55"/>
    <d v="2025-02-10T00:00:00"/>
    <s v="NDF"/>
    <m/>
    <e v="#N/A"/>
    <e v="#N/A"/>
    <n v="75723"/>
    <s v="25000034"/>
    <s v="Anne-Sophie Goutierre"/>
    <s v="Q1"/>
    <e v="#REF!"/>
    <e v="#REF!"/>
    <e v="#REF!"/>
  </r>
  <r>
    <s v="425200"/>
    <x v="6"/>
    <s v="PERSONNEL - NOTE DE FRAIS"/>
    <s v="NDF"/>
    <n v="-224.3"/>
    <d v="2025-07-07T00:00:00"/>
    <s v="NDF 25000111"/>
    <m/>
    <e v="#N/A"/>
    <e v="#N/A"/>
    <n v="89221"/>
    <s v="25000111"/>
    <s v="Pauline Rullière"/>
    <s v="Q3"/>
    <e v="#REF!"/>
    <e v="#REF!"/>
    <e v="#REF!"/>
  </r>
  <r>
    <s v="425200"/>
    <x v="6"/>
    <s v="PERSONNEL - NOTE DE FRAIS"/>
    <s v="NDF"/>
    <n v="-224.1"/>
    <d v="2025-03-12T00:00:00"/>
    <s v="NDF"/>
    <m/>
    <e v="#N/A"/>
    <e v="#N/A"/>
    <n v="75763"/>
    <s v="25000075"/>
    <s v="Marie-Sarah Adenis"/>
    <s v="Q1"/>
    <e v="#REF!"/>
    <e v="#REF!"/>
    <e v="#REF!"/>
  </r>
  <r>
    <s v="425200"/>
    <x v="6"/>
    <s v="PERSONNEL - NOTE DE FRAIS"/>
    <s v="NDF"/>
    <n v="-224"/>
    <d v="2025-10-29T00:00:00"/>
    <s v="NDF 25000246"/>
    <m/>
    <e v="#N/A"/>
    <e v="#N/A"/>
    <n v="88428"/>
    <s v="25000246"/>
    <s v="Maud Sanchez"/>
    <s v="Q4"/>
    <e v="#REF!"/>
    <e v="#REF!"/>
    <e v="#REF!"/>
  </r>
  <r>
    <s v="425200"/>
    <x v="6"/>
    <s v="PERSONNEL - NOTE DE FRAIS"/>
    <s v="NDF"/>
    <n v="-221.01"/>
    <d v="2025-10-07T00:00:00"/>
    <s v="NDF 25000275"/>
    <m/>
    <e v="#N/A"/>
    <e v="#N/A"/>
    <n v="88933"/>
    <s v="25000275"/>
    <s v="Jérémie Blache"/>
    <s v="Q4"/>
    <e v="#REF!"/>
    <e v="#REF!"/>
    <e v="#REF!"/>
  </r>
  <r>
    <s v="425200"/>
    <x v="6"/>
    <s v="PERSONNEL - NOTE DE FRAIS"/>
    <s v="NDF"/>
    <n v="-220"/>
    <d v="2025-10-02T00:00:00"/>
    <s v="NDF 25000338"/>
    <m/>
    <e v="#N/A"/>
    <e v="#N/A"/>
    <n v="95881"/>
    <s v="25000338"/>
    <s v="Alain Pinchard"/>
    <s v="Q4"/>
    <e v="#REF!"/>
    <e v="#REF!"/>
    <e v="#REF!"/>
  </r>
  <r>
    <s v="425200"/>
    <x v="6"/>
    <s v="PERSONNEL - NOTE DE FRAIS"/>
    <s v="NDF"/>
    <n v="-217.85"/>
    <d v="2025-07-23T00:00:00"/>
    <s v="NDF 25000194"/>
    <m/>
    <e v="#N/A"/>
    <e v="#N/A"/>
    <n v="88860"/>
    <s v="25000194"/>
    <s v="Marie Rézeau"/>
    <s v="Q3"/>
    <e v="#REF!"/>
    <e v="#REF!"/>
    <e v="#REF!"/>
  </r>
  <r>
    <s v="425200"/>
    <x v="6"/>
    <s v="PERSONNEL - NOTE DE FRAIS"/>
    <s v="NDF"/>
    <n v="-215"/>
    <d v="2025-08-12T00:00:00"/>
    <s v="NDF 25000207"/>
    <m/>
    <e v="#N/A"/>
    <e v="#N/A"/>
    <n v="89071"/>
    <s v="25000207"/>
    <s v="Bob Fernandez"/>
    <s v="Q3"/>
    <e v="#REF!"/>
    <e v="#REF!"/>
    <e v="#REF!"/>
  </r>
  <r>
    <s v="425200"/>
    <x v="6"/>
    <s v="PERSONNEL - NOTE DE FRAIS"/>
    <s v="NDF"/>
    <n v="-215"/>
    <d v="2025-11-18T00:00:00"/>
    <s v="NDF 25000305"/>
    <m/>
    <e v="#N/A"/>
    <e v="#N/A"/>
    <n v="93448"/>
    <s v="25000305"/>
    <s v="Marie-Sarah Adenis"/>
    <s v="Q4"/>
    <e v="#REF!"/>
    <e v="#REF!"/>
    <e v="#REF!"/>
  </r>
  <r>
    <s v="425200"/>
    <x v="6"/>
    <s v="PERSONNEL - NOTE DE FRAIS"/>
    <s v="NDF"/>
    <n v="-213.29"/>
    <d v="2025-11-24T00:00:00"/>
    <s v="NDF 25000296"/>
    <m/>
    <e v="#N/A"/>
    <e v="#N/A"/>
    <n v="90840"/>
    <s v="25000296"/>
    <s v="Jérémie Blache"/>
    <s v="Q4"/>
    <e v="#REF!"/>
    <e v="#REF!"/>
    <e v="#REF!"/>
  </r>
  <r>
    <s v="425200"/>
    <x v="6"/>
    <s v="PERSONNEL - NOTE DE FRAIS"/>
    <s v="NDF"/>
    <n v="-211.45"/>
    <d v="2025-03-28T00:00:00"/>
    <s v="NDF"/>
    <m/>
    <e v="#N/A"/>
    <e v="#N/A"/>
    <n v="76494"/>
    <s v="25000094"/>
    <s v="Benjamin Barry"/>
    <s v="Q1"/>
    <e v="#REF!"/>
    <e v="#REF!"/>
    <e v="#REF!"/>
  </r>
  <r>
    <s v="425200"/>
    <x v="6"/>
    <s v="PERSONNEL - NOTE DE FRAIS"/>
    <s v="NDF"/>
    <n v="-210"/>
    <d v="2025-10-02T00:00:00"/>
    <s v="NDF 25000263"/>
    <m/>
    <e v="#N/A"/>
    <e v="#N/A"/>
    <n v="88417"/>
    <s v="25000263"/>
    <s v="Yves Combret"/>
    <s v="Q4"/>
    <e v="#REF!"/>
    <e v="#REF!"/>
    <e v="#REF!"/>
  </r>
  <r>
    <s v="425200"/>
    <x v="6"/>
    <s v="PERSONNEL - NOTE DE FRAIS"/>
    <s v="NDF"/>
    <n v="-209"/>
    <d v="2025-07-04T00:00:00"/>
    <s v="NDF 25000193"/>
    <m/>
    <e v="#N/A"/>
    <e v="#N/A"/>
    <n v="88626"/>
    <s v="25000193"/>
    <s v="Océane Chabret"/>
    <s v="Q3"/>
    <e v="#REF!"/>
    <e v="#REF!"/>
    <e v="#REF!"/>
  </r>
  <r>
    <s v="425200"/>
    <x v="6"/>
    <s v="PERSONNEL - NOTE DE FRAIS"/>
    <s v="NDF"/>
    <n v="-204.45"/>
    <d v="2025-09-02T00:00:00"/>
    <s v="NDF 25000217"/>
    <m/>
    <e v="#N/A"/>
    <e v="#N/A"/>
    <n v="88115"/>
    <s v="25000217"/>
    <s v="Jérémie Blache"/>
    <s v="Q3"/>
    <e v="#REF!"/>
    <e v="#REF!"/>
    <e v="#REF!"/>
  </r>
  <r>
    <s v="425200"/>
    <x v="6"/>
    <s v="PERSONNEL - NOTE DE FRAIS"/>
    <s v="NDF"/>
    <n v="-204.4"/>
    <d v="2025-09-22T00:00:00"/>
    <s v="NDF 25000253"/>
    <m/>
    <e v="#N/A"/>
    <e v="#N/A"/>
    <n v="88467"/>
    <s v="25000253"/>
    <s v="Bob Fernandez"/>
    <s v="Q3"/>
    <e v="#REF!"/>
    <e v="#REF!"/>
    <e v="#REF!"/>
  </r>
  <r>
    <s v="425200"/>
    <x v="6"/>
    <s v="PERSONNEL - NOTE DE FRAIS"/>
    <s v="NDF"/>
    <n v="-204"/>
    <d v="2025-02-18T00:00:00"/>
    <s v="NDF"/>
    <m/>
    <e v="#N/A"/>
    <e v="#N/A"/>
    <n v="75729"/>
    <s v="25000040"/>
    <s v="Maud Sanchez"/>
    <s v="Q1"/>
    <e v="#REF!"/>
    <e v="#REF!"/>
    <e v="#REF!"/>
  </r>
  <r>
    <s v="425200"/>
    <x v="6"/>
    <s v="PERSONNEL - NOTE DE FRAIS"/>
    <s v="NDF"/>
    <n v="-201.29"/>
    <d v="2025-06-02T00:00:00"/>
    <s v="NDF"/>
    <m/>
    <e v="#N/A"/>
    <e v="#N/A"/>
    <n v="76743"/>
    <s v="25000165"/>
    <s v="Benjamin Barry"/>
    <s v="Q2"/>
    <e v="#REF!"/>
    <e v="#REF!"/>
    <e v="#REF!"/>
  </r>
  <r>
    <s v="425200"/>
    <x v="6"/>
    <s v="PERSONNEL - NOTE DE FRAIS"/>
    <s v="NDF"/>
    <n v="-200.3"/>
    <d v="2025-09-08T00:00:00"/>
    <s v="NDF 25000195"/>
    <m/>
    <e v="#N/A"/>
    <e v="#N/A"/>
    <n v="88145"/>
    <s v="25000195"/>
    <s v="Pauline Rullière"/>
    <s v="Q3"/>
    <e v="#REF!"/>
    <e v="#REF!"/>
    <e v="#REF!"/>
  </r>
  <r>
    <s v="425200"/>
    <x v="6"/>
    <s v="PERSONNEL - NOTE DE FRAIS"/>
    <s v="NDF"/>
    <n v="-200"/>
    <d v="2025-01-01T00:00:00"/>
    <s v="NOTE DE FRAIS"/>
    <m/>
    <e v="#N/A"/>
    <e v="#N/A"/>
    <n v="73602"/>
    <s v="25000003"/>
    <s v="Jérémie Blache"/>
    <s v="Q1"/>
    <e v="#REF!"/>
    <e v="#REF!"/>
    <e v="#REF!"/>
  </r>
  <r>
    <s v="425200"/>
    <x v="6"/>
    <s v="PERSONNEL - NOTE DE FRAIS"/>
    <s v="NDF"/>
    <n v="-200"/>
    <d v="2025-02-17T00:00:00"/>
    <s v="NOTE DE FRAIS"/>
    <m/>
    <e v="#N/A"/>
    <e v="#N/A"/>
    <n v="73679"/>
    <s v="25000032"/>
    <s v="Jérémie Blache"/>
    <s v="Q1"/>
    <e v="#REF!"/>
    <e v="#REF!"/>
    <e v="#REF!"/>
  </r>
  <r>
    <s v="425200"/>
    <x v="6"/>
    <s v="PERSONNEL - NOTE DE FRAIS"/>
    <s v="NDF"/>
    <n v="-200"/>
    <d v="2025-04-10T00:00:00"/>
    <s v="NOTE DE FRAIS"/>
    <m/>
    <e v="#N/A"/>
    <e v="#N/A"/>
    <n v="74304"/>
    <s v="25000116"/>
    <s v="Jérémie Blache"/>
    <s v="Q2"/>
    <e v="#REF!"/>
    <e v="#REF!"/>
    <e v="#REF!"/>
  </r>
  <r>
    <s v="425200"/>
    <x v="6"/>
    <s v="PERSONNEL - NOTE DE FRAIS"/>
    <s v="NDF"/>
    <n v="-200"/>
    <d v="2025-04-30T00:00:00"/>
    <s v="NOTE DE FRAIS"/>
    <m/>
    <e v="#N/A"/>
    <e v="#N/A"/>
    <n v="74394"/>
    <s v="25000138"/>
    <s v="Jérémie Blache"/>
    <s v="Q2"/>
    <e v="#REF!"/>
    <e v="#REF!"/>
    <e v="#REF!"/>
  </r>
  <r>
    <s v="425200"/>
    <x v="6"/>
    <s v="PERSONNEL - NOTE DE FRAIS"/>
    <s v="NDF"/>
    <n v="-200"/>
    <d v="2025-09-16T00:00:00"/>
    <s v="NDF 25000248"/>
    <m/>
    <e v="#N/A"/>
    <e v="#N/A"/>
    <n v="88566"/>
    <s v="25000248"/>
    <s v="Pierre-Yves Bolle"/>
    <s v="Q3"/>
    <e v="#REF!"/>
    <e v="#REF!"/>
    <e v="#REF!"/>
  </r>
  <r>
    <s v="425200"/>
    <x v="6"/>
    <s v="PERSONNEL - NOTE DE FRAIS"/>
    <s v="NDF"/>
    <n v="-199"/>
    <d v="2025-06-05T00:00:00"/>
    <s v="NDF 25000338"/>
    <m/>
    <e v="#N/A"/>
    <e v="#N/A"/>
    <n v="95932"/>
    <s v="25000338"/>
    <s v="Alain Pinchard"/>
    <s v="Q2"/>
    <e v="#REF!"/>
    <e v="#REF!"/>
    <e v="#REF!"/>
  </r>
  <r>
    <s v="425200"/>
    <x v="6"/>
    <s v="PERSONNEL - NOTE DE FRAIS"/>
    <s v="NDF"/>
    <n v="-199"/>
    <d v="2025-09-01T00:00:00"/>
    <s v="NDF 25000215"/>
    <m/>
    <e v="#N/A"/>
    <e v="#N/A"/>
    <n v="88093"/>
    <s v="25000215"/>
    <s v="Jérémie Blache"/>
    <s v="Q3"/>
    <e v="#REF!"/>
    <e v="#REF!"/>
    <e v="#REF!"/>
  </r>
  <r>
    <s v="425200"/>
    <x v="6"/>
    <s v="PERSONNEL - NOTE DE FRAIS"/>
    <s v="NDF"/>
    <n v="-198.48"/>
    <d v="2025-11-24T00:00:00"/>
    <s v="NDF 25000295"/>
    <m/>
    <e v="#N/A"/>
    <e v="#N/A"/>
    <n v="90904"/>
    <s v="25000295"/>
    <s v="Jérémie Blache"/>
    <s v="Q4"/>
    <e v="#REF!"/>
    <e v="#REF!"/>
    <e v="#REF!"/>
  </r>
  <r>
    <s v="425200"/>
    <x v="6"/>
    <s v="PERSONNEL - NOTE DE FRAIS"/>
    <s v="NDF"/>
    <n v="-198"/>
    <d v="2025-11-24T00:00:00"/>
    <s v="NDF 25000288"/>
    <m/>
    <e v="#N/A"/>
    <e v="#N/A"/>
    <n v="90919"/>
    <s v="25000288"/>
    <s v="Guillaume Boissonnat-Wu"/>
    <s v="Q4"/>
    <e v="#REF!"/>
    <e v="#REF!"/>
    <e v="#REF!"/>
  </r>
  <r>
    <s v="425200"/>
    <x v="6"/>
    <s v="PERSONNEL - NOTE DE FRAIS"/>
    <s v="NDF"/>
    <n v="-197.46"/>
    <d v="2025-12-09T00:00:00"/>
    <s v="NDF 25000332"/>
    <m/>
    <e v="#N/A"/>
    <e v="#N/A"/>
    <n v="93297"/>
    <s v="25000332"/>
    <s v="Yves Combret"/>
    <s v="Q4"/>
    <e v="#REF!"/>
    <e v="#REF!"/>
    <e v="#REF!"/>
  </r>
  <r>
    <s v="425200"/>
    <x v="6"/>
    <s v="PERSONNEL - NOTE DE FRAIS"/>
    <s v="NDF"/>
    <n v="-196"/>
    <d v="2025-04-15T00:00:00"/>
    <s v="NOTE DE FRAIS"/>
    <m/>
    <e v="#N/A"/>
    <e v="#N/A"/>
    <n v="74336"/>
    <s v="25000115"/>
    <s v="Eugénie Terrangle"/>
    <s v="Q2"/>
    <e v="#REF!"/>
    <e v="#REF!"/>
    <e v="#REF!"/>
  </r>
  <r>
    <s v="425200"/>
    <x v="6"/>
    <s v="PERSONNEL - NOTE DE FRAIS"/>
    <s v="NDF"/>
    <n v="-194.3"/>
    <d v="2025-11-03T00:00:00"/>
    <s v="NDF 25000195"/>
    <m/>
    <e v="#N/A"/>
    <e v="#N/A"/>
    <n v="88143"/>
    <s v="25000195"/>
    <s v="Pauline Rullière"/>
    <s v="Q4"/>
    <e v="#REF!"/>
    <e v="#REF!"/>
    <e v="#REF!"/>
  </r>
  <r>
    <s v="425200"/>
    <x v="6"/>
    <s v="PERSONNEL - NOTE DE FRAIS"/>
    <s v="NDF"/>
    <n v="-194"/>
    <d v="2025-10-01T00:00:00"/>
    <s v="NDF 25000246"/>
    <m/>
    <e v="#N/A"/>
    <e v="#N/A"/>
    <n v="88430"/>
    <s v="25000246"/>
    <s v="Maud Sanchez"/>
    <s v="Q4"/>
    <e v="#REF!"/>
    <e v="#REF!"/>
    <e v="#REF!"/>
  </r>
  <r>
    <s v="425200"/>
    <x v="6"/>
    <s v="PERSONNEL - NOTE DE FRAIS"/>
    <s v="NDF"/>
    <n v="-193"/>
    <d v="2025-09-29T00:00:00"/>
    <s v="NDF 25000254"/>
    <m/>
    <e v="#N/A"/>
    <e v="#N/A"/>
    <n v="88437"/>
    <s v="25000254"/>
    <s v="Bob Fernandez"/>
    <s v="Q3"/>
    <e v="#REF!"/>
    <e v="#REF!"/>
    <e v="#REF!"/>
  </r>
  <r>
    <s v="425200"/>
    <x v="6"/>
    <s v="PERSONNEL - NOTE DE FRAIS"/>
    <s v="NDF"/>
    <n v="-191.8"/>
    <d v="2025-06-10T00:00:00"/>
    <s v="NDF"/>
    <m/>
    <e v="#N/A"/>
    <e v="#N/A"/>
    <n v="76586"/>
    <s v="250000170"/>
    <s v="Marie de Almeida"/>
    <s v="Q2"/>
    <e v="#REF!"/>
    <e v="#REF!"/>
    <e v="#REF!"/>
  </r>
  <r>
    <s v="425200"/>
    <x v="6"/>
    <s v="PERSONNEL - NOTE DE FRAIS"/>
    <s v="NDF"/>
    <n v="-189.54"/>
    <d v="2025-12-02T00:00:00"/>
    <s v="NDF 25000306"/>
    <m/>
    <e v="#N/A"/>
    <e v="#N/A"/>
    <n v="93326"/>
    <s v="25000306"/>
    <s v="Jérémie Blache"/>
    <s v="Q4"/>
    <e v="#REF!"/>
    <e v="#REF!"/>
    <e v="#REF!"/>
  </r>
  <r>
    <s v="425200"/>
    <x v="6"/>
    <s v="PERSONNEL - NOTE DE FRAIS"/>
    <s v="NDF"/>
    <n v="-187.26"/>
    <d v="2025-01-14T00:00:00"/>
    <s v="NOTE DE FRAIS"/>
    <m/>
    <e v="#N/A"/>
    <e v="#N/A"/>
    <n v="73617"/>
    <s v="25000024"/>
    <s v="Loic masseboeuf"/>
    <s v="Q1"/>
    <e v="#REF!"/>
    <e v="#REF!"/>
    <e v="#REF!"/>
  </r>
  <r>
    <s v="425200"/>
    <x v="6"/>
    <s v="PERSONNEL - NOTE DE FRAIS"/>
    <s v="NDF"/>
    <n v="-185.81"/>
    <d v="2025-11-18T00:00:00"/>
    <s v="NDF 25000307"/>
    <m/>
    <e v="#N/A"/>
    <e v="#N/A"/>
    <n v="93362"/>
    <s v="25000307"/>
    <s v="Marie-Sarah Adenis"/>
    <s v="Q4"/>
    <e v="#REF!"/>
    <e v="#REF!"/>
    <e v="#REF!"/>
  </r>
  <r>
    <s v="425200"/>
    <x v="6"/>
    <s v="PERSONNEL - NOTE DE FRAIS"/>
    <s v="NDF"/>
    <n v="-180"/>
    <d v="2025-04-01T00:00:00"/>
    <s v="NDF"/>
    <m/>
    <e v="#N/A"/>
    <e v="#N/A"/>
    <n v="76498"/>
    <s v="25000100"/>
    <s v="Julie Lacondemine"/>
    <s v="Q2"/>
    <e v="#REF!"/>
    <e v="#REF!"/>
    <e v="#REF!"/>
  </r>
  <r>
    <s v="425200"/>
    <x v="6"/>
    <s v="PERSONNEL - NOTE DE FRAIS"/>
    <s v="NDF"/>
    <n v="-176.9"/>
    <d v="2025-08-26T00:00:00"/>
    <s v="NDF 25000219"/>
    <m/>
    <e v="#N/A"/>
    <e v="#N/A"/>
    <n v="88167"/>
    <s v="25000219"/>
    <s v="Kevin Cottet"/>
    <s v="Q3"/>
    <e v="#REF!"/>
    <e v="#REF!"/>
    <e v="#REF!"/>
  </r>
  <r>
    <s v="425200"/>
    <x v="6"/>
    <s v="PERSONNEL - NOTE DE FRAIS"/>
    <s v="NDF"/>
    <n v="-176.3"/>
    <d v="2025-06-16T00:00:00"/>
    <s v="NDF 25000201"/>
    <m/>
    <e v="#N/A"/>
    <e v="#N/A"/>
    <n v="88826"/>
    <s v="25000201"/>
    <s v="Kevin Cottet"/>
    <s v="Q2"/>
    <e v="#REF!"/>
    <e v="#REF!"/>
    <e v="#REF!"/>
  </r>
  <r>
    <s v="425200"/>
    <x v="6"/>
    <s v="PERSONNEL - NOTE DE FRAIS"/>
    <s v="NDF"/>
    <n v="-176"/>
    <d v="2025-07-02T00:00:00"/>
    <s v="NDF 25000179"/>
    <m/>
    <e v="#N/A"/>
    <e v="#N/A"/>
    <n v="88646"/>
    <s v="25000179"/>
    <s v="Bob Fernandez"/>
    <s v="Q3"/>
    <e v="#REF!"/>
    <e v="#REF!"/>
    <e v="#REF!"/>
  </r>
  <r>
    <s v="425200"/>
    <x v="6"/>
    <s v="PERSONNEL - NOTE DE FRAIS"/>
    <s v="NDF"/>
    <n v="-175"/>
    <d v="2025-10-13T00:00:00"/>
    <s v="NDF 25000274"/>
    <m/>
    <e v="#N/A"/>
    <e v="#N/A"/>
    <n v="88913"/>
    <s v="25000274"/>
    <s v="Maud Sanchez"/>
    <s v="Q4"/>
    <e v="#REF!"/>
    <e v="#REF!"/>
    <e v="#REF!"/>
  </r>
  <r>
    <s v="425200"/>
    <x v="6"/>
    <s v="PERSONNEL - NOTE DE FRAIS"/>
    <s v="NDF"/>
    <n v="-174"/>
    <d v="2025-02-25T00:00:00"/>
    <s v="NOTE DE FRAIS"/>
    <m/>
    <e v="#N/A"/>
    <e v="#N/A"/>
    <n v="73706"/>
    <s v="25000051"/>
    <s v="Thibault Dejardin"/>
    <s v="Q1"/>
    <e v="#REF!"/>
    <e v="#REF!"/>
    <e v="#REF!"/>
  </r>
  <r>
    <s v="425200"/>
    <x v="6"/>
    <s v="PERSONNEL - NOTE DE FRAIS"/>
    <s v="NDF"/>
    <n v="-174"/>
    <d v="2025-10-02T00:00:00"/>
    <s v="NDF 25000260"/>
    <m/>
    <e v="#N/A"/>
    <e v="#N/A"/>
    <n v="89241"/>
    <s v="25000260"/>
    <s v="Pauline Rullière"/>
    <s v="Q4"/>
    <e v="#REF!"/>
    <e v="#REF!"/>
    <e v="#REF!"/>
  </r>
  <r>
    <s v="425200"/>
    <x v="6"/>
    <s v="PERSONNEL - NOTE DE FRAIS"/>
    <s v="NDF"/>
    <n v="-173.99"/>
    <d v="2025-04-22T00:00:00"/>
    <s v="25000139"/>
    <m/>
    <e v="#N/A"/>
    <e v="#N/A"/>
    <n v="74350"/>
    <s v="25000139"/>
    <s v="Emilie Amillastré"/>
    <s v="Q2"/>
    <e v="#REF!"/>
    <e v="#REF!"/>
    <e v="#REF!"/>
  </r>
  <r>
    <s v="425200"/>
    <x v="6"/>
    <s v="PERSONNEL - NOTE DE FRAIS"/>
    <s v="NDF"/>
    <n v="-173.9"/>
    <d v="2025-12-10T00:00:00"/>
    <s v="NDF 25000325"/>
    <m/>
    <e v="#N/A"/>
    <e v="#N/A"/>
    <n v="95779"/>
    <s v="25000325"/>
    <s v="Marie Rézeau"/>
    <s v="Q4"/>
    <e v="#REF!"/>
    <e v="#REF!"/>
    <e v="#REF!"/>
  </r>
  <r>
    <s v="425200"/>
    <x v="6"/>
    <s v="PERSONNEL - NOTE DE FRAIS"/>
    <s v="NDF"/>
    <n v="-169"/>
    <d v="2025-06-03T00:00:00"/>
    <s v="NDF 25000338"/>
    <m/>
    <e v="#N/A"/>
    <e v="#N/A"/>
    <n v="95885"/>
    <s v="25000338"/>
    <s v="Alain Pinchard"/>
    <s v="Q2"/>
    <e v="#REF!"/>
    <e v="#REF!"/>
    <e v="#REF!"/>
  </r>
  <r>
    <s v="425200"/>
    <x v="6"/>
    <s v="PERSONNEL - NOTE DE FRAIS"/>
    <s v="NDF"/>
    <n v="-168"/>
    <d v="2025-11-24T00:00:00"/>
    <s v="NDF 25000301"/>
    <m/>
    <e v="#N/A"/>
    <e v="#N/A"/>
    <n v="90877"/>
    <s v="25000301"/>
    <s v="Maud Sanchez"/>
    <s v="Q4"/>
    <e v="#REF!"/>
    <e v="#REF!"/>
    <e v="#REF!"/>
  </r>
  <r>
    <s v="425200"/>
    <x v="6"/>
    <s v="PERSONNEL - NOTE DE FRAIS"/>
    <s v="NDF"/>
    <n v="-166.82"/>
    <d v="2025-01-14T00:00:00"/>
    <s v="NDF"/>
    <m/>
    <e v="#N/A"/>
    <e v="#N/A"/>
    <n v="75687"/>
    <s v="25000025"/>
    <s v="Loic masseboeuf"/>
    <s v="Q1"/>
    <e v="#REF!"/>
    <e v="#REF!"/>
    <e v="#REF!"/>
  </r>
  <r>
    <s v="425200"/>
    <x v="6"/>
    <s v="PERSONNEL - NOTE DE FRAIS"/>
    <s v="NDF"/>
    <n v="-165.25"/>
    <d v="2025-09-09T00:00:00"/>
    <s v="NDF 25000195"/>
    <m/>
    <e v="#N/A"/>
    <e v="#N/A"/>
    <n v="88111"/>
    <s v="25000195"/>
    <s v="Pauline Rullière"/>
    <s v="Q3"/>
    <e v="#REF!"/>
    <e v="#REF!"/>
    <e v="#REF!"/>
  </r>
  <r>
    <s v="425200"/>
    <x v="6"/>
    <s v="PERSONNEL - NOTE DE FRAIS"/>
    <s v="NDF"/>
    <n v="-164.2"/>
    <d v="2025-03-25T00:00:00"/>
    <s v="NOTE DE FRAIS"/>
    <m/>
    <e v="#N/A"/>
    <e v="#N/A"/>
    <n v="74204"/>
    <s v="25000089"/>
    <s v="Bob Fernandez"/>
    <s v="Q1"/>
    <e v="#REF!"/>
    <e v="#REF!"/>
    <e v="#REF!"/>
  </r>
  <r>
    <s v="425200"/>
    <x v="6"/>
    <s v="PERSONNEL - NOTE DE FRAIS"/>
    <s v="NDF"/>
    <n v="-163.69999999999999"/>
    <d v="2025-04-02T00:00:00"/>
    <s v="NDF"/>
    <m/>
    <e v="#N/A"/>
    <e v="#N/A"/>
    <n v="75459"/>
    <s v="25000055"/>
    <s v="Lucie Crépin"/>
    <s v="Q2"/>
    <e v="#REF!"/>
    <e v="#REF!"/>
    <e v="#REF!"/>
  </r>
  <r>
    <s v="425200"/>
    <x v="6"/>
    <s v="PERSONNEL - NOTE DE FRAIS"/>
    <s v="NDF"/>
    <n v="-162"/>
    <d v="2025-10-02T00:00:00"/>
    <s v="NDF 25000260"/>
    <m/>
    <e v="#N/A"/>
    <e v="#N/A"/>
    <n v="89243"/>
    <s v="25000260"/>
    <s v="Pauline Rullière"/>
    <s v="Q4"/>
    <e v="#REF!"/>
    <e v="#REF!"/>
    <e v="#REF!"/>
  </r>
  <r>
    <s v="425200"/>
    <x v="6"/>
    <s v="PERSONNEL - NOTE DE FRAIS"/>
    <s v="NDF"/>
    <n v="-158.63"/>
    <d v="2025-09-29T00:00:00"/>
    <s v="NDF 25000255"/>
    <m/>
    <e v="#N/A"/>
    <e v="#N/A"/>
    <n v="88945"/>
    <s v="25000255"/>
    <s v="Emilie Amillastré"/>
    <s v="Q3"/>
    <e v="#REF!"/>
    <e v="#REF!"/>
    <e v="#REF!"/>
  </r>
  <r>
    <s v="425200"/>
    <x v="6"/>
    <s v="PERSONNEL - NOTE DE FRAIS"/>
    <s v="NDF"/>
    <n v="-157.19999999999999"/>
    <d v="2025-11-24T00:00:00"/>
    <s v="NDF 25000279"/>
    <m/>
    <e v="#N/A"/>
    <e v="#N/A"/>
    <n v="90908"/>
    <s v="25000279"/>
    <s v="Bob Fernandez"/>
    <s v="Q4"/>
    <e v="#REF!"/>
    <e v="#REF!"/>
    <e v="#REF!"/>
  </r>
  <r>
    <s v="425200"/>
    <x v="6"/>
    <s v="PERSONNEL - NOTE DE FRAIS"/>
    <s v="NDF"/>
    <n v="-156.51"/>
    <d v="2025-04-07T00:00:00"/>
    <s v="NOTE DE FRAIS"/>
    <m/>
    <e v="#N/A"/>
    <e v="#N/A"/>
    <n v="74295"/>
    <s v="25000109"/>
    <s v="Mylène Menanteau"/>
    <s v="Q2"/>
    <e v="#REF!"/>
    <e v="#REF!"/>
    <e v="#REF!"/>
  </r>
  <r>
    <s v="425200"/>
    <x v="6"/>
    <s v="PERSONNEL - NOTE DE FRAIS"/>
    <s v="NDF"/>
    <n v="-155"/>
    <d v="2025-11-24T00:00:00"/>
    <s v="NDF 25000284"/>
    <m/>
    <e v="#N/A"/>
    <e v="#N/A"/>
    <n v="90941"/>
    <s v="25000284"/>
    <s v="Pierre-Yves Bolle"/>
    <s v="Q4"/>
    <e v="#REF!"/>
    <e v="#REF!"/>
    <e v="#REF!"/>
  </r>
  <r>
    <s v="425200"/>
    <x v="6"/>
    <s v="PERSONNEL - NOTE DE FRAIS"/>
    <s v="NDF"/>
    <n v="-154"/>
    <d v="2025-09-23T00:00:00"/>
    <s v="NDF 25000195"/>
    <m/>
    <e v="#N/A"/>
    <e v="#N/A"/>
    <n v="88157"/>
    <s v="25000195"/>
    <s v="Pauline Rullière"/>
    <s v="Q3"/>
    <e v="#REF!"/>
    <e v="#REF!"/>
    <e v="#REF!"/>
  </r>
  <r>
    <s v="425200"/>
    <x v="6"/>
    <s v="PERSONNEL - NOTE DE FRAIS"/>
    <s v="NDF"/>
    <n v="-152.02000000000001"/>
    <d v="2025-10-21T00:00:00"/>
    <s v="NDF 25000286"/>
    <m/>
    <e v="#N/A"/>
    <e v="#N/A"/>
    <n v="88937"/>
    <s v="25000286"/>
    <s v="Benjamin Gil"/>
    <s v="Q4"/>
    <e v="#REF!"/>
    <e v="#REF!"/>
    <e v="#REF!"/>
  </r>
  <r>
    <s v="425200"/>
    <x v="6"/>
    <s v="PERSONNEL - NOTE DE FRAIS"/>
    <s v="NDF"/>
    <n v="-151.83000000000001"/>
    <d v="2025-07-25T00:00:00"/>
    <s v="NDF 25000194"/>
    <m/>
    <e v="#N/A"/>
    <e v="#N/A"/>
    <n v="88851"/>
    <s v="25000194"/>
    <s v="Marie Rézeau"/>
    <s v="Q3"/>
    <e v="#REF!"/>
    <e v="#REF!"/>
    <e v="#REF!"/>
  </r>
  <r>
    <s v="425200"/>
    <x v="6"/>
    <s v="PERSONNEL - NOTE DE FRAIS"/>
    <s v="NDF"/>
    <n v="-151.33000000000001"/>
    <d v="2025-06-17T00:00:00"/>
    <s v="NDF 25000201"/>
    <m/>
    <e v="#N/A"/>
    <e v="#N/A"/>
    <n v="88828"/>
    <s v="25000201"/>
    <s v="Kevin Cottet"/>
    <s v="Q2"/>
    <e v="#REF!"/>
    <e v="#REF!"/>
    <e v="#REF!"/>
  </r>
  <r>
    <s v="425200"/>
    <x v="6"/>
    <s v="PERSONNEL - NOTE DE FRAIS"/>
    <s v="NDF"/>
    <n v="-150.58000000000001"/>
    <d v="2025-06-24T00:00:00"/>
    <s v="NDF 25000111"/>
    <m/>
    <e v="#N/A"/>
    <e v="#N/A"/>
    <n v="89211"/>
    <s v="25000111"/>
    <s v="Pauline Rullière"/>
    <s v="Q2"/>
    <e v="#REF!"/>
    <e v="#REF!"/>
    <e v="#REF!"/>
  </r>
  <r>
    <s v="425200"/>
    <x v="6"/>
    <s v="PERSONNEL - NOTE DE FRAIS"/>
    <s v="NDF"/>
    <n v="-150.04"/>
    <d v="2025-09-16T00:00:00"/>
    <s v="NDF 25000231"/>
    <m/>
    <e v="#N/A"/>
    <e v="#N/A"/>
    <n v="88523"/>
    <s v="25000231"/>
    <s v="Jérémie Blache"/>
    <s v="Q3"/>
    <e v="#REF!"/>
    <e v="#REF!"/>
    <e v="#REF!"/>
  </r>
  <r>
    <s v="425200"/>
    <x v="6"/>
    <s v="PERSONNEL - NOTE DE FRAIS"/>
    <s v="NDF"/>
    <n v="-150"/>
    <d v="2025-07-01T00:00:00"/>
    <s v="NDF 25000190"/>
    <m/>
    <e v="#N/A"/>
    <e v="#N/A"/>
    <n v="88805"/>
    <s v="25000190"/>
    <s v="Marie-Sarah Adenis"/>
    <s v="Q3"/>
    <e v="#REF!"/>
    <e v="#REF!"/>
    <e v="#REF!"/>
  </r>
  <r>
    <s v="425200"/>
    <x v="6"/>
    <s v="PERSONNEL - NOTE DE FRAIS"/>
    <s v="NDF"/>
    <n v="-149.99"/>
    <d v="2025-07-01T00:00:00"/>
    <s v="NDF 25000190"/>
    <m/>
    <e v="#N/A"/>
    <e v="#N/A"/>
    <n v="88795"/>
    <s v="25000190"/>
    <s v="Marie-Sarah Adenis"/>
    <s v="Q3"/>
    <e v="#REF!"/>
    <e v="#REF!"/>
    <e v="#REF!"/>
  </r>
  <r>
    <s v="425200"/>
    <x v="6"/>
    <s v="PERSONNEL - NOTE DE FRAIS"/>
    <s v="NDF"/>
    <n v="-149.99"/>
    <d v="2025-11-24T00:00:00"/>
    <s v="NDF 25000297"/>
    <m/>
    <e v="#N/A"/>
    <e v="#N/A"/>
    <n v="90988"/>
    <s v="25000297"/>
    <s v="Marie-Sarah Adenis"/>
    <s v="Q4"/>
    <e v="#REF!"/>
    <e v="#REF!"/>
    <e v="#REF!"/>
  </r>
  <r>
    <s v="425200"/>
    <x v="6"/>
    <s v="PERSONNEL - NOTE DE FRAIS"/>
    <s v="NDF"/>
    <n v="-149"/>
    <d v="2025-09-02T00:00:00"/>
    <s v="NDF 25000270"/>
    <m/>
    <e v="#N/A"/>
    <e v="#N/A"/>
    <n v="89003"/>
    <s v="25000270"/>
    <s v="Kevin Cottet"/>
    <s v="Q3"/>
    <e v="#REF!"/>
    <e v="#REF!"/>
    <e v="#REF!"/>
  </r>
  <r>
    <s v="425200"/>
    <x v="6"/>
    <s v="PERSONNEL - NOTE DE FRAIS"/>
    <s v="NDF"/>
    <n v="-147.80000000000001"/>
    <d v="2025-06-03T00:00:00"/>
    <s v="NDF 25000201"/>
    <m/>
    <e v="#N/A"/>
    <e v="#N/A"/>
    <n v="88834"/>
    <s v="25000201"/>
    <s v="Kevin Cottet"/>
    <s v="Q2"/>
    <e v="#REF!"/>
    <e v="#REF!"/>
    <e v="#REF!"/>
  </r>
  <r>
    <s v="425200"/>
    <x v="6"/>
    <s v="PERSONNEL - NOTE DE FRAIS"/>
    <s v="NDF"/>
    <n v="-147.80000000000001"/>
    <d v="2025-06-24T00:00:00"/>
    <s v="NDF 25000201"/>
    <m/>
    <e v="#N/A"/>
    <e v="#N/A"/>
    <n v="88832"/>
    <s v="25000201"/>
    <s v="Kevin Cottet"/>
    <s v="Q2"/>
    <e v="#REF!"/>
    <e v="#REF!"/>
    <e v="#REF!"/>
  </r>
  <r>
    <s v="425200"/>
    <x v="6"/>
    <s v="PERSONNEL - NOTE DE FRAIS"/>
    <s v="NDF"/>
    <n v="-147.80000000000001"/>
    <d v="2025-07-01T00:00:00"/>
    <s v="NDF 25000206"/>
    <m/>
    <e v="#N/A"/>
    <e v="#N/A"/>
    <n v="89080"/>
    <s v="25000206"/>
    <s v="Kevin Cottet"/>
    <s v="Q3"/>
    <e v="#REF!"/>
    <e v="#REF!"/>
    <e v="#REF!"/>
  </r>
  <r>
    <s v="425200"/>
    <x v="6"/>
    <s v="PERSONNEL - NOTE DE FRAIS"/>
    <s v="NDF"/>
    <n v="-147.80000000000001"/>
    <d v="2025-07-29T00:00:00"/>
    <s v="NDF 25000206"/>
    <m/>
    <e v="#N/A"/>
    <e v="#N/A"/>
    <n v="89084"/>
    <s v="25000206"/>
    <s v="Kevin Cottet"/>
    <s v="Q3"/>
    <e v="#REF!"/>
    <e v="#REF!"/>
    <e v="#REF!"/>
  </r>
  <r>
    <s v="425200"/>
    <x v="6"/>
    <s v="PERSONNEL - NOTE DE FRAIS"/>
    <s v="NDF"/>
    <n v="-147.80000000000001"/>
    <d v="2025-09-24T00:00:00"/>
    <s v="NDF 25000270"/>
    <m/>
    <e v="#N/A"/>
    <e v="#N/A"/>
    <n v="89001"/>
    <s v="25000270"/>
    <s v="Kevin Cottet"/>
    <s v="Q3"/>
    <e v="#REF!"/>
    <e v="#REF!"/>
    <e v="#REF!"/>
  </r>
  <r>
    <s v="425200"/>
    <x v="6"/>
    <s v="PERSONNEL - NOTE DE FRAIS"/>
    <s v="NDF"/>
    <n v="-147.80000000000001"/>
    <d v="2025-10-01T00:00:00"/>
    <s v="NDF 25000281"/>
    <m/>
    <e v="#N/A"/>
    <e v="#N/A"/>
    <n v="89007"/>
    <s v="25000281"/>
    <s v="Kevin Cottet"/>
    <s v="Q4"/>
    <e v="#REF!"/>
    <e v="#REF!"/>
    <e v="#REF!"/>
  </r>
  <r>
    <s v="425200"/>
    <x v="6"/>
    <s v="PERSONNEL - NOTE DE FRAIS"/>
    <s v="NDF"/>
    <n v="-147.80000000000001"/>
    <d v="2025-10-07T00:00:00"/>
    <s v="NDF 25000281"/>
    <m/>
    <e v="#N/A"/>
    <e v="#N/A"/>
    <n v="89005"/>
    <s v="25000281"/>
    <s v="Kevin Cottet"/>
    <s v="Q4"/>
    <e v="#REF!"/>
    <e v="#REF!"/>
    <e v="#REF!"/>
  </r>
  <r>
    <s v="425200"/>
    <x v="6"/>
    <s v="PERSONNEL - NOTE DE FRAIS"/>
    <s v="NDF"/>
    <n v="-147.80000000000001"/>
    <d v="2025-10-14T00:00:00"/>
    <s v="NDF 25000281"/>
    <m/>
    <e v="#N/A"/>
    <e v="#N/A"/>
    <n v="89016"/>
    <s v="25000281"/>
    <s v="Kevin Cottet"/>
    <s v="Q4"/>
    <e v="#REF!"/>
    <e v="#REF!"/>
    <e v="#REF!"/>
  </r>
  <r>
    <s v="425200"/>
    <x v="6"/>
    <s v="PERSONNEL - NOTE DE FRAIS"/>
    <s v="NDF"/>
    <n v="-147.80000000000001"/>
    <d v="2025-11-24T00:00:00"/>
    <s v="NDF 25000294"/>
    <m/>
    <e v="#N/A"/>
    <e v="#N/A"/>
    <n v="90898"/>
    <s v="25000294"/>
    <s v="Kevin Cottet"/>
    <s v="Q4"/>
    <e v="#REF!"/>
    <e v="#REF!"/>
    <e v="#REF!"/>
  </r>
  <r>
    <s v="425200"/>
    <x v="6"/>
    <s v="PERSONNEL - NOTE DE FRAIS"/>
    <s v="NDF"/>
    <n v="-146.83000000000001"/>
    <d v="2025-10-02T00:00:00"/>
    <s v="NDF 25000281"/>
    <m/>
    <e v="#N/A"/>
    <e v="#N/A"/>
    <n v="89009"/>
    <s v="25000281"/>
    <s v="Kevin Cottet"/>
    <s v="Q4"/>
    <e v="#REF!"/>
    <e v="#REF!"/>
    <e v="#REF!"/>
  </r>
  <r>
    <s v="425200"/>
    <x v="6"/>
    <s v="PERSONNEL - NOTE DE FRAIS"/>
    <s v="NDF"/>
    <n v="-143.83000000000001"/>
    <d v="2025-03-25T00:00:00"/>
    <s v="NDF"/>
    <m/>
    <e v="#N/A"/>
    <e v="#N/A"/>
    <n v="75787"/>
    <s v="25000108"/>
    <s v="Mylène Menanteau"/>
    <s v="Q1"/>
    <e v="#REF!"/>
    <e v="#REF!"/>
    <e v="#REF!"/>
  </r>
  <r>
    <s v="425200"/>
    <x v="6"/>
    <s v="PERSONNEL - NOTE DE FRAIS"/>
    <s v="NDF"/>
    <n v="-140.53"/>
    <d v="2025-10-14T00:00:00"/>
    <s v="NDF 25000267"/>
    <m/>
    <e v="#N/A"/>
    <e v="#N/A"/>
    <n v="88916"/>
    <s v="25000267"/>
    <s v="Julie Lacondemine"/>
    <s v="Q4"/>
    <e v="#REF!"/>
    <e v="#REF!"/>
    <e v="#REF!"/>
  </r>
  <r>
    <s v="425200"/>
    <x v="6"/>
    <s v="PERSONNEL - NOTE DE FRAIS"/>
    <s v="NDF"/>
    <n v="-140.09"/>
    <d v="2025-11-24T00:00:00"/>
    <s v="NDF 25000295"/>
    <m/>
    <e v="#N/A"/>
    <e v="#N/A"/>
    <n v="90902"/>
    <s v="25000295"/>
    <s v="Jérémie Blache"/>
    <s v="Q4"/>
    <e v="#REF!"/>
    <e v="#REF!"/>
    <e v="#REF!"/>
  </r>
  <r>
    <s v="425200"/>
    <x v="6"/>
    <s v="PERSONNEL - NOTE DE FRAIS"/>
    <s v="NDF"/>
    <n v="-139.5"/>
    <d v="2025-11-24T00:00:00"/>
    <s v="NDF 25000297"/>
    <m/>
    <e v="#N/A"/>
    <e v="#N/A"/>
    <n v="90984"/>
    <s v="25000297"/>
    <s v="Marie-Sarah Adenis"/>
    <s v="Q4"/>
    <e v="#REF!"/>
    <e v="#REF!"/>
    <e v="#REF!"/>
  </r>
  <r>
    <s v="425200"/>
    <x v="6"/>
    <s v="PERSONNEL - NOTE DE FRAIS"/>
    <s v="NDF"/>
    <n v="-139.33000000000001"/>
    <d v="2025-09-09T00:00:00"/>
    <s v="NDF 25000218"/>
    <m/>
    <e v="#N/A"/>
    <e v="#N/A"/>
    <n v="88113"/>
    <s v="25000218"/>
    <s v="Jérémie Blache"/>
    <s v="Q3"/>
    <e v="#REF!"/>
    <e v="#REF!"/>
    <e v="#REF!"/>
  </r>
  <r>
    <s v="425200"/>
    <x v="6"/>
    <s v="PERSONNEL - NOTE DE FRAIS"/>
    <s v="NDF"/>
    <n v="-138"/>
    <d v="2025-06-16T00:00:00"/>
    <s v="NDF 25000202"/>
    <m/>
    <e v="#N/A"/>
    <e v="#N/A"/>
    <n v="88824"/>
    <s v="25000202"/>
    <s v="Pierre-Yves Bolle"/>
    <s v="Q2"/>
    <e v="#REF!"/>
    <e v="#REF!"/>
    <e v="#REF!"/>
  </r>
  <r>
    <s v="425200"/>
    <x v="6"/>
    <s v="PERSONNEL - NOTE DE FRAIS"/>
    <s v="NDF"/>
    <n v="-138"/>
    <d v="2025-07-03T00:00:00"/>
    <s v="NDF 25000202"/>
    <m/>
    <e v="#N/A"/>
    <e v="#N/A"/>
    <n v="88820"/>
    <s v="25000202"/>
    <s v="Pierre-Yves Bolle"/>
    <s v="Q3"/>
    <e v="#REF!"/>
    <e v="#REF!"/>
    <e v="#REF!"/>
  </r>
  <r>
    <s v="425200"/>
    <x v="6"/>
    <s v="PERSONNEL - NOTE DE FRAIS"/>
    <s v="NDF"/>
    <n v="-137.19999999999999"/>
    <d v="2025-07-22T00:00:00"/>
    <s v="NDF 25000206"/>
    <m/>
    <e v="#N/A"/>
    <e v="#N/A"/>
    <n v="89082"/>
    <s v="25000206"/>
    <s v="Kevin Cottet"/>
    <s v="Q3"/>
    <e v="#REF!"/>
    <e v="#REF!"/>
    <e v="#REF!"/>
  </r>
  <r>
    <s v="425200"/>
    <x v="6"/>
    <s v="PERSONNEL - NOTE DE FRAIS"/>
    <s v="NDF"/>
    <n v="-136.27000000000001"/>
    <d v="2025-09-08T00:00:00"/>
    <s v="NDF 25000248"/>
    <m/>
    <e v="#N/A"/>
    <e v="#N/A"/>
    <n v="88556"/>
    <s v="25000248"/>
    <s v="Pierre-Yves Bolle"/>
    <s v="Q3"/>
    <e v="#REF!"/>
    <e v="#REF!"/>
    <e v="#REF!"/>
  </r>
  <r>
    <s v="425200"/>
    <x v="6"/>
    <s v="PERSONNEL - NOTE DE FRAIS"/>
    <s v="NDF"/>
    <n v="-135.94999999999999"/>
    <d v="2025-11-24T00:00:00"/>
    <s v="NDF 25000293"/>
    <m/>
    <e v="#N/A"/>
    <e v="#N/A"/>
    <n v="90895"/>
    <s v="25000293"/>
    <s v="Julie Lacondemine"/>
    <s v="Q4"/>
    <e v="#REF!"/>
    <e v="#REF!"/>
    <e v="#REF!"/>
  </r>
  <r>
    <s v="425200"/>
    <x v="6"/>
    <s v="PERSONNEL - NOTE DE FRAIS"/>
    <s v="NDF"/>
    <n v="-133.80000000000001"/>
    <d v="2025-08-12T00:00:00"/>
    <s v="NDF 25000219"/>
    <m/>
    <e v="#N/A"/>
    <e v="#N/A"/>
    <n v="88163"/>
    <s v="25000219"/>
    <s v="Kevin Cottet"/>
    <s v="Q3"/>
    <e v="#REF!"/>
    <e v="#REF!"/>
    <e v="#REF!"/>
  </r>
  <r>
    <s v="425200"/>
    <x v="6"/>
    <s v="PERSONNEL - NOTE DE FRAIS"/>
    <s v="NDF"/>
    <n v="-133.80000000000001"/>
    <d v="2025-08-19T00:00:00"/>
    <s v="NDF 25000219"/>
    <m/>
    <e v="#N/A"/>
    <e v="#N/A"/>
    <n v="88165"/>
    <s v="25000219"/>
    <s v="Kevin Cottet"/>
    <s v="Q3"/>
    <e v="#REF!"/>
    <e v="#REF!"/>
    <e v="#REF!"/>
  </r>
  <r>
    <s v="425200"/>
    <x v="6"/>
    <s v="PERSONNEL - NOTE DE FRAIS"/>
    <s v="NDF"/>
    <n v="-133.25"/>
    <d v="2025-11-03T00:00:00"/>
    <s v="NDF 25000289"/>
    <m/>
    <e v="#N/A"/>
    <e v="#N/A"/>
    <n v="93483"/>
    <s v="25000289"/>
    <s v="Pauline Rullière"/>
    <s v="Q4"/>
    <e v="#REF!"/>
    <e v="#REF!"/>
    <e v="#REF!"/>
  </r>
  <r>
    <s v="425200"/>
    <x v="6"/>
    <s v="PERSONNEL - NOTE DE FRAIS"/>
    <s v="NDF"/>
    <n v="-131.30000000000001"/>
    <d v="2025-10-03T00:00:00"/>
    <s v="NDF 25000195"/>
    <m/>
    <e v="#N/A"/>
    <e v="#N/A"/>
    <n v="88159"/>
    <s v="25000195"/>
    <s v="Pauline Rullière"/>
    <s v="Q4"/>
    <e v="#REF!"/>
    <e v="#REF!"/>
    <e v="#REF!"/>
  </r>
  <r>
    <s v="425200"/>
    <x v="6"/>
    <s v="PERSONNEL - NOTE DE FRAIS"/>
    <s v="NDF"/>
    <n v="-131.30000000000001"/>
    <d v="2025-12-04T00:00:00"/>
    <s v="NDF 25000289"/>
    <m/>
    <e v="#N/A"/>
    <e v="#N/A"/>
    <n v="93466"/>
    <s v="25000289"/>
    <s v="Pauline Rullière"/>
    <s v="Q4"/>
    <e v="#REF!"/>
    <e v="#REF!"/>
    <e v="#REF!"/>
  </r>
  <r>
    <s v="425200"/>
    <x v="6"/>
    <s v="PERSONNEL - NOTE DE FRAIS"/>
    <s v="NDF"/>
    <n v="-130.6"/>
    <d v="2025-10-01T00:00:00"/>
    <s v="NDF 25000257"/>
    <m/>
    <e v="#N/A"/>
    <e v="#N/A"/>
    <n v="88982"/>
    <s v="25000257"/>
    <s v="Anne-Sophie Goutierre"/>
    <s v="Q4"/>
    <e v="#REF!"/>
    <e v="#REF!"/>
    <e v="#REF!"/>
  </r>
  <r>
    <s v="425200"/>
    <x v="6"/>
    <s v="PERSONNEL - NOTE DE FRAIS"/>
    <s v="NDF"/>
    <n v="-128.9"/>
    <d v="2025-07-08T00:00:00"/>
    <s v="NDF 25000338"/>
    <m/>
    <e v="#N/A"/>
    <e v="#N/A"/>
    <n v="95929"/>
    <s v="25000338"/>
    <s v="Alain Pinchard"/>
    <s v="Q3"/>
    <e v="#REF!"/>
    <e v="#REF!"/>
    <e v="#REF!"/>
  </r>
  <r>
    <s v="425200"/>
    <x v="6"/>
    <s v="PERSONNEL - NOTE DE FRAIS"/>
    <s v="NDF"/>
    <n v="-128"/>
    <d v="2025-03-17T00:00:00"/>
    <s v="NOTE DE FRAIS"/>
    <m/>
    <e v="#N/A"/>
    <e v="#N/A"/>
    <n v="73720"/>
    <s v="25000079"/>
    <s v="Jérémie Blache"/>
    <s v="Q1"/>
    <e v="#REF!"/>
    <e v="#REF!"/>
    <e v="#REF!"/>
  </r>
  <r>
    <s v="425200"/>
    <x v="6"/>
    <s v="PERSONNEL - NOTE DE FRAIS"/>
    <s v="NDF"/>
    <n v="-128"/>
    <d v="2025-11-04T00:00:00"/>
    <s v="NDF 25000315"/>
    <m/>
    <e v="#N/A"/>
    <e v="#N/A"/>
    <n v="93382"/>
    <s v="25000315"/>
    <s v="Kevin Cottet"/>
    <s v="Q4"/>
    <e v="#REF!"/>
    <e v="#REF!"/>
    <e v="#REF!"/>
  </r>
  <r>
    <s v="425200"/>
    <x v="6"/>
    <s v="PERSONNEL - NOTE DE FRAIS"/>
    <s v="NDF"/>
    <n v="-128"/>
    <d v="2025-11-13T00:00:00"/>
    <s v="NDF 25000315"/>
    <m/>
    <e v="#N/A"/>
    <e v="#N/A"/>
    <n v="93386"/>
    <s v="25000315"/>
    <s v="Kevin Cottet"/>
    <s v="Q4"/>
    <e v="#REF!"/>
    <e v="#REF!"/>
    <e v="#REF!"/>
  </r>
  <r>
    <s v="425200"/>
    <x v="6"/>
    <s v="PERSONNEL - NOTE DE FRAIS"/>
    <s v="NDF"/>
    <n v="-128"/>
    <d v="2025-11-14T00:00:00"/>
    <s v="NDF 25000305"/>
    <m/>
    <e v="#N/A"/>
    <e v="#N/A"/>
    <n v="93446"/>
    <s v="25000305"/>
    <s v="Marie-Sarah Adenis"/>
    <s v="Q4"/>
    <e v="#REF!"/>
    <e v="#REF!"/>
    <e v="#REF!"/>
  </r>
  <r>
    <s v="425200"/>
    <x v="6"/>
    <s v="PERSONNEL - NOTE DE FRAIS"/>
    <s v="NDF"/>
    <n v="-128"/>
    <d v="2025-12-02T00:00:00"/>
    <s v="NDF 25000315"/>
    <m/>
    <e v="#N/A"/>
    <e v="#N/A"/>
    <n v="93371"/>
    <s v="25000315"/>
    <s v="Kevin Cottet"/>
    <s v="Q4"/>
    <e v="#REF!"/>
    <e v="#REF!"/>
    <e v="#REF!"/>
  </r>
  <r>
    <s v="425200"/>
    <x v="6"/>
    <s v="PERSONNEL - NOTE DE FRAIS"/>
    <s v="NDF"/>
    <n v="-125.65"/>
    <d v="2025-09-16T00:00:00"/>
    <s v="NDF 25000220"/>
    <m/>
    <e v="#N/A"/>
    <e v="#N/A"/>
    <n v="88547"/>
    <s v="25000220"/>
    <s v="Julie Lacondemine"/>
    <s v="Q3"/>
    <e v="#REF!"/>
    <e v="#REF!"/>
    <e v="#REF!"/>
  </r>
  <r>
    <s v="425200"/>
    <x v="6"/>
    <s v="PERSONNEL - NOTE DE FRAIS"/>
    <s v="NDF"/>
    <n v="-124.8"/>
    <d v="2025-08-05T00:00:00"/>
    <s v="NDF 25000219"/>
    <m/>
    <e v="#N/A"/>
    <e v="#N/A"/>
    <n v="88161"/>
    <s v="25000219"/>
    <s v="Kevin Cottet"/>
    <s v="Q3"/>
    <e v="#REF!"/>
    <e v="#REF!"/>
    <e v="#REF!"/>
  </r>
  <r>
    <s v="425200"/>
    <x v="6"/>
    <s v="PERSONNEL - NOTE DE FRAIS"/>
    <s v="NDF"/>
    <n v="-124"/>
    <d v="2025-12-08T00:00:00"/>
    <s v="NDF 25000317"/>
    <m/>
    <e v="#N/A"/>
    <e v="#N/A"/>
    <n v="93311"/>
    <s v="25000317"/>
    <s v="Lucie Crépin"/>
    <s v="Q4"/>
    <e v="#REF!"/>
    <e v="#REF!"/>
    <e v="#REF!"/>
  </r>
  <r>
    <s v="425200"/>
    <x v="6"/>
    <s v="PERSONNEL - NOTE DE FRAIS"/>
    <s v="NDF"/>
    <n v="-123.6"/>
    <d v="2025-12-09T00:00:00"/>
    <s v="NDF 25000316"/>
    <m/>
    <e v="#N/A"/>
    <e v="#N/A"/>
    <n v="93290"/>
    <s v="25000316"/>
    <s v="Jérémie Blache"/>
    <s v="Q4"/>
    <e v="#REF!"/>
    <e v="#REF!"/>
    <e v="#REF!"/>
  </r>
  <r>
    <s v="425200"/>
    <x v="6"/>
    <s v="PERSONNEL - NOTE DE FRAIS"/>
    <s v="NDF"/>
    <n v="-123"/>
    <d v="2025-05-02T00:00:00"/>
    <s v="NOTE DE FRAIS"/>
    <m/>
    <e v="#N/A"/>
    <e v="#N/A"/>
    <n v="74410"/>
    <s v="25000137"/>
    <s v="Thibault Dejardin"/>
    <s v="Q2"/>
    <e v="#REF!"/>
    <e v="#REF!"/>
    <e v="#REF!"/>
  </r>
  <r>
    <s v="425200"/>
    <x v="6"/>
    <s v="PERSONNEL - NOTE DE FRAIS"/>
    <s v="NDF"/>
    <n v="-122.5"/>
    <d v="2025-11-24T00:00:00"/>
    <s v="NDF 25000199"/>
    <m/>
    <e v="#N/A"/>
    <e v="#N/A"/>
    <n v="91002"/>
    <s v="25000199"/>
    <s v="Anne-Sophie Goutierre"/>
    <s v="Q4"/>
    <e v="#REF!"/>
    <e v="#REF!"/>
    <e v="#REF!"/>
  </r>
  <r>
    <s v="425200"/>
    <x v="6"/>
    <s v="PERSONNEL - NOTE DE FRAIS"/>
    <s v="NDF"/>
    <n v="-122"/>
    <d v="2025-11-24T00:00:00"/>
    <s v="NDF 25000301"/>
    <m/>
    <e v="#N/A"/>
    <e v="#N/A"/>
    <n v="90870"/>
    <s v="25000301"/>
    <s v="Maud Sanchez"/>
    <s v="Q4"/>
    <e v="#REF!"/>
    <e v="#REF!"/>
    <e v="#REF!"/>
  </r>
  <r>
    <s v="425200"/>
    <x v="6"/>
    <s v="PERSONNEL - NOTE DE FRAIS"/>
    <s v="NDF"/>
    <n v="-121.8"/>
    <d v="2025-07-08T00:00:00"/>
    <s v="NDF 25000200"/>
    <m/>
    <e v="#N/A"/>
    <e v="#N/A"/>
    <n v="88776"/>
    <s v="25000200"/>
    <s v="Anne-Sophie Goutierre"/>
    <s v="Q3"/>
    <e v="#REF!"/>
    <e v="#REF!"/>
    <e v="#REF!"/>
  </r>
  <r>
    <s v="425200"/>
    <x v="6"/>
    <s v="PERSONNEL - NOTE DE FRAIS"/>
    <s v="NDF"/>
    <n v="-121.6"/>
    <d v="2025-07-03T00:00:00"/>
    <s v="NDF 25000202"/>
    <m/>
    <e v="#N/A"/>
    <e v="#N/A"/>
    <n v="88822"/>
    <s v="25000202"/>
    <s v="Pierre-Yves Bolle"/>
    <s v="Q3"/>
    <e v="#REF!"/>
    <e v="#REF!"/>
    <e v="#REF!"/>
  </r>
  <r>
    <s v="425200"/>
    <x v="6"/>
    <s v="PERSONNEL - NOTE DE FRAIS"/>
    <s v="NDF"/>
    <n v="-120.3"/>
    <d v="2025-11-25T00:00:00"/>
    <s v="NDF 25000303"/>
    <m/>
    <e v="#N/A"/>
    <e v="#N/A"/>
    <n v="93351"/>
    <s v="25000303"/>
    <s v="Jérémie Blache"/>
    <s v="Q4"/>
    <e v="#REF!"/>
    <e v="#REF!"/>
    <e v="#REF!"/>
  </r>
  <r>
    <s v="425200"/>
    <x v="6"/>
    <s v="PERSONNEL - NOTE DE FRAIS"/>
    <s v="NDF"/>
    <n v="-120.05"/>
    <d v="2025-06-21T00:00:00"/>
    <s v="NDF"/>
    <m/>
    <e v="#N/A"/>
    <e v="#N/A"/>
    <n v="76749"/>
    <s v="25000177"/>
    <s v="Marie-Sarah Adenis"/>
    <s v="Q2"/>
    <e v="#REF!"/>
    <e v="#REF!"/>
    <e v="#REF!"/>
  </r>
  <r>
    <s v="425200"/>
    <x v="6"/>
    <s v="PERSONNEL - NOTE DE FRAIS"/>
    <s v="NDF"/>
    <n v="-120"/>
    <d v="2025-04-29T00:00:00"/>
    <s v="NOTE DE FRAIS"/>
    <m/>
    <e v="#N/A"/>
    <e v="#N/A"/>
    <n v="74368"/>
    <s v="24000395"/>
    <s v="Marie-Sarah Adenis"/>
    <s v="Q2"/>
    <e v="#REF!"/>
    <e v="#REF!"/>
    <e v="#REF!"/>
  </r>
  <r>
    <s v="425200"/>
    <x v="6"/>
    <s v="PERSONNEL - NOTE DE FRAIS"/>
    <s v="NDF"/>
    <n v="-118.5"/>
    <d v="2025-02-20T00:00:00"/>
    <s v="NOTE DE FRAIS"/>
    <m/>
    <e v="#N/A"/>
    <e v="#N/A"/>
    <n v="73688"/>
    <s v="250000047"/>
    <s v="Jérémie Blache"/>
    <s v="Q1"/>
    <e v="#REF!"/>
    <e v="#REF!"/>
    <e v="#REF!"/>
  </r>
  <r>
    <s v="425200"/>
    <x v="6"/>
    <s v="PERSONNEL - NOTE DE FRAIS"/>
    <s v="NDF"/>
    <n v="-115.8"/>
    <d v="2025-11-24T00:00:00"/>
    <s v="NDF 25000294"/>
    <m/>
    <e v="#N/A"/>
    <e v="#N/A"/>
    <n v="90900"/>
    <s v="25000294"/>
    <s v="Kevin Cottet"/>
    <s v="Q4"/>
    <e v="#REF!"/>
    <e v="#REF!"/>
    <e v="#REF!"/>
  </r>
  <r>
    <s v="425200"/>
    <x v="6"/>
    <s v="PERSONNEL - NOTE DE FRAIS"/>
    <s v="NDF"/>
    <n v="-115.56"/>
    <d v="2025-05-27T00:00:00"/>
    <s v="NDF"/>
    <m/>
    <e v="#N/A"/>
    <e v="#N/A"/>
    <n v="76527"/>
    <s v="25000157"/>
    <s v="Julie Lacondemine"/>
    <s v="Q2"/>
    <e v="#REF!"/>
    <e v="#REF!"/>
    <e v="#REF!"/>
  </r>
  <r>
    <s v="425200"/>
    <x v="6"/>
    <s v="PERSONNEL - NOTE DE FRAIS"/>
    <s v="NDF"/>
    <n v="-110.7"/>
    <d v="2025-01-07T00:00:00"/>
    <s v="NDF"/>
    <m/>
    <e v="#N/A"/>
    <e v="#N/A"/>
    <n v="76795"/>
    <s v="25000005"/>
    <s v="Yves Combret"/>
    <s v="Q1"/>
    <e v="#REF!"/>
    <e v="#REF!"/>
    <e v="#REF!"/>
  </r>
  <r>
    <s v="425200"/>
    <x v="6"/>
    <s v="PERSONNEL - NOTE DE FRAIS"/>
    <s v="NDF"/>
    <n v="-110.7"/>
    <d v="2025-12-11T00:00:00"/>
    <s v="NDF 25000332"/>
    <m/>
    <e v="#N/A"/>
    <e v="#N/A"/>
    <n v="93299"/>
    <s v="25000332"/>
    <s v="Yves Combret"/>
    <s v="Q4"/>
    <e v="#REF!"/>
    <e v="#REF!"/>
    <e v="#REF!"/>
  </r>
  <r>
    <s v="425200"/>
    <x v="6"/>
    <s v="PERSONNEL - NOTE DE FRAIS"/>
    <s v="NDF"/>
    <n v="-110.25"/>
    <d v="2025-07-25T00:00:00"/>
    <s v="NDF 25000196"/>
    <m/>
    <e v="#N/A"/>
    <e v="#N/A"/>
    <n v="88743"/>
    <s v="25000196"/>
    <s v="Benjamin Barry"/>
    <s v="Q3"/>
    <e v="#REF!"/>
    <e v="#REF!"/>
    <e v="#REF!"/>
  </r>
  <r>
    <s v="425200"/>
    <x v="6"/>
    <s v="PERSONNEL - NOTE DE FRAIS"/>
    <s v="NDF"/>
    <n v="-108.32"/>
    <d v="2025-04-30T00:00:00"/>
    <s v="NOTE DE FRAIS"/>
    <m/>
    <e v="#N/A"/>
    <e v="#N/A"/>
    <n v="74386"/>
    <s v="25000146"/>
    <s v="Jérémie Blache"/>
    <s v="Q2"/>
    <e v="#REF!"/>
    <e v="#REF!"/>
    <e v="#REF!"/>
  </r>
  <r>
    <s v="425200"/>
    <x v="6"/>
    <s v="PERSONNEL - NOTE DE FRAIS"/>
    <s v="NDF"/>
    <n v="-107.4"/>
    <d v="2025-03-07T00:00:00"/>
    <s v="NDF"/>
    <m/>
    <e v="#N/A"/>
    <e v="#N/A"/>
    <n v="76484"/>
    <s v="25000068"/>
    <s v="Jérémie Blache"/>
    <s v="Q1"/>
    <e v="#REF!"/>
    <e v="#REF!"/>
    <e v="#REF!"/>
  </r>
  <r>
    <s v="425200"/>
    <x v="6"/>
    <s v="PERSONNEL - NOTE DE FRAIS"/>
    <s v="NDF"/>
    <n v="-105.75"/>
    <d v="2025-12-16T00:00:00"/>
    <s v="NDF 25000327"/>
    <m/>
    <e v="#N/A"/>
    <e v="#N/A"/>
    <n v="93245"/>
    <s v="25000327"/>
    <s v="Jérémie Blache"/>
    <s v="Q4"/>
    <e v="#REF!"/>
    <e v="#REF!"/>
    <e v="#REF!"/>
  </r>
  <r>
    <s v="425200"/>
    <x v="6"/>
    <s v="PERSONNEL - NOTE DE FRAIS"/>
    <s v="NDF"/>
    <n v="-105"/>
    <d v="2025-11-24T00:00:00"/>
    <s v="NDF 25000288"/>
    <m/>
    <e v="#N/A"/>
    <e v="#N/A"/>
    <n v="90922"/>
    <s v="25000288"/>
    <s v="Guillaume Boissonnat-Wu"/>
    <s v="Q4"/>
    <e v="#REF!"/>
    <e v="#REF!"/>
    <e v="#REF!"/>
  </r>
  <r>
    <s v="425200"/>
    <x v="6"/>
    <s v="PERSONNEL - NOTE DE FRAIS"/>
    <s v="NDF"/>
    <n v="-103"/>
    <d v="2025-10-14T00:00:00"/>
    <s v="NDF 25000276"/>
    <m/>
    <e v="#N/A"/>
    <e v="#N/A"/>
    <n v="88902"/>
    <s v="25000276"/>
    <s v="Jérémie Blache"/>
    <s v="Q4"/>
    <e v="#REF!"/>
    <e v="#REF!"/>
    <e v="#REF!"/>
  </r>
  <r>
    <s v="425200"/>
    <x v="6"/>
    <s v="PERSONNEL - NOTE DE FRAIS"/>
    <s v="NDF"/>
    <n v="-102.2"/>
    <d v="2025-07-01T00:00:00"/>
    <s v="NDF 25000202"/>
    <m/>
    <e v="#N/A"/>
    <e v="#N/A"/>
    <n v="88809"/>
    <s v="25000202"/>
    <s v="Pierre-Yves Bolle"/>
    <s v="Q3"/>
    <e v="#REF!"/>
    <e v="#REF!"/>
    <e v="#REF!"/>
  </r>
  <r>
    <s v="425200"/>
    <x v="6"/>
    <s v="PERSONNEL - NOTE DE FRAIS"/>
    <s v="NDF"/>
    <n v="-100.14"/>
    <d v="2025-05-13T00:00:00"/>
    <s v="NDF 25000338"/>
    <m/>
    <e v="#N/A"/>
    <e v="#N/A"/>
    <n v="95865"/>
    <s v="25000338"/>
    <s v="Alain Pinchard"/>
    <s v="Q2"/>
    <e v="#REF!"/>
    <e v="#REF!"/>
    <e v="#REF!"/>
  </r>
  <r>
    <s v="425200"/>
    <x v="6"/>
    <s v="PERSONNEL - NOTE DE FRAIS"/>
    <s v="NDF"/>
    <n v="-100"/>
    <d v="2025-05-01T00:00:00"/>
    <s v="NOTE DE FRAIS"/>
    <m/>
    <e v="#N/A"/>
    <e v="#N/A"/>
    <n v="74408"/>
    <s v="25000143"/>
    <s v="Jérémie Blache"/>
    <s v="Q2"/>
    <e v="#REF!"/>
    <e v="#REF!"/>
    <e v="#REF!"/>
  </r>
  <r>
    <s v="425200"/>
    <x v="6"/>
    <s v="PERSONNEL - NOTE DE FRAIS"/>
    <s v="NDF"/>
    <n v="-96.58"/>
    <d v="2025-04-14T00:00:00"/>
    <s v="NOTE DE FRAIS"/>
    <m/>
    <e v="#N/A"/>
    <e v="#N/A"/>
    <n v="74326"/>
    <s v="25000129"/>
    <s v="Loic masseboeuf"/>
    <s v="Q2"/>
    <e v="#REF!"/>
    <e v="#REF!"/>
    <e v="#REF!"/>
  </r>
  <r>
    <s v="425200"/>
    <x v="6"/>
    <s v="PERSONNEL - NOTE DE FRAIS"/>
    <s v="NDF"/>
    <n v="-96.42"/>
    <d v="2025-01-14T00:00:00"/>
    <s v="NOTE DE FRAIS"/>
    <m/>
    <e v="#N/A"/>
    <e v="#N/A"/>
    <n v="73621"/>
    <s v="25000010"/>
    <s v="Clément Perrocheau"/>
    <s v="Q1"/>
    <e v="#REF!"/>
    <e v="#REF!"/>
    <e v="#REF!"/>
  </r>
  <r>
    <s v="425200"/>
    <x v="6"/>
    <s v="PERSONNEL - NOTE DE FRAIS"/>
    <s v="NDF"/>
    <n v="-96"/>
    <d v="2025-11-18T00:00:00"/>
    <s v="NDF 25000305"/>
    <m/>
    <e v="#N/A"/>
    <e v="#N/A"/>
    <n v="93444"/>
    <s v="25000305"/>
    <s v="Marie-Sarah Adenis"/>
    <s v="Q4"/>
    <e v="#REF!"/>
    <e v="#REF!"/>
    <e v="#REF!"/>
  </r>
  <r>
    <s v="425200"/>
    <x v="6"/>
    <s v="PERSONNEL - NOTE DE FRAIS"/>
    <s v="NDF"/>
    <n v="-95.99"/>
    <d v="2025-09-22T00:00:00"/>
    <s v="NDF 25000253"/>
    <m/>
    <e v="#N/A"/>
    <e v="#N/A"/>
    <n v="88461"/>
    <s v="25000253"/>
    <s v="Bob Fernandez"/>
    <s v="Q3"/>
    <e v="#REF!"/>
    <e v="#REF!"/>
    <e v="#REF!"/>
  </r>
  <r>
    <s v="425200"/>
    <x v="6"/>
    <s v="PERSONNEL - NOTE DE FRAIS"/>
    <s v="NDF"/>
    <n v="-94.95"/>
    <d v="2025-05-14T00:00:00"/>
    <s v="NDF"/>
    <m/>
    <e v="#N/A"/>
    <e v="#N/A"/>
    <n v="76512"/>
    <s v="25000145"/>
    <s v="Thibault Dejardin"/>
    <s v="Q2"/>
    <e v="#REF!"/>
    <e v="#REF!"/>
    <e v="#REF!"/>
  </r>
  <r>
    <s v="425200"/>
    <x v="6"/>
    <s v="PERSONNEL - NOTE DE FRAIS"/>
    <s v="NDF"/>
    <n v="-94.8"/>
    <d v="2025-05-05T00:00:00"/>
    <s v="NDF 25000111"/>
    <m/>
    <e v="#N/A"/>
    <e v="#N/A"/>
    <n v="89173"/>
    <s v="25000111"/>
    <s v="Pauline Rullière"/>
    <s v="Q2"/>
    <e v="#REF!"/>
    <e v="#REF!"/>
    <e v="#REF!"/>
  </r>
  <r>
    <s v="425200"/>
    <x v="6"/>
    <s v="PERSONNEL - NOTE DE FRAIS"/>
    <s v="NDF"/>
    <n v="-94.46"/>
    <d v="2025-11-14T00:00:00"/>
    <s v="NDF 25000314"/>
    <m/>
    <e v="#N/A"/>
    <e v="#N/A"/>
    <n v="93395"/>
    <s v="25000314"/>
    <s v="Pierre-Yves Bolle"/>
    <s v="Q4"/>
    <e v="#REF!"/>
    <e v="#REF!"/>
    <e v="#REF!"/>
  </r>
  <r>
    <s v="425200"/>
    <x v="6"/>
    <s v="PERSONNEL - NOTE DE FRAIS"/>
    <s v="NDF"/>
    <n v="-94.45"/>
    <d v="2025-02-24T00:00:00"/>
    <s v="NDF"/>
    <m/>
    <e v="#N/A"/>
    <e v="#N/A"/>
    <n v="75444"/>
    <s v="25000085"/>
    <s v="Yves Combret"/>
    <s v="Q1"/>
    <e v="#REF!"/>
    <e v="#REF!"/>
    <e v="#REF!"/>
  </r>
  <r>
    <s v="425200"/>
    <x v="6"/>
    <s v="PERSONNEL - NOTE DE FRAIS"/>
    <s v="NDF"/>
    <n v="-94.36"/>
    <d v="2025-07-17T00:00:00"/>
    <s v="NDF 25000194"/>
    <m/>
    <e v="#N/A"/>
    <e v="#N/A"/>
    <n v="88872"/>
    <s v="25000194"/>
    <s v="Marie Rézeau"/>
    <s v="Q3"/>
    <e v="#REF!"/>
    <e v="#REF!"/>
    <e v="#REF!"/>
  </r>
  <r>
    <s v="425200"/>
    <x v="6"/>
    <s v="PERSONNEL - NOTE DE FRAIS"/>
    <s v="NDF"/>
    <n v="-93.98"/>
    <d v="2025-10-02T00:00:00"/>
    <s v="NDF 25000262"/>
    <m/>
    <e v="#N/A"/>
    <e v="#N/A"/>
    <n v="88400"/>
    <s v="25000262"/>
    <s v="Benjamin Gil"/>
    <s v="Q4"/>
    <e v="#REF!"/>
    <e v="#REF!"/>
    <e v="#REF!"/>
  </r>
  <r>
    <s v="425200"/>
    <x v="6"/>
    <s v="PERSONNEL - NOTE DE FRAIS"/>
    <s v="NDF"/>
    <n v="-93.81"/>
    <d v="2025-02-01T00:00:00"/>
    <s v="NDF"/>
    <m/>
    <e v="#N/A"/>
    <e v="#N/A"/>
    <n v="76460"/>
    <s v="25000084"/>
    <s v="Yves Combret"/>
    <s v="Q1"/>
    <e v="#REF!"/>
    <e v="#REF!"/>
    <e v="#REF!"/>
  </r>
  <r>
    <s v="425200"/>
    <x v="6"/>
    <s v="PERSONNEL - NOTE DE FRAIS"/>
    <s v="NDF"/>
    <n v="-93.78"/>
    <d v="2025-04-30T00:00:00"/>
    <s v="NOTE DE FRAIS"/>
    <m/>
    <e v="#N/A"/>
    <e v="#N/A"/>
    <n v="74390"/>
    <s v="25000135"/>
    <s v="Jérémie Blache"/>
    <s v="Q2"/>
    <e v="#REF!"/>
    <e v="#REF!"/>
    <e v="#REF!"/>
  </r>
  <r>
    <s v="425200"/>
    <x v="6"/>
    <s v="PERSONNEL - NOTE DE FRAIS"/>
    <s v="NDF"/>
    <n v="-93.25"/>
    <d v="2025-07-08T00:00:00"/>
    <s v="NDF 25000111"/>
    <m/>
    <e v="#N/A"/>
    <e v="#N/A"/>
    <n v="89232"/>
    <s v="25000111"/>
    <s v="Pauline Rullière"/>
    <s v="Q3"/>
    <e v="#REF!"/>
    <e v="#REF!"/>
    <e v="#REF!"/>
  </r>
  <r>
    <s v="425200"/>
    <x v="6"/>
    <s v="PERSONNEL - NOTE DE FRAIS"/>
    <s v="NDF"/>
    <n v="-93"/>
    <d v="2025-09-09T00:00:00"/>
    <s v="NDF 25000195"/>
    <m/>
    <e v="#N/A"/>
    <e v="#N/A"/>
    <n v="88141"/>
    <s v="25000195"/>
    <s v="Pauline Rullière"/>
    <s v="Q3"/>
    <e v="#REF!"/>
    <e v="#REF!"/>
    <e v="#REF!"/>
  </r>
  <r>
    <s v="425200"/>
    <x v="6"/>
    <s v="PERSONNEL - NOTE DE FRAIS"/>
    <s v="NDF"/>
    <n v="-91.95"/>
    <d v="2025-04-14T00:00:00"/>
    <s v="NOTE DE FRAIS"/>
    <m/>
    <e v="#N/A"/>
    <e v="#N/A"/>
    <n v="74321"/>
    <s v="25000114"/>
    <s v="Océane Chabret"/>
    <s v="Q2"/>
    <e v="#REF!"/>
    <e v="#REF!"/>
    <e v="#REF!"/>
  </r>
  <r>
    <s v="425200"/>
    <x v="6"/>
    <s v="PERSONNEL - NOTE DE FRAIS"/>
    <s v="NDF"/>
    <n v="-91"/>
    <d v="2025-03-19T00:00:00"/>
    <s v="NOTE DE FRAIS"/>
    <m/>
    <e v="#N/A"/>
    <e v="#N/A"/>
    <n v="73723"/>
    <s v="25000076"/>
    <s v="Julie Lacondemine"/>
    <s v="Q1"/>
    <e v="#REF!"/>
    <e v="#REF!"/>
    <e v="#REF!"/>
  </r>
  <r>
    <s v="425200"/>
    <x v="6"/>
    <s v="PERSONNEL - NOTE DE FRAIS"/>
    <s v="NDF"/>
    <n v="-90.92"/>
    <d v="2025-03-28T00:00:00"/>
    <s v="NOTE DE FRAIS"/>
    <m/>
    <e v="#N/A"/>
    <e v="#N/A"/>
    <n v="74219"/>
    <s v="25000088"/>
    <s v="Gaëlle Buche"/>
    <s v="Q1"/>
    <e v="#REF!"/>
    <e v="#REF!"/>
    <e v="#REF!"/>
  </r>
  <r>
    <s v="425200"/>
    <x v="6"/>
    <s v="PERSONNEL - NOTE DE FRAIS"/>
    <s v="NDF"/>
    <n v="-88.53"/>
    <d v="2025-05-12T00:00:00"/>
    <s v="NOTE DE FRAIS"/>
    <m/>
    <e v="#N/A"/>
    <e v="#N/A"/>
    <n v="74419"/>
    <s v="25000141"/>
    <s v="Jérémie Blache"/>
    <s v="Q2"/>
    <e v="#REF!"/>
    <e v="#REF!"/>
    <e v="#REF!"/>
  </r>
  <r>
    <s v="425200"/>
    <x v="6"/>
    <s v="PERSONNEL - NOTE DE FRAIS"/>
    <s v="NDF"/>
    <n v="-88.46"/>
    <d v="2025-03-31T00:00:00"/>
    <s v="NDF"/>
    <m/>
    <e v="#N/A"/>
    <e v="#N/A"/>
    <n v="75825"/>
    <s v="25000097"/>
    <s v="Bob Fernandez"/>
    <s v="Q1"/>
    <e v="#REF!"/>
    <e v="#REF!"/>
    <e v="#REF!"/>
  </r>
  <r>
    <s v="425200"/>
    <x v="6"/>
    <s v="PERSONNEL - NOTE DE FRAIS"/>
    <s v="NDF"/>
    <n v="-88"/>
    <d v="2025-02-11T00:00:00"/>
    <s v="NDF 25000042"/>
    <m/>
    <e v="#N/A"/>
    <e v="#N/A"/>
    <n v="95765"/>
    <s v="25000042"/>
    <s v="Alain Pinchard"/>
    <s v="Q1"/>
    <e v="#REF!"/>
    <e v="#REF!"/>
    <e v="#REF!"/>
  </r>
  <r>
    <s v="425200"/>
    <x v="6"/>
    <s v="PERSONNEL - NOTE DE FRAIS"/>
    <s v="NDF"/>
    <n v="-88"/>
    <d v="2025-05-23T00:00:00"/>
    <s v="NDF 25000339"/>
    <m/>
    <e v="#N/A"/>
    <e v="#N/A"/>
    <n v="95961"/>
    <s v="25000339"/>
    <s v="Alain Pinchard"/>
    <s v="Q2"/>
    <e v="#REF!"/>
    <e v="#REF!"/>
    <e v="#REF!"/>
  </r>
  <r>
    <s v="425200"/>
    <x v="6"/>
    <s v="PERSONNEL - NOTE DE FRAIS"/>
    <s v="NDF"/>
    <n v="-88"/>
    <d v="2025-06-12T00:00:00"/>
    <s v="NDF 25000338"/>
    <m/>
    <e v="#N/A"/>
    <e v="#N/A"/>
    <n v="95891"/>
    <s v="25000338"/>
    <s v="Alain Pinchard"/>
    <s v="Q2"/>
    <e v="#REF!"/>
    <e v="#REF!"/>
    <e v="#REF!"/>
  </r>
  <r>
    <s v="425200"/>
    <x v="6"/>
    <s v="PERSONNEL - NOTE DE FRAIS"/>
    <s v="NDF"/>
    <n v="-88"/>
    <d v="2025-06-19T00:00:00"/>
    <s v="NDF 25000338"/>
    <m/>
    <e v="#N/A"/>
    <e v="#N/A"/>
    <n v="95927"/>
    <s v="25000338"/>
    <s v="Alain Pinchard"/>
    <s v="Q2"/>
    <e v="#REF!"/>
    <e v="#REF!"/>
    <e v="#REF!"/>
  </r>
  <r>
    <s v="425200"/>
    <x v="6"/>
    <s v="PERSONNEL - NOTE DE FRAIS"/>
    <s v="NDF"/>
    <n v="-88"/>
    <d v="2025-06-20T00:00:00"/>
    <s v="NDF 25000338"/>
    <m/>
    <e v="#N/A"/>
    <e v="#N/A"/>
    <n v="95912"/>
    <s v="25000338"/>
    <s v="Alain Pinchard"/>
    <s v="Q2"/>
    <e v="#REF!"/>
    <e v="#REF!"/>
    <e v="#REF!"/>
  </r>
  <r>
    <s v="425200"/>
    <x v="6"/>
    <s v="PERSONNEL - NOTE DE FRAIS"/>
    <s v="NDF"/>
    <n v="-88"/>
    <d v="2025-06-20T00:00:00"/>
    <s v="NDF 25000338"/>
    <m/>
    <e v="#N/A"/>
    <e v="#N/A"/>
    <n v="95914"/>
    <s v="25000338"/>
    <s v="Alain Pinchard"/>
    <s v="Q2"/>
    <e v="#REF!"/>
    <e v="#REF!"/>
    <e v="#REF!"/>
  </r>
  <r>
    <s v="425200"/>
    <x v="6"/>
    <s v="PERSONNEL - NOTE DE FRAIS"/>
    <s v="NDF"/>
    <n v="-88"/>
    <d v="2025-07-03T00:00:00"/>
    <s v="NDF 25000338"/>
    <m/>
    <e v="#N/A"/>
    <e v="#N/A"/>
    <n v="95867"/>
    <s v="25000338"/>
    <s v="Alain Pinchard"/>
    <s v="Q3"/>
    <e v="#REF!"/>
    <e v="#REF!"/>
    <e v="#REF!"/>
  </r>
  <r>
    <s v="425200"/>
    <x v="6"/>
    <s v="PERSONNEL - NOTE DE FRAIS"/>
    <s v="NDF"/>
    <n v="-88"/>
    <d v="2025-07-03T00:00:00"/>
    <s v="NDF 25000338"/>
    <m/>
    <e v="#N/A"/>
    <e v="#N/A"/>
    <n v="95910"/>
    <s v="25000338"/>
    <s v="Alain Pinchard"/>
    <s v="Q3"/>
    <e v="#REF!"/>
    <e v="#REF!"/>
    <e v="#REF!"/>
  </r>
  <r>
    <s v="425200"/>
    <x v="6"/>
    <s v="PERSONNEL - NOTE DE FRAIS"/>
    <s v="NDF"/>
    <n v="-87.57"/>
    <d v="2025-12-17T00:00:00"/>
    <s v="NDF 25000333"/>
    <m/>
    <e v="#N/A"/>
    <e v="#N/A"/>
    <n v="95794"/>
    <s v="25000333"/>
    <s v="Clément Perrocheau"/>
    <s v="Q4"/>
    <e v="#REF!"/>
    <e v="#REF!"/>
    <e v="#REF!"/>
  </r>
  <r>
    <s v="425200"/>
    <x v="6"/>
    <s v="PERSONNEL - NOTE DE FRAIS"/>
    <s v="NDF"/>
    <n v="-87.45"/>
    <d v="2025-11-20T00:00:00"/>
    <s v="NDF 25000315"/>
    <m/>
    <e v="#N/A"/>
    <e v="#N/A"/>
    <n v="93366"/>
    <s v="25000315"/>
    <s v="Kevin Cottet"/>
    <s v="Q4"/>
    <e v="#REF!"/>
    <e v="#REF!"/>
    <e v="#REF!"/>
  </r>
  <r>
    <s v="425200"/>
    <x v="6"/>
    <s v="PERSONNEL - NOTE DE FRAIS"/>
    <s v="NDF"/>
    <n v="-86"/>
    <d v="2025-09-09T00:00:00"/>
    <s v="NDF 25000195"/>
    <m/>
    <e v="#N/A"/>
    <e v="#N/A"/>
    <n v="88149"/>
    <s v="25000195"/>
    <s v="Pauline Rullière"/>
    <s v="Q3"/>
    <e v="#REF!"/>
    <e v="#REF!"/>
    <e v="#REF!"/>
  </r>
  <r>
    <s v="425200"/>
    <x v="6"/>
    <s v="PERSONNEL - NOTE DE FRAIS"/>
    <s v="NDF"/>
    <n v="-85.58"/>
    <d v="2025-06-10T00:00:00"/>
    <s v="NDF"/>
    <m/>
    <e v="#N/A"/>
    <e v="#N/A"/>
    <n v="76575"/>
    <s v="25000172"/>
    <s v="Marine Bonnaud"/>
    <s v="Q2"/>
    <e v="#REF!"/>
    <e v="#REF!"/>
    <e v="#REF!"/>
  </r>
  <r>
    <s v="425200"/>
    <x v="6"/>
    <s v="PERSONNEL - NOTE DE FRAIS"/>
    <s v="NDF"/>
    <n v="-85.5"/>
    <d v="2025-11-24T00:00:00"/>
    <s v="NDF 25000288"/>
    <m/>
    <e v="#N/A"/>
    <e v="#N/A"/>
    <n v="90933"/>
    <s v="25000288"/>
    <s v="Guillaume Boissonnat-Wu"/>
    <s v="Q4"/>
    <e v="#REF!"/>
    <e v="#REF!"/>
    <e v="#REF!"/>
  </r>
  <r>
    <s v="425200"/>
    <x v="6"/>
    <s v="PERSONNEL - NOTE DE FRAIS"/>
    <s v="NDF"/>
    <n v="-84.5"/>
    <d v="2025-01-01T00:00:00"/>
    <s v="NDF"/>
    <m/>
    <e v="#N/A"/>
    <e v="#N/A"/>
    <n v="75672"/>
    <s v="24000394"/>
    <s v="Marie-Sarah Adenis"/>
    <s v="Q1"/>
    <e v="#REF!"/>
    <e v="#REF!"/>
    <e v="#REF!"/>
  </r>
  <r>
    <s v="425200"/>
    <x v="6"/>
    <s v="PERSONNEL - NOTE DE FRAIS"/>
    <s v="NDF"/>
    <n v="-83.7"/>
    <d v="2025-05-21T00:00:00"/>
    <s v="NDF"/>
    <m/>
    <e v="#N/A"/>
    <e v="#N/A"/>
    <n v="76521"/>
    <s v="25000155"/>
    <s v="Jérémie Blache"/>
    <s v="Q2"/>
    <e v="#REF!"/>
    <e v="#REF!"/>
    <e v="#REF!"/>
  </r>
  <r>
    <s v="425200"/>
    <x v="6"/>
    <s v="PERSONNEL - NOTE DE FRAIS"/>
    <s v="NDF"/>
    <n v="-83.07"/>
    <d v="2025-09-19T00:00:00"/>
    <s v="NDF 25000237"/>
    <m/>
    <e v="#N/A"/>
    <e v="#N/A"/>
    <n v="88510"/>
    <s v="25000237"/>
    <s v="Benjamin Barry"/>
    <s v="Q3"/>
    <e v="#REF!"/>
    <e v="#REF!"/>
    <e v="#REF!"/>
  </r>
  <r>
    <s v="425200"/>
    <x v="6"/>
    <s v="PERSONNEL - NOTE DE FRAIS"/>
    <s v="NDF"/>
    <n v="-82.8"/>
    <d v="2025-10-02T00:00:00"/>
    <s v="NDF 25000338"/>
    <m/>
    <e v="#N/A"/>
    <e v="#N/A"/>
    <n v="95918"/>
    <s v="25000338"/>
    <s v="Alain Pinchard"/>
    <s v="Q4"/>
    <e v="#REF!"/>
    <e v="#REF!"/>
    <e v="#REF!"/>
  </r>
  <r>
    <s v="425200"/>
    <x v="6"/>
    <s v="PERSONNEL - NOTE DE FRAIS"/>
    <s v="NDF"/>
    <n v="-82.21"/>
    <d v="2025-04-22T00:00:00"/>
    <s v="NOTE DE FRAIS"/>
    <m/>
    <e v="#N/A"/>
    <e v="#N/A"/>
    <n v="74348"/>
    <s v="25000120"/>
    <s v="Jérémie Blache"/>
    <s v="Q2"/>
    <e v="#REF!"/>
    <e v="#REF!"/>
    <e v="#REF!"/>
  </r>
  <r>
    <s v="425200"/>
    <x v="6"/>
    <s v="PERSONNEL - NOTE DE FRAIS"/>
    <s v="NDF"/>
    <n v="-81"/>
    <d v="2025-10-01T00:00:00"/>
    <s v="NDF 25000195"/>
    <m/>
    <e v="#N/A"/>
    <e v="#N/A"/>
    <n v="88151"/>
    <s v="25000195"/>
    <s v="Pauline Rullière"/>
    <s v="Q4"/>
    <e v="#REF!"/>
    <e v="#REF!"/>
    <e v="#REF!"/>
  </r>
  <r>
    <s v="425200"/>
    <x v="6"/>
    <s v="PERSONNEL - NOTE DE FRAIS"/>
    <s v="NDF"/>
    <n v="-81"/>
    <d v="2025-10-01T00:00:00"/>
    <s v="NDF 25000243"/>
    <m/>
    <e v="#N/A"/>
    <e v="#N/A"/>
    <n v="88450"/>
    <s v="25000243"/>
    <s v="Nicolas Canu"/>
    <s v="Q4"/>
    <e v="#REF!"/>
    <e v="#REF!"/>
    <e v="#REF!"/>
  </r>
  <r>
    <s v="425200"/>
    <x v="6"/>
    <s v="PERSONNEL - NOTE DE FRAIS"/>
    <s v="NDF"/>
    <n v="-79"/>
    <d v="2025-10-03T00:00:00"/>
    <s v="NDF 25000282"/>
    <m/>
    <e v="#N/A"/>
    <e v="#N/A"/>
    <n v="88960"/>
    <s v="25000282"/>
    <s v="Nicolas Canu"/>
    <s v="Q4"/>
    <e v="#REF!"/>
    <e v="#REF!"/>
    <e v="#REF!"/>
  </r>
  <r>
    <s v="425200"/>
    <x v="6"/>
    <s v="PERSONNEL - NOTE DE FRAIS"/>
    <s v="NDF"/>
    <n v="-78.3"/>
    <d v="2025-10-03T00:00:00"/>
    <s v="NDF 25000264"/>
    <m/>
    <e v="#N/A"/>
    <e v="#N/A"/>
    <n v="88598"/>
    <s v="25000264"/>
    <s v="Gaëlle Buche"/>
    <s v="Q4"/>
    <e v="#REF!"/>
    <e v="#REF!"/>
    <e v="#REF!"/>
  </r>
  <r>
    <s v="425200"/>
    <x v="6"/>
    <s v="PERSONNEL - NOTE DE FRAIS"/>
    <s v="NDF"/>
    <n v="-77.22"/>
    <d v="2025-07-02T00:00:00"/>
    <s v="NDF 25000179"/>
    <m/>
    <e v="#N/A"/>
    <e v="#N/A"/>
    <n v="88648"/>
    <s v="25000179"/>
    <s v="Bob Fernandez"/>
    <s v="Q3"/>
    <e v="#REF!"/>
    <e v="#REF!"/>
    <e v="#REF!"/>
  </r>
  <r>
    <s v="425200"/>
    <x v="6"/>
    <s v="PERSONNEL - NOTE DE FRAIS"/>
    <s v="NDF"/>
    <n v="-75"/>
    <d v="2025-10-02T00:00:00"/>
    <s v="NDF 25000338"/>
    <m/>
    <e v="#N/A"/>
    <e v="#N/A"/>
    <n v="95883"/>
    <s v="25000338"/>
    <s v="Alain Pinchard"/>
    <s v="Q4"/>
    <e v="#REF!"/>
    <e v="#REF!"/>
    <e v="#REF!"/>
  </r>
  <r>
    <s v="425200"/>
    <x v="6"/>
    <s v="PERSONNEL - NOTE DE FRAIS"/>
    <s v="NDF"/>
    <n v="-73"/>
    <d v="2025-05-01T00:00:00"/>
    <s v="NOTE DE FRAIS"/>
    <m/>
    <e v="#N/A"/>
    <e v="#N/A"/>
    <n v="74404"/>
    <s v="25000136"/>
    <s v="Jérémie Blache"/>
    <s v="Q2"/>
    <e v="#REF!"/>
    <e v="#REF!"/>
    <e v="#REF!"/>
  </r>
  <r>
    <s v="425200"/>
    <x v="6"/>
    <s v="PERSONNEL - NOTE DE FRAIS"/>
    <s v="NDF"/>
    <n v="-73"/>
    <d v="2025-11-24T00:00:00"/>
    <s v="NDF 25000284"/>
    <m/>
    <e v="#N/A"/>
    <e v="#N/A"/>
    <n v="90943"/>
    <s v="25000284"/>
    <s v="Pierre-Yves Bolle"/>
    <s v="Q4"/>
    <e v="#REF!"/>
    <e v="#REF!"/>
    <e v="#REF!"/>
  </r>
  <r>
    <s v="425200"/>
    <x v="6"/>
    <s v="PERSONNEL - NOTE DE FRAIS"/>
    <s v="NDF"/>
    <n v="-72.5"/>
    <d v="2025-10-01T00:00:00"/>
    <s v="NDF 25000318"/>
    <m/>
    <e v="#N/A"/>
    <e v="#N/A"/>
    <n v="93457"/>
    <s v="25000318"/>
    <s v="Lucie Crépin"/>
    <s v="Q4"/>
    <e v="#REF!"/>
    <e v="#REF!"/>
    <e v="#REF!"/>
  </r>
  <r>
    <s v="425200"/>
    <x v="6"/>
    <s v="PERSONNEL - NOTE DE FRAIS"/>
    <s v="NDF"/>
    <n v="-72.47"/>
    <d v="2025-09-19T00:00:00"/>
    <s v="NDF 25000235"/>
    <m/>
    <e v="#N/A"/>
    <e v="#N/A"/>
    <n v="88499"/>
    <s v="25000235"/>
    <s v="Nicolas Canu"/>
    <s v="Q3"/>
    <e v="#REF!"/>
    <e v="#REF!"/>
    <e v="#REF!"/>
  </r>
  <r>
    <s v="425200"/>
    <x v="6"/>
    <s v="PERSONNEL - NOTE DE FRAIS"/>
    <s v="NDF"/>
    <n v="-69"/>
    <d v="2025-11-24T00:00:00"/>
    <s v="NDF 25000297"/>
    <m/>
    <e v="#N/A"/>
    <e v="#N/A"/>
    <n v="90976"/>
    <s v="25000297"/>
    <s v="Marie-Sarah Adenis"/>
    <s v="Q4"/>
    <e v="#REF!"/>
    <e v="#REF!"/>
    <e v="#REF!"/>
  </r>
  <r>
    <s v="425200"/>
    <x v="6"/>
    <s v="PERSONNEL - NOTE DE FRAIS"/>
    <s v="NDF"/>
    <n v="-68.7"/>
    <d v="2025-04-01T00:00:00"/>
    <s v="NDF"/>
    <m/>
    <e v="#N/A"/>
    <e v="#N/A"/>
    <n v="76496"/>
    <s v="25000103"/>
    <s v="Loic masseboeuf"/>
    <s v="Q2"/>
    <e v="#REF!"/>
    <e v="#REF!"/>
    <e v="#REF!"/>
  </r>
  <r>
    <s v="425200"/>
    <x v="6"/>
    <s v="PERSONNEL - NOTE DE FRAIS"/>
    <s v="NDF"/>
    <n v="-68.099999999999994"/>
    <d v="2025-07-11T00:00:00"/>
    <s v="NDF 25000194"/>
    <m/>
    <e v="#N/A"/>
    <e v="#N/A"/>
    <n v="88853"/>
    <s v="25000194"/>
    <s v="Marie Rézeau"/>
    <s v="Q3"/>
    <e v="#REF!"/>
    <e v="#REF!"/>
    <e v="#REF!"/>
  </r>
  <r>
    <s v="425200"/>
    <x v="6"/>
    <s v="PERSONNEL - NOTE DE FRAIS"/>
    <s v="NDF"/>
    <n v="-67.900000000000006"/>
    <d v="2025-06-16T00:00:00"/>
    <s v="NDF 25000202"/>
    <m/>
    <e v="#N/A"/>
    <e v="#N/A"/>
    <n v="88812"/>
    <s v="25000202"/>
    <s v="Pierre-Yves Bolle"/>
    <s v="Q2"/>
    <e v="#REF!"/>
    <e v="#REF!"/>
    <e v="#REF!"/>
  </r>
  <r>
    <s v="425200"/>
    <x v="6"/>
    <s v="PERSONNEL - NOTE DE FRAIS"/>
    <s v="NDF"/>
    <n v="-67.099999999999994"/>
    <d v="2025-02-13T00:00:00"/>
    <s v="NDF 25000338"/>
    <m/>
    <e v="#N/A"/>
    <e v="#N/A"/>
    <n v="95924"/>
    <s v="25000338"/>
    <s v="Alain Pinchard"/>
    <s v="Q1"/>
    <e v="#REF!"/>
    <e v="#REF!"/>
    <e v="#REF!"/>
  </r>
  <r>
    <s v="425200"/>
    <x v="6"/>
    <s v="PERSONNEL - NOTE DE FRAIS"/>
    <s v="NDF"/>
    <n v="-67.05"/>
    <d v="2025-03-26T00:00:00"/>
    <s v="NDF"/>
    <m/>
    <e v="#N/A"/>
    <e v="#N/A"/>
    <n v="75793"/>
    <s v="25000087"/>
    <s v="Benjamin Barry"/>
    <s v="Q1"/>
    <e v="#REF!"/>
    <e v="#REF!"/>
    <e v="#REF!"/>
  </r>
  <r>
    <s v="425200"/>
    <x v="6"/>
    <s v="PERSONNEL - NOTE DE FRAIS"/>
    <s v="NDF"/>
    <n v="-66.11"/>
    <d v="2025-06-13T00:00:00"/>
    <s v="NDF 25000200"/>
    <m/>
    <e v="#N/A"/>
    <e v="#N/A"/>
    <n v="88773"/>
    <s v="25000200"/>
    <s v="Anne-Sophie Goutierre"/>
    <s v="Q2"/>
    <e v="#REF!"/>
    <e v="#REF!"/>
    <e v="#REF!"/>
  </r>
  <r>
    <s v="425200"/>
    <x v="6"/>
    <s v="PERSONNEL - NOTE DE FRAIS"/>
    <s v="NDF"/>
    <n v="-65.88"/>
    <d v="2025-01-17T00:00:00"/>
    <s v="NOTE DE FRAIS"/>
    <m/>
    <e v="#N/A"/>
    <e v="#N/A"/>
    <n v="73624"/>
    <s v="25000017"/>
    <s v="Julie Lacondemine"/>
    <s v="Q1"/>
    <e v="#REF!"/>
    <e v="#REF!"/>
    <e v="#REF!"/>
  </r>
  <r>
    <s v="425200"/>
    <x v="6"/>
    <s v="PERSONNEL - NOTE DE FRAIS"/>
    <s v="NDF"/>
    <n v="-65.84"/>
    <d v="2025-11-24T00:00:00"/>
    <s v="NDF 25000296"/>
    <m/>
    <e v="#N/A"/>
    <e v="#N/A"/>
    <n v="90848"/>
    <s v="25000296"/>
    <s v="Jérémie Blache"/>
    <s v="Q4"/>
    <e v="#REF!"/>
    <e v="#REF!"/>
    <e v="#REF!"/>
  </r>
  <r>
    <s v="425200"/>
    <x v="6"/>
    <s v="PERSONNEL - NOTE DE FRAIS"/>
    <s v="NDF"/>
    <n v="-65.2"/>
    <d v="2025-10-03T00:00:00"/>
    <s v="NDF 25000338"/>
    <m/>
    <e v="#N/A"/>
    <e v="#N/A"/>
    <n v="95842"/>
    <s v="25000338"/>
    <s v="Alain Pinchard"/>
    <s v="Q4"/>
    <e v="#REF!"/>
    <e v="#REF!"/>
    <e v="#REF!"/>
  </r>
  <r>
    <s v="425200"/>
    <x v="6"/>
    <s v="PERSONNEL - NOTE DE FRAIS"/>
    <s v="NDF"/>
    <n v="-65"/>
    <d v="2025-07-01T00:00:00"/>
    <s v="NDF 25000190"/>
    <m/>
    <e v="#N/A"/>
    <e v="#N/A"/>
    <n v="88803"/>
    <s v="25000190"/>
    <s v="Marie-Sarah Adenis"/>
    <s v="Q3"/>
    <e v="#REF!"/>
    <e v="#REF!"/>
    <e v="#REF!"/>
  </r>
  <r>
    <s v="425200"/>
    <x v="6"/>
    <s v="PERSONNEL - NOTE DE FRAIS"/>
    <s v="NDF"/>
    <n v="-65"/>
    <d v="2025-11-13T00:00:00"/>
    <s v="NDF 25000314"/>
    <m/>
    <e v="#N/A"/>
    <e v="#N/A"/>
    <n v="93414"/>
    <s v="25000314"/>
    <s v="Pierre-Yves Bolle"/>
    <s v="Q4"/>
    <e v="#REF!"/>
    <e v="#REF!"/>
    <e v="#REF!"/>
  </r>
  <r>
    <s v="425200"/>
    <x v="6"/>
    <s v="PERSONNEL - NOTE DE FRAIS"/>
    <s v="NDF"/>
    <n v="-64.8"/>
    <d v="2025-06-23T00:00:00"/>
    <s v="NDF 25000191"/>
    <m/>
    <e v="#N/A"/>
    <e v="#N/A"/>
    <n v="88755"/>
    <s v="25000191"/>
    <s v="Marie-Sarah Adenis"/>
    <s v="Q2"/>
    <e v="#REF!"/>
    <e v="#REF!"/>
    <e v="#REF!"/>
  </r>
  <r>
    <s v="425200"/>
    <x v="6"/>
    <s v="PERSONNEL - NOTE DE FRAIS"/>
    <s v="NDF"/>
    <n v="-64.61"/>
    <d v="2025-11-24T00:00:00"/>
    <s v="NDF 25000279"/>
    <m/>
    <e v="#N/A"/>
    <e v="#N/A"/>
    <n v="90912"/>
    <s v="25000279"/>
    <s v="Bob Fernandez"/>
    <s v="Q4"/>
    <e v="#REF!"/>
    <e v="#REF!"/>
    <e v="#REF!"/>
  </r>
  <r>
    <s v="425200"/>
    <x v="6"/>
    <s v="PERSONNEL - NOTE DE FRAIS"/>
    <s v="NDF"/>
    <n v="-64.23"/>
    <d v="2025-09-18T00:00:00"/>
    <s v="NDF 25000220"/>
    <m/>
    <e v="#N/A"/>
    <e v="#N/A"/>
    <n v="88544"/>
    <s v="25000220"/>
    <s v="Julie Lacondemine"/>
    <s v="Q3"/>
    <e v="#REF!"/>
    <e v="#REF!"/>
    <e v="#REF!"/>
  </r>
  <r>
    <s v="425200"/>
    <x v="6"/>
    <s v="PERSONNEL - NOTE DE FRAIS"/>
    <s v="NDF"/>
    <n v="-64"/>
    <d v="2025-09-16T00:00:00"/>
    <s v="Remboursement Transport"/>
    <m/>
    <e v="#N/A"/>
    <e v="#N/A"/>
    <n v="89069"/>
    <m/>
    <s v="Jules Garnier"/>
    <s v="Q3"/>
    <e v="#REF!"/>
    <e v="#REF!"/>
    <e v="#REF!"/>
  </r>
  <r>
    <s v="425200"/>
    <x v="6"/>
    <s v="PERSONNEL - NOTE DE FRAIS"/>
    <s v="NDF"/>
    <n v="-63"/>
    <d v="2025-11-03T00:00:00"/>
    <s v="NDF 25000289"/>
    <m/>
    <e v="#N/A"/>
    <e v="#N/A"/>
    <n v="93493"/>
    <s v="25000289"/>
    <s v="Pauline Rullière"/>
    <s v="Q4"/>
    <e v="#REF!"/>
    <e v="#REF!"/>
    <e v="#REF!"/>
  </r>
  <r>
    <s v="425200"/>
    <x v="6"/>
    <s v="PERSONNEL - NOTE DE FRAIS"/>
    <s v="NDF"/>
    <n v="-62.79"/>
    <d v="2025-10-02T00:00:00"/>
    <s v="NDF 25000263"/>
    <m/>
    <e v="#N/A"/>
    <e v="#N/A"/>
    <n v="88415"/>
    <s v="25000263"/>
    <s v="Yves Combret"/>
    <s v="Q4"/>
    <e v="#REF!"/>
    <e v="#REF!"/>
    <e v="#REF!"/>
  </r>
  <r>
    <s v="425200"/>
    <x v="6"/>
    <s v="PERSONNEL - NOTE DE FRAIS"/>
    <s v="NDF"/>
    <n v="-62.4"/>
    <d v="2025-06-01T00:00:00"/>
    <s v="NDF"/>
    <m/>
    <e v="#N/A"/>
    <e v="#N/A"/>
    <n v="76544"/>
    <s v="25000166"/>
    <s v="Océane Chabret"/>
    <s v="Q2"/>
    <e v="#REF!"/>
    <e v="#REF!"/>
    <e v="#REF!"/>
  </r>
  <r>
    <s v="425200"/>
    <x v="6"/>
    <s v="PERSONNEL - NOTE DE FRAIS"/>
    <s v="NDF"/>
    <n v="-61.85"/>
    <d v="2025-03-31T00:00:00"/>
    <s v="NDF"/>
    <m/>
    <e v="#N/A"/>
    <e v="#N/A"/>
    <n v="75820"/>
    <s v="25000098"/>
    <s v="Marie de Almeida"/>
    <s v="Q1"/>
    <e v="#REF!"/>
    <e v="#REF!"/>
    <e v="#REF!"/>
  </r>
  <r>
    <s v="425200"/>
    <x v="6"/>
    <s v="PERSONNEL - NOTE DE FRAIS"/>
    <s v="NDF"/>
    <n v="-61.3"/>
    <d v="2025-04-04T00:00:00"/>
    <s v="NDF"/>
    <m/>
    <e v="#N/A"/>
    <e v="#N/A"/>
    <n v="75464"/>
    <s v="25000105"/>
    <s v="Audrey Baylac"/>
    <s v="Q2"/>
    <e v="#REF!"/>
    <e v="#REF!"/>
    <e v="#REF!"/>
  </r>
  <r>
    <s v="425200"/>
    <x v="6"/>
    <s v="PERSONNEL - NOTE DE FRAIS"/>
    <s v="NDF"/>
    <n v="-61.2"/>
    <d v="2025-10-01T00:00:00"/>
    <s v="NDF 25000338"/>
    <m/>
    <e v="#N/A"/>
    <e v="#N/A"/>
    <n v="95873"/>
    <s v="25000338"/>
    <s v="Alain Pinchard"/>
    <s v="Q4"/>
    <e v="#REF!"/>
    <e v="#REF!"/>
    <e v="#REF!"/>
  </r>
  <r>
    <s v="425200"/>
    <x v="6"/>
    <s v="PERSONNEL - NOTE DE FRAIS"/>
    <s v="NDF"/>
    <n v="-61"/>
    <d v="2025-09-30T00:00:00"/>
    <s v="NDF 25000338"/>
    <m/>
    <e v="#N/A"/>
    <e v="#N/A"/>
    <n v="95903"/>
    <s v="25000338"/>
    <s v="Alain Pinchard"/>
    <s v="Q3"/>
    <e v="#REF!"/>
    <e v="#REF!"/>
    <e v="#REF!"/>
  </r>
  <r>
    <s v="425200"/>
    <x v="6"/>
    <s v="PERSONNEL - NOTE DE FRAIS"/>
    <s v="NDF"/>
    <n v="-60.55"/>
    <d v="2025-10-03T00:00:00"/>
    <s v="NDF 25000257"/>
    <m/>
    <e v="#N/A"/>
    <e v="#N/A"/>
    <n v="88984"/>
    <s v="25000257"/>
    <s v="Anne-Sophie Goutierre"/>
    <s v="Q4"/>
    <e v="#REF!"/>
    <e v="#REF!"/>
    <e v="#REF!"/>
  </r>
  <r>
    <s v="425200"/>
    <x v="6"/>
    <s v="PERSONNEL - NOTE DE FRAIS"/>
    <s v="NDF"/>
    <n v="-60.18"/>
    <d v="2025-01-07T00:00:00"/>
    <s v="NOTE DE FRAIS"/>
    <m/>
    <e v="#N/A"/>
    <e v="#N/A"/>
    <n v="74169"/>
    <s v="25000014"/>
    <s v="Anne-Sophie Goutierre"/>
    <s v="Q1"/>
    <e v="#REF!"/>
    <e v="#REF!"/>
    <e v="#REF!"/>
  </r>
  <r>
    <s v="425200"/>
    <x v="6"/>
    <s v="PERSONNEL - NOTE DE FRAIS"/>
    <s v="NDF"/>
    <n v="-59.73"/>
    <d v="2025-04-30T00:00:00"/>
    <s v="NOTE DE FRAIS"/>
    <m/>
    <e v="#N/A"/>
    <e v="#N/A"/>
    <n v="74388"/>
    <s v="25000149"/>
    <s v="Jérémie Blache"/>
    <s v="Q2"/>
    <e v="#REF!"/>
    <e v="#REF!"/>
    <e v="#REF!"/>
  </r>
  <r>
    <s v="425200"/>
    <x v="6"/>
    <s v="PERSONNEL - NOTE DE FRAIS"/>
    <s v="NDF"/>
    <n v="-59.38"/>
    <d v="2025-05-01T00:00:00"/>
    <s v="NOTE DE FRAIS"/>
    <m/>
    <e v="#N/A"/>
    <e v="#N/A"/>
    <n v="74406"/>
    <s v="25000144"/>
    <s v="Jérémie Blache"/>
    <s v="Q2"/>
    <e v="#REF!"/>
    <e v="#REF!"/>
    <e v="#REF!"/>
  </r>
  <r>
    <s v="425200"/>
    <x v="6"/>
    <s v="PERSONNEL - NOTE DE FRAIS"/>
    <s v="NDF"/>
    <n v="-59"/>
    <d v="2025-09-09T00:00:00"/>
    <s v="NDF 25000195"/>
    <m/>
    <e v="#N/A"/>
    <e v="#N/A"/>
    <n v="88147"/>
    <s v="25000195"/>
    <s v="Pauline Rullière"/>
    <s v="Q3"/>
    <e v="#REF!"/>
    <e v="#REF!"/>
    <e v="#REF!"/>
  </r>
  <r>
    <s v="425200"/>
    <x v="6"/>
    <s v="PERSONNEL - NOTE DE FRAIS"/>
    <s v="NDF"/>
    <n v="-59"/>
    <d v="2025-12-01T00:00:00"/>
    <s v="NDF 25000336"/>
    <m/>
    <e v="#N/A"/>
    <e v="#N/A"/>
    <n v="95819"/>
    <s v="25000336"/>
    <s v="Guillaume Boissonnat-Wu"/>
    <s v="Q4"/>
    <e v="#REF!"/>
    <e v="#REF!"/>
    <e v="#REF!"/>
  </r>
  <r>
    <s v="425200"/>
    <x v="6"/>
    <s v="PERSONNEL - NOTE DE FRAIS"/>
    <s v="NDF"/>
    <n v="-58.52"/>
    <d v="2025-09-04T00:00:00"/>
    <s v="NDF 25000214"/>
    <m/>
    <e v="#N/A"/>
    <e v="#N/A"/>
    <n v="88574"/>
    <s v="25000214"/>
    <s v="Emilie Amillastré"/>
    <s v="Q3"/>
    <e v="#REF!"/>
    <e v="#REF!"/>
    <e v="#REF!"/>
  </r>
  <r>
    <s v="425200"/>
    <x v="6"/>
    <s v="PERSONNEL - NOTE DE FRAIS"/>
    <s v="NDF"/>
    <n v="-58.2"/>
    <d v="2025-08-28T00:00:00"/>
    <s v="NDF 25000338"/>
    <m/>
    <e v="#N/A"/>
    <e v="#N/A"/>
    <n v="95897"/>
    <s v="25000338"/>
    <s v="Alain Pinchard"/>
    <s v="Q3"/>
    <e v="#REF!"/>
    <e v="#REF!"/>
    <e v="#REF!"/>
  </r>
  <r>
    <s v="425200"/>
    <x v="6"/>
    <s v="PERSONNEL - NOTE DE FRAIS"/>
    <s v="NDF"/>
    <n v="-58"/>
    <d v="2025-11-25T00:00:00"/>
    <s v="NDF 25000314"/>
    <m/>
    <e v="#N/A"/>
    <e v="#N/A"/>
    <n v="93408"/>
    <s v="25000314"/>
    <s v="Pierre-Yves Bolle"/>
    <s v="Q4"/>
    <e v="#REF!"/>
    <e v="#REF!"/>
    <e v="#REF!"/>
  </r>
  <r>
    <s v="425200"/>
    <x v="6"/>
    <s v="PERSONNEL - NOTE DE FRAIS"/>
    <s v="NDF"/>
    <n v="-58"/>
    <d v="2025-11-25T00:00:00"/>
    <s v="NDF 25000314"/>
    <m/>
    <e v="#N/A"/>
    <e v="#N/A"/>
    <n v="93410"/>
    <s v="25000314"/>
    <s v="Pierre-Yves Bolle"/>
    <s v="Q4"/>
    <e v="#REF!"/>
    <e v="#REF!"/>
    <e v="#REF!"/>
  </r>
  <r>
    <s v="425200"/>
    <x v="6"/>
    <s v="PERSONNEL - NOTE DE FRAIS"/>
    <s v="NDF"/>
    <n v="-57.36"/>
    <d v="2025-07-21T00:00:00"/>
    <s v="NDF 25000200"/>
    <m/>
    <e v="#N/A"/>
    <e v="#N/A"/>
    <n v="88771"/>
    <s v="25000200"/>
    <s v="Anne-Sophie Goutierre"/>
    <s v="Q3"/>
    <e v="#REF!"/>
    <e v="#REF!"/>
    <e v="#REF!"/>
  </r>
  <r>
    <s v="425200"/>
    <x v="6"/>
    <s v="PERSONNEL - NOTE DE FRAIS"/>
    <s v="NDF"/>
    <n v="-57"/>
    <d v="2025-02-10T00:00:00"/>
    <s v="NOTE DE FRAIS"/>
    <m/>
    <e v="#N/A"/>
    <e v="#N/A"/>
    <n v="73671"/>
    <s v="25000035"/>
    <s v="Jérémie Blache"/>
    <s v="Q1"/>
    <e v="#REF!"/>
    <e v="#REF!"/>
    <e v="#REF!"/>
  </r>
  <r>
    <s v="425200"/>
    <x v="6"/>
    <s v="PERSONNEL - NOTE DE FRAIS"/>
    <s v="NDF"/>
    <n v="-56.44"/>
    <d v="2025-09-19T00:00:00"/>
    <s v="NDF 25000257"/>
    <m/>
    <e v="#N/A"/>
    <e v="#N/A"/>
    <n v="88992"/>
    <s v="25000257"/>
    <s v="Anne-Sophie Goutierre"/>
    <s v="Q3"/>
    <e v="#REF!"/>
    <e v="#REF!"/>
    <e v="#REF!"/>
  </r>
  <r>
    <s v="425200"/>
    <x v="6"/>
    <s v="PERSONNEL - NOTE DE FRAIS"/>
    <s v="NDF"/>
    <n v="-55"/>
    <d v="2025-10-03T00:00:00"/>
    <s v="NDF 25000338"/>
    <m/>
    <e v="#N/A"/>
    <e v="#N/A"/>
    <n v="95875"/>
    <s v="25000338"/>
    <s v="Alain Pinchard"/>
    <s v="Q4"/>
    <e v="#REF!"/>
    <e v="#REF!"/>
    <e v="#REF!"/>
  </r>
  <r>
    <s v="425200"/>
    <x v="6"/>
    <s v="PERSONNEL - NOTE DE FRAIS"/>
    <s v="NDF"/>
    <n v="-54.88"/>
    <d v="2025-03-31T00:00:00"/>
    <s v="NOTE DE FRAIS"/>
    <m/>
    <e v="#N/A"/>
    <e v="#N/A"/>
    <n v="74286"/>
    <s v="25000118"/>
    <s v="Jérémie Blache"/>
    <s v="Q1"/>
    <e v="#REF!"/>
    <e v="#REF!"/>
    <e v="#REF!"/>
  </r>
  <r>
    <s v="425200"/>
    <x v="6"/>
    <s v="PERSONNEL - NOTE DE FRAIS"/>
    <s v="NDF"/>
    <n v="-54.87"/>
    <d v="2025-03-03T00:00:00"/>
    <s v="NDF"/>
    <m/>
    <e v="#N/A"/>
    <e v="#N/A"/>
    <n v="76474"/>
    <s v="25000060"/>
    <s v="Jérémie Blache"/>
    <s v="Q1"/>
    <e v="#REF!"/>
    <e v="#REF!"/>
    <e v="#REF!"/>
  </r>
  <r>
    <s v="425200"/>
    <x v="6"/>
    <s v="PERSONNEL - NOTE DE FRAIS"/>
    <s v="NDF"/>
    <n v="-54"/>
    <d v="2025-06-11T00:00:00"/>
    <s v="NDF"/>
    <m/>
    <e v="#N/A"/>
    <e v="#N/A"/>
    <n v="76592"/>
    <s v="25000174"/>
    <s v="Jérémie Blache"/>
    <s v="Q2"/>
    <e v="#REF!"/>
    <e v="#REF!"/>
    <e v="#REF!"/>
  </r>
  <r>
    <s v="425200"/>
    <x v="6"/>
    <s v="PERSONNEL - NOTE DE FRAIS"/>
    <s v="NDF"/>
    <n v="-54"/>
    <d v="2025-11-20T00:00:00"/>
    <s v="NDF 25000335"/>
    <m/>
    <e v="#N/A"/>
    <e v="#N/A"/>
    <n v="95809"/>
    <s v="25000335"/>
    <s v="Guillaume Boissonnat-Wu"/>
    <s v="Q4"/>
    <e v="#REF!"/>
    <e v="#REF!"/>
    <e v="#REF!"/>
  </r>
  <r>
    <s v="425200"/>
    <x v="6"/>
    <s v="PERSONNEL - NOTE DE FRAIS"/>
    <s v="NDF"/>
    <n v="-54"/>
    <d v="2025-11-24T00:00:00"/>
    <s v="NDF 25000297"/>
    <m/>
    <e v="#N/A"/>
    <e v="#N/A"/>
    <n v="90982"/>
    <s v="25000297"/>
    <s v="Marie-Sarah Adenis"/>
    <s v="Q4"/>
    <e v="#REF!"/>
    <e v="#REF!"/>
    <e v="#REF!"/>
  </r>
  <r>
    <s v="425200"/>
    <x v="6"/>
    <s v="PERSONNEL - NOTE DE FRAIS"/>
    <s v="NDF"/>
    <n v="-53.3"/>
    <d v="2025-12-17T00:00:00"/>
    <s v="NDF 25000333"/>
    <m/>
    <e v="#N/A"/>
    <e v="#N/A"/>
    <n v="95791"/>
    <s v="25000333"/>
    <s v="Clément Perrocheau"/>
    <s v="Q4"/>
    <e v="#REF!"/>
    <e v="#REF!"/>
    <e v="#REF!"/>
  </r>
  <r>
    <s v="425200"/>
    <x v="6"/>
    <s v="PERSONNEL - NOTE DE FRAIS"/>
    <s v="NDF"/>
    <n v="-53.3"/>
    <d v="2025-12-17T00:00:00"/>
    <s v="NDF 25000333"/>
    <m/>
    <e v="#N/A"/>
    <e v="#N/A"/>
    <n v="95796"/>
    <s v="25000333"/>
    <s v="Clément Perrocheau"/>
    <s v="Q4"/>
    <e v="#REF!"/>
    <e v="#REF!"/>
    <e v="#REF!"/>
  </r>
  <r>
    <s v="425200"/>
    <x v="6"/>
    <s v="PERSONNEL - NOTE DE FRAIS"/>
    <s v="NDF"/>
    <n v="-53.17"/>
    <d v="2025-02-03T00:00:00"/>
    <s v="NOTE DE FRAIS"/>
    <m/>
    <e v="#N/A"/>
    <e v="#N/A"/>
    <n v="73653"/>
    <s v="25000028"/>
    <s v="Jérémie Blache"/>
    <s v="Q1"/>
    <e v="#REF!"/>
    <e v="#REF!"/>
    <e v="#REF!"/>
  </r>
  <r>
    <s v="425200"/>
    <x v="6"/>
    <s v="PERSONNEL - NOTE DE FRAIS"/>
    <s v="NDF"/>
    <n v="-52.97"/>
    <d v="2025-08-22T00:00:00"/>
    <s v="NDF 25000211"/>
    <m/>
    <e v="#N/A"/>
    <e v="#N/A"/>
    <n v="88081"/>
    <s v="25000211"/>
    <s v="Julie Lacondemine"/>
    <s v="Q3"/>
    <e v="#REF!"/>
    <e v="#REF!"/>
    <e v="#REF!"/>
  </r>
  <r>
    <s v="425200"/>
    <x v="6"/>
    <s v="PERSONNEL - NOTE DE FRAIS"/>
    <s v="NDF"/>
    <n v="-51"/>
    <d v="2025-01-01T00:00:00"/>
    <s v="NDF"/>
    <m/>
    <e v="#N/A"/>
    <e v="#N/A"/>
    <n v="76449"/>
    <s v="24000390"/>
    <s v="Lucie Crépin"/>
    <s v="Q1"/>
    <e v="#REF!"/>
    <e v="#REF!"/>
    <e v="#REF!"/>
  </r>
  <r>
    <s v="425200"/>
    <x v="6"/>
    <s v="PERSONNEL - NOTE DE FRAIS"/>
    <s v="NDF"/>
    <n v="-51"/>
    <d v="2025-06-26T00:00:00"/>
    <s v="NDF 25000202"/>
    <m/>
    <e v="#N/A"/>
    <e v="#N/A"/>
    <n v="88807"/>
    <s v="25000202"/>
    <s v="Pierre-Yves Bolle"/>
    <s v="Q2"/>
    <e v="#REF!"/>
    <e v="#REF!"/>
    <e v="#REF!"/>
  </r>
  <r>
    <s v="425200"/>
    <x v="6"/>
    <s v="PERSONNEL - NOTE DE FRAIS"/>
    <s v="NDF"/>
    <n v="-50.8"/>
    <d v="2025-12-11T00:00:00"/>
    <s v="NDF 25000334"/>
    <m/>
    <e v="#N/A"/>
    <e v="#N/A"/>
    <n v="95800"/>
    <s v="25000334"/>
    <s v="Maud Sanchez"/>
    <s v="Q4"/>
    <e v="#REF!"/>
    <e v="#REF!"/>
    <e v="#REF!"/>
  </r>
  <r>
    <s v="425200"/>
    <x v="6"/>
    <s v="PERSONNEL - NOTE DE FRAIS"/>
    <s v="NDF"/>
    <n v="-50.4"/>
    <d v="2025-03-20T00:00:00"/>
    <s v="NOTE DE FRAIS"/>
    <m/>
    <e v="#N/A"/>
    <e v="#N/A"/>
    <n v="74201"/>
    <s v="25000077"/>
    <s v="Clément Perrocheau"/>
    <s v="Q1"/>
    <e v="#REF!"/>
    <e v="#REF!"/>
    <e v="#REF!"/>
  </r>
  <r>
    <s v="425200"/>
    <x v="6"/>
    <s v="PERSONNEL - NOTE DE FRAIS"/>
    <s v="NDF"/>
    <n v="-50"/>
    <d v="2025-01-28T00:00:00"/>
    <s v="NOTE DE FRAIS"/>
    <m/>
    <e v="#N/A"/>
    <e v="#N/A"/>
    <n v="73642"/>
    <s v="25000020"/>
    <s v="Jérémie Blache"/>
    <s v="Q1"/>
    <e v="#REF!"/>
    <e v="#REF!"/>
    <e v="#REF!"/>
  </r>
  <r>
    <s v="425200"/>
    <x v="6"/>
    <s v="PERSONNEL - NOTE DE FRAIS"/>
    <s v="NDF"/>
    <n v="-50"/>
    <d v="2025-03-03T00:00:00"/>
    <s v="NOTE DE FRAIS"/>
    <m/>
    <e v="#N/A"/>
    <e v="#N/A"/>
    <n v="73710"/>
    <s v="25000056"/>
    <s v="Jérémie Blache"/>
    <s v="Q1"/>
    <e v="#REF!"/>
    <e v="#REF!"/>
    <e v="#REF!"/>
  </r>
  <r>
    <s v="425200"/>
    <x v="6"/>
    <s v="PERSONNEL - NOTE DE FRAIS"/>
    <s v="NDF"/>
    <n v="-50"/>
    <d v="2025-03-21T00:00:00"/>
    <s v="NOTE DE FRAIS"/>
    <m/>
    <e v="#N/A"/>
    <e v="#N/A"/>
    <n v="73728"/>
    <s v="25000080"/>
    <s v="Jérémie Blache"/>
    <s v="Q1"/>
    <e v="#REF!"/>
    <e v="#REF!"/>
    <e v="#REF!"/>
  </r>
  <r>
    <s v="425200"/>
    <x v="6"/>
    <s v="PERSONNEL - NOTE DE FRAIS"/>
    <s v="NDF"/>
    <n v="-50"/>
    <d v="2025-07-07T00:00:00"/>
    <s v="NDF 25000111"/>
    <m/>
    <e v="#N/A"/>
    <e v="#N/A"/>
    <n v="89226"/>
    <s v="25000111"/>
    <s v="Pauline Rullière"/>
    <s v="Q3"/>
    <e v="#REF!"/>
    <e v="#REF!"/>
    <e v="#REF!"/>
  </r>
  <r>
    <s v="425200"/>
    <x v="6"/>
    <s v="PERSONNEL - NOTE DE FRAIS"/>
    <s v="NDF"/>
    <n v="-50"/>
    <d v="2025-11-17T00:00:00"/>
    <s v="NDF 25000305"/>
    <m/>
    <e v="#N/A"/>
    <e v="#N/A"/>
    <n v="93435"/>
    <s v="25000305"/>
    <s v="Marie-Sarah Adenis"/>
    <s v="Q4"/>
    <e v="#REF!"/>
    <e v="#REF!"/>
    <e v="#REF!"/>
  </r>
  <r>
    <s v="425200"/>
    <x v="6"/>
    <s v="PERSONNEL - NOTE DE FRAIS"/>
    <s v="NDF"/>
    <n v="-50"/>
    <d v="2025-11-24T00:00:00"/>
    <s v="NDF 25000296"/>
    <m/>
    <e v="#N/A"/>
    <e v="#N/A"/>
    <n v="90832"/>
    <s v="25000296"/>
    <s v="Jérémie Blache"/>
    <s v="Q4"/>
    <e v="#REF!"/>
    <e v="#REF!"/>
    <e v="#REF!"/>
  </r>
  <r>
    <s v="425200"/>
    <x v="6"/>
    <s v="PERSONNEL - NOTE DE FRAIS"/>
    <s v="NDF"/>
    <n v="-49.99"/>
    <d v="2025-02-21T00:00:00"/>
    <s v="NOTE DE FRAIS"/>
    <m/>
    <e v="#N/A"/>
    <e v="#N/A"/>
    <n v="73696"/>
    <s v="25000049"/>
    <s v="Anne-Sophie Goutierre"/>
    <s v="Q1"/>
    <e v="#REF!"/>
    <e v="#REF!"/>
    <e v="#REF!"/>
  </r>
  <r>
    <s v="425200"/>
    <x v="6"/>
    <s v="PERSONNEL - NOTE DE FRAIS"/>
    <s v="NDF"/>
    <n v="-49.98"/>
    <d v="2025-01-01T00:00:00"/>
    <s v="NOTE DE FRAIS"/>
    <m/>
    <e v="#N/A"/>
    <e v="#N/A"/>
    <n v="73604"/>
    <s v="25000013"/>
    <s v="Jérémie Blache"/>
    <s v="Q1"/>
    <e v="#REF!"/>
    <e v="#REF!"/>
    <e v="#REF!"/>
  </r>
  <r>
    <s v="425200"/>
    <x v="6"/>
    <s v="PERSONNEL - NOTE DE FRAIS"/>
    <s v="NDF"/>
    <n v="-49.98"/>
    <d v="2025-11-27T00:00:00"/>
    <s v="NDF 25000304"/>
    <m/>
    <e v="#N/A"/>
    <e v="#N/A"/>
    <n v="93336"/>
    <s v="25000304"/>
    <s v="Julie Lacondemine"/>
    <s v="Q4"/>
    <e v="#REF!"/>
    <e v="#REF!"/>
    <e v="#REF!"/>
  </r>
  <r>
    <s v="425200"/>
    <x v="6"/>
    <s v="PERSONNEL - NOTE DE FRAIS"/>
    <s v="NDF"/>
    <n v="-49.85"/>
    <d v="2025-01-13T00:00:00"/>
    <s v="NDF"/>
    <m/>
    <e v="#N/A"/>
    <e v="#N/A"/>
    <n v="75682"/>
    <s v="25000011"/>
    <s v="Benjamin Barry"/>
    <s v="Q1"/>
    <e v="#REF!"/>
    <e v="#REF!"/>
    <e v="#REF!"/>
  </r>
  <r>
    <s v="425200"/>
    <x v="6"/>
    <s v="PERSONNEL - NOTE DE FRAIS"/>
    <s v="NDF"/>
    <n v="-49.71"/>
    <d v="2025-07-24T00:00:00"/>
    <s v="NDF 25000196"/>
    <m/>
    <e v="#N/A"/>
    <e v="#N/A"/>
    <n v="88732"/>
    <s v="25000196"/>
    <s v="Benjamin Barry"/>
    <s v="Q3"/>
    <e v="#REF!"/>
    <e v="#REF!"/>
    <e v="#REF!"/>
  </r>
  <r>
    <s v="425200"/>
    <x v="6"/>
    <s v="PERSONNEL - NOTE DE FRAIS"/>
    <s v="NDF"/>
    <n v="-49"/>
    <d v="2025-11-24T00:00:00"/>
    <s v="NDF 25000297"/>
    <m/>
    <e v="#N/A"/>
    <e v="#N/A"/>
    <n v="90986"/>
    <s v="25000297"/>
    <s v="Marie-Sarah Adenis"/>
    <s v="Q4"/>
    <e v="#REF!"/>
    <e v="#REF!"/>
    <e v="#REF!"/>
  </r>
  <r>
    <s v="425200"/>
    <x v="6"/>
    <s v="PERSONNEL - NOTE DE FRAIS"/>
    <s v="NDF"/>
    <n v="-49"/>
    <d v="2025-12-02T00:00:00"/>
    <s v="25000289"/>
    <m/>
    <e v="#N/A"/>
    <e v="#N/A"/>
    <n v="93564"/>
    <s v="25000289"/>
    <s v="Pauline Rullière"/>
    <s v="Q4"/>
    <e v="#REF!"/>
    <e v="#REF!"/>
    <e v="#REF!"/>
  </r>
  <r>
    <s v="425200"/>
    <x v="6"/>
    <s v="PERSONNEL - NOTE DE FRAIS"/>
    <s v="NDF"/>
    <n v="-48.45"/>
    <d v="2025-11-24T00:00:00"/>
    <s v="NDF 25000199"/>
    <m/>
    <e v="#N/A"/>
    <e v="#N/A"/>
    <n v="90997"/>
    <s v="25000199"/>
    <s v="Anne-Sophie Goutierre"/>
    <s v="Q4"/>
    <e v="#REF!"/>
    <e v="#REF!"/>
    <e v="#REF!"/>
  </r>
  <r>
    <s v="425200"/>
    <x v="6"/>
    <s v="PERSONNEL - NOTE DE FRAIS"/>
    <s v="NDF"/>
    <n v="-48.3"/>
    <d v="2025-09-30T00:00:00"/>
    <s v="NDF 25000338"/>
    <m/>
    <e v="#N/A"/>
    <e v="#N/A"/>
    <n v="95863"/>
    <s v="25000338"/>
    <s v="Alain Pinchard"/>
    <s v="Q3"/>
    <e v="#REF!"/>
    <e v="#REF!"/>
    <e v="#REF!"/>
  </r>
  <r>
    <s v="425200"/>
    <x v="6"/>
    <s v="PERSONNEL - NOTE DE FRAIS"/>
    <s v="NDF"/>
    <n v="-48"/>
    <d v="2025-09-16T00:00:00"/>
    <s v="Remboursement Transport"/>
    <m/>
    <e v="#N/A"/>
    <e v="#N/A"/>
    <n v="89064"/>
    <m/>
    <s v="Eugénie Terrangle"/>
    <s v="Q3"/>
    <e v="#REF!"/>
    <e v="#REF!"/>
    <e v="#REF!"/>
  </r>
  <r>
    <s v="425200"/>
    <x v="6"/>
    <s v="PERSONNEL - NOTE DE FRAIS"/>
    <s v="NDF"/>
    <n v="-47.8"/>
    <d v="2025-11-24T00:00:00"/>
    <s v="NDF 25000199"/>
    <m/>
    <e v="#N/A"/>
    <e v="#N/A"/>
    <n v="91000"/>
    <s v="25000199"/>
    <s v="Anne-Sophie Goutierre"/>
    <s v="Q4"/>
    <e v="#REF!"/>
    <e v="#REF!"/>
    <e v="#REF!"/>
  </r>
  <r>
    <s v="425200"/>
    <x v="6"/>
    <s v="PERSONNEL - NOTE DE FRAIS"/>
    <s v="NDF"/>
    <n v="-47.25"/>
    <d v="2025-02-10T00:00:00"/>
    <s v="NDF"/>
    <m/>
    <e v="#N/A"/>
    <e v="#N/A"/>
    <n v="75719"/>
    <s v="25000044"/>
    <s v="Audrey Baylac"/>
    <s v="Q1"/>
    <e v="#REF!"/>
    <e v="#REF!"/>
    <e v="#REF!"/>
  </r>
  <r>
    <s v="425200"/>
    <x v="6"/>
    <s v="PERSONNEL - NOTE DE FRAIS"/>
    <s v="NDF"/>
    <n v="-45.9"/>
    <d v="2025-04-29T00:00:00"/>
    <s v="NDF"/>
    <m/>
    <e v="#N/A"/>
    <e v="#N/A"/>
    <n v="76503"/>
    <s v="25000152"/>
    <s v="Guillaume Boissonnat-Wu"/>
    <s v="Q2"/>
    <e v="#REF!"/>
    <e v="#REF!"/>
    <e v="#REF!"/>
  </r>
  <r>
    <s v="425200"/>
    <x v="6"/>
    <s v="PERSONNEL - NOTE DE FRAIS"/>
    <s v="NDF"/>
    <n v="-45.2"/>
    <d v="2025-07-23T00:00:00"/>
    <s v="NDF 25000196"/>
    <m/>
    <e v="#N/A"/>
    <e v="#N/A"/>
    <n v="88741"/>
    <s v="25000196"/>
    <s v="Benjamin Barry"/>
    <s v="Q3"/>
    <e v="#REF!"/>
    <e v="#REF!"/>
    <e v="#REF!"/>
  </r>
  <r>
    <s v="425200"/>
    <x v="6"/>
    <s v="PERSONNEL - NOTE DE FRAIS"/>
    <s v="NDF"/>
    <n v="-45"/>
    <d v="2025-09-01T00:00:00"/>
    <s v="NDF 25000216"/>
    <m/>
    <e v="#N/A"/>
    <e v="#N/A"/>
    <n v="88117"/>
    <s v="25000216"/>
    <s v="Jérémie Blache"/>
    <s v="Q3"/>
    <e v="#REF!"/>
    <e v="#REF!"/>
    <e v="#REF!"/>
  </r>
  <r>
    <s v="425200"/>
    <x v="6"/>
    <s v="PERSONNEL - NOTE DE FRAIS"/>
    <s v="NDF"/>
    <n v="-45"/>
    <d v="2025-10-21T00:00:00"/>
    <s v="NDF 25000287"/>
    <m/>
    <e v="#N/A"/>
    <e v="#N/A"/>
    <n v="88894"/>
    <s v="25000287"/>
    <s v="Jérémie Blache"/>
    <s v="Q4"/>
    <e v="#REF!"/>
    <e v="#REF!"/>
    <e v="#REF!"/>
  </r>
  <r>
    <s v="425200"/>
    <x v="6"/>
    <s v="PERSONNEL - NOTE DE FRAIS"/>
    <s v="NDF"/>
    <n v="-45"/>
    <d v="2025-11-24T00:00:00"/>
    <s v="NDF 25000288"/>
    <m/>
    <e v="#N/A"/>
    <e v="#N/A"/>
    <n v="90926"/>
    <s v="25000288"/>
    <s v="Guillaume Boissonnat-Wu"/>
    <s v="Q4"/>
    <e v="#REF!"/>
    <e v="#REF!"/>
    <e v="#REF!"/>
  </r>
  <r>
    <s v="425200"/>
    <x v="6"/>
    <s v="PERSONNEL - NOTE DE FRAIS"/>
    <s v="NDF"/>
    <n v="-45"/>
    <d v="2025-12-15T00:00:00"/>
    <s v="NDF 25000327"/>
    <m/>
    <e v="#N/A"/>
    <e v="#N/A"/>
    <n v="93250"/>
    <s v="25000327"/>
    <s v="Jérémie Blache"/>
    <s v="Q4"/>
    <e v="#REF!"/>
    <e v="#REF!"/>
    <e v="#REF!"/>
  </r>
  <r>
    <s v="425200"/>
    <x v="6"/>
    <s v="PERSONNEL - NOTE DE FRAIS"/>
    <s v="NDF"/>
    <n v="-44.9"/>
    <d v="2025-12-17T00:00:00"/>
    <s v="NDF 25000333"/>
    <m/>
    <e v="#N/A"/>
    <e v="#N/A"/>
    <n v="95798"/>
    <s v="25000333"/>
    <s v="Clément Perrocheau"/>
    <s v="Q4"/>
    <e v="#REF!"/>
    <e v="#REF!"/>
    <e v="#REF!"/>
  </r>
  <r>
    <s v="425200"/>
    <x v="6"/>
    <s v="PERSONNEL - NOTE DE FRAIS"/>
    <s v="NDF"/>
    <n v="-44.8"/>
    <d v="2025-06-27T00:00:00"/>
    <s v="NDF 25000190"/>
    <m/>
    <e v="#N/A"/>
    <e v="#N/A"/>
    <n v="88783"/>
    <s v="25000190"/>
    <s v="Marie-Sarah Adenis"/>
    <s v="Q2"/>
    <e v="#REF!"/>
    <e v="#REF!"/>
    <e v="#REF!"/>
  </r>
  <r>
    <s v="425200"/>
    <x v="6"/>
    <s v="PERSONNEL - NOTE DE FRAIS"/>
    <s v="NDF"/>
    <n v="-44.34"/>
    <d v="2025-04-01T00:00:00"/>
    <s v="NOTE DE FRAIS"/>
    <m/>
    <e v="#N/A"/>
    <e v="#N/A"/>
    <n v="74293"/>
    <s v="25000121"/>
    <s v="Jérémie Blache"/>
    <s v="Q2"/>
    <e v="#REF!"/>
    <e v="#REF!"/>
    <e v="#REF!"/>
  </r>
  <r>
    <s v="425200"/>
    <x v="6"/>
    <s v="PERSONNEL - NOTE DE FRAIS"/>
    <s v="NDF"/>
    <n v="-44.28"/>
    <d v="2025-09-25T00:00:00"/>
    <s v="NDF 25000248"/>
    <m/>
    <e v="#N/A"/>
    <e v="#N/A"/>
    <n v="88551"/>
    <s v="25000248"/>
    <s v="Pierre-Yves Bolle"/>
    <s v="Q3"/>
    <e v="#REF!"/>
    <e v="#REF!"/>
    <e v="#REF!"/>
  </r>
  <r>
    <s v="425200"/>
    <x v="6"/>
    <s v="PERSONNEL - NOTE DE FRAIS"/>
    <s v="NDF"/>
    <n v="-44.1"/>
    <d v="2025-05-27T00:00:00"/>
    <s v="NDF"/>
    <m/>
    <e v="#N/A"/>
    <e v="#N/A"/>
    <n v="76534"/>
    <s v="25000158"/>
    <s v="Jérémie Blache"/>
    <s v="Q2"/>
    <e v="#REF!"/>
    <e v="#REF!"/>
    <e v="#REF!"/>
  </r>
  <r>
    <s v="425200"/>
    <x v="6"/>
    <s v="PERSONNEL - NOTE DE FRAIS"/>
    <s v="NDF"/>
    <n v="-43.94"/>
    <d v="2025-07-29T00:00:00"/>
    <s v="NDF 25000204"/>
    <m/>
    <e v="#N/A"/>
    <e v="#N/A"/>
    <n v="88719"/>
    <s v="25000204"/>
    <s v="Océane Chabret"/>
    <s v="Q3"/>
    <e v="#REF!"/>
    <e v="#REF!"/>
    <e v="#REF!"/>
  </r>
  <r>
    <s v="425200"/>
    <x v="6"/>
    <s v="PERSONNEL - NOTE DE FRAIS"/>
    <s v="NDF"/>
    <n v="-43.9"/>
    <d v="2025-04-03T00:00:00"/>
    <s v="NDF 25000339"/>
    <m/>
    <e v="#N/A"/>
    <e v="#N/A"/>
    <n v="95951"/>
    <s v="25000339"/>
    <s v="Alain Pinchard"/>
    <s v="Q2"/>
    <e v="#REF!"/>
    <e v="#REF!"/>
    <e v="#REF!"/>
  </r>
  <r>
    <s v="425200"/>
    <x v="6"/>
    <s v="PERSONNEL - NOTE DE FRAIS"/>
    <s v="NDF"/>
    <n v="-43.5"/>
    <d v="2025-08-29T00:00:00"/>
    <s v="NDF 25000213"/>
    <m/>
    <e v="#N/A"/>
    <e v="#N/A"/>
    <n v="88096"/>
    <s v="25000213"/>
    <s v="Vincent Blanchard"/>
    <s v="Q3"/>
    <e v="#REF!"/>
    <e v="#REF!"/>
    <e v="#REF!"/>
  </r>
  <r>
    <s v="425200"/>
    <x v="6"/>
    <s v="PERSONNEL - NOTE DE FRAIS"/>
    <s v="NDF"/>
    <n v="-43.2"/>
    <d v="2025-07-22T00:00:00"/>
    <s v="NDF 25000196"/>
    <m/>
    <e v="#N/A"/>
    <e v="#N/A"/>
    <n v="88737"/>
    <s v="25000196"/>
    <s v="Benjamin Barry"/>
    <s v="Q3"/>
    <e v="#REF!"/>
    <e v="#REF!"/>
    <e v="#REF!"/>
  </r>
  <r>
    <s v="425200"/>
    <x v="6"/>
    <s v="PERSONNEL - NOTE DE FRAIS"/>
    <s v="NDF"/>
    <n v="-42.71"/>
    <d v="2025-04-23T00:00:00"/>
    <s v="NOTE DE FRAIS"/>
    <m/>
    <e v="#N/A"/>
    <e v="#N/A"/>
    <n v="74357"/>
    <s v="25000123"/>
    <s v="Jérémie Blache"/>
    <s v="Q2"/>
    <e v="#REF!"/>
    <e v="#REF!"/>
    <e v="#REF!"/>
  </r>
  <r>
    <s v="425200"/>
    <x v="6"/>
    <s v="PERSONNEL - NOTE DE FRAIS"/>
    <s v="NDF"/>
    <n v="-42.65"/>
    <d v="2025-07-08T00:00:00"/>
    <s v="NDF 25000200"/>
    <m/>
    <e v="#N/A"/>
    <e v="#N/A"/>
    <n v="88766"/>
    <s v="25000200"/>
    <s v="Anne-Sophie Goutierre"/>
    <s v="Q3"/>
    <e v="#REF!"/>
    <e v="#REF!"/>
    <e v="#REF!"/>
  </r>
  <r>
    <s v="425200"/>
    <x v="6"/>
    <s v="PERSONNEL - NOTE DE FRAIS"/>
    <s v="NDF"/>
    <n v="-42.6"/>
    <d v="2025-11-24T00:00:00"/>
    <s v="NDF 25000284"/>
    <m/>
    <e v="#N/A"/>
    <e v="#N/A"/>
    <n v="90937"/>
    <s v="25000284"/>
    <s v="Pierre-Yves Bolle"/>
    <s v="Q4"/>
    <e v="#REF!"/>
    <e v="#REF!"/>
    <e v="#REF!"/>
  </r>
  <r>
    <s v="425200"/>
    <x v="6"/>
    <s v="PERSONNEL - NOTE DE FRAIS"/>
    <s v="NDF"/>
    <n v="-42.5"/>
    <d v="2025-10-06T00:00:00"/>
    <s v="NDF 25000256"/>
    <m/>
    <e v="#N/A"/>
    <e v="#N/A"/>
    <n v="89048"/>
    <s v="25000256"/>
    <s v="Benjamin Barry"/>
    <s v="Q4"/>
    <e v="#REF!"/>
    <e v="#REF!"/>
    <e v="#REF!"/>
  </r>
  <r>
    <s v="425200"/>
    <x v="6"/>
    <s v="PERSONNEL - NOTE DE FRAIS"/>
    <s v="NDF"/>
    <n v="-42.4"/>
    <d v="2025-10-08T00:00:00"/>
    <s v="NDF 25000256"/>
    <m/>
    <e v="#N/A"/>
    <e v="#N/A"/>
    <n v="89030"/>
    <s v="25000256"/>
    <s v="Benjamin Barry"/>
    <s v="Q4"/>
    <e v="#REF!"/>
    <e v="#REF!"/>
    <e v="#REF!"/>
  </r>
  <r>
    <s v="425200"/>
    <x v="6"/>
    <s v="PERSONNEL - NOTE DE FRAIS"/>
    <s v="NDF"/>
    <n v="-42.1"/>
    <d v="2025-09-19T00:00:00"/>
    <s v="NDF 25000234"/>
    <m/>
    <e v="#N/A"/>
    <e v="#N/A"/>
    <n v="88492"/>
    <s v="25000234"/>
    <s v="Jérémie Blache"/>
    <s v="Q3"/>
    <e v="#REF!"/>
    <e v="#REF!"/>
    <e v="#REF!"/>
  </r>
  <r>
    <s v="425200"/>
    <x v="6"/>
    <s v="PERSONNEL - NOTE DE FRAIS"/>
    <s v="NDF"/>
    <n v="-42"/>
    <d v="2025-11-24T00:00:00"/>
    <s v="NDF 25000300"/>
    <m/>
    <e v="#N/A"/>
    <e v="#N/A"/>
    <n v="90865"/>
    <s v="25000300"/>
    <s v="Jérémie Blache"/>
    <s v="Q4"/>
    <e v="#REF!"/>
    <e v="#REF!"/>
    <e v="#REF!"/>
  </r>
  <r>
    <s v="425200"/>
    <x v="6"/>
    <s v="PERSONNEL - NOTE DE FRAIS"/>
    <s v="NDF"/>
    <n v="-41.96"/>
    <d v="2025-10-16T00:00:00"/>
    <s v="NDF 24000086"/>
    <m/>
    <e v="#N/A"/>
    <e v="#N/A"/>
    <n v="89020"/>
    <s v="24000086"/>
    <s v="Mylène Menanteau"/>
    <s v="Q4"/>
    <e v="#REF!"/>
    <e v="#REF!"/>
    <e v="#REF!"/>
  </r>
  <r>
    <s v="425200"/>
    <x v="6"/>
    <s v="PERSONNEL - NOTE DE FRAIS"/>
    <s v="NDF"/>
    <n v="-41.91"/>
    <d v="2025-01-30T00:00:00"/>
    <s v="NOTE DE FRAIS"/>
    <m/>
    <e v="#N/A"/>
    <e v="#N/A"/>
    <n v="74271"/>
    <s v="25000026"/>
    <s v="Tatiana Ghanem"/>
    <s v="Q1"/>
    <e v="#REF!"/>
    <e v="#REF!"/>
    <e v="#REF!"/>
  </r>
  <r>
    <s v="425200"/>
    <x v="6"/>
    <s v="PERSONNEL - NOTE DE FRAIS"/>
    <s v="NDF"/>
    <n v="-41.7"/>
    <d v="2025-07-21T00:00:00"/>
    <s v="NDF 25000194"/>
    <m/>
    <e v="#N/A"/>
    <e v="#N/A"/>
    <n v="88864"/>
    <s v="25000194"/>
    <s v="Marie Rézeau"/>
    <s v="Q3"/>
    <e v="#REF!"/>
    <e v="#REF!"/>
    <e v="#REF!"/>
  </r>
  <r>
    <s v="425200"/>
    <x v="6"/>
    <s v="PERSONNEL - NOTE DE FRAIS"/>
    <s v="NDF"/>
    <n v="-41.45"/>
    <d v="2025-11-24T00:00:00"/>
    <s v="NDF 25000265"/>
    <m/>
    <e v="#N/A"/>
    <e v="#N/A"/>
    <n v="90955"/>
    <s v="25000265"/>
    <s v="Marie Rézeau"/>
    <s v="Q4"/>
    <e v="#REF!"/>
    <e v="#REF!"/>
    <e v="#REF!"/>
  </r>
  <r>
    <s v="425200"/>
    <x v="6"/>
    <s v="PERSONNEL - NOTE DE FRAIS"/>
    <s v="NDF"/>
    <n v="-40.99"/>
    <d v="2025-04-24T00:00:00"/>
    <s v="NOTE DE FRAIS"/>
    <m/>
    <e v="#N/A"/>
    <e v="#N/A"/>
    <n v="74359"/>
    <s v="25000127"/>
    <s v="Jérémie Blache"/>
    <s v="Q2"/>
    <e v="#REF!"/>
    <e v="#REF!"/>
    <e v="#REF!"/>
  </r>
  <r>
    <s v="425200"/>
    <x v="6"/>
    <s v="PERSONNEL - NOTE DE FRAIS"/>
    <s v="NDF"/>
    <n v="-40.96"/>
    <d v="2025-01-30T00:00:00"/>
    <s v="NDF"/>
    <m/>
    <e v="#N/A"/>
    <e v="#N/A"/>
    <n v="75439"/>
    <s v="25000027"/>
    <s v="Tatiana Ghanem"/>
    <s v="Q1"/>
    <e v="#REF!"/>
    <e v="#REF!"/>
    <e v="#REF!"/>
  </r>
  <r>
    <s v="425200"/>
    <x v="6"/>
    <s v="PERSONNEL - NOTE DE FRAIS"/>
    <s v="NDF"/>
    <n v="-40.94"/>
    <d v="2025-09-19T00:00:00"/>
    <s v="NDF 25000248"/>
    <m/>
    <e v="#N/A"/>
    <e v="#N/A"/>
    <n v="88570"/>
    <s v="25000248"/>
    <s v="Pierre-Yves Bolle"/>
    <s v="Q3"/>
    <e v="#REF!"/>
    <e v="#REF!"/>
    <e v="#REF!"/>
  </r>
  <r>
    <s v="425200"/>
    <x v="6"/>
    <s v="PERSONNEL - NOTE DE FRAIS"/>
    <s v="NDF"/>
    <n v="-40.770000000000003"/>
    <d v="2025-12-03T00:00:00"/>
    <s v="NDF 25000304"/>
    <m/>
    <e v="#N/A"/>
    <e v="#N/A"/>
    <n v="93346"/>
    <s v="25000304"/>
    <s v="Julie Lacondemine"/>
    <s v="Q4"/>
    <e v="#REF!"/>
    <e v="#REF!"/>
    <e v="#REF!"/>
  </r>
  <r>
    <s v="425200"/>
    <x v="6"/>
    <s v="PERSONNEL - NOTE DE FRAIS"/>
    <s v="NDF"/>
    <n v="-40"/>
    <d v="2025-06-24T00:00:00"/>
    <s v="NDF 25000111"/>
    <m/>
    <e v="#N/A"/>
    <e v="#N/A"/>
    <n v="89207"/>
    <s v="25000111"/>
    <s v="Pauline Rullière"/>
    <s v="Q2"/>
    <e v="#REF!"/>
    <e v="#REF!"/>
    <e v="#REF!"/>
  </r>
  <r>
    <s v="425200"/>
    <x v="6"/>
    <s v="PERSONNEL - NOTE DE FRAIS"/>
    <s v="NDF"/>
    <n v="-40"/>
    <d v="2025-09-03T00:00:00"/>
    <s v="NDF 25000214"/>
    <m/>
    <e v="#N/A"/>
    <e v="#N/A"/>
    <n v="88590"/>
    <s v="25000214"/>
    <s v="Emilie Amillastré"/>
    <s v="Q3"/>
    <e v="#REF!"/>
    <e v="#REF!"/>
    <e v="#REF!"/>
  </r>
  <r>
    <s v="425200"/>
    <x v="6"/>
    <s v="PERSONNEL - NOTE DE FRAIS"/>
    <s v="NDF"/>
    <n v="-38.6"/>
    <d v="2025-09-09T00:00:00"/>
    <s v="NDF 25000248"/>
    <m/>
    <e v="#N/A"/>
    <e v="#N/A"/>
    <n v="88560"/>
    <s v="25000248"/>
    <s v="Pierre-Yves Bolle"/>
    <s v="Q3"/>
    <e v="#REF!"/>
    <e v="#REF!"/>
    <e v="#REF!"/>
  </r>
  <r>
    <s v="425200"/>
    <x v="6"/>
    <s v="PERSONNEL - NOTE DE FRAIS"/>
    <s v="NDF"/>
    <n v="-38"/>
    <d v="2025-11-24T00:00:00"/>
    <s v="NDF 25000265"/>
    <m/>
    <e v="#N/A"/>
    <e v="#N/A"/>
    <n v="90972"/>
    <s v="25000265"/>
    <s v="Marie Rézeau"/>
    <s v="Q4"/>
    <e v="#REF!"/>
    <e v="#REF!"/>
    <e v="#REF!"/>
  </r>
  <r>
    <s v="425200"/>
    <x v="6"/>
    <s v="PERSONNEL - NOTE DE FRAIS"/>
    <s v="NDF"/>
    <n v="-37.799999999999997"/>
    <d v="2025-12-09T00:00:00"/>
    <s v="NDF 25000325"/>
    <m/>
    <e v="#N/A"/>
    <e v="#N/A"/>
    <n v="95767"/>
    <s v="25000325"/>
    <s v="Marie Rézeau"/>
    <s v="Q4"/>
    <e v="#REF!"/>
    <e v="#REF!"/>
    <e v="#REF!"/>
  </r>
  <r>
    <s v="425200"/>
    <x v="6"/>
    <s v="PERSONNEL - NOTE DE FRAIS"/>
    <s v="NDF"/>
    <n v="-37.57"/>
    <d v="2025-10-09T00:00:00"/>
    <s v="NDF 25000256"/>
    <m/>
    <e v="#N/A"/>
    <e v="#N/A"/>
    <n v="89058"/>
    <s v="25000256"/>
    <s v="Benjamin Barry"/>
    <s v="Q4"/>
    <e v="#REF!"/>
    <e v="#REF!"/>
    <e v="#REF!"/>
  </r>
  <r>
    <s v="425200"/>
    <x v="6"/>
    <s v="PERSONNEL - NOTE DE FRAIS"/>
    <s v="NDF"/>
    <n v="-37"/>
    <d v="2025-06-13T00:00:00"/>
    <s v="NDF 25000190"/>
    <m/>
    <e v="#N/A"/>
    <e v="#N/A"/>
    <n v="88800"/>
    <s v="25000190"/>
    <s v="Marie-Sarah Adenis"/>
    <s v="Q2"/>
    <e v="#REF!"/>
    <e v="#REF!"/>
    <e v="#REF!"/>
  </r>
  <r>
    <s v="425200"/>
    <x v="6"/>
    <s v="PERSONNEL - NOTE DE FRAIS"/>
    <s v="NDF"/>
    <n v="-37"/>
    <d v="2025-06-25T00:00:00"/>
    <s v="NDF 25000111"/>
    <m/>
    <e v="#N/A"/>
    <e v="#N/A"/>
    <n v="89217"/>
    <s v="25000111"/>
    <s v="Pauline Rullière"/>
    <s v="Q2"/>
    <e v="#REF!"/>
    <e v="#REF!"/>
    <e v="#REF!"/>
  </r>
  <r>
    <s v="425200"/>
    <x v="6"/>
    <s v="PERSONNEL - NOTE DE FRAIS"/>
    <s v="NDF"/>
    <n v="-36.49"/>
    <d v="2025-12-12T00:00:00"/>
    <s v="NDF 25000322"/>
    <m/>
    <e v="#N/A"/>
    <e v="#N/A"/>
    <n v="93266"/>
    <s v="25000322"/>
    <s v="Lucie Crépin"/>
    <s v="Q4"/>
    <e v="#REF!"/>
    <e v="#REF!"/>
    <e v="#REF!"/>
  </r>
  <r>
    <s v="425200"/>
    <x v="6"/>
    <s v="PERSONNEL - NOTE DE FRAIS"/>
    <s v="NDF"/>
    <n v="-36.44"/>
    <d v="2025-06-25T00:00:00"/>
    <s v="NDF 25000178"/>
    <m/>
    <e v="#N/A"/>
    <e v="#N/A"/>
    <n v="88658"/>
    <s v="25000178"/>
    <s v="Bob Fernandez"/>
    <s v="Q2"/>
    <e v="#REF!"/>
    <e v="#REF!"/>
    <e v="#REF!"/>
  </r>
  <r>
    <s v="425200"/>
    <x v="6"/>
    <s v="PERSONNEL - NOTE DE FRAIS"/>
    <s v="NDF"/>
    <n v="-36.200000000000003"/>
    <d v="2025-11-24T00:00:00"/>
    <s v="NDF 25000288"/>
    <m/>
    <e v="#N/A"/>
    <e v="#N/A"/>
    <n v="90931"/>
    <s v="25000288"/>
    <s v="Guillaume Boissonnat-Wu"/>
    <s v="Q4"/>
    <e v="#REF!"/>
    <e v="#REF!"/>
    <e v="#REF!"/>
  </r>
  <r>
    <s v="425200"/>
    <x v="6"/>
    <s v="PERSONNEL - NOTE DE FRAIS"/>
    <s v="NDF"/>
    <n v="-36"/>
    <d v="2025-09-29T00:00:00"/>
    <s v="NDF 25000255"/>
    <m/>
    <e v="#N/A"/>
    <e v="#N/A"/>
    <n v="88949"/>
    <s v="25000255"/>
    <s v="Emilie Amillastré"/>
    <s v="Q3"/>
    <e v="#REF!"/>
    <e v="#REF!"/>
    <e v="#REF!"/>
  </r>
  <r>
    <s v="425200"/>
    <x v="6"/>
    <s v="PERSONNEL - NOTE DE FRAIS"/>
    <s v="NDF"/>
    <n v="-35.94"/>
    <d v="2025-06-13T00:00:00"/>
    <s v="NDF 25000200"/>
    <m/>
    <e v="#N/A"/>
    <e v="#N/A"/>
    <n v="88758"/>
    <s v="25000200"/>
    <s v="Anne-Sophie Goutierre"/>
    <s v="Q2"/>
    <e v="#REF!"/>
    <e v="#REF!"/>
    <e v="#REF!"/>
  </r>
  <r>
    <s v="425200"/>
    <x v="6"/>
    <s v="PERSONNEL - NOTE DE FRAIS"/>
    <s v="NDF"/>
    <n v="-35.9"/>
    <d v="2025-04-10T00:00:00"/>
    <s v="NDF 25000338"/>
    <m/>
    <e v="#N/A"/>
    <e v="#N/A"/>
    <n v="95940"/>
    <s v="25000338"/>
    <s v="Alain Pinchard"/>
    <s v="Q2"/>
    <e v="#REF!"/>
    <e v="#REF!"/>
    <e v="#REF!"/>
  </r>
  <r>
    <s v="425200"/>
    <x v="6"/>
    <s v="PERSONNEL - NOTE DE FRAIS"/>
    <s v="NDF"/>
    <n v="-35.9"/>
    <d v="2025-10-01T00:00:00"/>
    <s v="NDF 25000263"/>
    <m/>
    <e v="#N/A"/>
    <e v="#N/A"/>
    <n v="88419"/>
    <s v="25000263"/>
    <s v="Yves Combret"/>
    <s v="Q4"/>
    <e v="#REF!"/>
    <e v="#REF!"/>
    <e v="#REF!"/>
  </r>
  <r>
    <s v="425200"/>
    <x v="6"/>
    <s v="PERSONNEL - NOTE DE FRAIS"/>
    <s v="NDF"/>
    <n v="-35.6"/>
    <d v="2025-11-24T00:00:00"/>
    <s v="NDF 25000297"/>
    <m/>
    <e v="#N/A"/>
    <e v="#N/A"/>
    <n v="90990"/>
    <s v="25000297"/>
    <s v="Marie-Sarah Adenis"/>
    <s v="Q4"/>
    <e v="#REF!"/>
    <e v="#REF!"/>
    <e v="#REF!"/>
  </r>
  <r>
    <s v="425200"/>
    <x v="6"/>
    <s v="PERSONNEL - NOTE DE FRAIS"/>
    <s v="NDF"/>
    <n v="-35.46"/>
    <d v="2025-06-24T00:00:00"/>
    <s v="NDF 25000111"/>
    <m/>
    <e v="#N/A"/>
    <e v="#N/A"/>
    <n v="89209"/>
    <s v="25000111"/>
    <s v="Pauline Rullière"/>
    <s v="Q2"/>
    <e v="#REF!"/>
    <e v="#REF!"/>
    <e v="#REF!"/>
  </r>
  <r>
    <s v="425200"/>
    <x v="6"/>
    <s v="PERSONNEL - NOTE DE FRAIS"/>
    <s v="NDF"/>
    <n v="-35.299999999999997"/>
    <d v="2025-10-02T00:00:00"/>
    <s v="NDF 25000338"/>
    <m/>
    <e v="#N/A"/>
    <e v="#N/A"/>
    <n v="95871"/>
    <s v="25000338"/>
    <s v="Alain Pinchard"/>
    <s v="Q4"/>
    <e v="#REF!"/>
    <e v="#REF!"/>
    <e v="#REF!"/>
  </r>
  <r>
    <s v="425200"/>
    <x v="6"/>
    <s v="PERSONNEL - NOTE DE FRAIS"/>
    <s v="NDF"/>
    <n v="-35"/>
    <d v="2025-07-02T00:00:00"/>
    <s v="NDF 25000189"/>
    <m/>
    <e v="#N/A"/>
    <e v="#N/A"/>
    <n v="88633"/>
    <s v="25000189"/>
    <s v="Jérémie Blache"/>
    <s v="Q3"/>
    <e v="#REF!"/>
    <e v="#REF!"/>
    <e v="#REF!"/>
  </r>
  <r>
    <s v="425200"/>
    <x v="6"/>
    <s v="PERSONNEL - NOTE DE FRAIS"/>
    <s v="NDF"/>
    <n v="-34.35"/>
    <d v="2025-08-24T00:00:00"/>
    <s v="NDF 25000210"/>
    <m/>
    <e v="#N/A"/>
    <e v="#N/A"/>
    <n v="88135"/>
    <s v="25000210"/>
    <s v="Bob Fernandez"/>
    <s v="Q3"/>
    <e v="#REF!"/>
    <e v="#REF!"/>
    <e v="#REF!"/>
  </r>
  <r>
    <s v="425200"/>
    <x v="6"/>
    <s v="PERSONNEL - NOTE DE FRAIS"/>
    <s v="NDF"/>
    <n v="-34.200000000000003"/>
    <d v="2025-11-24T00:00:00"/>
    <s v="NDF 25000296"/>
    <m/>
    <e v="#N/A"/>
    <e v="#N/A"/>
    <n v="90835"/>
    <s v="25000296"/>
    <s v="Jérémie Blache"/>
    <s v="Q4"/>
    <e v="#REF!"/>
    <e v="#REF!"/>
    <e v="#REF!"/>
  </r>
  <r>
    <s v="425200"/>
    <x v="6"/>
    <s v="PERSONNEL - NOTE DE FRAIS"/>
    <s v="NDF"/>
    <n v="-34.200000000000003"/>
    <d v="2025-11-24T00:00:00"/>
    <s v="NDF 25000296"/>
    <m/>
    <e v="#N/A"/>
    <e v="#N/A"/>
    <n v="90850"/>
    <s v="25000296"/>
    <s v="Jérémie Blache"/>
    <s v="Q4"/>
    <e v="#REF!"/>
    <e v="#REF!"/>
    <e v="#REF!"/>
  </r>
  <r>
    <s v="425200"/>
    <x v="6"/>
    <s v="PERSONNEL - NOTE DE FRAIS"/>
    <s v="NDF"/>
    <n v="-34"/>
    <d v="2025-11-24T00:00:00"/>
    <s v="NDF 25000296"/>
    <m/>
    <e v="#N/A"/>
    <e v="#N/A"/>
    <n v="90852"/>
    <s v="25000296"/>
    <s v="Jérémie Blache"/>
    <s v="Q4"/>
    <e v="#REF!"/>
    <e v="#REF!"/>
    <e v="#REF!"/>
  </r>
  <r>
    <s v="425200"/>
    <x v="6"/>
    <s v="PERSONNEL - NOTE DE FRAIS"/>
    <s v="NDF"/>
    <n v="-34"/>
    <d v="2025-11-24T00:00:00"/>
    <s v="NDF 25000301"/>
    <m/>
    <e v="#N/A"/>
    <e v="#N/A"/>
    <n v="90885"/>
    <s v="25000301"/>
    <s v="Maud Sanchez"/>
    <s v="Q4"/>
    <e v="#REF!"/>
    <e v="#REF!"/>
    <e v="#REF!"/>
  </r>
  <r>
    <s v="425200"/>
    <x v="6"/>
    <s v="PERSONNEL - NOTE DE FRAIS"/>
    <s v="NDF"/>
    <n v="-33.299999999999997"/>
    <d v="2025-03-28T00:00:00"/>
    <s v="NDF"/>
    <m/>
    <e v="#N/A"/>
    <e v="#N/A"/>
    <n v="75813"/>
    <s v="25000092"/>
    <s v="Marjorie Denard"/>
    <s v="Q1"/>
    <e v="#REF!"/>
    <e v="#REF!"/>
    <e v="#REF!"/>
  </r>
  <r>
    <s v="425200"/>
    <x v="6"/>
    <s v="PERSONNEL - NOTE DE FRAIS"/>
    <s v="NDF"/>
    <n v="-32.799999999999997"/>
    <d v="2025-07-03T00:00:00"/>
    <s v="NDF 25000190"/>
    <m/>
    <e v="#N/A"/>
    <e v="#N/A"/>
    <n v="88790"/>
    <s v="25000190"/>
    <s v="Marie-Sarah Adenis"/>
    <s v="Q3"/>
    <e v="#REF!"/>
    <e v="#REF!"/>
    <e v="#REF!"/>
  </r>
  <r>
    <s v="425200"/>
    <x v="6"/>
    <s v="PERSONNEL - NOTE DE FRAIS"/>
    <s v="NDF"/>
    <n v="-32.1"/>
    <d v="2025-12-02T00:00:00"/>
    <s v="NDF 25000308"/>
    <m/>
    <e v="#N/A"/>
    <e v="#N/A"/>
    <n v="93324"/>
    <s v="25000308"/>
    <s v="Jérémie Blache"/>
    <s v="Q4"/>
    <e v="#REF!"/>
    <e v="#REF!"/>
    <e v="#REF!"/>
  </r>
  <r>
    <s v="425200"/>
    <x v="6"/>
    <s v="PERSONNEL - NOTE DE FRAIS"/>
    <s v="NDF"/>
    <n v="-31.8"/>
    <d v="2025-12-17T00:00:00"/>
    <s v="NDF 25000325"/>
    <m/>
    <e v="#N/A"/>
    <e v="#N/A"/>
    <n v="95789"/>
    <s v="25000325"/>
    <s v="Marie Rézeau"/>
    <s v="Q4"/>
    <e v="#REF!"/>
    <e v="#REF!"/>
    <e v="#REF!"/>
  </r>
  <r>
    <s v="425200"/>
    <x v="6"/>
    <s v="PERSONNEL - NOTE DE FRAIS"/>
    <s v="NDF"/>
    <n v="-31.4"/>
    <d v="2025-10-02T00:00:00"/>
    <s v="NDF 25000263"/>
    <m/>
    <e v="#N/A"/>
    <e v="#N/A"/>
    <n v="88412"/>
    <s v="25000263"/>
    <s v="Yves Combret"/>
    <s v="Q4"/>
    <e v="#REF!"/>
    <e v="#REF!"/>
    <e v="#REF!"/>
  </r>
  <r>
    <s v="425200"/>
    <x v="6"/>
    <s v="PERSONNEL - NOTE DE FRAIS"/>
    <s v="NDF"/>
    <n v="-31.2"/>
    <d v="2025-09-09T00:00:00"/>
    <s v="NDF 25000248"/>
    <m/>
    <e v="#N/A"/>
    <e v="#N/A"/>
    <n v="88554"/>
    <s v="25000248"/>
    <s v="Pierre-Yves Bolle"/>
    <s v="Q3"/>
    <e v="#REF!"/>
    <e v="#REF!"/>
    <e v="#REF!"/>
  </r>
  <r>
    <s v="425200"/>
    <x v="6"/>
    <s v="PERSONNEL - NOTE DE FRAIS"/>
    <s v="NDF"/>
    <n v="-30.99"/>
    <d v="2025-07-01T00:00:00"/>
    <s v="NDF 25000190"/>
    <m/>
    <e v="#N/A"/>
    <e v="#N/A"/>
    <n v="88788"/>
    <s v="25000190"/>
    <s v="Marie-Sarah Adenis"/>
    <s v="Q3"/>
    <e v="#REF!"/>
    <e v="#REF!"/>
    <e v="#REF!"/>
  </r>
  <r>
    <s v="425200"/>
    <x v="6"/>
    <s v="PERSONNEL - NOTE DE FRAIS"/>
    <s v="NDF"/>
    <n v="-30.66"/>
    <d v="2025-04-01T00:00:00"/>
    <s v="NOTE DE FRAIS"/>
    <m/>
    <e v="#N/A"/>
    <e v="#N/A"/>
    <n v="74288"/>
    <s v="25000126"/>
    <s v="Jérémie Blache"/>
    <s v="Q2"/>
    <e v="#REF!"/>
    <e v="#REF!"/>
    <e v="#REF!"/>
  </r>
  <r>
    <s v="425200"/>
    <x v="6"/>
    <s v="PERSONNEL - NOTE DE FRAIS"/>
    <s v="NDF"/>
    <n v="-30.6"/>
    <d v="2025-11-24T00:00:00"/>
    <s v="NDF 25000265"/>
    <m/>
    <e v="#N/A"/>
    <e v="#N/A"/>
    <n v="90953"/>
    <s v="25000265"/>
    <s v="Marie Rézeau"/>
    <s v="Q4"/>
    <e v="#REF!"/>
    <e v="#REF!"/>
    <e v="#REF!"/>
  </r>
  <r>
    <s v="425200"/>
    <x v="6"/>
    <s v="PERSONNEL - NOTE DE FRAIS"/>
    <s v="NDF"/>
    <n v="-30.44"/>
    <d v="2025-07-16T00:00:00"/>
    <s v="NDF 25000194"/>
    <m/>
    <e v="#N/A"/>
    <e v="#N/A"/>
    <n v="88866"/>
    <s v="25000194"/>
    <s v="Marie Rézeau"/>
    <s v="Q3"/>
    <e v="#REF!"/>
    <e v="#REF!"/>
    <e v="#REF!"/>
  </r>
  <r>
    <s v="425200"/>
    <x v="6"/>
    <s v="PERSONNEL - NOTE DE FRAIS"/>
    <s v="NDF"/>
    <n v="-30.08"/>
    <d v="2025-10-06T00:00:00"/>
    <s v="NDF 25000256"/>
    <m/>
    <e v="#N/A"/>
    <e v="#N/A"/>
    <n v="89042"/>
    <s v="25000256"/>
    <s v="Benjamin Barry"/>
    <s v="Q4"/>
    <e v="#REF!"/>
    <e v="#REF!"/>
    <e v="#REF!"/>
  </r>
  <r>
    <s v="425200"/>
    <x v="6"/>
    <s v="PERSONNEL - NOTE DE FRAIS"/>
    <s v="NDF"/>
    <n v="-30"/>
    <d v="2025-01-08T00:00:00"/>
    <s v="NDF"/>
    <m/>
    <e v="#N/A"/>
    <e v="#N/A"/>
    <n v="75436"/>
    <s v="25000006"/>
    <s v="Marie-Sarah Adenis"/>
    <s v="Q1"/>
    <e v="#REF!"/>
    <e v="#REF!"/>
    <e v="#REF!"/>
  </r>
  <r>
    <s v="425200"/>
    <x v="6"/>
    <s v="PERSONNEL - NOTE DE FRAIS"/>
    <s v="NDF"/>
    <n v="-30"/>
    <d v="2025-11-24T00:00:00"/>
    <s v="NDF 25000298"/>
    <m/>
    <e v="#N/A"/>
    <e v="#N/A"/>
    <n v="90856"/>
    <s v="25000298"/>
    <s v="Jérémie Blache"/>
    <s v="Q4"/>
    <e v="#REF!"/>
    <e v="#REF!"/>
    <e v="#REF!"/>
  </r>
  <r>
    <s v="425200"/>
    <x v="6"/>
    <s v="PERSONNEL - NOTE DE FRAIS"/>
    <s v="NDF"/>
    <n v="-30"/>
    <d v="2025-11-24T00:00:00"/>
    <s v="NDF 25000299"/>
    <m/>
    <e v="#N/A"/>
    <e v="#N/A"/>
    <n v="90826"/>
    <s v="25000299"/>
    <s v="Marie Rézeau"/>
    <s v="Q4"/>
    <e v="#REF!"/>
    <e v="#REF!"/>
    <e v="#REF!"/>
  </r>
  <r>
    <s v="425200"/>
    <x v="6"/>
    <s v="PERSONNEL - NOTE DE FRAIS"/>
    <s v="NDF"/>
    <n v="-29.9"/>
    <d v="2025-04-14T00:00:00"/>
    <s v="NOTE DE FRAIS"/>
    <m/>
    <e v="#N/A"/>
    <e v="#N/A"/>
    <n v="74333"/>
    <s v="25000133"/>
    <s v="Thibault Dejardin"/>
    <s v="Q2"/>
    <e v="#REF!"/>
    <e v="#REF!"/>
    <e v="#REF!"/>
  </r>
  <r>
    <s v="425200"/>
    <x v="6"/>
    <s v="PERSONNEL - NOTE DE FRAIS"/>
    <s v="NDF"/>
    <n v="-29.9"/>
    <d v="2025-09-24T00:00:00"/>
    <s v="NDF 25000270"/>
    <m/>
    <e v="#N/A"/>
    <e v="#N/A"/>
    <n v="88996"/>
    <s v="25000270"/>
    <s v="Kevin Cottet"/>
    <s v="Q3"/>
    <e v="#REF!"/>
    <e v="#REF!"/>
    <e v="#REF!"/>
  </r>
  <r>
    <s v="425200"/>
    <x v="6"/>
    <s v="PERSONNEL - NOTE DE FRAIS"/>
    <s v="NDF"/>
    <n v="-29.84"/>
    <d v="2025-12-04T00:00:00"/>
    <s v="NDF 25000313"/>
    <m/>
    <e v="#N/A"/>
    <e v="#N/A"/>
    <n v="93313"/>
    <s v="25000313"/>
    <s v="Jérémie Blache"/>
    <s v="Q4"/>
    <e v="#REF!"/>
    <e v="#REF!"/>
    <e v="#REF!"/>
  </r>
  <r>
    <s v="425200"/>
    <x v="6"/>
    <s v="PERSONNEL - NOTE DE FRAIS"/>
    <s v="NDF"/>
    <n v="-29.3"/>
    <d v="2025-06-04T00:00:00"/>
    <s v="NDF 25000338"/>
    <m/>
    <e v="#N/A"/>
    <e v="#N/A"/>
    <n v="95861"/>
    <s v="25000338"/>
    <s v="Alain Pinchard"/>
    <s v="Q2"/>
    <e v="#REF!"/>
    <e v="#REF!"/>
    <e v="#REF!"/>
  </r>
  <r>
    <s v="425200"/>
    <x v="6"/>
    <s v="PERSONNEL - NOTE DE FRAIS"/>
    <s v="NDF"/>
    <n v="-29"/>
    <d v="2025-06-18T00:00:00"/>
    <s v="NDF 25000111"/>
    <m/>
    <e v="#N/A"/>
    <e v="#N/A"/>
    <n v="89195"/>
    <s v="25000111"/>
    <s v="Pauline Rullière"/>
    <s v="Q2"/>
    <e v="#REF!"/>
    <e v="#REF!"/>
    <e v="#REF!"/>
  </r>
  <r>
    <s v="425200"/>
    <x v="6"/>
    <s v="PERSONNEL - NOTE DE FRAIS"/>
    <s v="NDF"/>
    <n v="-29"/>
    <d v="2025-07-08T00:00:00"/>
    <s v="NDF 25000200"/>
    <m/>
    <e v="#N/A"/>
    <e v="#N/A"/>
    <n v="88763"/>
    <s v="25000200"/>
    <s v="Anne-Sophie Goutierre"/>
    <s v="Q3"/>
    <e v="#REF!"/>
    <e v="#REF!"/>
    <e v="#REF!"/>
  </r>
  <r>
    <s v="425200"/>
    <x v="6"/>
    <s v="PERSONNEL - NOTE DE FRAIS"/>
    <s v="NDF"/>
    <n v="-29"/>
    <d v="2025-11-24T00:00:00"/>
    <s v="NDF 25000301"/>
    <m/>
    <e v="#N/A"/>
    <e v="#N/A"/>
    <n v="90883"/>
    <s v="25000301"/>
    <s v="Maud Sanchez"/>
    <s v="Q4"/>
    <e v="#REF!"/>
    <e v="#REF!"/>
    <e v="#REF!"/>
  </r>
  <r>
    <s v="425200"/>
    <x v="6"/>
    <s v="PERSONNEL - NOTE DE FRAIS"/>
    <s v="NDF"/>
    <n v="-29"/>
    <d v="2025-12-08T00:00:00"/>
    <s v="NDF 25000316"/>
    <m/>
    <e v="#N/A"/>
    <e v="#N/A"/>
    <n v="93292"/>
    <s v="25000316"/>
    <s v="Jérémie Blache"/>
    <s v="Q4"/>
    <e v="#REF!"/>
    <e v="#REF!"/>
    <e v="#REF!"/>
  </r>
  <r>
    <s v="425200"/>
    <x v="6"/>
    <s v="PERSONNEL - NOTE DE FRAIS"/>
    <s v="NDF"/>
    <n v="-28.85"/>
    <d v="2025-10-03T00:00:00"/>
    <s v="NDF 25000255"/>
    <m/>
    <e v="#N/A"/>
    <e v="#N/A"/>
    <n v="88943"/>
    <s v="25000255"/>
    <s v="Emilie Amillastré"/>
    <s v="Q4"/>
    <e v="#REF!"/>
    <e v="#REF!"/>
    <e v="#REF!"/>
  </r>
  <r>
    <s v="425200"/>
    <x v="6"/>
    <s v="PERSONNEL - NOTE DE FRAIS"/>
    <s v="NDF"/>
    <n v="-28.83"/>
    <d v="2025-04-01T00:00:00"/>
    <s v="NDF"/>
    <m/>
    <e v="#N/A"/>
    <e v="#N/A"/>
    <n v="75455"/>
    <s v="25000099"/>
    <s v="Emilie Amillastré"/>
    <s v="Q2"/>
    <e v="#REF!"/>
    <e v="#REF!"/>
    <e v="#REF!"/>
  </r>
  <r>
    <s v="425200"/>
    <x v="6"/>
    <s v="PERSONNEL - NOTE DE FRAIS"/>
    <s v="NDF"/>
    <n v="-28.7"/>
    <d v="2025-06-16T00:00:00"/>
    <s v="NDF 25000201"/>
    <m/>
    <e v="#N/A"/>
    <e v="#N/A"/>
    <n v="88830"/>
    <s v="25000201"/>
    <s v="Kevin Cottet"/>
    <s v="Q2"/>
    <e v="#REF!"/>
    <e v="#REF!"/>
    <e v="#REF!"/>
  </r>
  <r>
    <s v="425200"/>
    <x v="6"/>
    <s v="PERSONNEL - NOTE DE FRAIS"/>
    <s v="NDF"/>
    <n v="-28.7"/>
    <d v="2025-09-17T00:00:00"/>
    <s v="NDF 25000235"/>
    <m/>
    <e v="#N/A"/>
    <e v="#N/A"/>
    <n v="88496"/>
    <s v="25000235"/>
    <s v="Nicolas Canu"/>
    <s v="Q3"/>
    <e v="#REF!"/>
    <e v="#REF!"/>
    <e v="#REF!"/>
  </r>
  <r>
    <s v="425200"/>
    <x v="6"/>
    <s v="PERSONNEL - NOTE DE FRAIS"/>
    <s v="NDF"/>
    <n v="-28.7"/>
    <d v="2025-09-19T00:00:00"/>
    <s v="NDF 25000235"/>
    <m/>
    <e v="#N/A"/>
    <e v="#N/A"/>
    <n v="88501"/>
    <s v="25000235"/>
    <s v="Nicolas Canu"/>
    <s v="Q3"/>
    <e v="#REF!"/>
    <e v="#REF!"/>
    <e v="#REF!"/>
  </r>
  <r>
    <s v="425200"/>
    <x v="6"/>
    <s v="PERSONNEL - NOTE DE FRAIS"/>
    <s v="NDF"/>
    <n v="-28.6"/>
    <d v="2025-09-17T00:00:00"/>
    <s v="NDF 25000248"/>
    <m/>
    <e v="#N/A"/>
    <e v="#N/A"/>
    <n v="88558"/>
    <s v="25000248"/>
    <s v="Pierre-Yves Bolle"/>
    <s v="Q3"/>
    <e v="#REF!"/>
    <e v="#REF!"/>
    <e v="#REF!"/>
  </r>
  <r>
    <s v="425200"/>
    <x v="6"/>
    <s v="PERSONNEL - NOTE DE FRAIS"/>
    <s v="NDF"/>
    <n v="-28.6"/>
    <d v="2025-09-19T00:00:00"/>
    <s v="NDF 25000248"/>
    <m/>
    <e v="#N/A"/>
    <e v="#N/A"/>
    <n v="88568"/>
    <s v="25000248"/>
    <s v="Pierre-Yves Bolle"/>
    <s v="Q3"/>
    <e v="#REF!"/>
    <e v="#REF!"/>
    <e v="#REF!"/>
  </r>
  <r>
    <s v="425200"/>
    <x v="6"/>
    <s v="PERSONNEL - NOTE DE FRAIS"/>
    <s v="NDF"/>
    <n v="-28.35"/>
    <d v="2025-09-09T00:00:00"/>
    <s v="NDF 25000248"/>
    <m/>
    <e v="#N/A"/>
    <e v="#N/A"/>
    <n v="88549"/>
    <s v="25000248"/>
    <s v="Pierre-Yves Bolle"/>
    <s v="Q3"/>
    <e v="#REF!"/>
    <e v="#REF!"/>
    <e v="#REF!"/>
  </r>
  <r>
    <s v="425200"/>
    <x v="6"/>
    <s v="PERSONNEL - NOTE DE FRAIS"/>
    <s v="NDF"/>
    <n v="-28.3"/>
    <d v="2025-11-20T00:00:00"/>
    <s v="NDF 25000305"/>
    <m/>
    <e v="#N/A"/>
    <e v="#N/A"/>
    <n v="93437"/>
    <s v="25000305"/>
    <s v="Marie-Sarah Adenis"/>
    <s v="Q4"/>
    <e v="#REF!"/>
    <e v="#REF!"/>
    <e v="#REF!"/>
  </r>
  <r>
    <s v="425200"/>
    <x v="6"/>
    <s v="PERSONNEL - NOTE DE FRAIS"/>
    <s v="NDF"/>
    <n v="-28.14"/>
    <d v="2025-07-25T00:00:00"/>
    <s v="NDF 25000196"/>
    <m/>
    <e v="#N/A"/>
    <e v="#N/A"/>
    <n v="88725"/>
    <s v="25000196"/>
    <s v="Benjamin Barry"/>
    <s v="Q3"/>
    <e v="#REF!"/>
    <e v="#REF!"/>
    <e v="#REF!"/>
  </r>
  <r>
    <s v="425200"/>
    <x v="6"/>
    <s v="PERSONNEL - NOTE DE FRAIS"/>
    <s v="NDF"/>
    <n v="-28"/>
    <d v="2025-09-04T00:00:00"/>
    <s v="NDF 25000214"/>
    <m/>
    <e v="#N/A"/>
    <e v="#N/A"/>
    <n v="88582"/>
    <s v="25000214"/>
    <s v="Emilie Amillastré"/>
    <s v="Q3"/>
    <e v="#REF!"/>
    <e v="#REF!"/>
    <e v="#REF!"/>
  </r>
  <r>
    <s v="425200"/>
    <x v="6"/>
    <s v="PERSONNEL - NOTE DE FRAIS"/>
    <s v="NDF"/>
    <n v="-27.61"/>
    <d v="2025-06-07T00:00:00"/>
    <s v="NDF"/>
    <m/>
    <e v="#N/A"/>
    <e v="#N/A"/>
    <n v="76566"/>
    <s v="25000173"/>
    <s v="Anthony Martinez"/>
    <s v="Q2"/>
    <e v="#REF!"/>
    <e v="#REF!"/>
    <e v="#REF!"/>
  </r>
  <r>
    <s v="425200"/>
    <x v="6"/>
    <s v="PERSONNEL - NOTE DE FRAIS"/>
    <s v="NDF"/>
    <n v="-27.25"/>
    <d v="2025-11-24T00:00:00"/>
    <s v="NDF 25000265"/>
    <m/>
    <e v="#N/A"/>
    <e v="#N/A"/>
    <n v="90959"/>
    <s v="25000265"/>
    <s v="Marie Rézeau"/>
    <s v="Q4"/>
    <e v="#REF!"/>
    <e v="#REF!"/>
    <e v="#REF!"/>
  </r>
  <r>
    <s v="425200"/>
    <x v="6"/>
    <s v="PERSONNEL - NOTE DE FRAIS"/>
    <s v="NDF"/>
    <n v="-27.03"/>
    <d v="2025-11-24T00:00:00"/>
    <s v="NDF 25000293"/>
    <m/>
    <e v="#N/A"/>
    <e v="#N/A"/>
    <n v="90888"/>
    <s v="25000293"/>
    <s v="Julie Lacondemine"/>
    <s v="Q4"/>
    <e v="#REF!"/>
    <e v="#REF!"/>
    <e v="#REF!"/>
  </r>
  <r>
    <s v="425200"/>
    <x v="6"/>
    <s v="PERSONNEL - NOTE DE FRAIS"/>
    <s v="NDF"/>
    <n v="-27"/>
    <d v="2025-05-06T00:00:00"/>
    <s v="NDF 25000111"/>
    <m/>
    <e v="#N/A"/>
    <e v="#N/A"/>
    <n v="89178"/>
    <s v="25000111"/>
    <s v="Pauline Rullière"/>
    <s v="Q2"/>
    <e v="#REF!"/>
    <e v="#REF!"/>
    <e v="#REF!"/>
  </r>
  <r>
    <s v="425200"/>
    <x v="6"/>
    <s v="PERSONNEL - NOTE DE FRAIS"/>
    <s v="NDF"/>
    <n v="-26.61"/>
    <d v="2025-10-20T00:00:00"/>
    <s v="NDF 25000283"/>
    <m/>
    <e v="#N/A"/>
    <e v="#N/A"/>
    <n v="88899"/>
    <s v="25000283"/>
    <s v="Anthony Martinez"/>
    <s v="Q4"/>
    <e v="#REF!"/>
    <e v="#REF!"/>
    <e v="#REF!"/>
  </r>
  <r>
    <s v="425200"/>
    <x v="6"/>
    <s v="PERSONNEL - NOTE DE FRAIS"/>
    <s v="NDF"/>
    <n v="-26.6"/>
    <d v="2025-10-01T00:00:00"/>
    <s v="NDF 25000260"/>
    <m/>
    <e v="#N/A"/>
    <e v="#N/A"/>
    <n v="89234"/>
    <s v="25000260"/>
    <s v="Pauline Rullière"/>
    <s v="Q4"/>
    <e v="#REF!"/>
    <e v="#REF!"/>
    <e v="#REF!"/>
  </r>
  <r>
    <s v="425200"/>
    <x v="6"/>
    <s v="PERSONNEL - NOTE DE FRAIS"/>
    <s v="NDF"/>
    <n v="-26.39"/>
    <d v="2025-09-29T00:00:00"/>
    <s v="NDF 25000253"/>
    <m/>
    <e v="#N/A"/>
    <e v="#N/A"/>
    <n v="88463"/>
    <s v="25000253"/>
    <s v="Bob Fernandez"/>
    <s v="Q3"/>
    <e v="#REF!"/>
    <e v="#REF!"/>
    <e v="#REF!"/>
  </r>
  <r>
    <s v="425200"/>
    <x v="6"/>
    <s v="PERSONNEL - NOTE DE FRAIS"/>
    <s v="NDF"/>
    <n v="-26.02"/>
    <d v="2025-03-21T00:00:00"/>
    <s v="NDF"/>
    <m/>
    <e v="#N/A"/>
    <e v="#N/A"/>
    <n v="75447"/>
    <s v="25000081"/>
    <s v="Anthony Martinez"/>
    <s v="Q1"/>
    <e v="#REF!"/>
    <e v="#REF!"/>
    <e v="#REF!"/>
  </r>
  <r>
    <s v="425200"/>
    <x v="6"/>
    <s v="PERSONNEL - NOTE DE FRAIS"/>
    <s v="NDF"/>
    <n v="-26"/>
    <d v="2025-11-24T00:00:00"/>
    <s v="NDF 25000297"/>
    <m/>
    <e v="#N/A"/>
    <e v="#N/A"/>
    <n v="90978"/>
    <s v="25000297"/>
    <s v="Marie-Sarah Adenis"/>
    <s v="Q4"/>
    <e v="#REF!"/>
    <e v="#REF!"/>
    <e v="#REF!"/>
  </r>
  <r>
    <s v="425200"/>
    <x v="6"/>
    <s v="PERSONNEL - NOTE DE FRAIS"/>
    <s v="NDF"/>
    <n v="-25.9"/>
    <d v="2025-09-17T00:00:00"/>
    <s v="NDF 25000237"/>
    <m/>
    <e v="#N/A"/>
    <e v="#N/A"/>
    <n v="88508"/>
    <s v="25000237"/>
    <s v="Benjamin Barry"/>
    <s v="Q3"/>
    <e v="#REF!"/>
    <e v="#REF!"/>
    <e v="#REF!"/>
  </r>
  <r>
    <s v="425200"/>
    <x v="6"/>
    <s v="PERSONNEL - NOTE DE FRAIS"/>
    <s v="NDF"/>
    <n v="-25.9"/>
    <d v="2025-09-19T00:00:00"/>
    <s v="NDF 25000237"/>
    <m/>
    <e v="#N/A"/>
    <e v="#N/A"/>
    <n v="88506"/>
    <s v="25000237"/>
    <s v="Benjamin Barry"/>
    <s v="Q3"/>
    <e v="#REF!"/>
    <e v="#REF!"/>
    <e v="#REF!"/>
  </r>
  <r>
    <s v="425200"/>
    <x v="6"/>
    <s v="PERSONNEL - NOTE DE FRAIS"/>
    <s v="NDF"/>
    <n v="-25.8"/>
    <d v="2025-01-01T00:00:00"/>
    <s v="NDF"/>
    <m/>
    <e v="#N/A"/>
    <e v="#N/A"/>
    <n v="75430"/>
    <s v="24000386"/>
    <s v="Marie-Sarah Adenis"/>
    <s v="Q1"/>
    <e v="#REF!"/>
    <e v="#REF!"/>
    <e v="#REF!"/>
  </r>
  <r>
    <s v="425200"/>
    <x v="6"/>
    <s v="PERSONNEL - NOTE DE FRAIS"/>
    <s v="NDF"/>
    <n v="-25.78"/>
    <d v="2025-05-12T00:00:00"/>
    <s v="NDF"/>
    <m/>
    <e v="#N/A"/>
    <e v="#N/A"/>
    <n v="76510"/>
    <s v="25000153"/>
    <s v="Guillaume Boissonnat-Wu"/>
    <s v="Q2"/>
    <e v="#REF!"/>
    <e v="#REF!"/>
    <e v="#REF!"/>
  </r>
  <r>
    <s v="425200"/>
    <x v="6"/>
    <s v="PERSONNEL - NOTE DE FRAIS"/>
    <s v="NDF"/>
    <n v="-25.66"/>
    <d v="2025-11-20T00:00:00"/>
    <s v="NDF 25000335"/>
    <m/>
    <e v="#N/A"/>
    <e v="#N/A"/>
    <n v="95817"/>
    <s v="25000335"/>
    <s v="Guillaume Boissonnat-Wu"/>
    <s v="Q4"/>
    <e v="#REF!"/>
    <e v="#REF!"/>
    <e v="#REF!"/>
  </r>
  <r>
    <s v="425200"/>
    <x v="6"/>
    <s v="PERSONNEL - NOTE DE FRAIS"/>
    <s v="NDF"/>
    <n v="-25.57"/>
    <d v="2025-05-14T00:00:00"/>
    <s v="NOTE DE FRAIS"/>
    <m/>
    <e v="#N/A"/>
    <e v="#N/A"/>
    <n v="74425"/>
    <s v="25000148"/>
    <s v="Jérémie Blache"/>
    <s v="Q2"/>
    <e v="#REF!"/>
    <e v="#REF!"/>
    <e v="#REF!"/>
  </r>
  <r>
    <s v="425200"/>
    <x v="6"/>
    <s v="PERSONNEL - NOTE DE FRAIS"/>
    <s v="NDF"/>
    <n v="-25.55"/>
    <d v="2025-05-23T00:00:00"/>
    <s v="NDF 25000338"/>
    <m/>
    <e v="#N/A"/>
    <e v="#N/A"/>
    <n v="95916"/>
    <s v="25000338"/>
    <s v="Alain Pinchard"/>
    <s v="Q2"/>
    <e v="#REF!"/>
    <e v="#REF!"/>
    <e v="#REF!"/>
  </r>
  <r>
    <s v="425200"/>
    <x v="6"/>
    <s v="PERSONNEL - NOTE DE FRAIS"/>
    <s v="NDF"/>
    <n v="-25.48"/>
    <d v="2025-12-03T00:00:00"/>
    <s v="NDF 25000304"/>
    <m/>
    <e v="#N/A"/>
    <e v="#N/A"/>
    <n v="93341"/>
    <s v="25000304"/>
    <s v="Julie Lacondemine"/>
    <s v="Q4"/>
    <e v="#REF!"/>
    <e v="#REF!"/>
    <e v="#REF!"/>
  </r>
  <r>
    <s v="425200"/>
    <x v="6"/>
    <s v="PERSONNEL - NOTE DE FRAIS"/>
    <s v="NDF"/>
    <n v="-25.4"/>
    <d v="2025-10-03T00:00:00"/>
    <s v="NDF 25000269"/>
    <m/>
    <e v="#N/A"/>
    <e v="#N/A"/>
    <n v="88406"/>
    <s v="25000269"/>
    <s v="Nuria RAMOS"/>
    <s v="Q4"/>
    <e v="#REF!"/>
    <e v="#REF!"/>
    <e v="#REF!"/>
  </r>
  <r>
    <s v="425200"/>
    <x v="6"/>
    <s v="PERSONNEL - NOTE DE FRAIS"/>
    <s v="NDF"/>
    <n v="-25.38"/>
    <d v="2025-09-18T00:00:00"/>
    <s v="NDF 25000233"/>
    <m/>
    <e v="#N/A"/>
    <e v="#N/A"/>
    <n v="88480"/>
    <s v="25000233"/>
    <s v="Clément Perrocheau"/>
    <s v="Q3"/>
    <e v="#REF!"/>
    <e v="#REF!"/>
    <e v="#REF!"/>
  </r>
  <r>
    <s v="425200"/>
    <x v="6"/>
    <s v="PERSONNEL - NOTE DE FRAIS"/>
    <s v="NDF"/>
    <n v="-25.2"/>
    <d v="2025-05-12T00:00:00"/>
    <s v="NDF 25000339"/>
    <m/>
    <e v="#N/A"/>
    <e v="#N/A"/>
    <n v="95957"/>
    <s v="25000339"/>
    <s v="Alain Pinchard"/>
    <s v="Q2"/>
    <e v="#REF!"/>
    <e v="#REF!"/>
    <e v="#REF!"/>
  </r>
  <r>
    <s v="425200"/>
    <x v="6"/>
    <s v="PERSONNEL - NOTE DE FRAIS"/>
    <s v="NDF"/>
    <n v="-25.19"/>
    <d v="2025-07-21T00:00:00"/>
    <s v="NDF 25000196"/>
    <m/>
    <e v="#N/A"/>
    <e v="#N/A"/>
    <n v="88745"/>
    <s v="25000196"/>
    <s v="Benjamin Barry"/>
    <s v="Q3"/>
    <e v="#REF!"/>
    <e v="#REF!"/>
    <e v="#REF!"/>
  </r>
  <r>
    <s v="425200"/>
    <x v="6"/>
    <s v="PERSONNEL - NOTE DE FRAIS"/>
    <s v="NDF"/>
    <n v="-25.18"/>
    <d v="2025-06-11T00:00:00"/>
    <s v="NDF 25000194"/>
    <m/>
    <e v="#N/A"/>
    <e v="#N/A"/>
    <n v="88842"/>
    <s v="25000194"/>
    <s v="Marie Rézeau"/>
    <s v="Q2"/>
    <e v="#REF!"/>
    <e v="#REF!"/>
    <e v="#REF!"/>
  </r>
  <r>
    <s v="425200"/>
    <x v="6"/>
    <s v="PERSONNEL - NOTE DE FRAIS"/>
    <s v="NDF"/>
    <n v="-25"/>
    <d v="2025-09-09T00:00:00"/>
    <s v="NDF 25000220"/>
    <m/>
    <e v="#N/A"/>
    <e v="#N/A"/>
    <n v="88541"/>
    <s v="25000220"/>
    <s v="Julie Lacondemine"/>
    <s v="Q3"/>
    <e v="#REF!"/>
    <e v="#REF!"/>
    <e v="#REF!"/>
  </r>
  <r>
    <s v="425200"/>
    <x v="6"/>
    <s v="PERSONNEL - NOTE DE FRAIS"/>
    <s v="NDF"/>
    <n v="-25"/>
    <d v="2025-09-19T00:00:00"/>
    <s v="NDF 25000236"/>
    <m/>
    <e v="#N/A"/>
    <e v="#N/A"/>
    <n v="88478"/>
    <s v="25000236"/>
    <s v="Nicolas Canu"/>
    <s v="Q3"/>
    <e v="#REF!"/>
    <e v="#REF!"/>
    <e v="#REF!"/>
  </r>
  <r>
    <s v="425200"/>
    <x v="6"/>
    <s v="PERSONNEL - NOTE DE FRAIS"/>
    <s v="NDF"/>
    <n v="-25"/>
    <d v="2025-09-29T00:00:00"/>
    <s v="NDF 25000256"/>
    <m/>
    <e v="#N/A"/>
    <e v="#N/A"/>
    <n v="89025"/>
    <s v="25000256"/>
    <s v="Benjamin Barry"/>
    <s v="Q3"/>
    <e v="#REF!"/>
    <e v="#REF!"/>
    <e v="#REF!"/>
  </r>
  <r>
    <s v="425200"/>
    <x v="6"/>
    <s v="PERSONNEL - NOTE DE FRAIS"/>
    <s v="NDF"/>
    <n v="-24.9"/>
    <d v="2025-10-02T00:00:00"/>
    <s v="NDF 25000255"/>
    <m/>
    <e v="#N/A"/>
    <e v="#N/A"/>
    <n v="88941"/>
    <s v="25000255"/>
    <s v="Emilie Amillastré"/>
    <s v="Q4"/>
    <e v="#REF!"/>
    <e v="#REF!"/>
    <e v="#REF!"/>
  </r>
  <r>
    <s v="425200"/>
    <x v="6"/>
    <s v="PERSONNEL - NOTE DE FRAIS"/>
    <s v="NDF"/>
    <n v="-24.85"/>
    <d v="2025-02-28T00:00:00"/>
    <s v="NDF BENAUD"/>
    <m/>
    <e v="#N/A"/>
    <e v="#N/A"/>
    <n v="76786"/>
    <m/>
    <s v="Benoit Audic"/>
    <s v="Q1"/>
    <e v="#REF!"/>
    <e v="#REF!"/>
    <e v="#REF!"/>
  </r>
  <r>
    <s v="425200"/>
    <x v="6"/>
    <s v="PERSONNEL - NOTE DE FRAIS"/>
    <s v="NDF"/>
    <n v="-24.7"/>
    <d v="2025-04-10T00:00:00"/>
    <s v="NDF 25000339"/>
    <m/>
    <e v="#N/A"/>
    <e v="#N/A"/>
    <n v="95959"/>
    <s v="25000339"/>
    <s v="Alain Pinchard"/>
    <s v="Q2"/>
    <e v="#REF!"/>
    <e v="#REF!"/>
    <e v="#REF!"/>
  </r>
  <r>
    <s v="425200"/>
    <x v="6"/>
    <s v="PERSONNEL - NOTE DE FRAIS"/>
    <s v="NDF"/>
    <n v="-24.5"/>
    <d v="2025-01-31T00:00:00"/>
    <s v="NOTE DE FRAIS"/>
    <m/>
    <e v="#N/A"/>
    <e v="#N/A"/>
    <n v="73650"/>
    <s v="25000022"/>
    <s v="Vincent Blanchard"/>
    <s v="Q1"/>
    <e v="#REF!"/>
    <e v="#REF!"/>
    <e v="#REF!"/>
  </r>
  <r>
    <s v="425200"/>
    <x v="6"/>
    <s v="PERSONNEL - NOTE DE FRAIS"/>
    <s v="NDF"/>
    <n v="-24.5"/>
    <d v="2025-02-07T00:00:00"/>
    <s v="NDF"/>
    <m/>
    <e v="#N/A"/>
    <e v="#N/A"/>
    <n v="75441"/>
    <s v="25000029"/>
    <s v="Filipe Gomes"/>
    <s v="Q1"/>
    <e v="#REF!"/>
    <e v="#REF!"/>
    <e v="#REF!"/>
  </r>
  <r>
    <s v="425200"/>
    <x v="6"/>
    <s v="PERSONNEL - NOTE DE FRAIS"/>
    <s v="NDF"/>
    <n v="-24.4"/>
    <d v="2025-03-05T00:00:00"/>
    <s v="NDF"/>
    <m/>
    <e v="#N/A"/>
    <e v="#N/A"/>
    <n v="76479"/>
    <s v="N25000067"/>
    <s v="Jérémie Blache"/>
    <s v="Q1"/>
    <e v="#REF!"/>
    <e v="#REF!"/>
    <e v="#REF!"/>
  </r>
  <r>
    <s v="425200"/>
    <x v="6"/>
    <s v="PERSONNEL - NOTE DE FRAIS"/>
    <s v="NDF"/>
    <n v="-24.3"/>
    <d v="2025-10-02T00:00:00"/>
    <s v="NDF 25000222"/>
    <m/>
    <e v="#N/A"/>
    <e v="#N/A"/>
    <n v="88616"/>
    <s v="25000222"/>
    <s v="Pauline Rullière"/>
    <s v="Q4"/>
    <e v="#REF!"/>
    <e v="#REF!"/>
    <e v="#REF!"/>
  </r>
  <r>
    <s v="425200"/>
    <x v="6"/>
    <s v="PERSONNEL - NOTE DE FRAIS"/>
    <s v="NDF"/>
    <n v="-24"/>
    <d v="2025-05-12T00:00:00"/>
    <s v="NDF 25000338"/>
    <m/>
    <e v="#N/A"/>
    <e v="#N/A"/>
    <n v="95837"/>
    <s v="25000338"/>
    <s v="Alain Pinchard"/>
    <s v="Q2"/>
    <e v="#REF!"/>
    <e v="#REF!"/>
    <e v="#REF!"/>
  </r>
  <r>
    <s v="425200"/>
    <x v="6"/>
    <s v="PERSONNEL - NOTE DE FRAIS"/>
    <s v="NDF"/>
    <n v="-24"/>
    <d v="2025-09-12T00:00:00"/>
    <s v="NDF 25000338"/>
    <m/>
    <e v="#N/A"/>
    <e v="#N/A"/>
    <n v="95857"/>
    <s v="25000338"/>
    <s v="Alain Pinchard"/>
    <s v="Q3"/>
    <e v="#REF!"/>
    <e v="#REF!"/>
    <e v="#REF!"/>
  </r>
  <r>
    <s v="425200"/>
    <x v="6"/>
    <s v="PERSONNEL - NOTE DE FRAIS"/>
    <s v="NDF"/>
    <n v="-24"/>
    <d v="2025-10-03T00:00:00"/>
    <s v="NDF 25000266"/>
    <m/>
    <e v="#N/A"/>
    <e v="#N/A"/>
    <n v="88425"/>
    <s v="25000266"/>
    <s v="Maud Sanchez"/>
    <s v="Q4"/>
    <e v="#REF!"/>
    <e v="#REF!"/>
    <e v="#REF!"/>
  </r>
  <r>
    <s v="425200"/>
    <x v="6"/>
    <s v="PERSONNEL - NOTE DE FRAIS"/>
    <s v="NDF"/>
    <n v="-24"/>
    <d v="2025-11-14T00:00:00"/>
    <s v="NDF 25000314"/>
    <m/>
    <e v="#N/A"/>
    <e v="#N/A"/>
    <n v="93406"/>
    <s v="25000314"/>
    <s v="Pierre-Yves Bolle"/>
    <s v="Q4"/>
    <e v="#REF!"/>
    <e v="#REF!"/>
    <e v="#REF!"/>
  </r>
  <r>
    <s v="425200"/>
    <x v="6"/>
    <s v="PERSONNEL - NOTE DE FRAIS"/>
    <s v="NDF"/>
    <n v="-23.95"/>
    <d v="2025-09-01T00:00:00"/>
    <s v="NDF 25000214"/>
    <m/>
    <e v="#N/A"/>
    <e v="#N/A"/>
    <n v="88579"/>
    <s v="25000214"/>
    <s v="Emilie Amillastré"/>
    <s v="Q3"/>
    <e v="#REF!"/>
    <e v="#REF!"/>
    <e v="#REF!"/>
  </r>
  <r>
    <s v="425200"/>
    <x v="6"/>
    <s v="PERSONNEL - NOTE DE FRAIS"/>
    <s v="NDF"/>
    <n v="-23.6"/>
    <d v="2025-04-12T00:00:00"/>
    <s v="NDF 25000312"/>
    <m/>
    <e v="#N/A"/>
    <e v="#N/A"/>
    <n v="93459"/>
    <s v="25000312"/>
    <s v="Jérémie Blache"/>
    <s v="Q2"/>
    <e v="#REF!"/>
    <e v="#REF!"/>
    <e v="#REF!"/>
  </r>
  <r>
    <s v="425200"/>
    <x v="6"/>
    <s v="PERSONNEL - NOTE DE FRAIS"/>
    <s v="NDF"/>
    <n v="-23.5"/>
    <d v="2025-12-08T00:00:00"/>
    <s v="NDF 25000332"/>
    <m/>
    <e v="#N/A"/>
    <e v="#N/A"/>
    <n v="93309"/>
    <s v="25000332"/>
    <s v="Yves Combret"/>
    <s v="Q4"/>
    <e v="#REF!"/>
    <e v="#REF!"/>
    <e v="#REF!"/>
  </r>
  <r>
    <s v="425200"/>
    <x v="6"/>
    <s v="PERSONNEL - NOTE DE FRAIS"/>
    <s v="NDF"/>
    <n v="-22.9"/>
    <d v="2025-09-30T00:00:00"/>
    <s v="NDF 25000256"/>
    <m/>
    <e v="#N/A"/>
    <e v="#N/A"/>
    <n v="89034"/>
    <s v="25000256"/>
    <s v="Benjamin Barry"/>
    <s v="Q3"/>
    <e v="#REF!"/>
    <e v="#REF!"/>
    <e v="#REF!"/>
  </r>
  <r>
    <s v="425200"/>
    <x v="6"/>
    <s v="PERSONNEL - NOTE DE FRAIS"/>
    <s v="NDF"/>
    <n v="-22.87"/>
    <d v="2025-06-25T00:00:00"/>
    <s v="NDF 25000111"/>
    <m/>
    <e v="#N/A"/>
    <e v="#N/A"/>
    <n v="89219"/>
    <s v="25000111"/>
    <s v="Pauline Rullière"/>
    <s v="Q2"/>
    <e v="#REF!"/>
    <e v="#REF!"/>
    <e v="#REF!"/>
  </r>
  <r>
    <s v="425200"/>
    <x v="6"/>
    <s v="PERSONNEL - NOTE DE FRAIS"/>
    <s v="NDF"/>
    <n v="-22.8"/>
    <d v="2025-05-20T00:00:00"/>
    <s v="NDF"/>
    <m/>
    <e v="#N/A"/>
    <e v="#N/A"/>
    <n v="76518"/>
    <s v="25000154"/>
    <s v="Jérémie Blache"/>
    <s v="Q2"/>
    <e v="#REF!"/>
    <e v="#REF!"/>
    <e v="#REF!"/>
  </r>
  <r>
    <s v="425200"/>
    <x v="6"/>
    <s v="PERSONNEL - NOTE DE FRAIS"/>
    <s v="NDF"/>
    <n v="-22.73"/>
    <d v="2025-10-09T00:00:00"/>
    <s v="NDF 25000256"/>
    <m/>
    <e v="#N/A"/>
    <e v="#N/A"/>
    <n v="89040"/>
    <s v="25000256"/>
    <s v="Benjamin Barry"/>
    <s v="Q4"/>
    <e v="#REF!"/>
    <e v="#REF!"/>
    <e v="#REF!"/>
  </r>
  <r>
    <s v="425200"/>
    <x v="6"/>
    <s v="PERSONNEL - NOTE DE FRAIS"/>
    <s v="NDF"/>
    <n v="-22.5"/>
    <d v="2025-06-16T00:00:00"/>
    <s v="NDF 25000201"/>
    <m/>
    <e v="#N/A"/>
    <e v="#N/A"/>
    <n v="88836"/>
    <s v="25000201"/>
    <s v="Kevin Cottet"/>
    <s v="Q2"/>
    <e v="#REF!"/>
    <e v="#REF!"/>
    <e v="#REF!"/>
  </r>
  <r>
    <s v="425200"/>
    <x v="6"/>
    <s v="PERSONNEL - NOTE DE FRAIS"/>
    <s v="NDF"/>
    <n v="-22.5"/>
    <d v="2025-07-22T00:00:00"/>
    <s v="NDF 25000206"/>
    <m/>
    <e v="#N/A"/>
    <e v="#N/A"/>
    <n v="89077"/>
    <s v="25000206"/>
    <s v="Kevin Cottet"/>
    <s v="Q3"/>
    <e v="#REF!"/>
    <e v="#REF!"/>
    <e v="#REF!"/>
  </r>
  <r>
    <s v="425200"/>
    <x v="6"/>
    <s v="PERSONNEL - NOTE DE FRAIS"/>
    <s v="NDF"/>
    <n v="-22.5"/>
    <d v="2025-10-07T00:00:00"/>
    <s v="NDF 25000281"/>
    <m/>
    <e v="#N/A"/>
    <e v="#N/A"/>
    <n v="89013"/>
    <s v="25000281"/>
    <s v="Kevin Cottet"/>
    <s v="Q4"/>
    <e v="#REF!"/>
    <e v="#REF!"/>
    <e v="#REF!"/>
  </r>
  <r>
    <s v="425200"/>
    <x v="6"/>
    <s v="PERSONNEL - NOTE DE FRAIS"/>
    <s v="NDF"/>
    <n v="-22.5"/>
    <d v="2025-12-03T00:00:00"/>
    <s v="NDF 25000311"/>
    <m/>
    <e v="#N/A"/>
    <e v="#N/A"/>
    <n v="93321"/>
    <s v="25000311"/>
    <s v="Jérémie Blache"/>
    <s v="Q4"/>
    <e v="#REF!"/>
    <e v="#REF!"/>
    <e v="#REF!"/>
  </r>
  <r>
    <s v="425200"/>
    <x v="6"/>
    <s v="PERSONNEL - NOTE DE FRAIS"/>
    <s v="NDF"/>
    <n v="-22.49"/>
    <d v="2025-01-01T00:00:00"/>
    <s v="NDF"/>
    <m/>
    <e v="#N/A"/>
    <e v="#N/A"/>
    <n v="75433"/>
    <s v="24000113"/>
    <s v="Marie-Sarah Adenis"/>
    <s v="Q1"/>
    <e v="#REF!"/>
    <e v="#REF!"/>
    <e v="#REF!"/>
  </r>
  <r>
    <s v="425200"/>
    <x v="6"/>
    <s v="PERSONNEL - NOTE DE FRAIS"/>
    <s v="NDF"/>
    <n v="-22.3"/>
    <d v="2025-12-04T00:00:00"/>
    <s v="NDF 25000289"/>
    <m/>
    <e v="#N/A"/>
    <e v="#N/A"/>
    <n v="93495"/>
    <s v="25000289"/>
    <s v="Pauline Rullière"/>
    <s v="Q4"/>
    <e v="#REF!"/>
    <e v="#REF!"/>
    <e v="#REF!"/>
  </r>
  <r>
    <s v="425200"/>
    <x v="6"/>
    <s v="PERSONNEL - NOTE DE FRAIS"/>
    <s v="NDF"/>
    <n v="-22.25"/>
    <d v="2025-07-25T00:00:00"/>
    <s v="NDF 25000196"/>
    <m/>
    <e v="#N/A"/>
    <e v="#N/A"/>
    <n v="88747"/>
    <s v="25000196"/>
    <s v="Benjamin Barry"/>
    <s v="Q3"/>
    <e v="#REF!"/>
    <e v="#REF!"/>
    <e v="#REF!"/>
  </r>
  <r>
    <s v="425200"/>
    <x v="6"/>
    <s v="PERSONNEL - NOTE DE FRAIS"/>
    <s v="NDF"/>
    <n v="-22.2"/>
    <d v="2025-12-12T00:00:00"/>
    <s v="NDF 25000326"/>
    <m/>
    <e v="#N/A"/>
    <e v="#N/A"/>
    <n v="93259"/>
    <s v="25000326"/>
    <s v="Pierre Thomas"/>
    <s v="Q4"/>
    <e v="#REF!"/>
    <e v="#REF!"/>
    <e v="#REF!"/>
  </r>
  <r>
    <s v="425200"/>
    <x v="6"/>
    <s v="PERSONNEL - NOTE DE FRAIS"/>
    <s v="NDF"/>
    <n v="-21.9"/>
    <d v="2025-10-01T00:00:00"/>
    <s v="NDF 25000264"/>
    <m/>
    <e v="#N/A"/>
    <e v="#N/A"/>
    <n v="88594"/>
    <s v="25000264"/>
    <s v="Gaëlle Buche"/>
    <s v="Q4"/>
    <e v="#REF!"/>
    <e v="#REF!"/>
    <e v="#REF!"/>
  </r>
  <r>
    <s v="425200"/>
    <x v="6"/>
    <s v="PERSONNEL - NOTE DE FRAIS"/>
    <s v="NDF"/>
    <n v="-21.86"/>
    <d v="2025-03-26T00:00:00"/>
    <s v="NOTE DE FRAIS"/>
    <m/>
    <e v="#N/A"/>
    <e v="#N/A"/>
    <n v="74206"/>
    <s v="25000101"/>
    <s v="Marjorie Denard"/>
    <s v="Q1"/>
    <e v="#REF!"/>
    <e v="#REF!"/>
    <e v="#REF!"/>
  </r>
  <r>
    <s v="425200"/>
    <x v="6"/>
    <s v="PERSONNEL - NOTE DE FRAIS"/>
    <s v="NDF"/>
    <n v="-21.6"/>
    <d v="2025-12-12T00:00:00"/>
    <s v="NDF 25000335"/>
    <m/>
    <e v="#N/A"/>
    <e v="#N/A"/>
    <n v="95814"/>
    <s v="25000335"/>
    <s v="Guillaume Boissonnat-Wu"/>
    <s v="Q4"/>
    <e v="#REF!"/>
    <e v="#REF!"/>
    <e v="#REF!"/>
  </r>
  <r>
    <s v="425200"/>
    <x v="6"/>
    <s v="PERSONNEL - NOTE DE FRAIS"/>
    <s v="NDF"/>
    <n v="-21.55"/>
    <d v="2025-10-01T00:00:00"/>
    <s v="NDF 25000260"/>
    <m/>
    <e v="#N/A"/>
    <e v="#N/A"/>
    <n v="89236"/>
    <s v="25000260"/>
    <s v="Pauline Rullière"/>
    <s v="Q4"/>
    <e v="#REF!"/>
    <e v="#REF!"/>
    <e v="#REF!"/>
  </r>
  <r>
    <s v="425200"/>
    <x v="6"/>
    <s v="PERSONNEL - NOTE DE FRAIS"/>
    <s v="NDF"/>
    <n v="-21.5"/>
    <d v="2025-02-10T00:00:00"/>
    <s v="NDF 25000281"/>
    <m/>
    <e v="#N/A"/>
    <e v="#N/A"/>
    <n v="89011"/>
    <s v="25000281"/>
    <s v="Kevin Cottet"/>
    <s v="Q1"/>
    <e v="#REF!"/>
    <e v="#REF!"/>
    <e v="#REF!"/>
  </r>
  <r>
    <s v="425200"/>
    <x v="6"/>
    <s v="PERSONNEL - NOTE DE FRAIS"/>
    <s v="NDF"/>
    <n v="-21.49"/>
    <d v="2025-10-01T00:00:00"/>
    <s v="NDF 25000275"/>
    <m/>
    <e v="#N/A"/>
    <e v="#N/A"/>
    <n v="88930"/>
    <s v="25000275"/>
    <s v="Jérémie Blache"/>
    <s v="Q4"/>
    <e v="#REF!"/>
    <e v="#REF!"/>
    <e v="#REF!"/>
  </r>
  <r>
    <s v="425200"/>
    <x v="6"/>
    <s v="PERSONNEL - NOTE DE FRAIS"/>
    <s v="NDF"/>
    <n v="-21.31"/>
    <d v="2025-11-24T00:00:00"/>
    <s v="NDF 25000301"/>
    <m/>
    <e v="#N/A"/>
    <e v="#N/A"/>
    <n v="90874"/>
    <s v="25000301"/>
    <s v="Maud Sanchez"/>
    <s v="Q4"/>
    <e v="#REF!"/>
    <e v="#REF!"/>
    <e v="#REF!"/>
  </r>
  <r>
    <s v="425200"/>
    <x v="6"/>
    <s v="PERSONNEL - NOTE DE FRAIS"/>
    <s v="NDF"/>
    <n v="-21.3"/>
    <d v="2025-03-26T00:00:00"/>
    <s v="NOTE DE FRAIS"/>
    <m/>
    <e v="#N/A"/>
    <e v="#N/A"/>
    <n v="74281"/>
    <s v="25000113"/>
    <s v="Lucie Crépin"/>
    <s v="Q1"/>
    <e v="#REF!"/>
    <e v="#REF!"/>
    <e v="#REF!"/>
  </r>
  <r>
    <s v="425200"/>
    <x v="6"/>
    <s v="PERSONNEL - NOTE DE FRAIS"/>
    <s v="NDF"/>
    <n v="-21.2"/>
    <d v="2025-09-08T00:00:00"/>
    <s v="NDF 25000195"/>
    <m/>
    <e v="#N/A"/>
    <e v="#N/A"/>
    <n v="88123"/>
    <s v="25000195"/>
    <s v="Pauline Rullière"/>
    <s v="Q3"/>
    <e v="#REF!"/>
    <e v="#REF!"/>
    <e v="#REF!"/>
  </r>
  <r>
    <s v="425200"/>
    <x v="6"/>
    <s v="PERSONNEL - NOTE DE FRAIS"/>
    <s v="NDF"/>
    <n v="-21.1"/>
    <d v="2025-11-24T00:00:00"/>
    <s v="NDF 25000301"/>
    <m/>
    <e v="#N/A"/>
    <e v="#N/A"/>
    <n v="90872"/>
    <s v="25000301"/>
    <s v="Maud Sanchez"/>
    <s v="Q4"/>
    <e v="#REF!"/>
    <e v="#REF!"/>
    <e v="#REF!"/>
  </r>
  <r>
    <s v="425200"/>
    <x v="6"/>
    <s v="PERSONNEL - NOTE DE FRAIS"/>
    <s v="NDF"/>
    <n v="-21"/>
    <d v="2025-12-11T00:00:00"/>
    <s v="NDF 25000326"/>
    <m/>
    <e v="#N/A"/>
    <e v="#N/A"/>
    <n v="93261"/>
    <s v="25000326"/>
    <s v="Pierre Thomas"/>
    <s v="Q4"/>
    <e v="#REF!"/>
    <e v="#REF!"/>
    <e v="#REF!"/>
  </r>
  <r>
    <s v="425200"/>
    <x v="6"/>
    <s v="PERSONNEL - NOTE DE FRAIS"/>
    <s v="NDF"/>
    <n v="-20.97"/>
    <d v="2025-12-01T00:00:00"/>
    <s v="NDF 25000304"/>
    <m/>
    <e v="#N/A"/>
    <e v="#N/A"/>
    <n v="93348"/>
    <s v="25000304"/>
    <s v="Julie Lacondemine"/>
    <s v="Q4"/>
    <e v="#REF!"/>
    <e v="#REF!"/>
    <e v="#REF!"/>
  </r>
  <r>
    <s v="425200"/>
    <x v="6"/>
    <s v="PERSONNEL - NOTE DE FRAIS"/>
    <s v="NDF"/>
    <n v="-20.93"/>
    <d v="2025-10-01T00:00:00"/>
    <s v="NDF 25000264"/>
    <m/>
    <e v="#N/A"/>
    <e v="#N/A"/>
    <n v="88596"/>
    <s v="25000264"/>
    <s v="Gaëlle Buche"/>
    <s v="Q4"/>
    <e v="#REF!"/>
    <e v="#REF!"/>
    <e v="#REF!"/>
  </r>
  <r>
    <s v="425200"/>
    <x v="6"/>
    <s v="PERSONNEL - NOTE DE FRAIS"/>
    <s v="NDF"/>
    <n v="-20.8"/>
    <d v="2025-07-02T00:00:00"/>
    <s v="NDF 25000180"/>
    <m/>
    <e v="#N/A"/>
    <e v="#N/A"/>
    <n v="88642"/>
    <s v="25000180"/>
    <s v="Bob Fernandez"/>
    <s v="Q3"/>
    <e v="#REF!"/>
    <e v="#REF!"/>
    <e v="#REF!"/>
  </r>
  <r>
    <s v="425200"/>
    <x v="6"/>
    <s v="PERSONNEL - NOTE DE FRAIS"/>
    <s v="NDF"/>
    <n v="-20.7"/>
    <d v="2025-09-22T00:00:00"/>
    <s v="NDF 25000253"/>
    <m/>
    <e v="#N/A"/>
    <e v="#N/A"/>
    <n v="88465"/>
    <s v="25000253"/>
    <s v="Bob Fernandez"/>
    <s v="Q3"/>
    <e v="#REF!"/>
    <e v="#REF!"/>
    <e v="#REF!"/>
  </r>
  <r>
    <s v="425200"/>
    <x v="6"/>
    <s v="PERSONNEL - NOTE DE FRAIS"/>
    <s v="NDF"/>
    <n v="-20.5"/>
    <d v="2025-07-19T00:00:00"/>
    <s v="NDF 25000338"/>
    <m/>
    <e v="#N/A"/>
    <e v="#N/A"/>
    <n v="95869"/>
    <s v="25000338"/>
    <s v="Alain Pinchard"/>
    <s v="Q3"/>
    <e v="#REF!"/>
    <e v="#REF!"/>
    <e v="#REF!"/>
  </r>
  <r>
    <s v="425200"/>
    <x v="6"/>
    <s v="PERSONNEL - NOTE DE FRAIS"/>
    <s v="NDF"/>
    <n v="-20.3"/>
    <d v="2025-12-10T00:00:00"/>
    <s v="NDF 25000328"/>
    <m/>
    <e v="#N/A"/>
    <e v="#N/A"/>
    <n v="93288"/>
    <s v="25000328"/>
    <s v="Anthony Martinez"/>
    <s v="Q4"/>
    <e v="#REF!"/>
    <e v="#REF!"/>
    <e v="#REF!"/>
  </r>
  <r>
    <s v="425200"/>
    <x v="6"/>
    <s v="PERSONNEL - NOTE DE FRAIS"/>
    <s v="NDF"/>
    <n v="-20.28"/>
    <d v="2025-05-05T00:00:00"/>
    <s v="NDF 25000111"/>
    <m/>
    <e v="#N/A"/>
    <e v="#N/A"/>
    <n v="89168"/>
    <s v="25000111"/>
    <s v="Pauline Rullière"/>
    <s v="Q2"/>
    <e v="#REF!"/>
    <e v="#REF!"/>
    <e v="#REF!"/>
  </r>
  <r>
    <s v="425200"/>
    <x v="6"/>
    <s v="PERSONNEL - NOTE DE FRAIS"/>
    <s v="NDF"/>
    <n v="-20.25"/>
    <d v="2025-02-19T00:00:00"/>
    <s v="NOTE DE FRAIS"/>
    <m/>
    <e v="#N/A"/>
    <e v="#N/A"/>
    <n v="73683"/>
    <s v="25000046"/>
    <s v="Anthony Martinez"/>
    <s v="Q1"/>
    <e v="#REF!"/>
    <e v="#REF!"/>
    <e v="#REF!"/>
  </r>
  <r>
    <s v="425200"/>
    <x v="6"/>
    <s v="PERSONNEL - NOTE DE FRAIS"/>
    <s v="NDF"/>
    <n v="-20.2"/>
    <d v="2025-04-03T00:00:00"/>
    <s v="NDF 25000339"/>
    <m/>
    <e v="#N/A"/>
    <e v="#N/A"/>
    <n v="95947"/>
    <s v="25000339"/>
    <s v="Alain Pinchard"/>
    <s v="Q2"/>
    <e v="#REF!"/>
    <e v="#REF!"/>
    <e v="#REF!"/>
  </r>
  <r>
    <s v="425200"/>
    <x v="6"/>
    <s v="PERSONNEL - NOTE DE FRAIS"/>
    <s v="NDF"/>
    <n v="-20.190000000000001"/>
    <d v="2025-03-28T00:00:00"/>
    <s v="NOTE DE FRAIS"/>
    <m/>
    <e v="#N/A"/>
    <e v="#N/A"/>
    <n v="74217"/>
    <s v="25000102"/>
    <s v="Marjorie Denard"/>
    <s v="Q1"/>
    <e v="#REF!"/>
    <e v="#REF!"/>
    <e v="#REF!"/>
  </r>
  <r>
    <s v="425200"/>
    <x v="6"/>
    <s v="PERSONNEL - NOTE DE FRAIS"/>
    <s v="NDF"/>
    <n v="-20"/>
    <d v="2025-11-24T00:00:00"/>
    <s v="NDF 25000265"/>
    <m/>
    <e v="#N/A"/>
    <e v="#N/A"/>
    <n v="90962"/>
    <s v="25000265"/>
    <s v="Marie Rézeau"/>
    <s v="Q4"/>
    <e v="#REF!"/>
    <e v="#REF!"/>
    <e v="#REF!"/>
  </r>
  <r>
    <s v="425200"/>
    <x v="6"/>
    <s v="PERSONNEL - NOTE DE FRAIS"/>
    <s v="NDF"/>
    <n v="-19.989999999999998"/>
    <d v="2025-02-07T00:00:00"/>
    <s v="NOTE DE FRAIS"/>
    <m/>
    <e v="#N/A"/>
    <e v="#N/A"/>
    <n v="73668"/>
    <s v="25000033"/>
    <s v="Vincent Blanchard"/>
    <s v="Q1"/>
    <e v="#REF!"/>
    <e v="#REF!"/>
    <e v="#REF!"/>
  </r>
  <r>
    <s v="425200"/>
    <x v="6"/>
    <s v="PERSONNEL - NOTE DE FRAIS"/>
    <s v="NDF"/>
    <n v="-19.8"/>
    <d v="2025-09-09T00:00:00"/>
    <s v="NDF 25000270"/>
    <m/>
    <e v="#N/A"/>
    <e v="#N/A"/>
    <n v="88994"/>
    <s v="25000270"/>
    <s v="Kevin Cottet"/>
    <s v="Q3"/>
    <e v="#REF!"/>
    <e v="#REF!"/>
    <e v="#REF!"/>
  </r>
  <r>
    <s v="425200"/>
    <x v="6"/>
    <s v="PERSONNEL - NOTE DE FRAIS"/>
    <s v="NDF"/>
    <n v="-19.75"/>
    <d v="2025-11-04T00:00:00"/>
    <s v="NDF 25000289"/>
    <m/>
    <e v="#N/A"/>
    <e v="#N/A"/>
    <n v="93485"/>
    <s v="25000289"/>
    <s v="Pauline Rullière"/>
    <s v="Q4"/>
    <e v="#REF!"/>
    <e v="#REF!"/>
    <e v="#REF!"/>
  </r>
  <r>
    <s v="425200"/>
    <x v="6"/>
    <s v="PERSONNEL - NOTE DE FRAIS"/>
    <s v="NDF"/>
    <n v="-19.7"/>
    <d v="2025-06-12T00:00:00"/>
    <s v="NDF 25000338"/>
    <m/>
    <e v="#N/A"/>
    <e v="#N/A"/>
    <n v="95853"/>
    <s v="25000338"/>
    <s v="Alain Pinchard"/>
    <s v="Q2"/>
    <e v="#REF!"/>
    <e v="#REF!"/>
    <e v="#REF!"/>
  </r>
  <r>
    <s v="425200"/>
    <x v="6"/>
    <s v="PERSONNEL - NOTE DE FRAIS"/>
    <s v="NDF"/>
    <n v="-19.54"/>
    <d v="2025-07-09T00:00:00"/>
    <s v="NDF 25000194"/>
    <m/>
    <e v="#N/A"/>
    <e v="#N/A"/>
    <n v="88874"/>
    <s v="25000194"/>
    <s v="Marie Rézeau"/>
    <s v="Q3"/>
    <e v="#REF!"/>
    <e v="#REF!"/>
    <e v="#REF!"/>
  </r>
  <r>
    <s v="425200"/>
    <x v="6"/>
    <s v="PERSONNEL - NOTE DE FRAIS"/>
    <s v="NDF"/>
    <n v="-19.5"/>
    <d v="2025-10-01T00:00:00"/>
    <s v="NDF 25000318"/>
    <m/>
    <e v="#N/A"/>
    <e v="#N/A"/>
    <n v="93450"/>
    <s v="25000318"/>
    <s v="Lucie Crépin"/>
    <s v="Q4"/>
    <e v="#REF!"/>
    <e v="#REF!"/>
    <e v="#REF!"/>
  </r>
  <r>
    <s v="425200"/>
    <x v="6"/>
    <s v="PERSONNEL - NOTE DE FRAIS"/>
    <s v="NDF"/>
    <n v="-19.399999999999999"/>
    <d v="2025-02-11T00:00:00"/>
    <s v="NDF 25000042"/>
    <m/>
    <e v="#N/A"/>
    <e v="#N/A"/>
    <n v="95757"/>
    <s v="25000042"/>
    <s v="Alain Pinchard"/>
    <s v="Q1"/>
    <e v="#REF!"/>
    <e v="#REF!"/>
    <e v="#REF!"/>
  </r>
  <r>
    <s v="425200"/>
    <x v="6"/>
    <s v="PERSONNEL - NOTE DE FRAIS"/>
    <s v="NDF"/>
    <n v="-19"/>
    <d v="2025-05-06T00:00:00"/>
    <s v="NDF 25000111"/>
    <m/>
    <e v="#N/A"/>
    <e v="#N/A"/>
    <n v="89180"/>
    <s v="25000111"/>
    <s v="Pauline Rullière"/>
    <s v="Q2"/>
    <e v="#REF!"/>
    <e v="#REF!"/>
    <e v="#REF!"/>
  </r>
  <r>
    <s v="425200"/>
    <x v="6"/>
    <s v="PERSONNEL - NOTE DE FRAIS"/>
    <s v="NDF"/>
    <n v="-19"/>
    <d v="2025-09-29T00:00:00"/>
    <s v="NDF 25000255"/>
    <m/>
    <e v="#N/A"/>
    <e v="#N/A"/>
    <n v="88939"/>
    <s v="25000255"/>
    <s v="Emilie Amillastré"/>
    <s v="Q3"/>
    <e v="#REF!"/>
    <e v="#REF!"/>
    <e v="#REF!"/>
  </r>
  <r>
    <s v="425200"/>
    <x v="6"/>
    <s v="PERSONNEL - NOTE DE FRAIS"/>
    <s v="NDF"/>
    <n v="-19"/>
    <d v="2025-09-30T00:00:00"/>
    <s v="NDF 25000255"/>
    <m/>
    <e v="#N/A"/>
    <e v="#N/A"/>
    <n v="88951"/>
    <s v="25000255"/>
    <s v="Emilie Amillastré"/>
    <s v="Q3"/>
    <e v="#REF!"/>
    <e v="#REF!"/>
    <e v="#REF!"/>
  </r>
  <r>
    <s v="425200"/>
    <x v="6"/>
    <s v="PERSONNEL - NOTE DE FRAIS"/>
    <s v="NDF"/>
    <n v="-19"/>
    <d v="2025-10-03T00:00:00"/>
    <s v="NDF 25000254"/>
    <m/>
    <e v="#N/A"/>
    <e v="#N/A"/>
    <n v="88439"/>
    <s v="25000254"/>
    <s v="Bob Fernandez"/>
    <s v="Q4"/>
    <e v="#REF!"/>
    <e v="#REF!"/>
    <e v="#REF!"/>
  </r>
  <r>
    <s v="425200"/>
    <x v="6"/>
    <s v="PERSONNEL - NOTE DE FRAIS"/>
    <s v="NDF"/>
    <n v="-19"/>
    <d v="2025-10-20T00:00:00"/>
    <s v="NDF 25000285"/>
    <m/>
    <e v="#N/A"/>
    <e v="#N/A"/>
    <n v="88897"/>
    <s v="25000285"/>
    <s v="Jérémie Blache"/>
    <s v="Q4"/>
    <e v="#REF!"/>
    <e v="#REF!"/>
    <e v="#REF!"/>
  </r>
  <r>
    <s v="425200"/>
    <x v="6"/>
    <s v="PERSONNEL - NOTE DE FRAIS"/>
    <s v="NDF"/>
    <n v="-18.95"/>
    <d v="2025-11-03T00:00:00"/>
    <s v="NDF 25000289"/>
    <m/>
    <e v="#N/A"/>
    <e v="#N/A"/>
    <n v="93487"/>
    <s v="25000289"/>
    <s v="Pauline Rullière"/>
    <s v="Q4"/>
    <e v="#REF!"/>
    <e v="#REF!"/>
    <e v="#REF!"/>
  </r>
  <r>
    <s v="425200"/>
    <x v="6"/>
    <s v="PERSONNEL - NOTE DE FRAIS"/>
    <s v="NDF"/>
    <n v="-18.91"/>
    <d v="2025-06-24T00:00:00"/>
    <s v="NDF 25000111"/>
    <m/>
    <e v="#N/A"/>
    <e v="#N/A"/>
    <n v="89205"/>
    <s v="25000111"/>
    <s v="Pauline Rullière"/>
    <s v="Q2"/>
    <e v="#REF!"/>
    <e v="#REF!"/>
    <e v="#REF!"/>
  </r>
  <r>
    <s v="425200"/>
    <x v="6"/>
    <s v="PERSONNEL - NOTE DE FRAIS"/>
    <s v="NDF"/>
    <n v="-18.899999999999999"/>
    <d v="2025-09-09T00:00:00"/>
    <s v="NDF 25000195"/>
    <m/>
    <e v="#N/A"/>
    <e v="#N/A"/>
    <n v="88129"/>
    <s v="25000195"/>
    <s v="Pauline Rullière"/>
    <s v="Q3"/>
    <e v="#REF!"/>
    <e v="#REF!"/>
    <e v="#REF!"/>
  </r>
  <r>
    <s v="425200"/>
    <x v="6"/>
    <s v="PERSONNEL - NOTE DE FRAIS"/>
    <s v="NDF"/>
    <n v="-18.899999999999999"/>
    <d v="2025-10-03T00:00:00"/>
    <s v="NDF 25000256"/>
    <m/>
    <e v="#N/A"/>
    <e v="#N/A"/>
    <n v="89050"/>
    <s v="25000256"/>
    <s v="Benjamin Barry"/>
    <s v="Q4"/>
    <e v="#REF!"/>
    <e v="#REF!"/>
    <e v="#REF!"/>
  </r>
  <r>
    <s v="425200"/>
    <x v="6"/>
    <s v="PERSONNEL - NOTE DE FRAIS"/>
    <s v="NDF"/>
    <n v="-18.899999999999999"/>
    <d v="2025-11-03T00:00:00"/>
    <s v="NDF 25000314"/>
    <m/>
    <e v="#N/A"/>
    <e v="#N/A"/>
    <n v="93404"/>
    <s v="25000314"/>
    <s v="Pierre-Yves Bolle"/>
    <s v="Q4"/>
    <e v="#REF!"/>
    <e v="#REF!"/>
    <e v="#REF!"/>
  </r>
  <r>
    <s v="425200"/>
    <x v="6"/>
    <s v="PERSONNEL - NOTE DE FRAIS"/>
    <s v="NDF"/>
    <n v="-18.8"/>
    <d v="2025-09-17T00:00:00"/>
    <s v="NDF 25000257"/>
    <m/>
    <e v="#N/A"/>
    <e v="#N/A"/>
    <n v="88987"/>
    <s v="25000257"/>
    <s v="Anne-Sophie Goutierre"/>
    <s v="Q3"/>
    <e v="#REF!"/>
    <e v="#REF!"/>
    <e v="#REF!"/>
  </r>
  <r>
    <s v="425200"/>
    <x v="6"/>
    <s v="PERSONNEL - NOTE DE FRAIS"/>
    <s v="NDF"/>
    <n v="-18.8"/>
    <d v="2025-09-19T00:00:00"/>
    <s v="NDF 25000257"/>
    <m/>
    <e v="#N/A"/>
    <e v="#N/A"/>
    <n v="88990"/>
    <s v="25000257"/>
    <s v="Anne-Sophie Goutierre"/>
    <s v="Q3"/>
    <e v="#REF!"/>
    <e v="#REF!"/>
    <e v="#REF!"/>
  </r>
  <r>
    <s v="425200"/>
    <x v="6"/>
    <s v="PERSONNEL - NOTE DE FRAIS"/>
    <s v="NDF"/>
    <n v="-18.8"/>
    <d v="2025-09-26T00:00:00"/>
    <s v="NDF 25000270"/>
    <m/>
    <e v="#N/A"/>
    <e v="#N/A"/>
    <n v="88999"/>
    <s v="25000270"/>
    <s v="Kevin Cottet"/>
    <s v="Q3"/>
    <e v="#REF!"/>
    <e v="#REF!"/>
    <e v="#REF!"/>
  </r>
  <r>
    <s v="425200"/>
    <x v="6"/>
    <s v="PERSONNEL - NOTE DE FRAIS"/>
    <s v="NDF"/>
    <n v="-18.7"/>
    <d v="2025-12-09T00:00:00"/>
    <s v="NDF 25000332"/>
    <m/>
    <e v="#N/A"/>
    <e v="#N/A"/>
    <n v="93307"/>
    <s v="25000332"/>
    <s v="Yves Combret"/>
    <s v="Q4"/>
    <e v="#REF!"/>
    <e v="#REF!"/>
    <e v="#REF!"/>
  </r>
  <r>
    <s v="425200"/>
    <x v="6"/>
    <s v="PERSONNEL - NOTE DE FRAIS"/>
    <s v="NDF"/>
    <n v="-18.64"/>
    <d v="2025-12-01T00:00:00"/>
    <s v="NDF 25000289"/>
    <m/>
    <e v="#N/A"/>
    <e v="#N/A"/>
    <n v="93472"/>
    <s v="25000289"/>
    <s v="Pauline Rullière"/>
    <s v="Q4"/>
    <e v="#REF!"/>
    <e v="#REF!"/>
    <e v="#REF!"/>
  </r>
  <r>
    <s v="425200"/>
    <x v="6"/>
    <s v="PERSONNEL - NOTE DE FRAIS"/>
    <s v="NDF"/>
    <n v="-18.5"/>
    <d v="2025-01-01T00:00:00"/>
    <s v="NDF"/>
    <m/>
    <e v="#N/A"/>
    <e v="#N/A"/>
    <n v="75427"/>
    <s v="24000122"/>
    <s v="Marie-Sarah Adenis"/>
    <s v="Q1"/>
    <e v="#REF!"/>
    <e v="#REF!"/>
    <e v="#REF!"/>
  </r>
  <r>
    <s v="425200"/>
    <x v="6"/>
    <s v="PERSONNEL - NOTE DE FRAIS"/>
    <s v="NDF"/>
    <n v="-18.5"/>
    <d v="2025-02-13T00:00:00"/>
    <s v="NDF 25000042"/>
    <m/>
    <e v="#N/A"/>
    <e v="#N/A"/>
    <n v="95759"/>
    <s v="25000042"/>
    <s v="Alain Pinchard"/>
    <s v="Q1"/>
    <e v="#REF!"/>
    <e v="#REF!"/>
    <e v="#REF!"/>
  </r>
  <r>
    <s v="425200"/>
    <x v="6"/>
    <s v="PERSONNEL - NOTE DE FRAIS"/>
    <s v="NDF"/>
    <n v="-18.5"/>
    <d v="2025-06-24T00:00:00"/>
    <s v="NDF 25000178"/>
    <m/>
    <e v="#N/A"/>
    <e v="#N/A"/>
    <n v="88656"/>
    <s v="25000178"/>
    <s v="Bob Fernandez"/>
    <s v="Q2"/>
    <e v="#REF!"/>
    <e v="#REF!"/>
    <e v="#REF!"/>
  </r>
  <r>
    <s v="425200"/>
    <x v="6"/>
    <s v="PERSONNEL - NOTE DE FRAIS"/>
    <s v="NDF"/>
    <n v="-18.5"/>
    <d v="2025-09-24T00:00:00"/>
    <s v="NDF 25000253"/>
    <m/>
    <e v="#N/A"/>
    <e v="#N/A"/>
    <n v="88469"/>
    <s v="25000253"/>
    <s v="Bob Fernandez"/>
    <s v="Q3"/>
    <e v="#REF!"/>
    <e v="#REF!"/>
    <e v="#REF!"/>
  </r>
  <r>
    <s v="425200"/>
    <x v="6"/>
    <s v="PERSONNEL - NOTE DE FRAIS"/>
    <s v="NDF"/>
    <n v="-18.5"/>
    <d v="2025-12-10T00:00:00"/>
    <s v="NDF 25000338"/>
    <m/>
    <e v="#N/A"/>
    <e v="#N/A"/>
    <n v="95920"/>
    <s v="25000338"/>
    <s v="Alain Pinchard"/>
    <s v="Q4"/>
    <e v="#REF!"/>
    <e v="#REF!"/>
    <e v="#REF!"/>
  </r>
  <r>
    <s v="425200"/>
    <x v="6"/>
    <s v="PERSONNEL - NOTE DE FRAIS"/>
    <s v="NDF"/>
    <n v="-18.3"/>
    <d v="2025-02-01T00:00:00"/>
    <s v="NDF"/>
    <m/>
    <e v="#N/A"/>
    <e v="#N/A"/>
    <n v="76467"/>
    <s v="25000039"/>
    <s v="Jérémie Blache"/>
    <s v="Q1"/>
    <e v="#REF!"/>
    <e v="#REF!"/>
    <e v="#REF!"/>
  </r>
  <r>
    <s v="425200"/>
    <x v="6"/>
    <s v="PERSONNEL - NOTE DE FRAIS"/>
    <s v="NDF"/>
    <n v="-18.3"/>
    <d v="2025-05-05T00:00:00"/>
    <s v="NDF 25000111"/>
    <m/>
    <e v="#N/A"/>
    <e v="#N/A"/>
    <n v="89171"/>
    <s v="25000111"/>
    <s v="Pauline Rullière"/>
    <s v="Q2"/>
    <e v="#REF!"/>
    <e v="#REF!"/>
    <e v="#REF!"/>
  </r>
  <r>
    <s v="425200"/>
    <x v="6"/>
    <s v="PERSONNEL - NOTE DE FRAIS"/>
    <s v="NDF"/>
    <n v="-18.100000000000001"/>
    <d v="2025-04-10T00:00:00"/>
    <s v="NOTE DE FRAIS"/>
    <m/>
    <e v="#N/A"/>
    <e v="#N/A"/>
    <n v="74306"/>
    <s v="25000124"/>
    <s v="Vincent Blanchard"/>
    <s v="Q2"/>
    <e v="#REF!"/>
    <e v="#REF!"/>
    <e v="#REF!"/>
  </r>
  <r>
    <s v="425200"/>
    <x v="6"/>
    <s v="PERSONNEL - NOTE DE FRAIS"/>
    <s v="NDF"/>
    <n v="-18.100000000000001"/>
    <d v="2025-10-01T00:00:00"/>
    <s v="NDF 25000254"/>
    <m/>
    <e v="#N/A"/>
    <e v="#N/A"/>
    <n v="88442"/>
    <s v="25000254"/>
    <s v="Bob Fernandez"/>
    <s v="Q4"/>
    <e v="#REF!"/>
    <e v="#REF!"/>
    <e v="#REF!"/>
  </r>
  <r>
    <s v="425200"/>
    <x v="6"/>
    <s v="PERSONNEL - NOTE DE FRAIS"/>
    <s v="NDF"/>
    <n v="-18.05"/>
    <d v="2025-12-01T00:00:00"/>
    <s v="NDF 25000315"/>
    <m/>
    <e v="#N/A"/>
    <e v="#N/A"/>
    <n v="93364"/>
    <s v="25000315"/>
    <s v="Kevin Cottet"/>
    <s v="Q4"/>
    <e v="#REF!"/>
    <e v="#REF!"/>
    <e v="#REF!"/>
  </r>
  <r>
    <s v="425200"/>
    <x v="6"/>
    <s v="PERSONNEL - NOTE DE FRAIS"/>
    <s v="NDF"/>
    <n v="-17.97"/>
    <d v="2025-09-19T00:00:00"/>
    <s v="NDF 25000241"/>
    <m/>
    <e v="#N/A"/>
    <e v="#N/A"/>
    <n v="88517"/>
    <s v="25000241"/>
    <s v="Filipe Gomes"/>
    <s v="Q3"/>
    <e v="#REF!"/>
    <e v="#REF!"/>
    <e v="#REF!"/>
  </r>
  <r>
    <s v="425200"/>
    <x v="6"/>
    <s v="PERSONNEL - NOTE DE FRAIS"/>
    <s v="NDF"/>
    <n v="-17.95"/>
    <d v="2025-12-01T00:00:00"/>
    <s v="NDF 25000325"/>
    <m/>
    <e v="#N/A"/>
    <e v="#N/A"/>
    <n v="95787"/>
    <s v="25000325"/>
    <s v="Marie Rézeau"/>
    <s v="Q4"/>
    <e v="#REF!"/>
    <e v="#REF!"/>
    <e v="#REF!"/>
  </r>
  <r>
    <s v="425200"/>
    <x v="6"/>
    <s v="PERSONNEL - NOTE DE FRAIS"/>
    <s v="NDF"/>
    <n v="-17.899999999999999"/>
    <d v="2025-10-09T00:00:00"/>
    <s v="NDF 25000256"/>
    <m/>
    <e v="#N/A"/>
    <e v="#N/A"/>
    <n v="89052"/>
    <s v="25000256"/>
    <s v="Benjamin Barry"/>
    <s v="Q4"/>
    <e v="#REF!"/>
    <e v="#REF!"/>
    <e v="#REF!"/>
  </r>
  <r>
    <s v="425200"/>
    <x v="6"/>
    <s v="PERSONNEL - NOTE DE FRAIS"/>
    <s v="NDF"/>
    <n v="-17.8"/>
    <d v="2025-11-24T00:00:00"/>
    <s v="NDF 25000279"/>
    <m/>
    <e v="#N/A"/>
    <e v="#N/A"/>
    <n v="90914"/>
    <s v="25000279"/>
    <s v="Bob Fernandez"/>
    <s v="Q4"/>
    <e v="#REF!"/>
    <e v="#REF!"/>
    <e v="#REF!"/>
  </r>
  <r>
    <s v="425200"/>
    <x v="6"/>
    <s v="PERSONNEL - NOTE DE FRAIS"/>
    <s v="NDF"/>
    <n v="-17.7"/>
    <d v="2025-07-30T00:00:00"/>
    <s v="NDF 25000204"/>
    <m/>
    <e v="#N/A"/>
    <e v="#N/A"/>
    <n v="88712"/>
    <s v="25000204"/>
    <s v="Océane Chabret"/>
    <s v="Q3"/>
    <e v="#REF!"/>
    <e v="#REF!"/>
    <e v="#REF!"/>
  </r>
  <r>
    <s v="425200"/>
    <x v="6"/>
    <s v="PERSONNEL - NOTE DE FRAIS"/>
    <s v="NDF"/>
    <n v="-17.59"/>
    <d v="2025-06-25T00:00:00"/>
    <s v="NDF 25000111"/>
    <m/>
    <e v="#N/A"/>
    <e v="#N/A"/>
    <n v="89215"/>
    <s v="25000111"/>
    <s v="Pauline Rullière"/>
    <s v="Q2"/>
    <e v="#REF!"/>
    <e v="#REF!"/>
    <e v="#REF!"/>
  </r>
  <r>
    <s v="425200"/>
    <x v="6"/>
    <s v="PERSONNEL - NOTE DE FRAIS"/>
    <s v="NDF"/>
    <n v="-17.420000000000002"/>
    <d v="2025-12-12T00:00:00"/>
    <s v="NDF 25000328"/>
    <m/>
    <e v="#N/A"/>
    <e v="#N/A"/>
    <n v="93281"/>
    <s v="25000328"/>
    <s v="Anthony Martinez"/>
    <s v="Q4"/>
    <e v="#REF!"/>
    <e v="#REF!"/>
    <e v="#REF!"/>
  </r>
  <r>
    <s v="425200"/>
    <x v="6"/>
    <s v="PERSONNEL - NOTE DE FRAIS"/>
    <s v="NDF"/>
    <n v="-17.399999999999999"/>
    <d v="2025-01-10T00:00:00"/>
    <s v="NDF 25000222"/>
    <m/>
    <e v="#N/A"/>
    <e v="#N/A"/>
    <n v="88611"/>
    <s v="25000222"/>
    <s v="Pauline Rullière"/>
    <s v="Q1"/>
    <e v="#REF!"/>
    <e v="#REF!"/>
    <e v="#REF!"/>
  </r>
  <r>
    <s v="425200"/>
    <x v="6"/>
    <s v="PERSONNEL - NOTE DE FRAIS"/>
    <s v="NDF"/>
    <n v="-17.399999999999999"/>
    <d v="2025-09-23T00:00:00"/>
    <s v="NDF 25000253"/>
    <m/>
    <e v="#N/A"/>
    <e v="#N/A"/>
    <n v="88473"/>
    <s v="25000253"/>
    <s v="Bob Fernandez"/>
    <s v="Q3"/>
    <e v="#REF!"/>
    <e v="#REF!"/>
    <e v="#REF!"/>
  </r>
  <r>
    <s v="425200"/>
    <x v="6"/>
    <s v="PERSONNEL - NOTE DE FRAIS"/>
    <s v="NDF"/>
    <n v="-17.3"/>
    <d v="2025-06-24T00:00:00"/>
    <s v="NDF 25000178"/>
    <m/>
    <e v="#N/A"/>
    <e v="#N/A"/>
    <n v="88660"/>
    <s v="25000178"/>
    <s v="Bob Fernandez"/>
    <s v="Q2"/>
    <e v="#REF!"/>
    <e v="#REF!"/>
    <e v="#REF!"/>
  </r>
  <r>
    <s v="425200"/>
    <x v="6"/>
    <s v="PERSONNEL - NOTE DE FRAIS"/>
    <s v="NDF"/>
    <n v="-17.100000000000001"/>
    <d v="2025-07-21T00:00:00"/>
    <s v="NDF 25000194"/>
    <m/>
    <e v="#N/A"/>
    <e v="#N/A"/>
    <n v="88848"/>
    <s v="25000194"/>
    <s v="Marie Rézeau"/>
    <s v="Q3"/>
    <e v="#REF!"/>
    <e v="#REF!"/>
    <e v="#REF!"/>
  </r>
  <r>
    <s v="425200"/>
    <x v="6"/>
    <s v="PERSONNEL - NOTE DE FRAIS"/>
    <s v="NDF"/>
    <n v="-17.100000000000001"/>
    <d v="2025-11-24T00:00:00"/>
    <s v="NDF 25000265"/>
    <m/>
    <e v="#N/A"/>
    <e v="#N/A"/>
    <n v="90950"/>
    <s v="25000265"/>
    <s v="Marie Rézeau"/>
    <s v="Q4"/>
    <e v="#REF!"/>
    <e v="#REF!"/>
    <e v="#REF!"/>
  </r>
  <r>
    <s v="425200"/>
    <x v="6"/>
    <s v="PERSONNEL - NOTE DE FRAIS"/>
    <s v="NDF"/>
    <n v="-17.079999999999998"/>
    <d v="2025-12-01T00:00:00"/>
    <s v="NDF 25000289"/>
    <m/>
    <e v="#N/A"/>
    <e v="#N/A"/>
    <n v="93464"/>
    <s v="25000289"/>
    <s v="Pauline Rullière"/>
    <s v="Q4"/>
    <e v="#REF!"/>
    <e v="#REF!"/>
    <e v="#REF!"/>
  </r>
  <r>
    <s v="425200"/>
    <x v="6"/>
    <s v="PERSONNEL - NOTE DE FRAIS"/>
    <s v="NDF"/>
    <n v="-17"/>
    <d v="2025-10-01T00:00:00"/>
    <s v="NDF 25000282"/>
    <m/>
    <e v="#N/A"/>
    <e v="#N/A"/>
    <n v="88965"/>
    <s v="25000282"/>
    <s v="Nicolas Canu"/>
    <s v="Q4"/>
    <e v="#REF!"/>
    <e v="#REF!"/>
    <e v="#REF!"/>
  </r>
  <r>
    <s v="425200"/>
    <x v="6"/>
    <s v="PERSONNEL - NOTE DE FRAIS"/>
    <s v="NDF"/>
    <n v="-16.899999999999999"/>
    <d v="2025-09-15T00:00:00"/>
    <s v="NDF 25000242"/>
    <m/>
    <e v="#N/A"/>
    <e v="#N/A"/>
    <n v="88535"/>
    <s v="25000242"/>
    <s v="Anthony Martinez"/>
    <s v="Q3"/>
    <e v="#REF!"/>
    <e v="#REF!"/>
    <e v="#REF!"/>
  </r>
  <r>
    <s v="425200"/>
    <x v="6"/>
    <s v="PERSONNEL - NOTE DE FRAIS"/>
    <s v="NDF"/>
    <n v="-16.43"/>
    <d v="2025-09-25T00:00:00"/>
    <s v="NDF 25000253"/>
    <m/>
    <e v="#N/A"/>
    <e v="#N/A"/>
    <n v="88456"/>
    <s v="25000253"/>
    <s v="Bob Fernandez"/>
    <s v="Q3"/>
    <e v="#REF!"/>
    <e v="#REF!"/>
    <e v="#REF!"/>
  </r>
  <r>
    <s v="425200"/>
    <x v="6"/>
    <s v="PERSONNEL - NOTE DE FRAIS"/>
    <s v="NDF"/>
    <n v="-16.29"/>
    <d v="2025-10-14T00:00:00"/>
    <s v="NDF 24000086"/>
    <m/>
    <e v="#N/A"/>
    <e v="#N/A"/>
    <n v="89018"/>
    <s v="24000086"/>
    <s v="Mylène Menanteau"/>
    <s v="Q4"/>
    <e v="#REF!"/>
    <e v="#REF!"/>
    <e v="#REF!"/>
  </r>
  <r>
    <s v="425200"/>
    <x v="6"/>
    <s v="PERSONNEL - NOTE DE FRAIS"/>
    <s v="NDF"/>
    <n v="-16.28"/>
    <d v="2025-09-23T00:00:00"/>
    <s v="NDF 25000253"/>
    <m/>
    <e v="#N/A"/>
    <e v="#N/A"/>
    <n v="88471"/>
    <s v="25000253"/>
    <s v="Bob Fernandez"/>
    <s v="Q3"/>
    <e v="#REF!"/>
    <e v="#REF!"/>
    <e v="#REF!"/>
  </r>
  <r>
    <s v="425200"/>
    <x v="6"/>
    <s v="PERSONNEL - NOTE DE FRAIS"/>
    <s v="NDF"/>
    <n v="-16.2"/>
    <d v="2025-11-24T00:00:00"/>
    <s v="NDF 25000293"/>
    <m/>
    <e v="#N/A"/>
    <e v="#N/A"/>
    <n v="90891"/>
    <s v="25000293"/>
    <s v="Julie Lacondemine"/>
    <s v="Q4"/>
    <e v="#REF!"/>
    <e v="#REF!"/>
    <e v="#REF!"/>
  </r>
  <r>
    <s v="425200"/>
    <x v="6"/>
    <s v="PERSONNEL - NOTE DE FRAIS"/>
    <s v="NDF"/>
    <n v="-16.2"/>
    <d v="2025-12-10T00:00:00"/>
    <s v="NDF 25000328"/>
    <m/>
    <e v="#N/A"/>
    <e v="#N/A"/>
    <n v="93279"/>
    <s v="25000328"/>
    <s v="Anthony Martinez"/>
    <s v="Q4"/>
    <e v="#REF!"/>
    <e v="#REF!"/>
    <e v="#REF!"/>
  </r>
  <r>
    <s v="425200"/>
    <x v="6"/>
    <s v="PERSONNEL - NOTE DE FRAIS"/>
    <s v="NDF"/>
    <n v="-16.100000000000001"/>
    <d v="2025-10-03T00:00:00"/>
    <s v="NDF 25000264"/>
    <m/>
    <e v="#N/A"/>
    <e v="#N/A"/>
    <n v="88601"/>
    <s v="25000264"/>
    <s v="Gaëlle Buche"/>
    <s v="Q4"/>
    <e v="#REF!"/>
    <e v="#REF!"/>
    <e v="#REF!"/>
  </r>
  <r>
    <s v="425200"/>
    <x v="6"/>
    <s v="PERSONNEL - NOTE DE FRAIS"/>
    <s v="NDF"/>
    <n v="-16.059999999999999"/>
    <d v="2025-07-21T00:00:00"/>
    <s v="NDF 25000194"/>
    <m/>
    <e v="#N/A"/>
    <e v="#N/A"/>
    <n v="88856"/>
    <s v="25000194"/>
    <s v="Marie Rézeau"/>
    <s v="Q3"/>
    <e v="#REF!"/>
    <e v="#REF!"/>
    <e v="#REF!"/>
  </r>
  <r>
    <s v="425200"/>
    <x v="6"/>
    <s v="PERSONNEL - NOTE DE FRAIS"/>
    <s v="NDF"/>
    <n v="-16"/>
    <d v="2025-05-16T00:00:00"/>
    <s v="NOTE DE FRAIS"/>
    <m/>
    <e v="#N/A"/>
    <e v="#N/A"/>
    <n v="74429"/>
    <s v="3898"/>
    <s v="Jérémie Blache"/>
    <s v="Q2"/>
    <e v="#REF!"/>
    <e v="#REF!"/>
    <e v="#REF!"/>
  </r>
  <r>
    <s v="425200"/>
    <x v="6"/>
    <s v="PERSONNEL - NOTE DE FRAIS"/>
    <s v="NDF"/>
    <n v="-16"/>
    <d v="2025-08-26T00:00:00"/>
    <s v="NDF 25000210"/>
    <m/>
    <e v="#N/A"/>
    <e v="#N/A"/>
    <n v="88133"/>
    <s v="25000210"/>
    <s v="Bob Fernandez"/>
    <s v="Q3"/>
    <e v="#REF!"/>
    <e v="#REF!"/>
    <e v="#REF!"/>
  </r>
  <r>
    <s v="425200"/>
    <x v="6"/>
    <s v="PERSONNEL - NOTE DE FRAIS"/>
    <s v="NDF"/>
    <n v="-16"/>
    <d v="2025-09-09T00:00:00"/>
    <s v="NDF 25000221"/>
    <m/>
    <e v="#N/A"/>
    <e v="#N/A"/>
    <n v="88137"/>
    <s v="25000221"/>
    <s v="Jérémie Blache"/>
    <s v="Q3"/>
    <e v="#REF!"/>
    <e v="#REF!"/>
    <e v="#REF!"/>
  </r>
  <r>
    <s v="425200"/>
    <x v="6"/>
    <s v="PERSONNEL - NOTE DE FRAIS"/>
    <s v="NDF"/>
    <n v="-16"/>
    <d v="2025-11-24T00:00:00"/>
    <s v="NDF 25000288"/>
    <m/>
    <e v="#N/A"/>
    <e v="#N/A"/>
    <n v="90929"/>
    <s v="25000288"/>
    <s v="Guillaume Boissonnat-Wu"/>
    <s v="Q4"/>
    <e v="#REF!"/>
    <e v="#REF!"/>
    <e v="#REF!"/>
  </r>
  <r>
    <s v="425200"/>
    <x v="6"/>
    <s v="PERSONNEL - NOTE DE FRAIS"/>
    <s v="NDF"/>
    <n v="-15.95"/>
    <d v="2025-11-24T00:00:00"/>
    <s v="NDF 25000303"/>
    <m/>
    <e v="#N/A"/>
    <e v="#N/A"/>
    <n v="93358"/>
    <s v="25000303"/>
    <s v="Jérémie Blache"/>
    <s v="Q4"/>
    <e v="#REF!"/>
    <e v="#REF!"/>
    <e v="#REF!"/>
  </r>
  <r>
    <s v="425200"/>
    <x v="6"/>
    <s v="PERSONNEL - NOTE DE FRAIS"/>
    <s v="NDF"/>
    <n v="-15.9"/>
    <d v="2025-10-01T00:00:00"/>
    <s v="NDF 25000282"/>
    <m/>
    <e v="#N/A"/>
    <e v="#N/A"/>
    <n v="88969"/>
    <s v="25000282"/>
    <s v="Nicolas Canu"/>
    <s v="Q4"/>
    <e v="#REF!"/>
    <e v="#REF!"/>
    <e v="#REF!"/>
  </r>
  <r>
    <s v="425200"/>
    <x v="6"/>
    <s v="PERSONNEL - NOTE DE FRAIS"/>
    <s v="NDF"/>
    <n v="-15.9"/>
    <d v="2025-11-24T00:00:00"/>
    <s v="NDF 25000279"/>
    <m/>
    <e v="#N/A"/>
    <e v="#N/A"/>
    <n v="90906"/>
    <s v="25000279"/>
    <s v="Bob Fernandez"/>
    <s v="Q4"/>
    <e v="#REF!"/>
    <e v="#REF!"/>
    <e v="#REF!"/>
  </r>
  <r>
    <s v="425200"/>
    <x v="6"/>
    <s v="PERSONNEL - NOTE DE FRAIS"/>
    <s v="NDF"/>
    <n v="-15.9"/>
    <d v="2025-11-24T00:00:00"/>
    <s v="NDF 25000300"/>
    <m/>
    <e v="#N/A"/>
    <e v="#N/A"/>
    <n v="90867"/>
    <s v="25000300"/>
    <s v="Jérémie Blache"/>
    <s v="Q4"/>
    <e v="#REF!"/>
    <e v="#REF!"/>
    <e v="#REF!"/>
  </r>
  <r>
    <s v="425200"/>
    <x v="6"/>
    <s v="PERSONNEL - NOTE DE FRAIS"/>
    <s v="NDF"/>
    <n v="-15.9"/>
    <d v="2025-12-10T00:00:00"/>
    <s v="NDF 25000325"/>
    <m/>
    <e v="#N/A"/>
    <e v="#N/A"/>
    <n v="95774"/>
    <s v="25000325"/>
    <s v="Marie Rézeau"/>
    <s v="Q4"/>
    <e v="#REF!"/>
    <e v="#REF!"/>
    <e v="#REF!"/>
  </r>
  <r>
    <s v="425200"/>
    <x v="6"/>
    <s v="PERSONNEL - NOTE DE FRAIS"/>
    <s v="NDF"/>
    <n v="-15.9"/>
    <d v="2025-12-10T00:00:00"/>
    <s v="NDF 25000325"/>
    <m/>
    <e v="#N/A"/>
    <e v="#N/A"/>
    <n v="95777"/>
    <s v="25000325"/>
    <s v="Marie Rézeau"/>
    <s v="Q4"/>
    <e v="#REF!"/>
    <e v="#REF!"/>
    <e v="#REF!"/>
  </r>
  <r>
    <s v="425200"/>
    <x v="6"/>
    <s v="PERSONNEL - NOTE DE FRAIS"/>
    <s v="NDF"/>
    <n v="-15.9"/>
    <d v="2025-12-12T00:00:00"/>
    <s v="NDF 25000334"/>
    <m/>
    <e v="#N/A"/>
    <e v="#N/A"/>
    <n v="95805"/>
    <s v="25000334"/>
    <s v="Maud Sanchez"/>
    <s v="Q4"/>
    <e v="#REF!"/>
    <e v="#REF!"/>
    <e v="#REF!"/>
  </r>
  <r>
    <s v="425200"/>
    <x v="6"/>
    <s v="PERSONNEL - NOTE DE FRAIS"/>
    <s v="NDF"/>
    <n v="-15.8"/>
    <d v="2025-08-27T00:00:00"/>
    <s v="NDF 25000210"/>
    <m/>
    <e v="#N/A"/>
    <e v="#N/A"/>
    <n v="88126"/>
    <s v="25000210"/>
    <s v="Bob Fernandez"/>
    <s v="Q3"/>
    <e v="#REF!"/>
    <e v="#REF!"/>
    <e v="#REF!"/>
  </r>
  <r>
    <s v="425200"/>
    <x v="6"/>
    <s v="PERSONNEL - NOTE DE FRAIS"/>
    <s v="NDF"/>
    <n v="-15.7"/>
    <d v="2025-02-01T00:00:00"/>
    <s v="NDF"/>
    <m/>
    <e v="#N/A"/>
    <e v="#N/A"/>
    <n v="76462"/>
    <s v="25000038"/>
    <s v="Jérémie Blache"/>
    <s v="Q1"/>
    <e v="#REF!"/>
    <e v="#REF!"/>
    <e v="#REF!"/>
  </r>
  <r>
    <s v="425200"/>
    <x v="6"/>
    <s v="PERSONNEL - NOTE DE FRAIS"/>
    <s v="NDF"/>
    <n v="-15.7"/>
    <d v="2025-09-23T00:00:00"/>
    <s v="NDF 25000222"/>
    <m/>
    <e v="#N/A"/>
    <e v="#N/A"/>
    <n v="88608"/>
    <s v="25000222"/>
    <s v="Pauline Rullière"/>
    <s v="Q3"/>
    <e v="#REF!"/>
    <e v="#REF!"/>
    <e v="#REF!"/>
  </r>
  <r>
    <s v="425200"/>
    <x v="6"/>
    <s v="PERSONNEL - NOTE DE FRAIS"/>
    <s v="NDF"/>
    <n v="-15.7"/>
    <d v="2025-11-20T00:00:00"/>
    <s v="NDF 25000335"/>
    <m/>
    <e v="#N/A"/>
    <e v="#N/A"/>
    <n v="95812"/>
    <s v="25000335"/>
    <s v="Guillaume Boissonnat-Wu"/>
    <s v="Q4"/>
    <e v="#REF!"/>
    <e v="#REF!"/>
    <e v="#REF!"/>
  </r>
  <r>
    <s v="425200"/>
    <x v="6"/>
    <s v="PERSONNEL - NOTE DE FRAIS"/>
    <s v="NDF"/>
    <n v="-15.65"/>
    <d v="2025-09-29T00:00:00"/>
    <s v="NDF 25000256"/>
    <m/>
    <e v="#N/A"/>
    <e v="#N/A"/>
    <n v="89062"/>
    <s v="25000256"/>
    <s v="Benjamin Barry"/>
    <s v="Q3"/>
    <e v="#REF!"/>
    <e v="#REF!"/>
    <e v="#REF!"/>
  </r>
  <r>
    <s v="425200"/>
    <x v="6"/>
    <s v="PERSONNEL - NOTE DE FRAIS"/>
    <s v="NDF"/>
    <n v="-15.65"/>
    <d v="2025-10-13T00:00:00"/>
    <s v="NDF 25000267"/>
    <m/>
    <e v="#N/A"/>
    <e v="#N/A"/>
    <n v="88920"/>
    <s v="25000267"/>
    <s v="Julie Lacondemine"/>
    <s v="Q4"/>
    <e v="#REF!"/>
    <e v="#REF!"/>
    <e v="#REF!"/>
  </r>
  <r>
    <s v="425200"/>
    <x v="6"/>
    <s v="PERSONNEL - NOTE DE FRAIS"/>
    <s v="NDF"/>
    <n v="-15.55"/>
    <d v="2025-07-07T00:00:00"/>
    <s v="NDF 25000111"/>
    <m/>
    <e v="#N/A"/>
    <e v="#N/A"/>
    <n v="89223"/>
    <s v="25000111"/>
    <s v="Pauline Rullière"/>
    <s v="Q3"/>
    <e v="#REF!"/>
    <e v="#REF!"/>
    <e v="#REF!"/>
  </r>
  <r>
    <s v="425200"/>
    <x v="6"/>
    <s v="PERSONNEL - NOTE DE FRAIS"/>
    <s v="NDF"/>
    <n v="-15.5"/>
    <d v="2025-07-08T00:00:00"/>
    <s v="NDF 25000111"/>
    <m/>
    <e v="#N/A"/>
    <e v="#N/A"/>
    <n v="89228"/>
    <s v="25000111"/>
    <s v="Pauline Rullière"/>
    <s v="Q3"/>
    <e v="#REF!"/>
    <e v="#REF!"/>
    <e v="#REF!"/>
  </r>
  <r>
    <s v="425200"/>
    <x v="6"/>
    <s v="PERSONNEL - NOTE DE FRAIS"/>
    <s v="NDF"/>
    <n v="-15.4"/>
    <d v="2025-07-03T00:00:00"/>
    <s v="NDF 25000180"/>
    <m/>
    <e v="#N/A"/>
    <e v="#N/A"/>
    <n v="88644"/>
    <s v="25000180"/>
    <s v="Bob Fernandez"/>
    <s v="Q3"/>
    <e v="#REF!"/>
    <e v="#REF!"/>
    <e v="#REF!"/>
  </r>
  <r>
    <s v="425200"/>
    <x v="6"/>
    <s v="PERSONNEL - NOTE DE FRAIS"/>
    <s v="NDF"/>
    <n v="-15.27"/>
    <d v="2025-07-21T00:00:00"/>
    <s v="NDF 25000196"/>
    <m/>
    <e v="#N/A"/>
    <e v="#N/A"/>
    <n v="88749"/>
    <s v="25000196"/>
    <s v="Benjamin Barry"/>
    <s v="Q3"/>
    <e v="#REF!"/>
    <e v="#REF!"/>
    <e v="#REF!"/>
  </r>
  <r>
    <s v="425200"/>
    <x v="6"/>
    <s v="PERSONNEL - NOTE DE FRAIS"/>
    <s v="NDF"/>
    <n v="-15.27"/>
    <d v="2025-12-15T00:00:00"/>
    <s v="NDF 25000325"/>
    <m/>
    <e v="#N/A"/>
    <e v="#N/A"/>
    <n v="95769"/>
    <s v="25000325"/>
    <s v="Marie Rézeau"/>
    <s v="Q4"/>
    <e v="#REF!"/>
    <e v="#REF!"/>
    <e v="#REF!"/>
  </r>
  <r>
    <s v="425200"/>
    <x v="6"/>
    <s v="PERSONNEL - NOTE DE FRAIS"/>
    <s v="NDF"/>
    <n v="-15.22"/>
    <d v="2025-09-22T00:00:00"/>
    <s v="NDF 25000222"/>
    <m/>
    <e v="#N/A"/>
    <e v="#N/A"/>
    <n v="88621"/>
    <s v="25000222"/>
    <s v="Pauline Rullière"/>
    <s v="Q3"/>
    <e v="#REF!"/>
    <e v="#REF!"/>
    <e v="#REF!"/>
  </r>
  <r>
    <s v="425200"/>
    <x v="6"/>
    <s v="PERSONNEL - NOTE DE FRAIS"/>
    <s v="NDF"/>
    <n v="-15.2"/>
    <d v="2025-10-03T00:00:00"/>
    <s v="NDF 25000246"/>
    <m/>
    <e v="#N/A"/>
    <e v="#N/A"/>
    <n v="88432"/>
    <s v="25000246"/>
    <s v="Maud Sanchez"/>
    <s v="Q4"/>
    <e v="#REF!"/>
    <e v="#REF!"/>
    <e v="#REF!"/>
  </r>
  <r>
    <s v="425200"/>
    <x v="6"/>
    <s v="PERSONNEL - NOTE DE FRAIS"/>
    <s v="NDF"/>
    <n v="-15.04"/>
    <d v="2025-07-24T00:00:00"/>
    <s v="NDF 25000194"/>
    <m/>
    <e v="#N/A"/>
    <e v="#N/A"/>
    <n v="88870"/>
    <s v="25000194"/>
    <s v="Marie Rézeau"/>
    <s v="Q3"/>
    <e v="#REF!"/>
    <e v="#REF!"/>
    <e v="#REF!"/>
  </r>
  <r>
    <s v="425200"/>
    <x v="6"/>
    <s v="PERSONNEL - NOTE DE FRAIS"/>
    <s v="NDF"/>
    <n v="-15"/>
    <d v="2025-07-02T00:00:00"/>
    <s v="NDF 25000190"/>
    <m/>
    <e v="#N/A"/>
    <e v="#N/A"/>
    <n v="88797"/>
    <s v="25000190"/>
    <s v="Marie-Sarah Adenis"/>
    <s v="Q3"/>
    <e v="#REF!"/>
    <e v="#REF!"/>
    <e v="#REF!"/>
  </r>
  <r>
    <s v="425200"/>
    <x v="6"/>
    <s v="PERSONNEL - NOTE DE FRAIS"/>
    <s v="NDF"/>
    <n v="-15"/>
    <d v="2025-09-29T00:00:00"/>
    <s v="NDF 25000255"/>
    <m/>
    <e v="#N/A"/>
    <e v="#N/A"/>
    <n v="88953"/>
    <s v="25000255"/>
    <s v="Emilie Amillastré"/>
    <s v="Q3"/>
    <e v="#REF!"/>
    <e v="#REF!"/>
    <e v="#REF!"/>
  </r>
  <r>
    <s v="425200"/>
    <x v="6"/>
    <s v="PERSONNEL - NOTE DE FRAIS"/>
    <s v="NDF"/>
    <n v="-15"/>
    <d v="2025-11-24T00:00:00"/>
    <s v="NDF 25000301"/>
    <m/>
    <e v="#N/A"/>
    <e v="#N/A"/>
    <n v="90881"/>
    <s v="25000301"/>
    <s v="Maud Sanchez"/>
    <s v="Q4"/>
    <e v="#REF!"/>
    <e v="#REF!"/>
    <e v="#REF!"/>
  </r>
  <r>
    <s v="425200"/>
    <x v="6"/>
    <s v="PERSONNEL - NOTE DE FRAIS"/>
    <s v="NDF"/>
    <n v="-15"/>
    <d v="2025-12-02T00:00:00"/>
    <s v="NDF 25000314"/>
    <m/>
    <e v="#N/A"/>
    <e v="#N/A"/>
    <n v="93398"/>
    <s v="25000314"/>
    <s v="Pierre-Yves Bolle"/>
    <s v="Q4"/>
    <e v="#REF!"/>
    <e v="#REF!"/>
    <e v="#REF!"/>
  </r>
  <r>
    <s v="425200"/>
    <x v="6"/>
    <s v="PERSONNEL - NOTE DE FRAIS"/>
    <s v="NDF"/>
    <n v="-14.95"/>
    <d v="2025-01-01T00:00:00"/>
    <s v="NOTE DE FRAIS"/>
    <m/>
    <e v="#N/A"/>
    <e v="#N/A"/>
    <n v="74149"/>
    <s v="24000391"/>
    <s v="Vincent Blanchard"/>
    <s v="Q1"/>
    <e v="#REF!"/>
    <e v="#REF!"/>
    <e v="#REF!"/>
  </r>
  <r>
    <s v="425200"/>
    <x v="6"/>
    <s v="PERSONNEL - NOTE DE FRAIS"/>
    <s v="NDF"/>
    <n v="-14.9"/>
    <d v="2025-02-25T00:00:00"/>
    <s v="NOTE DE FRAIS"/>
    <m/>
    <e v="#N/A"/>
    <e v="#N/A"/>
    <n v="73704"/>
    <s v="250000050"/>
    <s v="Jérémie Blache"/>
    <s v="Q1"/>
    <e v="#REF!"/>
    <e v="#REF!"/>
    <e v="#REF!"/>
  </r>
  <r>
    <s v="425200"/>
    <x v="6"/>
    <s v="PERSONNEL - NOTE DE FRAIS"/>
    <s v="NDF"/>
    <n v="-14.9"/>
    <d v="2025-09-15T00:00:00"/>
    <s v="NDF 25000230"/>
    <m/>
    <e v="#N/A"/>
    <e v="#N/A"/>
    <n v="88527"/>
    <s v="25000230"/>
    <s v="Jérémie Blache"/>
    <s v="Q3"/>
    <e v="#REF!"/>
    <e v="#REF!"/>
    <e v="#REF!"/>
  </r>
  <r>
    <s v="425200"/>
    <x v="6"/>
    <s v="PERSONNEL - NOTE DE FRAIS"/>
    <s v="NDF"/>
    <n v="-14.9"/>
    <d v="2025-09-16T00:00:00"/>
    <s v="NDF 25000242"/>
    <m/>
    <e v="#N/A"/>
    <e v="#N/A"/>
    <n v="88539"/>
    <s v="25000242"/>
    <s v="Anthony Martinez"/>
    <s v="Q3"/>
    <e v="#REF!"/>
    <e v="#REF!"/>
    <e v="#REF!"/>
  </r>
  <r>
    <s v="425200"/>
    <x v="6"/>
    <s v="PERSONNEL - NOTE DE FRAIS"/>
    <s v="NDF"/>
    <n v="-14.9"/>
    <d v="2025-11-24T00:00:00"/>
    <s v="NDF 25000303"/>
    <m/>
    <e v="#N/A"/>
    <e v="#N/A"/>
    <n v="93354"/>
    <s v="25000303"/>
    <s v="Jérémie Blache"/>
    <s v="Q4"/>
    <e v="#REF!"/>
    <e v="#REF!"/>
    <e v="#REF!"/>
  </r>
  <r>
    <s v="425200"/>
    <x v="6"/>
    <s v="PERSONNEL - NOTE DE FRAIS"/>
    <s v="NDF"/>
    <n v="-14.9"/>
    <d v="2025-12-01T00:00:00"/>
    <s v="NDF 25000306"/>
    <m/>
    <e v="#N/A"/>
    <e v="#N/A"/>
    <n v="93328"/>
    <s v="25000306"/>
    <s v="Jérémie Blache"/>
    <s v="Q4"/>
    <e v="#REF!"/>
    <e v="#REF!"/>
    <e v="#REF!"/>
  </r>
  <r>
    <s v="425200"/>
    <x v="6"/>
    <s v="PERSONNEL - NOTE DE FRAIS"/>
    <s v="NDF"/>
    <n v="-14.9"/>
    <d v="2025-12-15T00:00:00"/>
    <s v="NDF 25000327"/>
    <m/>
    <e v="#N/A"/>
    <e v="#N/A"/>
    <n v="93252"/>
    <s v="25000327"/>
    <s v="Jérémie Blache"/>
    <s v="Q4"/>
    <e v="#REF!"/>
    <e v="#REF!"/>
    <e v="#REF!"/>
  </r>
  <r>
    <s v="425200"/>
    <x v="6"/>
    <s v="PERSONNEL - NOTE DE FRAIS"/>
    <s v="NDF"/>
    <n v="-14.8"/>
    <d v="2025-12-11T00:00:00"/>
    <s v="NDF 25000328"/>
    <m/>
    <e v="#N/A"/>
    <e v="#N/A"/>
    <n v="93286"/>
    <s v="25000328"/>
    <s v="Anthony Martinez"/>
    <s v="Q4"/>
    <e v="#REF!"/>
    <e v="#REF!"/>
    <e v="#REF!"/>
  </r>
  <r>
    <s v="425200"/>
    <x v="6"/>
    <s v="PERSONNEL - NOTE DE FRAIS"/>
    <s v="NDF"/>
    <n v="-14.8"/>
    <d v="2025-12-12T00:00:00"/>
    <s v="NDF 25000334"/>
    <m/>
    <e v="#N/A"/>
    <e v="#N/A"/>
    <n v="95803"/>
    <s v="25000334"/>
    <s v="Maud Sanchez"/>
    <s v="Q4"/>
    <e v="#REF!"/>
    <e v="#REF!"/>
    <e v="#REF!"/>
  </r>
  <r>
    <s v="425200"/>
    <x v="6"/>
    <s v="PERSONNEL - NOTE DE FRAIS"/>
    <s v="NDF"/>
    <n v="-14.7"/>
    <d v="2025-09-10T00:00:00"/>
    <s v="NDF 25000224"/>
    <m/>
    <e v="#N/A"/>
    <e v="#N/A"/>
    <n v="88120"/>
    <s v="25000224"/>
    <s v="Jérémie Blache"/>
    <s v="Q3"/>
    <e v="#REF!"/>
    <e v="#REF!"/>
    <e v="#REF!"/>
  </r>
  <r>
    <s v="425200"/>
    <x v="6"/>
    <s v="PERSONNEL - NOTE DE FRAIS"/>
    <s v="NDF"/>
    <n v="-14.65"/>
    <d v="2025-01-22T00:00:00"/>
    <s v="NDF"/>
    <m/>
    <e v="#N/A"/>
    <e v="#N/A"/>
    <n v="76453"/>
    <s v="25000016"/>
    <s v="Jérémie Blache"/>
    <s v="Q1"/>
    <e v="#REF!"/>
    <e v="#REF!"/>
    <e v="#REF!"/>
  </r>
  <r>
    <s v="425200"/>
    <x v="6"/>
    <s v="PERSONNEL - NOTE DE FRAIS"/>
    <s v="NDF"/>
    <n v="-14.55"/>
    <d v="2025-11-20T00:00:00"/>
    <s v="NDF 25000314"/>
    <m/>
    <e v="#N/A"/>
    <e v="#N/A"/>
    <n v="93421"/>
    <s v="25000314"/>
    <s v="Pierre-Yves Bolle"/>
    <s v="Q4"/>
    <e v="#REF!"/>
    <e v="#REF!"/>
    <e v="#REF!"/>
  </r>
  <r>
    <s v="425200"/>
    <x v="6"/>
    <s v="PERSONNEL - NOTE DE FRAIS"/>
    <s v="NDF"/>
    <n v="-14.49"/>
    <d v="2025-10-06T00:00:00"/>
    <s v="NDF 25000256"/>
    <m/>
    <e v="#N/A"/>
    <e v="#N/A"/>
    <n v="89054"/>
    <s v="25000256"/>
    <s v="Benjamin Barry"/>
    <s v="Q4"/>
    <e v="#REF!"/>
    <e v="#REF!"/>
    <e v="#REF!"/>
  </r>
  <r>
    <s v="425200"/>
    <x v="6"/>
    <s v="PERSONNEL - NOTE DE FRAIS"/>
    <s v="NDF"/>
    <n v="-14.45"/>
    <d v="2025-09-29T00:00:00"/>
    <s v="NDF 25000256"/>
    <m/>
    <e v="#N/A"/>
    <e v="#N/A"/>
    <n v="89036"/>
    <s v="25000256"/>
    <s v="Benjamin Barry"/>
    <s v="Q3"/>
    <e v="#REF!"/>
    <e v="#REF!"/>
    <e v="#REF!"/>
  </r>
  <r>
    <s v="425200"/>
    <x v="6"/>
    <s v="PERSONNEL - NOTE DE FRAIS"/>
    <s v="NDF"/>
    <n v="-14.42"/>
    <d v="2025-07-25T00:00:00"/>
    <s v="NDF 25000194"/>
    <m/>
    <e v="#N/A"/>
    <e v="#N/A"/>
    <n v="88846"/>
    <s v="25000194"/>
    <s v="Marie Rézeau"/>
    <s v="Q3"/>
    <e v="#REF!"/>
    <e v="#REF!"/>
    <e v="#REF!"/>
  </r>
  <r>
    <s v="425200"/>
    <x v="6"/>
    <s v="PERSONNEL - NOTE DE FRAIS"/>
    <s v="NDF"/>
    <n v="-14.4"/>
    <d v="2025-06-18T00:00:00"/>
    <s v="NDF 25000111"/>
    <m/>
    <e v="#N/A"/>
    <e v="#N/A"/>
    <n v="89197"/>
    <s v="25000111"/>
    <s v="Pauline Rullière"/>
    <s v="Q2"/>
    <e v="#REF!"/>
    <e v="#REF!"/>
    <e v="#REF!"/>
  </r>
  <r>
    <s v="425200"/>
    <x v="6"/>
    <s v="PERSONNEL - NOTE DE FRAIS"/>
    <s v="NDF"/>
    <n v="-14.31"/>
    <d v="2025-11-24T00:00:00"/>
    <s v="NDF 25000279"/>
    <m/>
    <e v="#N/A"/>
    <e v="#N/A"/>
    <n v="90910"/>
    <s v="25000279"/>
    <s v="Bob Fernandez"/>
    <s v="Q4"/>
    <e v="#REF!"/>
    <e v="#REF!"/>
    <e v="#REF!"/>
  </r>
  <r>
    <s v="425200"/>
    <x v="6"/>
    <s v="PERSONNEL - NOTE DE FRAIS"/>
    <s v="NDF"/>
    <n v="-14.08"/>
    <d v="2025-01-25T00:00:00"/>
    <s v="NOTE DE FRAIS"/>
    <m/>
    <e v="#N/A"/>
    <e v="#N/A"/>
    <n v="73635"/>
    <s v="25000018"/>
    <s v="Anthony Martinez"/>
    <s v="Q1"/>
    <e v="#REF!"/>
    <e v="#REF!"/>
    <e v="#REF!"/>
  </r>
  <r>
    <s v="425200"/>
    <x v="6"/>
    <s v="PERSONNEL - NOTE DE FRAIS"/>
    <s v="NDF"/>
    <n v="-13.98"/>
    <d v="2025-06-23T00:00:00"/>
    <s v="NDF 25000200"/>
    <m/>
    <e v="#N/A"/>
    <e v="#N/A"/>
    <n v="88780"/>
    <s v="25000200"/>
    <s v="Anne-Sophie Goutierre"/>
    <s v="Q2"/>
    <e v="#REF!"/>
    <e v="#REF!"/>
    <e v="#REF!"/>
  </r>
  <r>
    <s v="425200"/>
    <x v="6"/>
    <s v="PERSONNEL - NOTE DE FRAIS"/>
    <s v="NDF"/>
    <n v="-13.93"/>
    <d v="2025-12-03T00:00:00"/>
    <s v="NDF 25000304"/>
    <m/>
    <e v="#N/A"/>
    <e v="#N/A"/>
    <n v="93343"/>
    <s v="25000304"/>
    <s v="Julie Lacondemine"/>
    <s v="Q4"/>
    <e v="#REF!"/>
    <e v="#REF!"/>
    <e v="#REF!"/>
  </r>
  <r>
    <s v="425200"/>
    <x v="6"/>
    <s v="PERSONNEL - NOTE DE FRAIS"/>
    <s v="NDF"/>
    <n v="-13.9"/>
    <d v="2025-06-27T00:00:00"/>
    <s v="NDF 25000178"/>
    <m/>
    <e v="#N/A"/>
    <e v="#N/A"/>
    <n v="88662"/>
    <s v="25000178"/>
    <s v="Bob Fernandez"/>
    <s v="Q2"/>
    <e v="#REF!"/>
    <e v="#REF!"/>
    <e v="#REF!"/>
  </r>
  <r>
    <s v="425200"/>
    <x v="6"/>
    <s v="PERSONNEL - NOTE DE FRAIS"/>
    <s v="NDF"/>
    <n v="-13.9"/>
    <d v="2025-12-12T00:00:00"/>
    <s v="NDF 25000326"/>
    <m/>
    <e v="#N/A"/>
    <e v="#N/A"/>
    <n v="93263"/>
    <s v="25000326"/>
    <s v="Pierre Thomas"/>
    <s v="Q4"/>
    <e v="#REF!"/>
    <e v="#REF!"/>
    <e v="#REF!"/>
  </r>
  <r>
    <s v="425200"/>
    <x v="6"/>
    <s v="PERSONNEL - NOTE DE FRAIS"/>
    <s v="NDF"/>
    <n v="-13.75"/>
    <d v="2025-07-02T00:00:00"/>
    <s v="NDF 25000180"/>
    <m/>
    <e v="#N/A"/>
    <e v="#N/A"/>
    <n v="88638"/>
    <s v="25000180"/>
    <s v="Bob Fernandez"/>
    <s v="Q3"/>
    <e v="#REF!"/>
    <e v="#REF!"/>
    <e v="#REF!"/>
  </r>
  <r>
    <s v="425200"/>
    <x v="6"/>
    <s v="PERSONNEL - NOTE DE FRAIS"/>
    <s v="NDF"/>
    <n v="-13.75"/>
    <d v="2025-09-15T00:00:00"/>
    <s v="NDF 25000229"/>
    <m/>
    <e v="#N/A"/>
    <e v="#N/A"/>
    <n v="88529"/>
    <s v="25000229"/>
    <s v="Jérémie Blache"/>
    <s v="Q3"/>
    <e v="#REF!"/>
    <e v="#REF!"/>
    <e v="#REF!"/>
  </r>
  <r>
    <s v="425200"/>
    <x v="6"/>
    <s v="PERSONNEL - NOTE DE FRAIS"/>
    <s v="NDF"/>
    <n v="-13.68"/>
    <d v="2025-11-25T00:00:00"/>
    <s v="NDF 25000303"/>
    <m/>
    <e v="#N/A"/>
    <e v="#N/A"/>
    <n v="93360"/>
    <s v="25000303"/>
    <s v="Jérémie Blache"/>
    <s v="Q4"/>
    <e v="#REF!"/>
    <e v="#REF!"/>
    <e v="#REF!"/>
  </r>
  <r>
    <s v="425200"/>
    <x v="6"/>
    <s v="PERSONNEL - NOTE DE FRAIS"/>
    <s v="NDF"/>
    <n v="-13.6"/>
    <d v="2025-10-01T00:00:00"/>
    <s v="NDF 25000269"/>
    <m/>
    <e v="#N/A"/>
    <e v="#N/A"/>
    <n v="88404"/>
    <s v="25000269"/>
    <s v="Nuria RAMOS"/>
    <s v="Q4"/>
    <e v="#REF!"/>
    <e v="#REF!"/>
    <e v="#REF!"/>
  </r>
  <r>
    <s v="425200"/>
    <x v="6"/>
    <s v="PERSONNEL - NOTE DE FRAIS"/>
    <s v="NDF"/>
    <n v="-13.55"/>
    <d v="2025-11-20T00:00:00"/>
    <s v="NDF 25000305"/>
    <m/>
    <e v="#N/A"/>
    <e v="#N/A"/>
    <n v="93439"/>
    <s v="25000305"/>
    <s v="Marie-Sarah Adenis"/>
    <s v="Q4"/>
    <e v="#REF!"/>
    <e v="#REF!"/>
    <e v="#REF!"/>
  </r>
  <r>
    <s v="425200"/>
    <x v="6"/>
    <s v="PERSONNEL - NOTE DE FRAIS"/>
    <s v="NDF"/>
    <n v="-13.5"/>
    <d v="2025-10-06T00:00:00"/>
    <s v="NDF 25000271"/>
    <m/>
    <e v="#N/A"/>
    <e v="#N/A"/>
    <n v="88393"/>
    <s v="25000271"/>
    <s v="Jérémie Blache"/>
    <s v="Q4"/>
    <e v="#REF!"/>
    <e v="#REF!"/>
    <e v="#REF!"/>
  </r>
  <r>
    <s v="425200"/>
    <x v="6"/>
    <s v="PERSONNEL - NOTE DE FRAIS"/>
    <s v="NDF"/>
    <n v="-13.49"/>
    <d v="2025-08-25T00:00:00"/>
    <s v="NDF 25000210"/>
    <m/>
    <e v="#N/A"/>
    <e v="#N/A"/>
    <n v="88131"/>
    <s v="25000210"/>
    <s v="Bob Fernandez"/>
    <s v="Q3"/>
    <e v="#REF!"/>
    <e v="#REF!"/>
    <e v="#REF!"/>
  </r>
  <r>
    <s v="425200"/>
    <x v="6"/>
    <s v="PERSONNEL - NOTE DE FRAIS"/>
    <s v="NDF"/>
    <n v="-13.3"/>
    <d v="2025-11-20T00:00:00"/>
    <s v="NDF 25000315"/>
    <m/>
    <e v="#N/A"/>
    <e v="#N/A"/>
    <n v="93368"/>
    <s v="25000315"/>
    <s v="Kevin Cottet"/>
    <s v="Q4"/>
    <e v="#REF!"/>
    <e v="#REF!"/>
    <e v="#REF!"/>
  </r>
  <r>
    <s v="425200"/>
    <x v="6"/>
    <s v="PERSONNEL - NOTE DE FRAIS"/>
    <s v="NDF"/>
    <n v="-13.3"/>
    <d v="2025-12-10T00:00:00"/>
    <s v="NDF 25000332"/>
    <m/>
    <e v="#N/A"/>
    <e v="#N/A"/>
    <n v="93303"/>
    <s v="25000332"/>
    <s v="Yves Combret"/>
    <s v="Q4"/>
    <e v="#REF!"/>
    <e v="#REF!"/>
    <e v="#REF!"/>
  </r>
  <r>
    <s v="425200"/>
    <x v="6"/>
    <s v="PERSONNEL - NOTE DE FRAIS"/>
    <s v="NDF"/>
    <n v="-13.15"/>
    <d v="2025-12-09T00:00:00"/>
    <s v="NDF 25000325"/>
    <m/>
    <e v="#N/A"/>
    <e v="#N/A"/>
    <n v="95783"/>
    <s v="25000325"/>
    <s v="Marie Rézeau"/>
    <s v="Q4"/>
    <e v="#REF!"/>
    <e v="#REF!"/>
    <e v="#REF!"/>
  </r>
  <r>
    <s v="425200"/>
    <x v="6"/>
    <s v="PERSONNEL - NOTE DE FRAIS"/>
    <s v="NDF"/>
    <n v="-13.1"/>
    <d v="2025-11-24T00:00:00"/>
    <s v="NDF 25000288"/>
    <m/>
    <e v="#N/A"/>
    <e v="#N/A"/>
    <n v="90924"/>
    <s v="25000288"/>
    <s v="Guillaume Boissonnat-Wu"/>
    <s v="Q4"/>
    <e v="#REF!"/>
    <e v="#REF!"/>
    <e v="#REF!"/>
  </r>
  <r>
    <s v="425200"/>
    <x v="6"/>
    <s v="PERSONNEL - NOTE DE FRAIS"/>
    <s v="NDF"/>
    <n v="-13.03"/>
    <d v="2025-07-24T00:00:00"/>
    <s v="NDF 25000196"/>
    <m/>
    <e v="#N/A"/>
    <e v="#N/A"/>
    <n v="88739"/>
    <s v="25000196"/>
    <s v="Benjamin Barry"/>
    <s v="Q3"/>
    <e v="#REF!"/>
    <e v="#REF!"/>
    <e v="#REF!"/>
  </r>
  <r>
    <s v="425200"/>
    <x v="6"/>
    <s v="PERSONNEL - NOTE DE FRAIS"/>
    <s v="NDF"/>
    <n v="-13"/>
    <d v="2025-07-01T00:00:00"/>
    <s v="NDF 25000181"/>
    <m/>
    <e v="#N/A"/>
    <e v="#N/A"/>
    <n v="88650"/>
    <s v="25000181"/>
    <s v="Jérémie Blache"/>
    <s v="Q3"/>
    <e v="#REF!"/>
    <e v="#REF!"/>
    <e v="#REF!"/>
  </r>
  <r>
    <s v="425200"/>
    <x v="6"/>
    <s v="PERSONNEL - NOTE DE FRAIS"/>
    <s v="NDF"/>
    <n v="-12.95"/>
    <d v="2025-09-17T00:00:00"/>
    <s v="NDF 25000247"/>
    <m/>
    <e v="#N/A"/>
    <e v="#N/A"/>
    <n v="88494"/>
    <s v="25000247"/>
    <s v="Vincent Blanchard"/>
    <s v="Q3"/>
    <e v="#REF!"/>
    <e v="#REF!"/>
    <e v="#REF!"/>
  </r>
  <r>
    <s v="425200"/>
    <x v="6"/>
    <s v="PERSONNEL - NOTE DE FRAIS"/>
    <s v="NDF"/>
    <n v="-12.9"/>
    <d v="2025-10-03T00:00:00"/>
    <s v="NDF 25000256"/>
    <m/>
    <e v="#N/A"/>
    <e v="#N/A"/>
    <n v="89044"/>
    <s v="25000256"/>
    <s v="Benjamin Barry"/>
    <s v="Q4"/>
    <e v="#REF!"/>
    <e v="#REF!"/>
    <e v="#REF!"/>
  </r>
  <r>
    <s v="425200"/>
    <x v="6"/>
    <s v="PERSONNEL - NOTE DE FRAIS"/>
    <s v="NDF"/>
    <n v="-12.9"/>
    <d v="2025-10-03T00:00:00"/>
    <s v="NDF 25000318"/>
    <m/>
    <e v="#N/A"/>
    <e v="#N/A"/>
    <n v="93454"/>
    <s v="25000318"/>
    <s v="Lucie Crépin"/>
    <s v="Q4"/>
    <e v="#REF!"/>
    <e v="#REF!"/>
    <e v="#REF!"/>
  </r>
  <r>
    <s v="425200"/>
    <x v="6"/>
    <s v="PERSONNEL - NOTE DE FRAIS"/>
    <s v="NDF"/>
    <n v="-12.9"/>
    <d v="2025-10-16T00:00:00"/>
    <s v="NDF 25000278"/>
    <m/>
    <e v="#N/A"/>
    <e v="#N/A"/>
    <n v="88904"/>
    <s v="25000278"/>
    <s v="Clément Perrocheau"/>
    <s v="Q4"/>
    <e v="#REF!"/>
    <e v="#REF!"/>
    <e v="#REF!"/>
  </r>
  <r>
    <s v="425200"/>
    <x v="6"/>
    <s v="PERSONNEL - NOTE DE FRAIS"/>
    <s v="NDF"/>
    <n v="-12.85"/>
    <d v="2025-04-25T00:00:00"/>
    <s v="NOTE DE FRAIS"/>
    <m/>
    <e v="#N/A"/>
    <e v="#N/A"/>
    <n v="74365"/>
    <s v="25000128"/>
    <s v="Jérémie Blache"/>
    <s v="Q2"/>
    <e v="#REF!"/>
    <e v="#REF!"/>
    <e v="#REF!"/>
  </r>
  <r>
    <s v="425200"/>
    <x v="6"/>
    <s v="PERSONNEL - NOTE DE FRAIS"/>
    <s v="NDF"/>
    <n v="-12.85"/>
    <d v="2025-10-13T00:00:00"/>
    <s v="NDF 25000273"/>
    <m/>
    <e v="#N/A"/>
    <e v="#N/A"/>
    <n v="88910"/>
    <s v="25000273"/>
    <s v="Jérémie Blache"/>
    <s v="Q4"/>
    <e v="#REF!"/>
    <e v="#REF!"/>
    <e v="#REF!"/>
  </r>
  <r>
    <s v="425200"/>
    <x v="6"/>
    <s v="PERSONNEL - NOTE DE FRAIS"/>
    <s v="NDF"/>
    <n v="-12.8"/>
    <d v="2025-12-08T00:00:00"/>
    <s v="NDF 25000316"/>
    <m/>
    <e v="#N/A"/>
    <e v="#N/A"/>
    <n v="93294"/>
    <s v="25000316"/>
    <s v="Jérémie Blache"/>
    <s v="Q4"/>
    <e v="#REF!"/>
    <e v="#REF!"/>
    <e v="#REF!"/>
  </r>
  <r>
    <s v="425200"/>
    <x v="6"/>
    <s v="PERSONNEL - NOTE DE FRAIS"/>
    <s v="NDF"/>
    <n v="-12.62"/>
    <d v="2025-04-24T00:00:00"/>
    <s v="NOTE DE FRAIS"/>
    <m/>
    <e v="#N/A"/>
    <e v="#N/A"/>
    <n v="74362"/>
    <s v="25000125"/>
    <s v="Filipe Gomes"/>
    <s v="Q2"/>
    <e v="#REF!"/>
    <e v="#REF!"/>
    <e v="#REF!"/>
  </r>
  <r>
    <s v="425200"/>
    <x v="6"/>
    <s v="PERSONNEL - NOTE DE FRAIS"/>
    <s v="NDF"/>
    <n v="-12.6"/>
    <d v="2025-03-26T00:00:00"/>
    <s v="NDF"/>
    <m/>
    <e v="#N/A"/>
    <e v="#N/A"/>
    <n v="75450"/>
    <s v="25000090"/>
    <s v="Marine Bonnaud"/>
    <s v="Q1"/>
    <e v="#REF!"/>
    <e v="#REF!"/>
    <e v="#REF!"/>
  </r>
  <r>
    <s v="425200"/>
    <x v="6"/>
    <s v="PERSONNEL - NOTE DE FRAIS"/>
    <s v="NDF"/>
    <n v="-12.6"/>
    <d v="2025-08-24T00:00:00"/>
    <s v="NDF 25000210"/>
    <m/>
    <e v="#N/A"/>
    <e v="#N/A"/>
    <n v="88153"/>
    <s v="25000210"/>
    <s v="Bob Fernandez"/>
    <s v="Q3"/>
    <e v="#REF!"/>
    <e v="#REF!"/>
    <e v="#REF!"/>
  </r>
  <r>
    <s v="425200"/>
    <x v="6"/>
    <s v="PERSONNEL - NOTE DE FRAIS"/>
    <s v="NDF"/>
    <n v="-12.5"/>
    <d v="2025-07-08T00:00:00"/>
    <s v="NDF 25000200"/>
    <m/>
    <e v="#N/A"/>
    <e v="#N/A"/>
    <n v="88768"/>
    <s v="25000200"/>
    <s v="Anne-Sophie Goutierre"/>
    <s v="Q3"/>
    <e v="#REF!"/>
    <e v="#REF!"/>
    <e v="#REF!"/>
  </r>
  <r>
    <s v="425200"/>
    <x v="6"/>
    <s v="PERSONNEL - NOTE DE FRAIS"/>
    <s v="NDF"/>
    <n v="-12.5"/>
    <d v="2025-09-16T00:00:00"/>
    <s v="NDF 25000242"/>
    <m/>
    <e v="#N/A"/>
    <e v="#N/A"/>
    <n v="88532"/>
    <s v="25000242"/>
    <s v="Anthony Martinez"/>
    <s v="Q3"/>
    <e v="#REF!"/>
    <e v="#REF!"/>
    <e v="#REF!"/>
  </r>
  <r>
    <s v="425200"/>
    <x v="6"/>
    <s v="PERSONNEL - NOTE DE FRAIS"/>
    <s v="NDF"/>
    <n v="-12.4"/>
    <d v="2025-06-20T00:00:00"/>
    <s v="NDF 25000190"/>
    <m/>
    <e v="#N/A"/>
    <e v="#N/A"/>
    <n v="88792"/>
    <s v="25000190"/>
    <s v="Marie-Sarah Adenis"/>
    <s v="Q2"/>
    <e v="#REF!"/>
    <e v="#REF!"/>
    <e v="#REF!"/>
  </r>
  <r>
    <s v="425200"/>
    <x v="6"/>
    <s v="PERSONNEL - NOTE DE FRAIS"/>
    <s v="NDF"/>
    <n v="-12.35"/>
    <d v="2025-12-10T00:00:00"/>
    <s v="NDF 25000320"/>
    <m/>
    <e v="#N/A"/>
    <e v="#N/A"/>
    <n v="93273"/>
    <s v="25000320"/>
    <s v="Jérémie Blache"/>
    <s v="Q4"/>
    <e v="#REF!"/>
    <e v="#REF!"/>
    <e v="#REF!"/>
  </r>
  <r>
    <s v="425200"/>
    <x v="6"/>
    <s v="PERSONNEL - NOTE DE FRAIS"/>
    <s v="NDF"/>
    <n v="-12.2"/>
    <d v="2025-06-24T00:00:00"/>
    <s v="NDF 25000111"/>
    <m/>
    <e v="#N/A"/>
    <e v="#N/A"/>
    <n v="89201"/>
    <s v="25000111"/>
    <s v="Pauline Rullière"/>
    <s v="Q2"/>
    <e v="#REF!"/>
    <e v="#REF!"/>
    <e v="#REF!"/>
  </r>
  <r>
    <s v="425200"/>
    <x v="6"/>
    <s v="PERSONNEL - NOTE DE FRAIS"/>
    <s v="NDF"/>
    <n v="-12.15"/>
    <d v="2025-03-05T00:00:00"/>
    <s v="NOTE DE FRAIS"/>
    <m/>
    <e v="#N/A"/>
    <e v="#N/A"/>
    <n v="73715"/>
    <s v="25000066"/>
    <s v="Jérémie Blache"/>
    <s v="Q1"/>
    <e v="#REF!"/>
    <e v="#REF!"/>
    <e v="#REF!"/>
  </r>
  <r>
    <s v="425200"/>
    <x v="6"/>
    <s v="PERSONNEL - NOTE DE FRAIS"/>
    <s v="NDF"/>
    <n v="-12.15"/>
    <d v="2025-03-26T00:00:00"/>
    <s v="NOTE DE FRAIS"/>
    <m/>
    <e v="#N/A"/>
    <e v="#N/A"/>
    <n v="74208"/>
    <s v="25000091"/>
    <s v="Marjorie Denard"/>
    <s v="Q1"/>
    <e v="#REF!"/>
    <e v="#REF!"/>
    <e v="#REF!"/>
  </r>
  <r>
    <s v="425200"/>
    <x v="6"/>
    <s v="PERSONNEL - NOTE DE FRAIS"/>
    <s v="NDF"/>
    <n v="-12.1"/>
    <d v="2025-09-24T00:00:00"/>
    <s v="NDF 25000253"/>
    <m/>
    <e v="#N/A"/>
    <e v="#N/A"/>
    <n v="88458"/>
    <s v="25000253"/>
    <s v="Bob Fernandez"/>
    <s v="Q3"/>
    <e v="#REF!"/>
    <e v="#REF!"/>
    <e v="#REF!"/>
  </r>
  <r>
    <s v="425200"/>
    <x v="6"/>
    <s v="PERSONNEL - NOTE DE FRAIS"/>
    <s v="NDF"/>
    <n v="-12.1"/>
    <d v="2025-12-03T00:00:00"/>
    <s v="NDF 25000310"/>
    <m/>
    <e v="#N/A"/>
    <e v="#N/A"/>
    <n v="93318"/>
    <s v="25000310"/>
    <s v="Jérémie Blache"/>
    <s v="Q4"/>
    <e v="#REF!"/>
    <e v="#REF!"/>
    <e v="#REF!"/>
  </r>
  <r>
    <s v="425200"/>
    <x v="6"/>
    <s v="PERSONNEL - NOTE DE FRAIS"/>
    <s v="NDF"/>
    <n v="-12.1"/>
    <d v="2025-12-08T00:00:00"/>
    <s v="NDF 25000332"/>
    <m/>
    <e v="#N/A"/>
    <e v="#N/A"/>
    <n v="93301"/>
    <s v="25000332"/>
    <s v="Yves Combret"/>
    <s v="Q4"/>
    <e v="#REF!"/>
    <e v="#REF!"/>
    <e v="#REF!"/>
  </r>
  <r>
    <s v="425200"/>
    <x v="6"/>
    <s v="PERSONNEL - NOTE DE FRAIS"/>
    <s v="NDF"/>
    <n v="-12"/>
    <d v="2025-09-01T00:00:00"/>
    <s v="NDF 25000214"/>
    <m/>
    <e v="#N/A"/>
    <e v="#N/A"/>
    <n v="88588"/>
    <s v="25000214"/>
    <s v="Emilie Amillastré"/>
    <s v="Q3"/>
    <e v="#REF!"/>
    <e v="#REF!"/>
    <e v="#REF!"/>
  </r>
  <r>
    <s v="425200"/>
    <x v="6"/>
    <s v="PERSONNEL - NOTE DE FRAIS"/>
    <s v="NDF"/>
    <n v="-12"/>
    <d v="2025-11-18T00:00:00"/>
    <s v="NDF 25000314"/>
    <m/>
    <e v="#N/A"/>
    <e v="#N/A"/>
    <n v="93416"/>
    <s v="25000314"/>
    <s v="Pierre-Yves Bolle"/>
    <s v="Q4"/>
    <e v="#REF!"/>
    <e v="#REF!"/>
    <e v="#REF!"/>
  </r>
  <r>
    <s v="425200"/>
    <x v="6"/>
    <s v="PERSONNEL - NOTE DE FRAIS"/>
    <s v="NDF"/>
    <n v="-12"/>
    <d v="2025-11-24T00:00:00"/>
    <s v="NDF 25000265"/>
    <m/>
    <e v="#N/A"/>
    <e v="#N/A"/>
    <n v="90968"/>
    <s v="25000265"/>
    <s v="Marie Rézeau"/>
    <s v="Q4"/>
    <e v="#REF!"/>
    <e v="#REF!"/>
    <e v="#REF!"/>
  </r>
  <r>
    <s v="425200"/>
    <x v="6"/>
    <s v="PERSONNEL - NOTE DE FRAIS"/>
    <s v="NDF"/>
    <n v="-11.99"/>
    <d v="2025-01-18T00:00:00"/>
    <s v="NOTE DE FRAIS"/>
    <m/>
    <e v="#N/A"/>
    <e v="#N/A"/>
    <n v="73627"/>
    <s v="25000015"/>
    <s v="Nicolas Canu"/>
    <s v="Q1"/>
    <e v="#REF!"/>
    <e v="#REF!"/>
    <e v="#REF!"/>
  </r>
  <r>
    <s v="425200"/>
    <x v="6"/>
    <s v="PERSONNEL - NOTE DE FRAIS"/>
    <s v="NDF"/>
    <n v="-11.99"/>
    <d v="2025-10-16T00:00:00"/>
    <s v="NDF 25000280"/>
    <m/>
    <e v="#N/A"/>
    <e v="#N/A"/>
    <n v="88907"/>
    <s v="25000280"/>
    <s v="Vincent Blanchard"/>
    <s v="Q4"/>
    <e v="#REF!"/>
    <e v="#REF!"/>
    <e v="#REF!"/>
  </r>
  <r>
    <s v="425200"/>
    <x v="6"/>
    <s v="PERSONNEL - NOTE DE FRAIS"/>
    <s v="NDF"/>
    <n v="-11.99"/>
    <d v="2025-11-18T00:00:00"/>
    <s v="NDF 25000305"/>
    <m/>
    <e v="#N/A"/>
    <e v="#N/A"/>
    <n v="93431"/>
    <s v="25000305"/>
    <s v="Marie-Sarah Adenis"/>
    <s v="Q4"/>
    <e v="#REF!"/>
    <e v="#REF!"/>
    <e v="#REF!"/>
  </r>
  <r>
    <s v="425200"/>
    <x v="6"/>
    <s v="PERSONNEL - NOTE DE FRAIS"/>
    <s v="NDF"/>
    <n v="-11.97"/>
    <d v="2025-10-02T00:00:00"/>
    <s v="NDF 25000257"/>
    <m/>
    <e v="#N/A"/>
    <e v="#N/A"/>
    <n v="88971"/>
    <s v="25000257"/>
    <s v="Anne-Sophie Goutierre"/>
    <s v="Q4"/>
    <e v="#REF!"/>
    <e v="#REF!"/>
    <e v="#REF!"/>
  </r>
  <r>
    <s v="425200"/>
    <x v="6"/>
    <s v="PERSONNEL - NOTE DE FRAIS"/>
    <s v="NDF"/>
    <n v="-11.97"/>
    <d v="2025-11-24T00:00:00"/>
    <s v="NDF 25000297"/>
    <m/>
    <e v="#N/A"/>
    <e v="#N/A"/>
    <n v="90980"/>
    <s v="25000297"/>
    <s v="Marie-Sarah Adenis"/>
    <s v="Q4"/>
    <e v="#REF!"/>
    <e v="#REF!"/>
    <e v="#REF!"/>
  </r>
  <r>
    <s v="425200"/>
    <x v="6"/>
    <s v="PERSONNEL - NOTE DE FRAIS"/>
    <s v="NDF"/>
    <n v="-11.96"/>
    <d v="2025-11-24T00:00:00"/>
    <s v="NDF 25000297"/>
    <m/>
    <e v="#N/A"/>
    <e v="#N/A"/>
    <n v="90993"/>
    <s v="25000297"/>
    <s v="Marie-Sarah Adenis"/>
    <s v="Q4"/>
    <e v="#REF!"/>
    <e v="#REF!"/>
    <e v="#REF!"/>
  </r>
  <r>
    <s v="425200"/>
    <x v="6"/>
    <s v="PERSONNEL - NOTE DE FRAIS"/>
    <s v="NDF"/>
    <n v="-11.9"/>
    <d v="2025-06-25T00:00:00"/>
    <s v="NDF 25000178"/>
    <m/>
    <e v="#N/A"/>
    <e v="#N/A"/>
    <n v="88653"/>
    <s v="25000178"/>
    <s v="Bob Fernandez"/>
    <s v="Q2"/>
    <e v="#REF!"/>
    <e v="#REF!"/>
    <e v="#REF!"/>
  </r>
  <r>
    <s v="425200"/>
    <x v="6"/>
    <s v="PERSONNEL - NOTE DE FRAIS"/>
    <s v="NDF"/>
    <n v="-11.9"/>
    <d v="2025-12-12T00:00:00"/>
    <s v="NDF 25000325"/>
    <m/>
    <e v="#N/A"/>
    <e v="#N/A"/>
    <n v="95772"/>
    <s v="25000325"/>
    <s v="Marie Rézeau"/>
    <s v="Q4"/>
    <e v="#REF!"/>
    <e v="#REF!"/>
    <e v="#REF!"/>
  </r>
  <r>
    <s v="425200"/>
    <x v="6"/>
    <s v="PERSONNEL - NOTE DE FRAIS"/>
    <s v="NDF"/>
    <n v="-11.8"/>
    <d v="2025-10-03T00:00:00"/>
    <s v="NDF 25000338"/>
    <m/>
    <e v="#N/A"/>
    <e v="#N/A"/>
    <n v="95936"/>
    <s v="25000338"/>
    <s v="Alain Pinchard"/>
    <s v="Q4"/>
    <e v="#REF!"/>
    <e v="#REF!"/>
    <e v="#REF!"/>
  </r>
  <r>
    <s v="425200"/>
    <x v="6"/>
    <s v="PERSONNEL - NOTE DE FRAIS"/>
    <s v="NDF"/>
    <n v="-11.74"/>
    <d v="2025-11-14T00:00:00"/>
    <s v="NDF 25000314"/>
    <m/>
    <e v="#N/A"/>
    <e v="#N/A"/>
    <n v="93425"/>
    <s v="25000314"/>
    <s v="Pierre-Yves Bolle"/>
    <s v="Q4"/>
    <e v="#REF!"/>
    <e v="#REF!"/>
    <e v="#REF!"/>
  </r>
  <r>
    <s v="425200"/>
    <x v="6"/>
    <s v="PERSONNEL - NOTE DE FRAIS"/>
    <s v="NDF"/>
    <n v="-11.6"/>
    <d v="2025-09-04T00:00:00"/>
    <s v="NDF 25000214"/>
    <m/>
    <e v="#N/A"/>
    <e v="#N/A"/>
    <n v="88584"/>
    <s v="25000214"/>
    <s v="Emilie Amillastré"/>
    <s v="Q3"/>
    <e v="#REF!"/>
    <e v="#REF!"/>
    <e v="#REF!"/>
  </r>
  <r>
    <s v="425200"/>
    <x v="6"/>
    <s v="PERSONNEL - NOTE DE FRAIS"/>
    <s v="NDF"/>
    <n v="-11.5"/>
    <d v="2025-07-02T00:00:00"/>
    <s v="NDF 25000187"/>
    <m/>
    <e v="#N/A"/>
    <e v="#N/A"/>
    <n v="88630"/>
    <s v="25000187"/>
    <s v="Jérémie Blache"/>
    <s v="Q3"/>
    <e v="#REF!"/>
    <e v="#REF!"/>
    <e v="#REF!"/>
  </r>
  <r>
    <s v="425200"/>
    <x v="6"/>
    <s v="PERSONNEL - NOTE DE FRAIS"/>
    <s v="NDF"/>
    <n v="-11.48"/>
    <d v="2025-06-10T00:00:00"/>
    <s v="NDF"/>
    <m/>
    <e v="#N/A"/>
    <e v="#N/A"/>
    <n v="76577"/>
    <s v="2025-0000171"/>
    <s v="Marie de Almeida"/>
    <s v="Q2"/>
    <e v="#REF!"/>
    <e v="#REF!"/>
    <e v="#REF!"/>
  </r>
  <r>
    <s v="425200"/>
    <x v="6"/>
    <s v="PERSONNEL - NOTE DE FRAIS"/>
    <s v="NDF"/>
    <n v="-11.3"/>
    <d v="2025-10-03T00:00:00"/>
    <s v="NDF 25000282"/>
    <m/>
    <e v="#N/A"/>
    <e v="#N/A"/>
    <n v="88967"/>
    <s v="25000282"/>
    <s v="Nicolas Canu"/>
    <s v="Q4"/>
    <e v="#REF!"/>
    <e v="#REF!"/>
    <e v="#REF!"/>
  </r>
  <r>
    <s v="425200"/>
    <x v="6"/>
    <s v="PERSONNEL - NOTE DE FRAIS"/>
    <s v="NDF"/>
    <n v="-11.3"/>
    <d v="2025-10-06T00:00:00"/>
    <s v="NDF 25000271"/>
    <m/>
    <e v="#N/A"/>
    <e v="#N/A"/>
    <n v="88395"/>
    <s v="25000271"/>
    <s v="Jérémie Blache"/>
    <s v="Q4"/>
    <e v="#REF!"/>
    <e v="#REF!"/>
    <e v="#REF!"/>
  </r>
  <r>
    <s v="425200"/>
    <x v="6"/>
    <s v="PERSONNEL - NOTE DE FRAIS"/>
    <s v="NDF"/>
    <n v="-11.3"/>
    <d v="2025-10-07T00:00:00"/>
    <s v="NDF 25000272"/>
    <m/>
    <e v="#N/A"/>
    <e v="#N/A"/>
    <n v="88390"/>
    <s v="25000272"/>
    <s v="Jérémie Blache"/>
    <s v="Q4"/>
    <e v="#REF!"/>
    <e v="#REF!"/>
    <e v="#REF!"/>
  </r>
  <r>
    <s v="425200"/>
    <x v="6"/>
    <s v="PERSONNEL - NOTE DE FRAIS"/>
    <s v="NDF"/>
    <n v="-11.25"/>
    <d v="2025-11-24T00:00:00"/>
    <s v="NDF 25000284"/>
    <m/>
    <e v="#N/A"/>
    <e v="#N/A"/>
    <n v="90939"/>
    <s v="25000284"/>
    <s v="Pierre-Yves Bolle"/>
    <s v="Q4"/>
    <e v="#REF!"/>
    <e v="#REF!"/>
    <e v="#REF!"/>
  </r>
  <r>
    <s v="425200"/>
    <x v="6"/>
    <s v="PERSONNEL - NOTE DE FRAIS"/>
    <s v="NDF"/>
    <n v="-11.25"/>
    <d v="2025-12-02T00:00:00"/>
    <s v="NDF 25000289"/>
    <m/>
    <e v="#N/A"/>
    <e v="#N/A"/>
    <n v="93478"/>
    <s v="25000289"/>
    <s v="Pauline Rullière"/>
    <s v="Q4"/>
    <e v="#REF!"/>
    <e v="#REF!"/>
    <e v="#REF!"/>
  </r>
  <r>
    <s v="425200"/>
    <x v="6"/>
    <s v="PERSONNEL - NOTE DE FRAIS"/>
    <s v="NDF"/>
    <n v="-11.2"/>
    <d v="2025-11-13T00:00:00"/>
    <s v="NDF 25000315"/>
    <m/>
    <e v="#N/A"/>
    <e v="#N/A"/>
    <n v="93377"/>
    <s v="25000315"/>
    <s v="Kevin Cottet"/>
    <s v="Q4"/>
    <e v="#REF!"/>
    <e v="#REF!"/>
    <e v="#REF!"/>
  </r>
  <r>
    <s v="425200"/>
    <x v="6"/>
    <s v="PERSONNEL - NOTE DE FRAIS"/>
    <s v="NDF"/>
    <n v="-11.1"/>
    <d v="2025-11-01T00:00:00"/>
    <s v="NDF 25000305"/>
    <m/>
    <e v="#N/A"/>
    <e v="#N/A"/>
    <n v="93442"/>
    <s v="25000305"/>
    <s v="Marie-Sarah Adenis"/>
    <s v="Q4"/>
    <e v="#REF!"/>
    <e v="#REF!"/>
    <e v="#REF!"/>
  </r>
  <r>
    <s v="425200"/>
    <x v="6"/>
    <s v="PERSONNEL - NOTE DE FRAIS"/>
    <s v="NDF"/>
    <n v="-11.06"/>
    <d v="2025-12-04T00:00:00"/>
    <s v="NDF 25000304"/>
    <m/>
    <e v="#N/A"/>
    <e v="#N/A"/>
    <n v="93339"/>
    <s v="25000304"/>
    <s v="Julie Lacondemine"/>
    <s v="Q4"/>
    <e v="#REF!"/>
    <e v="#REF!"/>
    <e v="#REF!"/>
  </r>
  <r>
    <s v="425200"/>
    <x v="6"/>
    <s v="PERSONNEL - NOTE DE FRAIS"/>
    <s v="NDF"/>
    <n v="-10.95"/>
    <d v="2025-11-24T00:00:00"/>
    <s v="NDF 25000290"/>
    <m/>
    <e v="#N/A"/>
    <e v="#N/A"/>
    <n v="90862"/>
    <s v="25000290"/>
    <s v="Jérémie Blache"/>
    <s v="Q4"/>
    <e v="#REF!"/>
    <e v="#REF!"/>
    <e v="#REF!"/>
  </r>
  <r>
    <s v="425200"/>
    <x v="6"/>
    <s v="PERSONNEL - NOTE DE FRAIS"/>
    <s v="NDF"/>
    <n v="-10.9"/>
    <d v="2025-03-12T00:00:00"/>
    <s v="NDF"/>
    <m/>
    <e v="#N/A"/>
    <e v="#N/A"/>
    <n v="76487"/>
    <s v="25000071"/>
    <s v="Jérémie Blache"/>
    <s v="Q1"/>
    <e v="#REF!"/>
    <e v="#REF!"/>
    <e v="#REF!"/>
  </r>
  <r>
    <s v="425200"/>
    <x v="6"/>
    <s v="PERSONNEL - NOTE DE FRAIS"/>
    <s v="NDF"/>
    <n v="-10.9"/>
    <d v="2025-11-17T00:00:00"/>
    <s v="NDF 25000305"/>
    <m/>
    <e v="#N/A"/>
    <e v="#N/A"/>
    <n v="93433"/>
    <s v="25000305"/>
    <s v="Marie-Sarah Adenis"/>
    <s v="Q4"/>
    <e v="#REF!"/>
    <e v="#REF!"/>
    <e v="#REF!"/>
  </r>
  <r>
    <s v="425200"/>
    <x v="6"/>
    <s v="PERSONNEL - NOTE DE FRAIS"/>
    <s v="NDF"/>
    <n v="-10.85"/>
    <d v="2025-10-01T00:00:00"/>
    <s v="NDF 25000282"/>
    <m/>
    <e v="#N/A"/>
    <e v="#N/A"/>
    <n v="88962"/>
    <s v="25000282"/>
    <s v="Nicolas Canu"/>
    <s v="Q4"/>
    <e v="#REF!"/>
    <e v="#REF!"/>
    <e v="#REF!"/>
  </r>
  <r>
    <s v="425200"/>
    <x v="6"/>
    <s v="PERSONNEL - NOTE DE FRAIS"/>
    <s v="NDF"/>
    <n v="-10.85"/>
    <d v="2025-12-01T00:00:00"/>
    <s v="NDF 25000306"/>
    <m/>
    <e v="#N/A"/>
    <e v="#N/A"/>
    <n v="93330"/>
    <s v="25000306"/>
    <s v="Jérémie Blache"/>
    <s v="Q4"/>
    <e v="#REF!"/>
    <e v="#REF!"/>
    <e v="#REF!"/>
  </r>
  <r>
    <s v="425200"/>
    <x v="6"/>
    <s v="PERSONNEL - NOTE DE FRAIS"/>
    <s v="NDF"/>
    <n v="-10.8"/>
    <d v="2025-07-21T00:00:00"/>
    <s v="NDF 25000194"/>
    <m/>
    <e v="#N/A"/>
    <e v="#N/A"/>
    <n v="88839"/>
    <s v="25000194"/>
    <s v="Marie Rézeau"/>
    <s v="Q3"/>
    <e v="#REF!"/>
    <e v="#REF!"/>
    <e v="#REF!"/>
  </r>
  <r>
    <s v="425200"/>
    <x v="6"/>
    <s v="PERSONNEL - NOTE DE FRAIS"/>
    <s v="NDF"/>
    <n v="-10.8"/>
    <d v="2025-09-30T00:00:00"/>
    <s v="NDF 25000338"/>
    <m/>
    <e v="#N/A"/>
    <e v="#N/A"/>
    <n v="95942"/>
    <s v="25000338"/>
    <s v="Alain Pinchard"/>
    <s v="Q3"/>
    <e v="#REF!"/>
    <e v="#REF!"/>
    <e v="#REF!"/>
  </r>
  <r>
    <s v="425200"/>
    <x v="6"/>
    <s v="PERSONNEL - NOTE DE FRAIS"/>
    <s v="NDF"/>
    <n v="-10.8"/>
    <d v="2025-10-06T00:00:00"/>
    <s v="NDF 25000256"/>
    <m/>
    <e v="#N/A"/>
    <e v="#N/A"/>
    <n v="89056"/>
    <s v="25000256"/>
    <s v="Benjamin Barry"/>
    <s v="Q4"/>
    <e v="#REF!"/>
    <e v="#REF!"/>
    <e v="#REF!"/>
  </r>
  <r>
    <s v="425200"/>
    <x v="6"/>
    <s v="PERSONNEL - NOTE DE FRAIS"/>
    <s v="NDF"/>
    <n v="-10.8"/>
    <d v="2025-11-24T00:00:00"/>
    <s v="NDF 25000292"/>
    <m/>
    <e v="#N/A"/>
    <e v="#N/A"/>
    <n v="90859"/>
    <s v="25000292"/>
    <s v="Clément Perrocheau"/>
    <s v="Q4"/>
    <e v="#REF!"/>
    <e v="#REF!"/>
    <e v="#REF!"/>
  </r>
  <r>
    <s v="425200"/>
    <x v="6"/>
    <s v="PERSONNEL - NOTE DE FRAIS"/>
    <s v="NDF"/>
    <n v="-10.65"/>
    <d v="2025-10-02T00:00:00"/>
    <s v="NDF 25000263"/>
    <m/>
    <e v="#N/A"/>
    <e v="#N/A"/>
    <n v="88421"/>
    <s v="25000263"/>
    <s v="Yves Combret"/>
    <s v="Q4"/>
    <e v="#REF!"/>
    <e v="#REF!"/>
    <e v="#REF!"/>
  </r>
  <r>
    <s v="425200"/>
    <x v="6"/>
    <s v="PERSONNEL - NOTE DE FRAIS"/>
    <s v="NDF"/>
    <n v="-10.5"/>
    <d v="2025-06-03T00:00:00"/>
    <s v="NDF 25000338"/>
    <m/>
    <e v="#N/A"/>
    <e v="#N/A"/>
    <n v="95847"/>
    <s v="25000338"/>
    <s v="Alain Pinchard"/>
    <s v="Q2"/>
    <e v="#REF!"/>
    <e v="#REF!"/>
    <e v="#REF!"/>
  </r>
  <r>
    <s v="425200"/>
    <x v="6"/>
    <s v="PERSONNEL - NOTE DE FRAIS"/>
    <s v="NDF"/>
    <n v="-10.5"/>
    <d v="2025-09-09T00:00:00"/>
    <s v="NDF 25000222"/>
    <m/>
    <e v="#N/A"/>
    <e v="#N/A"/>
    <n v="88623"/>
    <s v="25000222"/>
    <s v="Pauline Rullière"/>
    <s v="Q3"/>
    <e v="#REF!"/>
    <e v="#REF!"/>
    <e v="#REF!"/>
  </r>
  <r>
    <s v="425200"/>
    <x v="6"/>
    <s v="PERSONNEL - NOTE DE FRAIS"/>
    <s v="NDF"/>
    <n v="-10.42"/>
    <d v="2025-12-09T00:00:00"/>
    <s v="NDF 25000325"/>
    <m/>
    <e v="#N/A"/>
    <e v="#N/A"/>
    <n v="95781"/>
    <s v="25000325"/>
    <s v="Marie Rézeau"/>
    <s v="Q4"/>
    <e v="#REF!"/>
    <e v="#REF!"/>
    <e v="#REF!"/>
  </r>
  <r>
    <s v="425200"/>
    <x v="6"/>
    <s v="PERSONNEL - NOTE DE FRAIS"/>
    <s v="NDF"/>
    <n v="-10.35"/>
    <d v="2025-11-24T00:00:00"/>
    <s v="NDF 25000302"/>
    <m/>
    <e v="#N/A"/>
    <e v="#N/A"/>
    <n v="90824"/>
    <s v="25000302"/>
    <s v="Jérémie Blache"/>
    <s v="Q4"/>
    <e v="#REF!"/>
    <e v="#REF!"/>
    <e v="#REF!"/>
  </r>
  <r>
    <s v="425200"/>
    <x v="6"/>
    <s v="PERSONNEL - NOTE DE FRAIS"/>
    <s v="NDF"/>
    <n v="-10.3"/>
    <d v="2025-05-07T00:00:00"/>
    <s v="NDF 25000111"/>
    <m/>
    <e v="#N/A"/>
    <e v="#N/A"/>
    <n v="89184"/>
    <s v="25000111"/>
    <s v="Pauline Rullière"/>
    <s v="Q2"/>
    <e v="#REF!"/>
    <e v="#REF!"/>
    <e v="#REF!"/>
  </r>
  <r>
    <s v="425200"/>
    <x v="6"/>
    <s v="PERSONNEL - NOTE DE FRAIS"/>
    <s v="NDF"/>
    <n v="-10.199999999999999"/>
    <d v="2025-09-04T00:00:00"/>
    <s v="NDF 25000214"/>
    <m/>
    <e v="#N/A"/>
    <e v="#N/A"/>
    <n v="88577"/>
    <s v="25000214"/>
    <s v="Emilie Amillastré"/>
    <s v="Q3"/>
    <e v="#REF!"/>
    <e v="#REF!"/>
    <e v="#REF!"/>
  </r>
  <r>
    <s v="425200"/>
    <x v="6"/>
    <s v="PERSONNEL - NOTE DE FRAIS"/>
    <s v="NDF"/>
    <n v="-10.1"/>
    <d v="2025-02-12T00:00:00"/>
    <s v="NOTE DE FRAIS"/>
    <m/>
    <e v="#N/A"/>
    <e v="#N/A"/>
    <n v="73674"/>
    <s v="25000036"/>
    <s v="Jérémie Blache"/>
    <s v="Q1"/>
    <e v="#REF!"/>
    <e v="#REF!"/>
    <e v="#REF!"/>
  </r>
  <r>
    <s v="425200"/>
    <x v="6"/>
    <s v="PERSONNEL - NOTE DE FRAIS"/>
    <s v="NDF"/>
    <n v="-10.1"/>
    <d v="2025-07-21T00:00:00"/>
    <s v="NDF 25000196"/>
    <m/>
    <e v="#N/A"/>
    <e v="#N/A"/>
    <n v="88727"/>
    <s v="25000196"/>
    <s v="Benjamin Barry"/>
    <s v="Q3"/>
    <e v="#REF!"/>
    <e v="#REF!"/>
    <e v="#REF!"/>
  </r>
  <r>
    <s v="425200"/>
    <x v="6"/>
    <s v="PERSONNEL - NOTE DE FRAIS"/>
    <s v="NDF"/>
    <n v="-10.1"/>
    <d v="2025-12-02T00:00:00"/>
    <s v="NDF 25000289"/>
    <m/>
    <e v="#N/A"/>
    <e v="#N/A"/>
    <n v="93461"/>
    <s v="25000289"/>
    <s v="Pauline Rullière"/>
    <s v="Q4"/>
    <e v="#REF!"/>
    <e v="#REF!"/>
    <e v="#REF!"/>
  </r>
  <r>
    <s v="425200"/>
    <x v="6"/>
    <s v="PERSONNEL - NOTE DE FRAIS"/>
    <s v="NDF"/>
    <n v="-10.050000000000001"/>
    <d v="2025-08-01T00:00:00"/>
    <s v="NDF 25000204"/>
    <m/>
    <e v="#N/A"/>
    <e v="#N/A"/>
    <n v="88716"/>
    <s v="25000204"/>
    <s v="Océane Chabret"/>
    <s v="Q3"/>
    <e v="#REF!"/>
    <e v="#REF!"/>
    <e v="#REF!"/>
  </r>
  <r>
    <s v="425200"/>
    <x v="6"/>
    <s v="PERSONNEL - NOTE DE FRAIS"/>
    <s v="NDF"/>
    <n v="-10"/>
    <d v="2025-09-16T00:00:00"/>
    <s v="NDF 25000248"/>
    <m/>
    <e v="#N/A"/>
    <e v="#N/A"/>
    <n v="88562"/>
    <s v="25000248"/>
    <s v="Pierre-Yves Bolle"/>
    <s v="Q3"/>
    <e v="#REF!"/>
    <e v="#REF!"/>
    <e v="#REF!"/>
  </r>
  <r>
    <s v="425200"/>
    <x v="6"/>
    <s v="PERSONNEL - NOTE DE FRAIS"/>
    <s v="NDF"/>
    <n v="-10"/>
    <d v="2025-10-01T00:00:00"/>
    <s v="NDF 25000246"/>
    <m/>
    <e v="#N/A"/>
    <e v="#N/A"/>
    <n v="88435"/>
    <s v="25000246"/>
    <s v="Maud Sanchez"/>
    <s v="Q4"/>
    <e v="#REF!"/>
    <e v="#REF!"/>
    <e v="#REF!"/>
  </r>
  <r>
    <s v="425200"/>
    <x v="6"/>
    <s v="PERSONNEL - NOTE DE FRAIS"/>
    <s v="NDF"/>
    <n v="-10"/>
    <d v="2025-10-02T00:00:00"/>
    <s v="NDF 25000263"/>
    <m/>
    <e v="#N/A"/>
    <e v="#N/A"/>
    <n v="88409"/>
    <s v="25000263"/>
    <s v="Yves Combret"/>
    <s v="Q4"/>
    <e v="#REF!"/>
    <e v="#REF!"/>
    <e v="#REF!"/>
  </r>
  <r>
    <s v="425200"/>
    <x v="6"/>
    <s v="PERSONNEL - NOTE DE FRAIS"/>
    <s v="NDF"/>
    <n v="-9.9"/>
    <d v="2025-11-04T00:00:00"/>
    <s v="NDF 25000315"/>
    <m/>
    <e v="#N/A"/>
    <e v="#N/A"/>
    <n v="93375"/>
    <s v="25000315"/>
    <s v="Kevin Cottet"/>
    <s v="Q4"/>
    <e v="#REF!"/>
    <e v="#REF!"/>
    <e v="#REF!"/>
  </r>
  <r>
    <s v="425200"/>
    <x v="6"/>
    <s v="PERSONNEL - NOTE DE FRAIS"/>
    <s v="NDF"/>
    <n v="-9.9"/>
    <d v="2025-11-04T00:00:00"/>
    <s v="NDF 25000315"/>
    <m/>
    <e v="#N/A"/>
    <e v="#N/A"/>
    <n v="93380"/>
    <s v="25000315"/>
    <s v="Kevin Cottet"/>
    <s v="Q4"/>
    <e v="#REF!"/>
    <e v="#REF!"/>
    <e v="#REF!"/>
  </r>
  <r>
    <s v="425200"/>
    <x v="6"/>
    <s v="PERSONNEL - NOTE DE FRAIS"/>
    <s v="NDF"/>
    <n v="-9.9"/>
    <d v="2025-11-13T00:00:00"/>
    <s v="NDF 25000315"/>
    <m/>
    <e v="#N/A"/>
    <e v="#N/A"/>
    <n v="93373"/>
    <s v="25000315"/>
    <s v="Kevin Cottet"/>
    <s v="Q4"/>
    <e v="#REF!"/>
    <e v="#REF!"/>
    <e v="#REF!"/>
  </r>
  <r>
    <s v="425200"/>
    <x v="6"/>
    <s v="PERSONNEL - NOTE DE FRAIS"/>
    <s v="NDF"/>
    <n v="-9.9"/>
    <d v="2025-11-13T00:00:00"/>
    <s v="NDF 25000315"/>
    <m/>
    <e v="#N/A"/>
    <e v="#N/A"/>
    <n v="93391"/>
    <s v="25000315"/>
    <s v="Kevin Cottet"/>
    <s v="Q4"/>
    <e v="#REF!"/>
    <e v="#REF!"/>
    <e v="#REF!"/>
  </r>
  <r>
    <s v="425200"/>
    <x v="6"/>
    <s v="PERSONNEL - NOTE DE FRAIS"/>
    <s v="NDF"/>
    <n v="-9.9"/>
    <d v="2025-12-02T00:00:00"/>
    <s v="NDF 25000315"/>
    <m/>
    <e v="#N/A"/>
    <e v="#N/A"/>
    <n v="93384"/>
    <s v="25000315"/>
    <s v="Kevin Cottet"/>
    <s v="Q4"/>
    <e v="#REF!"/>
    <e v="#REF!"/>
    <e v="#REF!"/>
  </r>
  <r>
    <s v="425200"/>
    <x v="6"/>
    <s v="PERSONNEL - NOTE DE FRAIS"/>
    <s v="NDF"/>
    <n v="-9.9"/>
    <d v="2025-12-02T00:00:00"/>
    <s v="NDF 25000315"/>
    <m/>
    <e v="#N/A"/>
    <e v="#N/A"/>
    <n v="93393"/>
    <s v="25000315"/>
    <s v="Kevin Cottet"/>
    <s v="Q4"/>
    <e v="#REF!"/>
    <e v="#REF!"/>
    <e v="#REF!"/>
  </r>
  <r>
    <s v="425200"/>
    <x v="6"/>
    <s v="PERSONNEL - NOTE DE FRAIS"/>
    <s v="NDF"/>
    <n v="-9.85"/>
    <d v="2025-12-12T00:00:00"/>
    <s v="NDF 25000323"/>
    <m/>
    <e v="#N/A"/>
    <e v="#N/A"/>
    <n v="93257"/>
    <s v="25000323"/>
    <s v="Jérémie Blache"/>
    <s v="Q4"/>
    <e v="#REF!"/>
    <e v="#REF!"/>
    <e v="#REF!"/>
  </r>
  <r>
    <s v="425200"/>
    <x v="6"/>
    <s v="PERSONNEL - NOTE DE FRAIS"/>
    <s v="NDF"/>
    <n v="-9.75"/>
    <d v="2025-12-02T00:00:00"/>
    <s v="NDF 25000319"/>
    <m/>
    <e v="#N/A"/>
    <e v="#N/A"/>
    <n v="93333"/>
    <s v="25000319"/>
    <s v="Jérémie Blache"/>
    <s v="Q4"/>
    <e v="#REF!"/>
    <e v="#REF!"/>
    <e v="#REF!"/>
  </r>
  <r>
    <s v="425200"/>
    <x v="6"/>
    <s v="PERSONNEL - NOTE DE FRAIS"/>
    <s v="NDF"/>
    <n v="-9.6"/>
    <d v="2025-06-24T00:00:00"/>
    <s v="NDF 25000111"/>
    <m/>
    <e v="#N/A"/>
    <e v="#N/A"/>
    <n v="89213"/>
    <s v="25000111"/>
    <s v="Pauline Rullière"/>
    <s v="Q2"/>
    <e v="#REF!"/>
    <e v="#REF!"/>
    <e v="#REF!"/>
  </r>
  <r>
    <s v="425200"/>
    <x v="6"/>
    <s v="PERSONNEL - NOTE DE FRAIS"/>
    <s v="NDF"/>
    <n v="-9.6"/>
    <d v="2025-11-24T00:00:00"/>
    <s v="NDF 25000279"/>
    <m/>
    <e v="#N/A"/>
    <e v="#N/A"/>
    <n v="90917"/>
    <s v="25000279"/>
    <s v="Bob Fernandez"/>
    <s v="Q4"/>
    <e v="#REF!"/>
    <e v="#REF!"/>
    <e v="#REF!"/>
  </r>
  <r>
    <s v="425200"/>
    <x v="6"/>
    <s v="PERSONNEL - NOTE DE FRAIS"/>
    <s v="NDF"/>
    <n v="-9.5"/>
    <d v="2025-02-11T00:00:00"/>
    <s v="NDF 25000042"/>
    <m/>
    <e v="#N/A"/>
    <e v="#N/A"/>
    <n v="95761"/>
    <s v="25000042"/>
    <s v="Alain Pinchard"/>
    <s v="Q1"/>
    <e v="#REF!"/>
    <e v="#REF!"/>
    <e v="#REF!"/>
  </r>
  <r>
    <s v="425200"/>
    <x v="6"/>
    <s v="PERSONNEL - NOTE DE FRAIS"/>
    <s v="NDF"/>
    <n v="-9.5"/>
    <d v="2025-02-11T00:00:00"/>
    <s v="NDF 25000042"/>
    <m/>
    <e v="#N/A"/>
    <e v="#N/A"/>
    <n v="95763"/>
    <s v="25000042"/>
    <s v="Alain Pinchard"/>
    <s v="Q1"/>
    <e v="#REF!"/>
    <e v="#REF!"/>
    <e v="#REF!"/>
  </r>
  <r>
    <s v="425200"/>
    <x v="6"/>
    <s v="PERSONNEL - NOTE DE FRAIS"/>
    <s v="NDF"/>
    <n v="-9.5"/>
    <d v="2025-04-03T00:00:00"/>
    <s v="NDF 25000339"/>
    <m/>
    <e v="#N/A"/>
    <e v="#N/A"/>
    <n v="95963"/>
    <s v="25000339"/>
    <s v="Alain Pinchard"/>
    <s v="Q2"/>
    <e v="#REF!"/>
    <e v="#REF!"/>
    <e v="#REF!"/>
  </r>
  <r>
    <s v="425200"/>
    <x v="6"/>
    <s v="PERSONNEL - NOTE DE FRAIS"/>
    <s v="NDF"/>
    <n v="-9.5"/>
    <d v="2025-04-10T00:00:00"/>
    <s v="NDF 25000339"/>
    <m/>
    <e v="#N/A"/>
    <e v="#N/A"/>
    <n v="95949"/>
    <s v="25000339"/>
    <s v="Alain Pinchard"/>
    <s v="Q2"/>
    <e v="#REF!"/>
    <e v="#REF!"/>
    <e v="#REF!"/>
  </r>
  <r>
    <s v="425200"/>
    <x v="6"/>
    <s v="PERSONNEL - NOTE DE FRAIS"/>
    <s v="NDF"/>
    <n v="-9.5"/>
    <d v="2025-05-23T00:00:00"/>
    <s v="NDF 25000339"/>
    <m/>
    <e v="#N/A"/>
    <e v="#N/A"/>
    <n v="95953"/>
    <s v="25000339"/>
    <s v="Alain Pinchard"/>
    <s v="Q2"/>
    <e v="#REF!"/>
    <e v="#REF!"/>
    <e v="#REF!"/>
  </r>
  <r>
    <s v="425200"/>
    <x v="6"/>
    <s v="PERSONNEL - NOTE DE FRAIS"/>
    <s v="NDF"/>
    <n v="-9.5"/>
    <d v="2025-05-23T00:00:00"/>
    <s v="NDF 25000339"/>
    <m/>
    <e v="#N/A"/>
    <e v="#N/A"/>
    <n v="95955"/>
    <s v="25000339"/>
    <s v="Alain Pinchard"/>
    <s v="Q2"/>
    <e v="#REF!"/>
    <e v="#REF!"/>
    <e v="#REF!"/>
  </r>
  <r>
    <s v="425200"/>
    <x v="6"/>
    <s v="PERSONNEL - NOTE DE FRAIS"/>
    <s v="NDF"/>
    <n v="-9.5"/>
    <d v="2025-06-12T00:00:00"/>
    <s v="NDF 25000338"/>
    <m/>
    <e v="#N/A"/>
    <e v="#N/A"/>
    <n v="95889"/>
    <s v="25000338"/>
    <s v="Alain Pinchard"/>
    <s v="Q2"/>
    <e v="#REF!"/>
    <e v="#REF!"/>
    <e v="#REF!"/>
  </r>
  <r>
    <s v="425200"/>
    <x v="6"/>
    <s v="PERSONNEL - NOTE DE FRAIS"/>
    <s v="NDF"/>
    <n v="-9.5"/>
    <d v="2025-06-12T00:00:00"/>
    <s v="NDF 25000338"/>
    <m/>
    <e v="#N/A"/>
    <e v="#N/A"/>
    <n v="95895"/>
    <s v="25000338"/>
    <s v="Alain Pinchard"/>
    <s v="Q2"/>
    <e v="#REF!"/>
    <e v="#REF!"/>
    <e v="#REF!"/>
  </r>
  <r>
    <s v="425200"/>
    <x v="6"/>
    <s v="PERSONNEL - NOTE DE FRAIS"/>
    <s v="NDF"/>
    <n v="-9.5"/>
    <d v="2025-06-19T00:00:00"/>
    <s v="NDF 25000338"/>
    <m/>
    <e v="#N/A"/>
    <e v="#N/A"/>
    <n v="95851"/>
    <s v="25000338"/>
    <s v="Alain Pinchard"/>
    <s v="Q2"/>
    <e v="#REF!"/>
    <e v="#REF!"/>
    <e v="#REF!"/>
  </r>
  <r>
    <s v="425200"/>
    <x v="6"/>
    <s v="PERSONNEL - NOTE DE FRAIS"/>
    <s v="NDF"/>
    <n v="-9.5"/>
    <d v="2025-06-19T00:00:00"/>
    <s v="NDF 25000338"/>
    <m/>
    <e v="#N/A"/>
    <e v="#N/A"/>
    <n v="95934"/>
    <s v="25000338"/>
    <s v="Alain Pinchard"/>
    <s v="Q2"/>
    <e v="#REF!"/>
    <e v="#REF!"/>
    <e v="#REF!"/>
  </r>
  <r>
    <s v="425200"/>
    <x v="6"/>
    <s v="PERSONNEL - NOTE DE FRAIS"/>
    <s v="NDF"/>
    <n v="-9.5"/>
    <d v="2025-07-03T00:00:00"/>
    <s v="NDF 25000338"/>
    <m/>
    <e v="#N/A"/>
    <e v="#N/A"/>
    <n v="95859"/>
    <s v="25000338"/>
    <s v="Alain Pinchard"/>
    <s v="Q3"/>
    <e v="#REF!"/>
    <e v="#REF!"/>
    <e v="#REF!"/>
  </r>
  <r>
    <s v="425200"/>
    <x v="6"/>
    <s v="PERSONNEL - NOTE DE FRAIS"/>
    <s v="NDF"/>
    <n v="-9.5"/>
    <d v="2025-07-03T00:00:00"/>
    <s v="NDF 25000338"/>
    <m/>
    <e v="#N/A"/>
    <e v="#N/A"/>
    <n v="95887"/>
    <s v="25000338"/>
    <s v="Alain Pinchard"/>
    <s v="Q3"/>
    <e v="#REF!"/>
    <e v="#REF!"/>
    <e v="#REF!"/>
  </r>
  <r>
    <s v="425200"/>
    <x v="6"/>
    <s v="PERSONNEL - NOTE DE FRAIS"/>
    <s v="NDF"/>
    <n v="-9.5"/>
    <d v="2025-07-29T00:00:00"/>
    <s v="NDF 25000203"/>
    <m/>
    <e v="#N/A"/>
    <e v="#N/A"/>
    <n v="89073"/>
    <s v="25000203"/>
    <s v="Julie Lacondemine"/>
    <s v="Q3"/>
    <e v="#REF!"/>
    <e v="#REF!"/>
    <e v="#REF!"/>
  </r>
  <r>
    <s v="425200"/>
    <x v="6"/>
    <s v="PERSONNEL - NOTE DE FRAIS"/>
    <s v="NDF"/>
    <n v="-9.5"/>
    <d v="2025-07-29T00:00:00"/>
    <s v="NDF 25000203"/>
    <m/>
    <e v="#N/A"/>
    <e v="#N/A"/>
    <n v="89075"/>
    <s v="25000203"/>
    <s v="Julie Lacondemine"/>
    <s v="Q3"/>
    <e v="#REF!"/>
    <e v="#REF!"/>
    <e v="#REF!"/>
  </r>
  <r>
    <s v="425200"/>
    <x v="6"/>
    <s v="PERSONNEL - NOTE DE FRAIS"/>
    <s v="NDF"/>
    <n v="-9.5"/>
    <d v="2025-10-06T00:00:00"/>
    <s v="NDF 25000267"/>
    <m/>
    <e v="#N/A"/>
    <e v="#N/A"/>
    <n v="88918"/>
    <s v="25000267"/>
    <s v="Julie Lacondemine"/>
    <s v="Q4"/>
    <e v="#REF!"/>
    <e v="#REF!"/>
    <e v="#REF!"/>
  </r>
  <r>
    <s v="425200"/>
    <x v="6"/>
    <s v="PERSONNEL - NOTE DE FRAIS"/>
    <s v="NDF"/>
    <n v="-9.5"/>
    <d v="2025-10-06T00:00:00"/>
    <s v="NDF 25000267"/>
    <m/>
    <e v="#N/A"/>
    <e v="#N/A"/>
    <n v="88923"/>
    <s v="25000267"/>
    <s v="Julie Lacondemine"/>
    <s v="Q4"/>
    <e v="#REF!"/>
    <e v="#REF!"/>
    <e v="#REF!"/>
  </r>
  <r>
    <s v="425200"/>
    <x v="6"/>
    <s v="PERSONNEL - NOTE DE FRAIS"/>
    <s v="NDF"/>
    <n v="-9.5"/>
    <d v="2025-11-24T00:00:00"/>
    <s v="NDF 25000297"/>
    <m/>
    <e v="#N/A"/>
    <e v="#N/A"/>
    <n v="90995"/>
    <s v="25000297"/>
    <s v="Marie-Sarah Adenis"/>
    <s v="Q4"/>
    <e v="#REF!"/>
    <e v="#REF!"/>
    <e v="#REF!"/>
  </r>
  <r>
    <s v="425200"/>
    <x v="6"/>
    <s v="PERSONNEL - NOTE DE FRAIS"/>
    <s v="NDF"/>
    <n v="-9.32"/>
    <d v="2025-07-25T00:00:00"/>
    <s v="NDF 25000196"/>
    <m/>
    <e v="#N/A"/>
    <e v="#N/A"/>
    <n v="88735"/>
    <s v="25000196"/>
    <s v="Benjamin Barry"/>
    <s v="Q3"/>
    <e v="#REF!"/>
    <e v="#REF!"/>
    <e v="#REF!"/>
  </r>
  <r>
    <s v="425200"/>
    <x v="6"/>
    <s v="PERSONNEL - NOTE DE FRAIS"/>
    <s v="NDF"/>
    <n v="-9.3000000000000007"/>
    <d v="2025-07-03T00:00:00"/>
    <s v="NDF 25000180"/>
    <m/>
    <e v="#N/A"/>
    <e v="#N/A"/>
    <n v="88640"/>
    <s v="25000180"/>
    <s v="Bob Fernandez"/>
    <s v="Q3"/>
    <e v="#REF!"/>
    <e v="#REF!"/>
    <e v="#REF!"/>
  </r>
  <r>
    <s v="425200"/>
    <x v="6"/>
    <s v="PERSONNEL - NOTE DE FRAIS"/>
    <s v="NDF"/>
    <n v="-9.27"/>
    <d v="2025-12-03T00:00:00"/>
    <s v="NDF 25000289"/>
    <m/>
    <e v="#N/A"/>
    <e v="#N/A"/>
    <n v="93490"/>
    <s v="25000289"/>
    <s v="Pauline Rullière"/>
    <s v="Q4"/>
    <e v="#REF!"/>
    <e v="#REF!"/>
    <e v="#REF!"/>
  </r>
  <r>
    <s v="425200"/>
    <x v="6"/>
    <s v="PERSONNEL - NOTE DE FRAIS"/>
    <s v="NDF"/>
    <n v="-9.25"/>
    <d v="2025-11-24T00:00:00"/>
    <s v="NDF 25000265"/>
    <m/>
    <e v="#N/A"/>
    <e v="#N/A"/>
    <n v="90970"/>
    <s v="25000265"/>
    <s v="Marie Rézeau"/>
    <s v="Q4"/>
    <e v="#REF!"/>
    <e v="#REF!"/>
    <e v="#REF!"/>
  </r>
  <r>
    <s v="425200"/>
    <x v="6"/>
    <s v="PERSONNEL - NOTE DE FRAIS"/>
    <s v="NDF"/>
    <n v="-9.1"/>
    <d v="2025-06-04T00:00:00"/>
    <s v="NDF 25000338"/>
    <m/>
    <e v="#N/A"/>
    <e v="#N/A"/>
    <n v="95849"/>
    <s v="25000338"/>
    <s v="Alain Pinchard"/>
    <s v="Q2"/>
    <e v="#REF!"/>
    <e v="#REF!"/>
    <e v="#REF!"/>
  </r>
  <r>
    <s v="425200"/>
    <x v="6"/>
    <s v="PERSONNEL - NOTE DE FRAIS"/>
    <s v="NDF"/>
    <n v="-9.1"/>
    <d v="2025-10-03T00:00:00"/>
    <s v="NDF 25000255"/>
    <m/>
    <e v="#N/A"/>
    <e v="#N/A"/>
    <n v="88958"/>
    <s v="25000255"/>
    <s v="Emilie Amillastré"/>
    <s v="Q4"/>
    <e v="#REF!"/>
    <e v="#REF!"/>
    <e v="#REF!"/>
  </r>
  <r>
    <s v="425200"/>
    <x v="6"/>
    <s v="PERSONNEL - NOTE DE FRAIS"/>
    <s v="NDF"/>
    <n v="-9"/>
    <d v="2025-12-02T00:00:00"/>
    <s v="NDF 25000289"/>
    <m/>
    <e v="#N/A"/>
    <e v="#N/A"/>
    <n v="93474"/>
    <s v="25000289"/>
    <s v="Pauline Rullière"/>
    <s v="Q4"/>
    <e v="#REF!"/>
    <e v="#REF!"/>
    <e v="#REF!"/>
  </r>
  <r>
    <s v="425200"/>
    <x v="6"/>
    <s v="PERSONNEL - NOTE DE FRAIS"/>
    <s v="NDF"/>
    <n v="-8.9"/>
    <d v="2025-04-29T00:00:00"/>
    <s v="NOTE DE FRAIS"/>
    <m/>
    <e v="#N/A"/>
    <e v="#N/A"/>
    <n v="74381"/>
    <s v="25000132"/>
    <s v="Jérémie Blache"/>
    <s v="Q2"/>
    <e v="#REF!"/>
    <e v="#REF!"/>
    <e v="#REF!"/>
  </r>
  <r>
    <s v="425200"/>
    <x v="6"/>
    <s v="PERSONNEL - NOTE DE FRAIS"/>
    <s v="NDF"/>
    <n v="-8.9"/>
    <d v="2025-06-04T00:00:00"/>
    <s v="NDF 25000338"/>
    <m/>
    <e v="#N/A"/>
    <e v="#N/A"/>
    <n v="95893"/>
    <s v="25000338"/>
    <s v="Alain Pinchard"/>
    <s v="Q2"/>
    <e v="#REF!"/>
    <e v="#REF!"/>
    <e v="#REF!"/>
  </r>
  <r>
    <s v="425200"/>
    <x v="6"/>
    <s v="PERSONNEL - NOTE DE FRAIS"/>
    <s v="NDF"/>
    <n v="-8.85"/>
    <d v="2025-09-22T00:00:00"/>
    <s v="NDF 25000259"/>
    <m/>
    <e v="#N/A"/>
    <e v="#N/A"/>
    <n v="88446"/>
    <s v="25000259"/>
    <s v="Guillaume Boissonnat-Wu"/>
    <s v="Q3"/>
    <e v="#REF!"/>
    <e v="#REF!"/>
    <e v="#REF!"/>
  </r>
  <r>
    <s v="425200"/>
    <x v="6"/>
    <s v="PERSONNEL - NOTE DE FRAIS"/>
    <s v="NDF"/>
    <n v="-8.85"/>
    <d v="2025-12-15T00:00:00"/>
    <s v="NDF 25000327"/>
    <m/>
    <e v="#N/A"/>
    <e v="#N/A"/>
    <n v="93247"/>
    <s v="25000327"/>
    <s v="Jérémie Blache"/>
    <s v="Q4"/>
    <e v="#REF!"/>
    <e v="#REF!"/>
    <e v="#REF!"/>
  </r>
  <r>
    <s v="425200"/>
    <x v="6"/>
    <s v="PERSONNEL - NOTE DE FRAIS"/>
    <s v="NDF"/>
    <n v="-8.68"/>
    <d v="2025-11-24T00:00:00"/>
    <s v="NDF 25000293"/>
    <m/>
    <e v="#N/A"/>
    <e v="#N/A"/>
    <n v="90893"/>
    <s v="25000293"/>
    <s v="Julie Lacondemine"/>
    <s v="Q4"/>
    <e v="#REF!"/>
    <e v="#REF!"/>
    <e v="#REF!"/>
  </r>
  <r>
    <s v="425200"/>
    <x v="6"/>
    <s v="PERSONNEL - NOTE DE FRAIS"/>
    <s v="NDF"/>
    <n v="-8.6"/>
    <d v="2025-07-21T00:00:00"/>
    <s v="NDF 25000194"/>
    <m/>
    <e v="#N/A"/>
    <e v="#N/A"/>
    <n v="88868"/>
    <s v="25000194"/>
    <s v="Marie Rézeau"/>
    <s v="Q3"/>
    <e v="#REF!"/>
    <e v="#REF!"/>
    <e v="#REF!"/>
  </r>
  <r>
    <s v="425200"/>
    <x v="6"/>
    <s v="PERSONNEL - NOTE DE FRAIS"/>
    <s v="NDF"/>
    <n v="-8.5"/>
    <d v="2025-11-03T00:00:00"/>
    <s v="NDF 25000314"/>
    <m/>
    <e v="#N/A"/>
    <e v="#N/A"/>
    <n v="93401"/>
    <s v="25000314"/>
    <s v="Pierre-Yves Bolle"/>
    <s v="Q4"/>
    <e v="#REF!"/>
    <e v="#REF!"/>
    <e v="#REF!"/>
  </r>
  <r>
    <s v="425200"/>
    <x v="6"/>
    <s v="PERSONNEL - NOTE DE FRAIS"/>
    <s v="NDF"/>
    <n v="-8.5"/>
    <d v="2025-11-24T00:00:00"/>
    <s v="NDF 25000296"/>
    <m/>
    <e v="#N/A"/>
    <e v="#N/A"/>
    <n v="90837"/>
    <s v="25000296"/>
    <s v="Jérémie Blache"/>
    <s v="Q4"/>
    <e v="#REF!"/>
    <e v="#REF!"/>
    <e v="#REF!"/>
  </r>
  <r>
    <s v="425200"/>
    <x v="6"/>
    <s v="PERSONNEL - NOTE DE FRAIS"/>
    <s v="NDF"/>
    <n v="-8.5"/>
    <d v="2025-11-24T00:00:00"/>
    <s v="NDF 25000296"/>
    <m/>
    <e v="#N/A"/>
    <e v="#N/A"/>
    <n v="90844"/>
    <s v="25000296"/>
    <s v="Jérémie Blache"/>
    <s v="Q4"/>
    <e v="#REF!"/>
    <e v="#REF!"/>
    <e v="#REF!"/>
  </r>
  <r>
    <s v="425200"/>
    <x v="6"/>
    <s v="PERSONNEL - NOTE DE FRAIS"/>
    <s v="NDF"/>
    <n v="-8.3000000000000007"/>
    <d v="2025-05-27T00:00:00"/>
    <s v="NDF"/>
    <m/>
    <e v="#N/A"/>
    <e v="#N/A"/>
    <n v="76529"/>
    <s v="25000156"/>
    <s v="Jérémie Blache"/>
    <s v="Q2"/>
    <e v="#REF!"/>
    <e v="#REF!"/>
    <e v="#REF!"/>
  </r>
  <r>
    <s v="425200"/>
    <x v="6"/>
    <s v="PERSONNEL - NOTE DE FRAIS"/>
    <s v="NDF"/>
    <n v="-8.25"/>
    <d v="2025-04-21T00:00:00"/>
    <s v="NOTE DE FRAIS"/>
    <m/>
    <e v="#N/A"/>
    <e v="#N/A"/>
    <n v="74339"/>
    <s v="25000117"/>
    <s v="Jérémie Blache"/>
    <s v="Q2"/>
    <e v="#REF!"/>
    <e v="#REF!"/>
    <e v="#REF!"/>
  </r>
  <r>
    <s v="425200"/>
    <x v="6"/>
    <s v="PERSONNEL - NOTE DE FRAIS"/>
    <s v="NDF"/>
    <n v="-8.23"/>
    <d v="2025-11-19T00:00:00"/>
    <s v="NDF 25000335"/>
    <m/>
    <e v="#N/A"/>
    <e v="#N/A"/>
    <n v="95807"/>
    <s v="25000335"/>
    <s v="Guillaume Boissonnat-Wu"/>
    <s v="Q4"/>
    <e v="#REF!"/>
    <e v="#REF!"/>
    <e v="#REF!"/>
  </r>
  <r>
    <s v="425200"/>
    <x v="6"/>
    <s v="PERSONNEL - NOTE DE FRAIS"/>
    <s v="NDF"/>
    <n v="-8.1999999999999993"/>
    <d v="2025-11-24T00:00:00"/>
    <s v="NDF 25000265"/>
    <m/>
    <e v="#N/A"/>
    <e v="#N/A"/>
    <n v="90974"/>
    <s v="25000265"/>
    <s v="Marie Rézeau"/>
    <s v="Q4"/>
    <e v="#REF!"/>
    <e v="#REF!"/>
    <e v="#REF!"/>
  </r>
  <r>
    <s v="425200"/>
    <x v="6"/>
    <s v="PERSONNEL - NOTE DE FRAIS"/>
    <s v="NDF"/>
    <n v="-8.1"/>
    <d v="2025-11-24T00:00:00"/>
    <s v="NDF 25000265"/>
    <m/>
    <e v="#N/A"/>
    <e v="#N/A"/>
    <n v="90957"/>
    <s v="25000265"/>
    <s v="Marie Rézeau"/>
    <s v="Q4"/>
    <e v="#REF!"/>
    <e v="#REF!"/>
    <e v="#REF!"/>
  </r>
  <r>
    <s v="425200"/>
    <x v="6"/>
    <s v="PERSONNEL - NOTE DE FRAIS"/>
    <s v="NDF"/>
    <n v="-8.1"/>
    <d v="2025-11-24T00:00:00"/>
    <s v="NDF 25000265"/>
    <m/>
    <e v="#N/A"/>
    <e v="#N/A"/>
    <n v="90966"/>
    <s v="25000265"/>
    <s v="Marie Rézeau"/>
    <s v="Q4"/>
    <e v="#REF!"/>
    <e v="#REF!"/>
    <e v="#REF!"/>
  </r>
  <r>
    <s v="425200"/>
    <x v="6"/>
    <s v="PERSONNEL - NOTE DE FRAIS"/>
    <s v="NDF"/>
    <n v="-8.1"/>
    <d v="2025-11-24T00:00:00"/>
    <s v="NDF 25000299"/>
    <m/>
    <e v="#N/A"/>
    <e v="#N/A"/>
    <n v="90828"/>
    <s v="25000299"/>
    <s v="Marie Rézeau"/>
    <s v="Q4"/>
    <e v="#REF!"/>
    <e v="#REF!"/>
    <e v="#REF!"/>
  </r>
  <r>
    <s v="425200"/>
    <x v="6"/>
    <s v="PERSONNEL - NOTE DE FRAIS"/>
    <s v="NDF"/>
    <n v="-8.1"/>
    <d v="2025-11-24T00:00:00"/>
    <s v="NDF 25000299"/>
    <m/>
    <e v="#N/A"/>
    <e v="#N/A"/>
    <n v="90830"/>
    <s v="25000299"/>
    <s v="Marie Rézeau"/>
    <s v="Q4"/>
    <e v="#REF!"/>
    <e v="#REF!"/>
    <e v="#REF!"/>
  </r>
  <r>
    <s v="425200"/>
    <x v="6"/>
    <s v="PERSONNEL - NOTE DE FRAIS"/>
    <s v="NDF"/>
    <n v="-8.07"/>
    <d v="2025-08-25T00:00:00"/>
    <s v="NDF 25000210"/>
    <m/>
    <e v="#N/A"/>
    <e v="#N/A"/>
    <n v="88099"/>
    <s v="25000210"/>
    <s v="Bob Fernandez"/>
    <s v="Q3"/>
    <e v="#REF!"/>
    <e v="#REF!"/>
    <e v="#REF!"/>
  </r>
  <r>
    <s v="425200"/>
    <x v="6"/>
    <s v="PERSONNEL - NOTE DE FRAIS"/>
    <s v="NDF"/>
    <n v="-8"/>
    <d v="2025-06-04T00:00:00"/>
    <s v="NDF 25000338"/>
    <m/>
    <e v="#N/A"/>
    <e v="#N/A"/>
    <n v="95879"/>
    <s v="25000338"/>
    <s v="Alain Pinchard"/>
    <s v="Q2"/>
    <e v="#REF!"/>
    <e v="#REF!"/>
    <e v="#REF!"/>
  </r>
  <r>
    <s v="425200"/>
    <x v="6"/>
    <s v="PERSONNEL - NOTE DE FRAIS"/>
    <s v="NDF"/>
    <n v="-8"/>
    <d v="2025-06-26T00:00:00"/>
    <s v="NDF 25000202"/>
    <m/>
    <e v="#N/A"/>
    <e v="#N/A"/>
    <n v="88815"/>
    <s v="25000202"/>
    <s v="Pierre-Yves Bolle"/>
    <s v="Q2"/>
    <e v="#REF!"/>
    <e v="#REF!"/>
    <e v="#REF!"/>
  </r>
  <r>
    <s v="425200"/>
    <x v="6"/>
    <s v="PERSONNEL - NOTE DE FRAIS"/>
    <s v="NDF"/>
    <n v="-8"/>
    <d v="2025-07-01T00:00:00"/>
    <s v="NDF 25000190"/>
    <m/>
    <e v="#N/A"/>
    <e v="#N/A"/>
    <n v="88785"/>
    <s v="25000190"/>
    <s v="Marie-Sarah Adenis"/>
    <s v="Q3"/>
    <e v="#REF!"/>
    <e v="#REF!"/>
    <e v="#REF!"/>
  </r>
  <r>
    <s v="425200"/>
    <x v="6"/>
    <s v="PERSONNEL - NOTE DE FRAIS"/>
    <s v="NDF"/>
    <n v="-7.9"/>
    <d v="2025-09-30T00:00:00"/>
    <s v="NDF 25000255"/>
    <m/>
    <e v="#N/A"/>
    <e v="#N/A"/>
    <n v="88947"/>
    <s v="25000255"/>
    <s v="Emilie Amillastré"/>
    <s v="Q3"/>
    <e v="#REF!"/>
    <e v="#REF!"/>
    <e v="#REF!"/>
  </r>
  <r>
    <s v="425200"/>
    <x v="6"/>
    <s v="PERSONNEL - NOTE DE FRAIS"/>
    <s v="NDF"/>
    <n v="-7.9"/>
    <d v="2025-11-13T00:00:00"/>
    <s v="NDF 25000314"/>
    <m/>
    <e v="#N/A"/>
    <e v="#N/A"/>
    <n v="93429"/>
    <s v="25000314"/>
    <s v="Pierre-Yves Bolle"/>
    <s v="Q4"/>
    <e v="#REF!"/>
    <e v="#REF!"/>
    <e v="#REF!"/>
  </r>
  <r>
    <s v="425200"/>
    <x v="6"/>
    <s v="PERSONNEL - NOTE DE FRAIS"/>
    <s v="NDF"/>
    <n v="-7.7"/>
    <d v="2025-03-27T00:00:00"/>
    <s v="NOTE DE FRAIS"/>
    <m/>
    <e v="#N/A"/>
    <e v="#N/A"/>
    <n v="74215"/>
    <s v="25000093"/>
    <s v="Marjorie Denard"/>
    <s v="Q1"/>
    <e v="#REF!"/>
    <e v="#REF!"/>
    <e v="#REF!"/>
  </r>
  <r>
    <s v="425200"/>
    <x v="6"/>
    <s v="PERSONNEL - NOTE DE FRAIS"/>
    <s v="NDF"/>
    <n v="-7.6"/>
    <d v="2025-11-24T00:00:00"/>
    <s v="NDF 25000301"/>
    <m/>
    <e v="#N/A"/>
    <e v="#N/A"/>
    <n v="90879"/>
    <s v="25000301"/>
    <s v="Maud Sanchez"/>
    <s v="Q4"/>
    <e v="#REF!"/>
    <e v="#REF!"/>
    <e v="#REF!"/>
  </r>
  <r>
    <s v="425200"/>
    <x v="6"/>
    <s v="PERSONNEL - NOTE DE FRAIS"/>
    <s v="NDF"/>
    <n v="-7.59"/>
    <d v="2025-11-24T00:00:00"/>
    <s v="NDF 25000288"/>
    <m/>
    <e v="#N/A"/>
    <e v="#N/A"/>
    <n v="90935"/>
    <s v="25000288"/>
    <s v="Guillaume Boissonnat-Wu"/>
    <s v="Q4"/>
    <e v="#REF!"/>
    <e v="#REF!"/>
    <e v="#REF!"/>
  </r>
  <r>
    <s v="425200"/>
    <x v="6"/>
    <s v="PERSONNEL - NOTE DE FRAIS"/>
    <s v="NDF"/>
    <n v="-7.55"/>
    <d v="2025-06-01T00:00:00"/>
    <s v="NDF 25000111"/>
    <m/>
    <e v="#N/A"/>
    <e v="#N/A"/>
    <n v="89190"/>
    <s v="25000111"/>
    <s v="Pauline Rullière"/>
    <s v="Q2"/>
    <e v="#REF!"/>
    <e v="#REF!"/>
    <e v="#REF!"/>
  </r>
  <r>
    <s v="425200"/>
    <x v="6"/>
    <s v="PERSONNEL - NOTE DE FRAIS"/>
    <s v="NDF"/>
    <n v="-7.4"/>
    <d v="2025-09-15T00:00:00"/>
    <s v="NDF 25000242"/>
    <m/>
    <e v="#N/A"/>
    <e v="#N/A"/>
    <n v="88537"/>
    <s v="25000242"/>
    <s v="Anthony Martinez"/>
    <s v="Q3"/>
    <e v="#REF!"/>
    <e v="#REF!"/>
    <e v="#REF!"/>
  </r>
  <r>
    <s v="425200"/>
    <x v="6"/>
    <s v="PERSONNEL - NOTE DE FRAIS"/>
    <s v="NDF"/>
    <n v="-7"/>
    <d v="2025-11-24T00:00:00"/>
    <s v="NDF 25000284"/>
    <m/>
    <e v="#N/A"/>
    <e v="#N/A"/>
    <n v="90946"/>
    <s v="25000284"/>
    <s v="Pierre-Yves Bolle"/>
    <s v="Q4"/>
    <e v="#REF!"/>
    <e v="#REF!"/>
    <e v="#REF!"/>
  </r>
  <r>
    <s v="425200"/>
    <x v="6"/>
    <s v="PERSONNEL - NOTE DE FRAIS"/>
    <s v="NDF"/>
    <n v="-7"/>
    <d v="2025-12-11T00:00:00"/>
    <s v="NDF 25000328"/>
    <m/>
    <e v="#N/A"/>
    <e v="#N/A"/>
    <n v="93277"/>
    <s v="25000328"/>
    <s v="Anthony Martinez"/>
    <s v="Q4"/>
    <e v="#REF!"/>
    <e v="#REF!"/>
    <e v="#REF!"/>
  </r>
  <r>
    <s v="425200"/>
    <x v="6"/>
    <s v="PERSONNEL - NOTE DE FRAIS"/>
    <s v="NDF"/>
    <n v="-6.98"/>
    <d v="2025-11-21T00:00:00"/>
    <s v="NDF 25000314"/>
    <m/>
    <e v="#N/A"/>
    <e v="#N/A"/>
    <n v="93427"/>
    <s v="25000314"/>
    <s v="Pierre-Yves Bolle"/>
    <s v="Q4"/>
    <e v="#REF!"/>
    <e v="#REF!"/>
    <e v="#REF!"/>
  </r>
  <r>
    <s v="425200"/>
    <x v="6"/>
    <s v="PERSONNEL - NOTE DE FRAIS"/>
    <s v="NDF"/>
    <n v="-6.9"/>
    <d v="2025-06-03T00:00:00"/>
    <s v="NDF 25000338"/>
    <m/>
    <e v="#N/A"/>
    <e v="#N/A"/>
    <n v="95900"/>
    <s v="25000338"/>
    <s v="Alain Pinchard"/>
    <s v="Q2"/>
    <e v="#REF!"/>
    <e v="#REF!"/>
    <e v="#REF!"/>
  </r>
  <r>
    <s v="425200"/>
    <x v="6"/>
    <s v="PERSONNEL - NOTE DE FRAIS"/>
    <s v="NDF"/>
    <n v="-6.85"/>
    <d v="2025-09-30T00:00:00"/>
    <s v="NDF 25000338"/>
    <m/>
    <e v="#N/A"/>
    <e v="#N/A"/>
    <n v="95877"/>
    <s v="25000338"/>
    <s v="Alain Pinchard"/>
    <s v="Q3"/>
    <e v="#REF!"/>
    <e v="#REF!"/>
    <e v="#REF!"/>
  </r>
  <r>
    <s v="425200"/>
    <x v="6"/>
    <s v="PERSONNEL - NOTE DE FRAIS"/>
    <s v="NDF"/>
    <n v="-6.8"/>
    <d v="2025-06-19T00:00:00"/>
    <s v="NDF 25000111"/>
    <m/>
    <e v="#N/A"/>
    <e v="#N/A"/>
    <n v="89199"/>
    <s v="25000111"/>
    <s v="Pauline Rullière"/>
    <s v="Q2"/>
    <e v="#REF!"/>
    <e v="#REF!"/>
    <e v="#REF!"/>
  </r>
  <r>
    <s v="425200"/>
    <x v="6"/>
    <s v="PERSONNEL - NOTE DE FRAIS"/>
    <s v="NDF"/>
    <n v="-6.8"/>
    <d v="2025-09-09T00:00:00"/>
    <s v="NDF 25000195"/>
    <m/>
    <e v="#N/A"/>
    <e v="#N/A"/>
    <n v="88102"/>
    <s v="25000195"/>
    <s v="Pauline Rullière"/>
    <s v="Q3"/>
    <e v="#REF!"/>
    <e v="#REF!"/>
    <e v="#REF!"/>
  </r>
  <r>
    <s v="425200"/>
    <x v="6"/>
    <s v="PERSONNEL - NOTE DE FRAIS"/>
    <s v="NDF"/>
    <n v="-6.7"/>
    <d v="2025-05-16T00:00:00"/>
    <s v="NDF 25000111"/>
    <m/>
    <e v="#N/A"/>
    <e v="#N/A"/>
    <n v="89186"/>
    <s v="25000111"/>
    <s v="Pauline Rullière"/>
    <s v="Q2"/>
    <e v="#REF!"/>
    <e v="#REF!"/>
    <e v="#REF!"/>
  </r>
  <r>
    <s v="425200"/>
    <x v="6"/>
    <s v="PERSONNEL - NOTE DE FRAIS"/>
    <s v="NDF"/>
    <n v="-6.6"/>
    <d v="2025-09-17T00:00:00"/>
    <s v="NDF 25000248"/>
    <m/>
    <e v="#N/A"/>
    <e v="#N/A"/>
    <n v="88564"/>
    <s v="25000248"/>
    <s v="Pierre-Yves Bolle"/>
    <s v="Q3"/>
    <e v="#REF!"/>
    <e v="#REF!"/>
    <e v="#REF!"/>
  </r>
  <r>
    <s v="425200"/>
    <x v="6"/>
    <s v="PERSONNEL - NOTE DE FRAIS"/>
    <s v="NDF"/>
    <n v="-6.5"/>
    <d v="2025-10-03T00:00:00"/>
    <s v="NDF 25000269"/>
    <m/>
    <e v="#N/A"/>
    <e v="#N/A"/>
    <n v="88402"/>
    <s v="25000269"/>
    <s v="Nuria RAMOS"/>
    <s v="Q4"/>
    <e v="#REF!"/>
    <e v="#REF!"/>
    <e v="#REF!"/>
  </r>
  <r>
    <s v="425200"/>
    <x v="6"/>
    <s v="PERSONNEL - NOTE DE FRAIS"/>
    <s v="NDF"/>
    <n v="-6.45"/>
    <d v="2025-12-01T00:00:00"/>
    <s v="NDF 25000289"/>
    <m/>
    <e v="#N/A"/>
    <e v="#N/A"/>
    <n v="93468"/>
    <s v="25000289"/>
    <s v="Pauline Rullière"/>
    <s v="Q4"/>
    <e v="#REF!"/>
    <e v="#REF!"/>
    <e v="#REF!"/>
  </r>
  <r>
    <s v="425200"/>
    <x v="6"/>
    <s v="PERSONNEL - NOTE DE FRAIS"/>
    <s v="NDF"/>
    <n v="-6.45"/>
    <d v="2025-12-12T00:00:00"/>
    <s v="NDF 25000328"/>
    <m/>
    <e v="#N/A"/>
    <e v="#N/A"/>
    <n v="93284"/>
    <s v="25000328"/>
    <s v="Anthony Martinez"/>
    <s v="Q4"/>
    <e v="#REF!"/>
    <e v="#REF!"/>
    <e v="#REF!"/>
  </r>
  <r>
    <s v="425200"/>
    <x v="6"/>
    <s v="PERSONNEL - NOTE DE FRAIS"/>
    <s v="NDF"/>
    <n v="-6.4"/>
    <d v="2025-05-13T00:00:00"/>
    <s v="NDF 25000338"/>
    <m/>
    <e v="#N/A"/>
    <e v="#N/A"/>
    <n v="95907"/>
    <s v="25000338"/>
    <s v="Alain Pinchard"/>
    <s v="Q2"/>
    <e v="#REF!"/>
    <e v="#REF!"/>
    <e v="#REF!"/>
  </r>
  <r>
    <s v="425200"/>
    <x v="6"/>
    <s v="PERSONNEL - NOTE DE FRAIS"/>
    <s v="NDF"/>
    <n v="-6.2"/>
    <d v="2025-09-19T00:00:00"/>
    <s v="NDF 25000248"/>
    <m/>
    <e v="#N/A"/>
    <e v="#N/A"/>
    <n v="88572"/>
    <s v="25000248"/>
    <s v="Pierre-Yves Bolle"/>
    <s v="Q3"/>
    <e v="#REF!"/>
    <e v="#REF!"/>
    <e v="#REF!"/>
  </r>
  <r>
    <s v="425200"/>
    <x v="6"/>
    <s v="PERSONNEL - NOTE DE FRAIS"/>
    <s v="NDF"/>
    <n v="-6.2"/>
    <d v="2025-12-12T00:00:00"/>
    <s v="NDF 25000338"/>
    <m/>
    <e v="#N/A"/>
    <e v="#N/A"/>
    <n v="95855"/>
    <s v="25000338"/>
    <s v="Alain Pinchard"/>
    <s v="Q4"/>
    <e v="#REF!"/>
    <e v="#REF!"/>
    <e v="#REF!"/>
  </r>
  <r>
    <s v="425200"/>
    <x v="6"/>
    <s v="PERSONNEL - NOTE DE FRAIS"/>
    <s v="NDF"/>
    <n v="-6"/>
    <d v="2025-09-01T00:00:00"/>
    <s v="NDF 25000225"/>
    <m/>
    <e v="#N/A"/>
    <e v="#N/A"/>
    <n v="88090"/>
    <s v="25000225"/>
    <s v="Jérémie Blache"/>
    <s v="Q3"/>
    <e v="#REF!"/>
    <e v="#REF!"/>
    <e v="#REF!"/>
  </r>
  <r>
    <s v="425200"/>
    <x v="6"/>
    <s v="PERSONNEL - NOTE DE FRAIS"/>
    <s v="NDF"/>
    <n v="-6"/>
    <d v="2025-10-01T00:00:00"/>
    <s v="NDF 25000277"/>
    <m/>
    <e v="#N/A"/>
    <e v="#N/A"/>
    <n v="88925"/>
    <s v="25000277"/>
    <s v="Jérémie Blache"/>
    <s v="Q4"/>
    <e v="#REF!"/>
    <e v="#REF!"/>
    <e v="#REF!"/>
  </r>
  <r>
    <s v="425200"/>
    <x v="6"/>
    <s v="PERSONNEL - NOTE DE FRAIS"/>
    <s v="NDF"/>
    <n v="-5.95"/>
    <d v="2025-10-03T00:00:00"/>
    <s v="NDF 25000264"/>
    <m/>
    <e v="#N/A"/>
    <e v="#N/A"/>
    <n v="88592"/>
    <s v="25000264"/>
    <s v="Gaëlle Buche"/>
    <s v="Q4"/>
    <e v="#REF!"/>
    <e v="#REF!"/>
    <e v="#REF!"/>
  </r>
  <r>
    <s v="425200"/>
    <x v="6"/>
    <s v="PERSONNEL - NOTE DE FRAIS"/>
    <s v="NDF"/>
    <n v="-5.9"/>
    <d v="2025-10-03T00:00:00"/>
    <s v="NDF 25000256"/>
    <m/>
    <e v="#N/A"/>
    <e v="#N/A"/>
    <n v="89038"/>
    <s v="25000256"/>
    <s v="Benjamin Barry"/>
    <s v="Q4"/>
    <e v="#REF!"/>
    <e v="#REF!"/>
    <e v="#REF!"/>
  </r>
  <r>
    <s v="425200"/>
    <x v="6"/>
    <s v="PERSONNEL - NOTE DE FRAIS"/>
    <s v="NDF"/>
    <n v="-5.7"/>
    <d v="2025-09-08T00:00:00"/>
    <s v="NDF 25000218"/>
    <m/>
    <e v="#N/A"/>
    <e v="#N/A"/>
    <n v="88084"/>
    <s v="25000218"/>
    <s v="Jérémie Blache"/>
    <s v="Q3"/>
    <e v="#REF!"/>
    <e v="#REF!"/>
    <e v="#REF!"/>
  </r>
  <r>
    <s v="425200"/>
    <x v="6"/>
    <s v="PERSONNEL - NOTE DE FRAIS"/>
    <s v="NDF"/>
    <n v="-5.7"/>
    <d v="2025-09-23T00:00:00"/>
    <s v="NDF 25000253"/>
    <m/>
    <e v="#N/A"/>
    <e v="#N/A"/>
    <n v="88452"/>
    <s v="25000253"/>
    <s v="Bob Fernandez"/>
    <s v="Q3"/>
    <e v="#REF!"/>
    <e v="#REF!"/>
    <e v="#REF!"/>
  </r>
  <r>
    <s v="425200"/>
    <x v="6"/>
    <s v="PERSONNEL - NOTE DE FRAIS"/>
    <s v="NDF"/>
    <n v="-5.58"/>
    <d v="2025-07-26T00:00:00"/>
    <s v="NDF 25000194"/>
    <m/>
    <e v="#N/A"/>
    <e v="#N/A"/>
    <n v="88844"/>
    <s v="25000194"/>
    <s v="Marie Rézeau"/>
    <s v="Q3"/>
    <e v="#REF!"/>
    <e v="#REF!"/>
    <e v="#REF!"/>
  </r>
  <r>
    <s v="425200"/>
    <x v="6"/>
    <s v="PERSONNEL - NOTE DE FRAIS"/>
    <s v="NDF"/>
    <n v="-5.4"/>
    <d v="2025-10-02T00:00:00"/>
    <s v="NDF 25000256"/>
    <m/>
    <e v="#N/A"/>
    <e v="#N/A"/>
    <n v="89023"/>
    <s v="25000256"/>
    <s v="Benjamin Barry"/>
    <s v="Q4"/>
    <e v="#REF!"/>
    <e v="#REF!"/>
    <e v="#REF!"/>
  </r>
  <r>
    <s v="425200"/>
    <x v="6"/>
    <s v="PERSONNEL - NOTE DE FRAIS"/>
    <s v="NDF"/>
    <n v="-5.35"/>
    <d v="2025-11-24T00:00:00"/>
    <s v="NDF 25000302"/>
    <m/>
    <e v="#N/A"/>
    <e v="#N/A"/>
    <n v="90821"/>
    <s v="25000302"/>
    <s v="Jérémie Blache"/>
    <s v="Q4"/>
    <e v="#REF!"/>
    <e v="#REF!"/>
    <e v="#REF!"/>
  </r>
  <r>
    <s v="425200"/>
    <x v="6"/>
    <s v="PERSONNEL - NOTE DE FRAIS"/>
    <s v="NDF"/>
    <n v="-5.0199999999999996"/>
    <d v="2025-10-03T00:00:00"/>
    <s v="NDF 25000338"/>
    <m/>
    <e v="#N/A"/>
    <e v="#N/A"/>
    <n v="95905"/>
    <s v="25000338"/>
    <s v="Alain Pinchard"/>
    <s v="Q4"/>
    <e v="#REF!"/>
    <e v="#REF!"/>
    <e v="#REF!"/>
  </r>
  <r>
    <s v="425200"/>
    <x v="6"/>
    <s v="PERSONNEL - NOTE DE FRAIS"/>
    <s v="NDF"/>
    <n v="-5"/>
    <d v="2025-07-03T00:00:00"/>
    <s v="NDF 25000202"/>
    <m/>
    <e v="#N/A"/>
    <e v="#N/A"/>
    <n v="88817"/>
    <s v="25000202"/>
    <s v="Pierre-Yves Bolle"/>
    <s v="Q3"/>
    <e v="#REF!"/>
    <e v="#REF!"/>
    <e v="#REF!"/>
  </r>
  <r>
    <s v="425200"/>
    <x v="6"/>
    <s v="PERSONNEL - NOTE DE FRAIS"/>
    <s v="NDF"/>
    <n v="-5"/>
    <d v="2025-07-29T00:00:00"/>
    <s v="NDF 25000204"/>
    <m/>
    <e v="#N/A"/>
    <e v="#N/A"/>
    <n v="88714"/>
    <s v="25000204"/>
    <s v="Océane Chabret"/>
    <s v="Q3"/>
    <e v="#REF!"/>
    <e v="#REF!"/>
    <e v="#REF!"/>
  </r>
  <r>
    <s v="425200"/>
    <x v="6"/>
    <s v="PERSONNEL - NOTE DE FRAIS"/>
    <s v="NDF"/>
    <n v="-5"/>
    <d v="2025-09-17T00:00:00"/>
    <s v="NDF 25000234"/>
    <m/>
    <e v="#N/A"/>
    <e v="#N/A"/>
    <n v="88488"/>
    <s v="25000234"/>
    <s v="Jérémie Blache"/>
    <s v="Q3"/>
    <e v="#REF!"/>
    <e v="#REF!"/>
    <e v="#REF!"/>
  </r>
  <r>
    <s v="425200"/>
    <x v="6"/>
    <s v="PERSONNEL - NOTE DE FRAIS"/>
    <s v="NDF"/>
    <n v="-5"/>
    <d v="2025-11-24T00:00:00"/>
    <s v="NDF 25000296"/>
    <m/>
    <e v="#N/A"/>
    <e v="#N/A"/>
    <n v="90842"/>
    <s v="25000296"/>
    <s v="Jérémie Blache"/>
    <s v="Q4"/>
    <e v="#REF!"/>
    <e v="#REF!"/>
    <e v="#REF!"/>
  </r>
  <r>
    <s v="425200"/>
    <x v="6"/>
    <s v="PERSONNEL - NOTE DE FRAIS"/>
    <s v="NDF"/>
    <n v="-5"/>
    <d v="2025-11-24T00:00:00"/>
    <s v="NDF 25000296"/>
    <m/>
    <e v="#N/A"/>
    <e v="#N/A"/>
    <n v="90854"/>
    <s v="25000296"/>
    <s v="Jérémie Blache"/>
    <s v="Q4"/>
    <e v="#REF!"/>
    <e v="#REF!"/>
    <e v="#REF!"/>
  </r>
  <r>
    <s v="425200"/>
    <x v="6"/>
    <s v="PERSONNEL - NOTE DE FRAIS"/>
    <s v="NDF"/>
    <n v="-4.95"/>
    <d v="2025-10-01T00:00:00"/>
    <s v="NDF 25000256"/>
    <m/>
    <e v="#N/A"/>
    <e v="#N/A"/>
    <n v="89032"/>
    <s v="25000256"/>
    <s v="Benjamin Barry"/>
    <s v="Q4"/>
    <e v="#REF!"/>
    <e v="#REF!"/>
    <e v="#REF!"/>
  </r>
  <r>
    <s v="425200"/>
    <x v="6"/>
    <s v="PERSONNEL - NOTE DE FRAIS"/>
    <s v="NDF"/>
    <n v="-4.9000000000000004"/>
    <d v="2025-11-24T00:00:00"/>
    <s v="NDF 25000291"/>
    <m/>
    <e v="#N/A"/>
    <e v="#N/A"/>
    <n v="91005"/>
    <s v="25000291"/>
    <s v="Jérémie Blache"/>
    <s v="Q4"/>
    <e v="#REF!"/>
    <e v="#REF!"/>
    <e v="#REF!"/>
  </r>
  <r>
    <s v="425200"/>
    <x v="6"/>
    <s v="PERSONNEL - NOTE DE FRAIS"/>
    <s v="NDF"/>
    <n v="-4.88"/>
    <d v="2025-11-20T00:00:00"/>
    <s v="NDF 25000314"/>
    <m/>
    <e v="#N/A"/>
    <e v="#N/A"/>
    <n v="93412"/>
    <s v="25000314"/>
    <s v="Pierre-Yves Bolle"/>
    <s v="Q4"/>
    <e v="#REF!"/>
    <e v="#REF!"/>
    <e v="#REF!"/>
  </r>
  <r>
    <s v="425200"/>
    <x v="6"/>
    <s v="PERSONNEL - NOTE DE FRAIS"/>
    <s v="NDF"/>
    <n v="-4.8"/>
    <d v="2025-03-28T00:00:00"/>
    <s v="NOTE DE FRAIS"/>
    <m/>
    <e v="#N/A"/>
    <e v="#N/A"/>
    <n v="74221"/>
    <s v="25000095"/>
    <s v="Marjorie Denard"/>
    <s v="Q1"/>
    <e v="#REF!"/>
    <e v="#REF!"/>
    <e v="#REF!"/>
  </r>
  <r>
    <s v="425200"/>
    <x v="6"/>
    <s v="PERSONNEL - NOTE DE FRAIS"/>
    <s v="NDF"/>
    <n v="-4.8"/>
    <d v="2025-10-06T00:00:00"/>
    <s v="NDF 25000256"/>
    <m/>
    <e v="#N/A"/>
    <e v="#N/A"/>
    <n v="89060"/>
    <s v="25000256"/>
    <s v="Benjamin Barry"/>
    <s v="Q4"/>
    <e v="#REF!"/>
    <e v="#REF!"/>
    <e v="#REF!"/>
  </r>
  <r>
    <s v="425200"/>
    <x v="6"/>
    <s v="PERSONNEL - NOTE DE FRAIS"/>
    <s v="NDF"/>
    <n v="-4.5999999999999996"/>
    <d v="2025-01-09T00:00:00"/>
    <s v="NDF 25000215"/>
    <m/>
    <e v="#N/A"/>
    <e v="#N/A"/>
    <n v="88087"/>
    <s v="25000215"/>
    <s v="Jérémie Blache"/>
    <s v="Q1"/>
    <e v="#REF!"/>
    <e v="#REF!"/>
    <e v="#REF!"/>
  </r>
  <r>
    <s v="425200"/>
    <x v="6"/>
    <s v="PERSONNEL - NOTE DE FRAIS"/>
    <s v="NDF"/>
    <n v="-4.55"/>
    <d v="2025-04-01T00:00:00"/>
    <s v="NOTE DE FRAIS"/>
    <m/>
    <e v="#N/A"/>
    <e v="#N/A"/>
    <n v="74290"/>
    <s v="25000130"/>
    <s v="Jérémie Blache"/>
    <s v="Q2"/>
    <e v="#REF!"/>
    <e v="#REF!"/>
    <e v="#REF!"/>
  </r>
  <r>
    <s v="425200"/>
    <x v="6"/>
    <s v="PERSONNEL - NOTE DE FRAIS"/>
    <s v="NDF"/>
    <n v="-4.54"/>
    <d v="2025-09-23T00:00:00"/>
    <s v="NDF 25000259"/>
    <m/>
    <e v="#N/A"/>
    <e v="#N/A"/>
    <n v="88444"/>
    <s v="25000259"/>
    <s v="Guillaume Boissonnat-Wu"/>
    <s v="Q3"/>
    <e v="#REF!"/>
    <e v="#REF!"/>
    <e v="#REF!"/>
  </r>
  <r>
    <s v="425200"/>
    <x v="6"/>
    <s v="PERSONNEL - NOTE DE FRAIS"/>
    <s v="NDF"/>
    <n v="-4.47"/>
    <d v="2025-10-03T00:00:00"/>
    <s v="NDF 25000255"/>
    <m/>
    <e v="#N/A"/>
    <e v="#N/A"/>
    <n v="88956"/>
    <s v="25000255"/>
    <s v="Emilie Amillastré"/>
    <s v="Q4"/>
    <e v="#REF!"/>
    <e v="#REF!"/>
    <e v="#REF!"/>
  </r>
  <r>
    <s v="425200"/>
    <x v="6"/>
    <s v="PERSONNEL - NOTE DE FRAIS"/>
    <s v="NDF"/>
    <n v="-4.4000000000000004"/>
    <d v="2025-06-20T00:00:00"/>
    <s v="NDF 25000200"/>
    <m/>
    <e v="#N/A"/>
    <e v="#N/A"/>
    <n v="88761"/>
    <s v="25000200"/>
    <s v="Anne-Sophie Goutierre"/>
    <s v="Q2"/>
    <e v="#REF!"/>
    <e v="#REF!"/>
    <e v="#REF!"/>
  </r>
  <r>
    <s v="425200"/>
    <x v="6"/>
    <s v="PERSONNEL - NOTE DE FRAIS"/>
    <s v="NDF"/>
    <n v="-4.4000000000000004"/>
    <d v="2025-06-20T00:00:00"/>
    <s v="NDF 25000200"/>
    <m/>
    <e v="#N/A"/>
    <e v="#N/A"/>
    <n v="88778"/>
    <s v="25000200"/>
    <s v="Anne-Sophie Goutierre"/>
    <s v="Q2"/>
    <e v="#REF!"/>
    <e v="#REF!"/>
    <e v="#REF!"/>
  </r>
  <r>
    <s v="425200"/>
    <x v="6"/>
    <s v="PERSONNEL - NOTE DE FRAIS"/>
    <s v="NDF"/>
    <n v="-4.4000000000000004"/>
    <d v="2025-09-23T00:00:00"/>
    <s v="NDF 25000257"/>
    <m/>
    <e v="#N/A"/>
    <e v="#N/A"/>
    <n v="88973"/>
    <s v="25000257"/>
    <s v="Anne-Sophie Goutierre"/>
    <s v="Q3"/>
    <e v="#REF!"/>
    <e v="#REF!"/>
    <e v="#REF!"/>
  </r>
  <r>
    <s v="425200"/>
    <x v="6"/>
    <s v="PERSONNEL - NOTE DE FRAIS"/>
    <s v="NDF"/>
    <n v="-4.4000000000000004"/>
    <d v="2025-09-23T00:00:00"/>
    <s v="NDF 25000257"/>
    <m/>
    <e v="#N/A"/>
    <e v="#N/A"/>
    <n v="88978"/>
    <s v="25000257"/>
    <s v="Anne-Sophie Goutierre"/>
    <s v="Q3"/>
    <e v="#REF!"/>
    <e v="#REF!"/>
    <e v="#REF!"/>
  </r>
  <r>
    <s v="425200"/>
    <x v="6"/>
    <s v="PERSONNEL - NOTE DE FRAIS"/>
    <s v="NDF"/>
    <n v="-4.32"/>
    <d v="2025-05-15T00:00:00"/>
    <s v="NOTE DE FRAIS"/>
    <m/>
    <e v="#N/A"/>
    <e v="#N/A"/>
    <n v="74427"/>
    <s v="25000147"/>
    <s v="Jérémie Blache"/>
    <s v="Q2"/>
    <e v="#REF!"/>
    <e v="#REF!"/>
    <e v="#REF!"/>
  </r>
  <r>
    <s v="425200"/>
    <x v="6"/>
    <s v="PERSONNEL - NOTE DE FRAIS"/>
    <s v="NDF"/>
    <n v="-4.3"/>
    <d v="2025-05-13T00:00:00"/>
    <s v="NDF 25000338"/>
    <m/>
    <e v="#N/A"/>
    <e v="#N/A"/>
    <n v="95922"/>
    <s v="25000338"/>
    <s v="Alain Pinchard"/>
    <s v="Q2"/>
    <e v="#REF!"/>
    <e v="#REF!"/>
    <e v="#REF!"/>
  </r>
  <r>
    <s v="425200"/>
    <x v="6"/>
    <s v="PERSONNEL - NOTE DE FRAIS"/>
    <s v="NDF"/>
    <n v="-4.3"/>
    <d v="2025-09-17T00:00:00"/>
    <s v="NDF 25000234"/>
    <m/>
    <e v="#N/A"/>
    <e v="#N/A"/>
    <n v="88485"/>
    <s v="25000234"/>
    <s v="Jérémie Blache"/>
    <s v="Q3"/>
    <e v="#REF!"/>
    <e v="#REF!"/>
    <e v="#REF!"/>
  </r>
  <r>
    <s v="425200"/>
    <x v="6"/>
    <s v="PERSONNEL - NOTE DE FRAIS"/>
    <s v="NDF"/>
    <n v="-4.3"/>
    <d v="2025-09-19T00:00:00"/>
    <s v="NDF 25000234"/>
    <m/>
    <e v="#N/A"/>
    <e v="#N/A"/>
    <n v="88490"/>
    <s v="25000234"/>
    <s v="Jérémie Blache"/>
    <s v="Q3"/>
    <e v="#REF!"/>
    <e v="#REF!"/>
    <e v="#REF!"/>
  </r>
  <r>
    <s v="425200"/>
    <x v="6"/>
    <s v="PERSONNEL - NOTE DE FRAIS"/>
    <s v="NDF"/>
    <n v="-4"/>
    <d v="2025-07-15T00:00:00"/>
    <s v="NDF 25000195"/>
    <m/>
    <e v="#N/A"/>
    <e v="#N/A"/>
    <n v="88107"/>
    <s v="25000195"/>
    <s v="Pauline Rullière"/>
    <s v="Q3"/>
    <e v="#REF!"/>
    <e v="#REF!"/>
    <e v="#REF!"/>
  </r>
  <r>
    <s v="425200"/>
    <x v="6"/>
    <s v="PERSONNEL - NOTE DE FRAIS"/>
    <s v="NDF"/>
    <n v="-3.84"/>
    <d v="2025-06-24T00:00:00"/>
    <s v="NDF 25000111"/>
    <m/>
    <e v="#N/A"/>
    <e v="#N/A"/>
    <n v="89203"/>
    <s v="25000111"/>
    <s v="Pauline Rullière"/>
    <s v="Q2"/>
    <e v="#REF!"/>
    <e v="#REF!"/>
    <e v="#REF!"/>
  </r>
  <r>
    <s v="425200"/>
    <x v="6"/>
    <s v="PERSONNEL - NOTE DE FRAIS"/>
    <s v="NDF"/>
    <n v="-3.8"/>
    <d v="2025-12-12T00:00:00"/>
    <s v="NDF 25000323"/>
    <m/>
    <e v="#N/A"/>
    <e v="#N/A"/>
    <n v="93254"/>
    <s v="25000323"/>
    <s v="Jérémie Blache"/>
    <s v="Q4"/>
    <e v="#REF!"/>
    <e v="#REF!"/>
    <e v="#REF!"/>
  </r>
  <r>
    <s v="425200"/>
    <x v="6"/>
    <s v="PERSONNEL - NOTE DE FRAIS"/>
    <s v="NDF"/>
    <n v="-3.7"/>
    <d v="2025-09-17T00:00:00"/>
    <s v="NDF 25000257"/>
    <m/>
    <e v="#N/A"/>
    <e v="#N/A"/>
    <n v="88975"/>
    <s v="25000257"/>
    <s v="Anne-Sophie Goutierre"/>
    <s v="Q3"/>
    <e v="#REF!"/>
    <e v="#REF!"/>
    <e v="#REF!"/>
  </r>
  <r>
    <s v="425200"/>
    <x v="6"/>
    <s v="PERSONNEL - NOTE DE FRAIS"/>
    <s v="NDF"/>
    <n v="-3.7"/>
    <d v="2025-09-19T00:00:00"/>
    <s v="NDF 25000257"/>
    <m/>
    <e v="#N/A"/>
    <e v="#N/A"/>
    <n v="88980"/>
    <s v="25000257"/>
    <s v="Anne-Sophie Goutierre"/>
    <s v="Q3"/>
    <e v="#REF!"/>
    <e v="#REF!"/>
    <e v="#REF!"/>
  </r>
  <r>
    <s v="425200"/>
    <x v="6"/>
    <s v="PERSONNEL - NOTE DE FRAIS"/>
    <s v="NDF"/>
    <n v="-3.6"/>
    <d v="2025-07-17T00:00:00"/>
    <s v="NDF 25000197"/>
    <m/>
    <e v="#N/A"/>
    <e v="#N/A"/>
    <n v="88722"/>
    <s v="25000197"/>
    <s v="Filipe Gomes"/>
    <s v="Q3"/>
    <e v="#REF!"/>
    <e v="#REF!"/>
    <e v="#REF!"/>
  </r>
  <r>
    <s v="425200"/>
    <x v="6"/>
    <s v="PERSONNEL - NOTE DE FRAIS"/>
    <s v="NDF"/>
    <n v="-3.6"/>
    <d v="2025-10-01T00:00:00"/>
    <s v="NDF 25000318"/>
    <m/>
    <e v="#N/A"/>
    <e v="#N/A"/>
    <n v="93452"/>
    <s v="25000318"/>
    <s v="Lucie Crépin"/>
    <s v="Q4"/>
    <e v="#REF!"/>
    <e v="#REF!"/>
    <e v="#REF!"/>
  </r>
  <r>
    <s v="425200"/>
    <x v="6"/>
    <s v="PERSONNEL - NOTE DE FRAIS"/>
    <s v="NDF"/>
    <n v="-3.3"/>
    <d v="2025-09-22T00:00:00"/>
    <s v="NDF 25000222"/>
    <m/>
    <e v="#N/A"/>
    <e v="#N/A"/>
    <n v="88606"/>
    <s v="25000222"/>
    <s v="Pauline Rullière"/>
    <s v="Q3"/>
    <e v="#REF!"/>
    <e v="#REF!"/>
    <e v="#REF!"/>
  </r>
  <r>
    <s v="425200"/>
    <x v="6"/>
    <s v="PERSONNEL - NOTE DE FRAIS"/>
    <s v="NDF"/>
    <n v="-3.3"/>
    <d v="2025-11-24T00:00:00"/>
    <s v="NDF 25000296"/>
    <m/>
    <e v="#N/A"/>
    <e v="#N/A"/>
    <n v="90846"/>
    <s v="25000296"/>
    <s v="Jérémie Blache"/>
    <s v="Q4"/>
    <e v="#REF!"/>
    <e v="#REF!"/>
    <e v="#REF!"/>
  </r>
  <r>
    <s v="425200"/>
    <x v="6"/>
    <s v="PERSONNEL - NOTE DE FRAIS"/>
    <s v="NDF"/>
    <n v="-3.2"/>
    <d v="2025-10-06T00:00:00"/>
    <s v="NDF 25000256"/>
    <m/>
    <e v="#N/A"/>
    <e v="#N/A"/>
    <n v="89046"/>
    <s v="25000256"/>
    <s v="Benjamin Barry"/>
    <s v="Q4"/>
    <e v="#REF!"/>
    <e v="#REF!"/>
    <e v="#REF!"/>
  </r>
  <r>
    <s v="425200"/>
    <x v="6"/>
    <s v="PERSONNEL - NOTE DE FRAIS"/>
    <s v="NDF"/>
    <n v="-3.1"/>
    <d v="2025-11-13T00:00:00"/>
    <s v="NDF 25000314"/>
    <m/>
    <e v="#N/A"/>
    <e v="#N/A"/>
    <n v="93423"/>
    <s v="25000314"/>
    <s v="Pierre-Yves Bolle"/>
    <s v="Q4"/>
    <e v="#REF!"/>
    <e v="#REF!"/>
    <e v="#REF!"/>
  </r>
  <r>
    <s v="425200"/>
    <x v="6"/>
    <s v="PERSONNEL - NOTE DE FRAIS"/>
    <s v="NDF"/>
    <n v="-3.1"/>
    <d v="2025-11-14T00:00:00"/>
    <s v="NDF 25000314"/>
    <m/>
    <e v="#N/A"/>
    <e v="#N/A"/>
    <n v="93418"/>
    <s v="25000314"/>
    <s v="Pierre-Yves Bolle"/>
    <s v="Q4"/>
    <e v="#REF!"/>
    <e v="#REF!"/>
    <e v="#REF!"/>
  </r>
  <r>
    <s v="425200"/>
    <x v="6"/>
    <s v="PERSONNEL - NOTE DE FRAIS"/>
    <s v="NDF"/>
    <n v="-3"/>
    <d v="2025-09-29T00:00:00"/>
    <s v="NDF 25000256"/>
    <m/>
    <e v="#N/A"/>
    <e v="#N/A"/>
    <n v="89028"/>
    <s v="25000256"/>
    <s v="Benjamin Barry"/>
    <s v="Q3"/>
    <e v="#REF!"/>
    <e v="#REF!"/>
    <e v="#REF!"/>
  </r>
  <r>
    <s v="425200"/>
    <x v="6"/>
    <s v="PERSONNEL - NOTE DE FRAIS"/>
    <s v="NDF"/>
    <n v="-2.9"/>
    <d v="2025-07-02T00:00:00"/>
    <s v="NDF 25000180"/>
    <m/>
    <e v="#N/A"/>
    <e v="#N/A"/>
    <n v="88635"/>
    <s v="25000180"/>
    <s v="Bob Fernandez"/>
    <s v="Q3"/>
    <e v="#REF!"/>
    <e v="#REF!"/>
    <e v="#REF!"/>
  </r>
  <r>
    <s v="425200"/>
    <x v="6"/>
    <s v="PERSONNEL - NOTE DE FRAIS"/>
    <s v="NDF"/>
    <n v="-2.8"/>
    <d v="2025-09-17T00:00:00"/>
    <s v="NDF 25000241"/>
    <m/>
    <e v="#N/A"/>
    <e v="#N/A"/>
    <n v="88521"/>
    <s v="25000241"/>
    <s v="Filipe Gomes"/>
    <s v="Q3"/>
    <e v="#REF!"/>
    <e v="#REF!"/>
    <e v="#REF!"/>
  </r>
  <r>
    <s v="425200"/>
    <x v="6"/>
    <s v="PERSONNEL - NOTE DE FRAIS"/>
    <s v="NDF"/>
    <n v="-2.8"/>
    <d v="2025-09-19T00:00:00"/>
    <s v="NDF 25000241"/>
    <m/>
    <e v="#N/A"/>
    <e v="#N/A"/>
    <n v="88514"/>
    <s v="25000241"/>
    <s v="Filipe Gomes"/>
    <s v="Q3"/>
    <e v="#REF!"/>
    <e v="#REF!"/>
    <e v="#REF!"/>
  </r>
  <r>
    <s v="425200"/>
    <x v="6"/>
    <s v="PERSONNEL - NOTE DE FRAIS"/>
    <s v="NDF"/>
    <n v="-2.8"/>
    <d v="2025-12-11T00:00:00"/>
    <s v="NDF 25000338"/>
    <m/>
    <e v="#N/A"/>
    <e v="#N/A"/>
    <n v="95938"/>
    <s v="25000338"/>
    <s v="Alain Pinchard"/>
    <s v="Q4"/>
    <e v="#REF!"/>
    <e v="#REF!"/>
    <e v="#REF!"/>
  </r>
  <r>
    <s v="425200"/>
    <x v="6"/>
    <s v="PERSONNEL - NOTE DE FRAIS"/>
    <s v="NDF"/>
    <n v="-2.5"/>
    <d v="2025-05-06T00:00:00"/>
    <s v="NDF 25000111"/>
    <m/>
    <e v="#N/A"/>
    <e v="#N/A"/>
    <n v="89176"/>
    <s v="25000111"/>
    <s v="Pauline Rullière"/>
    <s v="Q2"/>
    <e v="#REF!"/>
    <e v="#REF!"/>
    <e v="#REF!"/>
  </r>
  <r>
    <s v="425200"/>
    <x v="6"/>
    <s v="PERSONNEL - NOTE DE FRAIS"/>
    <s v="NDF"/>
    <n v="-2.5"/>
    <d v="2025-12-02T00:00:00"/>
    <s v="NDF 25000315"/>
    <m/>
    <e v="#N/A"/>
    <e v="#N/A"/>
    <n v="93388"/>
    <s v="25000315"/>
    <s v="Kevin Cottet"/>
    <s v="Q4"/>
    <e v="#REF!"/>
    <e v="#REF!"/>
    <e v="#REF!"/>
  </r>
  <r>
    <s v="425200"/>
    <x v="6"/>
    <s v="PERSONNEL - NOTE DE FRAIS"/>
    <s v="NDF"/>
    <n v="-2.4"/>
    <d v="2025-07-08T00:00:00"/>
    <s v="NDF 25000111"/>
    <m/>
    <e v="#N/A"/>
    <e v="#N/A"/>
    <n v="89230"/>
    <s v="25000111"/>
    <s v="Pauline Rullière"/>
    <s v="Q3"/>
    <e v="#REF!"/>
    <e v="#REF!"/>
    <e v="#REF!"/>
  </r>
  <r>
    <s v="425200"/>
    <x v="6"/>
    <s v="PERSONNEL - NOTE DE FRAIS"/>
    <s v="NDF"/>
    <n v="-2.4"/>
    <d v="2025-11-04T00:00:00"/>
    <s v="NDF 25000289"/>
    <m/>
    <e v="#N/A"/>
    <e v="#N/A"/>
    <n v="93476"/>
    <s v="25000289"/>
    <s v="Pauline Rullière"/>
    <s v="Q4"/>
    <e v="#REF!"/>
    <e v="#REF!"/>
    <e v="#REF!"/>
  </r>
  <r>
    <s v="425200"/>
    <x v="6"/>
    <s v="PERSONNEL - NOTE DE FRAIS"/>
    <s v="NDF"/>
    <n v="-2.2999999999999998"/>
    <d v="2025-07-21T00:00:00"/>
    <s v="NDF 25000194"/>
    <m/>
    <e v="#N/A"/>
    <e v="#N/A"/>
    <n v="88858"/>
    <s v="25000194"/>
    <s v="Marie Rézeau"/>
    <s v="Q3"/>
    <e v="#REF!"/>
    <e v="#REF!"/>
    <e v="#REF!"/>
  </r>
  <r>
    <s v="425200"/>
    <x v="6"/>
    <s v="PERSONNEL - NOTE DE FRAIS"/>
    <s v="NDF"/>
    <n v="-2.2999999999999998"/>
    <d v="2025-09-17T00:00:00"/>
    <s v="NDF 25000241"/>
    <m/>
    <e v="#N/A"/>
    <e v="#N/A"/>
    <n v="88519"/>
    <s v="25000241"/>
    <s v="Filipe Gomes"/>
    <s v="Q3"/>
    <e v="#REF!"/>
    <e v="#REF!"/>
    <e v="#REF!"/>
  </r>
  <r>
    <s v="425200"/>
    <x v="6"/>
    <s v="PERSONNEL - NOTE DE FRAIS"/>
    <s v="NDF"/>
    <n v="-2.1"/>
    <d v="2025-12-09T00:00:00"/>
    <s v="NDF 25000325"/>
    <m/>
    <e v="#N/A"/>
    <e v="#N/A"/>
    <n v="95785"/>
    <s v="25000325"/>
    <s v="Marie Rézeau"/>
    <s v="Q4"/>
    <e v="#REF!"/>
    <e v="#REF!"/>
    <e v="#REF!"/>
  </r>
  <r>
    <s v="425200"/>
    <x v="6"/>
    <s v="PERSONNEL - NOTE DE FRAIS"/>
    <s v="NDF"/>
    <n v="-2"/>
    <d v="2025-12-12T00:00:00"/>
    <s v="NDF 25000338"/>
    <m/>
    <e v="#N/A"/>
    <e v="#N/A"/>
    <n v="95844"/>
    <s v="25000338"/>
    <s v="Alain Pinchard"/>
    <s v="Q4"/>
    <e v="#REF!"/>
    <e v="#REF!"/>
    <e v="#REF!"/>
  </r>
  <r>
    <s v="425200"/>
    <x v="6"/>
    <s v="PERSONNEL - NOTE DE FRAIS"/>
    <s v="NDF"/>
    <n v="-1.7"/>
    <d v="2025-09-17T00:00:00"/>
    <s v="NDF 25000222"/>
    <m/>
    <e v="#N/A"/>
    <e v="#N/A"/>
    <n v="88604"/>
    <s v="25000222"/>
    <s v="Pauline Rullière"/>
    <s v="Q3"/>
    <e v="#REF!"/>
    <e v="#REF!"/>
    <e v="#REF!"/>
  </r>
  <r>
    <s v="425200"/>
    <x v="6"/>
    <s v="PERSONNEL - NOTE DE FRAIS"/>
    <s v="NDF"/>
    <n v="-1.5"/>
    <d v="2025-12-04T00:00:00"/>
    <s v="NDF 25000289"/>
    <m/>
    <e v="#N/A"/>
    <e v="#N/A"/>
    <n v="93481"/>
    <s v="25000289"/>
    <s v="Pauline Rullière"/>
    <s v="Q4"/>
    <e v="#REF!"/>
    <e v="#REF!"/>
    <e v="#REF!"/>
  </r>
  <r>
    <s v="425200"/>
    <x v="6"/>
    <s v="PERSONNEL - NOTE DE FRAIS"/>
    <s v="NDF"/>
    <n v="-1.4"/>
    <d v="2025-05-06T00:00:00"/>
    <s v="NDF 25000111"/>
    <m/>
    <e v="#N/A"/>
    <e v="#N/A"/>
    <n v="89182"/>
    <s v="25000111"/>
    <s v="Pauline Rullière"/>
    <s v="Q2"/>
    <e v="#REF!"/>
    <e v="#REF!"/>
    <e v="#REF!"/>
  </r>
  <r>
    <s v="425200"/>
    <x v="6"/>
    <s v="PERSONNEL - NOTE DE FRAIS"/>
    <s v="NDF"/>
    <n v="-1.3"/>
    <d v="2025-09-17T00:00:00"/>
    <s v="NDF 25000237"/>
    <m/>
    <e v="#N/A"/>
    <e v="#N/A"/>
    <n v="88512"/>
    <s v="25000237"/>
    <s v="Benjamin Barry"/>
    <s v="Q3"/>
    <e v="#REF!"/>
    <e v="#REF!"/>
    <e v="#REF!"/>
  </r>
  <r>
    <s v="425200"/>
    <x v="6"/>
    <s v="PERSONNEL - NOTE DE FRAIS"/>
    <s v="NDF"/>
    <n v="-1.3"/>
    <d v="2025-09-19T00:00:00"/>
    <s v="NDF 25000237"/>
    <m/>
    <e v="#N/A"/>
    <e v="#N/A"/>
    <n v="88503"/>
    <s v="25000237"/>
    <s v="Benjamin Barry"/>
    <s v="Q3"/>
    <e v="#REF!"/>
    <e v="#REF!"/>
    <e v="#REF!"/>
  </r>
  <r>
    <s v="425200"/>
    <x v="6"/>
    <s v="PERSONNEL - NOTE DE FRAIS"/>
    <s v="NDF"/>
    <n v="-1.3"/>
    <d v="2025-10-02T00:00:00"/>
    <s v="NDF 25000260"/>
    <m/>
    <e v="#N/A"/>
    <e v="#N/A"/>
    <n v="89245"/>
    <s v="25000260"/>
    <s v="Pauline Rullière"/>
    <s v="Q4"/>
    <e v="#REF!"/>
    <e v="#REF!"/>
    <e v="#REF!"/>
  </r>
  <r>
    <s v="425200"/>
    <x v="6"/>
    <s v="PERSONNEL - NOTE DE FRAIS"/>
    <s v="NDF"/>
    <n v="-1"/>
    <d v="2025-09-17T00:00:00"/>
    <s v="NDF 25000222"/>
    <m/>
    <e v="#N/A"/>
    <e v="#N/A"/>
    <n v="88619"/>
    <s v="25000222"/>
    <s v="Pauline Rullière"/>
    <s v="Q3"/>
    <e v="#REF!"/>
    <e v="#REF!"/>
    <e v="#REF!"/>
  </r>
  <r>
    <s v="425200"/>
    <x v="6"/>
    <s v="PERSONNEL - NOTE DE FRAIS"/>
    <s v="NDF"/>
    <n v="-0.5"/>
    <d v="2025-09-19T00:00:00"/>
    <s v="NDF 25000236"/>
    <m/>
    <e v="#N/A"/>
    <e v="#N/A"/>
    <n v="88475"/>
    <s v="25000236"/>
    <s v="Nicolas Canu"/>
    <s v="Q3"/>
    <e v="#REF!"/>
    <e v="#REF!"/>
    <e v="#REF!"/>
  </r>
  <r>
    <s v="425200"/>
    <x v="6"/>
    <s v="PERSONNEL - NOTE DE FRAIS"/>
    <s v="NDF"/>
    <n v="69"/>
    <d v="2025-10-31T00:00:00"/>
    <s v="Rbt SNCF - NDF déjà remboursée"/>
    <m/>
    <e v="#N/A"/>
    <e v="#N/A"/>
    <n v="89086"/>
    <m/>
    <s v="Pauline Rullière"/>
    <s v="Q4"/>
    <e v="#REF!"/>
    <e v="#REF!"/>
    <e v="#REF!"/>
  </r>
  <r>
    <s v="425200"/>
    <x v="6"/>
    <s v="PERSONNEL - NOTE DE FRAIS"/>
    <s v="OD"/>
    <n v="-4104.26"/>
    <d v="2025-06-02T00:00:00"/>
    <s v="Solde de tout compte THIDEJ"/>
    <m/>
    <e v="#N/A"/>
    <e v="#N/A"/>
    <n v="76278"/>
    <m/>
    <s v="Thibault Dejardin"/>
    <s v="Q2"/>
    <e v="#REF!"/>
    <e v="#REF!"/>
    <e v="#REF!"/>
  </r>
  <r>
    <s v="425200"/>
    <x v="6"/>
    <s v="PERSONNEL - NOTE DE FRAIS"/>
    <s v="OD"/>
    <n v="-1827.26"/>
    <d v="2025-06-27T00:00:00"/>
    <s v="Liaison inter-établissement"/>
    <m/>
    <e v="#N/A"/>
    <e v="#N/A"/>
    <n v="76801"/>
    <m/>
    <s v="Pierre-Yves Bolle"/>
    <s v="Q2"/>
    <e v="#REF!"/>
    <e v="#REF!"/>
    <e v="#REF!"/>
  </r>
  <r>
    <s v="425200"/>
    <x v="6"/>
    <s v="PERSONNEL - NOTE DE FRAIS"/>
    <s v="OD"/>
    <n v="-1758.99"/>
    <d v="2025-12-23T00:00:00"/>
    <s v="Liaison inter-établissement"/>
    <m/>
    <e v="#N/A"/>
    <e v="#N/A"/>
    <n v="93569"/>
    <m/>
    <s v="Pauline Rullière"/>
    <s v="Q4"/>
    <e v="#REF!"/>
    <e v="#REF!"/>
    <e v="#REF!"/>
  </r>
  <r>
    <s v="425200"/>
    <x v="6"/>
    <s v="PERSONNEL - NOTE DE FRAIS"/>
    <s v="OD"/>
    <n v="-1471.57"/>
    <d v="2025-04-29T00:00:00"/>
    <s v="Liaison inter-établissement"/>
    <m/>
    <e v="#N/A"/>
    <e v="#N/A"/>
    <n v="76625"/>
    <m/>
    <s v="Pierre-Yves Bolle"/>
    <s v="Q2"/>
    <e v="#REF!"/>
    <e v="#REF!"/>
    <e v="#REF!"/>
  </r>
  <r>
    <s v="425200"/>
    <x v="6"/>
    <s v="PERSONNEL - NOTE DE FRAIS"/>
    <s v="OD"/>
    <n v="-1426.92"/>
    <d v="2025-08-08T00:00:00"/>
    <s v="Liaison inter-établissement"/>
    <m/>
    <e v="#N/A"/>
    <e v="#N/A"/>
    <n v="89385"/>
    <m/>
    <s v="Marie Rézeau"/>
    <s v="Q3"/>
    <e v="#REF!"/>
    <e v="#REF!"/>
    <e v="#REF!"/>
  </r>
  <r>
    <s v="425200"/>
    <x v="6"/>
    <s v="PERSONNEL - NOTE DE FRAIS"/>
    <s v="OD"/>
    <n v="-1307.31"/>
    <d v="2025-04-30T00:00:00"/>
    <s v="Liaison inter-établissement"/>
    <m/>
    <e v="#N/A"/>
    <e v="#N/A"/>
    <n v="74556"/>
    <m/>
    <s v="Kevin Cottet"/>
    <s v="Q2"/>
    <e v="#REF!"/>
    <e v="#REF!"/>
    <e v="#REF!"/>
  </r>
  <r>
    <s v="425200"/>
    <x v="6"/>
    <s v="PERSONNEL - NOTE DE FRAIS"/>
    <s v="OD"/>
    <n v="-1249.03"/>
    <d v="2025-03-24T00:00:00"/>
    <s v="Liaison inter-établissement"/>
    <m/>
    <e v="#N/A"/>
    <e v="#N/A"/>
    <n v="75889"/>
    <m/>
    <s v="Marie Rézeau"/>
    <s v="Q1"/>
    <e v="#REF!"/>
    <e v="#REF!"/>
    <e v="#REF!"/>
  </r>
  <r>
    <s v="425200"/>
    <x v="6"/>
    <s v="PERSONNEL - NOTE DE FRAIS"/>
    <s v="OD"/>
    <n v="-1107.9100000000001"/>
    <d v="2025-12-23T00:00:00"/>
    <s v="Liaison inter-établissement"/>
    <m/>
    <e v="#N/A"/>
    <e v="#N/A"/>
    <n v="93593"/>
    <m/>
    <s v="Yves Combret"/>
    <s v="Q4"/>
    <e v="#REF!"/>
    <e v="#REF!"/>
    <e v="#REF!"/>
  </r>
  <r>
    <s v="425200"/>
    <x v="6"/>
    <s v="PERSONNEL - NOTE DE FRAIS"/>
    <s v="OD"/>
    <n v="-1046.69"/>
    <d v="2025-03-14T00:00:00"/>
    <s v="Liaison inter-établissement"/>
    <m/>
    <e v="#N/A"/>
    <e v="#N/A"/>
    <n v="75897"/>
    <m/>
    <s v="Maud Sanchez"/>
    <s v="Q1"/>
    <e v="#REF!"/>
    <e v="#REF!"/>
    <e v="#REF!"/>
  </r>
  <r>
    <s v="425200"/>
    <x v="6"/>
    <s v="PERSONNEL - NOTE DE FRAIS"/>
    <s v="OD"/>
    <n v="-859.96"/>
    <d v="2025-04-07T00:00:00"/>
    <s v="Liaison inter-établissement"/>
    <m/>
    <e v="#N/A"/>
    <e v="#N/A"/>
    <n v="75857"/>
    <m/>
    <s v="Kevin Cottet"/>
    <s v="Q2"/>
    <e v="#REF!"/>
    <e v="#REF!"/>
    <e v="#REF!"/>
  </r>
  <r>
    <s v="425200"/>
    <x v="6"/>
    <s v="PERSONNEL - NOTE DE FRAIS"/>
    <s v="OD"/>
    <n v="-859.74"/>
    <d v="2025-02-10T00:00:00"/>
    <s v="Liaison inter-établissement"/>
    <m/>
    <e v="#N/A"/>
    <e v="#N/A"/>
    <n v="75905"/>
    <m/>
    <s v="Pierre-Yves Bolle"/>
    <s v="Q1"/>
    <e v="#REF!"/>
    <e v="#REF!"/>
    <e v="#REF!"/>
  </r>
  <r>
    <s v="425200"/>
    <x v="6"/>
    <s v="PERSONNEL - NOTE DE FRAIS"/>
    <s v="OD"/>
    <n v="-859.06"/>
    <d v="2025-04-04T00:00:00"/>
    <s v="Liaison inter-établissement"/>
    <m/>
    <e v="#N/A"/>
    <e v="#N/A"/>
    <n v="75853"/>
    <m/>
    <s v="Guillaume Boissonnat-Wu"/>
    <s v="Q2"/>
    <e v="#REF!"/>
    <e v="#REF!"/>
    <e v="#REF!"/>
  </r>
  <r>
    <s v="425200"/>
    <x v="6"/>
    <s v="PERSONNEL - NOTE DE FRAIS"/>
    <s v="OD"/>
    <n v="-817.52"/>
    <d v="2025-04-14T00:00:00"/>
    <s v="Liaison inter-établissement"/>
    <m/>
    <e v="#N/A"/>
    <e v="#N/A"/>
    <n v="76274"/>
    <m/>
    <s v="Yves Combret"/>
    <s v="Q2"/>
    <e v="#REF!"/>
    <e v="#REF!"/>
    <e v="#REF!"/>
  </r>
  <r>
    <s v="425200"/>
    <x v="6"/>
    <s v="PERSONNEL - NOTE DE FRAIS"/>
    <s v="OD"/>
    <n v="-799.42"/>
    <d v="2025-11-24T00:00:00"/>
    <s v="Liaison inter-établissement"/>
    <m/>
    <e v="#N/A"/>
    <e v="#N/A"/>
    <n v="91014"/>
    <m/>
    <s v="Marie Rézeau"/>
    <s v="Q4"/>
    <e v="#REF!"/>
    <e v="#REF!"/>
    <e v="#REF!"/>
  </r>
  <r>
    <s v="425200"/>
    <x v="6"/>
    <s v="PERSONNEL - NOTE DE FRAIS"/>
    <s v="OD"/>
    <n v="-766.45"/>
    <d v="2025-01-20T00:00:00"/>
    <s v="Liaison inter-établissement"/>
    <m/>
    <e v="#N/A"/>
    <e v="#N/A"/>
    <n v="74230"/>
    <m/>
    <s v="Alain Pinchard"/>
    <s v="Q1"/>
    <e v="#REF!"/>
    <e v="#REF!"/>
    <e v="#REF!"/>
  </r>
  <r>
    <s v="425200"/>
    <x v="6"/>
    <s v="PERSONNEL - NOTE DE FRAIS"/>
    <s v="OD"/>
    <n v="-750.65"/>
    <d v="2025-12-23T00:00:00"/>
    <s v="Liaison inter-établissement"/>
    <m/>
    <e v="#N/A"/>
    <e v="#N/A"/>
    <n v="93581"/>
    <m/>
    <s v="Marie-Sarah Adenis"/>
    <s v="Q4"/>
    <e v="#REF!"/>
    <e v="#REF!"/>
    <e v="#REF!"/>
  </r>
  <r>
    <s v="425200"/>
    <x v="6"/>
    <s v="PERSONNEL - NOTE DE FRAIS"/>
    <s v="OD"/>
    <n v="-731.15"/>
    <d v="2025-02-18T00:00:00"/>
    <s v="Liaison inter-établissement"/>
    <m/>
    <e v="#N/A"/>
    <e v="#N/A"/>
    <n v="74234"/>
    <m/>
    <s v="Alain Pinchard"/>
    <s v="Q1"/>
    <e v="#REF!"/>
    <e v="#REF!"/>
    <e v="#REF!"/>
  </r>
  <r>
    <s v="425200"/>
    <x v="6"/>
    <s v="PERSONNEL - NOTE DE FRAIS"/>
    <s v="OD"/>
    <n v="-663.32"/>
    <d v="2025-02-11T00:00:00"/>
    <s v="Liaison inter-établissement"/>
    <m/>
    <e v="#N/A"/>
    <e v="#N/A"/>
    <n v="75845"/>
    <m/>
    <s v="Guillaume Boissonnat-Wu"/>
    <s v="Q1"/>
    <e v="#REF!"/>
    <e v="#REF!"/>
    <e v="#REF!"/>
  </r>
  <r>
    <s v="425200"/>
    <x v="6"/>
    <s v="PERSONNEL - NOTE DE FRAIS"/>
    <s v="OD"/>
    <n v="-661.11"/>
    <d v="2025-06-27T00:00:00"/>
    <s v="Liaison inter-établissement"/>
    <m/>
    <e v="#N/A"/>
    <e v="#N/A"/>
    <n v="76770"/>
    <m/>
    <s v="Marie-Sarah Adenis"/>
    <s v="Q2"/>
    <e v="#REF!"/>
    <e v="#REF!"/>
    <e v="#REF!"/>
  </r>
  <r>
    <s v="425200"/>
    <x v="6"/>
    <s v="PERSONNEL - NOTE DE FRAIS"/>
    <s v="OD"/>
    <n v="-603.70000000000005"/>
    <d v="2025-02-18T00:00:00"/>
    <s v="Liaison inter-établissement"/>
    <m/>
    <e v="#N/A"/>
    <e v="#N/A"/>
    <n v="75865"/>
    <m/>
    <s v="Kevin Cottet"/>
    <s v="Q1"/>
    <e v="#REF!"/>
    <e v="#REF!"/>
    <e v="#REF!"/>
  </r>
  <r>
    <s v="425200"/>
    <x v="6"/>
    <s v="PERSONNEL - NOTE DE FRAIS"/>
    <s v="OD"/>
    <n v="-600"/>
    <d v="2025-01-27T00:00:00"/>
    <s v="Liaison inter-établissement"/>
    <m/>
    <e v="#N/A"/>
    <e v="#N/A"/>
    <n v="73876"/>
    <m/>
    <s v="Jérémie Blache"/>
    <s v="Q1"/>
    <e v="#REF!"/>
    <e v="#REF!"/>
    <e v="#REF!"/>
  </r>
  <r>
    <s v="425200"/>
    <x v="6"/>
    <s v="PERSONNEL - NOTE DE FRAIS"/>
    <s v="OD"/>
    <n v="-600"/>
    <d v="2025-02-11T00:00:00"/>
    <s v="Liaison inter-établissement"/>
    <m/>
    <e v="#N/A"/>
    <e v="#N/A"/>
    <n v="76685"/>
    <m/>
    <s v="Jérémie Blache"/>
    <s v="Q1"/>
    <e v="#REF!"/>
    <e v="#REF!"/>
    <e v="#REF!"/>
  </r>
  <r>
    <s v="425200"/>
    <x v="6"/>
    <s v="PERSONNEL - NOTE DE FRAIS"/>
    <s v="OD"/>
    <n v="-600"/>
    <d v="2025-03-10T00:00:00"/>
    <s v="Liaison inter-établissement"/>
    <m/>
    <e v="#N/A"/>
    <e v="#N/A"/>
    <n v="76689"/>
    <m/>
    <s v="Jérémie Blache"/>
    <s v="Q1"/>
    <e v="#REF!"/>
    <e v="#REF!"/>
    <e v="#REF!"/>
  </r>
  <r>
    <s v="425200"/>
    <x v="6"/>
    <s v="PERSONNEL - NOTE DE FRAIS"/>
    <s v="OD"/>
    <n v="-600"/>
    <d v="2025-06-24T00:00:00"/>
    <s v="Liaison inter-établissement"/>
    <m/>
    <e v="#N/A"/>
    <e v="#N/A"/>
    <n v="76681"/>
    <m/>
    <s v="Jérémie Blache"/>
    <s v="Q2"/>
    <e v="#REF!"/>
    <e v="#REF!"/>
    <e v="#REF!"/>
  </r>
  <r>
    <s v="425200"/>
    <x v="6"/>
    <s v="PERSONNEL - NOTE DE FRAIS"/>
    <s v="OD"/>
    <n v="-599.85"/>
    <d v="2025-11-24T00:00:00"/>
    <s v="Liaison inter-établissement"/>
    <m/>
    <e v="#N/A"/>
    <e v="#N/A"/>
    <n v="91026"/>
    <m/>
    <s v="Pierre-Yves Bolle"/>
    <s v="Q4"/>
    <e v="#REF!"/>
    <e v="#REF!"/>
    <e v="#REF!"/>
  </r>
  <r>
    <s v="425200"/>
    <x v="6"/>
    <s v="PERSONNEL - NOTE DE FRAIS"/>
    <s v="OD"/>
    <n v="-581.4"/>
    <d v="2025-03-14T00:00:00"/>
    <s v="Liaison inter-établissement"/>
    <m/>
    <e v="#N/A"/>
    <e v="#N/A"/>
    <n v="75861"/>
    <m/>
    <s v="Kevin Cottet"/>
    <s v="Q1"/>
    <e v="#REF!"/>
    <e v="#REF!"/>
    <e v="#REF!"/>
  </r>
  <r>
    <s v="425200"/>
    <x v="6"/>
    <s v="PERSONNEL - NOTE DE FRAIS"/>
    <s v="OD"/>
    <n v="-577.20000000000005"/>
    <d v="2025-06-27T00:00:00"/>
    <s v="Liaison inter-établissement"/>
    <m/>
    <e v="#N/A"/>
    <e v="#N/A"/>
    <n v="76721"/>
    <m/>
    <s v="Kevin Cottet"/>
    <s v="Q2"/>
    <e v="#REF!"/>
    <e v="#REF!"/>
    <e v="#REF!"/>
  </r>
  <r>
    <s v="425200"/>
    <x v="6"/>
    <s v="PERSONNEL - NOTE DE FRAIS"/>
    <s v="OD"/>
    <n v="-576.4"/>
    <d v="2025-02-05T00:00:00"/>
    <s v="Liaison inter-établissement"/>
    <m/>
    <e v="#N/A"/>
    <e v="#N/A"/>
    <n v="74238"/>
    <m/>
    <s v="Alain Pinchard"/>
    <s v="Q1"/>
    <e v="#REF!"/>
    <e v="#REF!"/>
    <e v="#REF!"/>
  </r>
  <r>
    <s v="425200"/>
    <x v="6"/>
    <s v="PERSONNEL - NOTE DE FRAIS"/>
    <s v="OD"/>
    <n v="-575.9"/>
    <d v="2025-12-23T00:00:00"/>
    <s v="Liaison inter-établissement"/>
    <m/>
    <e v="#N/A"/>
    <e v="#N/A"/>
    <n v="93589"/>
    <m/>
    <s v="Kevin Cottet"/>
    <s v="Q4"/>
    <e v="#REF!"/>
    <e v="#REF!"/>
    <e v="#REF!"/>
  </r>
  <r>
    <s v="425200"/>
    <x v="6"/>
    <s v="PERSONNEL - NOTE DE FRAIS"/>
    <s v="OD"/>
    <n v="-570.53"/>
    <d v="2025-04-29T00:00:00"/>
    <s v="Liaison inter-établissement"/>
    <m/>
    <e v="#N/A"/>
    <e v="#N/A"/>
    <n v="74568"/>
    <m/>
    <s v="Marie Rézeau"/>
    <s v="Q2"/>
    <e v="#REF!"/>
    <e v="#REF!"/>
    <e v="#REF!"/>
  </r>
  <r>
    <s v="425200"/>
    <x v="6"/>
    <s v="PERSONNEL - NOTE DE FRAIS"/>
    <s v="OD"/>
    <n v="-556.52"/>
    <d v="2025-11-24T00:00:00"/>
    <s v="Liaison inter-établissement"/>
    <m/>
    <e v="#N/A"/>
    <e v="#N/A"/>
    <n v="91010"/>
    <m/>
    <s v="Marie-Sarah Adenis"/>
    <s v="Q4"/>
    <e v="#REF!"/>
    <e v="#REF!"/>
    <e v="#REF!"/>
  </r>
  <r>
    <s v="425200"/>
    <x v="6"/>
    <s v="PERSONNEL - NOTE DE FRAIS"/>
    <s v="OD"/>
    <n v="-529.91999999999996"/>
    <d v="2025-06-27T00:00:00"/>
    <s v="Liaison inter-établissement"/>
    <m/>
    <e v="#N/A"/>
    <e v="#N/A"/>
    <n v="76774"/>
    <m/>
    <s v="Yves Combret"/>
    <s v="Q2"/>
    <e v="#REF!"/>
    <e v="#REF!"/>
    <e v="#REF!"/>
  </r>
  <r>
    <s v="425200"/>
    <x v="6"/>
    <s v="PERSONNEL - NOTE DE FRAIS"/>
    <s v="OD"/>
    <n v="-506.39"/>
    <d v="2025-11-24T00:00:00"/>
    <s v="Liaison inter-établissement"/>
    <m/>
    <e v="#N/A"/>
    <e v="#N/A"/>
    <n v="91022"/>
    <m/>
    <s v="Guillaume Boissonnat-Wu"/>
    <s v="Q4"/>
    <e v="#REF!"/>
    <e v="#REF!"/>
    <e v="#REF!"/>
  </r>
  <r>
    <s v="425200"/>
    <x v="6"/>
    <s v="PERSONNEL - NOTE DE FRAIS"/>
    <s v="OD"/>
    <n v="-476.9"/>
    <d v="2025-01-01T00:00:00"/>
    <s v="Liaison inter-établissement"/>
    <m/>
    <e v="#N/A"/>
    <e v="#N/A"/>
    <n v="70523"/>
    <m/>
    <s v="Marie Rézeau"/>
    <s v="Q1"/>
    <e v="#REF!"/>
    <e v="#REF!"/>
    <e v="#REF!"/>
  </r>
  <r>
    <s v="425200"/>
    <x v="6"/>
    <s v="PERSONNEL - NOTE DE FRAIS"/>
    <s v="OD"/>
    <n v="-473.94"/>
    <d v="2025-04-07T00:00:00"/>
    <s v="Liaison inter-établissement"/>
    <m/>
    <e v="#N/A"/>
    <e v="#N/A"/>
    <n v="75901"/>
    <m/>
    <s v="Maud Sanchez"/>
    <s v="Q2"/>
    <e v="#REF!"/>
    <e v="#REF!"/>
    <e v="#REF!"/>
  </r>
  <r>
    <s v="425200"/>
    <x v="6"/>
    <s v="PERSONNEL - NOTE DE FRAIS"/>
    <s v="OD"/>
    <n v="-443.25"/>
    <d v="2025-01-13T00:00:00"/>
    <s v="Liaison inter-établissement"/>
    <m/>
    <e v="#N/A"/>
    <e v="#N/A"/>
    <n v="75869"/>
    <m/>
    <s v="Kevin Cottet"/>
    <s v="Q1"/>
    <e v="#REF!"/>
    <e v="#REF!"/>
    <e v="#REF!"/>
  </r>
  <r>
    <s v="425200"/>
    <x v="6"/>
    <s v="PERSONNEL - NOTE DE FRAIS"/>
    <s v="OD"/>
    <n v="-437.92"/>
    <d v="2025-06-27T00:00:00"/>
    <s v="Liaison inter-établissement"/>
    <m/>
    <e v="#N/A"/>
    <e v="#N/A"/>
    <n v="76762"/>
    <m/>
    <s v="Marie-Sarah Adenis"/>
    <s v="Q2"/>
    <e v="#REF!"/>
    <e v="#REF!"/>
    <e v="#REF!"/>
  </r>
  <r>
    <s v="425200"/>
    <x v="6"/>
    <s v="PERSONNEL - NOTE DE FRAIS"/>
    <s v="OD"/>
    <n v="-418.01"/>
    <d v="2025-11-24T00:00:00"/>
    <s v="Liaison inter-établissement"/>
    <m/>
    <e v="#N/A"/>
    <e v="#N/A"/>
    <n v="91038"/>
    <m/>
    <s v="Maud Sanchez"/>
    <s v="Q4"/>
    <e v="#REF!"/>
    <e v="#REF!"/>
    <e v="#REF!"/>
  </r>
  <r>
    <s v="425200"/>
    <x v="6"/>
    <s v="PERSONNEL - NOTE DE FRAIS"/>
    <s v="OD"/>
    <n v="-406.11"/>
    <d v="2025-12-23T00:00:00"/>
    <s v="Liaison inter-établissement"/>
    <m/>
    <e v="#N/A"/>
    <e v="#N/A"/>
    <n v="93573"/>
    <m/>
    <s v="Pierre-Yves Bolle"/>
    <s v="Q4"/>
    <e v="#REF!"/>
    <e v="#REF!"/>
    <e v="#REF!"/>
  </r>
  <r>
    <s v="425200"/>
    <x v="6"/>
    <s v="PERSONNEL - NOTE DE FRAIS"/>
    <s v="OD"/>
    <n v="-398.79"/>
    <d v="2025-06-27T00:00:00"/>
    <s v="Liaison inter-établissement"/>
    <m/>
    <e v="#N/A"/>
    <e v="#N/A"/>
    <n v="76693"/>
    <m/>
    <s v="Anne-Sophie Goutierre"/>
    <s v="Q2"/>
    <e v="#REF!"/>
    <e v="#REF!"/>
    <e v="#REF!"/>
  </r>
  <r>
    <s v="425200"/>
    <x v="6"/>
    <s v="PERSONNEL - NOTE DE FRAIS"/>
    <s v="OD"/>
    <n v="-384.15"/>
    <d v="2025-06-27T00:00:00"/>
    <s v="Liaison inter-établissement"/>
    <m/>
    <e v="#N/A"/>
    <e v="#N/A"/>
    <n v="76766"/>
    <m/>
    <s v="Marie-Sarah Adenis"/>
    <s v="Q2"/>
    <e v="#REF!"/>
    <e v="#REF!"/>
    <e v="#REF!"/>
  </r>
  <r>
    <s v="425200"/>
    <x v="6"/>
    <s v="PERSONNEL - NOTE DE FRAIS"/>
    <s v="OD"/>
    <n v="-332.45"/>
    <d v="2025-03-14T00:00:00"/>
    <s v="Liaison inter-établissement"/>
    <m/>
    <e v="#N/A"/>
    <e v="#N/A"/>
    <n v="75885"/>
    <m/>
    <s v="Marie-Sarah Adenis"/>
    <s v="Q1"/>
    <e v="#REF!"/>
    <e v="#REF!"/>
    <e v="#REF!"/>
  </r>
  <r>
    <s v="425200"/>
    <x v="6"/>
    <s v="PERSONNEL - NOTE DE FRAIS"/>
    <s v="OD"/>
    <n v="-313.33"/>
    <d v="2025-04-25T00:00:00"/>
    <s v="Liaison inter-établissement"/>
    <m/>
    <e v="#N/A"/>
    <e v="#N/A"/>
    <n v="74472"/>
    <m/>
    <s v="Bob Fernandez"/>
    <s v="Q2"/>
    <e v="#REF!"/>
    <e v="#REF!"/>
    <e v="#REF!"/>
  </r>
  <r>
    <s v="425200"/>
    <x v="6"/>
    <s v="PERSONNEL - NOTE DE FRAIS"/>
    <s v="OD"/>
    <n v="-300"/>
    <d v="2025-06-27T00:00:00"/>
    <s v="Liaison inter-établissement"/>
    <m/>
    <e v="#N/A"/>
    <e v="#N/A"/>
    <n v="76677"/>
    <m/>
    <s v="Jérémie Blache"/>
    <s v="Q2"/>
    <e v="#REF!"/>
    <e v="#REF!"/>
    <e v="#REF!"/>
  </r>
  <r>
    <s v="425200"/>
    <x v="6"/>
    <s v="PERSONNEL - NOTE DE FRAIS"/>
    <s v="OD"/>
    <n v="-282.08999999999997"/>
    <d v="2025-05-16T00:00:00"/>
    <s v="Liaison inter-établissement"/>
    <m/>
    <e v="#N/A"/>
    <e v="#N/A"/>
    <n v="74552"/>
    <m/>
    <s v="Julie Lacondemine"/>
    <s v="Q2"/>
    <e v="#REF!"/>
    <e v="#REF!"/>
    <e v="#REF!"/>
  </r>
  <r>
    <s v="425200"/>
    <x v="6"/>
    <s v="PERSONNEL - NOTE DE FRAIS"/>
    <s v="OD"/>
    <n v="-281.32"/>
    <d v="2025-05-16T00:00:00"/>
    <s v="Liaison inter-établissement"/>
    <m/>
    <e v="#N/A"/>
    <e v="#N/A"/>
    <n v="74504"/>
    <m/>
    <s v="Jérémie Blache"/>
    <s v="Q2"/>
    <e v="#REF!"/>
    <e v="#REF!"/>
    <e v="#REF!"/>
  </r>
  <r>
    <s v="425200"/>
    <x v="6"/>
    <s v="PERSONNEL - NOTE DE FRAIS"/>
    <s v="OD"/>
    <n v="-278.39999999999998"/>
    <d v="2025-01-01T00:00:00"/>
    <s v="Solde NDF PAURUL"/>
    <m/>
    <e v="#N/A"/>
    <e v="#N/A"/>
    <n v="70527"/>
    <m/>
    <s v="Pauline Rullière"/>
    <s v="Q1"/>
    <e v="#REF!"/>
    <e v="#REF!"/>
    <e v="#REF!"/>
  </r>
  <r>
    <s v="425200"/>
    <x v="6"/>
    <s v="PERSONNEL - NOTE DE FRAIS"/>
    <s v="OD"/>
    <n v="-274.45999999999998"/>
    <d v="2025-06-27T00:00:00"/>
    <s v="Liaison inter-établissement"/>
    <m/>
    <e v="#N/A"/>
    <e v="#N/A"/>
    <n v="76729"/>
    <m/>
    <s v="Marie-Sarah Adenis"/>
    <s v="Q2"/>
    <e v="#REF!"/>
    <e v="#REF!"/>
    <e v="#REF!"/>
  </r>
  <r>
    <s v="425200"/>
    <x v="6"/>
    <s v="PERSONNEL - NOTE DE FRAIS"/>
    <s v="OD"/>
    <n v="-273.94"/>
    <d v="2025-05-28T00:00:00"/>
    <s v="Règlement fournisseur"/>
    <m/>
    <e v="#N/A"/>
    <e v="#N/A"/>
    <n v="74110"/>
    <m/>
    <m/>
    <s v="Q2"/>
    <e v="#REF!"/>
    <e v="#REF!"/>
    <e v="#REF!"/>
  </r>
  <r>
    <s v="425200"/>
    <x v="6"/>
    <s v="PERSONNEL - NOTE DE FRAIS"/>
    <s v="OD"/>
    <n v="-273.60000000000002"/>
    <d v="2025-05-16T00:00:00"/>
    <s v="Liaison inter-établissement"/>
    <m/>
    <e v="#N/A"/>
    <e v="#N/A"/>
    <n v="74576"/>
    <m/>
    <s v="Thibault Dejardin"/>
    <s v="Q2"/>
    <e v="#REF!"/>
    <e v="#REF!"/>
    <e v="#REF!"/>
  </r>
  <r>
    <s v="425200"/>
    <x v="6"/>
    <s v="PERSONNEL - NOTE DE FRAIS"/>
    <s v="OD"/>
    <n v="-271.06"/>
    <d v="2025-01-07T00:00:00"/>
    <s v="Liaison inter-établissement"/>
    <m/>
    <e v="#N/A"/>
    <e v="#N/A"/>
    <n v="76778"/>
    <m/>
    <s v="Yves Combret"/>
    <s v="Q1"/>
    <e v="#REF!"/>
    <e v="#REF!"/>
    <e v="#REF!"/>
  </r>
  <r>
    <s v="425200"/>
    <x v="6"/>
    <s v="PERSONNEL - NOTE DE FRAIS"/>
    <s v="OD"/>
    <n v="-267.39999999999998"/>
    <d v="2025-04-14T00:00:00"/>
    <s v="Liaison inter-établissement"/>
    <m/>
    <e v="#N/A"/>
    <e v="#N/A"/>
    <n v="74468"/>
    <m/>
    <s v="Anne-Sophie Goutierre"/>
    <s v="Q2"/>
    <e v="#REF!"/>
    <e v="#REF!"/>
    <e v="#REF!"/>
  </r>
  <r>
    <s v="425200"/>
    <x v="6"/>
    <s v="PERSONNEL - NOTE DE FRAIS"/>
    <s v="OD"/>
    <n v="-263.60000000000002"/>
    <d v="2025-11-24T00:00:00"/>
    <s v="Liaison inter-établissement"/>
    <m/>
    <e v="#N/A"/>
    <e v="#N/A"/>
    <n v="91030"/>
    <m/>
    <s v="Kevin Cottet"/>
    <s v="Q4"/>
    <e v="#REF!"/>
    <e v="#REF!"/>
    <e v="#REF!"/>
  </r>
  <r>
    <s v="425200"/>
    <x v="6"/>
    <s v="PERSONNEL - NOTE DE FRAIS"/>
    <s v="OD"/>
    <n v="-257.10000000000002"/>
    <d v="2025-05-22T00:00:00"/>
    <s v="Liaison inter-établissement"/>
    <m/>
    <e v="#N/A"/>
    <e v="#N/A"/>
    <n v="76701"/>
    <m/>
    <s v="Guillaume Boissonnat-Wu"/>
    <s v="Q2"/>
    <e v="#REF!"/>
    <e v="#REF!"/>
    <e v="#REF!"/>
  </r>
  <r>
    <s v="425200"/>
    <x v="6"/>
    <s v="PERSONNEL - NOTE DE FRAIS"/>
    <s v="OD"/>
    <n v="-234.64"/>
    <d v="2025-03-04T00:00:00"/>
    <s v="Liaison inter-établissement"/>
    <m/>
    <e v="#N/A"/>
    <e v="#N/A"/>
    <n v="75849"/>
    <m/>
    <s v="Guillaume Boissonnat-Wu"/>
    <s v="Q1"/>
    <e v="#REF!"/>
    <e v="#REF!"/>
    <e v="#REF!"/>
  </r>
  <r>
    <s v="425200"/>
    <x v="6"/>
    <s v="PERSONNEL - NOTE DE FRAIS"/>
    <s v="OD"/>
    <n v="-229.55"/>
    <d v="2025-02-26T00:00:00"/>
    <s v="Liaison inter-établissement"/>
    <m/>
    <e v="#N/A"/>
    <e v="#N/A"/>
    <n v="75841"/>
    <m/>
    <s v="Anne-Sophie Goutierre"/>
    <s v="Q1"/>
    <e v="#REF!"/>
    <e v="#REF!"/>
    <e v="#REF!"/>
  </r>
  <r>
    <s v="425200"/>
    <x v="6"/>
    <s v="PERSONNEL - NOTE DE FRAIS"/>
    <s v="OD"/>
    <n v="-224.1"/>
    <d v="2025-04-07T00:00:00"/>
    <s v="Liaison inter-établissement"/>
    <m/>
    <e v="#N/A"/>
    <e v="#N/A"/>
    <n v="75881"/>
    <m/>
    <s v="Marie-Sarah Adenis"/>
    <s v="Q2"/>
    <e v="#REF!"/>
    <e v="#REF!"/>
    <e v="#REF!"/>
  </r>
  <r>
    <s v="425200"/>
    <x v="6"/>
    <s v="PERSONNEL - NOTE DE FRAIS"/>
    <s v="OD"/>
    <n v="-218.75"/>
    <d v="2025-11-24T00:00:00"/>
    <s v="Liaison inter-établissement"/>
    <m/>
    <e v="#N/A"/>
    <e v="#N/A"/>
    <n v="91034"/>
    <m/>
    <s v="Anne-Sophie Goutierre"/>
    <s v="Q4"/>
    <e v="#REF!"/>
    <e v="#REF!"/>
    <e v="#REF!"/>
  </r>
  <r>
    <s v="425200"/>
    <x v="6"/>
    <s v="PERSONNEL - NOTE DE FRAIS"/>
    <s v="OD"/>
    <n v="-204"/>
    <d v="2025-02-18T00:00:00"/>
    <s v="Liaison inter-établissement"/>
    <m/>
    <e v="#N/A"/>
    <e v="#N/A"/>
    <n v="75893"/>
    <m/>
    <s v="Maud Sanchez"/>
    <s v="Q1"/>
    <e v="#REF!"/>
    <e v="#REF!"/>
    <e v="#REF!"/>
  </r>
  <r>
    <s v="425200"/>
    <x v="6"/>
    <s v="PERSONNEL - NOTE DE FRAIS"/>
    <s v="OD"/>
    <n v="-200"/>
    <d v="2025-01-13T00:00:00"/>
    <s v="Liaison inter-établissement"/>
    <m/>
    <e v="#N/A"/>
    <e v="#N/A"/>
    <n v="73884"/>
    <m/>
    <s v="Jérémie Blache"/>
    <s v="Q1"/>
    <e v="#REF!"/>
    <e v="#REF!"/>
    <e v="#REF!"/>
  </r>
  <r>
    <s v="425200"/>
    <x v="6"/>
    <s v="PERSONNEL - NOTE DE FRAIS"/>
    <s v="OD"/>
    <n v="-200"/>
    <d v="2025-02-17T00:00:00"/>
    <s v="Liaison inter-établissement"/>
    <m/>
    <e v="#N/A"/>
    <e v="#N/A"/>
    <n v="73860"/>
    <m/>
    <s v="Jérémie Blache"/>
    <s v="Q1"/>
    <e v="#REF!"/>
    <e v="#REF!"/>
    <e v="#REF!"/>
  </r>
  <r>
    <s v="425200"/>
    <x v="6"/>
    <s v="PERSONNEL - NOTE DE FRAIS"/>
    <s v="OD"/>
    <n v="-200"/>
    <d v="2025-04-29T00:00:00"/>
    <s v="Liaison inter-établissement"/>
    <m/>
    <e v="#N/A"/>
    <e v="#N/A"/>
    <n v="74516"/>
    <m/>
    <s v="Jérémie Blache"/>
    <s v="Q2"/>
    <e v="#REF!"/>
    <e v="#REF!"/>
    <e v="#REF!"/>
  </r>
  <r>
    <s v="425200"/>
    <x v="6"/>
    <s v="PERSONNEL - NOTE DE FRAIS"/>
    <s v="OD"/>
    <n v="-200"/>
    <d v="2025-05-13T00:00:00"/>
    <s v="Liaison inter-établissement"/>
    <m/>
    <e v="#N/A"/>
    <e v="#N/A"/>
    <n v="74512"/>
    <m/>
    <s v="Jérémie Blache"/>
    <s v="Q2"/>
    <e v="#REF!"/>
    <e v="#REF!"/>
    <e v="#REF!"/>
  </r>
  <r>
    <s v="425200"/>
    <x v="6"/>
    <s v="PERSONNEL - NOTE DE FRAIS"/>
    <s v="OD"/>
    <n v="-196"/>
    <d v="2025-04-25T00:00:00"/>
    <s v="Liaison inter-établissement"/>
    <m/>
    <e v="#N/A"/>
    <e v="#N/A"/>
    <n v="74476"/>
    <m/>
    <s v="Eugénie Terrangle"/>
    <s v="Q2"/>
    <e v="#REF!"/>
    <e v="#REF!"/>
    <e v="#REF!"/>
  </r>
  <r>
    <s v="425200"/>
    <x v="6"/>
    <s v="PERSONNEL - NOTE DE FRAIS"/>
    <s v="OD"/>
    <n v="-187.86"/>
    <d v="2025-11-24T00:00:00"/>
    <s v="Liaison inter-établissement"/>
    <m/>
    <e v="#N/A"/>
    <e v="#N/A"/>
    <n v="91042"/>
    <m/>
    <s v="Julie Lacondemine"/>
    <s v="Q4"/>
    <e v="#REF!"/>
    <e v="#REF!"/>
    <e v="#REF!"/>
  </r>
  <r>
    <s v="425200"/>
    <x v="6"/>
    <s v="PERSONNEL - NOTE DE FRAIS"/>
    <s v="OD"/>
    <n v="-187.26"/>
    <d v="2025-02-03T00:00:00"/>
    <s v="Liaison inter-établissement"/>
    <m/>
    <e v="#N/A"/>
    <e v="#N/A"/>
    <n v="73896"/>
    <m/>
    <s v="Loic masseboeuf"/>
    <s v="Q1"/>
    <e v="#REF!"/>
    <e v="#REF!"/>
    <e v="#REF!"/>
  </r>
  <r>
    <s v="425200"/>
    <x v="6"/>
    <s v="PERSONNEL - NOTE DE FRAIS"/>
    <s v="OD"/>
    <n v="-180"/>
    <d v="2025-04-07T00:00:00"/>
    <s v="Liaison inter-établissement"/>
    <m/>
    <e v="#N/A"/>
    <e v="#N/A"/>
    <n v="76717"/>
    <m/>
    <s v="Julie Lacondemine"/>
    <s v="Q2"/>
    <e v="#REF!"/>
    <e v="#REF!"/>
    <e v="#REF!"/>
  </r>
  <r>
    <s v="425200"/>
    <x v="6"/>
    <s v="PERSONNEL - NOTE DE FRAIS"/>
    <s v="OD"/>
    <n v="-174"/>
    <d v="2025-03-04T00:00:00"/>
    <s v="Liaison inter-établissement"/>
    <m/>
    <e v="#N/A"/>
    <e v="#N/A"/>
    <n v="73900"/>
    <m/>
    <s v="Thibault Dejardin"/>
    <s v="Q1"/>
    <e v="#REF!"/>
    <e v="#REF!"/>
    <e v="#REF!"/>
  </r>
  <r>
    <s v="425200"/>
    <x v="6"/>
    <s v="PERSONNEL - NOTE DE FRAIS"/>
    <s v="OD"/>
    <n v="-166.82"/>
    <d v="2025-02-03T00:00:00"/>
    <s v="Liaison inter-établissement"/>
    <m/>
    <e v="#N/A"/>
    <e v="#N/A"/>
    <n v="75873"/>
    <m/>
    <s v="Loic masseboeuf"/>
    <s v="Q1"/>
    <e v="#REF!"/>
    <e v="#REF!"/>
    <e v="#REF!"/>
  </r>
  <r>
    <s v="425200"/>
    <x v="6"/>
    <s v="PERSONNEL - NOTE DE FRAIS"/>
    <s v="OD"/>
    <n v="-162.19"/>
    <d v="2025-12-23T00:00:00"/>
    <s v="Liaison inter-établissement"/>
    <m/>
    <e v="#N/A"/>
    <e v="#N/A"/>
    <n v="93597"/>
    <m/>
    <s v="Julie Lacondemine"/>
    <s v="Q4"/>
    <e v="#REF!"/>
    <e v="#REF!"/>
    <e v="#REF!"/>
  </r>
  <r>
    <s v="425200"/>
    <x v="6"/>
    <s v="PERSONNEL - NOTE DE FRAIS"/>
    <s v="OD"/>
    <n v="-128"/>
    <d v="2025-03-24T00:00:00"/>
    <s v="Liaison inter-établissement"/>
    <m/>
    <e v="#N/A"/>
    <e v="#N/A"/>
    <n v="73836"/>
    <m/>
    <s v="Jérémie Blache"/>
    <s v="Q1"/>
    <e v="#REF!"/>
    <e v="#REF!"/>
    <e v="#REF!"/>
  </r>
  <r>
    <s v="425200"/>
    <x v="6"/>
    <s v="PERSONNEL - NOTE DE FRAIS"/>
    <s v="OD"/>
    <n v="-124.92"/>
    <d v="2025-04-30T00:00:00"/>
    <s v="Liaison inter-établissement"/>
    <m/>
    <e v="#N/A"/>
    <e v="#N/A"/>
    <n v="74520"/>
    <m/>
    <s v="Jérémie Blache"/>
    <s v="Q2"/>
    <e v="#REF!"/>
    <e v="#REF!"/>
    <e v="#REF!"/>
  </r>
  <r>
    <s v="425200"/>
    <x v="6"/>
    <s v="PERSONNEL - NOTE DE FRAIS"/>
    <s v="OD"/>
    <n v="-123"/>
    <d v="2025-05-13T00:00:00"/>
    <s v="Liaison inter-établissement"/>
    <m/>
    <e v="#N/A"/>
    <e v="#N/A"/>
    <n v="74580"/>
    <m/>
    <s v="Thibault Dejardin"/>
    <s v="Q2"/>
    <e v="#REF!"/>
    <e v="#REF!"/>
    <e v="#REF!"/>
  </r>
  <r>
    <s v="425200"/>
    <x v="6"/>
    <s v="PERSONNEL - NOTE DE FRAIS"/>
    <s v="OD"/>
    <n v="-120.05"/>
    <d v="2025-06-27T00:00:00"/>
    <s v="Liaison inter-établissement"/>
    <m/>
    <e v="#N/A"/>
    <e v="#N/A"/>
    <n v="76758"/>
    <m/>
    <s v="Marie-Sarah Adenis"/>
    <s v="Q2"/>
    <e v="#REF!"/>
    <e v="#REF!"/>
    <e v="#REF!"/>
  </r>
  <r>
    <s v="425200"/>
    <x v="6"/>
    <s v="PERSONNEL - NOTE DE FRAIS"/>
    <s v="OD"/>
    <n v="-120"/>
    <d v="2025-05-13T00:00:00"/>
    <s v="Liaison inter-établissement"/>
    <m/>
    <e v="#N/A"/>
    <e v="#N/A"/>
    <n v="74564"/>
    <m/>
    <s v="Marie-Sarah Adenis"/>
    <s v="Q2"/>
    <e v="#REF!"/>
    <e v="#REF!"/>
    <e v="#REF!"/>
  </r>
  <r>
    <s v="425200"/>
    <x v="6"/>
    <s v="PERSONNEL - NOTE DE FRAIS"/>
    <s v="OD"/>
    <n v="-118.5"/>
    <d v="2025-02-26T00:00:00"/>
    <s v="Liaison inter-établissement"/>
    <m/>
    <e v="#N/A"/>
    <e v="#N/A"/>
    <n v="73852"/>
    <m/>
    <s v="Jérémie Blache"/>
    <s v="Q1"/>
    <e v="#REF!"/>
    <e v="#REF!"/>
    <e v="#REF!"/>
  </r>
  <r>
    <s v="425200"/>
    <x v="6"/>
    <s v="PERSONNEL - NOTE DE FRAIS"/>
    <s v="OD"/>
    <n v="-115.56"/>
    <d v="2025-06-13T00:00:00"/>
    <s v="Liaison inter-établissement"/>
    <m/>
    <e v="#N/A"/>
    <e v="#N/A"/>
    <n v="76713"/>
    <m/>
    <s v="Julie Lacondemine"/>
    <s v="Q2"/>
    <e v="#REF!"/>
    <e v="#REF!"/>
    <e v="#REF!"/>
  </r>
  <r>
    <s v="425200"/>
    <x v="6"/>
    <s v="PERSONNEL - NOTE DE FRAIS"/>
    <s v="OD"/>
    <n v="-107.4"/>
    <d v="2025-03-10T00:00:00"/>
    <s v="Liaison inter-établissement"/>
    <m/>
    <e v="#N/A"/>
    <e v="#N/A"/>
    <n v="76649"/>
    <m/>
    <s v="Jérémie Blache"/>
    <s v="Q1"/>
    <e v="#REF!"/>
    <e v="#REF!"/>
    <e v="#REF!"/>
  </r>
  <r>
    <s v="425200"/>
    <x v="6"/>
    <s v="PERSONNEL - NOTE DE FRAIS"/>
    <s v="OD"/>
    <n v="-96.58"/>
    <d v="2025-04-25T00:00:00"/>
    <s v="Liaison inter-établissement"/>
    <m/>
    <e v="#N/A"/>
    <e v="#N/A"/>
    <n v="74560"/>
    <m/>
    <s v="Loic masseboeuf"/>
    <s v="Q2"/>
    <e v="#REF!"/>
    <e v="#REF!"/>
    <e v="#REF!"/>
  </r>
  <r>
    <s v="425200"/>
    <x v="6"/>
    <s v="PERSONNEL - NOTE DE FRAIS"/>
    <s v="OD"/>
    <n v="-96.42"/>
    <d v="2025-01-20T00:00:00"/>
    <s v="Liaison inter-établissement"/>
    <m/>
    <e v="#N/A"/>
    <e v="#N/A"/>
    <n v="73828"/>
    <m/>
    <s v="Clément Perrocheau"/>
    <s v="Q1"/>
    <e v="#REF!"/>
    <e v="#REF!"/>
    <e v="#REF!"/>
  </r>
  <r>
    <s v="425200"/>
    <x v="6"/>
    <s v="PERSONNEL - NOTE DE FRAIS"/>
    <s v="OD"/>
    <n v="-94.95"/>
    <d v="2025-05-22T00:00:00"/>
    <s v="Liaison inter-établissement"/>
    <m/>
    <e v="#N/A"/>
    <e v="#N/A"/>
    <n v="76737"/>
    <m/>
    <s v="Thibault Dejardin"/>
    <s v="Q2"/>
    <e v="#REF!"/>
    <e v="#REF!"/>
    <e v="#REF!"/>
  </r>
  <r>
    <s v="425200"/>
    <x v="6"/>
    <s v="PERSONNEL - NOTE DE FRAIS"/>
    <s v="OD"/>
    <n v="-94.45"/>
    <d v="2025-04-04T00:00:00"/>
    <s v="Liaison inter-établissement"/>
    <m/>
    <e v="#N/A"/>
    <e v="#N/A"/>
    <n v="76270"/>
    <m/>
    <s v="Yves Combret"/>
    <s v="Q2"/>
    <e v="#REF!"/>
    <e v="#REF!"/>
    <e v="#REF!"/>
  </r>
  <r>
    <s v="425200"/>
    <x v="6"/>
    <s v="PERSONNEL - NOTE DE FRAIS"/>
    <s v="OD"/>
    <n v="-93.81"/>
    <d v="2025-07-01T00:00:00"/>
    <s v="Liaison inter-établissement"/>
    <m/>
    <e v="#N/A"/>
    <e v="#N/A"/>
    <n v="76784"/>
    <m/>
    <s v="Yves Combret"/>
    <s v="Q3"/>
    <e v="#REF!"/>
    <e v="#REF!"/>
    <e v="#REF!"/>
  </r>
  <r>
    <s v="425200"/>
    <x v="6"/>
    <s v="PERSONNEL - NOTE DE FRAIS"/>
    <s v="OD"/>
    <n v="-93.78"/>
    <d v="2025-05-13T00:00:00"/>
    <s v="Liaison inter-établissement"/>
    <m/>
    <e v="#N/A"/>
    <e v="#N/A"/>
    <n v="74508"/>
    <m/>
    <s v="Jérémie Blache"/>
    <s v="Q2"/>
    <e v="#REF!"/>
    <e v="#REF!"/>
    <e v="#REF!"/>
  </r>
  <r>
    <s v="425200"/>
    <x v="6"/>
    <s v="PERSONNEL - NOTE DE FRAIS"/>
    <s v="OD"/>
    <n v="-91"/>
    <d v="2025-03-24T00:00:00"/>
    <s v="Liaison inter-établissement"/>
    <m/>
    <e v="#N/A"/>
    <e v="#N/A"/>
    <n v="73888"/>
    <m/>
    <s v="Julie Lacondemine"/>
    <s v="Q1"/>
    <e v="#REF!"/>
    <e v="#REF!"/>
    <e v="#REF!"/>
  </r>
  <r>
    <s v="425200"/>
    <x v="6"/>
    <s v="PERSONNEL - NOTE DE FRAIS"/>
    <s v="OD"/>
    <n v="-88.53"/>
    <d v="2025-05-13T00:00:00"/>
    <s v="Liaison inter-établissement"/>
    <m/>
    <e v="#N/A"/>
    <e v="#N/A"/>
    <n v="74488"/>
    <m/>
    <s v="Jérémie Blache"/>
    <s v="Q2"/>
    <e v="#REF!"/>
    <e v="#REF!"/>
    <e v="#REF!"/>
  </r>
  <r>
    <s v="425200"/>
    <x v="6"/>
    <s v="PERSONNEL - NOTE DE FRAIS"/>
    <s v="OD"/>
    <n v="-85.58"/>
    <d v="2025-06-27T00:00:00"/>
    <s v="Liaison inter-établissement"/>
    <m/>
    <e v="#N/A"/>
    <e v="#N/A"/>
    <n v="76733"/>
    <m/>
    <s v="Marine Bonnaud"/>
    <s v="Q2"/>
    <e v="#REF!"/>
    <e v="#REF!"/>
    <e v="#REF!"/>
  </r>
  <r>
    <s v="425200"/>
    <x v="6"/>
    <s v="PERSONNEL - NOTE DE FRAIS"/>
    <s v="OD"/>
    <n v="-84.5"/>
    <d v="2025-04-04T00:00:00"/>
    <s v="Liaison inter-établissement"/>
    <m/>
    <e v="#N/A"/>
    <e v="#N/A"/>
    <n v="75877"/>
    <m/>
    <s v="Marie-Sarah Adenis"/>
    <s v="Q2"/>
    <e v="#REF!"/>
    <e v="#REF!"/>
    <e v="#REF!"/>
  </r>
  <r>
    <s v="425200"/>
    <x v="6"/>
    <s v="PERSONNEL - NOTE DE FRAIS"/>
    <s v="OD"/>
    <n v="-83.7"/>
    <d v="2025-05-22T00:00:00"/>
    <s v="Liaison inter-établissement"/>
    <m/>
    <e v="#N/A"/>
    <e v="#N/A"/>
    <n v="76673"/>
    <m/>
    <s v="Jérémie Blache"/>
    <s v="Q2"/>
    <e v="#REF!"/>
    <e v="#REF!"/>
    <e v="#REF!"/>
  </r>
  <r>
    <s v="425200"/>
    <x v="6"/>
    <s v="PERSONNEL - NOTE DE FRAIS"/>
    <s v="OD"/>
    <n v="-82.17"/>
    <d v="2025-12-23T00:00:00"/>
    <s v="Liaison inter-établissement"/>
    <m/>
    <e v="#N/A"/>
    <e v="#N/A"/>
    <n v="93585"/>
    <m/>
    <s v="Anthony Martinez"/>
    <s v="Q4"/>
    <e v="#REF!"/>
    <e v="#REF!"/>
    <e v="#REF!"/>
  </r>
  <r>
    <s v="425200"/>
    <x v="6"/>
    <s v="PERSONNEL - NOTE DE FRAIS"/>
    <s v="OD"/>
    <n v="-68.7"/>
    <d v="2025-04-02T00:00:00"/>
    <s v="Liaison inter-établissement"/>
    <m/>
    <e v="#N/A"/>
    <e v="#N/A"/>
    <n v="76725"/>
    <m/>
    <s v="Loic masseboeuf"/>
    <s v="Q2"/>
    <e v="#REF!"/>
    <e v="#REF!"/>
    <e v="#REF!"/>
  </r>
  <r>
    <s v="425200"/>
    <x v="6"/>
    <s v="PERSONNEL - NOTE DE FRAIS"/>
    <s v="OD"/>
    <n v="-65.88"/>
    <d v="2025-01-27T00:00:00"/>
    <s v="Liaison inter-établissement"/>
    <m/>
    <e v="#N/A"/>
    <e v="#N/A"/>
    <n v="73892"/>
    <m/>
    <s v="Julie Lacondemine"/>
    <s v="Q1"/>
    <e v="#REF!"/>
    <e v="#REF!"/>
    <e v="#REF!"/>
  </r>
  <r>
    <s v="425200"/>
    <x v="6"/>
    <s v="PERSONNEL - NOTE DE FRAIS"/>
    <s v="OD"/>
    <n v="-64.989999999999995"/>
    <d v="2025-01-01T00:00:00"/>
    <s v="Solde NDF MARREZ"/>
    <m/>
    <e v="#N/A"/>
    <e v="#N/A"/>
    <n v="70519"/>
    <m/>
    <s v="Marie Rézeau"/>
    <s v="Q1"/>
    <e v="#REF!"/>
    <e v="#REF!"/>
    <e v="#REF!"/>
  </r>
  <r>
    <s v="425200"/>
    <x v="6"/>
    <s v="PERSONNEL - NOTE DE FRAIS"/>
    <s v="OD"/>
    <n v="-60.18"/>
    <d v="2025-01-27T00:00:00"/>
    <s v="Liaison inter-établissement"/>
    <m/>
    <e v="#N/A"/>
    <e v="#N/A"/>
    <n v="74242"/>
    <m/>
    <s v="Anne-Sophie Goutierre"/>
    <s v="Q1"/>
    <e v="#REF!"/>
    <e v="#REF!"/>
    <e v="#REF!"/>
  </r>
  <r>
    <s v="425200"/>
    <x v="6"/>
    <s v="PERSONNEL - NOTE DE FRAIS"/>
    <s v="OD"/>
    <n v="-59.73"/>
    <d v="2025-05-16T00:00:00"/>
    <s v="Liaison inter-établissement"/>
    <m/>
    <e v="#N/A"/>
    <e v="#N/A"/>
    <n v="74500"/>
    <m/>
    <s v="Jérémie Blache"/>
    <s v="Q2"/>
    <e v="#REF!"/>
    <e v="#REF!"/>
    <e v="#REF!"/>
  </r>
  <r>
    <s v="425200"/>
    <x v="6"/>
    <s v="PERSONNEL - NOTE DE FRAIS"/>
    <s v="OD"/>
    <n v="-59.38"/>
    <d v="2025-05-13T00:00:00"/>
    <s v="Liaison inter-établissement"/>
    <m/>
    <e v="#N/A"/>
    <e v="#N/A"/>
    <n v="74496"/>
    <m/>
    <s v="Jérémie Blache"/>
    <s v="Q2"/>
    <e v="#REF!"/>
    <e v="#REF!"/>
    <e v="#REF!"/>
  </r>
  <r>
    <s v="425200"/>
    <x v="6"/>
    <s v="PERSONNEL - NOTE DE FRAIS"/>
    <s v="OD"/>
    <n v="-57.1"/>
    <d v="2025-12-23T00:00:00"/>
    <s v="Liaison inter-établissement"/>
    <m/>
    <e v="#N/A"/>
    <e v="#N/A"/>
    <n v="93577"/>
    <m/>
    <s v="Pierre Thomas"/>
    <s v="Q4"/>
    <e v="#REF!"/>
    <e v="#REF!"/>
    <e v="#REF!"/>
  </r>
  <r>
    <s v="425200"/>
    <x v="6"/>
    <s v="PERSONNEL - NOTE DE FRAIS"/>
    <s v="OD"/>
    <n v="-57"/>
    <d v="2025-02-11T00:00:00"/>
    <s v="Liaison inter-établissement"/>
    <m/>
    <e v="#N/A"/>
    <e v="#N/A"/>
    <n v="73864"/>
    <m/>
    <s v="Jérémie Blache"/>
    <s v="Q1"/>
    <e v="#REF!"/>
    <e v="#REF!"/>
    <e v="#REF!"/>
  </r>
  <r>
    <s v="425200"/>
    <x v="6"/>
    <s v="PERSONNEL - NOTE DE FRAIS"/>
    <s v="OD"/>
    <n v="-54.88"/>
    <d v="2025-04-29T00:00:00"/>
    <s v="Liaison inter-établissement"/>
    <m/>
    <e v="#N/A"/>
    <e v="#N/A"/>
    <n v="74532"/>
    <m/>
    <s v="Jérémie Blache"/>
    <s v="Q2"/>
    <e v="#REF!"/>
    <e v="#REF!"/>
    <e v="#REF!"/>
  </r>
  <r>
    <s v="425200"/>
    <x v="6"/>
    <s v="PERSONNEL - NOTE DE FRAIS"/>
    <s v="OD"/>
    <n v="-54.87"/>
    <d v="2025-03-04T00:00:00"/>
    <s v="Liaison inter-établissement"/>
    <m/>
    <e v="#N/A"/>
    <e v="#N/A"/>
    <n v="76669"/>
    <m/>
    <s v="Jérémie Blache"/>
    <s v="Q1"/>
    <e v="#REF!"/>
    <e v="#REF!"/>
    <e v="#REF!"/>
  </r>
  <r>
    <s v="425200"/>
    <x v="6"/>
    <s v="PERSONNEL - NOTE DE FRAIS"/>
    <s v="OD"/>
    <n v="-54"/>
    <d v="2025-06-27T00:00:00"/>
    <s v="Liaison inter-établissement"/>
    <m/>
    <e v="#N/A"/>
    <e v="#N/A"/>
    <n v="76637"/>
    <m/>
    <s v="Jérémie Blache"/>
    <s v="Q2"/>
    <e v="#REF!"/>
    <e v="#REF!"/>
    <e v="#REF!"/>
  </r>
  <r>
    <s v="425200"/>
    <x v="6"/>
    <s v="PERSONNEL - NOTE DE FRAIS"/>
    <s v="OD"/>
    <n v="-53.17"/>
    <d v="2025-02-11T00:00:00"/>
    <s v="Liaison inter-établissement"/>
    <m/>
    <e v="#N/A"/>
    <e v="#N/A"/>
    <n v="73868"/>
    <m/>
    <s v="Jérémie Blache"/>
    <s v="Q1"/>
    <e v="#REF!"/>
    <e v="#REF!"/>
    <e v="#REF!"/>
  </r>
  <r>
    <s v="425200"/>
    <x v="6"/>
    <s v="PERSONNEL - NOTE DE FRAIS"/>
    <s v="OD"/>
    <n v="-50.4"/>
    <d v="2025-04-04T00:00:00"/>
    <s v="Liaison inter-établissement"/>
    <m/>
    <e v="#N/A"/>
    <e v="#N/A"/>
    <n v="74246"/>
    <m/>
    <s v="Clément Perrocheau"/>
    <s v="Q2"/>
    <e v="#REF!"/>
    <e v="#REF!"/>
    <e v="#REF!"/>
  </r>
  <r>
    <s v="425200"/>
    <x v="6"/>
    <s v="PERSONNEL - NOTE DE FRAIS"/>
    <s v="OD"/>
    <n v="-50"/>
    <d v="2025-02-05T00:00:00"/>
    <s v="Liaison inter-établissement"/>
    <m/>
    <e v="#N/A"/>
    <e v="#N/A"/>
    <n v="73872"/>
    <m/>
    <s v="Jérémie Blache"/>
    <s v="Q1"/>
    <e v="#REF!"/>
    <e v="#REF!"/>
    <e v="#REF!"/>
  </r>
  <r>
    <s v="425200"/>
    <x v="6"/>
    <s v="PERSONNEL - NOTE DE FRAIS"/>
    <s v="OD"/>
    <n v="-50"/>
    <d v="2025-03-04T00:00:00"/>
    <s v="Liaison inter-établissement"/>
    <m/>
    <e v="#N/A"/>
    <e v="#N/A"/>
    <n v="73844"/>
    <m/>
    <s v="Jérémie Blache"/>
    <s v="Q1"/>
    <e v="#REF!"/>
    <e v="#REF!"/>
    <e v="#REF!"/>
  </r>
  <r>
    <s v="425200"/>
    <x v="6"/>
    <s v="PERSONNEL - NOTE DE FRAIS"/>
    <s v="OD"/>
    <n v="-50"/>
    <d v="2025-04-04T00:00:00"/>
    <s v="Liaison inter-établissement"/>
    <m/>
    <e v="#N/A"/>
    <e v="#N/A"/>
    <n v="73832"/>
    <m/>
    <s v="Jérémie Blache"/>
    <s v="Q2"/>
    <e v="#REF!"/>
    <e v="#REF!"/>
    <e v="#REF!"/>
  </r>
  <r>
    <s v="425200"/>
    <x v="6"/>
    <s v="PERSONNEL - NOTE DE FRAIS"/>
    <s v="OD"/>
    <n v="-49.99"/>
    <d v="2025-02-26T00:00:00"/>
    <s v="Liaison inter-établissement"/>
    <m/>
    <e v="#N/A"/>
    <e v="#N/A"/>
    <n v="73816"/>
    <m/>
    <s v="Anne-Sophie Goutierre"/>
    <s v="Q1"/>
    <e v="#REF!"/>
    <e v="#REF!"/>
    <e v="#REF!"/>
  </r>
  <r>
    <s v="425200"/>
    <x v="6"/>
    <s v="PERSONNEL - NOTE DE FRAIS"/>
    <s v="OD"/>
    <n v="-49.98"/>
    <d v="2025-01-20T00:00:00"/>
    <s v="Liaison inter-établissement"/>
    <m/>
    <e v="#N/A"/>
    <e v="#N/A"/>
    <n v="73880"/>
    <m/>
    <s v="Jérémie Blache"/>
    <s v="Q1"/>
    <e v="#REF!"/>
    <e v="#REF!"/>
    <e v="#REF!"/>
  </r>
  <r>
    <s v="425200"/>
    <x v="6"/>
    <s v="PERSONNEL - NOTE DE FRAIS"/>
    <s v="OD"/>
    <n v="-45.9"/>
    <d v="2025-05-22T00:00:00"/>
    <s v="Liaison inter-établissement"/>
    <m/>
    <e v="#N/A"/>
    <e v="#N/A"/>
    <n v="76709"/>
    <m/>
    <s v="Guillaume Boissonnat-Wu"/>
    <s v="Q2"/>
    <e v="#REF!"/>
    <e v="#REF!"/>
    <e v="#REF!"/>
  </r>
  <r>
    <s v="425200"/>
    <x v="6"/>
    <s v="PERSONNEL - NOTE DE FRAIS"/>
    <s v="OD"/>
    <n v="-44.34"/>
    <d v="2025-04-30T00:00:00"/>
    <s v="Liaison inter-établissement"/>
    <m/>
    <e v="#N/A"/>
    <e v="#N/A"/>
    <n v="74540"/>
    <m/>
    <s v="Jérémie Blache"/>
    <s v="Q2"/>
    <e v="#REF!"/>
    <e v="#REF!"/>
    <e v="#REF!"/>
  </r>
  <r>
    <s v="425200"/>
    <x v="6"/>
    <s v="PERSONNEL - NOTE DE FRAIS"/>
    <s v="OD"/>
    <n v="-44.1"/>
    <d v="2025-06-13T00:00:00"/>
    <s v="Liaison inter-établissement"/>
    <m/>
    <e v="#N/A"/>
    <e v="#N/A"/>
    <n v="76633"/>
    <m/>
    <s v="Jérémie Blache"/>
    <s v="Q2"/>
    <e v="#REF!"/>
    <e v="#REF!"/>
    <e v="#REF!"/>
  </r>
  <r>
    <s v="425200"/>
    <x v="6"/>
    <s v="PERSONNEL - NOTE DE FRAIS"/>
    <s v="OD"/>
    <n v="-41.91"/>
    <d v="2025-02-05T00:00:00"/>
    <s v="Liaison inter-établissement"/>
    <m/>
    <e v="#N/A"/>
    <e v="#N/A"/>
    <n v="74572"/>
    <m/>
    <s v="Tatiana Ghanem"/>
    <s v="Q1"/>
    <e v="#REF!"/>
    <e v="#REF!"/>
    <e v="#REF!"/>
  </r>
  <r>
    <s v="425200"/>
    <x v="6"/>
    <s v="PERSONNEL - NOTE DE FRAIS"/>
    <s v="OD"/>
    <n v="-40.99"/>
    <d v="2025-04-30T00:00:00"/>
    <s v="Liaison inter-établissement"/>
    <m/>
    <e v="#N/A"/>
    <e v="#N/A"/>
    <n v="74524"/>
    <m/>
    <s v="Jérémie Blache"/>
    <s v="Q2"/>
    <e v="#REF!"/>
    <e v="#REF!"/>
    <e v="#REF!"/>
  </r>
  <r>
    <s v="425200"/>
    <x v="6"/>
    <s v="PERSONNEL - NOTE DE FRAIS"/>
    <s v="OD"/>
    <n v="-40.96"/>
    <d v="2025-02-11T00:00:00"/>
    <s v="Liaison inter-établissement"/>
    <m/>
    <e v="#N/A"/>
    <e v="#N/A"/>
    <n v="75632"/>
    <m/>
    <s v="Tatiana Ghanem"/>
    <s v="Q1"/>
    <e v="#REF!"/>
    <e v="#REF!"/>
    <e v="#REF!"/>
  </r>
  <r>
    <s v="425200"/>
    <x v="6"/>
    <s v="PERSONNEL - NOTE DE FRAIS"/>
    <s v="OD"/>
    <n v="-30.66"/>
    <d v="2025-04-30T00:00:00"/>
    <s v="Liaison inter-établissement"/>
    <m/>
    <e v="#N/A"/>
    <e v="#N/A"/>
    <n v="74544"/>
    <m/>
    <s v="Jérémie Blache"/>
    <s v="Q2"/>
    <e v="#REF!"/>
    <e v="#REF!"/>
    <e v="#REF!"/>
  </r>
  <r>
    <s v="425200"/>
    <x v="6"/>
    <s v="PERSONNEL - NOTE DE FRAIS"/>
    <s v="OD"/>
    <n v="-30"/>
    <d v="2025-01-13T00:00:00"/>
    <s v="Liaison inter-établissement"/>
    <m/>
    <e v="#N/A"/>
    <e v="#N/A"/>
    <n v="75616"/>
    <m/>
    <s v="Marie-Sarah Adenis"/>
    <s v="Q1"/>
    <e v="#REF!"/>
    <e v="#REF!"/>
    <e v="#REF!"/>
  </r>
  <r>
    <s v="425200"/>
    <x v="6"/>
    <s v="PERSONNEL - NOTE DE FRAIS"/>
    <s v="OD"/>
    <n v="-29.9"/>
    <d v="2025-04-30T00:00:00"/>
    <s v="Liaison inter-établissement"/>
    <m/>
    <e v="#N/A"/>
    <e v="#N/A"/>
    <n v="74584"/>
    <m/>
    <s v="Thibault Dejardin"/>
    <s v="Q2"/>
    <e v="#REF!"/>
    <e v="#REF!"/>
    <e v="#REF!"/>
  </r>
  <r>
    <s v="425200"/>
    <x v="6"/>
    <s v="PERSONNEL - NOTE DE FRAIS"/>
    <s v="OD"/>
    <n v="-29.89"/>
    <d v="2025-05-16T00:00:00"/>
    <s v="Liaison inter-établissement"/>
    <m/>
    <e v="#N/A"/>
    <e v="#N/A"/>
    <n v="74492"/>
    <m/>
    <s v="Jérémie Blache"/>
    <s v="Q2"/>
    <e v="#REF!"/>
    <e v="#REF!"/>
    <e v="#REF!"/>
  </r>
  <r>
    <s v="425200"/>
    <x v="6"/>
    <s v="PERSONNEL - NOTE DE FRAIS"/>
    <s v="OD"/>
    <n v="-27.61"/>
    <d v="2025-06-27T00:00:00"/>
    <s v="Liaison inter-établissement"/>
    <m/>
    <e v="#N/A"/>
    <e v="#N/A"/>
    <n v="76697"/>
    <m/>
    <s v="Anthony Martinez"/>
    <s v="Q2"/>
    <e v="#REF!"/>
    <e v="#REF!"/>
    <e v="#REF!"/>
  </r>
  <r>
    <s v="425200"/>
    <x v="6"/>
    <s v="PERSONNEL - NOTE DE FRAIS"/>
    <s v="OD"/>
    <n v="-26.02"/>
    <d v="2025-04-04T00:00:00"/>
    <s v="Liaison inter-établissement"/>
    <m/>
    <e v="#N/A"/>
    <e v="#N/A"/>
    <n v="75608"/>
    <m/>
    <s v="Anthony Martinez"/>
    <s v="Q2"/>
    <e v="#REF!"/>
    <e v="#REF!"/>
    <e v="#REF!"/>
  </r>
  <r>
    <s v="425200"/>
    <x v="6"/>
    <s v="PERSONNEL - NOTE DE FRAIS"/>
    <s v="OD"/>
    <n v="-25.8"/>
    <d v="2025-04-04T00:00:00"/>
    <s v="Liaison inter-établissement"/>
    <m/>
    <e v="#N/A"/>
    <e v="#N/A"/>
    <n v="75628"/>
    <m/>
    <s v="Marie-Sarah Adenis"/>
    <s v="Q2"/>
    <e v="#REF!"/>
    <e v="#REF!"/>
    <e v="#REF!"/>
  </r>
  <r>
    <s v="425200"/>
    <x v="6"/>
    <s v="PERSONNEL - NOTE DE FRAIS"/>
    <s v="OD"/>
    <n v="-25.78"/>
    <d v="2025-05-22T00:00:00"/>
    <s v="Liaison inter-établissement"/>
    <m/>
    <e v="#N/A"/>
    <e v="#N/A"/>
    <n v="76705"/>
    <m/>
    <s v="Guillaume Boissonnat-Wu"/>
    <s v="Q2"/>
    <e v="#REF!"/>
    <e v="#REF!"/>
    <e v="#REF!"/>
  </r>
  <r>
    <s v="425200"/>
    <x v="6"/>
    <s v="PERSONNEL - NOTE DE FRAIS"/>
    <s v="OD"/>
    <n v="-24.5"/>
    <d v="2025-02-11T00:00:00"/>
    <s v="Liaison inter-établissement"/>
    <m/>
    <e v="#N/A"/>
    <e v="#N/A"/>
    <n v="73908"/>
    <m/>
    <s v="Vincent Blanchard"/>
    <s v="Q1"/>
    <e v="#REF!"/>
    <e v="#REF!"/>
    <e v="#REF!"/>
  </r>
  <r>
    <s v="425200"/>
    <x v="6"/>
    <s v="PERSONNEL - NOTE DE FRAIS"/>
    <s v="OD"/>
    <n v="-24.5"/>
    <d v="2025-02-11T00:00:00"/>
    <s v="Liaison inter-établissement"/>
    <m/>
    <e v="#N/A"/>
    <e v="#N/A"/>
    <n v="75612"/>
    <m/>
    <s v="Filipe Gomes"/>
    <s v="Q1"/>
    <e v="#REF!"/>
    <e v="#REF!"/>
    <e v="#REF!"/>
  </r>
  <r>
    <s v="425200"/>
    <x v="6"/>
    <s v="PERSONNEL - NOTE DE FRAIS"/>
    <s v="OD"/>
    <n v="-24.4"/>
    <d v="2025-03-10T00:00:00"/>
    <s v="Liaison inter-établissement"/>
    <m/>
    <e v="#N/A"/>
    <e v="#N/A"/>
    <n v="76629"/>
    <m/>
    <s v="Jérémie Blache"/>
    <s v="Q1"/>
    <e v="#REF!"/>
    <e v="#REF!"/>
    <e v="#REF!"/>
  </r>
  <r>
    <s v="425200"/>
    <x v="6"/>
    <s v="PERSONNEL - NOTE DE FRAIS"/>
    <s v="OD"/>
    <n v="-22.8"/>
    <d v="2025-05-22T00:00:00"/>
    <s v="Liaison inter-établissement"/>
    <m/>
    <e v="#N/A"/>
    <e v="#N/A"/>
    <n v="76665"/>
    <m/>
    <s v="Jérémie Blache"/>
    <s v="Q2"/>
    <e v="#REF!"/>
    <e v="#REF!"/>
    <e v="#REF!"/>
  </r>
  <r>
    <s v="425200"/>
    <x v="6"/>
    <s v="PERSONNEL - NOTE DE FRAIS"/>
    <s v="OD"/>
    <n v="-22.49"/>
    <d v="2025-04-04T00:00:00"/>
    <s v="Liaison inter-établissement"/>
    <m/>
    <e v="#N/A"/>
    <e v="#N/A"/>
    <n v="75620"/>
    <m/>
    <s v="Marie-Sarah Adenis"/>
    <s v="Q2"/>
    <e v="#REF!"/>
    <e v="#REF!"/>
    <e v="#REF!"/>
  </r>
  <r>
    <s v="425200"/>
    <x v="6"/>
    <s v="PERSONNEL - NOTE DE FRAIS"/>
    <s v="OD"/>
    <n v="-20.25"/>
    <d v="2025-02-26T00:00:00"/>
    <s v="Liaison inter-établissement"/>
    <m/>
    <e v="#N/A"/>
    <e v="#N/A"/>
    <n v="73820"/>
    <m/>
    <s v="Anthony Martinez"/>
    <s v="Q1"/>
    <e v="#REF!"/>
    <e v="#REF!"/>
    <e v="#REF!"/>
  </r>
  <r>
    <s v="425200"/>
    <x v="6"/>
    <s v="PERSONNEL - NOTE DE FRAIS"/>
    <s v="OD"/>
    <n v="-19.989999999999998"/>
    <d v="2025-02-18T00:00:00"/>
    <s v="Liaison inter-établissement"/>
    <m/>
    <e v="#N/A"/>
    <e v="#N/A"/>
    <n v="73904"/>
    <m/>
    <s v="Vincent Blanchard"/>
    <s v="Q1"/>
    <e v="#REF!"/>
    <e v="#REF!"/>
    <e v="#REF!"/>
  </r>
  <r>
    <s v="425200"/>
    <x v="6"/>
    <s v="PERSONNEL - NOTE DE FRAIS"/>
    <s v="OD"/>
    <n v="-18.5"/>
    <d v="2025-04-07T00:00:00"/>
    <s v="Liaison inter-établissement"/>
    <m/>
    <e v="#N/A"/>
    <e v="#N/A"/>
    <n v="75624"/>
    <m/>
    <s v="Marie-Sarah Adenis"/>
    <s v="Q2"/>
    <e v="#REF!"/>
    <e v="#REF!"/>
    <e v="#REF!"/>
  </r>
  <r>
    <s v="425200"/>
    <x v="6"/>
    <s v="PERSONNEL - NOTE DE FRAIS"/>
    <s v="OD"/>
    <n v="-18.3"/>
    <d v="2025-02-18T00:00:00"/>
    <s v="Liaison inter-établissement"/>
    <m/>
    <e v="#N/A"/>
    <e v="#N/A"/>
    <n v="76661"/>
    <m/>
    <s v="Jérémie Blache"/>
    <s v="Q1"/>
    <e v="#REF!"/>
    <e v="#REF!"/>
    <e v="#REF!"/>
  </r>
  <r>
    <s v="425200"/>
    <x v="6"/>
    <s v="PERSONNEL - NOTE DE FRAIS"/>
    <s v="OD"/>
    <n v="-18.100000000000001"/>
    <d v="2025-04-30T00:00:00"/>
    <s v="Liaison inter-établissement"/>
    <m/>
    <e v="#N/A"/>
    <e v="#N/A"/>
    <n v="74588"/>
    <m/>
    <s v="Vincent Blanchard"/>
    <s v="Q2"/>
    <e v="#REF!"/>
    <e v="#REF!"/>
    <e v="#REF!"/>
  </r>
  <r>
    <s v="425200"/>
    <x v="6"/>
    <s v="PERSONNEL - NOTE DE FRAIS"/>
    <s v="OD"/>
    <n v="-16"/>
    <d v="2025-05-16T00:00:00"/>
    <s v="Liaison inter-établissement"/>
    <m/>
    <e v="#N/A"/>
    <e v="#N/A"/>
    <n v="74484"/>
    <m/>
    <s v="Jérémie Blache"/>
    <s v="Q2"/>
    <e v="#REF!"/>
    <e v="#REF!"/>
    <e v="#REF!"/>
  </r>
  <r>
    <s v="425200"/>
    <x v="6"/>
    <s v="PERSONNEL - NOTE DE FRAIS"/>
    <s v="OD"/>
    <n v="-15.7"/>
    <d v="2025-02-18T00:00:00"/>
    <s v="Liaison inter-établissement"/>
    <m/>
    <e v="#N/A"/>
    <e v="#N/A"/>
    <n v="76645"/>
    <m/>
    <s v="Jérémie Blache"/>
    <s v="Q1"/>
    <e v="#REF!"/>
    <e v="#REF!"/>
    <e v="#REF!"/>
  </r>
  <r>
    <s v="425200"/>
    <x v="6"/>
    <s v="PERSONNEL - NOTE DE FRAIS"/>
    <s v="OD"/>
    <n v="-14.95"/>
    <d v="2025-01-07T00:00:00"/>
    <s v="Liaison inter-établissement"/>
    <m/>
    <e v="#N/A"/>
    <e v="#N/A"/>
    <n v="74250"/>
    <m/>
    <s v="Vincent Blanchard"/>
    <s v="Q1"/>
    <e v="#REF!"/>
    <e v="#REF!"/>
    <e v="#REF!"/>
  </r>
  <r>
    <s v="425200"/>
    <x v="6"/>
    <s v="PERSONNEL - NOTE DE FRAIS"/>
    <s v="OD"/>
    <n v="-14.9"/>
    <d v="2025-03-04T00:00:00"/>
    <s v="Liaison inter-établissement"/>
    <m/>
    <e v="#N/A"/>
    <e v="#N/A"/>
    <n v="73848"/>
    <m/>
    <s v="Jérémie Blache"/>
    <s v="Q1"/>
    <e v="#REF!"/>
    <e v="#REF!"/>
    <e v="#REF!"/>
  </r>
  <r>
    <s v="425200"/>
    <x v="6"/>
    <s v="PERSONNEL - NOTE DE FRAIS"/>
    <s v="OD"/>
    <n v="-14.65"/>
    <d v="2025-01-27T00:00:00"/>
    <s v="Liaison inter-établissement"/>
    <m/>
    <e v="#N/A"/>
    <e v="#N/A"/>
    <n v="76657"/>
    <m/>
    <s v="Jérémie Blache"/>
    <s v="Q1"/>
    <e v="#REF!"/>
    <e v="#REF!"/>
    <e v="#REF!"/>
  </r>
  <r>
    <s v="425200"/>
    <x v="6"/>
    <s v="PERSONNEL - NOTE DE FRAIS"/>
    <s v="OD"/>
    <n v="-14.08"/>
    <d v="2025-02-05T00:00:00"/>
    <s v="Liaison inter-établissement"/>
    <m/>
    <e v="#N/A"/>
    <e v="#N/A"/>
    <n v="73824"/>
    <m/>
    <s v="Anthony Martinez"/>
    <s v="Q1"/>
    <e v="#REF!"/>
    <e v="#REF!"/>
    <e v="#REF!"/>
  </r>
  <r>
    <s v="425200"/>
    <x v="6"/>
    <s v="PERSONNEL - NOTE DE FRAIS"/>
    <s v="OD"/>
    <n v="-13.2"/>
    <d v="2025-01-01T00:00:00"/>
    <s v="Solde NDF AMEBRO"/>
    <m/>
    <e v="#N/A"/>
    <e v="#N/A"/>
    <n v="70530"/>
    <m/>
    <s v="Ameline Broquaire"/>
    <s v="Q1"/>
    <e v="#REF!"/>
    <e v="#REF!"/>
    <e v="#REF!"/>
  </r>
  <r>
    <s v="425200"/>
    <x v="6"/>
    <s v="PERSONNEL - NOTE DE FRAIS"/>
    <s v="OD"/>
    <n v="-12.85"/>
    <d v="2025-04-30T00:00:00"/>
    <s v="Liaison inter-établissement"/>
    <m/>
    <e v="#N/A"/>
    <e v="#N/A"/>
    <n v="74528"/>
    <m/>
    <s v="Jérémie Blache"/>
    <s v="Q2"/>
    <e v="#REF!"/>
    <e v="#REF!"/>
    <e v="#REF!"/>
  </r>
  <r>
    <s v="425200"/>
    <x v="6"/>
    <s v="PERSONNEL - NOTE DE FRAIS"/>
    <s v="OD"/>
    <n v="-12.8"/>
    <d v="2025-04-30T00:00:00"/>
    <s v="Liaison inter-établissement"/>
    <m/>
    <e v="#N/A"/>
    <e v="#N/A"/>
    <n v="74536"/>
    <m/>
    <s v="Jérémie Blache"/>
    <s v="Q2"/>
    <e v="#REF!"/>
    <e v="#REF!"/>
    <e v="#REF!"/>
  </r>
  <r>
    <s v="425200"/>
    <x v="6"/>
    <s v="PERSONNEL - NOTE DE FRAIS"/>
    <s v="OD"/>
    <n v="-12.62"/>
    <d v="2025-04-30T00:00:00"/>
    <s v="Liaison inter-établissement"/>
    <m/>
    <e v="#N/A"/>
    <e v="#N/A"/>
    <n v="74480"/>
    <m/>
    <s v="Filipe Gomes"/>
    <s v="Q2"/>
    <e v="#REF!"/>
    <e v="#REF!"/>
    <e v="#REF!"/>
  </r>
  <r>
    <s v="425200"/>
    <x v="6"/>
    <s v="PERSONNEL - NOTE DE FRAIS"/>
    <s v="OD"/>
    <n v="-12.15"/>
    <d v="2025-03-10T00:00:00"/>
    <s v="Liaison inter-établissement"/>
    <m/>
    <e v="#N/A"/>
    <e v="#N/A"/>
    <n v="73840"/>
    <m/>
    <s v="Jérémie Blache"/>
    <s v="Q1"/>
    <e v="#REF!"/>
    <e v="#REF!"/>
    <e v="#REF!"/>
  </r>
  <r>
    <s v="425200"/>
    <x v="6"/>
    <s v="PERSONNEL - NOTE DE FRAIS"/>
    <s v="OD"/>
    <n v="-10.9"/>
    <d v="2025-03-14T00:00:00"/>
    <s v="Liaison inter-établissement"/>
    <m/>
    <e v="#N/A"/>
    <e v="#N/A"/>
    <n v="76653"/>
    <m/>
    <s v="Jérémie Blache"/>
    <s v="Q1"/>
    <e v="#REF!"/>
    <e v="#REF!"/>
    <e v="#REF!"/>
  </r>
  <r>
    <s v="425200"/>
    <x v="6"/>
    <s v="PERSONNEL - NOTE DE FRAIS"/>
    <s v="OD"/>
    <n v="-10.8"/>
    <d v="2025-11-24T00:00:00"/>
    <s v="Liaison inter-établissement"/>
    <m/>
    <e v="#N/A"/>
    <e v="#N/A"/>
    <n v="91018"/>
    <m/>
    <s v="Clément Perrocheau"/>
    <s v="Q4"/>
    <e v="#REF!"/>
    <e v="#REF!"/>
    <e v="#REF!"/>
  </r>
  <r>
    <s v="425200"/>
    <x v="6"/>
    <s v="PERSONNEL - NOTE DE FRAIS"/>
    <s v="OD"/>
    <n v="-10.1"/>
    <d v="2025-02-18T00:00:00"/>
    <s v="Liaison inter-établissement"/>
    <m/>
    <e v="#N/A"/>
    <e v="#N/A"/>
    <n v="73856"/>
    <m/>
    <s v="Jérémie Blache"/>
    <s v="Q1"/>
    <e v="#REF!"/>
    <e v="#REF!"/>
    <e v="#REF!"/>
  </r>
  <r>
    <s v="425200"/>
    <x v="6"/>
    <s v="PERSONNEL - NOTE DE FRAIS"/>
    <s v="OD"/>
    <n v="-8.9"/>
    <d v="2025-04-30T00:00:00"/>
    <s v="Liaison inter-établissement"/>
    <m/>
    <e v="#N/A"/>
    <e v="#N/A"/>
    <n v="74548"/>
    <m/>
    <s v="Jérémie Blache"/>
    <s v="Q2"/>
    <e v="#REF!"/>
    <e v="#REF!"/>
    <e v="#REF!"/>
  </r>
  <r>
    <s v="425200"/>
    <x v="6"/>
    <s v="PERSONNEL - NOTE DE FRAIS"/>
    <s v="OD"/>
    <n v="-8.3000000000000007"/>
    <d v="2025-06-13T00:00:00"/>
    <s v="Liaison inter-établissement"/>
    <m/>
    <e v="#N/A"/>
    <e v="#N/A"/>
    <n v="76641"/>
    <m/>
    <s v="Jérémie Blache"/>
    <s v="Q2"/>
    <e v="#REF!"/>
    <e v="#REF!"/>
    <e v="#REF!"/>
  </r>
  <r>
    <s v="425200"/>
    <x v="6"/>
    <s v="PERSONNEL - NOTE DE FRAIS"/>
    <s v="OD"/>
    <n v="-0.7"/>
    <d v="2025-07-01T00:00:00"/>
    <s v="Ecart de règlement"/>
    <m/>
    <e v="#N/A"/>
    <e v="#N/A"/>
    <n v="76780"/>
    <m/>
    <s v="Yves Combret"/>
    <s v="Q3"/>
    <e v="#REF!"/>
    <e v="#REF!"/>
    <e v="#REF!"/>
  </r>
  <r>
    <s v="425200"/>
    <x v="6"/>
    <s v="PERSONNEL - NOTE DE FRAIS"/>
    <s v="OD"/>
    <n v="8.3000000000000007"/>
    <d v="2025-06-13T00:00:00"/>
    <s v="Liaison inter-établissement vers TO "/>
    <m/>
    <e v="#N/A"/>
    <e v="#N/A"/>
    <n v="76640"/>
    <m/>
    <s v="Jérémie Blache"/>
    <s v="Q2"/>
    <e v="#REF!"/>
    <e v="#REF!"/>
    <e v="#REF!"/>
  </r>
  <r>
    <s v="425200"/>
    <x v="6"/>
    <s v="PERSONNEL - NOTE DE FRAIS"/>
    <s v="OD"/>
    <n v="8.9"/>
    <d v="2025-04-30T00:00:00"/>
    <s v="Liaison inter-établissement vers TO "/>
    <m/>
    <e v="#N/A"/>
    <e v="#N/A"/>
    <n v="74547"/>
    <m/>
    <s v="Jérémie Blache"/>
    <s v="Q2"/>
    <e v="#REF!"/>
    <e v="#REF!"/>
    <e v="#REF!"/>
  </r>
  <r>
    <s v="425200"/>
    <x v="6"/>
    <s v="PERSONNEL - NOTE DE FRAIS"/>
    <s v="OD"/>
    <n v="10.1"/>
    <d v="2025-02-18T00:00:00"/>
    <s v="Liaison inter-établissement vers TO "/>
    <m/>
    <e v="#N/A"/>
    <e v="#N/A"/>
    <n v="73855"/>
    <m/>
    <s v="Jérémie Blache"/>
    <s v="Q1"/>
    <e v="#REF!"/>
    <e v="#REF!"/>
    <e v="#REF!"/>
  </r>
  <r>
    <s v="425200"/>
    <x v="6"/>
    <s v="PERSONNEL - NOTE DE FRAIS"/>
    <s v="OD"/>
    <n v="10.8"/>
    <d v="2025-11-24T00:00:00"/>
    <s v="Liaison inter-établissement vers TO "/>
    <m/>
    <e v="#N/A"/>
    <e v="#N/A"/>
    <n v="91017"/>
    <m/>
    <s v="Clément Perrocheau"/>
    <s v="Q4"/>
    <e v="#REF!"/>
    <e v="#REF!"/>
    <e v="#REF!"/>
  </r>
  <r>
    <s v="425200"/>
    <x v="6"/>
    <s v="PERSONNEL - NOTE DE FRAIS"/>
    <s v="OD"/>
    <n v="10.9"/>
    <d v="2025-03-14T00:00:00"/>
    <s v="Liaison inter-établissement vers TO "/>
    <m/>
    <e v="#N/A"/>
    <e v="#N/A"/>
    <n v="76652"/>
    <m/>
    <s v="Jérémie Blache"/>
    <s v="Q1"/>
    <e v="#REF!"/>
    <e v="#REF!"/>
    <e v="#REF!"/>
  </r>
  <r>
    <s v="425200"/>
    <x v="6"/>
    <s v="PERSONNEL - NOTE DE FRAIS"/>
    <s v="OD"/>
    <n v="12.15"/>
    <d v="2025-03-10T00:00:00"/>
    <s v="Liaison inter-établissement vers TO "/>
    <m/>
    <e v="#N/A"/>
    <e v="#N/A"/>
    <n v="73839"/>
    <m/>
    <s v="Jérémie Blache"/>
    <s v="Q1"/>
    <e v="#REF!"/>
    <e v="#REF!"/>
    <e v="#REF!"/>
  </r>
  <r>
    <s v="425200"/>
    <x v="6"/>
    <s v="PERSONNEL - NOTE DE FRAIS"/>
    <s v="OD"/>
    <n v="12.62"/>
    <d v="2025-04-30T00:00:00"/>
    <s v="Liaison inter-établissement vers TO "/>
    <m/>
    <e v="#N/A"/>
    <e v="#N/A"/>
    <n v="74479"/>
    <m/>
    <s v="Filipe Gomes"/>
    <s v="Q2"/>
    <e v="#REF!"/>
    <e v="#REF!"/>
    <e v="#REF!"/>
  </r>
  <r>
    <s v="425200"/>
    <x v="6"/>
    <s v="PERSONNEL - NOTE DE FRAIS"/>
    <s v="OD"/>
    <n v="12.8"/>
    <d v="2025-04-30T00:00:00"/>
    <s v="Liaison inter-établissement vers TO "/>
    <m/>
    <e v="#N/A"/>
    <e v="#N/A"/>
    <n v="74535"/>
    <m/>
    <s v="Jérémie Blache"/>
    <s v="Q2"/>
    <e v="#REF!"/>
    <e v="#REF!"/>
    <e v="#REF!"/>
  </r>
  <r>
    <s v="425200"/>
    <x v="6"/>
    <s v="PERSONNEL - NOTE DE FRAIS"/>
    <s v="OD"/>
    <n v="12.85"/>
    <d v="2025-04-30T00:00:00"/>
    <s v="Liaison inter-établissement vers TO "/>
    <m/>
    <e v="#N/A"/>
    <e v="#N/A"/>
    <n v="74527"/>
    <m/>
    <s v="Jérémie Blache"/>
    <s v="Q2"/>
    <e v="#REF!"/>
    <e v="#REF!"/>
    <e v="#REF!"/>
  </r>
  <r>
    <s v="425200"/>
    <x v="6"/>
    <s v="PERSONNEL - NOTE DE FRAIS"/>
    <s v="OD"/>
    <n v="14.08"/>
    <d v="2025-02-05T00:00:00"/>
    <s v="Liaison inter-établissement vers TO "/>
    <m/>
    <e v="#N/A"/>
    <e v="#N/A"/>
    <n v="73823"/>
    <m/>
    <s v="Anthony Martinez"/>
    <s v="Q1"/>
    <e v="#REF!"/>
    <e v="#REF!"/>
    <e v="#REF!"/>
  </r>
  <r>
    <s v="425200"/>
    <x v="6"/>
    <s v="PERSONNEL - NOTE DE FRAIS"/>
    <s v="OD"/>
    <n v="14.65"/>
    <d v="2025-01-27T00:00:00"/>
    <s v="Liaison inter-établissement vers TO "/>
    <m/>
    <e v="#N/A"/>
    <e v="#N/A"/>
    <n v="76656"/>
    <m/>
    <s v="Jérémie Blache"/>
    <s v="Q1"/>
    <e v="#REF!"/>
    <e v="#REF!"/>
    <e v="#REF!"/>
  </r>
  <r>
    <s v="425200"/>
    <x v="6"/>
    <s v="PERSONNEL - NOTE DE FRAIS"/>
    <s v="OD"/>
    <n v="14.9"/>
    <d v="2025-03-04T00:00:00"/>
    <s v="Liaison inter-établissement vers TO "/>
    <m/>
    <e v="#N/A"/>
    <e v="#N/A"/>
    <n v="73847"/>
    <m/>
    <s v="Jérémie Blache"/>
    <s v="Q1"/>
    <e v="#REF!"/>
    <e v="#REF!"/>
    <e v="#REF!"/>
  </r>
  <r>
    <s v="425200"/>
    <x v="6"/>
    <s v="PERSONNEL - NOTE DE FRAIS"/>
    <s v="OD"/>
    <n v="14.95"/>
    <d v="2025-01-07T00:00:00"/>
    <s v="Liaison inter-établissement vers TO "/>
    <m/>
    <e v="#N/A"/>
    <e v="#N/A"/>
    <n v="74249"/>
    <m/>
    <s v="Vincent Blanchard"/>
    <s v="Q1"/>
    <e v="#REF!"/>
    <e v="#REF!"/>
    <e v="#REF!"/>
  </r>
  <r>
    <s v="425200"/>
    <x v="6"/>
    <s v="PERSONNEL - NOTE DE FRAIS"/>
    <s v="OD"/>
    <n v="15.7"/>
    <d v="2025-02-18T00:00:00"/>
    <s v="Liaison inter-établissement vers TO "/>
    <m/>
    <e v="#N/A"/>
    <e v="#N/A"/>
    <n v="76644"/>
    <m/>
    <s v="Jérémie Blache"/>
    <s v="Q1"/>
    <e v="#REF!"/>
    <e v="#REF!"/>
    <e v="#REF!"/>
  </r>
  <r>
    <s v="425200"/>
    <x v="6"/>
    <s v="PERSONNEL - NOTE DE FRAIS"/>
    <s v="OD"/>
    <n v="16"/>
    <d v="2025-05-16T00:00:00"/>
    <s v="Liaison inter-établissement vers TO "/>
    <m/>
    <e v="#N/A"/>
    <e v="#N/A"/>
    <n v="74483"/>
    <m/>
    <s v="Jérémie Blache"/>
    <s v="Q2"/>
    <e v="#REF!"/>
    <e v="#REF!"/>
    <e v="#REF!"/>
  </r>
  <r>
    <s v="425200"/>
    <x v="6"/>
    <s v="PERSONNEL - NOTE DE FRAIS"/>
    <s v="OD"/>
    <n v="18.100000000000001"/>
    <d v="2025-04-30T00:00:00"/>
    <s v="Liaison inter-établissement vers TO "/>
    <m/>
    <e v="#N/A"/>
    <e v="#N/A"/>
    <n v="74587"/>
    <m/>
    <s v="Vincent Blanchard"/>
    <s v="Q2"/>
    <e v="#REF!"/>
    <e v="#REF!"/>
    <e v="#REF!"/>
  </r>
  <r>
    <s v="425200"/>
    <x v="6"/>
    <s v="PERSONNEL - NOTE DE FRAIS"/>
    <s v="OD"/>
    <n v="18.3"/>
    <d v="2025-02-18T00:00:00"/>
    <s v="Liaison inter-établissement vers TO "/>
    <m/>
    <e v="#N/A"/>
    <e v="#N/A"/>
    <n v="76660"/>
    <m/>
    <s v="Jérémie Blache"/>
    <s v="Q1"/>
    <e v="#REF!"/>
    <e v="#REF!"/>
    <e v="#REF!"/>
  </r>
  <r>
    <s v="425200"/>
    <x v="6"/>
    <s v="PERSONNEL - NOTE DE FRAIS"/>
    <s v="OD"/>
    <n v="18.5"/>
    <d v="2025-04-07T00:00:00"/>
    <s v="Liaison inter-établissement vers TO "/>
    <m/>
    <e v="#N/A"/>
    <e v="#N/A"/>
    <n v="75623"/>
    <m/>
    <s v="Marie-Sarah Adenis"/>
    <s v="Q2"/>
    <e v="#REF!"/>
    <e v="#REF!"/>
    <e v="#REF!"/>
  </r>
  <r>
    <s v="425200"/>
    <x v="6"/>
    <s v="PERSONNEL - NOTE DE FRAIS"/>
    <s v="OD"/>
    <n v="19.5"/>
    <d v="2025-01-01T00:00:00"/>
    <s v="Solde JULLAC"/>
    <m/>
    <e v="#N/A"/>
    <e v="#N/A"/>
    <n v="76276"/>
    <m/>
    <s v="Julie Lacondemine"/>
    <s v="Q1"/>
    <e v="#REF!"/>
    <e v="#REF!"/>
    <e v="#REF!"/>
  </r>
  <r>
    <s v="425200"/>
    <x v="6"/>
    <s v="PERSONNEL - NOTE DE FRAIS"/>
    <s v="OD"/>
    <n v="19.989999999999998"/>
    <d v="2025-02-18T00:00:00"/>
    <s v="Liaison inter-établissement vers TO "/>
    <m/>
    <e v="#N/A"/>
    <e v="#N/A"/>
    <n v="73903"/>
    <m/>
    <s v="Vincent Blanchard"/>
    <s v="Q1"/>
    <e v="#REF!"/>
    <e v="#REF!"/>
    <e v="#REF!"/>
  </r>
  <r>
    <s v="425200"/>
    <x v="6"/>
    <s v="PERSONNEL - NOTE DE FRAIS"/>
    <s v="OD"/>
    <n v="20.25"/>
    <d v="2025-02-26T00:00:00"/>
    <s v="Liaison inter-établissement vers TO "/>
    <m/>
    <e v="#N/A"/>
    <e v="#N/A"/>
    <n v="73819"/>
    <m/>
    <s v="Anthony Martinez"/>
    <s v="Q1"/>
    <e v="#REF!"/>
    <e v="#REF!"/>
    <e v="#REF!"/>
  </r>
  <r>
    <s v="425200"/>
    <x v="6"/>
    <s v="PERSONNEL - NOTE DE FRAIS"/>
    <s v="OD"/>
    <n v="22.49"/>
    <d v="2025-04-04T00:00:00"/>
    <s v="Liaison inter-établissement vers TO "/>
    <m/>
    <e v="#N/A"/>
    <e v="#N/A"/>
    <n v="75619"/>
    <m/>
    <s v="Marie-Sarah Adenis"/>
    <s v="Q2"/>
    <e v="#REF!"/>
    <e v="#REF!"/>
    <e v="#REF!"/>
  </r>
  <r>
    <s v="425200"/>
    <x v="6"/>
    <s v="PERSONNEL - NOTE DE FRAIS"/>
    <s v="OD"/>
    <n v="22.8"/>
    <d v="2025-05-22T00:00:00"/>
    <s v="Liaison inter-établissement vers TO "/>
    <m/>
    <e v="#N/A"/>
    <e v="#N/A"/>
    <n v="76664"/>
    <m/>
    <s v="Jérémie Blache"/>
    <s v="Q2"/>
    <e v="#REF!"/>
    <e v="#REF!"/>
    <e v="#REF!"/>
  </r>
  <r>
    <s v="425200"/>
    <x v="6"/>
    <s v="PERSONNEL - NOTE DE FRAIS"/>
    <s v="OD"/>
    <n v="24.4"/>
    <d v="2025-03-10T00:00:00"/>
    <s v="Liaison inter-établissement vers TO "/>
    <m/>
    <e v="#N/A"/>
    <e v="#N/A"/>
    <n v="76628"/>
    <m/>
    <s v="Jérémie Blache"/>
    <s v="Q1"/>
    <e v="#REF!"/>
    <e v="#REF!"/>
    <e v="#REF!"/>
  </r>
  <r>
    <s v="425200"/>
    <x v="6"/>
    <s v="PERSONNEL - NOTE DE FRAIS"/>
    <s v="OD"/>
    <n v="24.5"/>
    <d v="2025-02-11T00:00:00"/>
    <s v="Liaison inter-établissement vers TO "/>
    <m/>
    <e v="#N/A"/>
    <e v="#N/A"/>
    <n v="73907"/>
    <m/>
    <s v="Vincent Blanchard"/>
    <s v="Q1"/>
    <e v="#REF!"/>
    <e v="#REF!"/>
    <e v="#REF!"/>
  </r>
  <r>
    <s v="425200"/>
    <x v="6"/>
    <s v="PERSONNEL - NOTE DE FRAIS"/>
    <s v="OD"/>
    <n v="24.5"/>
    <d v="2025-02-11T00:00:00"/>
    <s v="Liaison inter-établissement vers TO "/>
    <m/>
    <e v="#N/A"/>
    <e v="#N/A"/>
    <n v="75611"/>
    <m/>
    <s v="Filipe Gomes"/>
    <s v="Q1"/>
    <e v="#REF!"/>
    <e v="#REF!"/>
    <e v="#REF!"/>
  </r>
  <r>
    <s v="425200"/>
    <x v="6"/>
    <s v="PERSONNEL - NOTE DE FRAIS"/>
    <s v="OD"/>
    <n v="25.78"/>
    <d v="2025-05-22T00:00:00"/>
    <s v="Liaison inter-établissement vers TO "/>
    <m/>
    <e v="#N/A"/>
    <e v="#N/A"/>
    <n v="76704"/>
    <m/>
    <s v="Guillaume Boissonnat-Wu"/>
    <s v="Q2"/>
    <e v="#REF!"/>
    <e v="#REF!"/>
    <e v="#REF!"/>
  </r>
  <r>
    <s v="425200"/>
    <x v="6"/>
    <s v="PERSONNEL - NOTE DE FRAIS"/>
    <s v="OD"/>
    <n v="25.8"/>
    <d v="2025-04-04T00:00:00"/>
    <s v="Liaison inter-établissement vers TO "/>
    <m/>
    <e v="#N/A"/>
    <e v="#N/A"/>
    <n v="75627"/>
    <m/>
    <s v="Marie-Sarah Adenis"/>
    <s v="Q2"/>
    <e v="#REF!"/>
    <e v="#REF!"/>
    <e v="#REF!"/>
  </r>
  <r>
    <s v="425200"/>
    <x v="6"/>
    <s v="PERSONNEL - NOTE DE FRAIS"/>
    <s v="OD"/>
    <n v="26.02"/>
    <d v="2025-04-04T00:00:00"/>
    <s v="Liaison inter-établissement vers TO "/>
    <m/>
    <e v="#N/A"/>
    <e v="#N/A"/>
    <n v="75607"/>
    <m/>
    <s v="Anthony Martinez"/>
    <s v="Q2"/>
    <e v="#REF!"/>
    <e v="#REF!"/>
    <e v="#REF!"/>
  </r>
  <r>
    <s v="425200"/>
    <x v="6"/>
    <s v="PERSONNEL - NOTE DE FRAIS"/>
    <s v="OD"/>
    <n v="27.61"/>
    <d v="2025-06-27T00:00:00"/>
    <s v="Liaison inter-établissement vers TO "/>
    <m/>
    <e v="#N/A"/>
    <e v="#N/A"/>
    <n v="76696"/>
    <m/>
    <s v="Anthony Martinez"/>
    <s v="Q2"/>
    <e v="#REF!"/>
    <e v="#REF!"/>
    <e v="#REF!"/>
  </r>
  <r>
    <s v="425200"/>
    <x v="6"/>
    <s v="PERSONNEL - NOTE DE FRAIS"/>
    <s v="OD"/>
    <n v="29.89"/>
    <d v="2025-05-16T00:00:00"/>
    <s v="Liaison inter-établissement vers TO "/>
    <m/>
    <e v="#N/A"/>
    <e v="#N/A"/>
    <n v="74491"/>
    <m/>
    <s v="Jérémie Blache"/>
    <s v="Q2"/>
    <e v="#REF!"/>
    <e v="#REF!"/>
    <e v="#REF!"/>
  </r>
  <r>
    <s v="425200"/>
    <x v="6"/>
    <s v="PERSONNEL - NOTE DE FRAIS"/>
    <s v="OD"/>
    <n v="29.9"/>
    <d v="2025-04-30T00:00:00"/>
    <s v="Liaison inter-établissement vers TO "/>
    <m/>
    <e v="#N/A"/>
    <e v="#N/A"/>
    <n v="74583"/>
    <m/>
    <s v="Thibault Dejardin"/>
    <s v="Q2"/>
    <e v="#REF!"/>
    <e v="#REF!"/>
    <e v="#REF!"/>
  </r>
  <r>
    <s v="425200"/>
    <x v="6"/>
    <s v="PERSONNEL - NOTE DE FRAIS"/>
    <s v="OD"/>
    <n v="30"/>
    <d v="2025-01-13T00:00:00"/>
    <s v="Liaison inter-établissement vers TO "/>
    <m/>
    <e v="#N/A"/>
    <e v="#N/A"/>
    <n v="75615"/>
    <m/>
    <s v="Marie-Sarah Adenis"/>
    <s v="Q1"/>
    <e v="#REF!"/>
    <e v="#REF!"/>
    <e v="#REF!"/>
  </r>
  <r>
    <s v="425200"/>
    <x v="6"/>
    <s v="PERSONNEL - NOTE DE FRAIS"/>
    <s v="OD"/>
    <n v="30.66"/>
    <d v="2025-04-30T00:00:00"/>
    <s v="Liaison inter-établissement vers TO "/>
    <m/>
    <e v="#N/A"/>
    <e v="#N/A"/>
    <n v="74543"/>
    <m/>
    <s v="Jérémie Blache"/>
    <s v="Q2"/>
    <e v="#REF!"/>
    <e v="#REF!"/>
    <e v="#REF!"/>
  </r>
  <r>
    <s v="425200"/>
    <x v="6"/>
    <s v="PERSONNEL - NOTE DE FRAIS"/>
    <s v="OD"/>
    <n v="40.96"/>
    <d v="2025-02-11T00:00:00"/>
    <s v="Liaison inter-établissement vers TO "/>
    <m/>
    <e v="#N/A"/>
    <e v="#N/A"/>
    <n v="75631"/>
    <m/>
    <s v="Tatiana Ghanem"/>
    <s v="Q1"/>
    <e v="#REF!"/>
    <e v="#REF!"/>
    <e v="#REF!"/>
  </r>
  <r>
    <s v="425200"/>
    <x v="6"/>
    <s v="PERSONNEL - NOTE DE FRAIS"/>
    <s v="OD"/>
    <n v="40.99"/>
    <d v="2025-04-30T00:00:00"/>
    <s v="Liaison inter-établissement vers TO "/>
    <m/>
    <e v="#N/A"/>
    <e v="#N/A"/>
    <n v="74523"/>
    <m/>
    <s v="Jérémie Blache"/>
    <s v="Q2"/>
    <e v="#REF!"/>
    <e v="#REF!"/>
    <e v="#REF!"/>
  </r>
  <r>
    <s v="425200"/>
    <x v="6"/>
    <s v="PERSONNEL - NOTE DE FRAIS"/>
    <s v="OD"/>
    <n v="41.91"/>
    <d v="2025-02-05T00:00:00"/>
    <s v="Liaison inter-établissement vers TO "/>
    <m/>
    <e v="#N/A"/>
    <e v="#N/A"/>
    <n v="74571"/>
    <m/>
    <s v="Tatiana Ghanem"/>
    <s v="Q1"/>
    <e v="#REF!"/>
    <e v="#REF!"/>
    <e v="#REF!"/>
  </r>
  <r>
    <s v="425200"/>
    <x v="6"/>
    <s v="PERSONNEL - NOTE DE FRAIS"/>
    <s v="OD"/>
    <n v="44.1"/>
    <d v="2025-06-13T00:00:00"/>
    <s v="Liaison inter-établissement vers TO "/>
    <m/>
    <e v="#N/A"/>
    <e v="#N/A"/>
    <n v="76632"/>
    <m/>
    <s v="Jérémie Blache"/>
    <s v="Q2"/>
    <e v="#REF!"/>
    <e v="#REF!"/>
    <e v="#REF!"/>
  </r>
  <r>
    <s v="425200"/>
    <x v="6"/>
    <s v="PERSONNEL - NOTE DE FRAIS"/>
    <s v="OD"/>
    <n v="44.34"/>
    <d v="2025-04-30T00:00:00"/>
    <s v="Liaison inter-établissement vers TO "/>
    <m/>
    <e v="#N/A"/>
    <e v="#N/A"/>
    <n v="74539"/>
    <m/>
    <s v="Jérémie Blache"/>
    <s v="Q2"/>
    <e v="#REF!"/>
    <e v="#REF!"/>
    <e v="#REF!"/>
  </r>
  <r>
    <s v="425200"/>
    <x v="6"/>
    <s v="PERSONNEL - NOTE DE FRAIS"/>
    <s v="OD"/>
    <n v="45.9"/>
    <d v="2025-05-22T00:00:00"/>
    <s v="Liaison inter-établissement vers TO "/>
    <m/>
    <e v="#N/A"/>
    <e v="#N/A"/>
    <n v="76708"/>
    <m/>
    <s v="Guillaume Boissonnat-Wu"/>
    <s v="Q2"/>
    <e v="#REF!"/>
    <e v="#REF!"/>
    <e v="#REF!"/>
  </r>
  <r>
    <s v="425200"/>
    <x v="6"/>
    <s v="PERSONNEL - NOTE DE FRAIS"/>
    <s v="OD"/>
    <n v="49.98"/>
    <d v="2025-01-20T00:00:00"/>
    <s v="Liaison inter-établissement vers TO "/>
    <m/>
    <e v="#N/A"/>
    <e v="#N/A"/>
    <n v="73879"/>
    <m/>
    <s v="Jérémie Blache"/>
    <s v="Q1"/>
    <e v="#REF!"/>
    <e v="#REF!"/>
    <e v="#REF!"/>
  </r>
  <r>
    <s v="425200"/>
    <x v="6"/>
    <s v="PERSONNEL - NOTE DE FRAIS"/>
    <s v="OD"/>
    <n v="49.99"/>
    <d v="2025-02-26T00:00:00"/>
    <s v="Liaison inter-établissement vers TO "/>
    <m/>
    <e v="#N/A"/>
    <e v="#N/A"/>
    <n v="73815"/>
    <m/>
    <s v="Anne-Sophie Goutierre"/>
    <s v="Q1"/>
    <e v="#REF!"/>
    <e v="#REF!"/>
    <e v="#REF!"/>
  </r>
  <r>
    <s v="425200"/>
    <x v="6"/>
    <s v="PERSONNEL - NOTE DE FRAIS"/>
    <s v="OD"/>
    <n v="50"/>
    <d v="2025-02-05T00:00:00"/>
    <s v="Liaison inter-établissement vers TO "/>
    <m/>
    <e v="#N/A"/>
    <e v="#N/A"/>
    <n v="73871"/>
    <m/>
    <s v="Jérémie Blache"/>
    <s v="Q1"/>
    <e v="#REF!"/>
    <e v="#REF!"/>
    <e v="#REF!"/>
  </r>
  <r>
    <s v="425200"/>
    <x v="6"/>
    <s v="PERSONNEL - NOTE DE FRAIS"/>
    <s v="OD"/>
    <n v="50"/>
    <d v="2025-03-04T00:00:00"/>
    <s v="Liaison inter-établissement vers TO "/>
    <m/>
    <e v="#N/A"/>
    <e v="#N/A"/>
    <n v="73843"/>
    <m/>
    <s v="Jérémie Blache"/>
    <s v="Q1"/>
    <e v="#REF!"/>
    <e v="#REF!"/>
    <e v="#REF!"/>
  </r>
  <r>
    <s v="425200"/>
    <x v="6"/>
    <s v="PERSONNEL - NOTE DE FRAIS"/>
    <s v="OD"/>
    <n v="50"/>
    <d v="2025-04-04T00:00:00"/>
    <s v="Liaison inter-établissement vers TO "/>
    <m/>
    <e v="#N/A"/>
    <e v="#N/A"/>
    <n v="73831"/>
    <m/>
    <s v="Jérémie Blache"/>
    <s v="Q2"/>
    <e v="#REF!"/>
    <e v="#REF!"/>
    <e v="#REF!"/>
  </r>
  <r>
    <s v="425200"/>
    <x v="6"/>
    <s v="PERSONNEL - NOTE DE FRAIS"/>
    <s v="OD"/>
    <n v="50.4"/>
    <d v="2025-04-04T00:00:00"/>
    <s v="Liaison inter-établissement vers TO "/>
    <m/>
    <e v="#N/A"/>
    <e v="#N/A"/>
    <n v="74245"/>
    <m/>
    <s v="Clément Perrocheau"/>
    <s v="Q2"/>
    <e v="#REF!"/>
    <e v="#REF!"/>
    <e v="#REF!"/>
  </r>
  <r>
    <s v="425200"/>
    <x v="6"/>
    <s v="PERSONNEL - NOTE DE FRAIS"/>
    <s v="OD"/>
    <n v="53.17"/>
    <d v="2025-02-11T00:00:00"/>
    <s v="Liaison inter-établissement vers TO "/>
    <m/>
    <e v="#N/A"/>
    <e v="#N/A"/>
    <n v="73867"/>
    <m/>
    <s v="Jérémie Blache"/>
    <s v="Q1"/>
    <e v="#REF!"/>
    <e v="#REF!"/>
    <e v="#REF!"/>
  </r>
  <r>
    <s v="425200"/>
    <x v="6"/>
    <s v="PERSONNEL - NOTE DE FRAIS"/>
    <s v="OD"/>
    <n v="54"/>
    <d v="2025-06-27T00:00:00"/>
    <s v="Liaison inter-établissement vers TO "/>
    <m/>
    <e v="#N/A"/>
    <e v="#N/A"/>
    <n v="76636"/>
    <m/>
    <s v="Jérémie Blache"/>
    <s v="Q2"/>
    <e v="#REF!"/>
    <e v="#REF!"/>
    <e v="#REF!"/>
  </r>
  <r>
    <s v="425200"/>
    <x v="6"/>
    <s v="PERSONNEL - NOTE DE FRAIS"/>
    <s v="OD"/>
    <n v="54.87"/>
    <d v="2025-03-04T00:00:00"/>
    <s v="Liaison inter-établissement vers TO "/>
    <m/>
    <e v="#N/A"/>
    <e v="#N/A"/>
    <n v="76668"/>
    <m/>
    <s v="Jérémie Blache"/>
    <s v="Q1"/>
    <e v="#REF!"/>
    <e v="#REF!"/>
    <e v="#REF!"/>
  </r>
  <r>
    <s v="425200"/>
    <x v="6"/>
    <s v="PERSONNEL - NOTE DE FRAIS"/>
    <s v="OD"/>
    <n v="54.88"/>
    <d v="2025-04-29T00:00:00"/>
    <s v="Liaison inter-établissement vers TO "/>
    <m/>
    <e v="#N/A"/>
    <e v="#N/A"/>
    <n v="74531"/>
    <m/>
    <s v="Jérémie Blache"/>
    <s v="Q2"/>
    <e v="#REF!"/>
    <e v="#REF!"/>
    <e v="#REF!"/>
  </r>
  <r>
    <s v="425200"/>
    <x v="6"/>
    <s v="PERSONNEL - NOTE DE FRAIS"/>
    <s v="OD"/>
    <n v="57"/>
    <d v="2025-02-11T00:00:00"/>
    <s v="Liaison inter-établissement vers TO "/>
    <m/>
    <e v="#N/A"/>
    <e v="#N/A"/>
    <n v="73863"/>
    <m/>
    <s v="Jérémie Blache"/>
    <s v="Q1"/>
    <e v="#REF!"/>
    <e v="#REF!"/>
    <e v="#REF!"/>
  </r>
  <r>
    <s v="425200"/>
    <x v="6"/>
    <s v="PERSONNEL - NOTE DE FRAIS"/>
    <s v="OD"/>
    <n v="57.1"/>
    <d v="2025-12-23T00:00:00"/>
    <s v="Liaison inter-établissement vers TO "/>
    <m/>
    <e v="#N/A"/>
    <e v="#N/A"/>
    <n v="93576"/>
    <m/>
    <s v="Pierre Thomas"/>
    <s v="Q4"/>
    <e v="#REF!"/>
    <e v="#REF!"/>
    <e v="#REF!"/>
  </r>
  <r>
    <s v="425200"/>
    <x v="6"/>
    <s v="PERSONNEL - NOTE DE FRAIS"/>
    <s v="OD"/>
    <n v="59.38"/>
    <d v="2025-05-13T00:00:00"/>
    <s v="Liaison inter-établissement vers TO "/>
    <m/>
    <e v="#N/A"/>
    <e v="#N/A"/>
    <n v="74495"/>
    <m/>
    <s v="Jérémie Blache"/>
    <s v="Q2"/>
    <e v="#REF!"/>
    <e v="#REF!"/>
    <e v="#REF!"/>
  </r>
  <r>
    <s v="425200"/>
    <x v="6"/>
    <s v="PERSONNEL - NOTE DE FRAIS"/>
    <s v="OD"/>
    <n v="59.73"/>
    <d v="2025-05-16T00:00:00"/>
    <s v="Liaison inter-établissement vers TO "/>
    <m/>
    <e v="#N/A"/>
    <e v="#N/A"/>
    <n v="74499"/>
    <m/>
    <s v="Jérémie Blache"/>
    <s v="Q2"/>
    <e v="#REF!"/>
    <e v="#REF!"/>
    <e v="#REF!"/>
  </r>
  <r>
    <s v="425200"/>
    <x v="6"/>
    <s v="PERSONNEL - NOTE DE FRAIS"/>
    <s v="OD"/>
    <n v="60.18"/>
    <d v="2025-01-27T00:00:00"/>
    <s v="Liaison inter-établissement vers TO "/>
    <m/>
    <e v="#N/A"/>
    <e v="#N/A"/>
    <n v="74241"/>
    <m/>
    <s v="Anne-Sophie Goutierre"/>
    <s v="Q1"/>
    <e v="#REF!"/>
    <e v="#REF!"/>
    <e v="#REF!"/>
  </r>
  <r>
    <s v="425200"/>
    <x v="6"/>
    <s v="PERSONNEL - NOTE DE FRAIS"/>
    <s v="OD"/>
    <n v="65.88"/>
    <d v="2025-01-27T00:00:00"/>
    <s v="Liaison inter-établissement vers TO "/>
    <m/>
    <e v="#N/A"/>
    <e v="#N/A"/>
    <n v="73891"/>
    <m/>
    <s v="Julie Lacondemine"/>
    <s v="Q1"/>
    <e v="#REF!"/>
    <e v="#REF!"/>
    <e v="#REF!"/>
  </r>
  <r>
    <s v="425200"/>
    <x v="6"/>
    <s v="PERSONNEL - NOTE DE FRAIS"/>
    <s v="OD"/>
    <n v="68.7"/>
    <d v="2025-04-02T00:00:00"/>
    <s v="Liaison inter-établissement vers TO "/>
    <m/>
    <e v="#N/A"/>
    <e v="#N/A"/>
    <n v="76724"/>
    <m/>
    <s v="Loic masseboeuf"/>
    <s v="Q2"/>
    <e v="#REF!"/>
    <e v="#REF!"/>
    <e v="#REF!"/>
  </r>
  <r>
    <s v="425200"/>
    <x v="6"/>
    <s v="PERSONNEL - NOTE DE FRAIS"/>
    <s v="OD"/>
    <n v="82.17"/>
    <d v="2025-12-23T00:00:00"/>
    <s v="Liaison inter-établissement vers TO "/>
    <m/>
    <e v="#N/A"/>
    <e v="#N/A"/>
    <n v="93584"/>
    <m/>
    <s v="Anthony Martinez"/>
    <s v="Q4"/>
    <e v="#REF!"/>
    <e v="#REF!"/>
    <e v="#REF!"/>
  </r>
  <r>
    <s v="425200"/>
    <x v="6"/>
    <s v="PERSONNEL - NOTE DE FRAIS"/>
    <s v="OD"/>
    <n v="83.7"/>
    <d v="2025-05-22T00:00:00"/>
    <s v="Liaison inter-établissement vers TO "/>
    <m/>
    <e v="#N/A"/>
    <e v="#N/A"/>
    <n v="76672"/>
    <m/>
    <s v="Jérémie Blache"/>
    <s v="Q2"/>
    <e v="#REF!"/>
    <e v="#REF!"/>
    <e v="#REF!"/>
  </r>
  <r>
    <s v="425200"/>
    <x v="6"/>
    <s v="PERSONNEL - NOTE DE FRAIS"/>
    <s v="OD"/>
    <n v="84.5"/>
    <d v="2025-04-04T00:00:00"/>
    <s v="Liaison inter-établissement vers TO "/>
    <m/>
    <e v="#N/A"/>
    <e v="#N/A"/>
    <n v="75876"/>
    <m/>
    <s v="Marie-Sarah Adenis"/>
    <s v="Q2"/>
    <e v="#REF!"/>
    <e v="#REF!"/>
    <e v="#REF!"/>
  </r>
  <r>
    <s v="425200"/>
    <x v="6"/>
    <s v="PERSONNEL - NOTE DE FRAIS"/>
    <s v="OD"/>
    <n v="85.58"/>
    <d v="2025-06-27T00:00:00"/>
    <s v="Liaison inter-établissement vers TO "/>
    <m/>
    <e v="#N/A"/>
    <e v="#N/A"/>
    <n v="76732"/>
    <m/>
    <s v="Marine Bonnaud"/>
    <s v="Q2"/>
    <e v="#REF!"/>
    <e v="#REF!"/>
    <e v="#REF!"/>
  </r>
  <r>
    <s v="425200"/>
    <x v="6"/>
    <s v="PERSONNEL - NOTE DE FRAIS"/>
    <s v="OD"/>
    <n v="88.53"/>
    <d v="2025-05-13T00:00:00"/>
    <s v="Liaison inter-établissement vers TO "/>
    <m/>
    <e v="#N/A"/>
    <e v="#N/A"/>
    <n v="74487"/>
    <m/>
    <s v="Jérémie Blache"/>
    <s v="Q2"/>
    <e v="#REF!"/>
    <e v="#REF!"/>
    <e v="#REF!"/>
  </r>
  <r>
    <s v="425200"/>
    <x v="6"/>
    <s v="PERSONNEL - NOTE DE FRAIS"/>
    <s v="OD"/>
    <n v="91"/>
    <d v="2025-03-24T00:00:00"/>
    <s v="Liaison inter-établissement vers TO "/>
    <m/>
    <e v="#N/A"/>
    <e v="#N/A"/>
    <n v="73887"/>
    <m/>
    <s v="Julie Lacondemine"/>
    <s v="Q1"/>
    <e v="#REF!"/>
    <e v="#REF!"/>
    <e v="#REF!"/>
  </r>
  <r>
    <s v="425200"/>
    <x v="6"/>
    <s v="PERSONNEL - NOTE DE FRAIS"/>
    <s v="OD"/>
    <n v="93.78"/>
    <d v="2025-05-13T00:00:00"/>
    <s v="Liaison inter-établissement vers TO "/>
    <m/>
    <e v="#N/A"/>
    <e v="#N/A"/>
    <n v="74507"/>
    <m/>
    <s v="Jérémie Blache"/>
    <s v="Q2"/>
    <e v="#REF!"/>
    <e v="#REF!"/>
    <e v="#REF!"/>
  </r>
  <r>
    <s v="425200"/>
    <x v="6"/>
    <s v="PERSONNEL - NOTE DE FRAIS"/>
    <s v="OD"/>
    <n v="93.81"/>
    <d v="2025-07-01T00:00:00"/>
    <s v="Liaison inter-établissement vers TO "/>
    <m/>
    <e v="#N/A"/>
    <e v="#N/A"/>
    <n v="76783"/>
    <m/>
    <s v="Yves Combret"/>
    <s v="Q3"/>
    <e v="#REF!"/>
    <e v="#REF!"/>
    <e v="#REF!"/>
  </r>
  <r>
    <s v="425200"/>
    <x v="6"/>
    <s v="PERSONNEL - NOTE DE FRAIS"/>
    <s v="OD"/>
    <n v="94.45"/>
    <d v="2025-04-04T00:00:00"/>
    <s v="Liaison inter-établissement vers TO "/>
    <m/>
    <e v="#N/A"/>
    <e v="#N/A"/>
    <n v="76269"/>
    <m/>
    <s v="Yves Combret"/>
    <s v="Q2"/>
    <e v="#REF!"/>
    <e v="#REF!"/>
    <e v="#REF!"/>
  </r>
  <r>
    <s v="425200"/>
    <x v="6"/>
    <s v="PERSONNEL - NOTE DE FRAIS"/>
    <s v="OD"/>
    <n v="94.95"/>
    <d v="2025-05-22T00:00:00"/>
    <s v="Liaison inter-établissement vers TO "/>
    <m/>
    <e v="#N/A"/>
    <e v="#N/A"/>
    <n v="76736"/>
    <m/>
    <s v="Thibault Dejardin"/>
    <s v="Q2"/>
    <e v="#REF!"/>
    <e v="#REF!"/>
    <e v="#REF!"/>
  </r>
  <r>
    <s v="425200"/>
    <x v="6"/>
    <s v="PERSONNEL - NOTE DE FRAIS"/>
    <s v="OD"/>
    <n v="96.42"/>
    <d v="2025-01-20T00:00:00"/>
    <s v="Liaison inter-établissement vers TO "/>
    <m/>
    <e v="#N/A"/>
    <e v="#N/A"/>
    <n v="73827"/>
    <m/>
    <s v="Clément Perrocheau"/>
    <s v="Q1"/>
    <e v="#REF!"/>
    <e v="#REF!"/>
    <e v="#REF!"/>
  </r>
  <r>
    <s v="425200"/>
    <x v="6"/>
    <s v="PERSONNEL - NOTE DE FRAIS"/>
    <s v="OD"/>
    <n v="96.58"/>
    <d v="2025-04-25T00:00:00"/>
    <s v="Liaison inter-établissement vers TO "/>
    <m/>
    <e v="#N/A"/>
    <e v="#N/A"/>
    <n v="74559"/>
    <m/>
    <s v="Loic masseboeuf"/>
    <s v="Q2"/>
    <e v="#REF!"/>
    <e v="#REF!"/>
    <e v="#REF!"/>
  </r>
  <r>
    <s v="425200"/>
    <x v="6"/>
    <s v="PERSONNEL - NOTE DE FRAIS"/>
    <s v="OD"/>
    <n v="107.4"/>
    <d v="2025-03-10T00:00:00"/>
    <s v="Liaison inter-établissement vers TO "/>
    <m/>
    <e v="#N/A"/>
    <e v="#N/A"/>
    <n v="76648"/>
    <m/>
    <s v="Jérémie Blache"/>
    <s v="Q1"/>
    <e v="#REF!"/>
    <e v="#REF!"/>
    <e v="#REF!"/>
  </r>
  <r>
    <s v="425200"/>
    <x v="6"/>
    <s v="PERSONNEL - NOTE DE FRAIS"/>
    <s v="OD"/>
    <n v="115.56"/>
    <d v="2025-06-13T00:00:00"/>
    <s v="Liaison inter-établissement vers TO "/>
    <m/>
    <e v="#N/A"/>
    <e v="#N/A"/>
    <n v="76712"/>
    <m/>
    <s v="Julie Lacondemine"/>
    <s v="Q2"/>
    <e v="#REF!"/>
    <e v="#REF!"/>
    <e v="#REF!"/>
  </r>
  <r>
    <s v="425200"/>
    <x v="6"/>
    <s v="PERSONNEL - NOTE DE FRAIS"/>
    <s v="OD"/>
    <n v="118.5"/>
    <d v="2025-02-26T00:00:00"/>
    <s v="Liaison inter-établissement vers TO "/>
    <m/>
    <e v="#N/A"/>
    <e v="#N/A"/>
    <n v="73851"/>
    <m/>
    <s v="Jérémie Blache"/>
    <s v="Q1"/>
    <e v="#REF!"/>
    <e v="#REF!"/>
    <e v="#REF!"/>
  </r>
  <r>
    <s v="425200"/>
    <x v="6"/>
    <s v="PERSONNEL - NOTE DE FRAIS"/>
    <s v="OD"/>
    <n v="120"/>
    <d v="2025-05-13T00:00:00"/>
    <s v="Liaison inter-établissement vers TO "/>
    <m/>
    <e v="#N/A"/>
    <e v="#N/A"/>
    <n v="74563"/>
    <m/>
    <s v="Marie-Sarah Adenis"/>
    <s v="Q2"/>
    <e v="#REF!"/>
    <e v="#REF!"/>
    <e v="#REF!"/>
  </r>
  <r>
    <s v="425200"/>
    <x v="6"/>
    <s v="PERSONNEL - NOTE DE FRAIS"/>
    <s v="OD"/>
    <n v="120.05"/>
    <d v="2025-06-27T00:00:00"/>
    <s v="Liaison inter-établissement vers TO "/>
    <m/>
    <e v="#N/A"/>
    <e v="#N/A"/>
    <n v="76757"/>
    <m/>
    <s v="Marie-Sarah Adenis"/>
    <s v="Q2"/>
    <e v="#REF!"/>
    <e v="#REF!"/>
    <e v="#REF!"/>
  </r>
  <r>
    <s v="425200"/>
    <x v="6"/>
    <s v="PERSONNEL - NOTE DE FRAIS"/>
    <s v="OD"/>
    <n v="123"/>
    <d v="2025-05-13T00:00:00"/>
    <s v="Liaison inter-établissement vers TO "/>
    <m/>
    <e v="#N/A"/>
    <e v="#N/A"/>
    <n v="74579"/>
    <m/>
    <s v="Thibault Dejardin"/>
    <s v="Q2"/>
    <e v="#REF!"/>
    <e v="#REF!"/>
    <e v="#REF!"/>
  </r>
  <r>
    <s v="425200"/>
    <x v="6"/>
    <s v="PERSONNEL - NOTE DE FRAIS"/>
    <s v="OD"/>
    <n v="124.92"/>
    <d v="2025-04-30T00:00:00"/>
    <s v="Liaison inter-établissement vers TO "/>
    <m/>
    <e v="#N/A"/>
    <e v="#N/A"/>
    <n v="74519"/>
    <m/>
    <s v="Jérémie Blache"/>
    <s v="Q2"/>
    <e v="#REF!"/>
    <e v="#REF!"/>
    <e v="#REF!"/>
  </r>
  <r>
    <s v="425200"/>
    <x v="6"/>
    <s v="PERSONNEL - NOTE DE FRAIS"/>
    <s v="OD"/>
    <n v="128"/>
    <d v="2025-03-24T00:00:00"/>
    <s v="Liaison inter-établissement vers TO "/>
    <m/>
    <e v="#N/A"/>
    <e v="#N/A"/>
    <n v="73835"/>
    <m/>
    <s v="Jérémie Blache"/>
    <s v="Q1"/>
    <e v="#REF!"/>
    <e v="#REF!"/>
    <e v="#REF!"/>
  </r>
  <r>
    <s v="425200"/>
    <x v="6"/>
    <s v="PERSONNEL - NOTE DE FRAIS"/>
    <s v="OD"/>
    <n v="162.19"/>
    <d v="2025-12-23T00:00:00"/>
    <s v="Liaison inter-établissement vers TO "/>
    <m/>
    <e v="#N/A"/>
    <e v="#N/A"/>
    <n v="93596"/>
    <m/>
    <s v="Julie Lacondemine"/>
    <s v="Q4"/>
    <e v="#REF!"/>
    <e v="#REF!"/>
    <e v="#REF!"/>
  </r>
  <r>
    <s v="425200"/>
    <x v="6"/>
    <s v="PERSONNEL - NOTE DE FRAIS"/>
    <s v="OD"/>
    <n v="166.82"/>
    <d v="2025-02-03T00:00:00"/>
    <s v="Liaison inter-établissement vers TO "/>
    <m/>
    <e v="#N/A"/>
    <e v="#N/A"/>
    <n v="75872"/>
    <m/>
    <s v="Loic masseboeuf"/>
    <s v="Q1"/>
    <e v="#REF!"/>
    <e v="#REF!"/>
    <e v="#REF!"/>
  </r>
  <r>
    <s v="425200"/>
    <x v="6"/>
    <s v="PERSONNEL - NOTE DE FRAIS"/>
    <s v="OD"/>
    <n v="174"/>
    <d v="2025-03-04T00:00:00"/>
    <s v="Liaison inter-établissement vers TO "/>
    <m/>
    <e v="#N/A"/>
    <e v="#N/A"/>
    <n v="73899"/>
    <m/>
    <s v="Thibault Dejardin"/>
    <s v="Q1"/>
    <e v="#REF!"/>
    <e v="#REF!"/>
    <e v="#REF!"/>
  </r>
  <r>
    <s v="425200"/>
    <x v="6"/>
    <s v="PERSONNEL - NOTE DE FRAIS"/>
    <s v="OD"/>
    <n v="180"/>
    <d v="2025-04-07T00:00:00"/>
    <s v="Liaison inter-établissement vers TO "/>
    <m/>
    <e v="#N/A"/>
    <e v="#N/A"/>
    <n v="76716"/>
    <m/>
    <s v="Julie Lacondemine"/>
    <s v="Q2"/>
    <e v="#REF!"/>
    <e v="#REF!"/>
    <e v="#REF!"/>
  </r>
  <r>
    <s v="425200"/>
    <x v="6"/>
    <s v="PERSONNEL - NOTE DE FRAIS"/>
    <s v="OD"/>
    <n v="187.26"/>
    <d v="2025-02-03T00:00:00"/>
    <s v="Liaison inter-établissement vers TO "/>
    <m/>
    <e v="#N/A"/>
    <e v="#N/A"/>
    <n v="73895"/>
    <m/>
    <s v="Loic masseboeuf"/>
    <s v="Q1"/>
    <e v="#REF!"/>
    <e v="#REF!"/>
    <e v="#REF!"/>
  </r>
  <r>
    <s v="425200"/>
    <x v="6"/>
    <s v="PERSONNEL - NOTE DE FRAIS"/>
    <s v="OD"/>
    <n v="187.86"/>
    <d v="2025-11-24T00:00:00"/>
    <s v="Liaison inter-établissement vers TO "/>
    <m/>
    <e v="#N/A"/>
    <e v="#N/A"/>
    <n v="91041"/>
    <m/>
    <s v="Julie Lacondemine"/>
    <s v="Q4"/>
    <e v="#REF!"/>
    <e v="#REF!"/>
    <e v="#REF!"/>
  </r>
  <r>
    <s v="425200"/>
    <x v="6"/>
    <s v="PERSONNEL - NOTE DE FRAIS"/>
    <s v="OD"/>
    <n v="196"/>
    <d v="2025-04-25T00:00:00"/>
    <s v="Liaison inter-établissement vers TO "/>
    <m/>
    <e v="#N/A"/>
    <e v="#N/A"/>
    <n v="74475"/>
    <m/>
    <s v="Eugénie Terrangle"/>
    <s v="Q2"/>
    <e v="#REF!"/>
    <e v="#REF!"/>
    <e v="#REF!"/>
  </r>
  <r>
    <s v="425200"/>
    <x v="6"/>
    <s v="PERSONNEL - NOTE DE FRAIS"/>
    <s v="OD"/>
    <n v="200"/>
    <d v="2025-01-13T00:00:00"/>
    <s v="Liaison inter-établissement vers TO "/>
    <m/>
    <e v="#N/A"/>
    <e v="#N/A"/>
    <n v="73883"/>
    <m/>
    <s v="Jérémie Blache"/>
    <s v="Q1"/>
    <e v="#REF!"/>
    <e v="#REF!"/>
    <e v="#REF!"/>
  </r>
  <r>
    <s v="425200"/>
    <x v="6"/>
    <s v="PERSONNEL - NOTE DE FRAIS"/>
    <s v="OD"/>
    <n v="200"/>
    <d v="2025-02-17T00:00:00"/>
    <s v="Liaison inter-établissement vers TO "/>
    <m/>
    <e v="#N/A"/>
    <e v="#N/A"/>
    <n v="73859"/>
    <m/>
    <s v="Jérémie Blache"/>
    <s v="Q1"/>
    <e v="#REF!"/>
    <e v="#REF!"/>
    <e v="#REF!"/>
  </r>
  <r>
    <s v="425200"/>
    <x v="6"/>
    <s v="PERSONNEL - NOTE DE FRAIS"/>
    <s v="OD"/>
    <n v="200"/>
    <d v="2025-04-29T00:00:00"/>
    <s v="Liaison inter-établissement vers TO "/>
    <m/>
    <e v="#N/A"/>
    <e v="#N/A"/>
    <n v="74515"/>
    <m/>
    <s v="Jérémie Blache"/>
    <s v="Q2"/>
    <e v="#REF!"/>
    <e v="#REF!"/>
    <e v="#REF!"/>
  </r>
  <r>
    <s v="425200"/>
    <x v="6"/>
    <s v="PERSONNEL - NOTE DE FRAIS"/>
    <s v="OD"/>
    <n v="200"/>
    <d v="2025-05-13T00:00:00"/>
    <s v="Liaison inter-établissement vers TO "/>
    <m/>
    <e v="#N/A"/>
    <e v="#N/A"/>
    <n v="74511"/>
    <m/>
    <s v="Jérémie Blache"/>
    <s v="Q2"/>
    <e v="#REF!"/>
    <e v="#REF!"/>
    <e v="#REF!"/>
  </r>
  <r>
    <s v="425200"/>
    <x v="6"/>
    <s v="PERSONNEL - NOTE DE FRAIS"/>
    <s v="OD"/>
    <n v="204"/>
    <d v="2025-02-18T00:00:00"/>
    <s v="Liaison inter-établissement vers TO "/>
    <m/>
    <e v="#N/A"/>
    <e v="#N/A"/>
    <n v="75892"/>
    <m/>
    <s v="Maud Sanchez"/>
    <s v="Q1"/>
    <e v="#REF!"/>
    <e v="#REF!"/>
    <e v="#REF!"/>
  </r>
  <r>
    <s v="425200"/>
    <x v="6"/>
    <s v="PERSONNEL - NOTE DE FRAIS"/>
    <s v="OD"/>
    <n v="218.75"/>
    <d v="2025-11-24T00:00:00"/>
    <s v="Liaison inter-établissement vers TO "/>
    <m/>
    <e v="#N/A"/>
    <e v="#N/A"/>
    <n v="91033"/>
    <m/>
    <s v="Anne-Sophie Goutierre"/>
    <s v="Q4"/>
    <e v="#REF!"/>
    <e v="#REF!"/>
    <e v="#REF!"/>
  </r>
  <r>
    <s v="425200"/>
    <x v="6"/>
    <s v="PERSONNEL - NOTE DE FRAIS"/>
    <s v="OD"/>
    <n v="224.1"/>
    <d v="2025-04-07T00:00:00"/>
    <s v="Liaison inter-établissement vers TO "/>
    <m/>
    <e v="#N/A"/>
    <e v="#N/A"/>
    <n v="75880"/>
    <m/>
    <s v="Marie-Sarah Adenis"/>
    <s v="Q2"/>
    <e v="#REF!"/>
    <e v="#REF!"/>
    <e v="#REF!"/>
  </r>
  <r>
    <s v="425200"/>
    <x v="6"/>
    <s v="PERSONNEL - NOTE DE FRAIS"/>
    <s v="OD"/>
    <n v="229.55"/>
    <d v="2025-02-26T00:00:00"/>
    <s v="Liaison inter-établissement vers TO "/>
    <m/>
    <e v="#N/A"/>
    <e v="#N/A"/>
    <n v="75840"/>
    <m/>
    <s v="Anne-Sophie Goutierre"/>
    <s v="Q1"/>
    <e v="#REF!"/>
    <e v="#REF!"/>
    <e v="#REF!"/>
  </r>
  <r>
    <s v="425200"/>
    <x v="6"/>
    <s v="PERSONNEL - NOTE DE FRAIS"/>
    <s v="OD"/>
    <n v="234.64"/>
    <d v="2025-03-04T00:00:00"/>
    <s v="Liaison inter-établissement vers TO "/>
    <m/>
    <e v="#N/A"/>
    <e v="#N/A"/>
    <n v="75848"/>
    <m/>
    <s v="Guillaume Boissonnat-Wu"/>
    <s v="Q1"/>
    <e v="#REF!"/>
    <e v="#REF!"/>
    <e v="#REF!"/>
  </r>
  <r>
    <s v="425200"/>
    <x v="6"/>
    <s v="PERSONNEL - NOTE DE FRAIS"/>
    <s v="OD"/>
    <n v="257.10000000000002"/>
    <d v="2025-05-22T00:00:00"/>
    <s v="Liaison inter-établissement vers TO "/>
    <m/>
    <e v="#N/A"/>
    <e v="#N/A"/>
    <n v="76700"/>
    <m/>
    <s v="Guillaume Boissonnat-Wu"/>
    <s v="Q2"/>
    <e v="#REF!"/>
    <e v="#REF!"/>
    <e v="#REF!"/>
  </r>
  <r>
    <s v="425200"/>
    <x v="6"/>
    <s v="PERSONNEL - NOTE DE FRAIS"/>
    <s v="OD"/>
    <n v="263.60000000000002"/>
    <d v="2025-11-24T00:00:00"/>
    <s v="Liaison inter-établissement vers TO "/>
    <m/>
    <e v="#N/A"/>
    <e v="#N/A"/>
    <n v="91029"/>
    <m/>
    <s v="Kevin Cottet"/>
    <s v="Q4"/>
    <e v="#REF!"/>
    <e v="#REF!"/>
    <e v="#REF!"/>
  </r>
  <r>
    <s v="425200"/>
    <x v="6"/>
    <s v="PERSONNEL - NOTE DE FRAIS"/>
    <s v="OD"/>
    <n v="267.39999999999998"/>
    <d v="2025-04-14T00:00:00"/>
    <s v="Liaison inter-établissement vers TO "/>
    <m/>
    <e v="#N/A"/>
    <e v="#N/A"/>
    <n v="74467"/>
    <m/>
    <s v="Anne-Sophie Goutierre"/>
    <s v="Q2"/>
    <e v="#REF!"/>
    <e v="#REF!"/>
    <e v="#REF!"/>
  </r>
  <r>
    <s v="425200"/>
    <x v="6"/>
    <s v="PERSONNEL - NOTE DE FRAIS"/>
    <s v="OD"/>
    <n v="271.06"/>
    <d v="2025-01-07T00:00:00"/>
    <s v="Liaison inter-établissement vers TO "/>
    <m/>
    <e v="#N/A"/>
    <e v="#N/A"/>
    <n v="76777"/>
    <m/>
    <s v="Yves Combret"/>
    <s v="Q1"/>
    <e v="#REF!"/>
    <e v="#REF!"/>
    <e v="#REF!"/>
  </r>
  <r>
    <s v="425200"/>
    <x v="6"/>
    <s v="PERSONNEL - NOTE DE FRAIS"/>
    <s v="OD"/>
    <n v="273.60000000000002"/>
    <d v="2025-05-16T00:00:00"/>
    <s v="Liaison inter-établissement vers TO "/>
    <m/>
    <e v="#N/A"/>
    <e v="#N/A"/>
    <n v="74575"/>
    <m/>
    <s v="Thibault Dejardin"/>
    <s v="Q2"/>
    <e v="#REF!"/>
    <e v="#REF!"/>
    <e v="#REF!"/>
  </r>
  <r>
    <s v="425200"/>
    <x v="6"/>
    <s v="PERSONNEL - NOTE DE FRAIS"/>
    <s v="OD"/>
    <n v="274.45999999999998"/>
    <d v="2025-06-27T00:00:00"/>
    <s v="Liaison inter-établissement vers TO "/>
    <m/>
    <e v="#N/A"/>
    <e v="#N/A"/>
    <n v="76728"/>
    <m/>
    <s v="Marie-Sarah Adenis"/>
    <s v="Q2"/>
    <e v="#REF!"/>
    <e v="#REF!"/>
    <e v="#REF!"/>
  </r>
  <r>
    <s v="425200"/>
    <x v="6"/>
    <s v="PERSONNEL - NOTE DE FRAIS"/>
    <s v="OD"/>
    <n v="281.32"/>
    <d v="2025-05-16T00:00:00"/>
    <s v="Liaison inter-établissement vers TO "/>
    <m/>
    <e v="#N/A"/>
    <e v="#N/A"/>
    <n v="74503"/>
    <m/>
    <s v="Jérémie Blache"/>
    <s v="Q2"/>
    <e v="#REF!"/>
    <e v="#REF!"/>
    <e v="#REF!"/>
  </r>
  <r>
    <s v="425200"/>
    <x v="6"/>
    <s v="PERSONNEL - NOTE DE FRAIS"/>
    <s v="OD"/>
    <n v="282.08999999999997"/>
    <d v="2025-05-16T00:00:00"/>
    <s v="Liaison inter-établissement vers TO "/>
    <m/>
    <e v="#N/A"/>
    <e v="#N/A"/>
    <n v="74551"/>
    <m/>
    <s v="Julie Lacondemine"/>
    <s v="Q2"/>
    <e v="#REF!"/>
    <e v="#REF!"/>
    <e v="#REF!"/>
  </r>
  <r>
    <s v="425200"/>
    <x v="6"/>
    <s v="PERSONNEL - NOTE DE FRAIS"/>
    <s v="OD"/>
    <n v="300"/>
    <d v="2025-06-27T00:00:00"/>
    <s v="Liaison inter-établissement vers TO "/>
    <m/>
    <e v="#N/A"/>
    <e v="#N/A"/>
    <n v="76676"/>
    <m/>
    <s v="Jérémie Blache"/>
    <s v="Q2"/>
    <e v="#REF!"/>
    <e v="#REF!"/>
    <e v="#REF!"/>
  </r>
  <r>
    <s v="425200"/>
    <x v="6"/>
    <s v="PERSONNEL - NOTE DE FRAIS"/>
    <s v="OD"/>
    <n v="313.33"/>
    <d v="2025-04-25T00:00:00"/>
    <s v="Liaison inter-établissement vers TO "/>
    <m/>
    <e v="#N/A"/>
    <e v="#N/A"/>
    <n v="74471"/>
    <m/>
    <s v="Bob Fernandez"/>
    <s v="Q2"/>
    <e v="#REF!"/>
    <e v="#REF!"/>
    <e v="#REF!"/>
  </r>
  <r>
    <s v="425200"/>
    <x v="6"/>
    <s v="PERSONNEL - NOTE DE FRAIS"/>
    <s v="OD"/>
    <n v="332.45"/>
    <d v="2025-03-14T00:00:00"/>
    <s v="Liaison inter-établissement vers TO "/>
    <m/>
    <e v="#N/A"/>
    <e v="#N/A"/>
    <n v="75884"/>
    <m/>
    <s v="Marie-Sarah Adenis"/>
    <s v="Q1"/>
    <e v="#REF!"/>
    <e v="#REF!"/>
    <e v="#REF!"/>
  </r>
  <r>
    <s v="425200"/>
    <x v="6"/>
    <s v="PERSONNEL - NOTE DE FRAIS"/>
    <s v="OD"/>
    <n v="384.15"/>
    <d v="2025-06-27T00:00:00"/>
    <s v="Liaison inter-établissement vers TO "/>
    <m/>
    <e v="#N/A"/>
    <e v="#N/A"/>
    <n v="76765"/>
    <m/>
    <s v="Marie-Sarah Adenis"/>
    <s v="Q2"/>
    <e v="#REF!"/>
    <e v="#REF!"/>
    <e v="#REF!"/>
  </r>
  <r>
    <s v="425200"/>
    <x v="6"/>
    <s v="PERSONNEL - NOTE DE FRAIS"/>
    <s v="OD"/>
    <n v="398.79"/>
    <d v="2025-06-27T00:00:00"/>
    <s v="Liaison inter-établissement vers TO "/>
    <m/>
    <e v="#N/A"/>
    <e v="#N/A"/>
    <n v="76692"/>
    <m/>
    <s v="Anne-Sophie Goutierre"/>
    <s v="Q2"/>
    <e v="#REF!"/>
    <e v="#REF!"/>
    <e v="#REF!"/>
  </r>
  <r>
    <s v="425200"/>
    <x v="6"/>
    <s v="PERSONNEL - NOTE DE FRAIS"/>
    <s v="OD"/>
    <n v="406.11"/>
    <d v="2025-12-23T00:00:00"/>
    <s v="Liaison inter-établissement vers TO "/>
    <m/>
    <e v="#N/A"/>
    <e v="#N/A"/>
    <n v="93572"/>
    <m/>
    <s v="Pierre-Yves Bolle"/>
    <s v="Q4"/>
    <e v="#REF!"/>
    <e v="#REF!"/>
    <e v="#REF!"/>
  </r>
  <r>
    <s v="425200"/>
    <x v="6"/>
    <s v="PERSONNEL - NOTE DE FRAIS"/>
    <s v="OD"/>
    <n v="418.01"/>
    <d v="2025-11-24T00:00:00"/>
    <s v="Liaison inter-établissement vers TO "/>
    <m/>
    <e v="#N/A"/>
    <e v="#N/A"/>
    <n v="91037"/>
    <m/>
    <s v="Maud Sanchez"/>
    <s v="Q4"/>
    <e v="#REF!"/>
    <e v="#REF!"/>
    <e v="#REF!"/>
  </r>
  <r>
    <s v="425200"/>
    <x v="6"/>
    <s v="PERSONNEL - NOTE DE FRAIS"/>
    <s v="OD"/>
    <n v="437.92"/>
    <d v="2025-06-27T00:00:00"/>
    <s v="Liaison inter-établissement vers TO "/>
    <m/>
    <e v="#N/A"/>
    <e v="#N/A"/>
    <n v="76761"/>
    <m/>
    <s v="Marie-Sarah Adenis"/>
    <s v="Q2"/>
    <e v="#REF!"/>
    <e v="#REF!"/>
    <e v="#REF!"/>
  </r>
  <r>
    <s v="425200"/>
    <x v="6"/>
    <s v="PERSONNEL - NOTE DE FRAIS"/>
    <s v="OD"/>
    <n v="443.25"/>
    <d v="2025-01-13T00:00:00"/>
    <s v="Liaison inter-établissement vers TO "/>
    <m/>
    <e v="#N/A"/>
    <e v="#N/A"/>
    <n v="75868"/>
    <m/>
    <s v="Kevin Cottet"/>
    <s v="Q1"/>
    <e v="#REF!"/>
    <e v="#REF!"/>
    <e v="#REF!"/>
  </r>
  <r>
    <s v="425200"/>
    <x v="6"/>
    <s v="PERSONNEL - NOTE DE FRAIS"/>
    <s v="OD"/>
    <n v="473.94"/>
    <d v="2025-04-07T00:00:00"/>
    <s v="Liaison inter-établissement vers TO "/>
    <m/>
    <e v="#N/A"/>
    <e v="#N/A"/>
    <n v="75900"/>
    <m/>
    <s v="Maud Sanchez"/>
    <s v="Q2"/>
    <e v="#REF!"/>
    <e v="#REF!"/>
    <e v="#REF!"/>
  </r>
  <r>
    <s v="425200"/>
    <x v="6"/>
    <s v="PERSONNEL - NOTE DE FRAIS"/>
    <s v="OD"/>
    <n v="476.9"/>
    <d v="2025-01-01T00:00:00"/>
    <s v="Liaison inter-établissement vers TO "/>
    <m/>
    <e v="#N/A"/>
    <e v="#N/A"/>
    <n v="70522"/>
    <m/>
    <s v="Marie Rézeau"/>
    <s v="Q1"/>
    <e v="#REF!"/>
    <e v="#REF!"/>
    <e v="#REF!"/>
  </r>
  <r>
    <s v="425200"/>
    <x v="6"/>
    <s v="PERSONNEL - NOTE DE FRAIS"/>
    <s v="OD"/>
    <n v="506.39"/>
    <d v="2025-11-24T00:00:00"/>
    <s v="Liaison inter-établissement vers TO "/>
    <m/>
    <e v="#N/A"/>
    <e v="#N/A"/>
    <n v="91021"/>
    <m/>
    <s v="Guillaume Boissonnat-Wu"/>
    <s v="Q4"/>
    <e v="#REF!"/>
    <e v="#REF!"/>
    <e v="#REF!"/>
  </r>
  <r>
    <s v="425200"/>
    <x v="6"/>
    <s v="PERSONNEL - NOTE DE FRAIS"/>
    <s v="OD"/>
    <n v="529.91999999999996"/>
    <d v="2025-06-27T00:00:00"/>
    <s v="Liaison inter-établissement vers TO "/>
    <m/>
    <e v="#N/A"/>
    <e v="#N/A"/>
    <n v="76773"/>
    <m/>
    <s v="Yves Combret"/>
    <s v="Q2"/>
    <e v="#REF!"/>
    <e v="#REF!"/>
    <e v="#REF!"/>
  </r>
  <r>
    <s v="425200"/>
    <x v="6"/>
    <s v="PERSONNEL - NOTE DE FRAIS"/>
    <s v="OD"/>
    <n v="556.52"/>
    <d v="2025-11-24T00:00:00"/>
    <s v="Liaison inter-établissement vers TO "/>
    <m/>
    <e v="#N/A"/>
    <e v="#N/A"/>
    <n v="91009"/>
    <m/>
    <s v="Marie-Sarah Adenis"/>
    <s v="Q4"/>
    <e v="#REF!"/>
    <e v="#REF!"/>
    <e v="#REF!"/>
  </r>
  <r>
    <s v="425200"/>
    <x v="6"/>
    <s v="PERSONNEL - NOTE DE FRAIS"/>
    <s v="OD"/>
    <n v="570.53"/>
    <d v="2025-04-29T00:00:00"/>
    <s v="Liaison inter-établissement vers TO "/>
    <m/>
    <e v="#N/A"/>
    <e v="#N/A"/>
    <n v="74567"/>
    <m/>
    <s v="Marie Rézeau"/>
    <s v="Q2"/>
    <e v="#REF!"/>
    <e v="#REF!"/>
    <e v="#REF!"/>
  </r>
  <r>
    <s v="425200"/>
    <x v="6"/>
    <s v="PERSONNEL - NOTE DE FRAIS"/>
    <s v="OD"/>
    <n v="575.9"/>
    <d v="2025-12-23T00:00:00"/>
    <s v="Liaison inter-établissement vers TO "/>
    <m/>
    <e v="#N/A"/>
    <e v="#N/A"/>
    <n v="93588"/>
    <m/>
    <s v="Kevin Cottet"/>
    <s v="Q4"/>
    <e v="#REF!"/>
    <e v="#REF!"/>
    <e v="#REF!"/>
  </r>
  <r>
    <s v="425200"/>
    <x v="6"/>
    <s v="PERSONNEL - NOTE DE FRAIS"/>
    <s v="OD"/>
    <n v="576.4"/>
    <d v="2025-02-05T00:00:00"/>
    <s v="Liaison inter-établissement vers TO "/>
    <m/>
    <e v="#N/A"/>
    <e v="#N/A"/>
    <n v="74237"/>
    <m/>
    <s v="Alain Pinchard"/>
    <s v="Q1"/>
    <e v="#REF!"/>
    <e v="#REF!"/>
    <e v="#REF!"/>
  </r>
  <r>
    <s v="425200"/>
    <x v="6"/>
    <s v="PERSONNEL - NOTE DE FRAIS"/>
    <s v="OD"/>
    <n v="577.20000000000005"/>
    <d v="2025-06-27T00:00:00"/>
    <s v="Liaison inter-établissement vers TO "/>
    <m/>
    <e v="#N/A"/>
    <e v="#N/A"/>
    <n v="76720"/>
    <m/>
    <s v="Kevin Cottet"/>
    <s v="Q2"/>
    <e v="#REF!"/>
    <e v="#REF!"/>
    <e v="#REF!"/>
  </r>
  <r>
    <s v="425200"/>
    <x v="6"/>
    <s v="PERSONNEL - NOTE DE FRAIS"/>
    <s v="OD"/>
    <n v="581.4"/>
    <d v="2025-03-14T00:00:00"/>
    <s v="Liaison inter-établissement vers TO "/>
    <m/>
    <e v="#N/A"/>
    <e v="#N/A"/>
    <n v="75860"/>
    <m/>
    <s v="Kevin Cottet"/>
    <s v="Q1"/>
    <e v="#REF!"/>
    <e v="#REF!"/>
    <e v="#REF!"/>
  </r>
  <r>
    <s v="425200"/>
    <x v="6"/>
    <s v="PERSONNEL - NOTE DE FRAIS"/>
    <s v="OD"/>
    <n v="599.85"/>
    <d v="2025-11-24T00:00:00"/>
    <s v="Liaison inter-établissement vers TO "/>
    <m/>
    <e v="#N/A"/>
    <e v="#N/A"/>
    <n v="91025"/>
    <m/>
    <s v="Pierre-Yves Bolle"/>
    <s v="Q4"/>
    <e v="#REF!"/>
    <e v="#REF!"/>
    <e v="#REF!"/>
  </r>
  <r>
    <s v="425200"/>
    <x v="6"/>
    <s v="PERSONNEL - NOTE DE FRAIS"/>
    <s v="OD"/>
    <n v="600"/>
    <d v="2025-01-27T00:00:00"/>
    <s v="Liaison inter-établissement vers TO "/>
    <m/>
    <e v="#N/A"/>
    <e v="#N/A"/>
    <n v="73875"/>
    <m/>
    <s v="Jérémie Blache"/>
    <s v="Q1"/>
    <e v="#REF!"/>
    <e v="#REF!"/>
    <e v="#REF!"/>
  </r>
  <r>
    <s v="425200"/>
    <x v="6"/>
    <s v="PERSONNEL - NOTE DE FRAIS"/>
    <s v="OD"/>
    <n v="600"/>
    <d v="2025-02-11T00:00:00"/>
    <s v="Liaison inter-établissement vers TO "/>
    <m/>
    <e v="#N/A"/>
    <e v="#N/A"/>
    <n v="76684"/>
    <m/>
    <s v="Jérémie Blache"/>
    <s v="Q1"/>
    <e v="#REF!"/>
    <e v="#REF!"/>
    <e v="#REF!"/>
  </r>
  <r>
    <s v="425200"/>
    <x v="6"/>
    <s v="PERSONNEL - NOTE DE FRAIS"/>
    <s v="OD"/>
    <n v="600"/>
    <d v="2025-03-10T00:00:00"/>
    <s v="Liaison inter-établissement vers TO "/>
    <m/>
    <e v="#N/A"/>
    <e v="#N/A"/>
    <n v="76688"/>
    <m/>
    <s v="Jérémie Blache"/>
    <s v="Q1"/>
    <e v="#REF!"/>
    <e v="#REF!"/>
    <e v="#REF!"/>
  </r>
  <r>
    <s v="425200"/>
    <x v="6"/>
    <s v="PERSONNEL - NOTE DE FRAIS"/>
    <s v="OD"/>
    <n v="600"/>
    <d v="2025-06-24T00:00:00"/>
    <s v="Liaison inter-établissement vers TO "/>
    <m/>
    <e v="#N/A"/>
    <e v="#N/A"/>
    <n v="76680"/>
    <m/>
    <s v="Jérémie Blache"/>
    <s v="Q2"/>
    <e v="#REF!"/>
    <e v="#REF!"/>
    <e v="#REF!"/>
  </r>
  <r>
    <s v="425200"/>
    <x v="6"/>
    <s v="PERSONNEL - NOTE DE FRAIS"/>
    <s v="OD"/>
    <n v="603.70000000000005"/>
    <d v="2025-02-18T00:00:00"/>
    <s v="Liaison inter-établissement vers TO "/>
    <m/>
    <e v="#N/A"/>
    <e v="#N/A"/>
    <n v="75864"/>
    <m/>
    <s v="Kevin Cottet"/>
    <s v="Q1"/>
    <e v="#REF!"/>
    <e v="#REF!"/>
    <e v="#REF!"/>
  </r>
  <r>
    <s v="425200"/>
    <x v="6"/>
    <s v="PERSONNEL - NOTE DE FRAIS"/>
    <s v="OD"/>
    <n v="661.11"/>
    <d v="2025-06-27T00:00:00"/>
    <s v="Liaison inter-établissement vers TO "/>
    <m/>
    <e v="#N/A"/>
    <e v="#N/A"/>
    <n v="76769"/>
    <m/>
    <s v="Marie-Sarah Adenis"/>
    <s v="Q2"/>
    <e v="#REF!"/>
    <e v="#REF!"/>
    <e v="#REF!"/>
  </r>
  <r>
    <s v="425200"/>
    <x v="6"/>
    <s v="PERSONNEL - NOTE DE FRAIS"/>
    <s v="OD"/>
    <n v="663.32"/>
    <d v="2025-02-11T00:00:00"/>
    <s v="Liaison inter-établissement vers TO "/>
    <m/>
    <e v="#N/A"/>
    <e v="#N/A"/>
    <n v="75844"/>
    <m/>
    <s v="Guillaume Boissonnat-Wu"/>
    <s v="Q1"/>
    <e v="#REF!"/>
    <e v="#REF!"/>
    <e v="#REF!"/>
  </r>
  <r>
    <s v="425200"/>
    <x v="6"/>
    <s v="PERSONNEL - NOTE DE FRAIS"/>
    <s v="OD"/>
    <n v="731.15"/>
    <d v="2025-02-18T00:00:00"/>
    <s v="Liaison inter-établissement vers TO "/>
    <m/>
    <e v="#N/A"/>
    <e v="#N/A"/>
    <n v="74233"/>
    <m/>
    <s v="Alain Pinchard"/>
    <s v="Q1"/>
    <e v="#REF!"/>
    <e v="#REF!"/>
    <e v="#REF!"/>
  </r>
  <r>
    <s v="425200"/>
    <x v="6"/>
    <s v="PERSONNEL - NOTE DE FRAIS"/>
    <s v="OD"/>
    <n v="750.65"/>
    <d v="2025-12-23T00:00:00"/>
    <s v="Liaison inter-établissement vers TO "/>
    <m/>
    <e v="#N/A"/>
    <e v="#N/A"/>
    <n v="93580"/>
    <m/>
    <s v="Marie-Sarah Adenis"/>
    <s v="Q4"/>
    <e v="#REF!"/>
    <e v="#REF!"/>
    <e v="#REF!"/>
  </r>
  <r>
    <s v="425200"/>
    <x v="6"/>
    <s v="PERSONNEL - NOTE DE FRAIS"/>
    <s v="OD"/>
    <n v="766.45"/>
    <d v="2025-01-20T00:00:00"/>
    <s v="Liaison inter-établissement vers TO "/>
    <m/>
    <e v="#N/A"/>
    <e v="#N/A"/>
    <n v="74229"/>
    <m/>
    <s v="Alain Pinchard"/>
    <s v="Q1"/>
    <e v="#REF!"/>
    <e v="#REF!"/>
    <e v="#REF!"/>
  </r>
  <r>
    <s v="425200"/>
    <x v="6"/>
    <s v="PERSONNEL - NOTE DE FRAIS"/>
    <s v="OD"/>
    <n v="799.42"/>
    <d v="2025-11-24T00:00:00"/>
    <s v="Liaison inter-établissement vers TO "/>
    <m/>
    <e v="#N/A"/>
    <e v="#N/A"/>
    <n v="91013"/>
    <m/>
    <s v="Marie Rézeau"/>
    <s v="Q4"/>
    <e v="#REF!"/>
    <e v="#REF!"/>
    <e v="#REF!"/>
  </r>
  <r>
    <s v="425200"/>
    <x v="6"/>
    <s v="PERSONNEL - NOTE DE FRAIS"/>
    <s v="OD"/>
    <n v="817.52"/>
    <d v="2025-04-14T00:00:00"/>
    <s v="Liaison inter-établissement vers TO "/>
    <m/>
    <e v="#N/A"/>
    <e v="#N/A"/>
    <n v="76273"/>
    <m/>
    <s v="Yves Combret"/>
    <s v="Q2"/>
    <e v="#REF!"/>
    <e v="#REF!"/>
    <e v="#REF!"/>
  </r>
  <r>
    <s v="425200"/>
    <x v="6"/>
    <s v="PERSONNEL - NOTE DE FRAIS"/>
    <s v="OD"/>
    <n v="859.06"/>
    <d v="2025-04-04T00:00:00"/>
    <s v="Liaison inter-établissement vers TO "/>
    <m/>
    <e v="#N/A"/>
    <e v="#N/A"/>
    <n v="75852"/>
    <m/>
    <s v="Guillaume Boissonnat-Wu"/>
    <s v="Q2"/>
    <e v="#REF!"/>
    <e v="#REF!"/>
    <e v="#REF!"/>
  </r>
  <r>
    <s v="425200"/>
    <x v="6"/>
    <s v="PERSONNEL - NOTE DE FRAIS"/>
    <s v="OD"/>
    <n v="859.74"/>
    <d v="2025-02-10T00:00:00"/>
    <s v="Liaison inter-établissement vers TO "/>
    <m/>
    <e v="#N/A"/>
    <e v="#N/A"/>
    <n v="75904"/>
    <m/>
    <s v="Pierre-Yves Bolle"/>
    <s v="Q1"/>
    <e v="#REF!"/>
    <e v="#REF!"/>
    <e v="#REF!"/>
  </r>
  <r>
    <s v="425200"/>
    <x v="6"/>
    <s v="PERSONNEL - NOTE DE FRAIS"/>
    <s v="OD"/>
    <n v="859.96"/>
    <d v="2025-04-07T00:00:00"/>
    <s v="Liaison inter-établissement vers TO "/>
    <m/>
    <e v="#N/A"/>
    <e v="#N/A"/>
    <n v="75856"/>
    <m/>
    <s v="Kevin Cottet"/>
    <s v="Q2"/>
    <e v="#REF!"/>
    <e v="#REF!"/>
    <e v="#REF!"/>
  </r>
  <r>
    <s v="425200"/>
    <x v="6"/>
    <s v="PERSONNEL - NOTE DE FRAIS"/>
    <s v="OD"/>
    <n v="1046.69"/>
    <d v="2025-03-14T00:00:00"/>
    <s v="Liaison inter-établissement vers TO "/>
    <m/>
    <e v="#N/A"/>
    <e v="#N/A"/>
    <n v="75896"/>
    <m/>
    <s v="Maud Sanchez"/>
    <s v="Q1"/>
    <e v="#REF!"/>
    <e v="#REF!"/>
    <e v="#REF!"/>
  </r>
  <r>
    <s v="425200"/>
    <x v="6"/>
    <s v="PERSONNEL - NOTE DE FRAIS"/>
    <s v="OD"/>
    <n v="1107.9100000000001"/>
    <d v="2025-12-23T00:00:00"/>
    <s v="Liaison inter-établissement vers TO "/>
    <m/>
    <e v="#N/A"/>
    <e v="#N/A"/>
    <n v="93592"/>
    <m/>
    <s v="Yves Combret"/>
    <s v="Q4"/>
    <e v="#REF!"/>
    <e v="#REF!"/>
    <e v="#REF!"/>
  </r>
  <r>
    <s v="425200"/>
    <x v="6"/>
    <s v="PERSONNEL - NOTE DE FRAIS"/>
    <s v="OD"/>
    <n v="1249.03"/>
    <d v="2025-03-24T00:00:00"/>
    <s v="Liaison inter-établissement vers TO "/>
    <m/>
    <e v="#N/A"/>
    <e v="#N/A"/>
    <n v="75888"/>
    <m/>
    <s v="Marie Rézeau"/>
    <s v="Q1"/>
    <e v="#REF!"/>
    <e v="#REF!"/>
    <e v="#REF!"/>
  </r>
  <r>
    <s v="425200"/>
    <x v="6"/>
    <s v="PERSONNEL - NOTE DE FRAIS"/>
    <s v="OD"/>
    <n v="1307.31"/>
    <d v="2025-04-30T00:00:00"/>
    <s v="Liaison inter-établissement vers TO "/>
    <m/>
    <e v="#N/A"/>
    <e v="#N/A"/>
    <n v="74555"/>
    <m/>
    <s v="Kevin Cottet"/>
    <s v="Q2"/>
    <e v="#REF!"/>
    <e v="#REF!"/>
    <e v="#REF!"/>
  </r>
  <r>
    <s v="425200"/>
    <x v="6"/>
    <s v="PERSONNEL - NOTE DE FRAIS"/>
    <s v="OD"/>
    <n v="1426.92"/>
    <d v="2025-08-08T00:00:00"/>
    <s v="Liaison inter-établissement vers TO "/>
    <m/>
    <e v="#N/A"/>
    <e v="#N/A"/>
    <n v="89384"/>
    <m/>
    <s v="Marie Rézeau"/>
    <s v="Q3"/>
    <e v="#REF!"/>
    <e v="#REF!"/>
    <e v="#REF!"/>
  </r>
  <r>
    <s v="425200"/>
    <x v="6"/>
    <s v="PERSONNEL - NOTE DE FRAIS"/>
    <s v="OD"/>
    <n v="1471.57"/>
    <d v="2025-04-29T00:00:00"/>
    <s v="Liaison inter-établissement vers TO "/>
    <m/>
    <e v="#N/A"/>
    <e v="#N/A"/>
    <n v="76624"/>
    <m/>
    <s v="Pierre-Yves Bolle"/>
    <s v="Q2"/>
    <e v="#REF!"/>
    <e v="#REF!"/>
    <e v="#REF!"/>
  </r>
  <r>
    <s v="425200"/>
    <x v="6"/>
    <s v="PERSONNEL - NOTE DE FRAIS"/>
    <s v="OD"/>
    <n v="1758.99"/>
    <d v="2025-12-23T00:00:00"/>
    <s v="Liaison inter-établissement vers TO "/>
    <m/>
    <e v="#N/A"/>
    <e v="#N/A"/>
    <n v="93568"/>
    <m/>
    <s v="Pauline Rullière"/>
    <s v="Q4"/>
    <e v="#REF!"/>
    <e v="#REF!"/>
    <e v="#REF!"/>
  </r>
  <r>
    <s v="425200"/>
    <x v="6"/>
    <s v="PERSONNEL - NOTE DE FRAIS"/>
    <s v="OD"/>
    <n v="1827.26"/>
    <d v="2025-06-27T00:00:00"/>
    <s v="Liaison inter-établissement vers TO "/>
    <m/>
    <e v="#N/A"/>
    <e v="#N/A"/>
    <n v="76800"/>
    <m/>
    <s v="Pierre-Yves Bolle"/>
    <s v="Q2"/>
    <e v="#REF!"/>
    <e v="#REF!"/>
    <e v="#REF!"/>
  </r>
  <r>
    <s v="442100"/>
    <x v="6"/>
    <s v="PRÉLÈVEMENTS À LA SOURCE (IR)"/>
    <s v="BPRI"/>
    <n v="2945"/>
    <d v="2025-10-22T00:00:00"/>
    <s v="/SQTP/RCUR/LIB/PRLV INT ETS DGFIP/LIB/DGFIP/LIB/PASDSN15102025-092025-8115245450/LIB/NN811524545DGFIP2018764317JOSGOB"/>
    <m/>
    <e v="#N/A"/>
    <e v="#N/A"/>
    <n v="87323"/>
    <m/>
    <m/>
    <s v="Q4"/>
    <e v="#REF!"/>
    <e v="#REF!"/>
    <e v="#REF!"/>
  </r>
  <r>
    <s v="425500"/>
    <x v="6"/>
    <s v="PERSONNEL - AVANCES"/>
    <s v="OD"/>
    <n v="-180"/>
    <d v="2025-12-01T00:00:00"/>
    <s v="Mainlevée de saisie administrative - LB"/>
    <m/>
    <e v="#N/A"/>
    <e v="#N/A"/>
    <n v="94226"/>
    <m/>
    <m/>
    <s v="Q4"/>
    <e v="#REF!"/>
    <e v="#REF!"/>
    <e v="#REF!"/>
  </r>
  <r>
    <s v="428200"/>
    <x v="6"/>
    <s v="PERSONNEL - PROVISIONS - CONGÉS PAYÉS"/>
    <s v="AN"/>
    <n v="-162084"/>
    <d v="2025-01-01T00:00:00"/>
    <s v="Report à nouveau Exercice 2025"/>
    <m/>
    <e v="#N/A"/>
    <e v="#N/A"/>
    <n v="84767"/>
    <m/>
    <m/>
    <s v="Q1"/>
    <e v="#REF!"/>
    <e v="#REF!"/>
    <e v="#REF!"/>
  </r>
  <r>
    <s v="428200"/>
    <x v="6"/>
    <s v="PERSONNEL - PROVISIONS - CONGÉS PAYÉS"/>
    <s v="JC"/>
    <n v="-175876.96"/>
    <d v="2025-04-30T00:00:00"/>
    <s v="PROVISION CP"/>
    <m/>
    <e v="#N/A"/>
    <e v="#N/A"/>
    <n v="92565"/>
    <s v="Provision CP"/>
    <m/>
    <s v="Q2"/>
    <e v="#REF!"/>
    <e v="#REF!"/>
    <e v="#REF!"/>
  </r>
  <r>
    <s v="428200"/>
    <x v="6"/>
    <s v="PERSONNEL - PROVISIONS - CONGÉS PAYÉS"/>
    <s v="JC"/>
    <n v="-173974.66"/>
    <d v="2025-06-30T00:00:00"/>
    <s v="Provision CP"/>
    <m/>
    <e v="#N/A"/>
    <e v="#N/A"/>
    <n v="85841"/>
    <m/>
    <m/>
    <s v="Q2"/>
    <e v="#REF!"/>
    <e v="#REF!"/>
    <e v="#REF!"/>
  </r>
  <r>
    <s v="428200"/>
    <x v="6"/>
    <s v="PERSONNEL - PROVISIONS - CONGÉS PAYÉS"/>
    <s v="JC"/>
    <n v="-171851.68"/>
    <d v="2025-03-31T00:00:00"/>
    <s v="PROVISION CP"/>
    <m/>
    <e v="#N/A"/>
    <e v="#N/A"/>
    <n v="92485"/>
    <s v="Provision CP"/>
    <m/>
    <s v="Q1"/>
    <e v="#REF!"/>
    <e v="#REF!"/>
    <e v="#REF!"/>
  </r>
  <r>
    <s v="428200"/>
    <x v="6"/>
    <s v="PERSONNEL - PROVISIONS - CONGÉS PAYÉS"/>
    <s v="JC"/>
    <n v="-169627.03"/>
    <d v="2025-05-31T00:00:00"/>
    <s v="PROVISION CP"/>
    <m/>
    <e v="#N/A"/>
    <e v="#N/A"/>
    <n v="92605"/>
    <s v="Provision CP"/>
    <m/>
    <s v="Q2"/>
    <e v="#REF!"/>
    <e v="#REF!"/>
    <e v="#REF!"/>
  </r>
  <r>
    <s v="428200"/>
    <x v="6"/>
    <s v="PERSONNEL - PROVISIONS - CONGÉS PAYÉS"/>
    <s v="JC"/>
    <n v="-166656.82999999999"/>
    <d v="2025-07-31T00:00:00"/>
    <s v="Provision CP"/>
    <m/>
    <e v="#N/A"/>
    <e v="#N/A"/>
    <n v="85904"/>
    <m/>
    <m/>
    <s v="Q3"/>
    <e v="#REF!"/>
    <e v="#REF!"/>
    <e v="#REF!"/>
  </r>
  <r>
    <s v="428200"/>
    <x v="6"/>
    <s v="PERSONNEL - PROVISIONS - CONGÉS PAYÉS"/>
    <s v="JC"/>
    <n v="-161507.68"/>
    <d v="2025-02-28T00:00:00"/>
    <s v="PROVISION CP"/>
    <m/>
    <e v="#N/A"/>
    <e v="#N/A"/>
    <n v="92525"/>
    <s v="Provision CP"/>
    <m/>
    <s v="Q1"/>
    <e v="#REF!"/>
    <e v="#REF!"/>
    <e v="#REF!"/>
  </r>
  <r>
    <s v="428200"/>
    <x v="6"/>
    <s v="PERSONNEL - PROVISIONS - CONGÉS PAYÉS"/>
    <s v="JC"/>
    <n v="-161195.84"/>
    <d v="2025-01-31T00:00:00"/>
    <s v="Provision CP"/>
    <m/>
    <e v="#N/A"/>
    <e v="#N/A"/>
    <n v="72138"/>
    <m/>
    <m/>
    <s v="Q1"/>
    <e v="#REF!"/>
    <e v="#REF!"/>
    <e v="#REF!"/>
  </r>
  <r>
    <s v="428200"/>
    <x v="6"/>
    <s v="PERSONNEL - PROVISIONS - CONGÉS PAYÉS"/>
    <s v="JC"/>
    <n v="-160960.76"/>
    <d v="2025-12-31T00:00:00"/>
    <s v="PROVISION CP"/>
    <m/>
    <e v="#N/A"/>
    <e v="#N/A"/>
    <n v="92899"/>
    <s v="Provision CP"/>
    <m/>
    <s v="Q4"/>
    <e v="#REF!"/>
    <e v="#REF!"/>
    <e v="#REF!"/>
  </r>
  <r>
    <s v="428200"/>
    <x v="6"/>
    <s v="PERSONNEL - PROVISIONS - CONGÉS PAYÉS"/>
    <s v="JC"/>
    <n v="-158986.70000000001"/>
    <d v="2025-11-30T00:00:00"/>
    <s v="PROVISION CP"/>
    <m/>
    <e v="#N/A"/>
    <e v="#N/A"/>
    <n v="92422"/>
    <s v="Provision CP"/>
    <m/>
    <s v="Q4"/>
    <e v="#REF!"/>
    <e v="#REF!"/>
    <e v="#REF!"/>
  </r>
  <r>
    <s v="428200"/>
    <x v="6"/>
    <s v="PERSONNEL - PROVISIONS - CONGÉS PAYÉS"/>
    <s v="JC"/>
    <n v="-149146.53"/>
    <d v="2025-10-31T00:00:00"/>
    <s v="PROVISION CP"/>
    <m/>
    <e v="#N/A"/>
    <e v="#N/A"/>
    <n v="87933"/>
    <s v="Provision CP"/>
    <m/>
    <s v="Q4"/>
    <e v="#REF!"/>
    <e v="#REF!"/>
    <e v="#REF!"/>
  </r>
  <r>
    <s v="428200"/>
    <x v="6"/>
    <s v="PERSONNEL - PROVISIONS - CONGÉS PAYÉS"/>
    <s v="JC"/>
    <n v="-132345.89000000001"/>
    <d v="2025-09-30T00:00:00"/>
    <s v="Provision CP"/>
    <m/>
    <e v="#N/A"/>
    <e v="#N/A"/>
    <n v="85819"/>
    <m/>
    <m/>
    <s v="Q3"/>
    <e v="#REF!"/>
    <e v="#REF!"/>
    <e v="#REF!"/>
  </r>
  <r>
    <s v="428200"/>
    <x v="6"/>
    <s v="PERSONNEL - PROVISIONS - CONGÉS PAYÉS"/>
    <s v="JC"/>
    <n v="-130842.98"/>
    <d v="2025-08-31T00:00:00"/>
    <s v="PROVISION CP"/>
    <m/>
    <e v="#N/A"/>
    <e v="#N/A"/>
    <n v="85944"/>
    <s v="Provision CP"/>
    <m/>
    <s v="Q3"/>
    <e v="#REF!"/>
    <e v="#REF!"/>
    <e v="#REF!"/>
  </r>
  <r>
    <s v="428200"/>
    <x v="6"/>
    <s v="PERSONNEL - PROVISIONS - CONGÉS PAYÉS"/>
    <s v="JC"/>
    <n v="130842.98"/>
    <d v="2025-09-01T00:00:00"/>
    <s v="PROVISION CP"/>
    <m/>
    <e v="#N/A"/>
    <e v="#N/A"/>
    <n v="85964"/>
    <s v="Extourne Provision CP"/>
    <m/>
    <s v="Q3"/>
    <e v="#REF!"/>
    <e v="#REF!"/>
    <e v="#REF!"/>
  </r>
  <r>
    <s v="428200"/>
    <x v="6"/>
    <s v="PERSONNEL - PROVISIONS - CONGÉS PAYÉS"/>
    <s v="JC"/>
    <n v="132345.89000000001"/>
    <d v="2025-10-01T00:00:00"/>
    <s v="Extourne Provision CP"/>
    <m/>
    <e v="#N/A"/>
    <e v="#N/A"/>
    <n v="85831"/>
    <m/>
    <m/>
    <s v="Q4"/>
    <e v="#REF!"/>
    <e v="#REF!"/>
    <e v="#REF!"/>
  </r>
  <r>
    <s v="428200"/>
    <x v="6"/>
    <s v="PERSONNEL - PROVISIONS - CONGÉS PAYÉS"/>
    <s v="JC"/>
    <n v="149146.53"/>
    <d v="2025-11-01T00:00:00"/>
    <s v="PROVISION CP"/>
    <m/>
    <e v="#N/A"/>
    <e v="#N/A"/>
    <n v="87953"/>
    <s v="Extourne Provision CP"/>
    <m/>
    <s v="Q4"/>
    <e v="#REF!"/>
    <e v="#REF!"/>
    <e v="#REF!"/>
  </r>
  <r>
    <s v="428200"/>
    <x v="6"/>
    <s v="PERSONNEL - PROVISIONS - CONGÉS PAYÉS"/>
    <s v="JC"/>
    <n v="158986.70000000001"/>
    <d v="2025-12-01T00:00:00"/>
    <s v="PROVISION CP"/>
    <m/>
    <e v="#N/A"/>
    <e v="#N/A"/>
    <n v="92442"/>
    <s v="Extourne Provision CP"/>
    <m/>
    <s v="Q4"/>
    <e v="#REF!"/>
    <e v="#REF!"/>
    <e v="#REF!"/>
  </r>
  <r>
    <s v="428200"/>
    <x v="6"/>
    <s v="PERSONNEL - PROVISIONS - CONGÉS PAYÉS"/>
    <s v="JC"/>
    <n v="161195.84"/>
    <d v="2025-02-01T00:00:00"/>
    <s v="Extourne Provision CP"/>
    <m/>
    <e v="#N/A"/>
    <e v="#N/A"/>
    <n v="92462"/>
    <m/>
    <m/>
    <s v="Q1"/>
    <e v="#REF!"/>
    <e v="#REF!"/>
    <e v="#REF!"/>
  </r>
  <r>
    <s v="428200"/>
    <x v="6"/>
    <s v="PERSONNEL - PROVISIONS - CONGÉS PAYÉS"/>
    <s v="JC"/>
    <n v="161507.68"/>
    <d v="2025-03-01T00:00:00"/>
    <s v="PROVISION CP"/>
    <m/>
    <e v="#N/A"/>
    <e v="#N/A"/>
    <n v="92545"/>
    <s v="Extourne Provision CP"/>
    <m/>
    <s v="Q1"/>
    <e v="#REF!"/>
    <e v="#REF!"/>
    <e v="#REF!"/>
  </r>
  <r>
    <s v="428200"/>
    <x v="6"/>
    <s v="PERSONNEL - PROVISIONS - CONGÉS PAYÉS"/>
    <s v="JC"/>
    <n v="162084"/>
    <d v="2025-01-01T00:00:00"/>
    <s v="Extourne Provision"/>
    <m/>
    <e v="#N/A"/>
    <e v="#N/A"/>
    <n v="72179"/>
    <m/>
    <m/>
    <s v="Q1"/>
    <e v="#REF!"/>
    <e v="#REF!"/>
    <e v="#REF!"/>
  </r>
  <r>
    <s v="428200"/>
    <x v="6"/>
    <s v="PERSONNEL - PROVISIONS - CONGÉS PAYÉS"/>
    <s v="JC"/>
    <n v="166656.82999999999"/>
    <d v="2025-08-01T00:00:00"/>
    <s v="Extourne Provision CP"/>
    <m/>
    <e v="#N/A"/>
    <e v="#N/A"/>
    <n v="85914"/>
    <m/>
    <m/>
    <s v="Q3"/>
    <e v="#REF!"/>
    <e v="#REF!"/>
    <e v="#REF!"/>
  </r>
  <r>
    <s v="428200"/>
    <x v="6"/>
    <s v="PERSONNEL - PROVISIONS - CONGÉS PAYÉS"/>
    <s v="JC"/>
    <n v="169627.03"/>
    <d v="2025-06-01T00:00:00"/>
    <s v="PROVISION CP"/>
    <m/>
    <e v="#N/A"/>
    <e v="#N/A"/>
    <n v="92625"/>
    <s v="Extourne Provision CP"/>
    <m/>
    <s v="Q2"/>
    <e v="#REF!"/>
    <e v="#REF!"/>
    <e v="#REF!"/>
  </r>
  <r>
    <s v="428200"/>
    <x v="6"/>
    <s v="PERSONNEL - PROVISIONS - CONGÉS PAYÉS"/>
    <s v="JC"/>
    <n v="171851.68"/>
    <d v="2025-04-01T00:00:00"/>
    <s v="PROVISION CP"/>
    <m/>
    <e v="#N/A"/>
    <e v="#N/A"/>
    <n v="92505"/>
    <s v="Extourne Provision CP"/>
    <m/>
    <s v="Q2"/>
    <e v="#REF!"/>
    <e v="#REF!"/>
    <e v="#REF!"/>
  </r>
  <r>
    <s v="428200"/>
    <x v="6"/>
    <s v="PERSONNEL - PROVISIONS - CONGÉS PAYÉS"/>
    <s v="JC"/>
    <n v="173974.66"/>
    <d v="2025-07-01T00:00:00"/>
    <s v="Extourne Provision CP"/>
    <m/>
    <e v="#N/A"/>
    <e v="#N/A"/>
    <n v="85873"/>
    <m/>
    <m/>
    <s v="Q3"/>
    <e v="#REF!"/>
    <e v="#REF!"/>
    <e v="#REF!"/>
  </r>
  <r>
    <s v="428200"/>
    <x v="6"/>
    <s v="PERSONNEL - PROVISIONS - CONGÉS PAYÉS"/>
    <s v="JC"/>
    <n v="175876.96"/>
    <d v="2025-05-01T00:00:00"/>
    <s v="PROVISION CP"/>
    <m/>
    <e v="#N/A"/>
    <e v="#N/A"/>
    <n v="92585"/>
    <s v="Extourne Provision CP"/>
    <m/>
    <s v="Q2"/>
    <e v="#REF!"/>
    <e v="#REF!"/>
    <e v="#REF!"/>
  </r>
  <r>
    <s v="428210"/>
    <x v="6"/>
    <s v="PERSONNEL - PROVISIONS - RTT"/>
    <s v="AN"/>
    <n v="-6751"/>
    <d v="2025-01-01T00:00:00"/>
    <s v="Report à nouveau Exercice 2025"/>
    <m/>
    <e v="#N/A"/>
    <e v="#N/A"/>
    <n v="84768"/>
    <m/>
    <m/>
    <s v="Q1"/>
    <e v="#REF!"/>
    <e v="#REF!"/>
    <e v="#REF!"/>
  </r>
  <r>
    <s v="428210"/>
    <x v="6"/>
    <s v="PERSONNEL - PROVISIONS - RTT"/>
    <s v="JC"/>
    <n v="-23997.47"/>
    <d v="2025-07-31T00:00:00"/>
    <s v="Provision RTT"/>
    <m/>
    <e v="#N/A"/>
    <e v="#N/A"/>
    <n v="85924"/>
    <m/>
    <m/>
    <s v="Q3"/>
    <e v="#REF!"/>
    <e v="#REF!"/>
    <e v="#REF!"/>
  </r>
  <r>
    <s v="428210"/>
    <x v="6"/>
    <s v="PERSONNEL - PROVISIONS - RTT"/>
    <s v="JC"/>
    <n v="-23538.63"/>
    <d v="2025-06-30T00:00:00"/>
    <s v="Provision RTT"/>
    <m/>
    <e v="#N/A"/>
    <e v="#N/A"/>
    <n v="85851"/>
    <m/>
    <m/>
    <s v="Q2"/>
    <e v="#REF!"/>
    <e v="#REF!"/>
    <e v="#REF!"/>
  </r>
  <r>
    <s v="428210"/>
    <x v="6"/>
    <s v="PERSONNEL - PROVISIONS - RTT"/>
    <s v="JC"/>
    <n v="-22402.560000000001"/>
    <d v="2025-10-31T00:00:00"/>
    <s v="PROVISION RTT"/>
    <m/>
    <e v="#N/A"/>
    <e v="#N/A"/>
    <n v="87943"/>
    <s v="Provision RTT"/>
    <m/>
    <s v="Q4"/>
    <e v="#REF!"/>
    <e v="#REF!"/>
    <e v="#REF!"/>
  </r>
  <r>
    <s v="428210"/>
    <x v="6"/>
    <s v="PERSONNEL - PROVISIONS - RTT"/>
    <s v="JC"/>
    <n v="-21480.17"/>
    <d v="2025-09-30T00:00:00"/>
    <s v="Provision RTT"/>
    <m/>
    <e v="#N/A"/>
    <e v="#N/A"/>
    <n v="85884"/>
    <m/>
    <m/>
    <s v="Q3"/>
    <e v="#REF!"/>
    <e v="#REF!"/>
    <e v="#REF!"/>
  </r>
  <r>
    <s v="428210"/>
    <x v="6"/>
    <s v="PERSONNEL - PROVISIONS - RTT"/>
    <s v="JC"/>
    <n v="-20974.7"/>
    <d v="2025-04-30T00:00:00"/>
    <s v="PROVISION RTT"/>
    <m/>
    <e v="#N/A"/>
    <e v="#N/A"/>
    <n v="92575"/>
    <s v="Provision RTT"/>
    <m/>
    <s v="Q2"/>
    <e v="#REF!"/>
    <e v="#REF!"/>
    <e v="#REF!"/>
  </r>
  <r>
    <s v="428210"/>
    <x v="6"/>
    <s v="PERSONNEL - PROVISIONS - RTT"/>
    <s v="JC"/>
    <n v="-20421.740000000002"/>
    <d v="2025-11-30T00:00:00"/>
    <s v="PROVISION RTT"/>
    <m/>
    <e v="#N/A"/>
    <e v="#N/A"/>
    <n v="92432"/>
    <s v="Provision RTT"/>
    <m/>
    <s v="Q4"/>
    <e v="#REF!"/>
    <e v="#REF!"/>
    <e v="#REF!"/>
  </r>
  <r>
    <s v="428210"/>
    <x v="6"/>
    <s v="PERSONNEL - PROVISIONS - RTT"/>
    <s v="JC"/>
    <n v="-18660.939999999999"/>
    <d v="2025-05-31T00:00:00"/>
    <s v="PROVISION RTT"/>
    <m/>
    <e v="#N/A"/>
    <e v="#N/A"/>
    <n v="92615"/>
    <s v="Provision RTT"/>
    <m/>
    <s v="Q2"/>
    <e v="#REF!"/>
    <e v="#REF!"/>
    <e v="#REF!"/>
  </r>
  <r>
    <s v="428210"/>
    <x v="6"/>
    <s v="PERSONNEL - PROVISIONS - RTT"/>
    <s v="JC"/>
    <n v="-17638.73"/>
    <d v="2025-03-31T00:00:00"/>
    <s v="PROVISION RTT"/>
    <m/>
    <e v="#N/A"/>
    <e v="#N/A"/>
    <n v="92495"/>
    <s v="Provision RTT"/>
    <m/>
    <s v="Q1"/>
    <e v="#REF!"/>
    <e v="#REF!"/>
    <e v="#REF!"/>
  </r>
  <r>
    <s v="428210"/>
    <x v="6"/>
    <s v="PERSONNEL - PROVISIONS - RTT"/>
    <s v="JC"/>
    <n v="-17260.27"/>
    <d v="2025-08-31T00:00:00"/>
    <s v="PROVISION RTT"/>
    <m/>
    <e v="#N/A"/>
    <e v="#N/A"/>
    <n v="85954"/>
    <s v="Provision RTT"/>
    <m/>
    <s v="Q3"/>
    <e v="#REF!"/>
    <e v="#REF!"/>
    <e v="#REF!"/>
  </r>
  <r>
    <s v="428210"/>
    <x v="6"/>
    <s v="PERSONNEL - PROVISIONS - RTT"/>
    <s v="JC"/>
    <n v="-12207.18"/>
    <d v="2025-02-28T00:00:00"/>
    <s v="PROVISION RTT"/>
    <m/>
    <e v="#N/A"/>
    <e v="#N/A"/>
    <n v="92535"/>
    <s v="Provision RTT"/>
    <m/>
    <s v="Q1"/>
    <e v="#REF!"/>
    <e v="#REF!"/>
    <e v="#REF!"/>
  </r>
  <r>
    <s v="428210"/>
    <x v="6"/>
    <s v="PERSONNEL - PROVISIONS - RTT"/>
    <s v="JC"/>
    <n v="-9564.4"/>
    <d v="2025-12-31T00:00:00"/>
    <s v="PROVISION RTT"/>
    <m/>
    <e v="#N/A"/>
    <e v="#N/A"/>
    <n v="92909"/>
    <s v="Provision RTT"/>
    <m/>
    <s v="Q4"/>
    <e v="#REF!"/>
    <e v="#REF!"/>
    <e v="#REF!"/>
  </r>
  <r>
    <s v="428210"/>
    <x v="6"/>
    <s v="PERSONNEL - PROVISIONS - RTT"/>
    <s v="JC"/>
    <n v="-2081.84"/>
    <d v="2025-01-31T00:00:00"/>
    <s v="Provision RTT"/>
    <m/>
    <e v="#N/A"/>
    <e v="#N/A"/>
    <n v="72154"/>
    <m/>
    <m/>
    <s v="Q1"/>
    <e v="#REF!"/>
    <e v="#REF!"/>
    <e v="#REF!"/>
  </r>
  <r>
    <s v="428210"/>
    <x v="6"/>
    <s v="PERSONNEL - PROVISIONS - RTT"/>
    <s v="JC"/>
    <n v="2081.84"/>
    <d v="2025-02-01T00:00:00"/>
    <s v="Extourne Provision RTT"/>
    <m/>
    <e v="#N/A"/>
    <e v="#N/A"/>
    <n v="92472"/>
    <m/>
    <m/>
    <s v="Q1"/>
    <e v="#REF!"/>
    <e v="#REF!"/>
    <e v="#REF!"/>
  </r>
  <r>
    <s v="428210"/>
    <x v="6"/>
    <s v="PERSONNEL - PROVISIONS - RTT"/>
    <s v="JC"/>
    <n v="6751"/>
    <d v="2025-01-01T00:00:00"/>
    <s v="Extourne Provision"/>
    <m/>
    <e v="#N/A"/>
    <e v="#N/A"/>
    <n v="72189"/>
    <m/>
    <m/>
    <s v="Q1"/>
    <e v="#REF!"/>
    <e v="#REF!"/>
    <e v="#REF!"/>
  </r>
  <r>
    <s v="428210"/>
    <x v="6"/>
    <s v="PERSONNEL - PROVISIONS - RTT"/>
    <s v="JC"/>
    <n v="12207.18"/>
    <d v="2025-03-01T00:00:00"/>
    <s v="PROVISION RTT"/>
    <m/>
    <e v="#N/A"/>
    <e v="#N/A"/>
    <n v="92555"/>
    <s v="Extourne Provision RTT"/>
    <m/>
    <s v="Q1"/>
    <e v="#REF!"/>
    <e v="#REF!"/>
    <e v="#REF!"/>
  </r>
  <r>
    <s v="428210"/>
    <x v="6"/>
    <s v="PERSONNEL - PROVISIONS - RTT"/>
    <s v="JC"/>
    <n v="17260.27"/>
    <d v="2025-09-01T00:00:00"/>
    <s v="PROVISION RTT"/>
    <m/>
    <e v="#N/A"/>
    <e v="#N/A"/>
    <n v="85974"/>
    <s v="Extourne Provision RTT"/>
    <m/>
    <s v="Q3"/>
    <e v="#REF!"/>
    <e v="#REF!"/>
    <e v="#REF!"/>
  </r>
  <r>
    <s v="428210"/>
    <x v="6"/>
    <s v="PERSONNEL - PROVISIONS - RTT"/>
    <s v="JC"/>
    <n v="17638.73"/>
    <d v="2025-04-01T00:00:00"/>
    <s v="PROVISION RTT"/>
    <m/>
    <e v="#N/A"/>
    <e v="#N/A"/>
    <n v="92515"/>
    <s v="Extourne Provision RTT"/>
    <m/>
    <s v="Q2"/>
    <e v="#REF!"/>
    <e v="#REF!"/>
    <e v="#REF!"/>
  </r>
  <r>
    <s v="428210"/>
    <x v="6"/>
    <s v="PERSONNEL - PROVISIONS - RTT"/>
    <s v="JC"/>
    <n v="18660.939999999999"/>
    <d v="2025-06-01T00:00:00"/>
    <s v="PROVISION RTT"/>
    <m/>
    <e v="#N/A"/>
    <e v="#N/A"/>
    <n v="92635"/>
    <s v="Extourne Provision RTT"/>
    <m/>
    <s v="Q2"/>
    <e v="#REF!"/>
    <e v="#REF!"/>
    <e v="#REF!"/>
  </r>
  <r>
    <s v="428210"/>
    <x v="6"/>
    <s v="PERSONNEL - PROVISIONS - RTT"/>
    <s v="JC"/>
    <n v="20421.740000000002"/>
    <d v="2025-12-01T00:00:00"/>
    <s v="PROVISION RTT"/>
    <m/>
    <e v="#N/A"/>
    <e v="#N/A"/>
    <n v="92452"/>
    <s v="Extourne Provision RTT"/>
    <m/>
    <s v="Q4"/>
    <e v="#REF!"/>
    <e v="#REF!"/>
    <e v="#REF!"/>
  </r>
  <r>
    <s v="428210"/>
    <x v="6"/>
    <s v="PERSONNEL - PROVISIONS - RTT"/>
    <s v="JC"/>
    <n v="20974.7"/>
    <d v="2025-05-01T00:00:00"/>
    <s v="PROVISION RTT"/>
    <m/>
    <e v="#N/A"/>
    <e v="#N/A"/>
    <n v="92595"/>
    <s v="Extourne Provision RTT"/>
    <m/>
    <s v="Q2"/>
    <e v="#REF!"/>
    <e v="#REF!"/>
    <e v="#REF!"/>
  </r>
  <r>
    <s v="428210"/>
    <x v="6"/>
    <s v="PERSONNEL - PROVISIONS - RTT"/>
    <s v="JC"/>
    <n v="21480.17"/>
    <d v="2025-10-01T00:00:00"/>
    <s v="Extourne Provision RTT"/>
    <m/>
    <e v="#N/A"/>
    <e v="#N/A"/>
    <n v="85894"/>
    <m/>
    <m/>
    <s v="Q4"/>
    <e v="#REF!"/>
    <e v="#REF!"/>
    <e v="#REF!"/>
  </r>
  <r>
    <s v="428210"/>
    <x v="6"/>
    <s v="PERSONNEL - PROVISIONS - RTT"/>
    <s v="JC"/>
    <n v="22402.560000000001"/>
    <d v="2025-11-01T00:00:00"/>
    <s v="PROVISION RTT"/>
    <m/>
    <e v="#N/A"/>
    <e v="#N/A"/>
    <n v="87963"/>
    <s v="Extourne Provision RTT"/>
    <m/>
    <s v="Q4"/>
    <e v="#REF!"/>
    <e v="#REF!"/>
    <e v="#REF!"/>
  </r>
  <r>
    <s v="428210"/>
    <x v="6"/>
    <s v="PERSONNEL - PROVISIONS - RTT"/>
    <s v="JC"/>
    <n v="23538.63"/>
    <d v="2025-07-01T00:00:00"/>
    <s v="Extourne Provision RTT"/>
    <m/>
    <e v="#N/A"/>
    <e v="#N/A"/>
    <n v="85866"/>
    <m/>
    <m/>
    <s v="Q3"/>
    <e v="#REF!"/>
    <e v="#REF!"/>
    <e v="#REF!"/>
  </r>
  <r>
    <s v="428210"/>
    <x v="6"/>
    <s v="PERSONNEL - PROVISIONS - RTT"/>
    <s v="JC"/>
    <n v="23997.47"/>
    <d v="2025-08-01T00:00:00"/>
    <s v="Extourne Provision RTT"/>
    <m/>
    <e v="#N/A"/>
    <e v="#N/A"/>
    <n v="85934"/>
    <m/>
    <m/>
    <s v="Q3"/>
    <e v="#REF!"/>
    <e v="#REF!"/>
    <e v="#REF!"/>
  </r>
  <r>
    <s v="428600"/>
    <x v="6"/>
    <s v="PERSONNEL - PROVISIONS - VARIABLES"/>
    <s v="AN"/>
    <n v="-167348"/>
    <d v="2025-01-01T00:00:00"/>
    <s v="Report à nouveau Exercice 2025"/>
    <m/>
    <e v="#N/A"/>
    <e v="#N/A"/>
    <n v="84769"/>
    <m/>
    <m/>
    <s v="Q1"/>
    <e v="#REF!"/>
    <e v="#REF!"/>
    <e v="#REF!"/>
  </r>
  <r>
    <s v="428600"/>
    <x v="6"/>
    <s v="PERSONNEL - PROVISIONS - VARIABLES"/>
    <s v="JC"/>
    <n v="-257876.36"/>
    <d v="2025-12-31T00:00:00"/>
    <s v="PROV. VARIABLES 2025"/>
    <m/>
    <e v="#N/A"/>
    <e v="#N/A"/>
    <n v="85807"/>
    <s v="Prov. Variables 2025"/>
    <m/>
    <s v="Q4"/>
    <e v="#REF!"/>
    <e v="#REF!"/>
    <e v="#REF!"/>
  </r>
  <r>
    <s v="428600"/>
    <x v="6"/>
    <s v="PERSONNEL - PROVISIONS - VARIABLES"/>
    <s v="JC"/>
    <n v="-236386.66"/>
    <d v="2025-11-30T00:00:00"/>
    <s v="PROV. VARIABLES 2025"/>
    <m/>
    <e v="#N/A"/>
    <e v="#N/A"/>
    <n v="85787"/>
    <s v="Prov. Variables 2025"/>
    <m/>
    <s v="Q4"/>
    <e v="#REF!"/>
    <e v="#REF!"/>
    <e v="#REF!"/>
  </r>
  <r>
    <s v="428600"/>
    <x v="6"/>
    <s v="PERSONNEL - PROVISIONS - VARIABLES"/>
    <s v="JC"/>
    <n v="-214896.96"/>
    <d v="2025-10-31T00:00:00"/>
    <s v="PROV. VARIABLES 2025"/>
    <m/>
    <e v="#N/A"/>
    <e v="#N/A"/>
    <n v="85767"/>
    <s v="Prov. Variables 2025"/>
    <m/>
    <s v="Q4"/>
    <e v="#REF!"/>
    <e v="#REF!"/>
    <e v="#REF!"/>
  </r>
  <r>
    <s v="428600"/>
    <x v="6"/>
    <s v="PERSONNEL - PROVISIONS - VARIABLES"/>
    <s v="JC"/>
    <n v="-193407.27"/>
    <d v="2025-09-30T00:00:00"/>
    <s v="PROV. VARIABLES 2025"/>
    <m/>
    <e v="#N/A"/>
    <e v="#N/A"/>
    <n v="85747"/>
    <s v="Prov. Variables 2025"/>
    <m/>
    <s v="Q3"/>
    <e v="#REF!"/>
    <e v="#REF!"/>
    <e v="#REF!"/>
  </r>
  <r>
    <s v="428600"/>
    <x v="6"/>
    <s v="PERSONNEL - PROVISIONS - VARIABLES"/>
    <s v="JC"/>
    <n v="-171917.57"/>
    <d v="2025-08-31T00:00:00"/>
    <s v="PROV. VARIABLES 2025"/>
    <m/>
    <e v="#N/A"/>
    <e v="#N/A"/>
    <n v="85727"/>
    <s v="Prov. Variables 2025"/>
    <m/>
    <s v="Q3"/>
    <e v="#REF!"/>
    <e v="#REF!"/>
    <e v="#REF!"/>
  </r>
  <r>
    <s v="428600"/>
    <x v="6"/>
    <s v="PERSONNEL - PROVISIONS - VARIABLES"/>
    <s v="JC"/>
    <n v="-150427.87"/>
    <d v="2025-07-31T00:00:00"/>
    <s v="PROV. VARIABLES 2025"/>
    <m/>
    <e v="#N/A"/>
    <e v="#N/A"/>
    <n v="85707"/>
    <s v="Prov. Variables 2025"/>
    <m/>
    <s v="Q3"/>
    <e v="#REF!"/>
    <e v="#REF!"/>
    <e v="#REF!"/>
  </r>
  <r>
    <s v="428600"/>
    <x v="6"/>
    <s v="PERSONNEL - PROVISIONS - VARIABLES"/>
    <s v="JC"/>
    <n v="-128938.18"/>
    <d v="2025-06-30T00:00:00"/>
    <s v="PROV. VARIABLES 2025"/>
    <m/>
    <e v="#N/A"/>
    <e v="#N/A"/>
    <n v="85687"/>
    <s v="Prov. Variables 2025"/>
    <m/>
    <s v="Q2"/>
    <e v="#REF!"/>
    <e v="#REF!"/>
    <e v="#REF!"/>
  </r>
  <r>
    <s v="428600"/>
    <x v="6"/>
    <s v="PERSONNEL - PROVISIONS - VARIABLES"/>
    <s v="JC"/>
    <n v="-107448.48"/>
    <d v="2025-05-31T00:00:00"/>
    <s v="PROV. VARIABLES 2025"/>
    <m/>
    <e v="#N/A"/>
    <e v="#N/A"/>
    <n v="85667"/>
    <s v="Prov. Variables 2025"/>
    <m/>
    <s v="Q2"/>
    <e v="#REF!"/>
    <e v="#REF!"/>
    <e v="#REF!"/>
  </r>
  <r>
    <s v="428600"/>
    <x v="6"/>
    <s v="PERSONNEL - PROVISIONS - VARIABLES"/>
    <s v="JC"/>
    <n v="-85958.79"/>
    <d v="2025-04-30T00:00:00"/>
    <s v="PROV. VARIABLES 2025"/>
    <m/>
    <e v="#N/A"/>
    <e v="#N/A"/>
    <n v="85647"/>
    <s v="Prov. Variables 2025"/>
    <m/>
    <s v="Q2"/>
    <e v="#REF!"/>
    <e v="#REF!"/>
    <e v="#REF!"/>
  </r>
  <r>
    <s v="428600"/>
    <x v="6"/>
    <s v="PERSONNEL - PROVISIONS - VARIABLES"/>
    <s v="JC"/>
    <n v="-64469.09"/>
    <d v="2025-03-31T00:00:00"/>
    <s v="PROV. VARIABLES 2025"/>
    <m/>
    <e v="#N/A"/>
    <e v="#N/A"/>
    <n v="85627"/>
    <s v="Prov. Variables 2025"/>
    <m/>
    <s v="Q1"/>
    <e v="#REF!"/>
    <e v="#REF!"/>
    <e v="#REF!"/>
  </r>
  <r>
    <s v="428600"/>
    <x v="6"/>
    <s v="PERSONNEL - PROVISIONS - VARIABLES"/>
    <s v="JC"/>
    <n v="-42979.39"/>
    <d v="2025-02-28T00:00:00"/>
    <s v="PROV. VARIABLES 2025"/>
    <m/>
    <e v="#N/A"/>
    <e v="#N/A"/>
    <n v="85607"/>
    <s v="Prov. Variables 2025"/>
    <m/>
    <s v="Q1"/>
    <e v="#REF!"/>
    <e v="#REF!"/>
    <e v="#REF!"/>
  </r>
  <r>
    <s v="428600"/>
    <x v="6"/>
    <s v="PERSONNEL - PROVISIONS - VARIABLES"/>
    <s v="JC"/>
    <n v="-21489.7"/>
    <d v="2025-01-31T00:00:00"/>
    <s v="PROV. VARIABLES 2025"/>
    <m/>
    <e v="#N/A"/>
    <e v="#N/A"/>
    <n v="85587"/>
    <s v="Prov. Variables 2025"/>
    <m/>
    <s v="Q1"/>
    <e v="#REF!"/>
    <e v="#REF!"/>
    <e v="#REF!"/>
  </r>
  <r>
    <s v="428600"/>
    <x v="6"/>
    <s v="PERSONNEL - PROVISIONS - VARIABLES"/>
    <s v="JC"/>
    <n v="20423"/>
    <d v="2025-01-01T00:00:00"/>
    <s v="Reclassement Provision Précarité 2024"/>
    <m/>
    <e v="#N/A"/>
    <e v="#N/A"/>
    <n v="72207"/>
    <m/>
    <m/>
    <s v="Q1"/>
    <e v="#REF!"/>
    <e v="#REF!"/>
    <e v="#REF!"/>
  </r>
  <r>
    <s v="428600"/>
    <x v="6"/>
    <s v="PERSONNEL - PROVISIONS - VARIABLES"/>
    <s v="JC"/>
    <n v="21489.7"/>
    <d v="2025-02-01T00:00:00"/>
    <s v="PROV. VARIABLES 2025"/>
    <m/>
    <e v="#N/A"/>
    <e v="#N/A"/>
    <n v="85597"/>
    <s v="Ext. Prov. Variables 2025"/>
    <m/>
    <s v="Q1"/>
    <e v="#REF!"/>
    <e v="#REF!"/>
    <e v="#REF!"/>
  </r>
  <r>
    <s v="428600"/>
    <x v="6"/>
    <s v="PERSONNEL - PROVISIONS - VARIABLES"/>
    <s v="JC"/>
    <n v="42979.39"/>
    <d v="2025-03-01T00:00:00"/>
    <s v="PROV. VARIABLES 2025"/>
    <m/>
    <e v="#N/A"/>
    <e v="#N/A"/>
    <n v="85617"/>
    <s v="Ext. Prov. Variables 2025"/>
    <m/>
    <s v="Q1"/>
    <e v="#REF!"/>
    <e v="#REF!"/>
    <e v="#REF!"/>
  </r>
  <r>
    <s v="428600"/>
    <x v="6"/>
    <s v="PERSONNEL - PROVISIONS - VARIABLES"/>
    <s v="JC"/>
    <n v="64469.09"/>
    <d v="2025-04-01T00:00:00"/>
    <s v="PROV. VARIABLES 2025"/>
    <m/>
    <e v="#N/A"/>
    <e v="#N/A"/>
    <n v="85637"/>
    <s v="Ext. Prov. Variables 2025"/>
    <m/>
    <s v="Q2"/>
    <e v="#REF!"/>
    <e v="#REF!"/>
    <e v="#REF!"/>
  </r>
  <r>
    <s v="428600"/>
    <x v="6"/>
    <s v="PERSONNEL - PROVISIONS - VARIABLES"/>
    <s v="JC"/>
    <n v="85958.79"/>
    <d v="2025-05-01T00:00:00"/>
    <s v="PROV. VARIABLES 2025"/>
    <m/>
    <e v="#N/A"/>
    <e v="#N/A"/>
    <n v="85657"/>
    <s v="Ext. Prov. Variables 2025"/>
    <m/>
    <s v="Q2"/>
    <e v="#REF!"/>
    <e v="#REF!"/>
    <e v="#REF!"/>
  </r>
  <r>
    <s v="428600"/>
    <x v="6"/>
    <s v="PERSONNEL - PROVISIONS - VARIABLES"/>
    <s v="JC"/>
    <n v="107448.48"/>
    <d v="2025-06-01T00:00:00"/>
    <s v="PROV. VARIABLES 2025"/>
    <m/>
    <e v="#N/A"/>
    <e v="#N/A"/>
    <n v="85677"/>
    <s v="Ext. Prov. Variables 2025"/>
    <m/>
    <s v="Q2"/>
    <e v="#REF!"/>
    <e v="#REF!"/>
    <e v="#REF!"/>
  </r>
  <r>
    <s v="428600"/>
    <x v="6"/>
    <s v="PERSONNEL - PROVISIONS - VARIABLES"/>
    <s v="JC"/>
    <n v="128938.18"/>
    <d v="2025-07-01T00:00:00"/>
    <s v="PROV. VARIABLES 2025"/>
    <m/>
    <e v="#N/A"/>
    <e v="#N/A"/>
    <n v="85697"/>
    <s v="Ext. Prov. Variables 2025"/>
    <m/>
    <s v="Q3"/>
    <e v="#REF!"/>
    <e v="#REF!"/>
    <e v="#REF!"/>
  </r>
  <r>
    <s v="428600"/>
    <x v="6"/>
    <s v="PERSONNEL - PROVISIONS - VARIABLES"/>
    <s v="JC"/>
    <n v="146925"/>
    <d v="2025-02-01T00:00:00"/>
    <s v="EXTOURNE PROVISION VARIABLES 2024"/>
    <m/>
    <e v="#N/A"/>
    <e v="#N/A"/>
    <n v="85573"/>
    <m/>
    <m/>
    <s v="Q1"/>
    <e v="#REF!"/>
    <e v="#REF!"/>
    <e v="#REF!"/>
  </r>
  <r>
    <s v="428600"/>
    <x v="6"/>
    <s v="PERSONNEL - PROVISIONS - VARIABLES"/>
    <s v="JC"/>
    <n v="150427.87"/>
    <d v="2025-08-01T00:00:00"/>
    <s v="PROV. VARIABLES 2025"/>
    <m/>
    <e v="#N/A"/>
    <e v="#N/A"/>
    <n v="85717"/>
    <s v="Ext. Prov. Variables 2025"/>
    <m/>
    <s v="Q3"/>
    <e v="#REF!"/>
    <e v="#REF!"/>
    <e v="#REF!"/>
  </r>
  <r>
    <s v="428600"/>
    <x v="6"/>
    <s v="PERSONNEL - PROVISIONS - VARIABLES"/>
    <s v="JC"/>
    <n v="171917.57"/>
    <d v="2025-09-01T00:00:00"/>
    <s v="PROV. VARIABLES 2025"/>
    <m/>
    <e v="#N/A"/>
    <e v="#N/A"/>
    <n v="85737"/>
    <s v="Ext. Prov. Variables 2025"/>
    <m/>
    <s v="Q3"/>
    <e v="#REF!"/>
    <e v="#REF!"/>
    <e v="#REF!"/>
  </r>
  <r>
    <s v="428600"/>
    <x v="6"/>
    <s v="PERSONNEL - PROVISIONS - VARIABLES"/>
    <s v="JC"/>
    <n v="193407.27"/>
    <d v="2025-10-01T00:00:00"/>
    <s v="PROV. VARIABLES 2025"/>
    <m/>
    <e v="#N/A"/>
    <e v="#N/A"/>
    <n v="85757"/>
    <s v="Ext. Prov. Variables 2025"/>
    <m/>
    <s v="Q4"/>
    <e v="#REF!"/>
    <e v="#REF!"/>
    <e v="#REF!"/>
  </r>
  <r>
    <s v="428600"/>
    <x v="6"/>
    <s v="PERSONNEL - PROVISIONS - VARIABLES"/>
    <s v="JC"/>
    <n v="214896.96"/>
    <d v="2025-11-01T00:00:00"/>
    <s v="PROV. VARIABLES 2025"/>
    <m/>
    <e v="#N/A"/>
    <e v="#N/A"/>
    <n v="85777"/>
    <s v="Ext. Prov. Variables 2025"/>
    <m/>
    <s v="Q4"/>
    <e v="#REF!"/>
    <e v="#REF!"/>
    <e v="#REF!"/>
  </r>
  <r>
    <s v="428600"/>
    <x v="6"/>
    <s v="PERSONNEL - PROVISIONS - VARIABLES"/>
    <s v="JC"/>
    <n v="236386.66"/>
    <d v="2025-12-01T00:00:00"/>
    <s v="PROV. VARIABLES 2025"/>
    <m/>
    <e v="#N/A"/>
    <e v="#N/A"/>
    <n v="85797"/>
    <s v="Ext. Prov. Variables 2025"/>
    <m/>
    <s v="Q4"/>
    <e v="#REF!"/>
    <e v="#REF!"/>
    <e v="#REF!"/>
  </r>
  <r>
    <s v="428650"/>
    <x v="6"/>
    <s v="PERSONNEL - PROVISIONS - AUTRES"/>
    <s v="JC"/>
    <n v="-20423"/>
    <d v="2025-01-01T00:00:00"/>
    <s v="Reclassement Provision Précarité 2024"/>
    <m/>
    <e v="#N/A"/>
    <e v="#N/A"/>
    <n v="72208"/>
    <m/>
    <m/>
    <s v="Q1"/>
    <e v="#REF!"/>
    <e v="#REF!"/>
    <e v="#REF!"/>
  </r>
  <r>
    <s v="428650"/>
    <x v="6"/>
    <s v="PERSONNEL - PROVISIONS - AUTRES"/>
    <s v="JC"/>
    <n v="20423"/>
    <d v="2025-03-01T00:00:00"/>
    <s v="Extourne Provision précarité"/>
    <m/>
    <e v="#N/A"/>
    <e v="#N/A"/>
    <n v="85817"/>
    <m/>
    <m/>
    <s v="Q1"/>
    <e v="#REF!"/>
    <e v="#REF!"/>
    <e v="#REF!"/>
  </r>
  <r>
    <s v="431000"/>
    <x v="6"/>
    <s v="URSSAF"/>
    <s v="AN"/>
    <n v="-163351.19"/>
    <d v="2025-01-01T00:00:00"/>
    <s v="Report à nouveau Exercice 2025"/>
    <m/>
    <e v="#N/A"/>
    <e v="#N/A"/>
    <n v="84770"/>
    <m/>
    <m/>
    <s v="Q1"/>
    <e v="#REF!"/>
    <e v="#REF!"/>
    <e v="#REF!"/>
  </r>
  <r>
    <s v="442100"/>
    <x v="6"/>
    <s v="PRÉLÈVEMENTS À LA SOURCE (IR)"/>
    <s v="BPRI"/>
    <n v="5604"/>
    <d v="2025-10-22T00:00:00"/>
    <s v="/SQTP/RCUR/LIB/PRLV INT ETS DGFIP/LIB/DGFIP/LIB/PASDSN15102025-092025-8115245450/LIB/NN811524545DGFIP2018764317JOSGOB"/>
    <m/>
    <e v="#N/A"/>
    <e v="#N/A"/>
    <n v="87329"/>
    <m/>
    <m/>
    <s v="Q4"/>
    <e v="#REF!"/>
    <e v="#REF!"/>
    <e v="#REF!"/>
  </r>
  <r>
    <s v="431000"/>
    <x v="6"/>
    <s v="URSSAF"/>
    <s v="BPRI"/>
    <n v="354"/>
    <d v="2025-02-18T00:00:00"/>
    <s v="PRLV SEPA URSSAF MIDI PYRENEES"/>
    <m/>
    <e v="#N/A"/>
    <e v="#N/A"/>
    <n v="21331"/>
    <s v="07DLF6G"/>
    <m/>
    <s v="Q1"/>
    <e v="#REF!"/>
    <e v="#REF!"/>
    <e v="#REF!"/>
  </r>
  <r>
    <s v="442100"/>
    <x v="6"/>
    <s v="PRÉLÈVEMENTS À LA SOURCE (IR)"/>
    <s v="BPRI"/>
    <n v="8136"/>
    <d v="2025-10-22T00:00:00"/>
    <s v="/SQTP/RCUR/LIB/PRLV INT ETS DGFIP/LIB/DGFIP/LIB/PASDSN15102025-092025-8115245450/LIB/NN811524545DGFIP2018764317JOSGOB"/>
    <m/>
    <e v="#N/A"/>
    <e v="#N/A"/>
    <n v="87332"/>
    <m/>
    <m/>
    <s v="Q4"/>
    <e v="#REF!"/>
    <e v="#REF!"/>
    <e v="#REF!"/>
  </r>
  <r>
    <s v="512100"/>
    <x v="6"/>
    <s v="BANQUE POPULAIRE RIVE DE PARIS"/>
    <s v="BPRI"/>
    <n v="-8136"/>
    <d v="2025-10-22T00:00:00"/>
    <s v="/SQTP/RCUR/LIB/PRLV INT ETS DGFIP/LIB/DGFIP/LIB/PASDSN15102025-092025-8115245450/LIB/NN811524545DGFIP2018764317JOSGOB"/>
    <m/>
    <e v="#N/A"/>
    <e v="#N/A"/>
    <n v="87331"/>
    <m/>
    <m/>
    <s v="Q4"/>
    <e v="#REF!"/>
    <e v="#REF!"/>
    <e v="#REF!"/>
  </r>
  <r>
    <s v="512100"/>
    <x v="6"/>
    <s v="BANQUE POPULAIRE RIVE DE PARIS"/>
    <s v="BPRI"/>
    <n v="-5604"/>
    <d v="2025-10-22T00:00:00"/>
    <s v="/SQTP/RCUR/LIB/PRLV INT ETS DGFIP/LIB/DGFIP/LIB/PASDSN15102025-092025-8115245450/LIB/NN811524545DGFIP2018764317JOSGOB"/>
    <m/>
    <e v="#N/A"/>
    <e v="#N/A"/>
    <n v="87328"/>
    <m/>
    <m/>
    <s v="Q4"/>
    <e v="#REF!"/>
    <e v="#REF!"/>
    <e v="#REF!"/>
  </r>
  <r>
    <s v="431000"/>
    <x v="6"/>
    <s v="URSSAF"/>
    <s v="BPRI"/>
    <n v="16236"/>
    <d v="2025-02-18T00:00:00"/>
    <s v="PRLV SEPA URSSAF RHONE ALPES"/>
    <m/>
    <e v="#N/A"/>
    <e v="#N/A"/>
    <n v="21327"/>
    <s v="07DKAT0"/>
    <m/>
    <s v="Q1"/>
    <e v="#REF!"/>
    <e v="#REF!"/>
    <e v="#REF!"/>
  </r>
  <r>
    <s v="512100"/>
    <x v="6"/>
    <s v="BANQUE POPULAIRE RIVE DE PARIS"/>
    <s v="BPRI"/>
    <n v="-2945"/>
    <d v="2025-10-22T00:00:00"/>
    <s v="/SQTP/RCUR/LIB/PRLV INT ETS DGFIP/LIB/DGFIP/LIB/PASDSN15102025-092025-8115245450/LIB/NN811524545DGFIP2018764317JOSGOB"/>
    <m/>
    <e v="#N/A"/>
    <e v="#N/A"/>
    <n v="87322"/>
    <m/>
    <m/>
    <s v="Q4"/>
    <e v="#REF!"/>
    <e v="#REF!"/>
    <e v="#REF!"/>
  </r>
  <r>
    <s v="431000"/>
    <x v="6"/>
    <s v="URSSAF"/>
    <s v="BPRI"/>
    <n v="18156"/>
    <d v="2025-08-19T00:00:00"/>
    <s v="PRLV SEPA URSSAF RHONE A"/>
    <m/>
    <e v="#N/A"/>
    <e v="#N/A"/>
    <n v="81542"/>
    <m/>
    <m/>
    <s v="Q3"/>
    <e v="#REF!"/>
    <e v="#REF!"/>
    <e v="#REF!"/>
  </r>
  <r>
    <s v="431000"/>
    <x v="6"/>
    <s v="URSSAF"/>
    <s v="BPRI"/>
    <n v="18244"/>
    <d v="2025-09-17T00:00:00"/>
    <s v="PRLV SEPA URSSAF RHONE ALPES"/>
    <m/>
    <e v="#N/A"/>
    <e v="#N/A"/>
    <n v="82444"/>
    <m/>
    <m/>
    <s v="Q3"/>
    <e v="#REF!"/>
    <e v="#REF!"/>
    <e v="#REF!"/>
  </r>
  <r>
    <s v="442100"/>
    <x v="6"/>
    <s v="PRÉLÈVEMENTS À LA SOURCE (IR)"/>
    <s v="BPRI"/>
    <n v="2647"/>
    <d v="2025-12-23T00:00:00"/>
    <s v="/SQTP/RCUR/LIB/PRLV INT ETS DGFIP/LIB/DGFIP/LIB/PASDSN15122025-112025-8115245450/LIB/NN811524545DGFIP2018764317JOSGOB"/>
    <m/>
    <e v="#N/A"/>
    <e v="#N/A"/>
    <n v="93635"/>
    <m/>
    <m/>
    <s v="Q4"/>
    <e v="#REF!"/>
    <e v="#REF!"/>
    <e v="#REF!"/>
  </r>
  <r>
    <s v="431000"/>
    <x v="6"/>
    <s v="URSSAF"/>
    <s v="BPRI"/>
    <n v="20591"/>
    <d v="2025-06-17T00:00:00"/>
    <s v="PRLV SEPA URSSAF RHONE ALPES"/>
    <m/>
    <e v="#N/A"/>
    <e v="#N/A"/>
    <n v="76127"/>
    <m/>
    <m/>
    <s v="Q2"/>
    <e v="#REF!"/>
    <e v="#REF!"/>
    <e v="#REF!"/>
  </r>
  <r>
    <s v="431000"/>
    <x v="6"/>
    <s v="URSSAF"/>
    <s v="BPRI"/>
    <n v="20872"/>
    <d v="2025-07-16T00:00:00"/>
    <s v="PRLV URSSAF RA"/>
    <m/>
    <e v="#N/A"/>
    <e v="#N/A"/>
    <n v="77591"/>
    <m/>
    <m/>
    <s v="Q3"/>
    <e v="#REF!"/>
    <e v="#REF!"/>
    <e v="#REF!"/>
  </r>
  <r>
    <s v="431000"/>
    <x v="6"/>
    <s v="URSSAF"/>
    <s v="BPRI"/>
    <n v="20954"/>
    <d v="2025-04-16T00:00:00"/>
    <s v="Prélèvement URSSAF"/>
    <m/>
    <e v="#N/A"/>
    <e v="#N/A"/>
    <n v="67955"/>
    <m/>
    <m/>
    <s v="Q2"/>
    <e v="#REF!"/>
    <e v="#REF!"/>
    <e v="#REF!"/>
  </r>
  <r>
    <s v="431000"/>
    <x v="6"/>
    <s v="URSSAF"/>
    <s v="BPRI"/>
    <n v="21352"/>
    <d v="2025-05-16T00:00:00"/>
    <s v="Prélèvement Urssaf"/>
    <m/>
    <e v="#N/A"/>
    <e v="#N/A"/>
    <n v="72833"/>
    <m/>
    <m/>
    <s v="Q2"/>
    <e v="#REF!"/>
    <e v="#REF!"/>
    <e v="#REF!"/>
  </r>
  <r>
    <s v="431000"/>
    <x v="6"/>
    <s v="URSSAF"/>
    <s v="BPRI"/>
    <n v="26995"/>
    <d v="2025-05-16T00:00:00"/>
    <s v="Prélèvement Urssaf"/>
    <m/>
    <e v="#N/A"/>
    <e v="#N/A"/>
    <n v="72830"/>
    <m/>
    <m/>
    <s v="Q2"/>
    <e v="#REF!"/>
    <e v="#REF!"/>
    <e v="#REF!"/>
  </r>
  <r>
    <s v="431000"/>
    <x v="6"/>
    <s v="URSSAF"/>
    <s v="BPRI"/>
    <n v="27426"/>
    <d v="2025-06-17T00:00:00"/>
    <s v="PRLV SEPA URSSAF ILE DE FRANCE"/>
    <m/>
    <e v="#N/A"/>
    <e v="#N/A"/>
    <n v="76133"/>
    <m/>
    <m/>
    <s v="Q2"/>
    <e v="#REF!"/>
    <e v="#REF!"/>
    <e v="#REF!"/>
  </r>
  <r>
    <s v="442100"/>
    <x v="6"/>
    <s v="PRÉLÈVEMENTS À LA SOURCE (IR)"/>
    <s v="BPRI"/>
    <n v="6176"/>
    <d v="2025-12-23T00:00:00"/>
    <s v="/SQTP/RCUR/LIB/PRLV INT ETS DGFIP/LIB/DGFIP/LIB/PASDSN15122025-112025-8115245450/LIB/NN811524545DGFIP2018764317JOSGOB"/>
    <m/>
    <e v="#N/A"/>
    <e v="#N/A"/>
    <n v="93632"/>
    <m/>
    <m/>
    <s v="Q4"/>
    <e v="#REF!"/>
    <e v="#REF!"/>
    <e v="#REF!"/>
  </r>
  <r>
    <s v="431000"/>
    <x v="6"/>
    <s v="URSSAF"/>
    <s v="BPRI"/>
    <n v="28016"/>
    <d v="2025-09-16T00:00:00"/>
    <s v="PRLV SEPA URSSAF D'ILE DE FRANC"/>
    <m/>
    <e v="#N/A"/>
    <e v="#N/A"/>
    <n v="82437"/>
    <m/>
    <m/>
    <s v="Q3"/>
    <e v="#REF!"/>
    <e v="#REF!"/>
    <e v="#REF!"/>
  </r>
  <r>
    <s v="442100"/>
    <x v="6"/>
    <s v="PRÉLÈVEMENTS À LA SOURCE (IR)"/>
    <s v="BPRI"/>
    <n v="8781"/>
    <d v="2025-12-23T00:00:00"/>
    <s v="/SQTP/RCUR/LIB/PRLV INT ETS DGFIP/LIB/DGFIP/LIB/PASDSN15122025-112025-8115245450/LIB/NN811524545DGFIP2018764317JOSGOB"/>
    <m/>
    <e v="#N/A"/>
    <e v="#N/A"/>
    <n v="93638"/>
    <m/>
    <m/>
    <s v="Q4"/>
    <e v="#REF!"/>
    <e v="#REF!"/>
    <e v="#REF!"/>
  </r>
  <r>
    <s v="431000"/>
    <x v="6"/>
    <s v="URSSAF"/>
    <s v="BPRI"/>
    <n v="28853"/>
    <d v="2025-04-16T00:00:00"/>
    <s v="Prélèvement URSSAF"/>
    <m/>
    <e v="#N/A"/>
    <e v="#N/A"/>
    <n v="67952"/>
    <m/>
    <m/>
    <s v="Q2"/>
    <e v="#REF!"/>
    <e v="#REF!"/>
    <e v="#REF!"/>
  </r>
  <r>
    <s v="431000"/>
    <x v="6"/>
    <s v="URSSAF"/>
    <s v="BPRI"/>
    <n v="29411"/>
    <d v="2025-03-18T00:00:00"/>
    <s v="Prélèvement Urssaf"/>
    <m/>
    <e v="#N/A"/>
    <e v="#N/A"/>
    <n v="61848"/>
    <m/>
    <m/>
    <s v="Q1"/>
    <e v="#REF!"/>
    <e v="#REF!"/>
    <e v="#REF!"/>
  </r>
  <r>
    <s v="431000"/>
    <x v="6"/>
    <s v="URSSAF"/>
    <s v="BPRI"/>
    <n v="30455"/>
    <d v="2025-07-16T00:00:00"/>
    <s v="PRLV URSSAF IDF"/>
    <m/>
    <e v="#N/A"/>
    <e v="#N/A"/>
    <n v="77588"/>
    <m/>
    <m/>
    <s v="Q3"/>
    <e v="#REF!"/>
    <e v="#REF!"/>
    <e v="#REF!"/>
  </r>
  <r>
    <s v="431000"/>
    <x v="6"/>
    <s v="URSSAF"/>
    <s v="BPRI"/>
    <n v="30550"/>
    <d v="2025-02-18T00:00:00"/>
    <s v="PRLV SEPA URSSAF MIDI PYRENEES"/>
    <m/>
    <e v="#N/A"/>
    <e v="#N/A"/>
    <n v="21329"/>
    <s v="07DLESU"/>
    <m/>
    <s v="Q1"/>
    <e v="#REF!"/>
    <e v="#REF!"/>
    <e v="#REF!"/>
  </r>
  <r>
    <s v="431000"/>
    <x v="6"/>
    <s v="URSSAF"/>
    <s v="BPRI"/>
    <n v="32998"/>
    <d v="2025-01-16T00:00:00"/>
    <s v="PRLV SEPA URSSAF RHONE ALPES"/>
    <m/>
    <e v="#N/A"/>
    <e v="#N/A"/>
    <n v="21007"/>
    <s v="073FHGA"/>
    <m/>
    <s v="Q1"/>
    <e v="#REF!"/>
    <e v="#REF!"/>
    <e v="#REF!"/>
  </r>
  <r>
    <s v="431000"/>
    <x v="6"/>
    <s v="URSSAF"/>
    <s v="BPRI"/>
    <n v="33790"/>
    <d v="2025-08-19T00:00:00"/>
    <s v="PRLV SEPA URSSAF D ILE D"/>
    <m/>
    <e v="#N/A"/>
    <e v="#N/A"/>
    <n v="81545"/>
    <m/>
    <m/>
    <s v="Q3"/>
    <e v="#REF!"/>
    <e v="#REF!"/>
    <e v="#REF!"/>
  </r>
  <r>
    <s v="431000"/>
    <x v="6"/>
    <s v="URSSAF"/>
    <s v="BPRI"/>
    <n v="34696"/>
    <d v="2025-04-16T00:00:00"/>
    <s v="Prélèvement URSSAF"/>
    <m/>
    <e v="#N/A"/>
    <e v="#N/A"/>
    <n v="67958"/>
    <m/>
    <m/>
    <s v="Q2"/>
    <e v="#REF!"/>
    <e v="#REF!"/>
    <e v="#REF!"/>
  </r>
  <r>
    <s v="431000"/>
    <x v="6"/>
    <s v="URSSAF"/>
    <s v="BPRI"/>
    <n v="36264"/>
    <d v="2025-09-16T00:00:00"/>
    <s v="PRLV SEPA URSSAF MIDI PYRENEES"/>
    <m/>
    <e v="#N/A"/>
    <e v="#N/A"/>
    <n v="82440"/>
    <m/>
    <m/>
    <s v="Q3"/>
    <e v="#REF!"/>
    <e v="#REF!"/>
    <e v="#REF!"/>
  </r>
  <r>
    <s v="431000"/>
    <x v="6"/>
    <s v="URSSAF"/>
    <s v="BPRI"/>
    <n v="36288"/>
    <d v="2025-02-18T00:00:00"/>
    <s v="PRLV SEPA URSSAF D'ILE DE FRANC"/>
    <m/>
    <e v="#N/A"/>
    <e v="#N/A"/>
    <n v="21325"/>
    <s v="07DK5UH"/>
    <m/>
    <s v="Q1"/>
    <e v="#REF!"/>
    <e v="#REF!"/>
    <e v="#REF!"/>
  </r>
  <r>
    <s v="431000"/>
    <x v="6"/>
    <s v="URSSAF"/>
    <s v="BPRI"/>
    <n v="36288"/>
    <d v="2025-08-19T00:00:00"/>
    <s v="PRLV SEPA URSSAF IDI PY"/>
    <m/>
    <e v="#N/A"/>
    <e v="#N/A"/>
    <n v="81548"/>
    <m/>
    <m/>
    <s v="Q3"/>
    <e v="#REF!"/>
    <e v="#REF!"/>
    <e v="#REF!"/>
  </r>
  <r>
    <s v="431000"/>
    <x v="6"/>
    <s v="URSSAF"/>
    <s v="BPRI"/>
    <n v="36504"/>
    <d v="2025-06-17T00:00:00"/>
    <s v="PRLV SEPA URSSAF MIDI PYRENEES"/>
    <m/>
    <e v="#N/A"/>
    <e v="#N/A"/>
    <n v="76136"/>
    <m/>
    <m/>
    <s v="Q2"/>
    <e v="#REF!"/>
    <e v="#REF!"/>
    <e v="#REF!"/>
  </r>
  <r>
    <s v="431000"/>
    <x v="6"/>
    <s v="URSSAF"/>
    <s v="BPRI"/>
    <n v="37579"/>
    <d v="2025-07-16T00:00:00"/>
    <s v="PRLV URSSAF MIDI PYRENEES"/>
    <m/>
    <e v="#N/A"/>
    <e v="#N/A"/>
    <n v="77594"/>
    <m/>
    <m/>
    <s v="Q3"/>
    <e v="#REF!"/>
    <e v="#REF!"/>
    <e v="#REF!"/>
  </r>
  <r>
    <s v="512100"/>
    <x v="6"/>
    <s v="BANQUE POPULAIRE RIVE DE PARIS"/>
    <s v="BPRI"/>
    <n v="-8781"/>
    <d v="2025-12-23T00:00:00"/>
    <s v="/SQTP/RCUR/LIB/PRLV INT ETS DGFIP/LIB/DGFIP/LIB/PASDSN15122025-112025-8115245450/LIB/NN811524545DGFIP2018764317JOSGOB"/>
    <m/>
    <e v="#N/A"/>
    <e v="#N/A"/>
    <n v="93637"/>
    <m/>
    <m/>
    <s v="Q4"/>
    <e v="#REF!"/>
    <e v="#REF!"/>
    <e v="#REF!"/>
  </r>
  <r>
    <s v="431000"/>
    <x v="6"/>
    <s v="URSSAF"/>
    <s v="BPRI"/>
    <n v="38550"/>
    <d v="2025-05-16T00:00:00"/>
    <s v="Prélèvement Urssaf"/>
    <m/>
    <e v="#N/A"/>
    <e v="#N/A"/>
    <n v="72827"/>
    <m/>
    <m/>
    <s v="Q2"/>
    <e v="#REF!"/>
    <e v="#REF!"/>
    <e v="#REF!"/>
  </r>
  <r>
    <s v="512100"/>
    <x v="6"/>
    <s v="BANQUE POPULAIRE RIVE DE PARIS"/>
    <s v="BPRI"/>
    <n v="-6176"/>
    <d v="2025-12-23T00:00:00"/>
    <s v="/SQTP/RCUR/LIB/PRLV INT ETS DGFIP/LIB/DGFIP/LIB/PASDSN15122025-112025-8115245450/LIB/NN811524545DGFIP2018764317JOSGOB"/>
    <m/>
    <e v="#N/A"/>
    <e v="#N/A"/>
    <n v="93631"/>
    <m/>
    <m/>
    <s v="Q4"/>
    <e v="#REF!"/>
    <e v="#REF!"/>
    <e v="#REF!"/>
  </r>
  <r>
    <s v="431000"/>
    <x v="6"/>
    <s v="URSSAF"/>
    <s v="BPRI"/>
    <n v="55359"/>
    <d v="2025-01-16T00:00:00"/>
    <s v="PRLV SEPA URSSAF MIDI PYRENEES"/>
    <m/>
    <e v="#N/A"/>
    <e v="#N/A"/>
    <n v="21009"/>
    <s v="073H4US"/>
    <m/>
    <s v="Q1"/>
    <e v="#REF!"/>
    <e v="#REF!"/>
    <e v="#REF!"/>
  </r>
  <r>
    <s v="431000"/>
    <x v="6"/>
    <s v="URSSAF"/>
    <s v="BPRI"/>
    <n v="58358"/>
    <d v="2025-03-18T00:00:00"/>
    <s v="Prélèvement Urssaf"/>
    <m/>
    <e v="#N/A"/>
    <e v="#N/A"/>
    <n v="61845"/>
    <m/>
    <m/>
    <s v="Q1"/>
    <e v="#REF!"/>
    <e v="#REF!"/>
    <e v="#REF!"/>
  </r>
  <r>
    <s v="431000"/>
    <x v="6"/>
    <s v="URSSAF"/>
    <s v="BPRI"/>
    <n v="74640"/>
    <d v="2025-01-16T00:00:00"/>
    <s v="PRLV SEPA URSSAF D'ILE DE FRANC"/>
    <m/>
    <e v="#N/A"/>
    <e v="#N/A"/>
    <n v="21005"/>
    <s v="073EPDI"/>
    <m/>
    <s v="Q1"/>
    <e v="#REF!"/>
    <e v="#REF!"/>
    <e v="#REF!"/>
  </r>
  <r>
    <s v="431000"/>
    <x v="6"/>
    <s v="URSSAF"/>
    <s v="BPRI"/>
    <n v="74898"/>
    <d v="2025-03-18T00:00:00"/>
    <s v="Prélèvement Urssaf"/>
    <m/>
    <e v="#N/A"/>
    <e v="#N/A"/>
    <n v="61842"/>
    <m/>
    <m/>
    <s v="Q1"/>
    <e v="#REF!"/>
    <e v="#REF!"/>
    <e v="#REF!"/>
  </r>
  <r>
    <s v="512100"/>
    <x v="6"/>
    <s v="BANQUE POPULAIRE RIVE DE PARIS"/>
    <s v="BPRI"/>
    <n v="-2647"/>
    <d v="2025-12-23T00:00:00"/>
    <s v="/SQTP/RCUR/LIB/PRLV INT ETS DGFIP/LIB/DGFIP/LIB/PASDSN15122025-112025-8115245450/LIB/NN811524545DGFIP2018764317JOSGOB"/>
    <m/>
    <e v="#N/A"/>
    <e v="#N/A"/>
    <n v="93634"/>
    <m/>
    <m/>
    <s v="Q4"/>
    <e v="#REF!"/>
    <e v="#REF!"/>
    <e v="#REF!"/>
  </r>
  <r>
    <s v="431000"/>
    <x v="6"/>
    <s v="URSSAF"/>
    <s v="OD"/>
    <n v="-17357"/>
    <d v="2025-12-15T00:00:00"/>
    <s v="Liaison inter-établissement vers TO "/>
    <m/>
    <e v="#N/A"/>
    <e v="#N/A"/>
    <n v="95665"/>
    <m/>
    <m/>
    <s v="Q4"/>
    <e v="#REF!"/>
    <e v="#REF!"/>
    <e v="#REF!"/>
  </r>
  <r>
    <s v="431000"/>
    <x v="6"/>
    <s v="URSSAF"/>
    <s v="OD"/>
    <n v="-12972"/>
    <d v="2025-12-15T00:00:00"/>
    <s v="Echéancier Urssaf - Nov2025 - TO - Part Sal. Réglée"/>
    <m/>
    <e v="#N/A"/>
    <e v="#N/A"/>
    <n v="95616"/>
    <m/>
    <m/>
    <s v="Q4"/>
    <e v="#REF!"/>
    <e v="#REF!"/>
    <e v="#REF!"/>
  </r>
  <r>
    <s v="431000"/>
    <x v="6"/>
    <s v="URSSAF"/>
    <s v="OD"/>
    <n v="-8978"/>
    <d v="2025-12-15T00:00:00"/>
    <s v="Echéancier Urssaf - Nov2025 - KB - Part Sal. Réglée"/>
    <m/>
    <e v="#N/A"/>
    <e v="#N/A"/>
    <n v="95655"/>
    <m/>
    <m/>
    <s v="Q4"/>
    <e v="#REF!"/>
    <e v="#REF!"/>
    <e v="#REF!"/>
  </r>
  <r>
    <s v="431000"/>
    <x v="6"/>
    <s v="URSSAF"/>
    <s v="OD"/>
    <n v="-5876"/>
    <d v="2025-12-15T00:00:00"/>
    <s v="Echéancier Urssaf - Nov2025 - RO - Part Sal. Réglée"/>
    <m/>
    <e v="#N/A"/>
    <e v="#N/A"/>
    <n v="95629"/>
    <m/>
    <m/>
    <s v="Q4"/>
    <e v="#REF!"/>
    <e v="#REF!"/>
    <e v="#REF!"/>
  </r>
  <r>
    <s v="431000"/>
    <x v="6"/>
    <s v="URSSAF"/>
    <s v="OD"/>
    <n v="-5876"/>
    <d v="2025-12-16T00:00:00"/>
    <s v="Liaison inter-établissement"/>
    <m/>
    <e v="#N/A"/>
    <e v="#N/A"/>
    <n v="95658"/>
    <m/>
    <m/>
    <s v="Q4"/>
    <e v="#REF!"/>
    <e v="#REF!"/>
    <e v="#REF!"/>
  </r>
  <r>
    <s v="431000"/>
    <x v="6"/>
    <s v="URSSAF"/>
    <s v="OD"/>
    <n v="-5052"/>
    <d v="2025-12-15T00:00:00"/>
    <s v="Echéancier Urssaf - Nov2025 - TO - Part Pat. Vers. 1"/>
    <m/>
    <e v="#N/A"/>
    <e v="#N/A"/>
    <n v="95618"/>
    <m/>
    <m/>
    <s v="Q4"/>
    <e v="#REF!"/>
    <e v="#REF!"/>
    <e v="#REF!"/>
  </r>
  <r>
    <s v="431000"/>
    <x v="6"/>
    <s v="URSSAF"/>
    <s v="OD"/>
    <n v="-5052"/>
    <d v="2025-12-15T00:00:00"/>
    <s v="Echéancier Urssaf - Nov2025 - TO - Part Pat. Vers. 2"/>
    <m/>
    <e v="#N/A"/>
    <e v="#N/A"/>
    <n v="95622"/>
    <m/>
    <m/>
    <s v="Q4"/>
    <e v="#REF!"/>
    <e v="#REF!"/>
    <e v="#REF!"/>
  </r>
  <r>
    <s v="431000"/>
    <x v="6"/>
    <s v="URSSAF"/>
    <s v="OD"/>
    <n v="-5052"/>
    <d v="2025-12-15T00:00:00"/>
    <s v="Echéancier Urssaf - Nov2025 - TO - Part Pat. Vers. 3"/>
    <m/>
    <e v="#N/A"/>
    <e v="#N/A"/>
    <n v="95623"/>
    <m/>
    <m/>
    <s v="Q4"/>
    <e v="#REF!"/>
    <e v="#REF!"/>
    <e v="#REF!"/>
  </r>
  <r>
    <s v="431000"/>
    <x v="6"/>
    <s v="URSSAF"/>
    <s v="OD"/>
    <n v="-5052"/>
    <d v="2025-12-15T00:00:00"/>
    <s v="Echéancier Urssaf - Nov2025 - TO - Part Pat. Vers. 4"/>
    <m/>
    <e v="#N/A"/>
    <e v="#N/A"/>
    <n v="95624"/>
    <m/>
    <m/>
    <s v="Q4"/>
    <e v="#REF!"/>
    <e v="#REF!"/>
    <e v="#REF!"/>
  </r>
  <r>
    <s v="431000"/>
    <x v="6"/>
    <s v="URSSAF"/>
    <s v="OD"/>
    <n v="-5052"/>
    <d v="2025-12-15T00:00:00"/>
    <s v="Echéancier Urssaf - Nov2025 - TO - Part Pat. Vers. 5"/>
    <m/>
    <e v="#N/A"/>
    <e v="#N/A"/>
    <n v="95625"/>
    <m/>
    <m/>
    <s v="Q4"/>
    <e v="#REF!"/>
    <e v="#REF!"/>
    <e v="#REF!"/>
  </r>
  <r>
    <s v="431000"/>
    <x v="6"/>
    <s v="URSSAF"/>
    <s v="OD"/>
    <n v="-3827"/>
    <d v="2025-12-15T00:00:00"/>
    <s v="Echéancier Urssaf - Nov2025 - RO - Part Pat. Vers. 1"/>
    <m/>
    <e v="#N/A"/>
    <e v="#N/A"/>
    <n v="95631"/>
    <m/>
    <m/>
    <s v="Q4"/>
    <e v="#REF!"/>
    <e v="#REF!"/>
    <e v="#REF!"/>
  </r>
  <r>
    <s v="431000"/>
    <x v="6"/>
    <s v="URSSAF"/>
    <s v="OD"/>
    <n v="-3827"/>
    <d v="2025-12-15T00:00:00"/>
    <s v="Echéancier Urssaf - Nov2025 - RO - Part Pat. Vers. 2"/>
    <m/>
    <e v="#N/A"/>
    <e v="#N/A"/>
    <n v="95632"/>
    <m/>
    <m/>
    <s v="Q4"/>
    <e v="#REF!"/>
    <e v="#REF!"/>
    <e v="#REF!"/>
  </r>
  <r>
    <s v="431000"/>
    <x v="6"/>
    <s v="URSSAF"/>
    <s v="OD"/>
    <n v="-3827"/>
    <d v="2025-12-15T00:00:00"/>
    <s v="Echéancier Urssaf - Nov2025 - RO - Part Pat. Vers. 3"/>
    <m/>
    <e v="#N/A"/>
    <e v="#N/A"/>
    <n v="95633"/>
    <m/>
    <m/>
    <s v="Q4"/>
    <e v="#REF!"/>
    <e v="#REF!"/>
    <e v="#REF!"/>
  </r>
  <r>
    <s v="431000"/>
    <x v="6"/>
    <s v="URSSAF"/>
    <s v="OD"/>
    <n v="-3752.2"/>
    <d v="2025-12-15T00:00:00"/>
    <s v="Echéancier Urssaf - Nov2025 - KB - Part Pat. Vers. 1"/>
    <m/>
    <e v="#N/A"/>
    <e v="#N/A"/>
    <n v="95653"/>
    <m/>
    <m/>
    <s v="Q4"/>
    <e v="#REF!"/>
    <e v="#REF!"/>
    <e v="#REF!"/>
  </r>
  <r>
    <s v="431000"/>
    <x v="6"/>
    <s v="URSSAF"/>
    <s v="OD"/>
    <n v="-3752.2"/>
    <d v="2025-12-15T00:00:00"/>
    <s v="Echéancier Urssaf - Nov2025 - KB - Part Pat. Vers. 2"/>
    <m/>
    <e v="#N/A"/>
    <e v="#N/A"/>
    <n v="95652"/>
    <m/>
    <m/>
    <s v="Q4"/>
    <e v="#REF!"/>
    <e v="#REF!"/>
    <e v="#REF!"/>
  </r>
  <r>
    <s v="431000"/>
    <x v="6"/>
    <s v="URSSAF"/>
    <s v="OD"/>
    <n v="-3752.2"/>
    <d v="2025-12-15T00:00:00"/>
    <s v="Echéancier Urssaf - Nov2025 - KB - Part Pat. Vers. 3"/>
    <m/>
    <e v="#N/A"/>
    <e v="#N/A"/>
    <n v="95651"/>
    <m/>
    <m/>
    <s v="Q4"/>
    <e v="#REF!"/>
    <e v="#REF!"/>
    <e v="#REF!"/>
  </r>
  <r>
    <s v="431000"/>
    <x v="6"/>
    <s v="URSSAF"/>
    <s v="OD"/>
    <n v="-3752.2"/>
    <d v="2025-12-15T00:00:00"/>
    <s v="Echéancier Urssaf - Nov2025 - KB - Part Pat. Vers. 4"/>
    <m/>
    <e v="#N/A"/>
    <e v="#N/A"/>
    <n v="95650"/>
    <m/>
    <m/>
    <s v="Q4"/>
    <e v="#REF!"/>
    <e v="#REF!"/>
    <e v="#REF!"/>
  </r>
  <r>
    <s v="431000"/>
    <x v="6"/>
    <s v="URSSAF"/>
    <s v="OD"/>
    <n v="-3752.2"/>
    <d v="2025-12-15T00:00:00"/>
    <s v="Echéancier Urssaf - Nov2025 - KB - Part Pat. Vers. 5"/>
    <m/>
    <e v="#N/A"/>
    <e v="#N/A"/>
    <n v="95649"/>
    <m/>
    <m/>
    <s v="Q4"/>
    <e v="#REF!"/>
    <e v="#REF!"/>
    <e v="#REF!"/>
  </r>
  <r>
    <s v="431000"/>
    <x v="6"/>
    <s v="URSSAF"/>
    <s v="OD"/>
    <n v="-1414"/>
    <d v="2025-12-15T00:00:00"/>
    <s v="Echéancier Urssaf - Nov2025 - TO - Majoration"/>
    <m/>
    <e v="#N/A"/>
    <e v="#N/A"/>
    <n v="95626"/>
    <m/>
    <m/>
    <s v="Q4"/>
    <e v="#REF!"/>
    <e v="#REF!"/>
    <e v="#REF!"/>
  </r>
  <r>
    <s v="431000"/>
    <x v="6"/>
    <s v="URSSAF"/>
    <s v="OD"/>
    <n v="-1050"/>
    <d v="2025-12-15T00:00:00"/>
    <s v="Echéancier Urssaf - Nov2025 - KB - Majoration"/>
    <m/>
    <e v="#N/A"/>
    <e v="#N/A"/>
    <n v="95648"/>
    <m/>
    <m/>
    <s v="Q4"/>
    <e v="#REF!"/>
    <e v="#REF!"/>
    <e v="#REF!"/>
  </r>
  <r>
    <s v="431000"/>
    <x v="6"/>
    <s v="URSSAF"/>
    <s v="OD"/>
    <n v="-642"/>
    <d v="2025-12-15T00:00:00"/>
    <s v="Echéancier Urssaf - Nov2025 - RO - Majoration"/>
    <m/>
    <e v="#N/A"/>
    <e v="#N/A"/>
    <n v="95636"/>
    <m/>
    <m/>
    <s v="Q4"/>
    <e v="#REF!"/>
    <e v="#REF!"/>
    <e v="#REF!"/>
  </r>
  <r>
    <s v="431000"/>
    <x v="6"/>
    <s v="URSSAF"/>
    <s v="OD"/>
    <n v="-5.03"/>
    <d v="2025-07-31T00:00:00"/>
    <s v="Ecart de règlement"/>
    <m/>
    <e v="#N/A"/>
    <e v="#N/A"/>
    <n v="84267"/>
    <m/>
    <m/>
    <s v="Q3"/>
    <e v="#REF!"/>
    <e v="#REF!"/>
    <e v="#REF!"/>
  </r>
  <r>
    <s v="431000"/>
    <x v="6"/>
    <s v="URSSAF"/>
    <s v="OD"/>
    <n v="-2.39"/>
    <d v="2025-11-19T00:00:00"/>
    <s v="Ecart de règlement"/>
    <m/>
    <e v="#N/A"/>
    <e v="#N/A"/>
    <n v="90242"/>
    <m/>
    <m/>
    <s v="Q4"/>
    <e v="#REF!"/>
    <e v="#REF!"/>
    <e v="#REF!"/>
  </r>
  <r>
    <s v="431000"/>
    <x v="6"/>
    <s v="URSSAF"/>
    <s v="OD"/>
    <n v="-1.55"/>
    <d v="2025-02-28T00:00:00"/>
    <s v="Ecart de règlement"/>
    <m/>
    <e v="#N/A"/>
    <e v="#N/A"/>
    <n v="84245"/>
    <m/>
    <m/>
    <s v="Q1"/>
    <e v="#REF!"/>
    <e v="#REF!"/>
    <e v="#REF!"/>
  </r>
  <r>
    <s v="431000"/>
    <x v="6"/>
    <s v="URSSAF"/>
    <s v="OD"/>
    <n v="-1.5"/>
    <d v="2025-02-28T00:00:00"/>
    <s v="Ecart de règlement"/>
    <m/>
    <e v="#N/A"/>
    <e v="#N/A"/>
    <n v="84255"/>
    <m/>
    <m/>
    <s v="Q1"/>
    <e v="#REF!"/>
    <e v="#REF!"/>
    <e v="#REF!"/>
  </r>
  <r>
    <s v="431000"/>
    <x v="6"/>
    <s v="URSSAF"/>
    <s v="OD"/>
    <n v="-1.1299999999999999"/>
    <d v="2025-08-31T00:00:00"/>
    <s v="Ecart de règlement"/>
    <m/>
    <e v="#N/A"/>
    <e v="#N/A"/>
    <n v="84365"/>
    <m/>
    <m/>
    <s v="Q3"/>
    <e v="#REF!"/>
    <e v="#REF!"/>
    <e v="#REF!"/>
  </r>
  <r>
    <s v="431000"/>
    <x v="6"/>
    <s v="URSSAF"/>
    <s v="OD"/>
    <n v="-0.27"/>
    <d v="2025-02-28T00:00:00"/>
    <s v="Ecart de règlement"/>
    <m/>
    <e v="#N/A"/>
    <e v="#N/A"/>
    <n v="84261"/>
    <m/>
    <m/>
    <s v="Q1"/>
    <e v="#REF!"/>
    <e v="#REF!"/>
    <e v="#REF!"/>
  </r>
  <r>
    <s v="431000"/>
    <x v="6"/>
    <s v="URSSAF"/>
    <s v="OD"/>
    <n v="0.19"/>
    <d v="2025-02-16T00:00:00"/>
    <s v="Ecart de règlement"/>
    <m/>
    <e v="#N/A"/>
    <e v="#N/A"/>
    <n v="64514"/>
    <m/>
    <m/>
    <s v="Q1"/>
    <e v="#REF!"/>
    <e v="#REF!"/>
    <e v="#REF!"/>
  </r>
  <r>
    <s v="431000"/>
    <x v="6"/>
    <s v="URSSAF"/>
    <s v="OD"/>
    <n v="0.28000000000000003"/>
    <d v="2025-01-31T00:00:00"/>
    <s v="Ecart de règlement"/>
    <m/>
    <e v="#N/A"/>
    <e v="#N/A"/>
    <n v="72858"/>
    <m/>
    <m/>
    <s v="Q1"/>
    <e v="#REF!"/>
    <e v="#REF!"/>
    <e v="#REF!"/>
  </r>
  <r>
    <s v="431000"/>
    <x v="6"/>
    <s v="URSSAF"/>
    <s v="OD"/>
    <n v="0.48"/>
    <d v="2025-10-17T00:00:00"/>
    <s v="Ecart de règlement"/>
    <m/>
    <e v="#N/A"/>
    <e v="#N/A"/>
    <n v="86983"/>
    <m/>
    <m/>
    <s v="Q4"/>
    <e v="#REF!"/>
    <e v="#REF!"/>
    <e v="#REF!"/>
  </r>
  <r>
    <s v="431000"/>
    <x v="6"/>
    <s v="URSSAF"/>
    <s v="OD"/>
    <n v="0.73"/>
    <d v="2025-05-30T00:00:00"/>
    <s v="Ecart de règlement"/>
    <m/>
    <e v="#N/A"/>
    <e v="#N/A"/>
    <n v="96510"/>
    <m/>
    <m/>
    <s v="Q2"/>
    <e v="#REF!"/>
    <e v="#REF!"/>
    <e v="#REF!"/>
  </r>
  <r>
    <s v="431000"/>
    <x v="6"/>
    <s v="URSSAF"/>
    <s v="OD"/>
    <n v="0.86"/>
    <d v="2025-01-31T00:00:00"/>
    <s v="Ecart de règlement"/>
    <m/>
    <e v="#N/A"/>
    <e v="#N/A"/>
    <n v="72848"/>
    <m/>
    <m/>
    <s v="Q1"/>
    <e v="#REF!"/>
    <e v="#REF!"/>
    <e v="#REF!"/>
  </r>
  <r>
    <s v="431000"/>
    <x v="6"/>
    <s v="URSSAF"/>
    <s v="OD"/>
    <n v="1.0900000000000001"/>
    <d v="2025-01-31T00:00:00"/>
    <s v="Ecart de règlement"/>
    <m/>
    <e v="#N/A"/>
    <e v="#N/A"/>
    <n v="72866"/>
    <m/>
    <m/>
    <s v="Q1"/>
    <e v="#REF!"/>
    <e v="#REF!"/>
    <e v="#REF!"/>
  </r>
  <r>
    <s v="431000"/>
    <x v="6"/>
    <s v="URSSAF"/>
    <s v="OD"/>
    <n v="1.34"/>
    <d v="2025-05-31T00:00:00"/>
    <s v="Ecart de règlement"/>
    <m/>
    <e v="#N/A"/>
    <e v="#N/A"/>
    <n v="84361"/>
    <m/>
    <m/>
    <s v="Q2"/>
    <e v="#REF!"/>
    <e v="#REF!"/>
    <e v="#REF!"/>
  </r>
  <r>
    <s v="431000"/>
    <x v="6"/>
    <s v="URSSAF"/>
    <s v="OD"/>
    <n v="2.34"/>
    <d v="2025-12-25T00:00:00"/>
    <s v="Ecart de règlement"/>
    <m/>
    <e v="#N/A"/>
    <e v="#N/A"/>
    <n v="93643"/>
    <m/>
    <m/>
    <s v="Q4"/>
    <e v="#REF!"/>
    <e v="#REF!"/>
    <e v="#REF!"/>
  </r>
  <r>
    <s v="431000"/>
    <x v="6"/>
    <s v="URSSAF"/>
    <s v="OD"/>
    <n v="4.1900000000000004"/>
    <d v="2025-03-31T00:00:00"/>
    <s v="Ecart de règlement"/>
    <m/>
    <e v="#N/A"/>
    <e v="#N/A"/>
    <n v="84263"/>
    <m/>
    <m/>
    <s v="Q1"/>
    <e v="#REF!"/>
    <e v="#REF!"/>
    <e v="#REF!"/>
  </r>
  <r>
    <s v="431000"/>
    <x v="6"/>
    <s v="URSSAF"/>
    <s v="OD"/>
    <n v="4.24"/>
    <d v="2025-12-15T00:00:00"/>
    <s v="Ecart de règlement"/>
    <m/>
    <e v="#N/A"/>
    <e v="#N/A"/>
    <n v="95668"/>
    <m/>
    <m/>
    <s v="Q4"/>
    <e v="#REF!"/>
    <e v="#REF!"/>
    <e v="#REF!"/>
  </r>
  <r>
    <s v="431000"/>
    <x v="6"/>
    <s v="URSSAF"/>
    <s v="OD"/>
    <n v="5876"/>
    <d v="2025-12-16T00:00:00"/>
    <s v="Liaison inter-établissement vers TO "/>
    <m/>
    <e v="#N/A"/>
    <e v="#N/A"/>
    <n v="95657"/>
    <m/>
    <m/>
    <s v="Q4"/>
    <e v="#REF!"/>
    <e v="#REF!"/>
    <e v="#REF!"/>
  </r>
  <r>
    <s v="431000"/>
    <x v="6"/>
    <s v="URSSAF"/>
    <s v="OD"/>
    <n v="17357"/>
    <d v="2025-12-15T00:00:00"/>
    <s v="Echéancier Urssaf - Nov2025 - RO "/>
    <m/>
    <e v="#N/A"/>
    <e v="#N/A"/>
    <n v="95630"/>
    <m/>
    <m/>
    <s v="Q4"/>
    <e v="#REF!"/>
    <e v="#REF!"/>
    <e v="#REF!"/>
  </r>
  <r>
    <s v="431000"/>
    <x v="6"/>
    <s v="URSSAF"/>
    <s v="OD"/>
    <n v="17357"/>
    <d v="2025-12-15T00:00:00"/>
    <s v="Liaison inter-établissement"/>
    <m/>
    <e v="#N/A"/>
    <e v="#N/A"/>
    <n v="95666"/>
    <m/>
    <m/>
    <s v="Q4"/>
    <e v="#REF!"/>
    <e v="#REF!"/>
    <e v="#REF!"/>
  </r>
  <r>
    <s v="431000"/>
    <x v="6"/>
    <s v="URSSAF"/>
    <s v="OD"/>
    <n v="27739"/>
    <d v="2025-12-15T00:00:00"/>
    <s v="Echéancier Urssaf - Nov2025 - KB"/>
    <m/>
    <e v="#N/A"/>
    <e v="#N/A"/>
    <n v="95654"/>
    <m/>
    <m/>
    <s v="Q4"/>
    <e v="#REF!"/>
    <e v="#REF!"/>
    <e v="#REF!"/>
  </r>
  <r>
    <s v="431000"/>
    <x v="6"/>
    <s v="URSSAF"/>
    <s v="OD"/>
    <n v="38232"/>
    <d v="2025-12-15T00:00:00"/>
    <s v="Echéancier Urssaf - Nov2025 - TO "/>
    <m/>
    <e v="#N/A"/>
    <e v="#N/A"/>
    <n v="95621"/>
    <m/>
    <m/>
    <s v="Q4"/>
    <e v="#REF!"/>
    <e v="#REF!"/>
    <e v="#REF!"/>
  </r>
  <r>
    <s v="431000"/>
    <x v="6"/>
    <s v="URSSAF"/>
    <s v="SA"/>
    <n v="-27097.81"/>
    <d v="2025-02-28T00:00:00"/>
    <s v="VIEILLESSE PLAFONNÉE"/>
    <m/>
    <e v="#N/A"/>
    <e v="#N/A"/>
    <n v="85187"/>
    <s v="SA202502"/>
    <m/>
    <s v="Q1"/>
    <e v="#REF!"/>
    <e v="#REF!"/>
    <e v="#REF!"/>
  </r>
  <r>
    <s v="431000"/>
    <x v="6"/>
    <s v="URSSAF"/>
    <s v="SA"/>
    <n v="-25517.49"/>
    <d v="2025-02-28T00:00:00"/>
    <s v="MALADIE - MATERNITÉ - INVALIDITÉ - DÉCÈS"/>
    <m/>
    <e v="#N/A"/>
    <e v="#N/A"/>
    <n v="85183"/>
    <s v="SA202502"/>
    <m/>
    <s v="Q1"/>
    <e v="#REF!"/>
    <e v="#REF!"/>
    <e v="#REF!"/>
  </r>
  <r>
    <s v="431000"/>
    <x v="6"/>
    <s v="URSSAF"/>
    <s v="SA"/>
    <n v="-24618.81"/>
    <d v="2025-02-28T00:00:00"/>
    <s v="CSG DÉDUCTIBLE"/>
    <m/>
    <e v="#N/A"/>
    <e v="#N/A"/>
    <n v="85173"/>
    <s v="SA202502"/>
    <m/>
    <s v="Q1"/>
    <e v="#REF!"/>
    <e v="#REF!"/>
    <e v="#REF!"/>
  </r>
  <r>
    <s v="431000"/>
    <x v="6"/>
    <s v="URSSAF"/>
    <s v="SA"/>
    <n v="-22680.07"/>
    <d v="2025-07-31T00:00:00"/>
    <s v="VIEILLESSE PLAFONNÉE"/>
    <m/>
    <e v="#N/A"/>
    <e v="#N/A"/>
    <n v="79801"/>
    <s v="SA202507"/>
    <m/>
    <s v="Q3"/>
    <e v="#REF!"/>
    <e v="#REF!"/>
    <e v="#REF!"/>
  </r>
  <r>
    <s v="431000"/>
    <x v="6"/>
    <s v="URSSAF"/>
    <s v="SA"/>
    <n v="-22618.89"/>
    <d v="2025-03-31T00:00:00"/>
    <s v="VIEILLESSE PLAFONNÉE"/>
    <m/>
    <e v="#N/A"/>
    <e v="#N/A"/>
    <n v="80482"/>
    <s v="SA202503"/>
    <m/>
    <s v="Q1"/>
    <e v="#REF!"/>
    <e v="#REF!"/>
    <e v="#REF!"/>
  </r>
  <r>
    <s v="431000"/>
    <x v="6"/>
    <s v="URSSAF"/>
    <s v="SA"/>
    <n v="-22343.82"/>
    <d v="2025-01-31T00:00:00"/>
    <s v="VIEILLESSE PLAFONNÉE"/>
    <m/>
    <e v="#N/A"/>
    <e v="#N/A"/>
    <n v="85376"/>
    <s v="SA202501"/>
    <m/>
    <s v="Q1"/>
    <e v="#REF!"/>
    <e v="#REF!"/>
    <e v="#REF!"/>
  </r>
  <r>
    <s v="431000"/>
    <x v="6"/>
    <s v="URSSAF"/>
    <s v="SA"/>
    <n v="-22164.04"/>
    <d v="2025-06-30T00:00:00"/>
    <s v="VIEILLESSE PLAFONNÉE"/>
    <m/>
    <e v="#N/A"/>
    <e v="#N/A"/>
    <n v="79975"/>
    <s v="SA202506"/>
    <m/>
    <s v="Q2"/>
    <e v="#REF!"/>
    <e v="#REF!"/>
    <e v="#REF!"/>
  </r>
  <r>
    <s v="431000"/>
    <x v="6"/>
    <s v="URSSAF"/>
    <s v="SA"/>
    <n v="-22016.43"/>
    <d v="2025-05-31T00:00:00"/>
    <s v="VIEILLESSE PLAFONNÉE"/>
    <m/>
    <e v="#N/A"/>
    <e v="#N/A"/>
    <n v="80144"/>
    <s v="SA202505"/>
    <m/>
    <s v="Q2"/>
    <e v="#REF!"/>
    <e v="#REF!"/>
    <e v="#REF!"/>
  </r>
  <r>
    <s v="431000"/>
    <x v="6"/>
    <s v="URSSAF"/>
    <s v="SA"/>
    <n v="-21588.53"/>
    <d v="2025-04-30T00:00:00"/>
    <s v="VIEILLESSE PLAFONNÉE"/>
    <m/>
    <e v="#N/A"/>
    <e v="#N/A"/>
    <n v="80314"/>
    <s v="SA202504"/>
    <m/>
    <s v="Q2"/>
    <e v="#REF!"/>
    <e v="#REF!"/>
    <e v="#REF!"/>
  </r>
  <r>
    <s v="431000"/>
    <x v="6"/>
    <s v="URSSAF"/>
    <s v="SA"/>
    <n v="-21022.53"/>
    <d v="2025-08-31T00:00:00"/>
    <s v="VIEILLESSE PLAFONNÉE"/>
    <m/>
    <e v="#N/A"/>
    <e v="#N/A"/>
    <n v="83920"/>
    <s v="SA202508"/>
    <m/>
    <s v="Q3"/>
    <e v="#REF!"/>
    <e v="#REF!"/>
    <e v="#REF!"/>
  </r>
  <r>
    <s v="431000"/>
    <x v="6"/>
    <s v="URSSAF"/>
    <s v="SA"/>
    <n v="-20241.23"/>
    <d v="2025-02-28T00:00:00"/>
    <s v="MALADIE (COMPLÉMENT)"/>
    <m/>
    <e v="#N/A"/>
    <e v="#N/A"/>
    <n v="85182"/>
    <s v="SA202502"/>
    <m/>
    <s v="Q1"/>
    <e v="#REF!"/>
    <e v="#REF!"/>
    <e v="#REF!"/>
  </r>
  <r>
    <s v="431000"/>
    <x v="6"/>
    <s v="URSSAF"/>
    <s v="SA"/>
    <n v="-16097.82"/>
    <d v="2025-09-30T00:00:00"/>
    <s v="VIEILLESSE PLAFONNÉE"/>
    <m/>
    <e v="#N/A"/>
    <e v="#N/A"/>
    <n v="84093"/>
    <s v="SA202509"/>
    <m/>
    <s v="Q3"/>
    <e v="#REF!"/>
    <e v="#REF!"/>
    <e v="#REF!"/>
  </r>
  <r>
    <s v="431000"/>
    <x v="6"/>
    <s v="URSSAF"/>
    <s v="SA"/>
    <n v="-15383.44"/>
    <d v="2025-10-31T00:00:00"/>
    <s v="VIEILLESSE PLAFONNÉE"/>
    <m/>
    <e v="#N/A"/>
    <e v="#N/A"/>
    <n v="87757"/>
    <s v="SA202510"/>
    <m/>
    <s v="Q4"/>
    <e v="#REF!"/>
    <e v="#REF!"/>
    <e v="#REF!"/>
  </r>
  <r>
    <s v="431000"/>
    <x v="6"/>
    <s v="URSSAF"/>
    <s v="SA"/>
    <n v="-15381.01"/>
    <d v="2025-11-30T00:00:00"/>
    <s v="VIEILLESSE PLAFONNÉE"/>
    <m/>
    <e v="#N/A"/>
    <e v="#N/A"/>
    <n v="92266"/>
    <s v="SA202511"/>
    <m/>
    <s v="Q4"/>
    <e v="#REF!"/>
    <e v="#REF!"/>
    <e v="#REF!"/>
  </r>
  <r>
    <s v="431000"/>
    <x v="6"/>
    <s v="URSSAF"/>
    <s v="SA"/>
    <n v="-15045.36"/>
    <d v="2025-12-31T00:00:00"/>
    <s v="VIEILLESSE PLAFONNÉE"/>
    <m/>
    <e v="#N/A"/>
    <e v="#N/A"/>
    <n v="92725"/>
    <s v="SA202512"/>
    <m/>
    <s v="Q4"/>
    <e v="#REF!"/>
    <e v="#REF!"/>
    <e v="#REF!"/>
  </r>
  <r>
    <s v="431000"/>
    <x v="6"/>
    <s v="URSSAF"/>
    <s v="SA"/>
    <n v="-13475.25"/>
    <d v="2025-06-30T00:00:00"/>
    <s v="MALADIE - MATERNITÉ - INVALIDITÉ - DÉCÈS"/>
    <m/>
    <e v="#N/A"/>
    <e v="#N/A"/>
    <n v="79971"/>
    <s v="SA202506"/>
    <m/>
    <s v="Q2"/>
    <e v="#REF!"/>
    <e v="#REF!"/>
    <e v="#REF!"/>
  </r>
  <r>
    <s v="431000"/>
    <x v="6"/>
    <s v="URSSAF"/>
    <s v="SA"/>
    <n v="-13456.56"/>
    <d v="2025-02-28T00:00:00"/>
    <s v="ASSURANCE CHÔMAGE TRA+TRB"/>
    <m/>
    <e v="#N/A"/>
    <e v="#N/A"/>
    <n v="85172"/>
    <s v="SA202502"/>
    <m/>
    <s v="Q1"/>
    <e v="#REF!"/>
    <e v="#REF!"/>
    <e v="#REF!"/>
  </r>
  <r>
    <s v="431000"/>
    <x v="6"/>
    <s v="URSSAF"/>
    <s v="SA"/>
    <n v="-13216.15"/>
    <d v="2025-03-31T00:00:00"/>
    <s v="MALADIE - MATERNITÉ - INVALIDITÉ - DÉCÈS"/>
    <m/>
    <e v="#N/A"/>
    <e v="#N/A"/>
    <n v="80478"/>
    <s v="SA202503"/>
    <m/>
    <s v="Q1"/>
    <e v="#REF!"/>
    <e v="#REF!"/>
    <e v="#REF!"/>
  </r>
  <r>
    <s v="431000"/>
    <x v="6"/>
    <s v="URSSAF"/>
    <s v="SA"/>
    <n v="-13211.99"/>
    <d v="2025-01-31T00:00:00"/>
    <s v="MALADIE - MATERNITÉ - INVALIDITÉ - DÉCÈS"/>
    <m/>
    <e v="#N/A"/>
    <e v="#N/A"/>
    <n v="85372"/>
    <s v="SA202501"/>
    <m/>
    <s v="Q1"/>
    <e v="#REF!"/>
    <e v="#REF!"/>
    <e v="#REF!"/>
  </r>
  <r>
    <s v="431000"/>
    <x v="6"/>
    <s v="URSSAF"/>
    <s v="SA"/>
    <n v="-13125.04"/>
    <d v="2025-07-31T00:00:00"/>
    <s v="MALADIE - MATERNITÉ - INVALIDITÉ - DÉCÈS"/>
    <m/>
    <e v="#N/A"/>
    <e v="#N/A"/>
    <n v="79797"/>
    <s v="SA202507"/>
    <m/>
    <s v="Q3"/>
    <e v="#REF!"/>
    <e v="#REF!"/>
    <e v="#REF!"/>
  </r>
  <r>
    <s v="431000"/>
    <x v="6"/>
    <s v="URSSAF"/>
    <s v="SA"/>
    <n v="-13071.49"/>
    <d v="2025-04-30T00:00:00"/>
    <s v="MALADIE - MATERNITÉ - INVALIDITÉ - DÉCÈS"/>
    <m/>
    <e v="#N/A"/>
    <e v="#N/A"/>
    <n v="80310"/>
    <s v="SA202504"/>
    <m/>
    <s v="Q2"/>
    <e v="#REF!"/>
    <e v="#REF!"/>
    <e v="#REF!"/>
  </r>
  <r>
    <s v="431000"/>
    <x v="6"/>
    <s v="URSSAF"/>
    <s v="SA"/>
    <n v="-12987.71"/>
    <d v="2025-06-30T00:00:00"/>
    <s v="CSG DÉDUCTIBLE"/>
    <m/>
    <e v="#N/A"/>
    <e v="#N/A"/>
    <n v="79963"/>
    <s v="SA202506"/>
    <m/>
    <s v="Q2"/>
    <e v="#REF!"/>
    <e v="#REF!"/>
    <e v="#REF!"/>
  </r>
  <r>
    <s v="431000"/>
    <x v="6"/>
    <s v="URSSAF"/>
    <s v="SA"/>
    <n v="-12987.28"/>
    <d v="2025-05-31T00:00:00"/>
    <s v="MALADIE - MATERNITÉ - INVALIDITÉ - DÉCÈS"/>
    <m/>
    <e v="#N/A"/>
    <e v="#N/A"/>
    <n v="80140"/>
    <s v="SA202505"/>
    <m/>
    <s v="Q2"/>
    <e v="#REF!"/>
    <e v="#REF!"/>
    <e v="#REF!"/>
  </r>
  <r>
    <s v="431000"/>
    <x v="6"/>
    <s v="URSSAF"/>
    <s v="SA"/>
    <n v="-12850.36"/>
    <d v="2025-09-30T00:00:00"/>
    <s v="CSG DÉDUCTIBLE"/>
    <m/>
    <e v="#N/A"/>
    <e v="#N/A"/>
    <n v="84078"/>
    <s v="SA202509"/>
    <m/>
    <s v="Q3"/>
    <e v="#REF!"/>
    <e v="#REF!"/>
    <e v="#REF!"/>
  </r>
  <r>
    <s v="431000"/>
    <x v="6"/>
    <s v="URSSAF"/>
    <s v="SA"/>
    <n v="-12825.03"/>
    <d v="2025-08-31T00:00:00"/>
    <s v="MALADIE - MATERNITÉ - INVALIDITÉ - DÉCÈS"/>
    <m/>
    <e v="#N/A"/>
    <e v="#N/A"/>
    <n v="83916"/>
    <s v="SA202508"/>
    <m/>
    <s v="Q3"/>
    <e v="#REF!"/>
    <e v="#REF!"/>
    <e v="#REF!"/>
  </r>
  <r>
    <s v="431000"/>
    <x v="6"/>
    <s v="URSSAF"/>
    <s v="SA"/>
    <n v="-12745.31"/>
    <d v="2025-03-31T00:00:00"/>
    <s v="CSG DÉDUCTIBLE"/>
    <m/>
    <e v="#N/A"/>
    <e v="#N/A"/>
    <n v="80470"/>
    <s v="SA202503"/>
    <m/>
    <s v="Q1"/>
    <e v="#REF!"/>
    <e v="#REF!"/>
    <e v="#REF!"/>
  </r>
  <r>
    <s v="431000"/>
    <x v="6"/>
    <s v="URSSAF"/>
    <s v="SA"/>
    <n v="-12697.69"/>
    <d v="2025-01-31T00:00:00"/>
    <s v="CSG DÉDUCTIBLE"/>
    <m/>
    <e v="#N/A"/>
    <e v="#N/A"/>
    <n v="85364"/>
    <s v="SA202501"/>
    <m/>
    <s v="Q1"/>
    <e v="#REF!"/>
    <e v="#REF!"/>
    <e v="#REF!"/>
  </r>
  <r>
    <s v="431000"/>
    <x v="6"/>
    <s v="URSSAF"/>
    <s v="SA"/>
    <n v="-12621.22"/>
    <d v="2025-04-30T00:00:00"/>
    <s v="CSG DÉDUCTIBLE"/>
    <m/>
    <e v="#N/A"/>
    <e v="#N/A"/>
    <n v="80300"/>
    <s v="SA202504"/>
    <m/>
    <s v="Q2"/>
    <e v="#REF!"/>
    <e v="#REF!"/>
    <e v="#REF!"/>
  </r>
  <r>
    <s v="431000"/>
    <x v="6"/>
    <s v="URSSAF"/>
    <s v="SA"/>
    <n v="-12576.51"/>
    <d v="2025-02-28T00:00:00"/>
    <s v="ALLOCATIONS FAMILIALES"/>
    <m/>
    <e v="#N/A"/>
    <e v="#N/A"/>
    <n v="85170"/>
    <s v="SA202502"/>
    <m/>
    <s v="Q1"/>
    <e v="#REF!"/>
    <e v="#REF!"/>
    <e v="#REF!"/>
  </r>
  <r>
    <s v="431000"/>
    <x v="6"/>
    <s v="URSSAF"/>
    <s v="SA"/>
    <n v="-12512.5"/>
    <d v="2025-05-31T00:00:00"/>
    <s v="CSG DÉDUCTIBLE"/>
    <m/>
    <e v="#N/A"/>
    <e v="#N/A"/>
    <n v="80132"/>
    <s v="SA202505"/>
    <m/>
    <s v="Q2"/>
    <e v="#REF!"/>
    <e v="#REF!"/>
    <e v="#REF!"/>
  </r>
  <r>
    <s v="431000"/>
    <x v="6"/>
    <s v="URSSAF"/>
    <s v="SA"/>
    <n v="-12477.64"/>
    <d v="2025-07-31T00:00:00"/>
    <s v="CSG DÉDUCTIBLE"/>
    <m/>
    <e v="#N/A"/>
    <e v="#N/A"/>
    <n v="79789"/>
    <s v="SA202507"/>
    <m/>
    <s v="Q3"/>
    <e v="#REF!"/>
    <e v="#REF!"/>
    <e v="#REF!"/>
  </r>
  <r>
    <s v="431000"/>
    <x v="6"/>
    <s v="URSSAF"/>
    <s v="SA"/>
    <n v="-12377.83"/>
    <d v="2025-11-30T00:00:00"/>
    <s v="CSG DÉDUCTIBLE"/>
    <m/>
    <e v="#N/A"/>
    <e v="#N/A"/>
    <n v="92251"/>
    <s v="SA202511"/>
    <m/>
    <s v="Q4"/>
    <e v="#REF!"/>
    <e v="#REF!"/>
    <e v="#REF!"/>
  </r>
  <r>
    <s v="431000"/>
    <x v="6"/>
    <s v="URSSAF"/>
    <s v="SA"/>
    <n v="-12377.62"/>
    <d v="2025-10-31T00:00:00"/>
    <s v="CSG DÉDUCTIBLE"/>
    <m/>
    <e v="#N/A"/>
    <e v="#N/A"/>
    <n v="87742"/>
    <s v="SA202510"/>
    <m/>
    <s v="Q4"/>
    <e v="#REF!"/>
    <e v="#REF!"/>
    <e v="#REF!"/>
  </r>
  <r>
    <s v="431000"/>
    <x v="6"/>
    <s v="URSSAF"/>
    <s v="SA"/>
    <n v="-12371.5"/>
    <d v="2025-08-31T00:00:00"/>
    <s v="CSG DÉDUCTIBLE"/>
    <m/>
    <e v="#N/A"/>
    <e v="#N/A"/>
    <n v="83908"/>
    <s v="SA202508"/>
    <m/>
    <s v="Q3"/>
    <e v="#REF!"/>
    <e v="#REF!"/>
    <e v="#REF!"/>
  </r>
  <r>
    <s v="431000"/>
    <x v="6"/>
    <s v="URSSAF"/>
    <s v="SA"/>
    <n v="-12134"/>
    <d v="2025-12-31T00:00:00"/>
    <s v="CSG DÉDUCTIBLE"/>
    <m/>
    <e v="#N/A"/>
    <e v="#N/A"/>
    <n v="92710"/>
    <s v="SA202512"/>
    <m/>
    <s v="Q4"/>
    <e v="#REF!"/>
    <e v="#REF!"/>
    <e v="#REF!"/>
  </r>
  <r>
    <s v="431000"/>
    <x v="6"/>
    <s v="URSSAF"/>
    <s v="SA"/>
    <n v="-10826.2"/>
    <d v="2025-07-31T00:00:00"/>
    <s v="MALADIE (COMPLÉMENT)"/>
    <m/>
    <e v="#N/A"/>
    <e v="#N/A"/>
    <n v="79796"/>
    <s v="SA202507"/>
    <m/>
    <s v="Q3"/>
    <e v="#REF!"/>
    <e v="#REF!"/>
    <e v="#REF!"/>
  </r>
  <r>
    <s v="431000"/>
    <x v="6"/>
    <s v="URSSAF"/>
    <s v="SA"/>
    <n v="-10499.19"/>
    <d v="2025-02-28T00:00:00"/>
    <s v="CSG NON DÉDUCTIBLE ET CRDS"/>
    <m/>
    <e v="#N/A"/>
    <e v="#N/A"/>
    <n v="85175"/>
    <s v="SA202502"/>
    <m/>
    <s v="Q1"/>
    <e v="#REF!"/>
    <e v="#REF!"/>
    <e v="#REF!"/>
  </r>
  <r>
    <s v="431000"/>
    <x v="6"/>
    <s v="URSSAF"/>
    <s v="SA"/>
    <n v="-9534.16"/>
    <d v="2025-04-30T00:00:00"/>
    <s v="MALADIE (COMPLÉMENT)"/>
    <m/>
    <e v="#N/A"/>
    <e v="#N/A"/>
    <n v="80309"/>
    <s v="SA202504"/>
    <m/>
    <s v="Q2"/>
    <e v="#REF!"/>
    <e v="#REF!"/>
    <e v="#REF!"/>
  </r>
  <r>
    <s v="431000"/>
    <x v="6"/>
    <s v="URSSAF"/>
    <s v="SA"/>
    <n v="-9230.16"/>
    <d v="2025-12-31T00:00:00"/>
    <s v="MALADIE (COMPLÉMENT)"/>
    <m/>
    <e v="#N/A"/>
    <e v="#N/A"/>
    <n v="92718"/>
    <s v="SA202512"/>
    <m/>
    <s v="Q4"/>
    <e v="#REF!"/>
    <e v="#REF!"/>
    <e v="#REF!"/>
  </r>
  <r>
    <s v="431000"/>
    <x v="6"/>
    <s v="URSSAF"/>
    <s v="SA"/>
    <n v="-8850.58"/>
    <d v="2025-06-30T00:00:00"/>
    <s v="MALADIE (COMPLÉMENT)"/>
    <m/>
    <e v="#N/A"/>
    <e v="#N/A"/>
    <n v="79970"/>
    <s v="SA202506"/>
    <m/>
    <s v="Q2"/>
    <e v="#REF!"/>
    <e v="#REF!"/>
    <e v="#REF!"/>
  </r>
  <r>
    <s v="431000"/>
    <x v="6"/>
    <s v="URSSAF"/>
    <s v="SA"/>
    <n v="-8809.7199999999993"/>
    <d v="2025-02-28T00:00:00"/>
    <s v="VIEILLESSE DÉPLAFONNÉE"/>
    <m/>
    <e v="#N/A"/>
    <e v="#N/A"/>
    <n v="85186"/>
    <s v="SA202502"/>
    <m/>
    <s v="Q1"/>
    <e v="#REF!"/>
    <e v="#REF!"/>
    <e v="#REF!"/>
  </r>
  <r>
    <s v="431000"/>
    <x v="6"/>
    <s v="URSSAF"/>
    <s v="SA"/>
    <n v="-8684"/>
    <d v="2025-09-30T00:00:00"/>
    <s v="MALADIE (COMPLÉMENT)"/>
    <m/>
    <e v="#N/A"/>
    <e v="#N/A"/>
    <n v="84086"/>
    <s v="SA202509"/>
    <m/>
    <s v="Q3"/>
    <e v="#REF!"/>
    <e v="#REF!"/>
    <e v="#REF!"/>
  </r>
  <r>
    <s v="431000"/>
    <x v="6"/>
    <s v="URSSAF"/>
    <s v="SA"/>
    <n v="-8670.2000000000007"/>
    <d v="2025-11-30T00:00:00"/>
    <s v="MALADIE (COMPLÉMENT)"/>
    <m/>
    <e v="#N/A"/>
    <e v="#N/A"/>
    <n v="92259"/>
    <s v="SA202511"/>
    <m/>
    <s v="Q4"/>
    <e v="#REF!"/>
    <e v="#REF!"/>
    <e v="#REF!"/>
  </r>
  <r>
    <s v="431000"/>
    <x v="6"/>
    <s v="URSSAF"/>
    <s v="SA"/>
    <n v="-8664.3799999999992"/>
    <d v="2025-10-31T00:00:00"/>
    <s v="MALADIE (COMPLÉMENT)"/>
    <m/>
    <e v="#N/A"/>
    <e v="#N/A"/>
    <n v="87750"/>
    <s v="SA202510"/>
    <m/>
    <s v="Q4"/>
    <e v="#REF!"/>
    <e v="#REF!"/>
    <e v="#REF!"/>
  </r>
  <r>
    <s v="431000"/>
    <x v="6"/>
    <s v="URSSAF"/>
    <s v="SA"/>
    <n v="-8602.41"/>
    <d v="2025-08-31T00:00:00"/>
    <s v="MALADIE (COMPLÉMENT)"/>
    <m/>
    <e v="#N/A"/>
    <e v="#N/A"/>
    <n v="83915"/>
    <s v="SA202508"/>
    <m/>
    <s v="Q3"/>
    <e v="#REF!"/>
    <e v="#REF!"/>
    <e v="#REF!"/>
  </r>
  <r>
    <s v="431000"/>
    <x v="6"/>
    <s v="URSSAF"/>
    <s v="SA"/>
    <n v="-8481.75"/>
    <d v="2025-05-31T00:00:00"/>
    <s v="MALADIE (COMPLÉMENT)"/>
    <m/>
    <e v="#N/A"/>
    <e v="#N/A"/>
    <n v="80139"/>
    <s v="SA202505"/>
    <m/>
    <s v="Q2"/>
    <e v="#REF!"/>
    <e v="#REF!"/>
    <e v="#REF!"/>
  </r>
  <r>
    <s v="431000"/>
    <x v="6"/>
    <s v="URSSAF"/>
    <s v="SA"/>
    <n v="-7538.02"/>
    <d v="2025-03-31T00:00:00"/>
    <s v="ASSURANCE CHÔMAGE TRA+TRB"/>
    <m/>
    <e v="#N/A"/>
    <e v="#N/A"/>
    <n v="80469"/>
    <s v="SA202503"/>
    <m/>
    <s v="Q1"/>
    <e v="#REF!"/>
    <e v="#REF!"/>
    <e v="#REF!"/>
  </r>
  <r>
    <s v="431000"/>
    <x v="6"/>
    <s v="URSSAF"/>
    <s v="SA"/>
    <n v="-7464.84"/>
    <d v="2025-09-30T00:00:00"/>
    <s v="MALADIE - MATERNITÉ - INVALIDITÉ - DÉCÈS - EXO PART APP"/>
    <m/>
    <e v="#N/A"/>
    <e v="#N/A"/>
    <n v="84088"/>
    <s v="SA202509"/>
    <m/>
    <s v="Q3"/>
    <e v="#REF!"/>
    <e v="#REF!"/>
    <e v="#REF!"/>
  </r>
  <r>
    <s v="431000"/>
    <x v="6"/>
    <s v="URSSAF"/>
    <s v="SA"/>
    <n v="-7450.4"/>
    <d v="2025-03-31T00:00:00"/>
    <s v="MALADIE (COMPLÉMENT)"/>
    <m/>
    <e v="#N/A"/>
    <e v="#N/A"/>
    <n v="80477"/>
    <s v="SA202503"/>
    <m/>
    <s v="Q1"/>
    <e v="#REF!"/>
    <e v="#REF!"/>
    <e v="#REF!"/>
  </r>
  <r>
    <s v="431000"/>
    <x v="6"/>
    <s v="URSSAF"/>
    <s v="SA"/>
    <n v="-7328.02"/>
    <d v="2025-10-31T00:00:00"/>
    <s v="MALADIE - MATERNITÉ - INVALIDITÉ - DÉCÈS - EXO PART APP"/>
    <m/>
    <e v="#N/A"/>
    <e v="#N/A"/>
    <n v="87752"/>
    <s v="SA202510"/>
    <m/>
    <s v="Q4"/>
    <e v="#REF!"/>
    <e v="#REF!"/>
    <e v="#REF!"/>
  </r>
  <r>
    <s v="431000"/>
    <x v="6"/>
    <s v="URSSAF"/>
    <s v="SA"/>
    <n v="-7297.7"/>
    <d v="2025-06-30T00:00:00"/>
    <s v="ASSURANCE CHÔMAGE TRA+TRB"/>
    <m/>
    <e v="#N/A"/>
    <e v="#N/A"/>
    <n v="79962"/>
    <s v="SA202506"/>
    <m/>
    <s v="Q2"/>
    <e v="#REF!"/>
    <e v="#REF!"/>
    <e v="#REF!"/>
  </r>
  <r>
    <s v="431000"/>
    <x v="6"/>
    <s v="URSSAF"/>
    <s v="SA"/>
    <n v="-7236.63"/>
    <d v="2025-01-31T00:00:00"/>
    <s v="ASSURANCE CHÔMAGE TRA+TRB"/>
    <m/>
    <e v="#N/A"/>
    <e v="#N/A"/>
    <n v="85363"/>
    <s v="SA202501"/>
    <m/>
    <s v="Q1"/>
    <e v="#REF!"/>
    <e v="#REF!"/>
    <e v="#REF!"/>
  </r>
  <r>
    <s v="431000"/>
    <x v="6"/>
    <s v="URSSAF"/>
    <s v="SA"/>
    <n v="-7225.95"/>
    <d v="2025-11-30T00:00:00"/>
    <s v="MALADIE - MATERNITÉ - INVALIDITÉ - DÉCÈS - EXO PART APP"/>
    <m/>
    <e v="#N/A"/>
    <e v="#N/A"/>
    <n v="92261"/>
    <s v="SA202511"/>
    <m/>
    <s v="Q4"/>
    <e v="#REF!"/>
    <e v="#REF!"/>
    <e v="#REF!"/>
  </r>
  <r>
    <s v="431000"/>
    <x v="6"/>
    <s v="URSSAF"/>
    <s v="SA"/>
    <n v="-7225.6"/>
    <d v="2025-12-31T00:00:00"/>
    <s v="MALADIE - MATERNITÉ - INVALIDITÉ - DÉCÈS - EXO PART APP"/>
    <m/>
    <e v="#N/A"/>
    <e v="#N/A"/>
    <n v="92720"/>
    <s v="SA202512"/>
    <m/>
    <s v="Q4"/>
    <e v="#REF!"/>
    <e v="#REF!"/>
    <e v="#REF!"/>
  </r>
  <r>
    <s v="431000"/>
    <x v="6"/>
    <s v="URSSAF"/>
    <s v="SA"/>
    <n v="-7155.33"/>
    <d v="2025-04-30T00:00:00"/>
    <s v="ASSURANCE CHÔMAGE TRA+TRB"/>
    <m/>
    <e v="#N/A"/>
    <e v="#N/A"/>
    <n v="80299"/>
    <s v="SA202504"/>
    <m/>
    <s v="Q2"/>
    <e v="#REF!"/>
    <e v="#REF!"/>
    <e v="#REF!"/>
  </r>
  <r>
    <s v="431000"/>
    <x v="6"/>
    <s v="URSSAF"/>
    <s v="SA"/>
    <n v="-7097.57"/>
    <d v="2025-07-31T00:00:00"/>
    <s v="ASSURANCE CHÔMAGE TRA+TRB"/>
    <m/>
    <e v="#N/A"/>
    <e v="#N/A"/>
    <n v="79788"/>
    <s v="SA202507"/>
    <m/>
    <s v="Q3"/>
    <e v="#REF!"/>
    <e v="#REF!"/>
    <e v="#REF!"/>
  </r>
  <r>
    <s v="431000"/>
    <x v="6"/>
    <s v="URSSAF"/>
    <s v="SA"/>
    <n v="-7018.87"/>
    <d v="2025-05-31T00:00:00"/>
    <s v="ASSURANCE CHÔMAGE TRA+TRB"/>
    <m/>
    <e v="#N/A"/>
    <e v="#N/A"/>
    <n v="80131"/>
    <s v="SA202505"/>
    <m/>
    <s v="Q2"/>
    <e v="#REF!"/>
    <e v="#REF!"/>
    <e v="#REF!"/>
  </r>
  <r>
    <s v="431000"/>
    <x v="6"/>
    <s v="URSSAF"/>
    <s v="SA"/>
    <n v="-6926.16"/>
    <d v="2025-08-31T00:00:00"/>
    <s v="ASSURANCE CHÔMAGE TRA+TRB"/>
    <m/>
    <e v="#N/A"/>
    <e v="#N/A"/>
    <n v="83907"/>
    <s v="SA202508"/>
    <m/>
    <s v="Q3"/>
    <e v="#REF!"/>
    <e v="#REF!"/>
    <e v="#REF!"/>
  </r>
  <r>
    <s v="431000"/>
    <x v="6"/>
    <s v="URSSAF"/>
    <s v="SA"/>
    <n v="-6641.35"/>
    <d v="2025-06-30T00:00:00"/>
    <s v="ALLOCATIONS FAMILIALES"/>
    <m/>
    <e v="#N/A"/>
    <e v="#N/A"/>
    <n v="79960"/>
    <s v="SA202506"/>
    <m/>
    <s v="Q2"/>
    <e v="#REF!"/>
    <e v="#REF!"/>
    <e v="#REF!"/>
  </r>
  <r>
    <s v="431000"/>
    <x v="6"/>
    <s v="URSSAF"/>
    <s v="SA"/>
    <n v="-6513.64"/>
    <d v="2025-03-31T00:00:00"/>
    <s v="ALLOCATIONS FAMILIALES"/>
    <m/>
    <e v="#N/A"/>
    <e v="#N/A"/>
    <n v="80467"/>
    <s v="SA202503"/>
    <m/>
    <s v="Q1"/>
    <e v="#REF!"/>
    <e v="#REF!"/>
    <e v="#REF!"/>
  </r>
  <r>
    <s v="431000"/>
    <x v="6"/>
    <s v="URSSAF"/>
    <s v="SA"/>
    <n v="-6511.66"/>
    <d v="2025-01-31T00:00:00"/>
    <s v="ALLOCATIONS FAMILIALES"/>
    <m/>
    <e v="#N/A"/>
    <e v="#N/A"/>
    <n v="85361"/>
    <s v="SA202501"/>
    <m/>
    <s v="Q1"/>
    <e v="#REF!"/>
    <e v="#REF!"/>
    <e v="#REF!"/>
  </r>
  <r>
    <s v="431000"/>
    <x v="6"/>
    <s v="URSSAF"/>
    <s v="SA"/>
    <n v="-6494.24"/>
    <d v="2025-01-31T00:00:00"/>
    <s v="MALADIE (COMPLÉMENT)"/>
    <m/>
    <e v="#N/A"/>
    <e v="#N/A"/>
    <n v="85371"/>
    <s v="SA202501"/>
    <m/>
    <s v="Q1"/>
    <e v="#REF!"/>
    <e v="#REF!"/>
    <e v="#REF!"/>
  </r>
  <r>
    <s v="431000"/>
    <x v="6"/>
    <s v="URSSAF"/>
    <s v="SA"/>
    <n v="-6468.72"/>
    <d v="2025-07-31T00:00:00"/>
    <s v="ALLOCATIONS FAMILIALES"/>
    <m/>
    <e v="#N/A"/>
    <e v="#N/A"/>
    <n v="79786"/>
    <s v="SA202507"/>
    <m/>
    <s v="Q3"/>
    <e v="#REF!"/>
    <e v="#REF!"/>
    <e v="#REF!"/>
  </r>
  <r>
    <s v="431000"/>
    <x v="6"/>
    <s v="URSSAF"/>
    <s v="SA"/>
    <n v="-6442.33"/>
    <d v="2025-04-30T00:00:00"/>
    <s v="ALLOCATIONS FAMILIALES"/>
    <m/>
    <e v="#N/A"/>
    <e v="#N/A"/>
    <n v="80297"/>
    <s v="SA202504"/>
    <m/>
    <s v="Q2"/>
    <e v="#REF!"/>
    <e v="#REF!"/>
    <e v="#REF!"/>
  </r>
  <r>
    <s v="431000"/>
    <x v="6"/>
    <s v="URSSAF"/>
    <s v="SA"/>
    <n v="-6400.85"/>
    <d v="2025-05-31T00:00:00"/>
    <s v="ALLOCATIONS FAMILIALES"/>
    <m/>
    <e v="#N/A"/>
    <e v="#N/A"/>
    <n v="80129"/>
    <s v="SA202505"/>
    <m/>
    <s v="Q2"/>
    <e v="#REF!"/>
    <e v="#REF!"/>
    <e v="#REF!"/>
  </r>
  <r>
    <s v="431000"/>
    <x v="6"/>
    <s v="URSSAF"/>
    <s v="SA"/>
    <n v="-6320.89"/>
    <d v="2025-08-31T00:00:00"/>
    <s v="ALLOCATIONS FAMILIALES"/>
    <m/>
    <e v="#N/A"/>
    <e v="#N/A"/>
    <n v="83905"/>
    <s v="SA202508"/>
    <m/>
    <s v="Q3"/>
    <e v="#REF!"/>
    <e v="#REF!"/>
    <e v="#REF!"/>
  </r>
  <r>
    <s v="431000"/>
    <x v="6"/>
    <s v="URSSAF"/>
    <s v="SA"/>
    <n v="-6237.2"/>
    <d v="2025-09-30T00:00:00"/>
    <s v="VIEILLESSE PLAFONNÉE - EXO PART APPRENTI"/>
    <m/>
    <e v="#N/A"/>
    <e v="#N/A"/>
    <n v="84094"/>
    <s v="SA202509"/>
    <m/>
    <s v="Q3"/>
    <e v="#REF!"/>
    <e v="#REF!"/>
    <e v="#REF!"/>
  </r>
  <r>
    <s v="431000"/>
    <x v="6"/>
    <s v="URSSAF"/>
    <s v="SA"/>
    <n v="-6002.07"/>
    <d v="2025-10-31T00:00:00"/>
    <s v="VIEILLESSE PLAFONNÉE - EXO PART APPRENTI"/>
    <m/>
    <e v="#N/A"/>
    <e v="#N/A"/>
    <n v="87758"/>
    <s v="SA202510"/>
    <m/>
    <s v="Q4"/>
    <e v="#REF!"/>
    <e v="#REF!"/>
    <e v="#REF!"/>
  </r>
  <r>
    <s v="431000"/>
    <x v="6"/>
    <s v="URSSAF"/>
    <s v="SA"/>
    <n v="-5998.24"/>
    <d v="2025-12-31T00:00:00"/>
    <s v="VIEILLESSE PLAFONNÉE - EXO PART APPRENTI"/>
    <m/>
    <e v="#N/A"/>
    <e v="#N/A"/>
    <n v="92726"/>
    <s v="SA202512"/>
    <m/>
    <s v="Q4"/>
    <e v="#REF!"/>
    <e v="#REF!"/>
    <e v="#REF!"/>
  </r>
  <r>
    <s v="431000"/>
    <x v="6"/>
    <s v="URSSAF"/>
    <s v="SA"/>
    <n v="-5997.93"/>
    <d v="2025-11-30T00:00:00"/>
    <s v="VIEILLESSE PLAFONNÉE - EXO PART APPRENTI"/>
    <m/>
    <e v="#N/A"/>
    <e v="#N/A"/>
    <n v="92267"/>
    <s v="SA202511"/>
    <m/>
    <s v="Q4"/>
    <e v="#REF!"/>
    <e v="#REF!"/>
    <e v="#REF!"/>
  </r>
  <r>
    <s v="431000"/>
    <x v="6"/>
    <s v="URSSAF"/>
    <s v="SA"/>
    <n v="-5863.73"/>
    <d v="2025-09-30T00:00:00"/>
    <s v="MALADIE - MATERNITÉ - INVALIDITÉ - DÉCÈS"/>
    <m/>
    <e v="#N/A"/>
    <e v="#N/A"/>
    <n v="84087"/>
    <s v="SA202509"/>
    <m/>
    <s v="Q3"/>
    <e v="#REF!"/>
    <e v="#REF!"/>
    <e v="#REF!"/>
  </r>
  <r>
    <s v="431000"/>
    <x v="6"/>
    <s v="URSSAF"/>
    <s v="SA"/>
    <n v="-5619.5"/>
    <d v="2025-11-30T00:00:00"/>
    <s v="MALADIE - MATERNITÉ - INVALIDITÉ - DÉCÈS"/>
    <m/>
    <e v="#N/A"/>
    <e v="#N/A"/>
    <n v="92260"/>
    <s v="SA202511"/>
    <m/>
    <s v="Q4"/>
    <e v="#REF!"/>
    <e v="#REF!"/>
    <e v="#REF!"/>
  </r>
  <r>
    <s v="431000"/>
    <x v="6"/>
    <s v="URSSAF"/>
    <s v="SA"/>
    <n v="-5538.87"/>
    <d v="2025-06-30T00:00:00"/>
    <s v="CSG NON DÉDUCTIBLE ET CRDS"/>
    <m/>
    <e v="#N/A"/>
    <e v="#N/A"/>
    <n v="79964"/>
    <s v="SA202506"/>
    <m/>
    <s v="Q2"/>
    <e v="#REF!"/>
    <e v="#REF!"/>
    <e v="#REF!"/>
  </r>
  <r>
    <s v="431000"/>
    <x v="6"/>
    <s v="URSSAF"/>
    <s v="SA"/>
    <n v="-5512.36"/>
    <d v="2025-10-31T00:00:00"/>
    <s v="MALADIE - MATERNITÉ - INVALIDITÉ - DÉCÈS"/>
    <m/>
    <e v="#N/A"/>
    <e v="#N/A"/>
    <n v="87751"/>
    <s v="SA202510"/>
    <m/>
    <s v="Q4"/>
    <e v="#REF!"/>
    <e v="#REF!"/>
    <e v="#REF!"/>
  </r>
  <r>
    <s v="431000"/>
    <x v="6"/>
    <s v="URSSAF"/>
    <s v="SA"/>
    <n v="-5480.27"/>
    <d v="2025-09-30T00:00:00"/>
    <s v="CSG NON DÉDUCTIBLE ET CRDS"/>
    <m/>
    <e v="#N/A"/>
    <e v="#N/A"/>
    <n v="84079"/>
    <s v="SA202509"/>
    <m/>
    <s v="Q3"/>
    <e v="#REF!"/>
    <e v="#REF!"/>
    <e v="#REF!"/>
  </r>
  <r>
    <s v="431000"/>
    <x v="6"/>
    <s v="URSSAF"/>
    <s v="SA"/>
    <n v="-5435.47"/>
    <d v="2025-03-31T00:00:00"/>
    <s v="CSG NON DÉDUCTIBLE ET CRDS"/>
    <m/>
    <e v="#N/A"/>
    <e v="#N/A"/>
    <n v="80471"/>
    <s v="SA202503"/>
    <m/>
    <s v="Q1"/>
    <e v="#REF!"/>
    <e v="#REF!"/>
    <e v="#REF!"/>
  </r>
  <r>
    <s v="431000"/>
    <x v="6"/>
    <s v="URSSAF"/>
    <s v="SA"/>
    <n v="-5415.18"/>
    <d v="2025-01-31T00:00:00"/>
    <s v="CSG NON DÉDUCTIBLE ET CRDS"/>
    <m/>
    <e v="#N/A"/>
    <e v="#N/A"/>
    <n v="85365"/>
    <s v="SA202501"/>
    <m/>
    <s v="Q1"/>
    <e v="#REF!"/>
    <e v="#REF!"/>
    <e v="#REF!"/>
  </r>
  <r>
    <s v="431000"/>
    <x v="6"/>
    <s v="URSSAF"/>
    <s v="SA"/>
    <n v="-5382.57"/>
    <d v="2025-04-30T00:00:00"/>
    <s v="CSG NON DÉDUCTIBLE ET CRDS"/>
    <m/>
    <e v="#N/A"/>
    <e v="#N/A"/>
    <n v="80301"/>
    <s v="SA202504"/>
    <m/>
    <s v="Q2"/>
    <e v="#REF!"/>
    <e v="#REF!"/>
    <e v="#REF!"/>
  </r>
  <r>
    <s v="431000"/>
    <x v="6"/>
    <s v="URSSAF"/>
    <s v="SA"/>
    <n v="-5373.83"/>
    <d v="2025-12-31T00:00:00"/>
    <s v="MALADIE - MATERNITÉ - INVALIDITÉ - DÉCÈS"/>
    <m/>
    <e v="#N/A"/>
    <e v="#N/A"/>
    <n v="92719"/>
    <s v="SA202512"/>
    <m/>
    <s v="Q4"/>
    <e v="#REF!"/>
    <e v="#REF!"/>
    <e v="#REF!"/>
  </r>
  <r>
    <s v="431000"/>
    <x v="6"/>
    <s v="URSSAF"/>
    <s v="SA"/>
    <n v="-5336.21"/>
    <d v="2025-05-31T00:00:00"/>
    <s v="CSG NON DÉDUCTIBLE ET CRDS"/>
    <m/>
    <e v="#N/A"/>
    <e v="#N/A"/>
    <n v="80133"/>
    <s v="SA202505"/>
    <m/>
    <s v="Q2"/>
    <e v="#REF!"/>
    <e v="#REF!"/>
    <e v="#REF!"/>
  </r>
  <r>
    <s v="431000"/>
    <x v="6"/>
    <s v="URSSAF"/>
    <s v="SA"/>
    <n v="-5321.33"/>
    <d v="2025-07-31T00:00:00"/>
    <s v="CSG NON DÉDUCTIBLE ET CRDS"/>
    <m/>
    <e v="#N/A"/>
    <e v="#N/A"/>
    <n v="79790"/>
    <s v="SA202507"/>
    <m/>
    <s v="Q3"/>
    <e v="#REF!"/>
    <e v="#REF!"/>
    <e v="#REF!"/>
  </r>
  <r>
    <s v="431000"/>
    <x v="6"/>
    <s v="URSSAF"/>
    <s v="SA"/>
    <n v="-5278.76"/>
    <d v="2025-11-30T00:00:00"/>
    <s v="CSG NON DÉDUCTIBLE ET CRDS"/>
    <m/>
    <e v="#N/A"/>
    <e v="#N/A"/>
    <n v="92252"/>
    <s v="SA202511"/>
    <m/>
    <s v="Q4"/>
    <e v="#REF!"/>
    <e v="#REF!"/>
    <e v="#REF!"/>
  </r>
  <r>
    <s v="431000"/>
    <x v="6"/>
    <s v="URSSAF"/>
    <s v="SA"/>
    <n v="-5278.68"/>
    <d v="2025-10-31T00:00:00"/>
    <s v="CSG NON DÉDUCTIBLE ET CRDS"/>
    <m/>
    <e v="#N/A"/>
    <e v="#N/A"/>
    <n v="87743"/>
    <s v="SA202510"/>
    <m/>
    <s v="Q4"/>
    <e v="#REF!"/>
    <e v="#REF!"/>
    <e v="#REF!"/>
  </r>
  <r>
    <s v="431000"/>
    <x v="6"/>
    <s v="URSSAF"/>
    <s v="SA"/>
    <n v="-5276.05"/>
    <d v="2025-08-31T00:00:00"/>
    <s v="CSG NON DÉDUCTIBLE ET CRDS"/>
    <m/>
    <e v="#N/A"/>
    <e v="#N/A"/>
    <n v="83909"/>
    <s v="SA202508"/>
    <m/>
    <s v="Q3"/>
    <e v="#REF!"/>
    <e v="#REF!"/>
    <e v="#REF!"/>
  </r>
  <r>
    <s v="431000"/>
    <x v="6"/>
    <s v="URSSAF"/>
    <s v="SA"/>
    <n v="-5174.76"/>
    <d v="2025-12-31T00:00:00"/>
    <s v="CSG NON DÉDUCTIBLE ET CRDS"/>
    <m/>
    <e v="#N/A"/>
    <e v="#N/A"/>
    <n v="92711"/>
    <s v="SA202512"/>
    <m/>
    <s v="Q4"/>
    <e v="#REF!"/>
    <e v="#REF!"/>
    <e v="#REF!"/>
  </r>
  <r>
    <s v="431000"/>
    <x v="6"/>
    <s v="URSSAF"/>
    <s v="SA"/>
    <n v="-4873.5"/>
    <d v="2025-02-28T00:00:00"/>
    <s v="ALLOCATIONS FAMILIALES (COMPLÉMENT)"/>
    <m/>
    <e v="#N/A"/>
    <e v="#N/A"/>
    <n v="85171"/>
    <s v="SA202502"/>
    <m/>
    <s v="Q1"/>
    <e v="#REF!"/>
    <e v="#REF!"/>
    <e v="#REF!"/>
  </r>
  <r>
    <s v="431000"/>
    <x v="6"/>
    <s v="URSSAF"/>
    <s v="SA"/>
    <n v="-4860"/>
    <d v="2025-02-28T00:00:00"/>
    <s v="CONTRIBUTION ART.L137-12 CSS"/>
    <m/>
    <e v="#N/A"/>
    <e v="#N/A"/>
    <n v="85176"/>
    <s v="SA202502"/>
    <m/>
    <s v="Q1"/>
    <e v="#REF!"/>
    <e v="#REF!"/>
    <e v="#REF!"/>
  </r>
  <r>
    <s v="431000"/>
    <x v="6"/>
    <s v="URSSAF"/>
    <s v="SA"/>
    <n v="-4645.9799999999996"/>
    <d v="2025-06-30T00:00:00"/>
    <s v="VIEILLESSE DÉPLAFONNÉE"/>
    <m/>
    <e v="#N/A"/>
    <e v="#N/A"/>
    <n v="79974"/>
    <s v="SA202506"/>
    <m/>
    <s v="Q2"/>
    <e v="#REF!"/>
    <e v="#REF!"/>
    <e v="#REF!"/>
  </r>
  <r>
    <s v="431000"/>
    <x v="6"/>
    <s v="URSSAF"/>
    <s v="SA"/>
    <n v="-4557.49"/>
    <d v="2025-03-31T00:00:00"/>
    <s v="VIEILLESSE DÉPLAFONNÉE"/>
    <m/>
    <e v="#N/A"/>
    <e v="#N/A"/>
    <n v="80481"/>
    <s v="SA202503"/>
    <m/>
    <s v="Q1"/>
    <e v="#REF!"/>
    <e v="#REF!"/>
    <e v="#REF!"/>
  </r>
  <r>
    <s v="431000"/>
    <x v="6"/>
    <s v="URSSAF"/>
    <s v="SA"/>
    <n v="-4555.21"/>
    <d v="2025-01-31T00:00:00"/>
    <s v="VIEILLESSE DÉPLAFONNÉE"/>
    <m/>
    <e v="#N/A"/>
    <e v="#N/A"/>
    <n v="85375"/>
    <s v="SA202501"/>
    <m/>
    <s v="Q1"/>
    <e v="#REF!"/>
    <e v="#REF!"/>
    <e v="#REF!"/>
  </r>
  <r>
    <s v="431000"/>
    <x v="6"/>
    <s v="URSSAF"/>
    <s v="SA"/>
    <n v="-4525.55"/>
    <d v="2025-07-31T00:00:00"/>
    <s v="VIEILLESSE DÉPLAFONNÉE"/>
    <m/>
    <e v="#N/A"/>
    <e v="#N/A"/>
    <n v="79800"/>
    <s v="SA202507"/>
    <m/>
    <s v="Q3"/>
    <e v="#REF!"/>
    <e v="#REF!"/>
    <e v="#REF!"/>
  </r>
  <r>
    <s v="431000"/>
    <x v="6"/>
    <s v="URSSAF"/>
    <s v="SA"/>
    <n v="-4508.09"/>
    <d v="2025-04-30T00:00:00"/>
    <s v="VIEILLESSE DÉPLAFONNÉE"/>
    <m/>
    <e v="#N/A"/>
    <e v="#N/A"/>
    <n v="80313"/>
    <s v="SA202504"/>
    <m/>
    <s v="Q2"/>
    <e v="#REF!"/>
    <e v="#REF!"/>
    <e v="#REF!"/>
  </r>
  <r>
    <s v="431000"/>
    <x v="6"/>
    <s v="URSSAF"/>
    <s v="SA"/>
    <n v="-4477.26"/>
    <d v="2025-05-31T00:00:00"/>
    <s v="VIEILLESSE DÉPLAFONNÉE"/>
    <m/>
    <e v="#N/A"/>
    <e v="#N/A"/>
    <n v="80143"/>
    <s v="SA202505"/>
    <m/>
    <s v="Q2"/>
    <e v="#REF!"/>
    <e v="#REF!"/>
    <e v="#REF!"/>
  </r>
  <r>
    <s v="431000"/>
    <x v="6"/>
    <s v="URSSAF"/>
    <s v="SA"/>
    <n v="-4424.01"/>
    <d v="2025-08-31T00:00:00"/>
    <s v="VIEILLESSE DÉPLAFONNÉE"/>
    <m/>
    <e v="#N/A"/>
    <e v="#N/A"/>
    <n v="83919"/>
    <s v="SA202508"/>
    <m/>
    <s v="Q3"/>
    <e v="#REF!"/>
    <e v="#REF!"/>
    <e v="#REF!"/>
  </r>
  <r>
    <s v="431000"/>
    <x v="6"/>
    <s v="URSSAF"/>
    <s v="SA"/>
    <n v="-3863.18"/>
    <d v="2025-09-30T00:00:00"/>
    <s v="ASSURANCE CHÔMAGE TRA+TRB - EXO PART APPRENTI"/>
    <m/>
    <e v="#N/A"/>
    <e v="#N/A"/>
    <n v="84077"/>
    <s v="SA202509"/>
    <m/>
    <s v="Q3"/>
    <e v="#REF!"/>
    <e v="#REF!"/>
    <e v="#REF!"/>
  </r>
  <r>
    <s v="431000"/>
    <x v="6"/>
    <s v="URSSAF"/>
    <s v="SA"/>
    <n v="-3785"/>
    <d v="2025-10-31T00:00:00"/>
    <s v="ASSURANCE CHÔMAGE TRA+TRB - EXO PART APPRENTI"/>
    <m/>
    <e v="#N/A"/>
    <e v="#N/A"/>
    <n v="87741"/>
    <s v="SA202510"/>
    <m/>
    <s v="Q4"/>
    <e v="#REF!"/>
    <e v="#REF!"/>
    <e v="#REF!"/>
  </r>
  <r>
    <s v="431000"/>
    <x v="6"/>
    <s v="URSSAF"/>
    <s v="SA"/>
    <n v="-3726.69"/>
    <d v="2025-11-30T00:00:00"/>
    <s v="ASSURANCE CHÔMAGE TRA+TRB - EXO PART APPRENTI"/>
    <m/>
    <e v="#N/A"/>
    <e v="#N/A"/>
    <n v="92250"/>
    <s v="SA202511"/>
    <m/>
    <s v="Q4"/>
    <e v="#REF!"/>
    <e v="#REF!"/>
    <e v="#REF!"/>
  </r>
  <r>
    <s v="431000"/>
    <x v="6"/>
    <s v="URSSAF"/>
    <s v="SA"/>
    <n v="-3726.5"/>
    <d v="2025-12-31T00:00:00"/>
    <s v="ASSURANCE CHÔMAGE TRA+TRB - EXO PART APPRENTI"/>
    <m/>
    <e v="#N/A"/>
    <e v="#N/A"/>
    <n v="92709"/>
    <s v="SA202512"/>
    <m/>
    <s v="Q4"/>
    <e v="#REF!"/>
    <e v="#REF!"/>
    <e v="#REF!"/>
  </r>
  <r>
    <s v="431000"/>
    <x v="6"/>
    <s v="URSSAF"/>
    <s v="SA"/>
    <n v="-3679.09"/>
    <d v="2025-09-30T00:00:00"/>
    <s v="ALLOCATIONS FAMILIALES - EXO PART APPRENTI"/>
    <m/>
    <e v="#N/A"/>
    <e v="#N/A"/>
    <n v="84075"/>
    <s v="SA202509"/>
    <m/>
    <s v="Q3"/>
    <e v="#REF!"/>
    <e v="#REF!"/>
    <e v="#REF!"/>
  </r>
  <r>
    <s v="431000"/>
    <x v="6"/>
    <s v="URSSAF"/>
    <s v="SA"/>
    <n v="-3611.67"/>
    <d v="2025-10-31T00:00:00"/>
    <s v="ALLOCATIONS FAMILIALES - EXO PART APPRENTI"/>
    <m/>
    <e v="#N/A"/>
    <e v="#N/A"/>
    <n v="87739"/>
    <s v="SA202510"/>
    <m/>
    <s v="Q4"/>
    <e v="#REF!"/>
    <e v="#REF!"/>
    <e v="#REF!"/>
  </r>
  <r>
    <s v="431000"/>
    <x v="6"/>
    <s v="URSSAF"/>
    <s v="SA"/>
    <n v="-3561.34"/>
    <d v="2025-11-30T00:00:00"/>
    <s v="ALLOCATIONS FAMILIALES - EXO PART APPRENTI"/>
    <m/>
    <e v="#N/A"/>
    <e v="#N/A"/>
    <n v="92248"/>
    <s v="SA202511"/>
    <m/>
    <s v="Q4"/>
    <e v="#REF!"/>
    <e v="#REF!"/>
    <e v="#REF!"/>
  </r>
  <r>
    <s v="431000"/>
    <x v="6"/>
    <s v="URSSAF"/>
    <s v="SA"/>
    <n v="-3561.18"/>
    <d v="2025-12-31T00:00:00"/>
    <s v="ALLOCATIONS FAMILIALES - EXO PART APPRENTI"/>
    <m/>
    <e v="#N/A"/>
    <e v="#N/A"/>
    <n v="92707"/>
    <s v="SA202512"/>
    <m/>
    <s v="Q4"/>
    <e v="#REF!"/>
    <e v="#REF!"/>
    <e v="#REF!"/>
  </r>
  <r>
    <s v="431000"/>
    <x v="6"/>
    <s v="URSSAF"/>
    <s v="SA"/>
    <n v="-3350.73"/>
    <d v="2025-09-30T00:00:00"/>
    <s v="ASSURANCE CHÔMAGE TRA+TRB"/>
    <m/>
    <e v="#N/A"/>
    <e v="#N/A"/>
    <n v="84076"/>
    <s v="SA202509"/>
    <m/>
    <s v="Q3"/>
    <e v="#REF!"/>
    <e v="#REF!"/>
    <e v="#REF!"/>
  </r>
  <r>
    <s v="431000"/>
    <x v="6"/>
    <s v="URSSAF"/>
    <s v="SA"/>
    <n v="-3211.14"/>
    <d v="2025-11-30T00:00:00"/>
    <s v="ASSURANCE CHÔMAGE TRA+TRB"/>
    <m/>
    <e v="#N/A"/>
    <e v="#N/A"/>
    <n v="92249"/>
    <s v="SA202511"/>
    <m/>
    <s v="Q4"/>
    <e v="#REF!"/>
    <e v="#REF!"/>
    <e v="#REF!"/>
  </r>
  <r>
    <s v="431000"/>
    <x v="6"/>
    <s v="URSSAF"/>
    <s v="SA"/>
    <n v="-3149.95"/>
    <d v="2025-10-31T00:00:00"/>
    <s v="ASSURANCE CHÔMAGE TRA+TRB"/>
    <m/>
    <e v="#N/A"/>
    <e v="#N/A"/>
    <n v="87740"/>
    <s v="SA202510"/>
    <m/>
    <s v="Q4"/>
    <e v="#REF!"/>
    <e v="#REF!"/>
    <e v="#REF!"/>
  </r>
  <r>
    <s v="431000"/>
    <x v="6"/>
    <s v="URSSAF"/>
    <s v="SA"/>
    <n v="-3070.78"/>
    <d v="2025-12-31T00:00:00"/>
    <s v="ASSURANCE CHÔMAGE TRA+TRB"/>
    <m/>
    <e v="#N/A"/>
    <e v="#N/A"/>
    <n v="92708"/>
    <s v="SA202512"/>
    <m/>
    <s v="Q4"/>
    <e v="#REF!"/>
    <e v="#REF!"/>
    <e v="#REF!"/>
  </r>
  <r>
    <s v="431000"/>
    <x v="6"/>
    <s v="URSSAF"/>
    <s v="SA"/>
    <n v="-2952.76"/>
    <d v="2025-02-28T00:00:00"/>
    <s v="ACCIDENT DU TRAVAIL"/>
    <m/>
    <e v="#N/A"/>
    <e v="#N/A"/>
    <n v="85169"/>
    <s v="SA202502"/>
    <m/>
    <s v="Q1"/>
    <e v="#REF!"/>
    <e v="#REF!"/>
    <e v="#REF!"/>
  </r>
  <r>
    <s v="431000"/>
    <x v="6"/>
    <s v="URSSAF"/>
    <s v="SA"/>
    <n v="-2889.97"/>
    <d v="2025-09-30T00:00:00"/>
    <s v="ALLOCATIONS FAMILIALES"/>
    <m/>
    <e v="#N/A"/>
    <e v="#N/A"/>
    <n v="84073"/>
    <s v="SA202509"/>
    <m/>
    <s v="Q3"/>
    <e v="#REF!"/>
    <e v="#REF!"/>
    <e v="#REF!"/>
  </r>
  <r>
    <s v="431000"/>
    <x v="6"/>
    <s v="URSSAF"/>
    <s v="SA"/>
    <n v="-2769.59"/>
    <d v="2025-11-30T00:00:00"/>
    <s v="ALLOCATIONS FAMILIALES"/>
    <m/>
    <e v="#N/A"/>
    <e v="#N/A"/>
    <n v="92246"/>
    <s v="SA202511"/>
    <m/>
    <s v="Q4"/>
    <e v="#REF!"/>
    <e v="#REF!"/>
    <e v="#REF!"/>
  </r>
  <r>
    <s v="431000"/>
    <x v="6"/>
    <s v="URSSAF"/>
    <s v="SA"/>
    <n v="-2716.78"/>
    <d v="2025-10-31T00:00:00"/>
    <s v="ALLOCATIONS FAMILIALES"/>
    <m/>
    <e v="#N/A"/>
    <e v="#N/A"/>
    <n v="87737"/>
    <s v="SA202510"/>
    <m/>
    <s v="Q4"/>
    <e v="#REF!"/>
    <e v="#REF!"/>
    <e v="#REF!"/>
  </r>
  <r>
    <s v="431000"/>
    <x v="6"/>
    <s v="URSSAF"/>
    <s v="SA"/>
    <n v="-2648.51"/>
    <d v="2025-12-31T00:00:00"/>
    <s v="ALLOCATIONS FAMILIALES"/>
    <m/>
    <e v="#N/A"/>
    <e v="#N/A"/>
    <n v="92705"/>
    <s v="SA202512"/>
    <m/>
    <s v="Q4"/>
    <e v="#REF!"/>
    <e v="#REF!"/>
    <e v="#REF!"/>
  </r>
  <r>
    <s v="431000"/>
    <x v="6"/>
    <s v="URSSAF"/>
    <s v="SA"/>
    <n v="-2442.96"/>
    <d v="2025-09-30T00:00:00"/>
    <s v="VIEILLESSE DÉPLAFONNÉE"/>
    <m/>
    <e v="#N/A"/>
    <e v="#N/A"/>
    <n v="84091"/>
    <s v="SA202509"/>
    <m/>
    <s v="Q3"/>
    <e v="#REF!"/>
    <e v="#REF!"/>
    <e v="#REF!"/>
  </r>
  <r>
    <s v="431000"/>
    <x v="6"/>
    <s v="URSSAF"/>
    <s v="SA"/>
    <n v="-2344.84"/>
    <d v="2025-11-30T00:00:00"/>
    <s v="VIEILLESSE DÉPLAFONNÉE"/>
    <m/>
    <e v="#N/A"/>
    <e v="#N/A"/>
    <n v="92264"/>
    <s v="SA202511"/>
    <m/>
    <s v="Q4"/>
    <e v="#REF!"/>
    <e v="#REF!"/>
    <e v="#REF!"/>
  </r>
  <r>
    <s v="431000"/>
    <x v="6"/>
    <s v="URSSAF"/>
    <s v="SA"/>
    <n v="-2313.66"/>
    <d v="2025-10-31T00:00:00"/>
    <s v="VIEILLESSE DÉPLAFONNÉE"/>
    <m/>
    <e v="#N/A"/>
    <e v="#N/A"/>
    <n v="87755"/>
    <s v="SA202510"/>
    <m/>
    <s v="Q4"/>
    <e v="#REF!"/>
    <e v="#REF!"/>
    <e v="#REF!"/>
  </r>
  <r>
    <s v="431000"/>
    <x v="6"/>
    <s v="URSSAF"/>
    <s v="SA"/>
    <n v="-2259.9299999999998"/>
    <d v="2025-12-31T00:00:00"/>
    <s v="VIEILLESSE DÉPLAFONNÉE"/>
    <m/>
    <e v="#N/A"/>
    <e v="#N/A"/>
    <n v="92723"/>
    <s v="SA202512"/>
    <m/>
    <s v="Q4"/>
    <e v="#REF!"/>
    <e v="#REF!"/>
    <e v="#REF!"/>
  </r>
  <r>
    <s v="431000"/>
    <x v="6"/>
    <s v="URSSAF"/>
    <s v="SA"/>
    <n v="-2154.16"/>
    <d v="2025-09-30T00:00:00"/>
    <s v="VIEILLESSE DÉPLAFONNÉE - EXO PART APPRENTI"/>
    <m/>
    <e v="#N/A"/>
    <e v="#N/A"/>
    <n v="84092"/>
    <s v="SA202509"/>
    <m/>
    <s v="Q3"/>
    <e v="#REF!"/>
    <e v="#REF!"/>
    <e v="#REF!"/>
  </r>
  <r>
    <s v="431000"/>
    <x v="6"/>
    <s v="URSSAF"/>
    <s v="SA"/>
    <n v="-2150.77"/>
    <d v="2025-02-28T00:00:00"/>
    <s v="TAXE D'APPRENTISSAGE"/>
    <m/>
    <e v="#N/A"/>
    <e v="#N/A"/>
    <n v="85185"/>
    <s v="SA202502"/>
    <m/>
    <s v="Q1"/>
    <e v="#REF!"/>
    <e v="#REF!"/>
    <e v="#REF!"/>
  </r>
  <r>
    <s v="431000"/>
    <x v="6"/>
    <s v="URSSAF"/>
    <s v="SA"/>
    <n v="-2114.67"/>
    <d v="2025-10-31T00:00:00"/>
    <s v="VIEILLESSE DÉPLAFONNÉE - EXO PART APPRENTI"/>
    <m/>
    <e v="#N/A"/>
    <e v="#N/A"/>
    <n v="87756"/>
    <s v="SA202510"/>
    <m/>
    <s v="Q4"/>
    <e v="#REF!"/>
    <e v="#REF!"/>
    <e v="#REF!"/>
  </r>
  <r>
    <s v="431000"/>
    <x v="6"/>
    <s v="URSSAF"/>
    <s v="SA"/>
    <n v="-2085.1999999999998"/>
    <d v="2025-11-30T00:00:00"/>
    <s v="VIEILLESSE DÉPLAFONNÉE - EXO PART APPRENTI"/>
    <m/>
    <e v="#N/A"/>
    <e v="#N/A"/>
    <n v="92265"/>
    <s v="SA202511"/>
    <m/>
    <s v="Q4"/>
    <e v="#REF!"/>
    <e v="#REF!"/>
    <e v="#REF!"/>
  </r>
  <r>
    <s v="431000"/>
    <x v="6"/>
    <s v="URSSAF"/>
    <s v="SA"/>
    <n v="-2085.14"/>
    <d v="2025-12-31T00:00:00"/>
    <s v="VIEILLESSE DÉPLAFONNÉE - EXO PART APPRENTI"/>
    <m/>
    <e v="#N/A"/>
    <e v="#N/A"/>
    <n v="92724"/>
    <s v="SA202512"/>
    <m/>
    <s v="Q4"/>
    <e v="#REF!"/>
    <e v="#REF!"/>
    <e v="#REF!"/>
  </r>
  <r>
    <s v="431000"/>
    <x v="6"/>
    <s v="URSSAF"/>
    <s v="SA"/>
    <n v="-2004.93"/>
    <d v="2025-02-28T00:00:00"/>
    <s v="CONTRIBUTION FORMATION PROF. (LÉGAL)"/>
    <m/>
    <e v="#N/A"/>
    <e v="#N/A"/>
    <n v="85180"/>
    <s v="SA202502"/>
    <m/>
    <s v="Q1"/>
    <e v="#REF!"/>
    <e v="#REF!"/>
    <e v="#REF!"/>
  </r>
  <r>
    <s v="431000"/>
    <x v="6"/>
    <s v="URSSAF"/>
    <s v="SA"/>
    <n v="-1810.05"/>
    <d v="2025-06-30T00:00:00"/>
    <s v="ALLOCATIONS FAMILIALES (COMPLÉMENT)"/>
    <m/>
    <e v="#N/A"/>
    <e v="#N/A"/>
    <n v="79961"/>
    <s v="SA202506"/>
    <m/>
    <s v="Q2"/>
    <e v="#REF!"/>
    <e v="#REF!"/>
    <e v="#REF!"/>
  </r>
  <r>
    <s v="431000"/>
    <x v="6"/>
    <s v="URSSAF"/>
    <s v="SA"/>
    <n v="-1713.27"/>
    <d v="2025-06-30T00:00:00"/>
    <s v="ACCIDENT DU TRAVAIL"/>
    <m/>
    <e v="#N/A"/>
    <e v="#N/A"/>
    <n v="79959"/>
    <s v="SA202506"/>
    <m/>
    <s v="Q2"/>
    <e v="#REF!"/>
    <e v="#REF!"/>
    <e v="#REF!"/>
  </r>
  <r>
    <s v="431000"/>
    <x v="6"/>
    <s v="URSSAF"/>
    <s v="SA"/>
    <n v="-1668.75"/>
    <d v="2025-07-31T00:00:00"/>
    <s v="ACCIDENT DU TRAVAIL"/>
    <m/>
    <e v="#N/A"/>
    <e v="#N/A"/>
    <n v="79785"/>
    <s v="SA202507"/>
    <m/>
    <s v="Q3"/>
    <e v="#REF!"/>
    <e v="#REF!"/>
    <e v="#REF!"/>
  </r>
  <r>
    <s v="431000"/>
    <x v="6"/>
    <s v="URSSAF"/>
    <s v="SA"/>
    <n v="-1651.22"/>
    <d v="2025-05-31T00:00:00"/>
    <s v="ACCIDENT DU TRAVAIL"/>
    <m/>
    <e v="#N/A"/>
    <e v="#N/A"/>
    <n v="80128"/>
    <s v="SA202505"/>
    <m/>
    <s v="Q2"/>
    <e v="#REF!"/>
    <e v="#REF!"/>
    <e v="#REF!"/>
  </r>
  <r>
    <s v="431000"/>
    <x v="6"/>
    <s v="URSSAF"/>
    <s v="SA"/>
    <n v="-1630.61"/>
    <d v="2025-08-31T00:00:00"/>
    <s v="ACCIDENT DU TRAVAIL"/>
    <m/>
    <e v="#N/A"/>
    <e v="#N/A"/>
    <n v="83904"/>
    <s v="SA202508"/>
    <m/>
    <s v="Q3"/>
    <e v="#REF!"/>
    <e v="#REF!"/>
    <e v="#REF!"/>
  </r>
  <r>
    <s v="431000"/>
    <x v="6"/>
    <s v="URSSAF"/>
    <s v="SA"/>
    <n v="-1529.28"/>
    <d v="2025-03-31T00:00:00"/>
    <s v="ACCIDENT DU TRAVAIL"/>
    <m/>
    <e v="#N/A"/>
    <e v="#N/A"/>
    <n v="80466"/>
    <s v="SA202503"/>
    <m/>
    <s v="Q1"/>
    <e v="#REF!"/>
    <e v="#REF!"/>
    <e v="#REF!"/>
  </r>
  <r>
    <s v="431000"/>
    <x v="6"/>
    <s v="URSSAF"/>
    <s v="SA"/>
    <n v="-1528.84"/>
    <d v="2025-01-31T00:00:00"/>
    <s v="ACCIDENT DU TRAVAIL"/>
    <m/>
    <e v="#N/A"/>
    <e v="#N/A"/>
    <n v="85360"/>
    <s v="SA202501"/>
    <m/>
    <s v="Q1"/>
    <e v="#REF!"/>
    <e v="#REF!"/>
    <e v="#REF!"/>
  </r>
  <r>
    <s v="431000"/>
    <x v="6"/>
    <s v="URSSAF"/>
    <s v="SA"/>
    <n v="-1512.55"/>
    <d v="2025-04-30T00:00:00"/>
    <s v="ACCIDENT DU TRAVAIL"/>
    <m/>
    <e v="#N/A"/>
    <e v="#N/A"/>
    <n v="80296"/>
    <s v="SA202504"/>
    <m/>
    <s v="Q2"/>
    <e v="#REF!"/>
    <e v="#REF!"/>
    <e v="#REF!"/>
  </r>
  <r>
    <s v="431000"/>
    <x v="6"/>
    <s v="URSSAF"/>
    <s v="SA"/>
    <n v="-1282.1600000000001"/>
    <d v="2025-10-31T00:00:00"/>
    <s v="ALLOCATIONS FAMILIALES (COMPLÉMENT)"/>
    <m/>
    <e v="#N/A"/>
    <e v="#N/A"/>
    <n v="87738"/>
    <s v="SA202510"/>
    <m/>
    <s v="Q4"/>
    <e v="#REF!"/>
    <e v="#REF!"/>
    <e v="#REF!"/>
  </r>
  <r>
    <s v="431000"/>
    <x v="6"/>
    <s v="URSSAF"/>
    <s v="SA"/>
    <n v="-1257.51"/>
    <d v="2025-09-30T00:00:00"/>
    <s v="ALLOCATIONS FAMILIALES (COMPLÉMENT)"/>
    <m/>
    <e v="#N/A"/>
    <e v="#N/A"/>
    <n v="84074"/>
    <s v="SA202509"/>
    <m/>
    <s v="Q3"/>
    <e v="#REF!"/>
    <e v="#REF!"/>
    <e v="#REF!"/>
  </r>
  <r>
    <s v="431000"/>
    <x v="6"/>
    <s v="URSSAF"/>
    <s v="SA"/>
    <n v="-1255.79"/>
    <d v="2025-12-31T00:00:00"/>
    <s v="ALLOCATIONS FAMILIALES (COMPLÉMENT)"/>
    <m/>
    <e v="#N/A"/>
    <e v="#N/A"/>
    <n v="92706"/>
    <s v="SA202512"/>
    <m/>
    <s v="Q4"/>
    <e v="#REF!"/>
    <e v="#REF!"/>
    <e v="#REF!"/>
  </r>
  <r>
    <s v="431000"/>
    <x v="6"/>
    <s v="URSSAF"/>
    <s v="SA"/>
    <n v="-1255.3399999999999"/>
    <d v="2025-11-30T00:00:00"/>
    <s v="ALLOCATIONS FAMILIALES (COMPLÉMENT)"/>
    <m/>
    <e v="#N/A"/>
    <e v="#N/A"/>
    <n v="92247"/>
    <s v="SA202511"/>
    <m/>
    <s v="Q4"/>
    <e v="#REF!"/>
    <e v="#REF!"/>
    <e v="#REF!"/>
  </r>
  <r>
    <s v="431000"/>
    <x v="6"/>
    <s v="URSSAF"/>
    <s v="SA"/>
    <n v="-1241.44"/>
    <d v="2025-07-31T00:00:00"/>
    <s v="ALLOCATIONS FAMILIALES (COMPLÉMENT)"/>
    <m/>
    <e v="#N/A"/>
    <e v="#N/A"/>
    <n v="79787"/>
    <s v="SA202507"/>
    <m/>
    <s v="Q3"/>
    <e v="#REF!"/>
    <e v="#REF!"/>
    <e v="#REF!"/>
  </r>
  <r>
    <s v="431000"/>
    <x v="6"/>
    <s v="URSSAF"/>
    <s v="SA"/>
    <n v="-1234.8"/>
    <d v="2025-05-31T00:00:00"/>
    <s v="ALLOCATIONS FAMILIALES (COMPLÉMENT)"/>
    <m/>
    <e v="#N/A"/>
    <e v="#N/A"/>
    <n v="80130"/>
    <s v="SA202505"/>
    <m/>
    <s v="Q2"/>
    <e v="#REF!"/>
    <e v="#REF!"/>
    <e v="#REF!"/>
  </r>
  <r>
    <s v="431000"/>
    <x v="6"/>
    <s v="URSSAF"/>
    <s v="SA"/>
    <n v="-1135.8"/>
    <d v="2025-06-30T00:00:00"/>
    <s v="TAXE D'APPRENTISSAGE"/>
    <m/>
    <e v="#N/A"/>
    <e v="#N/A"/>
    <n v="79973"/>
    <s v="SA202506"/>
    <m/>
    <s v="Q2"/>
    <e v="#REF!"/>
    <e v="#REF!"/>
    <e v="#REF!"/>
  </r>
  <r>
    <s v="431000"/>
    <x v="6"/>
    <s v="URSSAF"/>
    <s v="SA"/>
    <n v="-1123.43"/>
    <d v="2025-09-30T00:00:00"/>
    <s v="TAXE D'APPRENTISSAGE"/>
    <m/>
    <e v="#N/A"/>
    <e v="#N/A"/>
    <n v="84090"/>
    <s v="SA202509"/>
    <m/>
    <s v="Q3"/>
    <e v="#REF!"/>
    <e v="#REF!"/>
    <e v="#REF!"/>
  </r>
  <r>
    <s v="431000"/>
    <x v="6"/>
    <s v="URSSAF"/>
    <s v="SA"/>
    <n v="-1113.95"/>
    <d v="2025-03-31T00:00:00"/>
    <s v="TAXE D'APPRENTISSAGE"/>
    <m/>
    <e v="#N/A"/>
    <e v="#N/A"/>
    <n v="80480"/>
    <s v="SA202503"/>
    <m/>
    <s v="Q1"/>
    <e v="#REF!"/>
    <e v="#REF!"/>
    <e v="#REF!"/>
  </r>
  <r>
    <s v="431000"/>
    <x v="6"/>
    <s v="URSSAF"/>
    <s v="SA"/>
    <n v="-1113.56"/>
    <d v="2025-01-31T00:00:00"/>
    <s v="TAXE D'APPRENTISSAGE"/>
    <m/>
    <e v="#N/A"/>
    <e v="#N/A"/>
    <n v="85374"/>
    <s v="SA202501"/>
    <m/>
    <s v="Q1"/>
    <e v="#REF!"/>
    <e v="#REF!"/>
    <e v="#REF!"/>
  </r>
  <r>
    <s v="431000"/>
    <x v="6"/>
    <s v="URSSAF"/>
    <s v="SA"/>
    <n v="-1106.27"/>
    <d v="2025-07-31T00:00:00"/>
    <s v="TAXE D'APPRENTISSAGE"/>
    <m/>
    <e v="#N/A"/>
    <e v="#N/A"/>
    <n v="79799"/>
    <s v="SA202507"/>
    <m/>
    <s v="Q3"/>
    <e v="#REF!"/>
    <e v="#REF!"/>
    <e v="#REF!"/>
  </r>
  <r>
    <s v="431000"/>
    <x v="6"/>
    <s v="URSSAF"/>
    <s v="SA"/>
    <n v="-1101.75"/>
    <d v="2025-04-30T00:00:00"/>
    <s v="TAXE D'APPRENTISSAGE"/>
    <m/>
    <e v="#N/A"/>
    <e v="#N/A"/>
    <n v="80312"/>
    <s v="SA202504"/>
    <m/>
    <s v="Q2"/>
    <e v="#REF!"/>
    <e v="#REF!"/>
    <e v="#REF!"/>
  </r>
  <r>
    <s v="431000"/>
    <x v="6"/>
    <s v="URSSAF"/>
    <s v="SA"/>
    <n v="-1094.6600000000001"/>
    <d v="2025-05-31T00:00:00"/>
    <s v="TAXE D'APPRENTISSAGE"/>
    <m/>
    <e v="#N/A"/>
    <e v="#N/A"/>
    <n v="80142"/>
    <s v="SA202505"/>
    <m/>
    <s v="Q2"/>
    <e v="#REF!"/>
    <e v="#REF!"/>
    <e v="#REF!"/>
  </r>
  <r>
    <s v="431000"/>
    <x v="6"/>
    <s v="URSSAF"/>
    <s v="SA"/>
    <n v="-1093.6400000000001"/>
    <d v="2025-02-28T00:00:00"/>
    <s v="CONTRIBUTION SOLIDARITÉ AUTONOMIE"/>
    <m/>
    <e v="#N/A"/>
    <e v="#N/A"/>
    <n v="85178"/>
    <s v="SA202502"/>
    <m/>
    <s v="Q1"/>
    <e v="#REF!"/>
    <e v="#REF!"/>
    <e v="#REF!"/>
  </r>
  <r>
    <s v="431000"/>
    <x v="6"/>
    <s v="URSSAF"/>
    <s v="SA"/>
    <n v="-1085.6199999999999"/>
    <d v="2025-01-31T00:00:00"/>
    <s v="ALLOCATIONS FAMILIALES (COMPLÉMENT)"/>
    <m/>
    <e v="#N/A"/>
    <e v="#N/A"/>
    <n v="85362"/>
    <s v="SA202501"/>
    <m/>
    <s v="Q1"/>
    <e v="#REF!"/>
    <e v="#REF!"/>
    <e v="#REF!"/>
  </r>
  <r>
    <s v="431000"/>
    <x v="6"/>
    <s v="URSSAF"/>
    <s v="SA"/>
    <n v="-1082.68"/>
    <d v="2025-11-30T00:00:00"/>
    <s v="TAXE D'APPRENTISSAGE"/>
    <m/>
    <e v="#N/A"/>
    <e v="#N/A"/>
    <n v="92263"/>
    <s v="SA202511"/>
    <m/>
    <s v="Q4"/>
    <e v="#REF!"/>
    <e v="#REF!"/>
    <e v="#REF!"/>
  </r>
  <r>
    <s v="431000"/>
    <x v="6"/>
    <s v="URSSAF"/>
    <s v="SA"/>
    <n v="-1082.26"/>
    <d v="2025-10-31T00:00:00"/>
    <s v="TAXE D'APPRENTISSAGE"/>
    <m/>
    <e v="#N/A"/>
    <e v="#N/A"/>
    <n v="87754"/>
    <s v="SA202510"/>
    <m/>
    <s v="Q4"/>
    <e v="#REF!"/>
    <e v="#REF!"/>
    <e v="#REF!"/>
  </r>
  <r>
    <s v="431000"/>
    <x v="6"/>
    <s v="URSSAF"/>
    <s v="SA"/>
    <n v="-1080.97"/>
    <d v="2025-08-31T00:00:00"/>
    <s v="TAXE D'APPRENTISSAGE"/>
    <m/>
    <e v="#N/A"/>
    <e v="#N/A"/>
    <n v="83918"/>
    <s v="SA202508"/>
    <m/>
    <s v="Q3"/>
    <e v="#REF!"/>
    <e v="#REF!"/>
    <e v="#REF!"/>
  </r>
  <r>
    <s v="431000"/>
    <x v="6"/>
    <s v="URSSAF"/>
    <s v="SA"/>
    <n v="-1061.94"/>
    <d v="2025-12-31T00:00:00"/>
    <s v="TAXE D'APPRENTISSAGE"/>
    <m/>
    <e v="#N/A"/>
    <e v="#N/A"/>
    <n v="92722"/>
    <s v="SA202512"/>
    <m/>
    <s v="Q4"/>
    <e v="#REF!"/>
    <e v="#REF!"/>
    <e v="#REF!"/>
  </r>
  <r>
    <s v="431000"/>
    <x v="6"/>
    <s v="URSSAF"/>
    <s v="SA"/>
    <n v="-1058.77"/>
    <d v="2025-06-30T00:00:00"/>
    <s v="CONTRIBUTION FORMATION PROF. (LÉGAL)"/>
    <m/>
    <e v="#N/A"/>
    <e v="#N/A"/>
    <n v="79968"/>
    <s v="SA202506"/>
    <m/>
    <s v="Q2"/>
    <e v="#REF!"/>
    <e v="#REF!"/>
    <e v="#REF!"/>
  </r>
  <r>
    <s v="431000"/>
    <x v="6"/>
    <s v="URSSAF"/>
    <s v="SA"/>
    <n v="-1047.26"/>
    <d v="2025-09-30T00:00:00"/>
    <s v="CONTRIBUTION FORMATION PROF. (LÉGAL)"/>
    <m/>
    <e v="#N/A"/>
    <e v="#N/A"/>
    <n v="84084"/>
    <s v="SA202509"/>
    <m/>
    <s v="Q3"/>
    <e v="#REF!"/>
    <e v="#REF!"/>
    <e v="#REF!"/>
  </r>
  <r>
    <s v="431000"/>
    <x v="6"/>
    <s v="URSSAF"/>
    <s v="SA"/>
    <n v="-1038.43"/>
    <d v="2025-03-31T00:00:00"/>
    <s v="CONTRIBUTION FORMATION PROF. (LÉGAL)"/>
    <m/>
    <e v="#N/A"/>
    <e v="#N/A"/>
    <n v="80475"/>
    <s v="SA202503"/>
    <m/>
    <s v="Q1"/>
    <e v="#REF!"/>
    <e v="#REF!"/>
    <e v="#REF!"/>
  </r>
  <r>
    <s v="431000"/>
    <x v="6"/>
    <s v="URSSAF"/>
    <s v="SA"/>
    <n v="-1038.06"/>
    <d v="2025-01-31T00:00:00"/>
    <s v="CONTRIBUTION FORMATION PROF. (LÉGAL)"/>
    <m/>
    <e v="#N/A"/>
    <e v="#N/A"/>
    <n v="85369"/>
    <s v="SA202501"/>
    <m/>
    <s v="Q1"/>
    <e v="#REF!"/>
    <e v="#REF!"/>
    <e v="#REF!"/>
  </r>
  <r>
    <s v="431000"/>
    <x v="6"/>
    <s v="URSSAF"/>
    <s v="SA"/>
    <n v="-1031.28"/>
    <d v="2025-07-31T00:00:00"/>
    <s v="CONTRIBUTION FORMATION PROF. (LÉGAL)"/>
    <m/>
    <e v="#N/A"/>
    <e v="#N/A"/>
    <n v="79794"/>
    <s v="SA202507"/>
    <m/>
    <s v="Q3"/>
    <e v="#REF!"/>
    <e v="#REF!"/>
    <e v="#REF!"/>
  </r>
  <r>
    <s v="431000"/>
    <x v="6"/>
    <s v="URSSAF"/>
    <s v="SA"/>
    <n v="-1027.07"/>
    <d v="2025-04-30T00:00:00"/>
    <s v="CONTRIBUTION FORMATION PROF. (LÉGAL)"/>
    <m/>
    <e v="#N/A"/>
    <e v="#N/A"/>
    <n v="80305"/>
    <s v="SA202504"/>
    <m/>
    <s v="Q2"/>
    <e v="#REF!"/>
    <e v="#REF!"/>
    <e v="#REF!"/>
  </r>
  <r>
    <s v="431000"/>
    <x v="6"/>
    <s v="URSSAF"/>
    <s v="SA"/>
    <n v="-1020.42"/>
    <d v="2025-05-31T00:00:00"/>
    <s v="CONTRIBUTION FORMATION PROF. (LÉGAL)"/>
    <m/>
    <e v="#N/A"/>
    <e v="#N/A"/>
    <n v="80137"/>
    <s v="SA202505"/>
    <m/>
    <s v="Q2"/>
    <e v="#REF!"/>
    <e v="#REF!"/>
    <e v="#REF!"/>
  </r>
  <r>
    <s v="431000"/>
    <x v="6"/>
    <s v="URSSAF"/>
    <s v="SA"/>
    <n v="-1009.28"/>
    <d v="2025-11-30T00:00:00"/>
    <s v="CONTRIBUTION FORMATION PROF. (LÉGAL)"/>
    <m/>
    <e v="#N/A"/>
    <e v="#N/A"/>
    <n v="92257"/>
    <s v="SA202511"/>
    <m/>
    <s v="Q4"/>
    <e v="#REF!"/>
    <e v="#REF!"/>
    <e v="#REF!"/>
  </r>
  <r>
    <s v="431000"/>
    <x v="6"/>
    <s v="URSSAF"/>
    <s v="SA"/>
    <n v="-1008.9"/>
    <d v="2025-10-31T00:00:00"/>
    <s v="CONTRIBUTION FORMATION PROF. (LÉGAL)"/>
    <m/>
    <e v="#N/A"/>
    <e v="#N/A"/>
    <n v="87748"/>
    <s v="SA202510"/>
    <m/>
    <s v="Q4"/>
    <e v="#REF!"/>
    <e v="#REF!"/>
    <e v="#REF!"/>
  </r>
  <r>
    <s v="431000"/>
    <x v="6"/>
    <s v="URSSAF"/>
    <s v="SA"/>
    <n v="-1007.7"/>
    <d v="2025-08-31T00:00:00"/>
    <s v="CONTRIBUTION FORMATION PROF. (LÉGAL)"/>
    <m/>
    <e v="#N/A"/>
    <e v="#N/A"/>
    <n v="83913"/>
    <s v="SA202508"/>
    <m/>
    <s v="Q3"/>
    <e v="#REF!"/>
    <e v="#REF!"/>
    <e v="#REF!"/>
  </r>
  <r>
    <s v="431000"/>
    <x v="6"/>
    <s v="URSSAF"/>
    <s v="SA"/>
    <n v="-989.97"/>
    <d v="2025-12-31T00:00:00"/>
    <s v="CONTRIBUTION FORMATION PROF. (LÉGAL)"/>
    <m/>
    <e v="#N/A"/>
    <e v="#N/A"/>
    <n v="92716"/>
    <s v="SA202512"/>
    <m/>
    <s v="Q4"/>
    <e v="#REF!"/>
    <e v="#REF!"/>
    <e v="#REF!"/>
  </r>
  <r>
    <s v="431000"/>
    <x v="6"/>
    <s v="URSSAF"/>
    <s v="SA"/>
    <n v="-949.09"/>
    <d v="2025-09-30T00:00:00"/>
    <s v="ACCIDENT DU TRAVAIL - EXO PART APPRENTI"/>
    <m/>
    <e v="#N/A"/>
    <e v="#N/A"/>
    <n v="84072"/>
    <s v="SA202509"/>
    <m/>
    <s v="Q3"/>
    <e v="#REF!"/>
    <e v="#REF!"/>
    <e v="#REF!"/>
  </r>
  <r>
    <s v="431000"/>
    <x v="6"/>
    <s v="URSSAF"/>
    <s v="SA"/>
    <n v="-931.7"/>
    <d v="2025-10-31T00:00:00"/>
    <s v="ACCIDENT DU TRAVAIL - EXO PART APPRENTI"/>
    <m/>
    <e v="#N/A"/>
    <e v="#N/A"/>
    <n v="87736"/>
    <s v="SA202510"/>
    <m/>
    <s v="Q4"/>
    <e v="#REF!"/>
    <e v="#REF!"/>
    <e v="#REF!"/>
  </r>
  <r>
    <s v="431000"/>
    <x v="6"/>
    <s v="URSSAF"/>
    <s v="SA"/>
    <n v="-918.72"/>
    <d v="2025-11-30T00:00:00"/>
    <s v="ACCIDENT DU TRAVAIL - EXO PART APPRENTI"/>
    <m/>
    <e v="#N/A"/>
    <e v="#N/A"/>
    <n v="92245"/>
    <s v="SA202511"/>
    <m/>
    <s v="Q4"/>
    <e v="#REF!"/>
    <e v="#REF!"/>
    <e v="#REF!"/>
  </r>
  <r>
    <s v="431000"/>
    <x v="6"/>
    <s v="URSSAF"/>
    <s v="SA"/>
    <n v="-918.68"/>
    <d v="2025-12-31T00:00:00"/>
    <s v="ACCIDENT DU TRAVAIL - EXO PART APPRENTI"/>
    <m/>
    <e v="#N/A"/>
    <e v="#N/A"/>
    <n v="92704"/>
    <s v="SA202512"/>
    <m/>
    <s v="Q4"/>
    <e v="#REF!"/>
    <e v="#REF!"/>
    <e v="#REF!"/>
  </r>
  <r>
    <s v="431000"/>
    <x v="6"/>
    <s v="URSSAF"/>
    <s v="SA"/>
    <n v="-883.59"/>
    <d v="2025-04-30T00:00:00"/>
    <s v="ALLOCATIONS FAMILIALES (COMPLÉMENT)"/>
    <m/>
    <e v="#N/A"/>
    <e v="#N/A"/>
    <n v="80298"/>
    <s v="SA202504"/>
    <m/>
    <s v="Q2"/>
    <e v="#REF!"/>
    <e v="#REF!"/>
    <e v="#REF!"/>
  </r>
  <r>
    <s v="431000"/>
    <x v="6"/>
    <s v="URSSAF"/>
    <s v="SA"/>
    <n v="-830.64"/>
    <d v="2025-02-28T00:00:00"/>
    <s v="AGS"/>
    <m/>
    <e v="#N/A"/>
    <e v="#N/A"/>
    <n v="85168"/>
    <s v="SA202502"/>
    <m/>
    <s v="Q1"/>
    <e v="#REF!"/>
    <e v="#REF!"/>
    <e v="#REF!"/>
  </r>
  <r>
    <s v="431000"/>
    <x v="6"/>
    <s v="URSSAF"/>
    <s v="SA"/>
    <n v="-745.51"/>
    <d v="2025-09-30T00:00:00"/>
    <s v="ACCIDENT DU TRAVAIL"/>
    <m/>
    <e v="#N/A"/>
    <e v="#N/A"/>
    <n v="84071"/>
    <s v="SA202509"/>
    <m/>
    <s v="Q3"/>
    <e v="#REF!"/>
    <e v="#REF!"/>
    <e v="#REF!"/>
  </r>
  <r>
    <s v="431000"/>
    <x v="6"/>
    <s v="URSSAF"/>
    <s v="SA"/>
    <n v="-714.49"/>
    <d v="2025-11-30T00:00:00"/>
    <s v="ACCIDENT DU TRAVAIL"/>
    <m/>
    <e v="#N/A"/>
    <e v="#N/A"/>
    <n v="92244"/>
    <s v="SA202511"/>
    <m/>
    <s v="Q4"/>
    <e v="#REF!"/>
    <e v="#REF!"/>
    <e v="#REF!"/>
  </r>
  <r>
    <s v="431000"/>
    <x v="6"/>
    <s v="URSSAF"/>
    <s v="SA"/>
    <n v="-700.85"/>
    <d v="2025-10-31T00:00:00"/>
    <s v="ACCIDENT DU TRAVAIL"/>
    <m/>
    <e v="#N/A"/>
    <e v="#N/A"/>
    <n v="87735"/>
    <s v="SA202510"/>
    <m/>
    <s v="Q4"/>
    <e v="#REF!"/>
    <e v="#REF!"/>
    <e v="#REF!"/>
  </r>
  <r>
    <s v="431000"/>
    <x v="6"/>
    <s v="URSSAF"/>
    <s v="SA"/>
    <n v="-683.25"/>
    <d v="2025-12-31T00:00:00"/>
    <s v="ACCIDENT DU TRAVAIL"/>
    <m/>
    <e v="#N/A"/>
    <e v="#N/A"/>
    <n v="92703"/>
    <s v="SA202512"/>
    <m/>
    <s v="Q4"/>
    <e v="#REF!"/>
    <e v="#REF!"/>
    <e v="#REF!"/>
  </r>
  <r>
    <s v="431000"/>
    <x v="6"/>
    <s v="URSSAF"/>
    <s v="SA"/>
    <n v="-615.82000000000005"/>
    <d v="2025-02-28T00:00:00"/>
    <s v="CSG INTÉGRALEMENT NON DÉDUCTIBLE / CRDS"/>
    <m/>
    <e v="#N/A"/>
    <e v="#N/A"/>
    <n v="85174"/>
    <s v="SA202502"/>
    <m/>
    <s v="Q1"/>
    <e v="#REF!"/>
    <e v="#REF!"/>
    <e v="#REF!"/>
  </r>
  <r>
    <s v="431000"/>
    <x v="6"/>
    <s v="URSSAF"/>
    <s v="SA"/>
    <n v="-577.51"/>
    <d v="2025-06-30T00:00:00"/>
    <s v="CONTRIBUTION SOLIDARITÉ AUTONOMIE"/>
    <m/>
    <e v="#N/A"/>
    <e v="#N/A"/>
    <n v="79966"/>
    <s v="SA202506"/>
    <m/>
    <s v="Q2"/>
    <e v="#REF!"/>
    <e v="#REF!"/>
    <e v="#REF!"/>
  </r>
  <r>
    <s v="431000"/>
    <x v="6"/>
    <s v="URSSAF"/>
    <s v="SA"/>
    <n v="-566.41999999999996"/>
    <d v="2025-03-31T00:00:00"/>
    <s v="CONTRIBUTION SOLIDARITÉ AUTONOMIE"/>
    <m/>
    <e v="#N/A"/>
    <e v="#N/A"/>
    <n v="80473"/>
    <s v="SA202503"/>
    <m/>
    <s v="Q1"/>
    <e v="#REF!"/>
    <e v="#REF!"/>
    <e v="#REF!"/>
  </r>
  <r>
    <s v="431000"/>
    <x v="6"/>
    <s v="URSSAF"/>
    <s v="SA"/>
    <n v="-566.26"/>
    <d v="2025-01-31T00:00:00"/>
    <s v="CONTRIBUTION SOLIDARITÉ AUTONOMIE"/>
    <m/>
    <e v="#N/A"/>
    <e v="#N/A"/>
    <n v="85367"/>
    <s v="SA202501"/>
    <m/>
    <s v="Q1"/>
    <e v="#REF!"/>
    <e v="#REF!"/>
    <e v="#REF!"/>
  </r>
  <r>
    <s v="431000"/>
    <x v="6"/>
    <s v="URSSAF"/>
    <s v="SA"/>
    <n v="-562.5"/>
    <d v="2025-07-31T00:00:00"/>
    <s v="CONTRIBUTION SOLIDARITÉ AUTONOMIE"/>
    <m/>
    <e v="#N/A"/>
    <e v="#N/A"/>
    <n v="79792"/>
    <s v="SA202507"/>
    <m/>
    <s v="Q3"/>
    <e v="#REF!"/>
    <e v="#REF!"/>
    <e v="#REF!"/>
  </r>
  <r>
    <s v="431000"/>
    <x v="6"/>
    <s v="URSSAF"/>
    <s v="SA"/>
    <n v="-560.19000000000005"/>
    <d v="2025-04-30T00:00:00"/>
    <s v="CONTRIBUTION SOLIDARITÉ AUTONOMIE"/>
    <m/>
    <e v="#N/A"/>
    <e v="#N/A"/>
    <n v="80303"/>
    <s v="SA202504"/>
    <m/>
    <s v="Q2"/>
    <e v="#REF!"/>
    <e v="#REF!"/>
    <e v="#REF!"/>
  </r>
  <r>
    <s v="431000"/>
    <x v="6"/>
    <s v="URSSAF"/>
    <s v="SA"/>
    <n v="-556.57000000000005"/>
    <d v="2025-05-31T00:00:00"/>
    <s v="CONTRIBUTION SOLIDARITÉ AUTONOMIE"/>
    <m/>
    <e v="#N/A"/>
    <e v="#N/A"/>
    <n v="80135"/>
    <s v="SA202505"/>
    <m/>
    <s v="Q2"/>
    <e v="#REF!"/>
    <e v="#REF!"/>
    <e v="#REF!"/>
  </r>
  <r>
    <s v="431000"/>
    <x v="6"/>
    <s v="URSSAF"/>
    <s v="SA"/>
    <n v="-549.63"/>
    <d v="2025-08-31T00:00:00"/>
    <s v="CONTRIBUTION SOLIDARITÉ AUTONOMIE"/>
    <m/>
    <e v="#N/A"/>
    <e v="#N/A"/>
    <n v="83911"/>
    <s v="SA202508"/>
    <m/>
    <s v="Q3"/>
    <e v="#REF!"/>
    <e v="#REF!"/>
    <e v="#REF!"/>
  </r>
  <r>
    <s v="431000"/>
    <x v="6"/>
    <s v="URSSAF"/>
    <s v="SA"/>
    <n v="-529.72"/>
    <d v="2025-08-31T00:00:00"/>
    <s v="ALLOCATIONS FAMILIALES (COMPLÉMENT)"/>
    <m/>
    <e v="#N/A"/>
    <e v="#N/A"/>
    <n v="83906"/>
    <s v="SA202508"/>
    <m/>
    <s v="Q3"/>
    <e v="#REF!"/>
    <e v="#REF!"/>
    <e v="#REF!"/>
  </r>
  <r>
    <s v="431000"/>
    <x v="6"/>
    <s v="URSSAF"/>
    <s v="SA"/>
    <n v="-465.33"/>
    <d v="2025-03-31T00:00:00"/>
    <s v="AGS"/>
    <m/>
    <e v="#N/A"/>
    <e v="#N/A"/>
    <n v="80465"/>
    <s v="SA202503"/>
    <m/>
    <s v="Q1"/>
    <e v="#REF!"/>
    <e v="#REF!"/>
    <e v="#REF!"/>
  </r>
  <r>
    <s v="431000"/>
    <x v="6"/>
    <s v="URSSAF"/>
    <s v="SA"/>
    <n v="-456.12"/>
    <d v="2025-06-30T00:00:00"/>
    <s v="AGS"/>
    <m/>
    <e v="#N/A"/>
    <e v="#N/A"/>
    <n v="79958"/>
    <s v="SA202506"/>
    <m/>
    <s v="Q2"/>
    <e v="#REF!"/>
    <e v="#REF!"/>
    <e v="#REF!"/>
  </r>
  <r>
    <s v="431000"/>
    <x v="6"/>
    <s v="URSSAF"/>
    <s v="SA"/>
    <n v="-450.87"/>
    <d v="2025-09-30T00:00:00"/>
    <s v="AGS"/>
    <m/>
    <e v="#N/A"/>
    <e v="#N/A"/>
    <n v="84070"/>
    <s v="SA202509"/>
    <m/>
    <s v="Q3"/>
    <e v="#REF!"/>
    <e v="#REF!"/>
    <e v="#REF!"/>
  </r>
  <r>
    <s v="431000"/>
    <x v="6"/>
    <s v="URSSAF"/>
    <s v="SA"/>
    <n v="-446.77"/>
    <d v="2025-01-31T00:00:00"/>
    <s v="AGS"/>
    <m/>
    <e v="#N/A"/>
    <e v="#N/A"/>
    <n v="85359"/>
    <s v="SA202501"/>
    <m/>
    <s v="Q1"/>
    <e v="#REF!"/>
    <e v="#REF!"/>
    <e v="#REF!"/>
  </r>
  <r>
    <s v="431000"/>
    <x v="6"/>
    <s v="URSSAF"/>
    <s v="SA"/>
    <n v="-443.6"/>
    <d v="2025-07-31T00:00:00"/>
    <s v="AGS"/>
    <m/>
    <e v="#N/A"/>
    <e v="#N/A"/>
    <n v="79784"/>
    <s v="SA202507"/>
    <m/>
    <s v="Q3"/>
    <e v="#REF!"/>
    <e v="#REF!"/>
    <e v="#REF!"/>
  </r>
  <r>
    <s v="431000"/>
    <x v="6"/>
    <s v="URSSAF"/>
    <s v="SA"/>
    <n v="-441.7"/>
    <d v="2025-04-30T00:00:00"/>
    <s v="AGS"/>
    <m/>
    <e v="#N/A"/>
    <e v="#N/A"/>
    <n v="80295"/>
    <s v="SA202504"/>
    <m/>
    <s v="Q2"/>
    <e v="#REF!"/>
    <e v="#REF!"/>
    <e v="#REF!"/>
  </r>
  <r>
    <s v="431000"/>
    <x v="6"/>
    <s v="URSSAF"/>
    <s v="SA"/>
    <n v="-438.68"/>
    <d v="2025-05-31T00:00:00"/>
    <s v="AGS"/>
    <m/>
    <e v="#N/A"/>
    <e v="#N/A"/>
    <n v="80127"/>
    <s v="SA202505"/>
    <m/>
    <s v="Q2"/>
    <e v="#REF!"/>
    <e v="#REF!"/>
    <e v="#REF!"/>
  </r>
  <r>
    <s v="431000"/>
    <x v="6"/>
    <s v="URSSAF"/>
    <s v="SA"/>
    <n v="-433.58"/>
    <d v="2025-11-30T00:00:00"/>
    <s v="AGS"/>
    <m/>
    <e v="#N/A"/>
    <e v="#N/A"/>
    <n v="92243"/>
    <s v="SA202511"/>
    <m/>
    <s v="Q4"/>
    <e v="#REF!"/>
    <e v="#REF!"/>
    <e v="#REF!"/>
  </r>
  <r>
    <s v="431000"/>
    <x v="6"/>
    <s v="URSSAF"/>
    <s v="SA"/>
    <n v="-433.42"/>
    <d v="2025-10-31T00:00:00"/>
    <s v="AGS"/>
    <m/>
    <e v="#N/A"/>
    <e v="#N/A"/>
    <n v="87734"/>
    <s v="SA202510"/>
    <m/>
    <s v="Q4"/>
    <e v="#REF!"/>
    <e v="#REF!"/>
    <e v="#REF!"/>
  </r>
  <r>
    <s v="431000"/>
    <x v="6"/>
    <s v="URSSAF"/>
    <s v="SA"/>
    <n v="-432.9"/>
    <d v="2025-08-31T00:00:00"/>
    <s v="AGS"/>
    <m/>
    <e v="#N/A"/>
    <e v="#N/A"/>
    <n v="83903"/>
    <s v="SA202508"/>
    <m/>
    <s v="Q3"/>
    <e v="#REF!"/>
    <e v="#REF!"/>
    <e v="#REF!"/>
  </r>
  <r>
    <s v="431000"/>
    <x v="6"/>
    <s v="URSSAF"/>
    <s v="SA"/>
    <n v="-424.84"/>
    <d v="2025-12-31T00:00:00"/>
    <s v="AGS"/>
    <m/>
    <e v="#N/A"/>
    <e v="#N/A"/>
    <n v="92702"/>
    <s v="SA202512"/>
    <m/>
    <s v="Q4"/>
    <e v="#REF!"/>
    <e v="#REF!"/>
    <e v="#REF!"/>
  </r>
  <r>
    <s v="431000"/>
    <x v="6"/>
    <s v="URSSAF"/>
    <s v="SA"/>
    <n v="-319.91000000000003"/>
    <d v="2025-09-30T00:00:00"/>
    <s v="CONTRIBUTION SOLIDARITÉ AUTONOMIE - EXO PART APPRENTI"/>
    <m/>
    <e v="#N/A"/>
    <e v="#N/A"/>
    <n v="84082"/>
    <s v="SA202509"/>
    <m/>
    <s v="Q3"/>
    <e v="#REF!"/>
    <e v="#REF!"/>
    <e v="#REF!"/>
  </r>
  <r>
    <s v="431000"/>
    <x v="6"/>
    <s v="URSSAF"/>
    <s v="SA"/>
    <n v="-314.05"/>
    <d v="2025-10-31T00:00:00"/>
    <s v="CONTRIBUTION SOLIDARITÉ AUTONOMIE - EXO PART APPRENTI"/>
    <m/>
    <e v="#N/A"/>
    <e v="#N/A"/>
    <n v="87746"/>
    <s v="SA202510"/>
    <m/>
    <s v="Q4"/>
    <e v="#REF!"/>
    <e v="#REF!"/>
    <e v="#REF!"/>
  </r>
  <r>
    <s v="431000"/>
    <x v="6"/>
    <s v="URSSAF"/>
    <s v="SA"/>
    <n v="-309.67"/>
    <d v="2025-11-30T00:00:00"/>
    <s v="CONTRIBUTION SOLIDARITÉ AUTONOMIE - EXO PART APPRENTI"/>
    <m/>
    <e v="#N/A"/>
    <e v="#N/A"/>
    <n v="92255"/>
    <s v="SA202511"/>
    <m/>
    <s v="Q4"/>
    <e v="#REF!"/>
    <e v="#REF!"/>
    <e v="#REF!"/>
  </r>
  <r>
    <s v="431000"/>
    <x v="6"/>
    <s v="URSSAF"/>
    <s v="SA"/>
    <n v="-309.67"/>
    <d v="2025-12-31T00:00:00"/>
    <s v="CONTRIBUTION SOLIDARITÉ AUTONOMIE - EXO PART APPRENTI"/>
    <m/>
    <e v="#N/A"/>
    <e v="#N/A"/>
    <n v="92714"/>
    <s v="SA202512"/>
    <m/>
    <s v="Q4"/>
    <e v="#REF!"/>
    <e v="#REF!"/>
    <e v="#REF!"/>
  </r>
  <r>
    <s v="431000"/>
    <x v="6"/>
    <s v="URSSAF"/>
    <s v="SA"/>
    <n v="-260.64"/>
    <d v="2025-02-28T00:00:00"/>
    <s v="CONTRIBUTION CPF-CDD"/>
    <m/>
    <e v="#N/A"/>
    <e v="#N/A"/>
    <n v="85177"/>
    <s v="SA202502"/>
    <m/>
    <s v="Q1"/>
    <e v="#REF!"/>
    <e v="#REF!"/>
    <e v="#REF!"/>
  </r>
  <r>
    <s v="431000"/>
    <x v="6"/>
    <s v="URSSAF"/>
    <s v="SA"/>
    <n v="-251.3"/>
    <d v="2025-09-30T00:00:00"/>
    <s v="CONTRIBUTION SOLIDARITÉ AUTONOMIE"/>
    <m/>
    <e v="#N/A"/>
    <e v="#N/A"/>
    <n v="84081"/>
    <s v="SA202509"/>
    <m/>
    <s v="Q3"/>
    <e v="#REF!"/>
    <e v="#REF!"/>
    <e v="#REF!"/>
  </r>
  <r>
    <s v="431000"/>
    <x v="6"/>
    <s v="URSSAF"/>
    <s v="SA"/>
    <n v="-240.83"/>
    <d v="2025-11-30T00:00:00"/>
    <s v="CONTRIBUTION SOLIDARITÉ AUTONOMIE"/>
    <m/>
    <e v="#N/A"/>
    <e v="#N/A"/>
    <n v="92254"/>
    <s v="SA202511"/>
    <m/>
    <s v="Q4"/>
    <e v="#REF!"/>
    <e v="#REF!"/>
    <e v="#REF!"/>
  </r>
  <r>
    <s v="431000"/>
    <x v="6"/>
    <s v="URSSAF"/>
    <s v="SA"/>
    <n v="-236.24"/>
    <d v="2025-10-31T00:00:00"/>
    <s v="CONTRIBUTION SOLIDARITÉ AUTONOMIE"/>
    <m/>
    <e v="#N/A"/>
    <e v="#N/A"/>
    <n v="87745"/>
    <s v="SA202510"/>
    <m/>
    <s v="Q4"/>
    <e v="#REF!"/>
    <e v="#REF!"/>
    <e v="#REF!"/>
  </r>
  <r>
    <s v="431000"/>
    <x v="6"/>
    <s v="URSSAF"/>
    <s v="SA"/>
    <n v="-230.31"/>
    <d v="2025-12-31T00:00:00"/>
    <s v="CONTRIBUTION SOLIDARITÉ AUTONOMIE"/>
    <m/>
    <e v="#N/A"/>
    <e v="#N/A"/>
    <n v="92713"/>
    <s v="SA202512"/>
    <m/>
    <s v="Q4"/>
    <e v="#REF!"/>
    <e v="#REF!"/>
    <e v="#REF!"/>
  </r>
  <r>
    <s v="431000"/>
    <x v="6"/>
    <s v="URSSAF"/>
    <s v="SA"/>
    <n v="-214.37"/>
    <d v="2025-01-31T00:00:00"/>
    <s v="CONTRIBUTION CPF-CDD"/>
    <m/>
    <e v="#N/A"/>
    <e v="#N/A"/>
    <n v="85366"/>
    <s v="SA202501"/>
    <m/>
    <s v="Q1"/>
    <e v="#REF!"/>
    <e v="#REF!"/>
    <e v="#REF!"/>
  </r>
  <r>
    <s v="431000"/>
    <x v="6"/>
    <s v="URSSAF"/>
    <s v="SA"/>
    <n v="-176.82"/>
    <d v="2025-02-28T00:00:00"/>
    <s v="FNAL PLAFONNÉ"/>
    <m/>
    <e v="#N/A"/>
    <e v="#N/A"/>
    <n v="85181"/>
    <s v="SA202502"/>
    <m/>
    <s v="Q1"/>
    <e v="#REF!"/>
    <e v="#REF!"/>
    <e v="#REF!"/>
  </r>
  <r>
    <s v="431000"/>
    <x v="6"/>
    <s v="URSSAF"/>
    <s v="SA"/>
    <n v="-173.17"/>
    <d v="2025-03-31T00:00:00"/>
    <s v="ALLOCATIONS FAMILIALES (COMPLÉMENT)"/>
    <m/>
    <e v="#N/A"/>
    <e v="#N/A"/>
    <n v="80468"/>
    <s v="SA202503"/>
    <m/>
    <s v="Q1"/>
    <e v="#REF!"/>
    <e v="#REF!"/>
    <e v="#REF!"/>
  </r>
  <r>
    <s v="431000"/>
    <x v="6"/>
    <s v="URSSAF"/>
    <s v="SA"/>
    <n v="-148.26"/>
    <d v="2025-07-31T00:00:00"/>
    <s v="FNAL PLAFONNÉ"/>
    <m/>
    <e v="#N/A"/>
    <e v="#N/A"/>
    <n v="79795"/>
    <s v="SA202507"/>
    <m/>
    <s v="Q3"/>
    <e v="#REF!"/>
    <e v="#REF!"/>
    <e v="#REF!"/>
  </r>
  <r>
    <s v="431000"/>
    <x v="6"/>
    <s v="URSSAF"/>
    <s v="SA"/>
    <n v="-147.80000000000001"/>
    <d v="2025-03-31T00:00:00"/>
    <s v="FNAL PLAFONNÉ"/>
    <m/>
    <e v="#N/A"/>
    <e v="#N/A"/>
    <n v="80476"/>
    <s v="SA202503"/>
    <m/>
    <s v="Q1"/>
    <e v="#REF!"/>
    <e v="#REF!"/>
    <e v="#REF!"/>
  </r>
  <r>
    <s v="431000"/>
    <x v="6"/>
    <s v="URSSAF"/>
    <s v="SA"/>
    <n v="-146.11000000000001"/>
    <d v="2025-01-31T00:00:00"/>
    <s v="FNAL PLAFONNÉ"/>
    <m/>
    <e v="#N/A"/>
    <e v="#N/A"/>
    <n v="85370"/>
    <s v="SA202501"/>
    <m/>
    <s v="Q1"/>
    <e v="#REF!"/>
    <e v="#REF!"/>
    <e v="#REF!"/>
  </r>
  <r>
    <s v="431000"/>
    <x v="6"/>
    <s v="URSSAF"/>
    <s v="SA"/>
    <n v="-145.88"/>
    <d v="2025-09-30T00:00:00"/>
    <s v="FNAL PLAFONNÉ"/>
    <m/>
    <e v="#N/A"/>
    <e v="#N/A"/>
    <n v="84085"/>
    <s v="SA202509"/>
    <m/>
    <s v="Q3"/>
    <e v="#REF!"/>
    <e v="#REF!"/>
    <e v="#REF!"/>
  </r>
  <r>
    <s v="431000"/>
    <x v="6"/>
    <s v="URSSAF"/>
    <s v="SA"/>
    <n v="-144.97"/>
    <d v="2025-06-30T00:00:00"/>
    <s v="FNAL PLAFONNÉ"/>
    <m/>
    <e v="#N/A"/>
    <e v="#N/A"/>
    <n v="79969"/>
    <s v="SA202506"/>
    <m/>
    <s v="Q2"/>
    <e v="#REF!"/>
    <e v="#REF!"/>
    <e v="#REF!"/>
  </r>
  <r>
    <s v="431000"/>
    <x v="6"/>
    <s v="URSSAF"/>
    <s v="SA"/>
    <n v="-144.02000000000001"/>
    <d v="2025-05-31T00:00:00"/>
    <s v="FNAL PLAFONNÉ"/>
    <m/>
    <e v="#N/A"/>
    <e v="#N/A"/>
    <n v="80138"/>
    <s v="SA202505"/>
    <m/>
    <s v="Q2"/>
    <e v="#REF!"/>
    <e v="#REF!"/>
    <e v="#REF!"/>
  </r>
  <r>
    <s v="431000"/>
    <x v="6"/>
    <s v="URSSAF"/>
    <s v="SA"/>
    <n v="-141.07"/>
    <d v="2025-04-30T00:00:00"/>
    <s v="FNAL PLAFONNÉ"/>
    <m/>
    <e v="#N/A"/>
    <e v="#N/A"/>
    <n v="80308"/>
    <s v="SA202504"/>
    <m/>
    <s v="Q2"/>
    <e v="#REF!"/>
    <e v="#REF!"/>
    <e v="#REF!"/>
  </r>
  <r>
    <s v="431000"/>
    <x v="6"/>
    <s v="URSSAF"/>
    <s v="SA"/>
    <n v="-139.74"/>
    <d v="2025-10-31T00:00:00"/>
    <s v="FNAL PLAFONNÉ"/>
    <m/>
    <e v="#N/A"/>
    <e v="#N/A"/>
    <n v="87749"/>
    <s v="SA202510"/>
    <m/>
    <s v="Q4"/>
    <e v="#REF!"/>
    <e v="#REF!"/>
    <e v="#REF!"/>
  </r>
  <r>
    <s v="431000"/>
    <x v="6"/>
    <s v="URSSAF"/>
    <s v="SA"/>
    <n v="-139.69"/>
    <d v="2025-11-30T00:00:00"/>
    <s v="FNAL PLAFONNÉ"/>
    <m/>
    <e v="#N/A"/>
    <e v="#N/A"/>
    <n v="92258"/>
    <s v="SA202511"/>
    <m/>
    <s v="Q4"/>
    <e v="#REF!"/>
    <e v="#REF!"/>
    <e v="#REF!"/>
  </r>
  <r>
    <s v="431000"/>
    <x v="6"/>
    <s v="URSSAF"/>
    <s v="SA"/>
    <n v="-137.53"/>
    <d v="2025-12-31T00:00:00"/>
    <s v="FNAL PLAFONNÉ"/>
    <m/>
    <e v="#N/A"/>
    <e v="#N/A"/>
    <n v="92717"/>
    <s v="SA202512"/>
    <m/>
    <s v="Q4"/>
    <e v="#REF!"/>
    <e v="#REF!"/>
    <e v="#REF!"/>
  </r>
  <r>
    <s v="431000"/>
    <x v="6"/>
    <s v="URSSAF"/>
    <s v="SA"/>
    <n v="-137.27000000000001"/>
    <d v="2025-08-31T00:00:00"/>
    <s v="FNAL PLAFONNÉ"/>
    <m/>
    <e v="#N/A"/>
    <e v="#N/A"/>
    <n v="83914"/>
    <s v="SA202508"/>
    <m/>
    <s v="Q3"/>
    <e v="#REF!"/>
    <e v="#REF!"/>
    <e v="#REF!"/>
  </r>
  <r>
    <s v="431000"/>
    <x v="6"/>
    <s v="URSSAF"/>
    <s v="SA"/>
    <n v="-116.39"/>
    <d v="2025-03-31T00:00:00"/>
    <s v="CONTRIBUTION CPF-CDD"/>
    <m/>
    <e v="#N/A"/>
    <e v="#N/A"/>
    <n v="80472"/>
    <s v="SA202503"/>
    <m/>
    <s v="Q1"/>
    <e v="#REF!"/>
    <e v="#REF!"/>
    <e v="#REF!"/>
  </r>
  <r>
    <s v="431000"/>
    <x v="6"/>
    <s v="URSSAF"/>
    <s v="SA"/>
    <n v="-111.4"/>
    <d v="2025-07-31T00:00:00"/>
    <s v="CONTRIBUTION CPF-CDD"/>
    <m/>
    <e v="#N/A"/>
    <e v="#N/A"/>
    <n v="79791"/>
    <s v="SA202507"/>
    <m/>
    <s v="Q3"/>
    <e v="#REF!"/>
    <e v="#REF!"/>
    <e v="#REF!"/>
  </r>
  <r>
    <s v="431000"/>
    <x v="6"/>
    <s v="URSSAF"/>
    <s v="SA"/>
    <n v="-62.41"/>
    <d v="2025-09-30T00:00:00"/>
    <s v="CONTRIBUTION CPF-CDD"/>
    <m/>
    <e v="#N/A"/>
    <e v="#N/A"/>
    <n v="84080"/>
    <s v="SA202509"/>
    <m/>
    <s v="Q3"/>
    <e v="#REF!"/>
    <e v="#REF!"/>
    <e v="#REF!"/>
  </r>
  <r>
    <s v="431000"/>
    <x v="6"/>
    <s v="URSSAF"/>
    <s v="SA"/>
    <n v="-55.88"/>
    <d v="2025-04-30T00:00:00"/>
    <s v="CONTRIBUTION CPF-CDD"/>
    <m/>
    <e v="#N/A"/>
    <e v="#N/A"/>
    <n v="80302"/>
    <s v="SA202504"/>
    <m/>
    <s v="Q2"/>
    <e v="#REF!"/>
    <e v="#REF!"/>
    <e v="#REF!"/>
  </r>
  <r>
    <s v="431000"/>
    <x v="6"/>
    <s v="URSSAF"/>
    <s v="SA"/>
    <n v="-54.38"/>
    <d v="2025-02-28T00:00:00"/>
    <s v="CONTRIBUTION AU DIALOGUE SOCIAL"/>
    <m/>
    <e v="#N/A"/>
    <e v="#N/A"/>
    <n v="85179"/>
    <s v="SA202502"/>
    <m/>
    <s v="Q1"/>
    <e v="#REF!"/>
    <e v="#REF!"/>
    <e v="#REF!"/>
  </r>
  <r>
    <s v="431000"/>
    <x v="6"/>
    <s v="URSSAF"/>
    <s v="SA"/>
    <n v="-43.84"/>
    <d v="2025-05-31T00:00:00"/>
    <s v="CONTRIBUTION CPF-CDD"/>
    <m/>
    <e v="#N/A"/>
    <e v="#N/A"/>
    <n v="80134"/>
    <s v="SA202505"/>
    <m/>
    <s v="Q2"/>
    <e v="#REF!"/>
    <e v="#REF!"/>
    <e v="#REF!"/>
  </r>
  <r>
    <s v="431000"/>
    <x v="6"/>
    <s v="URSSAF"/>
    <s v="SA"/>
    <n v="-41.3"/>
    <d v="2025-06-30T00:00:00"/>
    <s v="CONTRIBUTION CPF-CDD"/>
    <m/>
    <e v="#N/A"/>
    <e v="#N/A"/>
    <n v="79965"/>
    <s v="SA202506"/>
    <m/>
    <s v="Q2"/>
    <e v="#REF!"/>
    <e v="#REF!"/>
    <e v="#REF!"/>
  </r>
  <r>
    <s v="431000"/>
    <x v="6"/>
    <s v="URSSAF"/>
    <s v="SA"/>
    <n v="-29.19"/>
    <d v="2025-06-30T00:00:00"/>
    <s v="CONTRIBUTION AU DIALOGUE SOCIAL"/>
    <m/>
    <e v="#N/A"/>
    <e v="#N/A"/>
    <n v="79967"/>
    <s v="SA202506"/>
    <m/>
    <s v="Q2"/>
    <e v="#REF!"/>
    <e v="#REF!"/>
    <e v="#REF!"/>
  </r>
  <r>
    <s v="431000"/>
    <x v="6"/>
    <s v="URSSAF"/>
    <s v="SA"/>
    <n v="-28.87"/>
    <d v="2025-09-30T00:00:00"/>
    <s v="CONTRIBUTION AU DIALOGUE SOCIAL"/>
    <m/>
    <e v="#N/A"/>
    <e v="#N/A"/>
    <n v="84083"/>
    <s v="SA202509"/>
    <m/>
    <s v="Q3"/>
    <e v="#REF!"/>
    <e v="#REF!"/>
    <e v="#REF!"/>
  </r>
  <r>
    <s v="431000"/>
    <x v="6"/>
    <s v="URSSAF"/>
    <s v="SA"/>
    <n v="-28.62"/>
    <d v="2025-01-31T00:00:00"/>
    <s v="CONTRIBUTION AU DIALOGUE SOCIAL"/>
    <m/>
    <e v="#N/A"/>
    <e v="#N/A"/>
    <n v="85368"/>
    <s v="SA202501"/>
    <m/>
    <s v="Q1"/>
    <e v="#REF!"/>
    <e v="#REF!"/>
    <e v="#REF!"/>
  </r>
  <r>
    <s v="431000"/>
    <x v="6"/>
    <s v="URSSAF"/>
    <s v="SA"/>
    <n v="-28.6"/>
    <d v="2025-03-31T00:00:00"/>
    <s v="CONTRIBUTION AU DIALOGUE SOCIAL"/>
    <m/>
    <e v="#N/A"/>
    <e v="#N/A"/>
    <n v="80474"/>
    <s v="SA202503"/>
    <m/>
    <s v="Q1"/>
    <e v="#REF!"/>
    <e v="#REF!"/>
    <e v="#REF!"/>
  </r>
  <r>
    <s v="431000"/>
    <x v="6"/>
    <s v="URSSAF"/>
    <s v="SA"/>
    <n v="-28.42"/>
    <d v="2025-07-31T00:00:00"/>
    <s v="CONTRIBUTION AU DIALOGUE SOCIAL"/>
    <m/>
    <e v="#N/A"/>
    <e v="#N/A"/>
    <n v="79793"/>
    <s v="SA202507"/>
    <m/>
    <s v="Q3"/>
    <e v="#REF!"/>
    <e v="#REF!"/>
    <e v="#REF!"/>
  </r>
  <r>
    <s v="431000"/>
    <x v="6"/>
    <s v="URSSAF"/>
    <s v="SA"/>
    <n v="-28.41"/>
    <d v="2025-08-31T00:00:00"/>
    <s v="CONTRIBUTION CPF-CDD"/>
    <m/>
    <e v="#N/A"/>
    <e v="#N/A"/>
    <n v="83910"/>
    <s v="SA202508"/>
    <m/>
    <s v="Q3"/>
    <e v="#REF!"/>
    <e v="#REF!"/>
    <e v="#REF!"/>
  </r>
  <r>
    <s v="431000"/>
    <x v="6"/>
    <s v="URSSAF"/>
    <s v="SA"/>
    <n v="-28.41"/>
    <d v="2025-10-31T00:00:00"/>
    <s v="CONTRIBUTION CPF-CDD"/>
    <m/>
    <e v="#N/A"/>
    <e v="#N/A"/>
    <n v="87744"/>
    <s v="SA202510"/>
    <m/>
    <s v="Q4"/>
    <e v="#REF!"/>
    <e v="#REF!"/>
    <e v="#REF!"/>
  </r>
  <r>
    <s v="431000"/>
    <x v="6"/>
    <s v="URSSAF"/>
    <s v="SA"/>
    <n v="-28.41"/>
    <d v="2025-11-30T00:00:00"/>
    <s v="CONTRIBUTION CPF-CDD"/>
    <m/>
    <e v="#N/A"/>
    <e v="#N/A"/>
    <n v="92253"/>
    <s v="SA202511"/>
    <m/>
    <s v="Q4"/>
    <e v="#REF!"/>
    <e v="#REF!"/>
    <e v="#REF!"/>
  </r>
  <r>
    <s v="431000"/>
    <x v="6"/>
    <s v="URSSAF"/>
    <s v="SA"/>
    <n v="-28.41"/>
    <d v="2025-12-31T00:00:00"/>
    <s v="CONTRIBUTION CPF-CDD"/>
    <m/>
    <e v="#N/A"/>
    <e v="#N/A"/>
    <n v="92712"/>
    <s v="SA202512"/>
    <m/>
    <s v="Q4"/>
    <e v="#REF!"/>
    <e v="#REF!"/>
    <e v="#REF!"/>
  </r>
  <r>
    <s v="431000"/>
    <x v="6"/>
    <s v="URSSAF"/>
    <s v="SA"/>
    <n v="-28.29"/>
    <d v="2025-04-30T00:00:00"/>
    <s v="CONTRIBUTION AU DIALOGUE SOCIAL"/>
    <m/>
    <e v="#N/A"/>
    <e v="#N/A"/>
    <n v="80304"/>
    <s v="SA202504"/>
    <m/>
    <s v="Q2"/>
    <e v="#REF!"/>
    <e v="#REF!"/>
    <e v="#REF!"/>
  </r>
  <r>
    <s v="431000"/>
    <x v="6"/>
    <s v="URSSAF"/>
    <s v="SA"/>
    <n v="-28.05"/>
    <d v="2025-05-31T00:00:00"/>
    <s v="CONTRIBUTION AU DIALOGUE SOCIAL"/>
    <m/>
    <e v="#N/A"/>
    <e v="#N/A"/>
    <n v="80136"/>
    <s v="SA202505"/>
    <m/>
    <s v="Q2"/>
    <e v="#REF!"/>
    <e v="#REF!"/>
    <e v="#REF!"/>
  </r>
  <r>
    <s v="431000"/>
    <x v="6"/>
    <s v="URSSAF"/>
    <s v="SA"/>
    <n v="-27.75"/>
    <d v="2025-10-31T00:00:00"/>
    <s v="CONTRIBUTION AU DIALOGUE SOCIAL"/>
    <m/>
    <e v="#N/A"/>
    <e v="#N/A"/>
    <n v="87747"/>
    <s v="SA202510"/>
    <m/>
    <s v="Q4"/>
    <e v="#REF!"/>
    <e v="#REF!"/>
    <e v="#REF!"/>
  </r>
  <r>
    <s v="431000"/>
    <x v="6"/>
    <s v="URSSAF"/>
    <s v="SA"/>
    <n v="-27.75"/>
    <d v="2025-11-30T00:00:00"/>
    <s v="CONTRIBUTION AU DIALOGUE SOCIAL"/>
    <m/>
    <e v="#N/A"/>
    <e v="#N/A"/>
    <n v="92256"/>
    <s v="SA202511"/>
    <m/>
    <s v="Q4"/>
    <e v="#REF!"/>
    <e v="#REF!"/>
    <e v="#REF!"/>
  </r>
  <r>
    <s v="431000"/>
    <x v="6"/>
    <s v="URSSAF"/>
    <s v="SA"/>
    <n v="-27.72"/>
    <d v="2025-08-31T00:00:00"/>
    <s v="CONTRIBUTION AU DIALOGUE SOCIAL"/>
    <m/>
    <e v="#N/A"/>
    <e v="#N/A"/>
    <n v="83912"/>
    <s v="SA202508"/>
    <m/>
    <s v="Q3"/>
    <e v="#REF!"/>
    <e v="#REF!"/>
    <e v="#REF!"/>
  </r>
  <r>
    <s v="431000"/>
    <x v="6"/>
    <s v="URSSAF"/>
    <s v="SA"/>
    <n v="-27.21"/>
    <d v="2025-12-31T00:00:00"/>
    <s v="CONTRIBUTION AU DIALOGUE SOCIAL"/>
    <m/>
    <e v="#N/A"/>
    <e v="#N/A"/>
    <n v="92715"/>
    <s v="SA202512"/>
    <m/>
    <s v="Q4"/>
    <e v="#REF!"/>
    <e v="#REF!"/>
    <e v="#REF!"/>
  </r>
  <r>
    <s v="431000"/>
    <x v="6"/>
    <s v="URSSAF"/>
    <s v="SA"/>
    <n v="27.54"/>
    <d v="2025-02-28T00:00:00"/>
    <s v="RÉDUCTION GÉNÉRALE DES COTISATIONS PATRONALES"/>
    <m/>
    <e v="#N/A"/>
    <e v="#N/A"/>
    <n v="85184"/>
    <s v="SA202502"/>
    <m/>
    <s v="Q1"/>
    <e v="#REF!"/>
    <e v="#REF!"/>
    <e v="#REF!"/>
  </r>
  <r>
    <s v="431000"/>
    <x v="6"/>
    <s v="URSSAF"/>
    <s v="SA"/>
    <n v="126"/>
    <d v="2025-04-30T00:00:00"/>
    <s v="DÉDUCTION FORFAITAIRE/HEURES SUPPLÉMENTAIRES"/>
    <m/>
    <e v="#N/A"/>
    <e v="#N/A"/>
    <n v="80306"/>
    <s v="SA202504"/>
    <m/>
    <s v="Q2"/>
    <e v="#REF!"/>
    <e v="#REF!"/>
    <e v="#REF!"/>
  </r>
  <r>
    <s v="431000"/>
    <x v="6"/>
    <s v="URSSAF"/>
    <s v="SA"/>
    <n v="445.51"/>
    <d v="2025-04-30T00:00:00"/>
    <s v="EXONÉRATION COTISATION SUR HC/HS"/>
    <m/>
    <e v="#N/A"/>
    <e v="#N/A"/>
    <n v="80307"/>
    <s v="SA202504"/>
    <m/>
    <s v="Q2"/>
    <e v="#REF!"/>
    <e v="#REF!"/>
    <e v="#REF!"/>
  </r>
  <r>
    <s v="431000"/>
    <x v="6"/>
    <s v="URSSAF"/>
    <s v="SA"/>
    <n v="635.07000000000005"/>
    <d v="2025-07-31T00:00:00"/>
    <s v="RÉDUCTION GÉNÉRALE DES COTISATIONS PATRONALES"/>
    <m/>
    <e v="#N/A"/>
    <e v="#N/A"/>
    <n v="79798"/>
    <s v="SA202507"/>
    <m/>
    <s v="Q3"/>
    <e v="#REF!"/>
    <e v="#REF!"/>
    <e v="#REF!"/>
  </r>
  <r>
    <s v="431000"/>
    <x v="6"/>
    <s v="URSSAF"/>
    <s v="SA"/>
    <n v="670.64"/>
    <d v="2025-08-31T00:00:00"/>
    <s v="RÉDUCTION GÉNÉRALE DES COTISATIONS PATRONALES"/>
    <m/>
    <e v="#N/A"/>
    <e v="#N/A"/>
    <n v="83917"/>
    <s v="SA202508"/>
    <m/>
    <s v="Q3"/>
    <e v="#REF!"/>
    <e v="#REF!"/>
    <e v="#REF!"/>
  </r>
  <r>
    <s v="431000"/>
    <x v="6"/>
    <s v="URSSAF"/>
    <s v="SA"/>
    <n v="710.16"/>
    <d v="2025-04-30T00:00:00"/>
    <s v="RÉDUCTION GÉNÉRALE DES COTISATIONS PATRONALES"/>
    <m/>
    <e v="#N/A"/>
    <e v="#N/A"/>
    <n v="80311"/>
    <s v="SA202504"/>
    <m/>
    <s v="Q2"/>
    <e v="#REF!"/>
    <e v="#REF!"/>
    <e v="#REF!"/>
  </r>
  <r>
    <s v="431000"/>
    <x v="6"/>
    <s v="URSSAF"/>
    <s v="SA"/>
    <n v="747.55"/>
    <d v="2025-03-31T00:00:00"/>
    <s v="RÉDUCTION GÉNÉRALE DES COTISATIONS PATRONALES"/>
    <m/>
    <e v="#N/A"/>
    <e v="#N/A"/>
    <n v="80479"/>
    <s v="SA202503"/>
    <m/>
    <s v="Q1"/>
    <e v="#REF!"/>
    <e v="#REF!"/>
    <e v="#REF!"/>
  </r>
  <r>
    <s v="431000"/>
    <x v="6"/>
    <s v="URSSAF"/>
    <s v="SA"/>
    <n v="921.07"/>
    <d v="2025-05-31T00:00:00"/>
    <s v="RÉDUCTION GÉNÉRALE DES COTISATIONS PATRONALES"/>
    <m/>
    <e v="#N/A"/>
    <e v="#N/A"/>
    <n v="80141"/>
    <s v="SA202505"/>
    <m/>
    <s v="Q2"/>
    <e v="#REF!"/>
    <e v="#REF!"/>
    <e v="#REF!"/>
  </r>
  <r>
    <s v="431000"/>
    <x v="6"/>
    <s v="URSSAF"/>
    <s v="SA"/>
    <n v="929.12"/>
    <d v="2025-06-30T00:00:00"/>
    <s v="RÉDUCTION GÉNÉRALE DES COTISATIONS PATRONALES"/>
    <m/>
    <e v="#N/A"/>
    <e v="#N/A"/>
    <n v="79972"/>
    <s v="SA202506"/>
    <m/>
    <s v="Q2"/>
    <e v="#REF!"/>
    <e v="#REF!"/>
    <e v="#REF!"/>
  </r>
  <r>
    <s v="431000"/>
    <x v="6"/>
    <s v="URSSAF"/>
    <s v="SA"/>
    <n v="1013.87"/>
    <d v="2025-09-30T00:00:00"/>
    <s v="RÉDUCTION GÉNÉRALE DES COTISATIONS PATRONALES"/>
    <m/>
    <e v="#N/A"/>
    <e v="#N/A"/>
    <n v="84089"/>
    <s v="SA202509"/>
    <m/>
    <s v="Q3"/>
    <e v="#REF!"/>
    <e v="#REF!"/>
    <e v="#REF!"/>
  </r>
  <r>
    <s v="431000"/>
    <x v="6"/>
    <s v="URSSAF"/>
    <s v="SA"/>
    <n v="1078.17"/>
    <d v="2025-10-31T00:00:00"/>
    <s v="RÉDUCTION GÉNÉRALE DES COTISATIONS PATRONALES"/>
    <m/>
    <e v="#N/A"/>
    <e v="#N/A"/>
    <n v="87753"/>
    <s v="SA202510"/>
    <m/>
    <s v="Q4"/>
    <e v="#REF!"/>
    <e v="#REF!"/>
    <e v="#REF!"/>
  </r>
  <r>
    <s v="431000"/>
    <x v="6"/>
    <s v="URSSAF"/>
    <s v="SA"/>
    <n v="1078.18"/>
    <d v="2025-11-30T00:00:00"/>
    <s v="RÉDUCTION GÉNÉRALE DES COTISATIONS PATRONALES"/>
    <m/>
    <e v="#N/A"/>
    <e v="#N/A"/>
    <n v="92262"/>
    <s v="SA202511"/>
    <m/>
    <s v="Q4"/>
    <e v="#REF!"/>
    <e v="#REF!"/>
    <e v="#REF!"/>
  </r>
  <r>
    <s v="431000"/>
    <x v="6"/>
    <s v="URSSAF"/>
    <s v="SA"/>
    <n v="1078.18"/>
    <d v="2025-12-31T00:00:00"/>
    <s v="RÉDUCTION GÉNÉRALE DES COTISATIONS PATRONALES"/>
    <m/>
    <e v="#N/A"/>
    <e v="#N/A"/>
    <n v="92721"/>
    <s v="SA202512"/>
    <m/>
    <s v="Q4"/>
    <e v="#REF!"/>
    <e v="#REF!"/>
    <e v="#REF!"/>
  </r>
  <r>
    <s v="431000"/>
    <x v="6"/>
    <s v="URSSAF"/>
    <s v="SA"/>
    <n v="1558.4"/>
    <d v="2025-01-31T00:00:00"/>
    <s v="RÉDUCTION GÉNÉRALE DES COTISATIONS PATRONALES"/>
    <m/>
    <e v="#N/A"/>
    <e v="#N/A"/>
    <n v="85373"/>
    <s v="SA202501"/>
    <m/>
    <s v="Q1"/>
    <e v="#REF!"/>
    <e v="#REF!"/>
    <e v="#REF!"/>
  </r>
  <r>
    <s v="431100"/>
    <x v="6"/>
    <s v="IJSS À RECEVOIR"/>
    <s v="AN"/>
    <n v="3649.43"/>
    <d v="2025-01-01T00:00:00"/>
    <s v="Report à nouveau Exercice 2025"/>
    <m/>
    <e v="#N/A"/>
    <e v="#N/A"/>
    <n v="84773"/>
    <m/>
    <m/>
    <s v="Q1"/>
    <e v="#REF!"/>
    <e v="#REF!"/>
    <e v="#REF!"/>
  </r>
  <r>
    <s v="431100"/>
    <x v="6"/>
    <s v="IJSS À RECEVOIR"/>
    <s v="BPRI"/>
    <n v="-2092.1999999999998"/>
    <d v="2025-06-02T00:00:00"/>
    <s v="Prélèvement CPAM Toulouse"/>
    <m/>
    <e v="#N/A"/>
    <e v="#N/A"/>
    <n v="75201"/>
    <m/>
    <m/>
    <s v="Q2"/>
    <e v="#REF!"/>
    <e v="#REF!"/>
    <e v="#REF!"/>
  </r>
  <r>
    <s v="431100"/>
    <x v="6"/>
    <s v="IJSS À RECEVOIR"/>
    <s v="BPRI"/>
    <n v="-1426.5"/>
    <d v="2025-07-28T00:00:00"/>
    <s v="EVI CPAM 75 PRESTATIONS"/>
    <m/>
    <e v="#N/A"/>
    <e v="#N/A"/>
    <n v="78969"/>
    <m/>
    <m/>
    <s v="Q3"/>
    <e v="#REF!"/>
    <e v="#REF!"/>
    <e v="#REF!"/>
  </r>
  <r>
    <s v="431100"/>
    <x v="6"/>
    <s v="IJSS À RECEVOIR"/>
    <s v="BPRI"/>
    <n v="-1331.4"/>
    <d v="2025-06-13T00:00:00"/>
    <s v="C.P.A.M. TOULOUSE"/>
    <m/>
    <e v="#N/A"/>
    <e v="#N/A"/>
    <n v="76003"/>
    <m/>
    <m/>
    <s v="Q2"/>
    <e v="#REF!"/>
    <e v="#REF!"/>
    <e v="#REF!"/>
  </r>
  <r>
    <s v="431100"/>
    <x v="6"/>
    <s v="IJSS À RECEVOIR"/>
    <s v="BPRI"/>
    <n v="-1331.4"/>
    <d v="2025-06-27T00:00:00"/>
    <s v="C.P.A.M. TOULOUSE"/>
    <m/>
    <e v="#N/A"/>
    <e v="#N/A"/>
    <n v="76302"/>
    <m/>
    <m/>
    <s v="Q2"/>
    <e v="#REF!"/>
    <e v="#REF!"/>
    <e v="#REF!"/>
  </r>
  <r>
    <s v="442100"/>
    <x v="6"/>
    <s v="PRÉLÈVEMENTS À LA SOURCE (IR)"/>
    <s v="BPRI"/>
    <n v="2628"/>
    <d v="2025-11-25T00:00:00"/>
    <s v="/SQTP/RCUR/LIB/PRLV INT ETS DGFIP/LIB/DGFIP/LIB/PASDSN17112025-102025-8115245450/LIB/NN811524545DGFIP2018764317JOSGOB"/>
    <m/>
    <e v="#N/A"/>
    <e v="#N/A"/>
    <n v="91144"/>
    <m/>
    <m/>
    <s v="Q4"/>
    <e v="#REF!"/>
    <e v="#REF!"/>
    <e v="#REF!"/>
  </r>
  <r>
    <s v="442100"/>
    <x v="6"/>
    <s v="PRÉLÈVEMENTS À LA SOURCE (IR)"/>
    <s v="BPRI"/>
    <n v="6052"/>
    <d v="2025-11-25T00:00:00"/>
    <s v="/SQTP/RCUR/LIB/PRLV INT ETS DGFIP/LIB/DGFIP/LIB/PASDSN17112025-102025-8115245450/LIB/NN811524545DGFIP2018764317JOSGOB"/>
    <m/>
    <e v="#N/A"/>
    <e v="#N/A"/>
    <n v="91150"/>
    <m/>
    <m/>
    <s v="Q4"/>
    <e v="#REF!"/>
    <e v="#REF!"/>
    <e v="#REF!"/>
  </r>
  <r>
    <s v="442100"/>
    <x v="6"/>
    <s v="PRÉLÈVEMENTS À LA SOURCE (IR)"/>
    <s v="BPRI"/>
    <n v="8984"/>
    <d v="2025-11-25T00:00:00"/>
    <s v="/SQTP/RCUR/LIB/PRLV INT ETS DGFIP/LIB/DGFIP/LIB/PASDSN17112025-102025-8115245450/LIB/NN811524545DGFIP2018764317JOSGOB"/>
    <m/>
    <e v="#N/A"/>
    <e v="#N/A"/>
    <n v="91153"/>
    <m/>
    <m/>
    <s v="Q4"/>
    <e v="#REF!"/>
    <e v="#REF!"/>
    <e v="#REF!"/>
  </r>
  <r>
    <s v="431100"/>
    <x v="6"/>
    <s v="IJSS À RECEVOIR"/>
    <s v="BPRI"/>
    <n v="-1331.4"/>
    <d v="2025-08-22T00:00:00"/>
    <s v="EVI C.P.A.M. TOULOUSE"/>
    <m/>
    <e v="#N/A"/>
    <e v="#N/A"/>
    <n v="81652"/>
    <m/>
    <m/>
    <s v="Q3"/>
    <e v="#REF!"/>
    <e v="#REF!"/>
    <e v="#REF!"/>
  </r>
  <r>
    <s v="431100"/>
    <x v="6"/>
    <s v="IJSS À RECEVOIR"/>
    <s v="BPRI"/>
    <n v="-1267.8399999999999"/>
    <d v="2025-01-02T00:00:00"/>
    <s v="EVI C.P.A.M. TOULOUSE"/>
    <m/>
    <e v="#N/A"/>
    <e v="#N/A"/>
    <n v="20875"/>
    <s v="GU0YSWG"/>
    <m/>
    <s v="Q1"/>
    <e v="#REF!"/>
    <e v="#REF!"/>
    <e v="#REF!"/>
  </r>
  <r>
    <s v="431100"/>
    <x v="6"/>
    <s v="IJSS À RECEVOIR"/>
    <s v="BPRI"/>
    <n v="-1267.8399999999999"/>
    <d v="2025-01-15T00:00:00"/>
    <s v="EVI C.P.A.M. TOULOUSE"/>
    <m/>
    <e v="#N/A"/>
    <e v="#N/A"/>
    <n v="20999"/>
    <s v="0NWDV0W"/>
    <m/>
    <s v="Q1"/>
    <e v="#REF!"/>
    <e v="#REF!"/>
    <e v="#REF!"/>
  </r>
  <r>
    <s v="431100"/>
    <x v="6"/>
    <s v="IJSS À RECEVOIR"/>
    <s v="BPRI"/>
    <n v="-1113.42"/>
    <d v="2025-01-29T00:00:00"/>
    <s v="EVI C.P.A.M. TOULOUSE"/>
    <m/>
    <e v="#N/A"/>
    <e v="#N/A"/>
    <n v="21108"/>
    <s v="1B1WRX0"/>
    <m/>
    <s v="Q1"/>
    <e v="#REF!"/>
    <e v="#REF!"/>
    <e v="#REF!"/>
  </r>
  <r>
    <s v="431100"/>
    <x v="6"/>
    <s v="IJSS À RECEVOIR"/>
    <s v="BPRI"/>
    <n v="-977.56"/>
    <d v="2025-02-21T00:00:00"/>
    <s v="EVI C.P.A.M. TOULOUSE"/>
    <m/>
    <e v="#N/A"/>
    <e v="#N/A"/>
    <n v="21391"/>
    <s v="2D3887C"/>
    <m/>
    <s v="Q1"/>
    <e v="#REF!"/>
    <e v="#REF!"/>
    <e v="#REF!"/>
  </r>
  <r>
    <s v="512100"/>
    <x v="6"/>
    <s v="BANQUE POPULAIRE RIVE DE PARIS"/>
    <s v="BPRI"/>
    <n v="-8984"/>
    <d v="2025-11-25T00:00:00"/>
    <s v="/SQTP/RCUR/LIB/PRLV INT ETS DGFIP/LIB/DGFIP/LIB/PASDSN17112025-102025-8115245450/LIB/NN811524545DGFIP2018764317JOSGOB"/>
    <m/>
    <e v="#N/A"/>
    <e v="#N/A"/>
    <n v="91152"/>
    <m/>
    <m/>
    <s v="Q4"/>
    <e v="#REF!"/>
    <e v="#REF!"/>
    <e v="#REF!"/>
  </r>
  <r>
    <s v="431100"/>
    <x v="6"/>
    <s v="IJSS À RECEVOIR"/>
    <s v="BPRI"/>
    <n v="-660.6"/>
    <d v="2025-03-24T00:00:00"/>
    <s v="Virement CPAM 94"/>
    <m/>
    <e v="#N/A"/>
    <e v="#N/A"/>
    <n v="64509"/>
    <m/>
    <m/>
    <s v="Q1"/>
    <e v="#REF!"/>
    <e v="#REF!"/>
    <e v="#REF!"/>
  </r>
  <r>
    <s v="431100"/>
    <x v="6"/>
    <s v="IJSS À RECEVOIR"/>
    <s v="BPRI"/>
    <n v="-616.55999999999995"/>
    <d v="2025-04-02T00:00:00"/>
    <s v="Virement CPAM94"/>
    <m/>
    <e v="#N/A"/>
    <e v="#N/A"/>
    <n v="66524"/>
    <m/>
    <m/>
    <s v="Q2"/>
    <e v="#REF!"/>
    <e v="#REF!"/>
    <e v="#REF!"/>
  </r>
  <r>
    <s v="431100"/>
    <x v="6"/>
    <s v="IJSS À RECEVOIR"/>
    <s v="BPRI"/>
    <n v="-570.6"/>
    <d v="2025-09-05T00:00:00"/>
    <s v="EVI C.P.A.M. TOULOUSE"/>
    <m/>
    <e v="#N/A"/>
    <e v="#N/A"/>
    <n v="81713"/>
    <m/>
    <m/>
    <s v="Q3"/>
    <e v="#REF!"/>
    <e v="#REF!"/>
    <e v="#REF!"/>
  </r>
  <r>
    <s v="512100"/>
    <x v="6"/>
    <s v="BANQUE POPULAIRE RIVE DE PARIS"/>
    <s v="BPRI"/>
    <n v="-6052"/>
    <d v="2025-11-25T00:00:00"/>
    <s v="/SQTP/RCUR/LIB/PRLV INT ETS DGFIP/LIB/DGFIP/LIB/PASDSN17112025-102025-8115245450/LIB/NN811524545DGFIP2018764317JOSGOB"/>
    <m/>
    <e v="#N/A"/>
    <e v="#N/A"/>
    <n v="91149"/>
    <m/>
    <m/>
    <s v="Q4"/>
    <e v="#REF!"/>
    <e v="#REF!"/>
    <e v="#REF!"/>
  </r>
  <r>
    <s v="512100"/>
    <x v="6"/>
    <s v="BANQUE POPULAIRE RIVE DE PARIS"/>
    <s v="BPRI"/>
    <n v="-2628"/>
    <d v="2025-11-25T00:00:00"/>
    <s v="/SQTP/RCUR/LIB/PRLV INT ETS DGFIP/LIB/DGFIP/LIB/PASDSN17112025-102025-8115245450/LIB/NN811524545DGFIP2018764317JOSGOB"/>
    <m/>
    <e v="#N/A"/>
    <e v="#N/A"/>
    <n v="91143"/>
    <m/>
    <m/>
    <s v="Q4"/>
    <e v="#REF!"/>
    <e v="#REF!"/>
    <e v="#REF!"/>
  </r>
  <r>
    <s v="437100"/>
    <x v="6"/>
    <s v="MUTUELLES - ALAN"/>
    <s v="BPRI"/>
    <n v="1384.53"/>
    <d v="2025-12-04T00:00:00"/>
    <s v="/SQTP/RCUR/LIB/PRLV SEPA ALAN INSURANCE/LIB/ALAN INSURANCE/LIB/ALAN SANTE 203133/LIB/722636693"/>
    <m/>
    <e v="#N/A"/>
    <e v="#N/A"/>
    <n v="91332"/>
    <m/>
    <m/>
    <s v="Q4"/>
    <e v="#REF!"/>
    <e v="#REF!"/>
    <e v="#REF!"/>
  </r>
  <r>
    <s v="437100"/>
    <x v="6"/>
    <s v="MUTUELLES - ALAN"/>
    <s v="BPRI"/>
    <n v="1472"/>
    <d v="2025-11-05T00:00:00"/>
    <s v="/SQTP/RCUR/LIB/PRLV SEPA ALAN INSURANCE/LIB/ALAN INSURANCE/LIB/ALAN SANTE 203133/LIB/722636693"/>
    <m/>
    <e v="#N/A"/>
    <e v="#N/A"/>
    <n v="89288"/>
    <m/>
    <m/>
    <s v="Q4"/>
    <e v="#REF!"/>
    <e v="#REF!"/>
    <e v="#REF!"/>
  </r>
  <r>
    <s v="437100"/>
    <x v="6"/>
    <s v="MUTUELLES - ALAN"/>
    <s v="BPRI"/>
    <n v="1536"/>
    <d v="2025-10-06T00:00:00"/>
    <s v="/SQTP/RCUR/LIB/PRLV SEPA ALAN INSURANCE/LIB/ALAN INSURANCE/LIB/ALAN SANTE 203133/LIB/722636693"/>
    <m/>
    <e v="#N/A"/>
    <e v="#N/A"/>
    <n v="86888"/>
    <m/>
    <m/>
    <s v="Q4"/>
    <e v="#REF!"/>
    <e v="#REF!"/>
    <e v="#REF!"/>
  </r>
  <r>
    <s v="431100"/>
    <x v="6"/>
    <s v="IJSS À RECEVOIR"/>
    <s v="BPRI"/>
    <n v="-484.44"/>
    <d v="2025-02-21T00:00:00"/>
    <s v="EVI CPAM 94"/>
    <m/>
    <e v="#N/A"/>
    <e v="#N/A"/>
    <n v="21393"/>
    <s v="2D38D2K"/>
    <m/>
    <s v="Q1"/>
    <e v="#REF!"/>
    <e v="#REF!"/>
    <e v="#REF!"/>
  </r>
  <r>
    <s v="512100"/>
    <x v="6"/>
    <s v="BANQUE POPULAIRE RIVE DE PARIS"/>
    <s v="BPRI"/>
    <n v="-1536"/>
    <d v="2025-10-06T00:00:00"/>
    <s v="/SQTP/RCUR/LIB/PRLV SEPA ALAN INSURANCE/LIB/ALAN INSURANCE/LIB/ALAN SANTE 203133/LIB/722636693"/>
    <m/>
    <e v="#N/A"/>
    <e v="#N/A"/>
    <n v="86887"/>
    <m/>
    <m/>
    <s v="Q4"/>
    <e v="#REF!"/>
    <e v="#REF!"/>
    <e v="#REF!"/>
  </r>
  <r>
    <s v="431100"/>
    <x v="6"/>
    <s v="IJSS À RECEVOIR"/>
    <s v="BPRI"/>
    <n v="-308.27999999999997"/>
    <d v="2025-04-14T00:00:00"/>
    <s v="Viirement CPAM 94"/>
    <m/>
    <e v="#N/A"/>
    <e v="#N/A"/>
    <n v="67609"/>
    <m/>
    <m/>
    <s v="Q2"/>
    <e v="#REF!"/>
    <e v="#REF!"/>
    <e v="#REF!"/>
  </r>
  <r>
    <s v="431100"/>
    <x v="6"/>
    <s v="IJSS À RECEVOIR"/>
    <s v="BPRI"/>
    <n v="-282.60000000000002"/>
    <d v="2025-01-06T00:00:00"/>
    <s v="EVI C.P.A.M. DE L ISERE"/>
    <m/>
    <e v="#N/A"/>
    <e v="#N/A"/>
    <n v="20895"/>
    <s v="0AO15KI"/>
    <m/>
    <s v="Q1"/>
    <e v="#REF!"/>
    <e v="#REF!"/>
    <e v="#REF!"/>
  </r>
  <r>
    <s v="512100"/>
    <x v="6"/>
    <s v="BANQUE POPULAIRE RIVE DE PARIS"/>
    <s v="BPRI"/>
    <n v="-1472"/>
    <d v="2025-11-05T00:00:00"/>
    <s v="/SQTP/RCUR/LIB/PRLV SEPA ALAN INSURANCE/LIB/ALAN INSURANCE/LIB/ALAN SANTE 203133/LIB/722636693"/>
    <m/>
    <e v="#N/A"/>
    <e v="#N/A"/>
    <n v="89287"/>
    <m/>
    <m/>
    <s v="Q4"/>
    <e v="#REF!"/>
    <e v="#REF!"/>
    <e v="#REF!"/>
  </r>
  <r>
    <s v="512100"/>
    <x v="6"/>
    <s v="BANQUE POPULAIRE RIVE DE PARIS"/>
    <s v="BPRI"/>
    <n v="-1384.53"/>
    <d v="2025-12-04T00:00:00"/>
    <s v="/SQTP/RCUR/LIB/PRLV SEPA ALAN INSURANCE/LIB/ALAN INSURANCE/LIB/ALAN SANTE 203133/LIB/722636693"/>
    <m/>
    <e v="#N/A"/>
    <e v="#N/A"/>
    <n v="91331"/>
    <m/>
    <m/>
    <s v="Q4"/>
    <e v="#REF!"/>
    <e v="#REF!"/>
    <e v="#REF!"/>
  </r>
  <r>
    <s v="437100"/>
    <x v="6"/>
    <s v="MUTUELLES - ALAN"/>
    <s v="BPRI"/>
    <n v="576"/>
    <d v="2025-11-05T00:00:00"/>
    <s v="/SQTP/RCUR/LIB/PRLV SEPA ALAN INSURANCE/LIB/ALAN INSURANCE/LIB/ALAN SANTE 203134/LIB/39618343"/>
    <m/>
    <e v="#N/A"/>
    <e v="#N/A"/>
    <n v="89282"/>
    <m/>
    <m/>
    <s v="Q4"/>
    <e v="#REF!"/>
    <e v="#REF!"/>
    <e v="#REF!"/>
  </r>
  <r>
    <s v="431100"/>
    <x v="6"/>
    <s v="IJSS À RECEVOIR"/>
    <s v="BPRI"/>
    <n v="-125.72"/>
    <d v="2025-04-30T00:00:00"/>
    <s v="Virement CPAM"/>
    <m/>
    <e v="#N/A"/>
    <e v="#N/A"/>
    <n v="70651"/>
    <m/>
    <m/>
    <s v="Q2"/>
    <e v="#REF!"/>
    <e v="#REF!"/>
    <e v="#REF!"/>
  </r>
  <r>
    <s v="431100"/>
    <x v="6"/>
    <s v="IJSS À RECEVOIR"/>
    <s v="BPRI"/>
    <n v="-99.46"/>
    <d v="2025-01-29T00:00:00"/>
    <s v="EVI CPAM 75 PRESTATIONS"/>
    <m/>
    <e v="#N/A"/>
    <e v="#N/A"/>
    <n v="21110"/>
    <s v="1B1X2KG"/>
    <m/>
    <s v="Q1"/>
    <e v="#REF!"/>
    <e v="#REF!"/>
    <e v="#REF!"/>
  </r>
  <r>
    <s v="431100"/>
    <x v="6"/>
    <s v="IJSS À RECEVOIR"/>
    <s v="SA"/>
    <n v="792.84"/>
    <d v="2025-04-30T00:00:00"/>
    <s v="IJSS NETTES"/>
    <m/>
    <e v="#N/A"/>
    <e v="#N/A"/>
    <n v="80315"/>
    <s v="SA202504"/>
    <m/>
    <s v="Q2"/>
    <e v="#REF!"/>
    <e v="#REF!"/>
    <e v="#REF!"/>
  </r>
  <r>
    <s v="431100"/>
    <x v="6"/>
    <s v="IJSS À RECEVOIR"/>
    <s v="SA"/>
    <n v="977.56"/>
    <d v="2025-03-31T00:00:00"/>
    <s v="IJSS NETTES"/>
    <m/>
    <e v="#N/A"/>
    <e v="#N/A"/>
    <n v="80484"/>
    <s v="SA202503"/>
    <m/>
    <s v="Q1"/>
    <e v="#REF!"/>
    <e v="#REF!"/>
    <e v="#REF!"/>
  </r>
  <r>
    <s v="431100"/>
    <x v="6"/>
    <s v="IJSS À RECEVOIR"/>
    <s v="SA"/>
    <n v="1276.82"/>
    <d v="2025-10-31T00:00:00"/>
    <s v="IJSS NETTES"/>
    <m/>
    <e v="#N/A"/>
    <e v="#N/A"/>
    <n v="87759"/>
    <s v="SA202510"/>
    <m/>
    <s v="Q4"/>
    <e v="#REF!"/>
    <e v="#REF!"/>
    <e v="#REF!"/>
  </r>
  <r>
    <s v="431100"/>
    <x v="6"/>
    <s v="IJSS À RECEVOIR"/>
    <s v="SA"/>
    <n v="1354.17"/>
    <d v="2025-02-28T00:00:00"/>
    <s v="IJSS NETTES"/>
    <m/>
    <e v="#N/A"/>
    <e v="#N/A"/>
    <n v="85188"/>
    <s v="SA202502"/>
    <m/>
    <s v="Q1"/>
    <e v="#REF!"/>
    <e v="#REF!"/>
    <e v="#REF!"/>
  </r>
  <r>
    <s v="431100"/>
    <x v="6"/>
    <s v="IJSS À RECEVOIR"/>
    <s v="SA"/>
    <n v="1625.05"/>
    <d v="2025-11-30T00:00:00"/>
    <s v="IJSS NETTES"/>
    <m/>
    <e v="#N/A"/>
    <e v="#N/A"/>
    <n v="92268"/>
    <s v="SA202511"/>
    <m/>
    <s v="Q4"/>
    <e v="#REF!"/>
    <e v="#REF!"/>
    <e v="#REF!"/>
  </r>
  <r>
    <s v="431100"/>
    <x v="6"/>
    <s v="IJSS À RECEVOIR"/>
    <s v="SA"/>
    <n v="1844.23"/>
    <d v="2025-03-31T00:00:00"/>
    <s v="IJSS NETTES"/>
    <m/>
    <e v="#N/A"/>
    <e v="#N/A"/>
    <n v="80483"/>
    <s v="SA202503"/>
    <m/>
    <s v="Q1"/>
    <e v="#REF!"/>
    <e v="#REF!"/>
    <e v="#REF!"/>
  </r>
  <r>
    <s v="431100"/>
    <x v="6"/>
    <s v="IJSS À RECEVOIR"/>
    <s v="SA"/>
    <n v="2472.86"/>
    <d v="2025-08-31T00:00:00"/>
    <s v="IJSS NETTES"/>
    <m/>
    <e v="#N/A"/>
    <e v="#N/A"/>
    <n v="83921"/>
    <s v="SA202508"/>
    <m/>
    <s v="Q3"/>
    <e v="#REF!"/>
    <e v="#REF!"/>
    <e v="#REF!"/>
  </r>
  <r>
    <s v="431100"/>
    <x v="6"/>
    <s v="IJSS À RECEVOIR"/>
    <s v="SA"/>
    <n v="2853.3"/>
    <d v="2025-06-30T00:00:00"/>
    <s v="IJSS NETTES"/>
    <m/>
    <e v="#N/A"/>
    <e v="#N/A"/>
    <n v="79976"/>
    <s v="SA202506"/>
    <m/>
    <s v="Q2"/>
    <e v="#REF!"/>
    <e v="#REF!"/>
    <e v="#REF!"/>
  </r>
  <r>
    <s v="431100"/>
    <x v="6"/>
    <s v="IJSS À RECEVOIR"/>
    <s v="SA"/>
    <n v="2863.17"/>
    <d v="2025-12-31T00:00:00"/>
    <s v="IJSS NETTES"/>
    <m/>
    <e v="#N/A"/>
    <e v="#N/A"/>
    <n v="92727"/>
    <s v="SA202512"/>
    <m/>
    <s v="Q4"/>
    <e v="#REF!"/>
    <e v="#REF!"/>
    <e v="#REF!"/>
  </r>
  <r>
    <s v="431100"/>
    <x v="6"/>
    <s v="IJSS À RECEVOIR"/>
    <s v="SA"/>
    <n v="2948.41"/>
    <d v="2025-05-31T00:00:00"/>
    <s v="IJSS NETTES"/>
    <m/>
    <e v="#N/A"/>
    <e v="#N/A"/>
    <n v="80145"/>
    <s v="SA202505"/>
    <m/>
    <s v="Q2"/>
    <e v="#REF!"/>
    <e v="#REF!"/>
    <e v="#REF!"/>
  </r>
  <r>
    <s v="431100"/>
    <x v="6"/>
    <s v="IJSS À RECEVOIR"/>
    <s v="SA"/>
    <n v="3385.57"/>
    <d v="2025-01-31T00:00:00"/>
    <s v="IJSS NETTES"/>
    <m/>
    <e v="#N/A"/>
    <e v="#N/A"/>
    <n v="85377"/>
    <s v="SA202501"/>
    <m/>
    <s v="Q1"/>
    <e v="#REF!"/>
    <e v="#REF!"/>
    <e v="#REF!"/>
  </r>
  <r>
    <s v="431100"/>
    <x v="6"/>
    <s v="IJSS À RECEVOIR"/>
    <s v="SA"/>
    <n v="7418.58"/>
    <d v="2025-07-31T00:00:00"/>
    <s v="IJSS NETTES"/>
    <m/>
    <e v="#N/A"/>
    <e v="#N/A"/>
    <n v="79802"/>
    <s v="SA202507"/>
    <m/>
    <s v="Q3"/>
    <e v="#REF!"/>
    <e v="#REF!"/>
    <e v="#REF!"/>
  </r>
  <r>
    <s v="437100"/>
    <x v="6"/>
    <s v="MUTUELLES - ALAN"/>
    <s v="AN"/>
    <n v="-6534.76"/>
    <d v="2025-01-01T00:00:00"/>
    <s v="Report à nouveau Exercice 2025"/>
    <m/>
    <e v="#N/A"/>
    <e v="#N/A"/>
    <n v="84774"/>
    <m/>
    <m/>
    <s v="Q1"/>
    <e v="#REF!"/>
    <e v="#REF!"/>
    <e v="#REF!"/>
  </r>
  <r>
    <s v="437100"/>
    <x v="6"/>
    <s v="MUTUELLES - ALAN"/>
    <s v="BPRI"/>
    <n v="576"/>
    <d v="2025-09-04T00:00:00"/>
    <s v="PRLV SEPA ALAN"/>
    <m/>
    <e v="#N/A"/>
    <e v="#N/A"/>
    <n v="81703"/>
    <m/>
    <m/>
    <s v="Q3"/>
    <e v="#REF!"/>
    <e v="#REF!"/>
    <e v="#REF!"/>
  </r>
  <r>
    <s v="437100"/>
    <x v="6"/>
    <s v="MUTUELLES - ALAN"/>
    <s v="BPRI"/>
    <n v="640"/>
    <d v="2025-12-03T00:00:00"/>
    <s v="/SQTP/RCUR/LIB/PRLV SEPA ALAN INSURANCE/LIB/ALAN INSURANCE/LIB/ALAN SANTE 203134/LIB/39618343"/>
    <m/>
    <e v="#N/A"/>
    <e v="#N/A"/>
    <n v="91322"/>
    <m/>
    <m/>
    <s v="Q4"/>
    <e v="#REF!"/>
    <e v="#REF!"/>
    <e v="#REF!"/>
  </r>
  <r>
    <s v="437100"/>
    <x v="6"/>
    <s v="MUTUELLES - ALAN"/>
    <s v="BPRI"/>
    <n v="704"/>
    <d v="2025-10-06T00:00:00"/>
    <s v="/SQTP/RCUR/LIB/PRLV SEPA ALAN INSURANCE/LIB/ALAN INSURANCE/LIB/ALAN SANTE 203134/LIB/39618343"/>
    <m/>
    <e v="#N/A"/>
    <e v="#N/A"/>
    <n v="86882"/>
    <m/>
    <m/>
    <s v="Q4"/>
    <e v="#REF!"/>
    <e v="#REF!"/>
    <e v="#REF!"/>
  </r>
  <r>
    <s v="437100"/>
    <x v="6"/>
    <s v="MUTUELLES - ALAN"/>
    <s v="BPRI"/>
    <n v="635.73"/>
    <d v="2025-05-06T00:00:00"/>
    <s v="Prélèvement Alan"/>
    <m/>
    <e v="#N/A"/>
    <e v="#N/A"/>
    <n v="71676"/>
    <m/>
    <m/>
    <s v="Q2"/>
    <e v="#REF!"/>
    <e v="#REF!"/>
    <e v="#REF!"/>
  </r>
  <r>
    <s v="437100"/>
    <x v="6"/>
    <s v="MUTUELLES - ALAN"/>
    <s v="BPRI"/>
    <n v="640"/>
    <d v="2025-06-05T00:00:00"/>
    <s v="Prélèvement - Alan - mai 25 - KB"/>
    <m/>
    <e v="#N/A"/>
    <e v="#N/A"/>
    <n v="75581"/>
    <m/>
    <m/>
    <s v="Q2"/>
    <e v="#REF!"/>
    <e v="#REF!"/>
    <e v="#REF!"/>
  </r>
  <r>
    <s v="512100"/>
    <x v="6"/>
    <s v="BANQUE POPULAIRE RIVE DE PARIS"/>
    <s v="BPRI"/>
    <n v="-704"/>
    <d v="2025-10-06T00:00:00"/>
    <s v="/SQTP/RCUR/LIB/PRLV SEPA ALAN INSURANCE/LIB/ALAN INSURANCE/LIB/ALAN SANTE 203134/LIB/39618343"/>
    <m/>
    <e v="#N/A"/>
    <e v="#N/A"/>
    <n v="86881"/>
    <m/>
    <m/>
    <s v="Q4"/>
    <e v="#REF!"/>
    <e v="#REF!"/>
    <e v="#REF!"/>
  </r>
  <r>
    <s v="437100"/>
    <x v="6"/>
    <s v="MUTUELLES - ALAN"/>
    <s v="BPRI"/>
    <n v="701.87"/>
    <d v="2025-07-04T00:00:00"/>
    <s v="PRLV SEPA ALAN INSURANCE"/>
    <m/>
    <e v="#N/A"/>
    <e v="#N/A"/>
    <n v="77051"/>
    <m/>
    <m/>
    <s v="Q3"/>
    <e v="#REF!"/>
    <e v="#REF!"/>
    <e v="#REF!"/>
  </r>
  <r>
    <s v="512100"/>
    <x v="6"/>
    <s v="BANQUE POPULAIRE RIVE DE PARIS"/>
    <s v="BPRI"/>
    <n v="-640"/>
    <d v="2025-12-03T00:00:00"/>
    <s v="/SQTP/RCUR/LIB/PRLV SEPA ALAN INSURANCE/LIB/ALAN INSURANCE/LIB/ALAN SANTE 203134/LIB/39618343"/>
    <m/>
    <e v="#N/A"/>
    <e v="#N/A"/>
    <n v="91320"/>
    <m/>
    <m/>
    <s v="Q4"/>
    <e v="#REF!"/>
    <e v="#REF!"/>
    <e v="#REF!"/>
  </r>
  <r>
    <s v="437100"/>
    <x v="6"/>
    <s v="MUTUELLES - ALAN"/>
    <s v="BPRI"/>
    <n v="733.87"/>
    <d v="2025-04-04T00:00:00"/>
    <s v="Prélèvement Alan"/>
    <m/>
    <e v="#N/A"/>
    <e v="#N/A"/>
    <n v="66590"/>
    <m/>
    <m/>
    <s v="Q2"/>
    <e v="#REF!"/>
    <e v="#REF!"/>
    <e v="#REF!"/>
  </r>
  <r>
    <s v="437100"/>
    <x v="6"/>
    <s v="MUTUELLES - ALAN"/>
    <s v="BPRI"/>
    <n v="832"/>
    <d v="2025-03-05T00:00:00"/>
    <s v="Prélèvement ALAN"/>
    <m/>
    <e v="#N/A"/>
    <e v="#N/A"/>
    <n v="58847"/>
    <m/>
    <m/>
    <s v="Q1"/>
    <e v="#REF!"/>
    <e v="#REF!"/>
    <e v="#REF!"/>
  </r>
  <r>
    <s v="437100"/>
    <x v="6"/>
    <s v="MUTUELLES - ALAN"/>
    <s v="BPRI"/>
    <n v="861.87"/>
    <d v="2025-02-05T00:00:00"/>
    <s v="PRLV SEPA ALAN INSURANCE"/>
    <m/>
    <e v="#N/A"/>
    <e v="#N/A"/>
    <n v="21195"/>
    <s v="079CHVT"/>
    <m/>
    <s v="Q1"/>
    <e v="#REF!"/>
    <e v="#REF!"/>
    <e v="#REF!"/>
  </r>
  <r>
    <s v="437100"/>
    <x v="6"/>
    <s v="MUTUELLES - ALAN"/>
    <s v="BPRI"/>
    <n v="960"/>
    <d v="2025-02-05T00:00:00"/>
    <s v="PRLV SEPA ALAN INSURANCE"/>
    <m/>
    <e v="#N/A"/>
    <e v="#N/A"/>
    <n v="21193"/>
    <s v="079CHUL"/>
    <m/>
    <s v="Q1"/>
    <e v="#REF!"/>
    <e v="#REF!"/>
    <e v="#REF!"/>
  </r>
  <r>
    <s v="512100"/>
    <x v="6"/>
    <s v="BANQUE POPULAIRE RIVE DE PARIS"/>
    <s v="BPRI"/>
    <n v="-576"/>
    <d v="2025-11-05T00:00:00"/>
    <s v="/SQTP/RCUR/LIB/PRLV SEPA ALAN INSURANCE/LIB/ALAN INSURANCE/LIB/ALAN SANTE 203134/LIB/39618343"/>
    <m/>
    <e v="#N/A"/>
    <e v="#N/A"/>
    <n v="89281"/>
    <m/>
    <m/>
    <s v="Q4"/>
    <e v="#REF!"/>
    <e v="#REF!"/>
    <e v="#REF!"/>
  </r>
  <r>
    <s v="437100"/>
    <x v="6"/>
    <s v="MUTUELLES - ALAN"/>
    <s v="BPRI"/>
    <n v="960"/>
    <d v="2025-12-04T00:00:00"/>
    <s v="/SQTP/RCUR/LIB/PRLV SEPA ALAN INSURANCE/LIB/ALAN INSURANCE/LIB/ALAN SANTE 203135/LIB/321695447"/>
    <m/>
    <e v="#N/A"/>
    <e v="#N/A"/>
    <n v="91330"/>
    <m/>
    <m/>
    <s v="Q4"/>
    <e v="#REF!"/>
    <e v="#REF!"/>
    <e v="#REF!"/>
  </r>
  <r>
    <s v="437100"/>
    <x v="6"/>
    <s v="MUTUELLES - ALAN"/>
    <s v="BPRI"/>
    <n v="1000.54"/>
    <d v="2025-07-04T00:00:00"/>
    <s v="PRLV SEPA ALAN INSURANCE"/>
    <m/>
    <e v="#N/A"/>
    <e v="#N/A"/>
    <n v="77055"/>
    <m/>
    <m/>
    <s v="Q3"/>
    <e v="#REF!"/>
    <e v="#REF!"/>
    <e v="#REF!"/>
  </r>
  <r>
    <s v="437100"/>
    <x v="6"/>
    <s v="MUTUELLES - ALAN"/>
    <s v="BPRI"/>
    <n v="1015.47"/>
    <d v="2025-03-05T00:00:00"/>
    <s v="Prélèvement ALAN"/>
    <m/>
    <e v="#N/A"/>
    <e v="#N/A"/>
    <n v="58844"/>
    <m/>
    <m/>
    <s v="Q1"/>
    <e v="#REF!"/>
    <e v="#REF!"/>
    <e v="#REF!"/>
  </r>
  <r>
    <s v="437100"/>
    <x v="6"/>
    <s v="MUTUELLES - ALAN"/>
    <s v="BPRI"/>
    <n v="1024"/>
    <d v="2025-04-04T00:00:00"/>
    <s v="Prélèvement Alan"/>
    <m/>
    <e v="#N/A"/>
    <e v="#N/A"/>
    <n v="66587"/>
    <m/>
    <m/>
    <s v="Q2"/>
    <e v="#REF!"/>
    <e v="#REF!"/>
    <e v="#REF!"/>
  </r>
  <r>
    <s v="437100"/>
    <x v="6"/>
    <s v="MUTUELLES - ALAN"/>
    <s v="BPRI"/>
    <n v="1024"/>
    <d v="2025-05-06T00:00:00"/>
    <s v="Prélèvement Alan"/>
    <m/>
    <e v="#N/A"/>
    <e v="#N/A"/>
    <n v="71679"/>
    <m/>
    <m/>
    <s v="Q2"/>
    <e v="#REF!"/>
    <e v="#REF!"/>
    <e v="#REF!"/>
  </r>
  <r>
    <s v="437100"/>
    <x v="6"/>
    <s v="MUTUELLES - ALAN"/>
    <s v="BPRI"/>
    <n v="1024"/>
    <d v="2025-06-05T00:00:00"/>
    <s v="Prélèvement - Alan - mai 25 - RO"/>
    <m/>
    <e v="#N/A"/>
    <e v="#N/A"/>
    <n v="75584"/>
    <m/>
    <m/>
    <s v="Q2"/>
    <e v="#REF!"/>
    <e v="#REF!"/>
    <e v="#REF!"/>
  </r>
  <r>
    <s v="437100"/>
    <x v="6"/>
    <s v="MUTUELLES - ALAN"/>
    <s v="BPRI"/>
    <n v="977.07"/>
    <d v="2025-11-05T00:00:00"/>
    <s v="/SQTP/RCUR/LIB/PRLV SEPA ALAN INSURANCE/LIB/ALAN INSURANCE/LIB/ALAN SANTE 203135/LIB/321695447"/>
    <m/>
    <e v="#N/A"/>
    <e v="#N/A"/>
    <n v="89285"/>
    <m/>
    <m/>
    <s v="Q4"/>
    <e v="#REF!"/>
    <e v="#REF!"/>
    <e v="#REF!"/>
  </r>
  <r>
    <s v="437100"/>
    <x v="6"/>
    <s v="MUTUELLES - ALAN"/>
    <s v="BPRI"/>
    <n v="1149.8699999999999"/>
    <d v="2025-09-04T00:00:00"/>
    <s v="PRLV SEPA ALAN"/>
    <m/>
    <e v="#N/A"/>
    <e v="#N/A"/>
    <n v="81706"/>
    <m/>
    <m/>
    <s v="Q3"/>
    <e v="#REF!"/>
    <e v="#REF!"/>
    <e v="#REF!"/>
  </r>
  <r>
    <s v="437100"/>
    <x v="6"/>
    <s v="MUTUELLES - ALAN"/>
    <s v="BPRI"/>
    <n v="1096.54"/>
    <d v="2025-10-06T00:00:00"/>
    <s v="/SQTP/RCUR/LIB/PRLV SEPA ALAN INSURANCE/LIB/ALAN INSURANCE/LIB/ALAN SANTE 203135/LIB/321695447"/>
    <m/>
    <e v="#N/A"/>
    <e v="#N/A"/>
    <n v="86885"/>
    <m/>
    <m/>
    <s v="Q4"/>
    <e v="#REF!"/>
    <e v="#REF!"/>
    <e v="#REF!"/>
  </r>
  <r>
    <s v="437100"/>
    <x v="6"/>
    <s v="MUTUELLES - ALAN"/>
    <s v="BPRI"/>
    <n v="1216"/>
    <d v="2025-02-05T00:00:00"/>
    <s v="PRLV SEPA ALAN INSURANCE"/>
    <m/>
    <e v="#N/A"/>
    <e v="#N/A"/>
    <n v="21197"/>
    <s v="079CI9Y"/>
    <m/>
    <s v="Q1"/>
    <e v="#REF!"/>
    <e v="#REF!"/>
    <e v="#REF!"/>
  </r>
  <r>
    <s v="437100"/>
    <x v="6"/>
    <s v="MUTUELLES - ALAN"/>
    <s v="BPRI"/>
    <n v="1216"/>
    <d v="2025-03-05T00:00:00"/>
    <s v="Prélèvement ALAN"/>
    <m/>
    <e v="#N/A"/>
    <e v="#N/A"/>
    <n v="58841"/>
    <m/>
    <m/>
    <s v="Q1"/>
    <e v="#REF!"/>
    <e v="#REF!"/>
    <e v="#REF!"/>
  </r>
  <r>
    <s v="437100"/>
    <x v="6"/>
    <s v="MUTUELLES - ALAN"/>
    <s v="BPRI"/>
    <n v="1216"/>
    <d v="2025-04-04T00:00:00"/>
    <s v="Prélèvement Alan"/>
    <m/>
    <e v="#N/A"/>
    <e v="#N/A"/>
    <n v="66584"/>
    <m/>
    <m/>
    <s v="Q2"/>
    <e v="#REF!"/>
    <e v="#REF!"/>
    <e v="#REF!"/>
  </r>
  <r>
    <s v="437100"/>
    <x v="6"/>
    <s v="MUTUELLES - ALAN"/>
    <s v="BPRI"/>
    <n v="1216"/>
    <d v="2025-05-06T00:00:00"/>
    <s v="Prélèvement Alan"/>
    <m/>
    <e v="#N/A"/>
    <e v="#N/A"/>
    <n v="71682"/>
    <m/>
    <m/>
    <s v="Q2"/>
    <e v="#REF!"/>
    <e v="#REF!"/>
    <e v="#REF!"/>
  </r>
  <r>
    <s v="437100"/>
    <x v="6"/>
    <s v="MUTUELLES - ALAN"/>
    <s v="BPRI"/>
    <n v="1216"/>
    <d v="2025-06-05T00:00:00"/>
    <s v="Prélèvement - Alan - mai 25 - TO"/>
    <m/>
    <e v="#N/A"/>
    <e v="#N/A"/>
    <n v="75578"/>
    <m/>
    <m/>
    <s v="Q2"/>
    <e v="#REF!"/>
    <e v="#REF!"/>
    <e v="#REF!"/>
  </r>
  <r>
    <s v="437100"/>
    <x v="6"/>
    <s v="MUTUELLES - ALAN"/>
    <s v="BPRI"/>
    <n v="1376"/>
    <d v="2025-07-04T00:00:00"/>
    <s v="PRLV SEPA ALAN INSURANCE"/>
    <m/>
    <e v="#N/A"/>
    <e v="#N/A"/>
    <n v="77058"/>
    <m/>
    <m/>
    <s v="Q3"/>
    <e v="#REF!"/>
    <e v="#REF!"/>
    <e v="#REF!"/>
  </r>
  <r>
    <s v="512100"/>
    <x v="6"/>
    <s v="BANQUE POPULAIRE RIVE DE PARIS"/>
    <s v="BPRI"/>
    <n v="-1096.54"/>
    <d v="2025-10-06T00:00:00"/>
    <s v="/SQTP/RCUR/LIB/PRLV SEPA ALAN INSURANCE/LIB/ALAN INSURANCE/LIB/ALAN SANTE 203135/LIB/321695447"/>
    <m/>
    <e v="#N/A"/>
    <e v="#N/A"/>
    <n v="86884"/>
    <m/>
    <m/>
    <s v="Q4"/>
    <e v="#REF!"/>
    <e v="#REF!"/>
    <e v="#REF!"/>
  </r>
  <r>
    <s v="512100"/>
    <x v="6"/>
    <s v="BANQUE POPULAIRE RIVE DE PARIS"/>
    <s v="BPRI"/>
    <n v="-977.07"/>
    <d v="2025-11-05T00:00:00"/>
    <s v="/SQTP/RCUR/LIB/PRLV SEPA ALAN INSURANCE/LIB/ALAN INSURANCE/LIB/ALAN SANTE 203135/LIB/321695447"/>
    <m/>
    <e v="#N/A"/>
    <e v="#N/A"/>
    <n v="89284"/>
    <m/>
    <m/>
    <s v="Q4"/>
    <e v="#REF!"/>
    <e v="#REF!"/>
    <e v="#REF!"/>
  </r>
  <r>
    <s v="437100"/>
    <x v="6"/>
    <s v="MUTUELLES - ALAN"/>
    <s v="BPRI"/>
    <n v="1408"/>
    <d v="2025-09-04T00:00:00"/>
    <s v="PRLV SEPA ALAN"/>
    <m/>
    <e v="#N/A"/>
    <e v="#N/A"/>
    <n v="81709"/>
    <m/>
    <m/>
    <s v="Q3"/>
    <e v="#REF!"/>
    <e v="#REF!"/>
    <e v="#REF!"/>
  </r>
  <r>
    <s v="512100"/>
    <x v="6"/>
    <s v="BANQUE POPULAIRE RIVE DE PARIS"/>
    <s v="BPRI"/>
    <n v="-960"/>
    <d v="2025-12-04T00:00:00"/>
    <s v="/SQTP/RCUR/LIB/PRLV SEPA ALAN INSURANCE/LIB/ALAN INSURANCE/LIB/ALAN SANTE 203135/LIB/321695447"/>
    <m/>
    <e v="#N/A"/>
    <e v="#N/A"/>
    <n v="91329"/>
    <m/>
    <m/>
    <s v="Q4"/>
    <e v="#REF!"/>
    <e v="#REF!"/>
    <e v="#REF!"/>
  </r>
  <r>
    <s v="401000"/>
    <x v="6"/>
    <s v="FOURNISSEURS"/>
    <s v="BPRI"/>
    <n v="178.61"/>
    <d v="2025-07-31T00:00:00"/>
    <s v="/SQTP/RCUR/LIB/PRLV SEPA ALFI ACTIVITE IM/LIB/ALFI ACTIVITE IM/LIB//INV/5800692163 30.6.2025/LIB/00INTERND3000000026140"/>
    <m/>
    <e v="#N/A"/>
    <e v="#N/A"/>
    <n v="79402"/>
    <m/>
    <s v="AIR LIQUIDE"/>
    <s v="Q3"/>
    <e v="#REF!"/>
    <e v="#REF!"/>
    <e v="#REF!"/>
  </r>
  <r>
    <s v="437100"/>
    <x v="6"/>
    <s v="MUTUELLES - ALAN"/>
    <s v="BPRI"/>
    <n v="2888.76"/>
    <d v="2025-01-20T00:00:00"/>
    <s v="PRLV SEPA MALAKOFF HUMANIS"/>
    <m/>
    <e v="#N/A"/>
    <e v="#N/A"/>
    <n v="21035"/>
    <s v="073Q2ZZ"/>
    <m/>
    <s v="Q1"/>
    <e v="#REF!"/>
    <e v="#REF!"/>
    <e v="#REF!"/>
  </r>
  <r>
    <s v="437100"/>
    <x v="6"/>
    <s v="MUTUELLES - ALAN"/>
    <s v="BPRI"/>
    <n v="3143.82"/>
    <d v="2025-01-30T00:00:00"/>
    <s v="PRLV SEPA MALAKOFF HUMANIS"/>
    <m/>
    <e v="#N/A"/>
    <e v="#N/A"/>
    <n v="21112"/>
    <s v="073T4RE"/>
    <m/>
    <s v="Q1"/>
    <e v="#REF!"/>
    <e v="#REF!"/>
    <e v="#REF!"/>
  </r>
  <r>
    <s v="437100"/>
    <x v="6"/>
    <s v="MUTUELLES - ALAN"/>
    <s v="OD"/>
    <n v="-502.18"/>
    <d v="2025-01-31T00:00:00"/>
    <s v="Solde Mutuelle Malakoff Humanis - comptabilité 2024"/>
    <m/>
    <e v="#N/A"/>
    <e v="#N/A"/>
    <n v="87913"/>
    <m/>
    <m/>
    <s v="Q1"/>
    <e v="#REF!"/>
    <e v="#REF!"/>
    <e v="#REF!"/>
  </r>
  <r>
    <s v="437100"/>
    <x v="6"/>
    <s v="MUTUELLES - ALAN"/>
    <s v="OD"/>
    <n v="-2.13"/>
    <d v="2025-11-06T00:00:00"/>
    <s v="Ecart de règlement"/>
    <m/>
    <e v="#N/A"/>
    <e v="#N/A"/>
    <n v="89293"/>
    <m/>
    <m/>
    <s v="Q4"/>
    <e v="#REF!"/>
    <e v="#REF!"/>
    <e v="#REF!"/>
  </r>
  <r>
    <s v="437100"/>
    <x v="6"/>
    <s v="MUTUELLES - ALAN"/>
    <s v="OD"/>
    <n v="2.13"/>
    <d v="2025-09-30T00:00:00"/>
    <s v="Ecart de règlement"/>
    <m/>
    <e v="#N/A"/>
    <e v="#N/A"/>
    <n v="84353"/>
    <m/>
    <m/>
    <s v="Q3"/>
    <e v="#REF!"/>
    <e v="#REF!"/>
    <e v="#REF!"/>
  </r>
  <r>
    <s v="437100"/>
    <x v="6"/>
    <s v="MUTUELLES - ALAN"/>
    <s v="OD"/>
    <n v="85.34"/>
    <d v="2025-08-31T00:00:00"/>
    <s v="Ecart de règlement"/>
    <m/>
    <e v="#N/A"/>
    <e v="#N/A"/>
    <n v="84359"/>
    <m/>
    <m/>
    <s v="Q3"/>
    <e v="#REF!"/>
    <e v="#REF!"/>
    <e v="#REF!"/>
  </r>
  <r>
    <s v="437100"/>
    <x v="6"/>
    <s v="MUTUELLES - ALAN"/>
    <s v="OD"/>
    <n v="502.18"/>
    <d v="2025-01-31T00:00:00"/>
    <s v="Solde Mutuelle Malakoff Humanis - comptabilité 2024"/>
    <m/>
    <e v="#N/A"/>
    <e v="#N/A"/>
    <n v="87914"/>
    <m/>
    <m/>
    <s v="Q1"/>
    <e v="#REF!"/>
    <e v="#REF!"/>
    <e v="#REF!"/>
  </r>
  <r>
    <s v="437100"/>
    <x v="6"/>
    <s v="MUTUELLES - ALAN"/>
    <s v="SA"/>
    <n v="-4544"/>
    <d v="2025-03-31T00:00:00"/>
    <s v="MUTUELLE ISOLÉE"/>
    <m/>
    <e v="#N/A"/>
    <e v="#N/A"/>
    <n v="80485"/>
    <s v="SA202503"/>
    <m/>
    <s v="Q1"/>
    <e v="#REF!"/>
    <e v="#REF!"/>
    <e v="#REF!"/>
  </r>
  <r>
    <s v="437100"/>
    <x v="6"/>
    <s v="MUTUELLES - ALAN"/>
    <s v="SA"/>
    <n v="-4509.87"/>
    <d v="2025-06-30T00:00:00"/>
    <s v="MUTUELLE ISOLÉE"/>
    <m/>
    <e v="#N/A"/>
    <e v="#N/A"/>
    <n v="79977"/>
    <s v="SA202506"/>
    <m/>
    <s v="Q2"/>
    <e v="#REF!"/>
    <e v="#REF!"/>
    <e v="#REF!"/>
  </r>
  <r>
    <s v="437100"/>
    <x v="6"/>
    <s v="MUTUELLES - ALAN"/>
    <s v="SA"/>
    <n v="-4416"/>
    <d v="2025-04-30T00:00:00"/>
    <s v="MUTUELLE ISOLÉE"/>
    <m/>
    <e v="#N/A"/>
    <e v="#N/A"/>
    <n v="80316"/>
    <s v="SA202504"/>
    <m/>
    <s v="Q2"/>
    <e v="#REF!"/>
    <e v="#REF!"/>
    <e v="#REF!"/>
  </r>
  <r>
    <s v="437100"/>
    <x v="6"/>
    <s v="MUTUELLES - ALAN"/>
    <s v="SA"/>
    <n v="-4416"/>
    <d v="2025-05-31T00:00:00"/>
    <s v="MUTUELLE ISOLÉE"/>
    <m/>
    <e v="#N/A"/>
    <e v="#N/A"/>
    <n v="80146"/>
    <s v="SA202505"/>
    <m/>
    <s v="Q2"/>
    <e v="#REF!"/>
    <e v="#REF!"/>
    <e v="#REF!"/>
  </r>
  <r>
    <s v="437100"/>
    <x v="6"/>
    <s v="MUTUELLES - ALAN"/>
    <s v="SA"/>
    <n v="-3208.54"/>
    <d v="2025-10-31T00:00:00"/>
    <s v="MUTUELLE ISOLÉE, RÉGUL 09/2025"/>
    <m/>
    <e v="#N/A"/>
    <e v="#N/A"/>
    <n v="87760"/>
    <s v="SA202510"/>
    <m/>
    <s v="Q4"/>
    <e v="#REF!"/>
    <e v="#REF!"/>
    <e v="#REF!"/>
  </r>
  <r>
    <s v="437100"/>
    <x v="6"/>
    <s v="MUTUELLES - ALAN"/>
    <s v="SA"/>
    <n v="-3150.94"/>
    <d v="2025-09-30T00:00:00"/>
    <s v="MUTUELLE ISOLÉE"/>
    <m/>
    <e v="#N/A"/>
    <e v="#N/A"/>
    <n v="84095"/>
    <s v="SA202509"/>
    <m/>
    <s v="Q3"/>
    <e v="#REF!"/>
    <e v="#REF!"/>
    <e v="#REF!"/>
  </r>
  <r>
    <s v="437100"/>
    <x v="6"/>
    <s v="MUTUELLES - ALAN"/>
    <s v="SA"/>
    <n v="-3136"/>
    <d v="2025-08-31T00:00:00"/>
    <s v="MUTUELLE ISOLÉE"/>
    <m/>
    <e v="#N/A"/>
    <e v="#N/A"/>
    <n v="83922"/>
    <s v="SA202508"/>
    <m/>
    <s v="Q3"/>
    <e v="#REF!"/>
    <e v="#REF!"/>
    <e v="#REF!"/>
  </r>
  <r>
    <s v="437100"/>
    <x v="6"/>
    <s v="MUTUELLES - ALAN"/>
    <s v="SA"/>
    <n v="-3072"/>
    <d v="2025-01-31T00:00:00"/>
    <s v="MUTUELLE ISOLÉE"/>
    <m/>
    <e v="#N/A"/>
    <e v="#N/A"/>
    <n v="85378"/>
    <s v="SA202501"/>
    <m/>
    <s v="Q1"/>
    <e v="#REF!"/>
    <e v="#REF!"/>
    <e v="#REF!"/>
  </r>
  <r>
    <s v="437100"/>
    <x v="6"/>
    <s v="MUTUELLES - ALAN"/>
    <s v="SA"/>
    <n v="-3072"/>
    <d v="2025-02-28T00:00:00"/>
    <s v="MUTUELLE ISOLÉE"/>
    <m/>
    <e v="#N/A"/>
    <e v="#N/A"/>
    <n v="85189"/>
    <s v="SA202502"/>
    <m/>
    <s v="Q1"/>
    <e v="#REF!"/>
    <e v="#REF!"/>
    <e v="#REF!"/>
  </r>
  <r>
    <s v="437100"/>
    <x v="6"/>
    <s v="MUTUELLES - ALAN"/>
    <s v="SA"/>
    <n v="-3072"/>
    <d v="2025-11-30T00:00:00"/>
    <s v="MUTUELLE ISOLÉE"/>
    <m/>
    <e v="#N/A"/>
    <e v="#N/A"/>
    <n v="92269"/>
    <s v="SA202511"/>
    <m/>
    <s v="Q4"/>
    <e v="#REF!"/>
    <e v="#REF!"/>
    <e v="#REF!"/>
  </r>
  <r>
    <s v="437100"/>
    <x v="6"/>
    <s v="MUTUELLES - ALAN"/>
    <s v="SA"/>
    <n v="-2920.53"/>
    <d v="2025-12-31T00:00:00"/>
    <s v="MUTUELLE ISOLÉE"/>
    <m/>
    <e v="#N/A"/>
    <e v="#N/A"/>
    <n v="92728"/>
    <s v="SA202512"/>
    <m/>
    <s v="Q4"/>
    <e v="#REF!"/>
    <e v="#REF!"/>
    <e v="#REF!"/>
  </r>
  <r>
    <s v="437100"/>
    <x v="6"/>
    <s v="MUTUELLES - ALAN"/>
    <s v="SA"/>
    <n v="2852.25"/>
    <d v="2025-07-31T00:00:00"/>
    <s v="MUTUELLE ISOLÉE"/>
    <m/>
    <e v="#N/A"/>
    <e v="#N/A"/>
    <n v="79803"/>
    <s v="SA202507"/>
    <m/>
    <s v="Q3"/>
    <e v="#REF!"/>
    <e v="#REF!"/>
    <e v="#REF!"/>
  </r>
  <r>
    <s v="437200"/>
    <x v="6"/>
    <s v="PRÉVOYANCE - BENEFIZ"/>
    <s v="AN"/>
    <n v="-40363.85"/>
    <d v="2025-01-01T00:00:00"/>
    <s v="Report à nouveau Exercice 2025"/>
    <m/>
    <e v="#N/A"/>
    <e v="#N/A"/>
    <n v="84775"/>
    <m/>
    <m/>
    <s v="Q1"/>
    <e v="#REF!"/>
    <e v="#REF!"/>
    <e v="#REF!"/>
  </r>
  <r>
    <s v="512100"/>
    <x v="6"/>
    <s v="BANQUE POPULAIRE RIVE DE PARIS"/>
    <s v="BPRI"/>
    <n v="-178.61"/>
    <d v="2025-07-31T00:00:00"/>
    <s v="/SQTP/RCUR/LIB/PRLV SEPA ALFI ACTIVITE IM/LIB/ALFI ACTIVITE IM/LIB//INV/5800692163 30.6.2025/LIB/00INTERND3000000026140"/>
    <m/>
    <e v="#N/A"/>
    <e v="#N/A"/>
    <n v="79401"/>
    <m/>
    <s v="AIR LIQUIDE"/>
    <s v="Q3"/>
    <e v="#REF!"/>
    <e v="#REF!"/>
    <e v="#REF!"/>
  </r>
  <r>
    <s v="401000"/>
    <x v="6"/>
    <s v="FOURNISSEURS"/>
    <s v="BPRI"/>
    <n v="321.35000000000002"/>
    <d v="2025-07-31T00:00:00"/>
    <s v="/SQTP/RCUR/LIB/PRLV SEPA ALFI ACTIVITE IM/LIB/ALFI ACTIVITE IM/LIB//INV/5800692918 30.6.2025 /INV/5/LIB/00INTERND3000000024075"/>
    <m/>
    <e v="#N/A"/>
    <e v="#N/A"/>
    <n v="79396"/>
    <m/>
    <s v="AIR LIQUIDE"/>
    <s v="Q3"/>
    <e v="#REF!"/>
    <e v="#REF!"/>
    <e v="#REF!"/>
  </r>
  <r>
    <s v="437200"/>
    <x v="6"/>
    <s v="PRÉVOYANCE - BENEFIZ"/>
    <s v="BPRI"/>
    <n v="167.81"/>
    <d v="2025-03-06T00:00:00"/>
    <s v="Prélèvement Benefiz"/>
    <m/>
    <e v="#N/A"/>
    <e v="#N/A"/>
    <n v="58826"/>
    <m/>
    <m/>
    <s v="Q1"/>
    <e v="#REF!"/>
    <e v="#REF!"/>
    <e v="#REF!"/>
  </r>
  <r>
    <s v="437200"/>
    <x v="6"/>
    <s v="PRÉVOYANCE - BENEFIZ"/>
    <s v="BPRI"/>
    <n v="175.19"/>
    <d v="2025-05-07T00:00:00"/>
    <s v="Prélèvement Bénéfiz"/>
    <m/>
    <e v="#N/A"/>
    <e v="#N/A"/>
    <n v="71700"/>
    <m/>
    <m/>
    <s v="Q2"/>
    <e v="#REF!"/>
    <e v="#REF!"/>
    <e v="#REF!"/>
  </r>
  <r>
    <s v="512100"/>
    <x v="6"/>
    <s v="BANQUE POPULAIRE RIVE DE PARIS"/>
    <s v="BPRI"/>
    <n v="-321.35000000000002"/>
    <d v="2025-07-31T00:00:00"/>
    <s v="/SQTP/RCUR/LIB/PRLV SEPA ALFI ACTIVITE IM/LIB/ALFI ACTIVITE IM/LIB//INV/5800692918 30.6.2025 /INV/5/LIB/00INTERND3000000024075"/>
    <m/>
    <e v="#N/A"/>
    <e v="#N/A"/>
    <n v="79395"/>
    <m/>
    <s v="AIR LIQUIDE"/>
    <s v="Q3"/>
    <e v="#REF!"/>
    <e v="#REF!"/>
    <e v="#REF!"/>
  </r>
  <r>
    <s v="401000"/>
    <x v="6"/>
    <s v="FOURNISSEURS"/>
    <s v="BPRI"/>
    <n v="1212.67"/>
    <d v="2025-10-31T00:00:00"/>
    <s v="/SQTP/RCUR/LIB/PRLV SEPA ALFI ACTIVITE IM/LIB/ALFI ACTIVITE IM/LIB//INV/5800906723 30.9.2025/LIB/00INTERND3000000026140"/>
    <m/>
    <e v="#N/A"/>
    <e v="#N/A"/>
    <n v="87606"/>
    <m/>
    <s v="AIR LIQUIDE"/>
    <s v="Q4"/>
    <e v="#REF!"/>
    <e v="#REF!"/>
    <e v="#REF!"/>
  </r>
  <r>
    <s v="512100"/>
    <x v="6"/>
    <s v="BANQUE POPULAIRE RIVE DE PARIS"/>
    <s v="BPRI"/>
    <n v="-1212.67"/>
    <d v="2025-10-31T00:00:00"/>
    <s v="/SQTP/RCUR/LIB/PRLV SEPA ALFI ACTIVITE IM/LIB/ALFI ACTIVITE IM/LIB//INV/5800906723 30.9.2025/LIB/00INTERND3000000026140"/>
    <m/>
    <e v="#N/A"/>
    <e v="#N/A"/>
    <n v="87605"/>
    <m/>
    <s v="AIR LIQUIDE"/>
    <s v="Q4"/>
    <e v="#REF!"/>
    <e v="#REF!"/>
    <e v="#REF!"/>
  </r>
  <r>
    <s v="437200"/>
    <x v="6"/>
    <s v="PRÉVOYANCE - BENEFIZ"/>
    <s v="BPRI"/>
    <n v="182.87"/>
    <d v="2025-06-05T00:00:00"/>
    <s v="Prélèvement - Benefiz"/>
    <m/>
    <e v="#N/A"/>
    <e v="#N/A"/>
    <n v="75560"/>
    <m/>
    <m/>
    <s v="Q2"/>
    <e v="#REF!"/>
    <e v="#REF!"/>
    <e v="#REF!"/>
  </r>
  <r>
    <s v="437200"/>
    <x v="6"/>
    <s v="PRÉVOYANCE - BENEFIZ"/>
    <s v="BPRI"/>
    <n v="187.49"/>
    <d v="2025-06-05T00:00:00"/>
    <s v="Prélèvement - Benefiz"/>
    <m/>
    <e v="#N/A"/>
    <e v="#N/A"/>
    <n v="75563"/>
    <m/>
    <m/>
    <s v="Q2"/>
    <e v="#REF!"/>
    <e v="#REF!"/>
    <e v="#REF!"/>
  </r>
  <r>
    <s v="437200"/>
    <x v="6"/>
    <s v="PRÉVOYANCE - BENEFIZ"/>
    <s v="BPRI"/>
    <n v="187.93"/>
    <d v="2025-09-04T00:00:00"/>
    <s v="PRLV SEPA BENEFIZ"/>
    <m/>
    <e v="#N/A"/>
    <e v="#N/A"/>
    <n v="81691"/>
    <m/>
    <m/>
    <s v="Q3"/>
    <e v="#REF!"/>
    <e v="#REF!"/>
    <e v="#REF!"/>
  </r>
  <r>
    <s v="437200"/>
    <x v="6"/>
    <s v="PRÉVOYANCE - BENEFIZ"/>
    <s v="BPRI"/>
    <n v="189.46"/>
    <d v="2025-08-05T00:00:00"/>
    <s v="PRLV SEPA BENEFIZ"/>
    <m/>
    <e v="#N/A"/>
    <e v="#N/A"/>
    <n v="80695"/>
    <m/>
    <m/>
    <s v="Q3"/>
    <e v="#REF!"/>
    <e v="#REF!"/>
    <e v="#REF!"/>
  </r>
  <r>
    <s v="437200"/>
    <x v="6"/>
    <s v="PRÉVOYANCE - BENEFIZ"/>
    <s v="BPRI"/>
    <n v="190.77"/>
    <d v="2025-07-07T00:00:00"/>
    <s v="PRLV SEPA BENEFIZ"/>
    <m/>
    <e v="#N/A"/>
    <e v="#N/A"/>
    <n v="77029"/>
    <m/>
    <m/>
    <s v="Q3"/>
    <e v="#REF!"/>
    <e v="#REF!"/>
    <e v="#REF!"/>
  </r>
  <r>
    <s v="437200"/>
    <x v="6"/>
    <s v="PRÉVOYANCE - BENEFIZ"/>
    <s v="BPRI"/>
    <n v="201.92"/>
    <d v="2025-05-07T00:00:00"/>
    <s v="Prélèvement Bénéfiz"/>
    <m/>
    <e v="#N/A"/>
    <e v="#N/A"/>
    <n v="71697"/>
    <m/>
    <m/>
    <s v="Q2"/>
    <e v="#REF!"/>
    <e v="#REF!"/>
    <e v="#REF!"/>
  </r>
  <r>
    <s v="401000"/>
    <x v="6"/>
    <s v="FOURNISSEURS"/>
    <s v="BPRI"/>
    <n v="67"/>
    <d v="2025-11-28T00:00:00"/>
    <s v="/SQTP/RCUR/LIB/PRLV SEPA ALFI ACTIVITE IM/LIB/ALFI ACTIVITE IM/LIB//INV/5800971725 31.10.2025/LIB/00INTERND3000000024075"/>
    <m/>
    <e v="#N/A"/>
    <e v="#N/A"/>
    <n v="91287"/>
    <m/>
    <s v="AIR LIQUIDE"/>
    <s v="Q4"/>
    <e v="#REF!"/>
    <e v="#REF!"/>
    <e v="#REF!"/>
  </r>
  <r>
    <s v="437200"/>
    <x v="6"/>
    <s v="PRÉVOYANCE - BENEFIZ"/>
    <s v="BPRI"/>
    <n v="212.69"/>
    <d v="2025-08-05T00:00:00"/>
    <s v="PRLV SEPA BENEFIZ"/>
    <m/>
    <e v="#N/A"/>
    <e v="#N/A"/>
    <n v="80698"/>
    <m/>
    <m/>
    <s v="Q3"/>
    <e v="#REF!"/>
    <e v="#REF!"/>
    <e v="#REF!"/>
  </r>
  <r>
    <s v="437200"/>
    <x v="6"/>
    <s v="PRÉVOYANCE - BENEFIZ"/>
    <s v="BPRI"/>
    <n v="214.36"/>
    <d v="2025-07-07T00:00:00"/>
    <s v="PRLV SEPA BENEFIZ"/>
    <m/>
    <e v="#N/A"/>
    <e v="#N/A"/>
    <n v="77032"/>
    <m/>
    <m/>
    <s v="Q3"/>
    <e v="#REF!"/>
    <e v="#REF!"/>
    <e v="#REF!"/>
  </r>
  <r>
    <s v="437200"/>
    <x v="6"/>
    <s v="PRÉVOYANCE - BENEFIZ"/>
    <s v="BPRI"/>
    <n v="257.58"/>
    <d v="2025-04-07T00:00:00"/>
    <s v="Prélèvement Benefiz"/>
    <m/>
    <e v="#N/A"/>
    <e v="#N/A"/>
    <n v="66581"/>
    <m/>
    <m/>
    <s v="Q2"/>
    <e v="#REF!"/>
    <e v="#REF!"/>
    <e v="#REF!"/>
  </r>
  <r>
    <s v="437200"/>
    <x v="6"/>
    <s v="PRÉVOYANCE - BENEFIZ"/>
    <s v="BPRI"/>
    <n v="257.67"/>
    <d v="2025-03-06T00:00:00"/>
    <s v="Prélèvement Benefiz"/>
    <m/>
    <e v="#N/A"/>
    <e v="#N/A"/>
    <n v="58808"/>
    <m/>
    <m/>
    <s v="Q1"/>
    <e v="#REF!"/>
    <e v="#REF!"/>
    <e v="#REF!"/>
  </r>
  <r>
    <s v="437200"/>
    <x v="6"/>
    <s v="PRÉVOYANCE - BENEFIZ"/>
    <s v="BPRI"/>
    <n v="259.31"/>
    <d v="2025-03-06T00:00:00"/>
    <s v="Prélèvement Benefiz"/>
    <m/>
    <e v="#N/A"/>
    <e v="#N/A"/>
    <n v="58823"/>
    <m/>
    <m/>
    <s v="Q1"/>
    <e v="#REF!"/>
    <e v="#REF!"/>
    <e v="#REF!"/>
  </r>
  <r>
    <s v="437200"/>
    <x v="6"/>
    <s v="PRÉVOYANCE - BENEFIZ"/>
    <s v="BPRI"/>
    <n v="273.72000000000003"/>
    <d v="2025-06-05T00:00:00"/>
    <s v="Prélèvement - Benefiz"/>
    <m/>
    <e v="#N/A"/>
    <e v="#N/A"/>
    <n v="75566"/>
    <m/>
    <m/>
    <s v="Q2"/>
    <e v="#REF!"/>
    <e v="#REF!"/>
    <e v="#REF!"/>
  </r>
  <r>
    <s v="437200"/>
    <x v="6"/>
    <s v="PRÉVOYANCE - BENEFIZ"/>
    <s v="BPRI"/>
    <n v="288.89999999999998"/>
    <d v="2025-05-07T00:00:00"/>
    <s v="Prélèvement Bénéfiz"/>
    <m/>
    <e v="#N/A"/>
    <e v="#N/A"/>
    <n v="71694"/>
    <m/>
    <m/>
    <s v="Q2"/>
    <e v="#REF!"/>
    <e v="#REF!"/>
    <e v="#REF!"/>
  </r>
  <r>
    <s v="437200"/>
    <x v="6"/>
    <s v="PRÉVOYANCE - BENEFIZ"/>
    <s v="BPRI"/>
    <n v="295.79000000000002"/>
    <d v="2025-07-07T00:00:00"/>
    <s v="PRLV SEPA BENEFIZ"/>
    <m/>
    <e v="#N/A"/>
    <e v="#N/A"/>
    <n v="77035"/>
    <m/>
    <m/>
    <s v="Q3"/>
    <e v="#REF!"/>
    <e v="#REF!"/>
    <e v="#REF!"/>
  </r>
  <r>
    <s v="437200"/>
    <x v="6"/>
    <s v="PRÉVOYANCE - BENEFIZ"/>
    <s v="BPRI"/>
    <n v="313.74"/>
    <d v="2025-08-05T00:00:00"/>
    <s v="PRLV SEPA BENEFIZ"/>
    <m/>
    <e v="#N/A"/>
    <e v="#N/A"/>
    <n v="80701"/>
    <m/>
    <m/>
    <s v="Q3"/>
    <e v="#REF!"/>
    <e v="#REF!"/>
    <e v="#REF!"/>
  </r>
  <r>
    <s v="437200"/>
    <x v="6"/>
    <s v="PRÉVOYANCE - BENEFIZ"/>
    <s v="BPRI"/>
    <n v="320.17"/>
    <d v="2025-09-04T00:00:00"/>
    <s v="PRLV SEPA BENEFIZ"/>
    <m/>
    <e v="#N/A"/>
    <e v="#N/A"/>
    <n v="81693"/>
    <m/>
    <m/>
    <s v="Q3"/>
    <e v="#REF!"/>
    <e v="#REF!"/>
    <e v="#REF!"/>
  </r>
  <r>
    <s v="437200"/>
    <x v="6"/>
    <s v="PRÉVOYANCE - BENEFIZ"/>
    <s v="BPRI"/>
    <n v="339.36"/>
    <d v="2025-09-04T00:00:00"/>
    <s v="PRLV SEPA BENEFIZ"/>
    <m/>
    <e v="#N/A"/>
    <e v="#N/A"/>
    <n v="81697"/>
    <m/>
    <m/>
    <s v="Q3"/>
    <e v="#REF!"/>
    <e v="#REF!"/>
    <e v="#REF!"/>
  </r>
  <r>
    <s v="512100"/>
    <x v="6"/>
    <s v="BANQUE POPULAIRE RIVE DE PARIS"/>
    <s v="BPRI"/>
    <n v="-67"/>
    <d v="2025-11-28T00:00:00"/>
    <s v="/SQTP/RCUR/LIB/PRLV SEPA ALFI ACTIVITE IM/LIB/ALFI ACTIVITE IM/LIB//INV/5800971725 31.10.2025/LIB/00INTERND3000000024075"/>
    <m/>
    <e v="#N/A"/>
    <e v="#N/A"/>
    <n v="91286"/>
    <m/>
    <s v="AIR LIQUIDE"/>
    <s v="Q4"/>
    <e v="#REF!"/>
    <e v="#REF!"/>
    <e v="#REF!"/>
  </r>
  <r>
    <s v="401000"/>
    <x v="6"/>
    <s v="FOURNISSEURS"/>
    <s v="BPRI"/>
    <n v="178.61"/>
    <d v="2025-12-31T00:00:00"/>
    <s v="/SQTP/RCUR/LIB/PRLV SEPA ALFI ACTIVITE IM/LIB/ALFI ACTIVITE IM/LIB//INV/5801057271 30.11.2025/LIB/00INTERND3000000026140"/>
    <m/>
    <e v="#N/A"/>
    <e v="#N/A"/>
    <n v="93892"/>
    <m/>
    <s v="AIR LIQUIDE"/>
    <s v="Q4"/>
    <e v="#REF!"/>
    <e v="#REF!"/>
    <e v="#REF!"/>
  </r>
  <r>
    <s v="437200"/>
    <x v="6"/>
    <s v="PRÉVOYANCE - BENEFIZ"/>
    <s v="BPRI"/>
    <n v="357.7"/>
    <d v="2025-04-07T00:00:00"/>
    <s v="Prélèvement Benefiz"/>
    <m/>
    <e v="#N/A"/>
    <e v="#N/A"/>
    <n v="66577"/>
    <m/>
    <m/>
    <s v="Q2"/>
    <e v="#REF!"/>
    <e v="#REF!"/>
    <e v="#REF!"/>
  </r>
  <r>
    <s v="512100"/>
    <x v="6"/>
    <s v="BANQUE POPULAIRE RIVE DE PARIS"/>
    <s v="BPRI"/>
    <n v="-178.61"/>
    <d v="2025-12-31T00:00:00"/>
    <s v="/SQTP/RCUR/LIB/PRLV SEPA ALFI ACTIVITE IM/LIB/ALFI ACTIVITE IM/LIB//INV/5801057271 30.11.2025/LIB/00INTERND3000000026140"/>
    <m/>
    <e v="#N/A"/>
    <e v="#N/A"/>
    <n v="93891"/>
    <m/>
    <s v="AIR LIQUIDE"/>
    <s v="Q4"/>
    <e v="#REF!"/>
    <e v="#REF!"/>
    <e v="#REF!"/>
  </r>
  <r>
    <s v="437200"/>
    <x v="6"/>
    <s v="PRÉVOYANCE - BENEFIZ"/>
    <s v="BPRI"/>
    <n v="434.32"/>
    <d v="2025-04-07T00:00:00"/>
    <s v="Prélèvement Benefiz"/>
    <m/>
    <e v="#N/A"/>
    <e v="#N/A"/>
    <n v="66574"/>
    <m/>
    <m/>
    <s v="Q2"/>
    <e v="#REF!"/>
    <e v="#REF!"/>
    <e v="#REF!"/>
  </r>
  <r>
    <s v="437200"/>
    <x v="6"/>
    <s v="PRÉVOYANCE - BENEFIZ"/>
    <s v="BPRI"/>
    <n v="497.08"/>
    <d v="2025-03-06T00:00:00"/>
    <s v="Prélèvement Benefiz"/>
    <m/>
    <e v="#N/A"/>
    <e v="#N/A"/>
    <n v="58814"/>
    <m/>
    <m/>
    <s v="Q1"/>
    <e v="#REF!"/>
    <e v="#REF!"/>
    <e v="#REF!"/>
  </r>
  <r>
    <s v="437200"/>
    <x v="6"/>
    <s v="PRÉVOYANCE - BENEFIZ"/>
    <s v="BPRI"/>
    <n v="534.76"/>
    <d v="2025-09-04T00:00:00"/>
    <s v="PRLV SEPA BENEFIZ"/>
    <m/>
    <e v="#N/A"/>
    <e v="#N/A"/>
    <n v="81695"/>
    <m/>
    <m/>
    <s v="Q3"/>
    <e v="#REF!"/>
    <e v="#REF!"/>
    <e v="#REF!"/>
  </r>
  <r>
    <s v="401000"/>
    <x v="6"/>
    <s v="FOURNISSEURS"/>
    <s v="BPRI"/>
    <n v="2700"/>
    <d v="2025-11-28T00:00:00"/>
    <s v="/SQTP/RCUR/LIB/PRLV SEPA AXE GESCOM/LIB/AXE GESCOM/LIB/VENTES PILI/LIB/P2501018"/>
    <m/>
    <s v="Non"/>
    <e v="#N/A"/>
    <n v="91280"/>
    <m/>
    <s v="AXE GESCOM"/>
    <s v="Q4"/>
    <e v="#REF!"/>
    <e v="#REF!"/>
    <e v="#REF!"/>
  </r>
  <r>
    <s v="401000"/>
    <x v="6"/>
    <s v="FOURNISSEURS"/>
    <s v="BPRI"/>
    <n v="2862"/>
    <d v="2025-12-29T00:00:00"/>
    <s v="/SQTP/RCUR/LIB/PRLV SEPA AXE GESCOM/LIB/AXE GESCOM/LIB/VENTES PILI/LIB/P2501018"/>
    <m/>
    <s v="Non"/>
    <e v="#N/A"/>
    <n v="93707"/>
    <m/>
    <s v="AXE GESCOM"/>
    <s v="Q4"/>
    <e v="#REF!"/>
    <e v="#REF!"/>
    <e v="#REF!"/>
  </r>
  <r>
    <s v="512100"/>
    <x v="6"/>
    <s v="BANQUE POPULAIRE RIVE DE PARIS"/>
    <s v="BPRI"/>
    <n v="-2862"/>
    <d v="2025-12-29T00:00:00"/>
    <s v="/SQTP/RCUR/LIB/PRLV SEPA AXE GESCOM/LIB/AXE GESCOM/LIB/VENTES PILI/LIB/P2501018"/>
    <m/>
    <s v="Non"/>
    <e v="#N/A"/>
    <n v="93706"/>
    <m/>
    <s v="AXE GESCOM"/>
    <s v="Q4"/>
    <e v="#REF!"/>
    <e v="#REF!"/>
    <e v="#REF!"/>
  </r>
  <r>
    <s v="437200"/>
    <x v="6"/>
    <s v="PRÉVOYANCE - BENEFIZ"/>
    <s v="BPRI"/>
    <n v="610.53"/>
    <d v="2025-05-07T00:00:00"/>
    <s v="Prélèvement Bénéfiz"/>
    <m/>
    <e v="#N/A"/>
    <e v="#N/A"/>
    <n v="71691"/>
    <m/>
    <m/>
    <s v="Q2"/>
    <e v="#REF!"/>
    <e v="#REF!"/>
    <e v="#REF!"/>
  </r>
  <r>
    <s v="437200"/>
    <x v="6"/>
    <s v="PRÉVOYANCE - BENEFIZ"/>
    <s v="BPRI"/>
    <n v="621.80999999999995"/>
    <d v="2025-07-07T00:00:00"/>
    <s v="PRLV SEPA BENEFIZ"/>
    <m/>
    <e v="#N/A"/>
    <e v="#N/A"/>
    <n v="77044"/>
    <m/>
    <m/>
    <s v="Q3"/>
    <e v="#REF!"/>
    <e v="#REF!"/>
    <e v="#REF!"/>
  </r>
  <r>
    <s v="437200"/>
    <x v="6"/>
    <s v="PRÉVOYANCE - BENEFIZ"/>
    <s v="BPRI"/>
    <n v="664.36"/>
    <d v="2025-06-05T00:00:00"/>
    <s v="Prélèvement - Benefiz"/>
    <m/>
    <e v="#N/A"/>
    <e v="#N/A"/>
    <n v="75569"/>
    <m/>
    <m/>
    <s v="Q2"/>
    <e v="#REF!"/>
    <e v="#REF!"/>
    <e v="#REF!"/>
  </r>
  <r>
    <s v="437200"/>
    <x v="6"/>
    <s v="PRÉVOYANCE - BENEFIZ"/>
    <s v="BPRI"/>
    <n v="681.5"/>
    <d v="2025-08-05T00:00:00"/>
    <s v="PRLV SEPA BENEFIZ"/>
    <m/>
    <e v="#N/A"/>
    <e v="#N/A"/>
    <n v="80704"/>
    <m/>
    <m/>
    <s v="Q3"/>
    <e v="#REF!"/>
    <e v="#REF!"/>
    <e v="#REF!"/>
  </r>
  <r>
    <s v="437200"/>
    <x v="6"/>
    <s v="PRÉVOYANCE - BENEFIZ"/>
    <s v="BPRI"/>
    <n v="785.69"/>
    <d v="2025-01-16T00:00:00"/>
    <s v="524156C0000629 APRIL ENTR."/>
    <m/>
    <e v="#N/A"/>
    <e v="#N/A"/>
    <n v="21001"/>
    <s v="0734UZ6"/>
    <m/>
    <s v="Q1"/>
    <e v="#REF!"/>
    <e v="#REF!"/>
    <e v="#REF!"/>
  </r>
  <r>
    <s v="437200"/>
    <x v="6"/>
    <s v="PRÉVOYANCE - BENEFIZ"/>
    <s v="BPRI"/>
    <n v="883.74"/>
    <d v="2025-03-06T00:00:00"/>
    <s v="Prélèvement Benefiz"/>
    <m/>
    <e v="#N/A"/>
    <e v="#N/A"/>
    <n v="58820"/>
    <m/>
    <m/>
    <s v="Q1"/>
    <e v="#REF!"/>
    <e v="#REF!"/>
    <e v="#REF!"/>
  </r>
  <r>
    <s v="437200"/>
    <x v="6"/>
    <s v="PRÉVOYANCE - BENEFIZ"/>
    <s v="BPRI"/>
    <n v="1013.72"/>
    <d v="2025-06-05T00:00:00"/>
    <s v="Prélèvement - Benefiz"/>
    <m/>
    <e v="#N/A"/>
    <e v="#N/A"/>
    <n v="75572"/>
    <m/>
    <m/>
    <s v="Q2"/>
    <e v="#REF!"/>
    <e v="#REF!"/>
    <e v="#REF!"/>
  </r>
  <r>
    <s v="437200"/>
    <x v="6"/>
    <s v="PRÉVOYANCE - BENEFIZ"/>
    <s v="BPRI"/>
    <n v="1014.31"/>
    <d v="2025-09-04T00:00:00"/>
    <s v="PRLV SEPA BENEFIZ"/>
    <m/>
    <e v="#N/A"/>
    <e v="#N/A"/>
    <n v="81699"/>
    <m/>
    <m/>
    <s v="Q3"/>
    <e v="#REF!"/>
    <e v="#REF!"/>
    <e v="#REF!"/>
  </r>
  <r>
    <s v="437200"/>
    <x v="6"/>
    <s v="PRÉVOYANCE - BENEFIZ"/>
    <s v="BPRI"/>
    <n v="1031.05"/>
    <d v="2025-04-07T00:00:00"/>
    <s v="Prélèvement Benefiz"/>
    <m/>
    <e v="#N/A"/>
    <e v="#N/A"/>
    <n v="66572"/>
    <m/>
    <m/>
    <s v="Q2"/>
    <e v="#REF!"/>
    <e v="#REF!"/>
    <e v="#REF!"/>
  </r>
  <r>
    <s v="437200"/>
    <x v="6"/>
    <s v="PRÉVOYANCE - BENEFIZ"/>
    <s v="BPRI"/>
    <n v="1033.5999999999999"/>
    <d v="2025-07-07T00:00:00"/>
    <s v="PRLV SEPA BENEFIZ"/>
    <m/>
    <e v="#N/A"/>
    <e v="#N/A"/>
    <n v="77038"/>
    <m/>
    <m/>
    <s v="Q3"/>
    <e v="#REF!"/>
    <e v="#REF!"/>
    <e v="#REF!"/>
  </r>
  <r>
    <s v="437200"/>
    <x v="6"/>
    <s v="PRÉVOYANCE - BENEFIZ"/>
    <s v="BPRI"/>
    <n v="1038.1300000000001"/>
    <d v="2025-09-04T00:00:00"/>
    <s v="PRLV SEPA BENEFIZ"/>
    <m/>
    <e v="#N/A"/>
    <e v="#N/A"/>
    <n v="81701"/>
    <m/>
    <m/>
    <s v="Q3"/>
    <e v="#REF!"/>
    <e v="#REF!"/>
    <e v="#REF!"/>
  </r>
  <r>
    <s v="512100"/>
    <x v="6"/>
    <s v="BANQUE POPULAIRE RIVE DE PARIS"/>
    <s v="BPRI"/>
    <n v="-2700"/>
    <d v="2025-11-28T00:00:00"/>
    <s v="/SQTP/RCUR/LIB/PRLV SEPA AXE GESCOM/LIB/AXE GESCOM/LIB/VENTES PILI/LIB/P2501018"/>
    <m/>
    <s v="Non"/>
    <e v="#N/A"/>
    <n v="91279"/>
    <m/>
    <s v="AXE GESCOM"/>
    <s v="Q4"/>
    <e v="#REF!"/>
    <e v="#REF!"/>
    <e v="#REF!"/>
  </r>
  <r>
    <s v="437200"/>
    <x v="6"/>
    <s v="PRÉVOYANCE - BENEFIZ"/>
    <s v="BPRI"/>
    <n v="1042.05"/>
    <d v="2025-07-07T00:00:00"/>
    <s v="PRLV SEPA BENEFIZ"/>
    <m/>
    <e v="#N/A"/>
    <e v="#N/A"/>
    <n v="77041"/>
    <m/>
    <m/>
    <s v="Q3"/>
    <e v="#REF!"/>
    <e v="#REF!"/>
    <e v="#REF!"/>
  </r>
  <r>
    <s v="437300"/>
    <x v="6"/>
    <s v="RETRAITE"/>
    <s v="BPRI"/>
    <n v="10190.379999999999"/>
    <d v="2025-10-24T00:00:00"/>
    <s v="/SQTP/RCUR/LIB/PRLV SEPA B2V GESTION GU COTISA/LIB/B2V GESTION GU COTISATIO/LIB/B2V  63380066.2501153 DU 241025/LIB/RUBE00005296"/>
    <m/>
    <e v="#N/A"/>
    <e v="#N/A"/>
    <n v="87375"/>
    <m/>
    <m/>
    <s v="Q4"/>
    <e v="#REF!"/>
    <e v="#REF!"/>
    <e v="#REF!"/>
  </r>
  <r>
    <s v="437200"/>
    <x v="6"/>
    <s v="PRÉVOYANCE - BENEFIZ"/>
    <s v="BPRI"/>
    <n v="1063.1500000000001"/>
    <d v="2025-05-07T00:00:00"/>
    <s v="Prélèvement Bénéfiz"/>
    <m/>
    <e v="#N/A"/>
    <e v="#N/A"/>
    <n v="71688"/>
    <m/>
    <m/>
    <s v="Q2"/>
    <e v="#REF!"/>
    <e v="#REF!"/>
    <e v="#REF!"/>
  </r>
  <r>
    <s v="512100"/>
    <x v="6"/>
    <s v="BANQUE POPULAIRE RIVE DE PARIS"/>
    <s v="BPRI"/>
    <n v="-10190.379999999999"/>
    <d v="2025-10-24T00:00:00"/>
    <s v="/SQTP/RCUR/LIB/PRLV SEPA B2V GESTION GU COTISA/LIB/B2V GESTION GU COTISATIO/LIB/B2V  63380066.2501153 DU 241025/LIB/RUBE00005296"/>
    <m/>
    <e v="#N/A"/>
    <e v="#N/A"/>
    <n v="87374"/>
    <m/>
    <m/>
    <s v="Q4"/>
    <e v="#REF!"/>
    <e v="#REF!"/>
    <e v="#REF!"/>
  </r>
  <r>
    <s v="437200"/>
    <x v="6"/>
    <s v="PRÉVOYANCE - BENEFIZ"/>
    <s v="BPRI"/>
    <n v="1086.22"/>
    <d v="2025-08-05T00:00:00"/>
    <s v="PRLV SEPA BENEFIZ"/>
    <m/>
    <e v="#N/A"/>
    <e v="#N/A"/>
    <n v="80707"/>
    <m/>
    <m/>
    <s v="Q3"/>
    <e v="#REF!"/>
    <e v="#REF!"/>
    <e v="#REF!"/>
  </r>
  <r>
    <s v="437300"/>
    <x v="6"/>
    <s v="RETRAITE"/>
    <s v="BPRI"/>
    <n v="9449.01"/>
    <d v="2025-11-25T00:00:00"/>
    <s v="/SQTP/RCUR/LIB/PRLV SEPA B2V GESTION GU COTISA/LIB/B2V GESTION GU COTISATIO/LIB/B2V  63380066.2501177 DU 251125/LIB/RUBE00005296"/>
    <m/>
    <e v="#N/A"/>
    <e v="#N/A"/>
    <n v="91158"/>
    <m/>
    <m/>
    <s v="Q4"/>
    <e v="#REF!"/>
    <e v="#REF!"/>
    <e v="#REF!"/>
  </r>
  <r>
    <s v="512100"/>
    <x v="6"/>
    <s v="BANQUE POPULAIRE RIVE DE PARIS"/>
    <s v="BPRI"/>
    <n v="-9449.01"/>
    <d v="2025-11-25T00:00:00"/>
    <s v="/SQTP/RCUR/LIB/PRLV SEPA B2V GESTION GU COTISA/LIB/B2V GESTION GU COTISATIO/LIB/B2V  63380066.2501177 DU 251125/LIB/RUBE00005296"/>
    <m/>
    <e v="#N/A"/>
    <e v="#N/A"/>
    <n v="91157"/>
    <m/>
    <m/>
    <s v="Q4"/>
    <e v="#REF!"/>
    <e v="#REF!"/>
    <e v="#REF!"/>
  </r>
  <r>
    <s v="437200"/>
    <x v="6"/>
    <s v="PRÉVOYANCE - BENEFIZ"/>
    <s v="BPRI"/>
    <n v="1128.8399999999999"/>
    <d v="2025-06-05T00:00:00"/>
    <s v="Prélèvement - Benefiz"/>
    <m/>
    <e v="#N/A"/>
    <e v="#N/A"/>
    <n v="75575"/>
    <m/>
    <m/>
    <s v="Q2"/>
    <e v="#REF!"/>
    <e v="#REF!"/>
    <e v="#REF!"/>
  </r>
  <r>
    <s v="437300"/>
    <x v="6"/>
    <s v="RETRAITE"/>
    <s v="BPRI"/>
    <n v="9826.14"/>
    <d v="2025-12-24T00:00:00"/>
    <s v="/SQTP/RCUR/LIB/PRLV SEPA B2V GESTION GU COTISA/LIB/B2V GESTION GU COTISATIO/LIB/B2V  63380066.2501184 DU 241225/LIB/RUBE00005296"/>
    <m/>
    <e v="#N/A"/>
    <e v="#N/A"/>
    <n v="93679"/>
    <m/>
    <m/>
    <s v="Q4"/>
    <e v="#REF!"/>
    <e v="#REF!"/>
    <e v="#REF!"/>
  </r>
  <r>
    <s v="437200"/>
    <x v="6"/>
    <s v="PRÉVOYANCE - BENEFIZ"/>
    <s v="BPRI"/>
    <n v="1163.52"/>
    <d v="2025-08-05T00:00:00"/>
    <s v="PRLV SEPA BENEFIZ"/>
    <m/>
    <e v="#N/A"/>
    <e v="#N/A"/>
    <n v="80710"/>
    <m/>
    <m/>
    <s v="Q3"/>
    <e v="#REF!"/>
    <e v="#REF!"/>
    <e v="#REF!"/>
  </r>
  <r>
    <s v="437200"/>
    <x v="6"/>
    <s v="PRÉVOYANCE - BENEFIZ"/>
    <s v="BPRI"/>
    <n v="1286.95"/>
    <d v="2025-03-06T00:00:00"/>
    <s v="Prélèvement Benefiz"/>
    <m/>
    <e v="#N/A"/>
    <e v="#N/A"/>
    <n v="58817"/>
    <m/>
    <m/>
    <s v="Q1"/>
    <e v="#REF!"/>
    <e v="#REF!"/>
    <e v="#REF!"/>
  </r>
  <r>
    <s v="437200"/>
    <x v="6"/>
    <s v="PRÉVOYANCE - BENEFIZ"/>
    <s v="BPRI"/>
    <n v="1395.43"/>
    <d v="2025-05-07T00:00:00"/>
    <s v="Prélèvement Bénéfiz"/>
    <m/>
    <e v="#N/A"/>
    <e v="#N/A"/>
    <n v="71685"/>
    <m/>
    <m/>
    <s v="Q2"/>
    <e v="#REF!"/>
    <e v="#REF!"/>
    <e v="#REF!"/>
  </r>
  <r>
    <s v="437200"/>
    <x v="6"/>
    <s v="PRÉVOYANCE - BENEFIZ"/>
    <s v="BPRI"/>
    <n v="2096.69"/>
    <d v="2025-04-07T00:00:00"/>
    <s v="Prélèvement Benefiz"/>
    <m/>
    <e v="#N/A"/>
    <e v="#N/A"/>
    <n v="66568"/>
    <m/>
    <m/>
    <s v="Q2"/>
    <e v="#REF!"/>
    <e v="#REF!"/>
    <e v="#REF!"/>
  </r>
  <r>
    <s v="437200"/>
    <x v="6"/>
    <s v="PRÉVOYANCE - BENEFIZ"/>
    <s v="BPRI"/>
    <n v="3003.28"/>
    <d v="2025-04-07T00:00:00"/>
    <s v="Prélèvement Benefiz"/>
    <m/>
    <e v="#N/A"/>
    <e v="#N/A"/>
    <n v="66566"/>
    <m/>
    <m/>
    <s v="Q2"/>
    <e v="#REF!"/>
    <e v="#REF!"/>
    <e v="#REF!"/>
  </r>
  <r>
    <s v="437200"/>
    <x v="6"/>
    <s v="PRÉVOYANCE - BENEFIZ"/>
    <s v="BPRI"/>
    <n v="4233.67"/>
    <d v="2025-01-16T00:00:00"/>
    <s v="524135C0000776 APRIL ENTR."/>
    <m/>
    <e v="#N/A"/>
    <e v="#N/A"/>
    <n v="21003"/>
    <s v="0734V1A"/>
    <m/>
    <s v="Q1"/>
    <e v="#REF!"/>
    <e v="#REF!"/>
    <e v="#REF!"/>
  </r>
  <r>
    <s v="437200"/>
    <x v="6"/>
    <s v="PRÉVOYANCE - BENEFIZ"/>
    <s v="OD"/>
    <n v="-35344.49"/>
    <d v="2025-01-31T00:00:00"/>
    <s v="Solde Prévoyance April - comptabilité 2024"/>
    <m/>
    <e v="#N/A"/>
    <e v="#N/A"/>
    <n v="87912"/>
    <m/>
    <m/>
    <s v="Q1"/>
    <e v="#REF!"/>
    <e v="#REF!"/>
    <e v="#REF!"/>
  </r>
  <r>
    <s v="437200"/>
    <x v="6"/>
    <s v="PRÉVOYANCE - BENEFIZ"/>
    <s v="OD"/>
    <n v="-86.74"/>
    <d v="2025-06-30T00:00:00"/>
    <s v="Ecart de règlement"/>
    <m/>
    <e v="#N/A"/>
    <e v="#N/A"/>
    <n v="84367"/>
    <m/>
    <m/>
    <s v="Q2"/>
    <e v="#REF!"/>
    <e v="#REF!"/>
    <e v="#REF!"/>
  </r>
  <r>
    <s v="437200"/>
    <x v="6"/>
    <s v="PRÉVOYANCE - BENEFIZ"/>
    <s v="OD"/>
    <n v="0.03"/>
    <d v="2025-10-07T00:00:00"/>
    <s v="Ecart de règlement"/>
    <m/>
    <e v="#N/A"/>
    <e v="#N/A"/>
    <n v="84279"/>
    <m/>
    <m/>
    <s v="Q4"/>
    <e v="#REF!"/>
    <e v="#REF!"/>
    <e v="#REF!"/>
  </r>
  <r>
    <s v="437200"/>
    <x v="6"/>
    <s v="PRÉVOYANCE - BENEFIZ"/>
    <s v="OD"/>
    <n v="0.03"/>
    <d v="2025-10-07T00:00:00"/>
    <s v="Ecart de règlement"/>
    <m/>
    <e v="#N/A"/>
    <e v="#N/A"/>
    <n v="87915"/>
    <m/>
    <m/>
    <s v="Q4"/>
    <e v="#REF!"/>
    <e v="#REF!"/>
    <e v="#REF!"/>
  </r>
  <r>
    <s v="437200"/>
    <x v="6"/>
    <s v="PRÉVOYANCE - BENEFIZ"/>
    <s v="OD"/>
    <n v="0.04"/>
    <d v="2025-10-07T00:00:00"/>
    <s v="Ecart de règlement"/>
    <m/>
    <e v="#N/A"/>
    <e v="#N/A"/>
    <n v="84273"/>
    <m/>
    <m/>
    <s v="Q4"/>
    <e v="#REF!"/>
    <e v="#REF!"/>
    <e v="#REF!"/>
  </r>
  <r>
    <s v="437200"/>
    <x v="6"/>
    <s v="PRÉVOYANCE - BENEFIZ"/>
    <s v="OD"/>
    <n v="0.04"/>
    <d v="2025-12-17T00:00:00"/>
    <s v="Ecart de règlement"/>
    <m/>
    <e v="#N/A"/>
    <e v="#N/A"/>
    <n v="92420"/>
    <m/>
    <m/>
    <s v="Q4"/>
    <e v="#REF!"/>
    <e v="#REF!"/>
    <e v="#REF!"/>
  </r>
  <r>
    <s v="437200"/>
    <x v="6"/>
    <s v="PRÉVOYANCE - BENEFIZ"/>
    <s v="OD"/>
    <n v="0.05"/>
    <d v="2025-11-06T00:00:00"/>
    <s v="Ecart de règlement"/>
    <m/>
    <e v="#N/A"/>
    <e v="#N/A"/>
    <n v="89299"/>
    <m/>
    <m/>
    <s v="Q4"/>
    <e v="#REF!"/>
    <e v="#REF!"/>
    <e v="#REF!"/>
  </r>
  <r>
    <s v="437200"/>
    <x v="6"/>
    <s v="PRÉVOYANCE - BENEFIZ"/>
    <s v="OD"/>
    <n v="0.06"/>
    <d v="2025-02-28T00:00:00"/>
    <s v="Ecart de règlement"/>
    <m/>
    <e v="#N/A"/>
    <e v="#N/A"/>
    <n v="84291"/>
    <m/>
    <m/>
    <s v="Q1"/>
    <e v="#REF!"/>
    <e v="#REF!"/>
    <e v="#REF!"/>
  </r>
  <r>
    <s v="437200"/>
    <x v="6"/>
    <s v="PRÉVOYANCE - BENEFIZ"/>
    <s v="OD"/>
    <n v="0.06"/>
    <d v="2025-10-07T00:00:00"/>
    <s v="Ecart de règlement"/>
    <m/>
    <e v="#N/A"/>
    <e v="#N/A"/>
    <n v="84303"/>
    <m/>
    <m/>
    <s v="Q4"/>
    <e v="#REF!"/>
    <e v="#REF!"/>
    <e v="#REF!"/>
  </r>
  <r>
    <s v="437200"/>
    <x v="6"/>
    <s v="PRÉVOYANCE - BENEFIZ"/>
    <s v="OD"/>
    <n v="0.09"/>
    <d v="2025-01-31T00:00:00"/>
    <s v="Ecart de règlement"/>
    <m/>
    <e v="#N/A"/>
    <e v="#N/A"/>
    <n v="84297"/>
    <m/>
    <m/>
    <s v="Q1"/>
    <e v="#REF!"/>
    <e v="#REF!"/>
    <e v="#REF!"/>
  </r>
  <r>
    <s v="437200"/>
    <x v="6"/>
    <s v="PRÉVOYANCE - BENEFIZ"/>
    <s v="OD"/>
    <n v="0.09"/>
    <d v="2025-10-07T00:00:00"/>
    <s v="Ecart de règlement"/>
    <m/>
    <e v="#N/A"/>
    <e v="#N/A"/>
    <n v="84285"/>
    <m/>
    <m/>
    <s v="Q4"/>
    <e v="#REF!"/>
    <e v="#REF!"/>
    <e v="#REF!"/>
  </r>
  <r>
    <s v="437200"/>
    <x v="6"/>
    <s v="PRÉVOYANCE - BENEFIZ"/>
    <s v="OD"/>
    <n v="35344.49"/>
    <d v="2025-01-31T00:00:00"/>
    <s v="Solde Prévoyance April - comptabilité 2024"/>
    <m/>
    <e v="#N/A"/>
    <e v="#N/A"/>
    <n v="87911"/>
    <m/>
    <m/>
    <s v="Q1"/>
    <e v="#REF!"/>
    <e v="#REF!"/>
    <e v="#REF!"/>
  </r>
  <r>
    <s v="437200"/>
    <x v="6"/>
    <s v="PRÉVOYANCE - BENEFIZ"/>
    <s v="SA"/>
    <n v="-4203.8999999999996"/>
    <d v="2025-02-28T00:00:00"/>
    <s v="PRÉVOYANCE CADRE TRB"/>
    <m/>
    <e v="#N/A"/>
    <e v="#N/A"/>
    <n v="85191"/>
    <s v="SA202502"/>
    <m/>
    <s v="Q1"/>
    <e v="#REF!"/>
    <e v="#REF!"/>
    <e v="#REF!"/>
  </r>
  <r>
    <s v="437200"/>
    <x v="6"/>
    <s v="PRÉVOYANCE - BENEFIZ"/>
    <s v="SA"/>
    <n v="-1927.16"/>
    <d v="2025-02-28T00:00:00"/>
    <s v="PRÉVOYANCE CADRE TRA"/>
    <m/>
    <e v="#N/A"/>
    <e v="#N/A"/>
    <n v="85190"/>
    <s v="SA202502"/>
    <m/>
    <s v="Q1"/>
    <e v="#REF!"/>
    <e v="#REF!"/>
    <e v="#REF!"/>
  </r>
  <r>
    <s v="437200"/>
    <x v="6"/>
    <s v="PRÉVOYANCE - BENEFIZ"/>
    <s v="SA"/>
    <n v="-1787.99"/>
    <d v="2025-03-31T00:00:00"/>
    <s v="PRÉVOYANCE CADRE TRA"/>
    <m/>
    <e v="#N/A"/>
    <e v="#N/A"/>
    <n v="80486"/>
    <s v="SA202503"/>
    <m/>
    <s v="Q1"/>
    <e v="#REF!"/>
    <e v="#REF!"/>
    <e v="#REF!"/>
  </r>
  <r>
    <s v="437200"/>
    <x v="6"/>
    <s v="PRÉVOYANCE - BENEFIZ"/>
    <s v="SA"/>
    <n v="-1745.4"/>
    <d v="2025-01-31T00:00:00"/>
    <s v="PRÉVOYANCE CADRE TRA"/>
    <m/>
    <e v="#N/A"/>
    <e v="#N/A"/>
    <n v="85379"/>
    <s v="SA202501"/>
    <m/>
    <s v="Q1"/>
    <e v="#REF!"/>
    <e v="#REF!"/>
    <e v="#REF!"/>
  </r>
  <r>
    <s v="437200"/>
    <x v="6"/>
    <s v="PRÉVOYANCE - BENEFIZ"/>
    <s v="SA"/>
    <n v="-1701.14"/>
    <d v="2025-06-30T00:00:00"/>
    <s v="PRÉVOYANCE CADRE TRA"/>
    <m/>
    <e v="#N/A"/>
    <e v="#N/A"/>
    <n v="79978"/>
    <s v="SA202506"/>
    <m/>
    <s v="Q2"/>
    <e v="#REF!"/>
    <e v="#REF!"/>
    <e v="#REF!"/>
  </r>
  <r>
    <s v="437200"/>
    <x v="6"/>
    <s v="PRÉVOYANCE - BENEFIZ"/>
    <s v="SA"/>
    <n v="-1699.38"/>
    <d v="2025-04-30T00:00:00"/>
    <s v="PRÉVOYANCE CADRE TRA"/>
    <m/>
    <e v="#N/A"/>
    <e v="#N/A"/>
    <n v="80317"/>
    <s v="SA202504"/>
    <m/>
    <s v="Q2"/>
    <e v="#REF!"/>
    <e v="#REF!"/>
    <e v="#REF!"/>
  </r>
  <r>
    <s v="437200"/>
    <x v="6"/>
    <s v="PRÉVOYANCE - BENEFIZ"/>
    <s v="SA"/>
    <n v="-1698.56"/>
    <d v="2025-05-31T00:00:00"/>
    <s v="PRÉVOYANCE CADRE TRA"/>
    <m/>
    <e v="#N/A"/>
    <e v="#N/A"/>
    <n v="80147"/>
    <s v="SA202505"/>
    <m/>
    <s v="Q2"/>
    <e v="#REF!"/>
    <e v="#REF!"/>
    <e v="#REF!"/>
  </r>
  <r>
    <s v="437200"/>
    <x v="6"/>
    <s v="PRÉVOYANCE - BENEFIZ"/>
    <s v="SA"/>
    <n v="-1663.13"/>
    <d v="2025-10-31T00:00:00"/>
    <s v="PRÉVOYANCE CADRE TRA"/>
    <m/>
    <e v="#N/A"/>
    <e v="#N/A"/>
    <n v="87761"/>
    <s v="SA202510"/>
    <m/>
    <s v="Q4"/>
    <e v="#REF!"/>
    <e v="#REF!"/>
    <e v="#REF!"/>
  </r>
  <r>
    <s v="437200"/>
    <x v="6"/>
    <s v="PRÉVOYANCE - BENEFIZ"/>
    <s v="SA"/>
    <n v="-1662.87"/>
    <d v="2025-12-31T00:00:00"/>
    <s v="PRÉVOYANCE CADRE TRA"/>
    <m/>
    <e v="#N/A"/>
    <e v="#N/A"/>
    <n v="92729"/>
    <s v="SA202512"/>
    <m/>
    <s v="Q4"/>
    <e v="#REF!"/>
    <e v="#REF!"/>
    <e v="#REF!"/>
  </r>
  <r>
    <s v="437200"/>
    <x v="6"/>
    <s v="PRÉVOYANCE - BENEFIZ"/>
    <s v="SA"/>
    <n v="-1662.84"/>
    <d v="2025-11-30T00:00:00"/>
    <s v="PRÉVOYANCE CADRE TRA"/>
    <m/>
    <e v="#N/A"/>
    <e v="#N/A"/>
    <n v="92270"/>
    <s v="SA202511"/>
    <m/>
    <s v="Q4"/>
    <e v="#REF!"/>
    <e v="#REF!"/>
    <e v="#REF!"/>
  </r>
  <r>
    <s v="437200"/>
    <x v="6"/>
    <s v="PRÉVOYANCE - BENEFIZ"/>
    <s v="SA"/>
    <n v="-1655.15"/>
    <d v="2025-09-30T00:00:00"/>
    <s v="PRÉVOYANCE CADRE TRA"/>
    <m/>
    <e v="#N/A"/>
    <e v="#N/A"/>
    <n v="84096"/>
    <s v="SA202509"/>
    <m/>
    <s v="Q3"/>
    <e v="#REF!"/>
    <e v="#REF!"/>
    <e v="#REF!"/>
  </r>
  <r>
    <s v="437200"/>
    <x v="6"/>
    <s v="PRÉVOYANCE - BENEFIZ"/>
    <s v="SA"/>
    <n v="-1642.41"/>
    <d v="2025-07-31T00:00:00"/>
    <s v="PRÉVOYANCE CADRE TRA"/>
    <m/>
    <e v="#N/A"/>
    <e v="#N/A"/>
    <n v="79804"/>
    <s v="SA202507"/>
    <m/>
    <s v="Q3"/>
    <e v="#REF!"/>
    <e v="#REF!"/>
    <e v="#REF!"/>
  </r>
  <r>
    <s v="437200"/>
    <x v="6"/>
    <s v="PRÉVOYANCE - BENEFIZ"/>
    <s v="SA"/>
    <n v="-1603.11"/>
    <d v="2025-08-31T00:00:00"/>
    <s v="PRÉVOYANCE CADRE TRA"/>
    <m/>
    <e v="#N/A"/>
    <e v="#N/A"/>
    <n v="83923"/>
    <s v="SA202508"/>
    <m/>
    <s v="Q3"/>
    <e v="#REF!"/>
    <e v="#REF!"/>
    <e v="#REF!"/>
  </r>
  <r>
    <s v="437200"/>
    <x v="6"/>
    <s v="PRÉVOYANCE - BENEFIZ"/>
    <s v="SA"/>
    <n v="-1281.22"/>
    <d v="2025-03-31T00:00:00"/>
    <s v="PRÉVOYANCE CADRE TRB"/>
    <m/>
    <e v="#N/A"/>
    <e v="#N/A"/>
    <n v="80487"/>
    <s v="SA202503"/>
    <m/>
    <s v="Q1"/>
    <e v="#REF!"/>
    <e v="#REF!"/>
    <e v="#REF!"/>
  </r>
  <r>
    <s v="437200"/>
    <x v="6"/>
    <s v="PRÉVOYANCE - BENEFIZ"/>
    <s v="SA"/>
    <n v="-1143.3599999999999"/>
    <d v="2025-06-30T00:00:00"/>
    <s v="PRÉVOYANCE CADRE TRB"/>
    <m/>
    <e v="#N/A"/>
    <e v="#N/A"/>
    <n v="79979"/>
    <s v="SA202506"/>
    <m/>
    <s v="Q2"/>
    <e v="#REF!"/>
    <e v="#REF!"/>
    <e v="#REF!"/>
  </r>
  <r>
    <s v="437200"/>
    <x v="6"/>
    <s v="PRÉVOYANCE - BENEFIZ"/>
    <s v="SA"/>
    <n v="-1107.6199999999999"/>
    <d v="2025-04-30T00:00:00"/>
    <s v="PRÉVOYANCE CADRE TRB"/>
    <m/>
    <e v="#N/A"/>
    <e v="#N/A"/>
    <n v="80318"/>
    <s v="SA202504"/>
    <m/>
    <s v="Q2"/>
    <e v="#REF!"/>
    <e v="#REF!"/>
    <e v="#REF!"/>
  </r>
  <r>
    <s v="437200"/>
    <x v="6"/>
    <s v="PRÉVOYANCE - BENEFIZ"/>
    <s v="SA"/>
    <n v="-1105.28"/>
    <d v="2025-08-31T00:00:00"/>
    <s v="PRÉVOYANCE CADRE TRB"/>
    <m/>
    <e v="#N/A"/>
    <e v="#N/A"/>
    <n v="83924"/>
    <s v="SA202508"/>
    <m/>
    <s v="Q3"/>
    <e v="#REF!"/>
    <e v="#REF!"/>
    <e v="#REF!"/>
  </r>
  <r>
    <s v="437200"/>
    <x v="6"/>
    <s v="PRÉVOYANCE - BENEFIZ"/>
    <s v="SA"/>
    <n v="-1071.3599999999999"/>
    <d v="2025-09-30T00:00:00"/>
    <s v="PRÉVOYANCE CADRE TRB"/>
    <m/>
    <e v="#N/A"/>
    <e v="#N/A"/>
    <n v="84097"/>
    <s v="SA202509"/>
    <m/>
    <s v="Q3"/>
    <e v="#REF!"/>
    <e v="#REF!"/>
    <e v="#REF!"/>
  </r>
  <r>
    <s v="437200"/>
    <x v="6"/>
    <s v="PRÉVOYANCE - BENEFIZ"/>
    <s v="SA"/>
    <n v="-1054.2"/>
    <d v="2025-11-30T00:00:00"/>
    <s v="PRÉVOYANCE CADRE TRB"/>
    <m/>
    <e v="#N/A"/>
    <e v="#N/A"/>
    <n v="92271"/>
    <s v="SA202511"/>
    <m/>
    <s v="Q4"/>
    <e v="#REF!"/>
    <e v="#REF!"/>
    <e v="#REF!"/>
  </r>
  <r>
    <s v="437200"/>
    <x v="6"/>
    <s v="PRÉVOYANCE - BENEFIZ"/>
    <s v="SA"/>
    <n v="-1051.46"/>
    <d v="2025-10-31T00:00:00"/>
    <s v="PRÉVOYANCE CADRE TRB"/>
    <m/>
    <e v="#N/A"/>
    <e v="#N/A"/>
    <n v="87762"/>
    <s v="SA202510"/>
    <m/>
    <s v="Q4"/>
    <e v="#REF!"/>
    <e v="#REF!"/>
    <e v="#REF!"/>
  </r>
  <r>
    <s v="437200"/>
    <x v="6"/>
    <s v="PRÉVOYANCE - BENEFIZ"/>
    <s v="SA"/>
    <n v="-1049.6199999999999"/>
    <d v="2025-02-28T00:00:00"/>
    <s v="PRÉVOYANCE NON CADRE TRA"/>
    <m/>
    <e v="#N/A"/>
    <e v="#N/A"/>
    <n v="85193"/>
    <s v="SA202502"/>
    <m/>
    <s v="Q1"/>
    <e v="#REF!"/>
    <e v="#REF!"/>
    <e v="#REF!"/>
  </r>
  <r>
    <s v="437200"/>
    <x v="6"/>
    <s v="PRÉVOYANCE - BENEFIZ"/>
    <s v="SA"/>
    <n v="-1021.96"/>
    <d v="2025-12-31T00:00:00"/>
    <s v="PRÉVOYANCE CADRE TRB"/>
    <m/>
    <e v="#N/A"/>
    <e v="#N/A"/>
    <n v="92730"/>
    <s v="SA202512"/>
    <m/>
    <s v="Q4"/>
    <e v="#REF!"/>
    <e v="#REF!"/>
    <e v="#REF!"/>
  </r>
  <r>
    <s v="437200"/>
    <x v="6"/>
    <s v="PRÉVOYANCE - BENEFIZ"/>
    <s v="SA"/>
    <n v="-998.94"/>
    <d v="2025-05-31T00:00:00"/>
    <s v="PRÉVOYANCE CADRE TRB"/>
    <m/>
    <e v="#N/A"/>
    <e v="#N/A"/>
    <n v="80148"/>
    <s v="SA202505"/>
    <m/>
    <s v="Q2"/>
    <e v="#REF!"/>
    <e v="#REF!"/>
    <e v="#REF!"/>
  </r>
  <r>
    <s v="437200"/>
    <x v="6"/>
    <s v="PRÉVOYANCE - BENEFIZ"/>
    <s v="SA"/>
    <n v="-944.86"/>
    <d v="2025-07-31T00:00:00"/>
    <s v="PRÉVOYANCE CADRE TRB"/>
    <m/>
    <e v="#N/A"/>
    <e v="#N/A"/>
    <n v="79805"/>
    <s v="SA202507"/>
    <m/>
    <s v="Q3"/>
    <e v="#REF!"/>
    <e v="#REF!"/>
    <e v="#REF!"/>
  </r>
  <r>
    <s v="437200"/>
    <x v="6"/>
    <s v="PRÉVOYANCE - BENEFIZ"/>
    <s v="SA"/>
    <n v="-922.46"/>
    <d v="2025-01-31T00:00:00"/>
    <s v="PRÉVOYANCE CADRE TRB"/>
    <m/>
    <e v="#N/A"/>
    <e v="#N/A"/>
    <n v="85380"/>
    <s v="SA202501"/>
    <m/>
    <s v="Q1"/>
    <e v="#REF!"/>
    <e v="#REF!"/>
    <e v="#REF!"/>
  </r>
  <r>
    <s v="437200"/>
    <x v="6"/>
    <s v="PRÉVOYANCE - BENEFIZ"/>
    <s v="SA"/>
    <n v="-847.43"/>
    <d v="2025-07-31T00:00:00"/>
    <s v="PRÉVOYANCE NON CADRE TRA"/>
    <m/>
    <e v="#N/A"/>
    <e v="#N/A"/>
    <n v="79806"/>
    <s v="SA202507"/>
    <m/>
    <s v="Q3"/>
    <e v="#REF!"/>
    <e v="#REF!"/>
    <e v="#REF!"/>
  </r>
  <r>
    <s v="437200"/>
    <x v="6"/>
    <s v="PRÉVOYANCE - BENEFIZ"/>
    <s v="SA"/>
    <n v="-787.63"/>
    <d v="2025-09-30T00:00:00"/>
    <s v="PRÉVOYANCE NON CADRE TRA"/>
    <m/>
    <e v="#N/A"/>
    <e v="#N/A"/>
    <n v="84098"/>
    <s v="SA202509"/>
    <m/>
    <s v="Q3"/>
    <e v="#REF!"/>
    <e v="#REF!"/>
    <e v="#REF!"/>
  </r>
  <r>
    <s v="437200"/>
    <x v="6"/>
    <s v="PRÉVOYANCE - BENEFIZ"/>
    <s v="SA"/>
    <n v="-715.89"/>
    <d v="2025-06-30T00:00:00"/>
    <s v="PRÉVOYANCE NON CADRE TRA"/>
    <m/>
    <e v="#N/A"/>
    <e v="#N/A"/>
    <n v="79980"/>
    <s v="SA202506"/>
    <m/>
    <s v="Q2"/>
    <e v="#REF!"/>
    <e v="#REF!"/>
    <e v="#REF!"/>
  </r>
  <r>
    <s v="437200"/>
    <x v="6"/>
    <s v="PRÉVOYANCE - BENEFIZ"/>
    <s v="SA"/>
    <n v="-700.91"/>
    <d v="2025-05-31T00:00:00"/>
    <s v="PRÉVOYANCE NON CADRE TRA"/>
    <m/>
    <e v="#N/A"/>
    <e v="#N/A"/>
    <n v="80149"/>
    <s v="SA202505"/>
    <m/>
    <s v="Q2"/>
    <e v="#REF!"/>
    <e v="#REF!"/>
    <e v="#REF!"/>
  </r>
  <r>
    <s v="437200"/>
    <x v="6"/>
    <s v="PRÉVOYANCE - BENEFIZ"/>
    <s v="SA"/>
    <n v="-686.81"/>
    <d v="2025-08-31T00:00:00"/>
    <s v="PRÉVOYANCE NON CADRE TRA"/>
    <m/>
    <e v="#N/A"/>
    <e v="#N/A"/>
    <n v="83925"/>
    <s v="SA202508"/>
    <m/>
    <s v="Q3"/>
    <e v="#REF!"/>
    <e v="#REF!"/>
    <e v="#REF!"/>
  </r>
  <r>
    <s v="437200"/>
    <x v="6"/>
    <s v="PRÉVOYANCE - BENEFIZ"/>
    <s v="SA"/>
    <n v="-684.79"/>
    <d v="2025-01-31T00:00:00"/>
    <s v="PRÉVOYANCE NON CADRE TRA"/>
    <m/>
    <e v="#N/A"/>
    <e v="#N/A"/>
    <n v="85381"/>
    <s v="SA202501"/>
    <m/>
    <s v="Q1"/>
    <e v="#REF!"/>
    <e v="#REF!"/>
    <e v="#REF!"/>
  </r>
  <r>
    <s v="437200"/>
    <x v="6"/>
    <s v="PRÉVOYANCE - BENEFIZ"/>
    <s v="SA"/>
    <n v="-666"/>
    <d v="2025-03-31T00:00:00"/>
    <s v="PRÉVOYANCE NON CADRE TRA"/>
    <m/>
    <e v="#N/A"/>
    <e v="#N/A"/>
    <n v="80489"/>
    <s v="SA202503"/>
    <m/>
    <s v="Q1"/>
    <e v="#REF!"/>
    <e v="#REF!"/>
    <e v="#REF!"/>
  </r>
  <r>
    <s v="437200"/>
    <x v="6"/>
    <s v="PRÉVOYANCE - BENEFIZ"/>
    <s v="SA"/>
    <n v="-662"/>
    <d v="2025-10-31T00:00:00"/>
    <s v="PRÉVOYANCE NON CADRE TRA"/>
    <m/>
    <e v="#N/A"/>
    <e v="#N/A"/>
    <n v="87763"/>
    <s v="SA202510"/>
    <m/>
    <s v="Q4"/>
    <e v="#REF!"/>
    <e v="#REF!"/>
    <e v="#REF!"/>
  </r>
  <r>
    <s v="437200"/>
    <x v="6"/>
    <s v="PRÉVOYANCE - BENEFIZ"/>
    <s v="SA"/>
    <n v="-661.54"/>
    <d v="2025-11-30T00:00:00"/>
    <s v="PRÉVOYANCE NON CADRE TRA"/>
    <m/>
    <e v="#N/A"/>
    <e v="#N/A"/>
    <n v="92272"/>
    <s v="SA202511"/>
    <m/>
    <s v="Q4"/>
    <e v="#REF!"/>
    <e v="#REF!"/>
    <e v="#REF!"/>
  </r>
  <r>
    <s v="437200"/>
    <x v="6"/>
    <s v="PRÉVOYANCE - BENEFIZ"/>
    <s v="SA"/>
    <n v="-644.05999999999995"/>
    <d v="2025-04-30T00:00:00"/>
    <s v="PRÉVOYANCE NON CADRE TRA"/>
    <m/>
    <e v="#N/A"/>
    <e v="#N/A"/>
    <n v="80319"/>
    <s v="SA202504"/>
    <m/>
    <s v="Q2"/>
    <e v="#REF!"/>
    <e v="#REF!"/>
    <e v="#REF!"/>
  </r>
  <r>
    <s v="437200"/>
    <x v="6"/>
    <s v="PRÉVOYANCE - BENEFIZ"/>
    <s v="SA"/>
    <n v="-620.49"/>
    <d v="2025-12-31T00:00:00"/>
    <s v="PRÉVOYANCE NON CADRE TRA"/>
    <m/>
    <e v="#N/A"/>
    <e v="#N/A"/>
    <n v="92731"/>
    <s v="SA202512"/>
    <m/>
    <s v="Q4"/>
    <e v="#REF!"/>
    <e v="#REF!"/>
    <e v="#REF!"/>
  </r>
  <r>
    <s v="437200"/>
    <x v="6"/>
    <s v="PRÉVOYANCE - BENEFIZ"/>
    <s v="SA"/>
    <n v="-262.44"/>
    <d v="2025-02-28T00:00:00"/>
    <s v="PRÉVOYANCE CADRE TRC"/>
    <m/>
    <e v="#N/A"/>
    <e v="#N/A"/>
    <n v="85192"/>
    <s v="SA202502"/>
    <m/>
    <s v="Q1"/>
    <e v="#REF!"/>
    <e v="#REF!"/>
    <e v="#REF!"/>
  </r>
  <r>
    <s v="437200"/>
    <x v="6"/>
    <s v="PRÉVOYANCE - BENEFIZ"/>
    <s v="SA"/>
    <n v="262.44"/>
    <d v="2025-03-31T00:00:00"/>
    <s v="PRÉVOYANCE CADRE TRC"/>
    <m/>
    <e v="#N/A"/>
    <e v="#N/A"/>
    <n v="80488"/>
    <s v="SA202503"/>
    <m/>
    <s v="Q1"/>
    <e v="#REF!"/>
    <e v="#REF!"/>
    <e v="#REF!"/>
  </r>
  <r>
    <s v="437300"/>
    <x v="6"/>
    <s v="RETRAITE"/>
    <s v="AN"/>
    <n v="-60758.26"/>
    <d v="2025-01-01T00:00:00"/>
    <s v="Report à nouveau Exercice 2025"/>
    <m/>
    <e v="#N/A"/>
    <e v="#N/A"/>
    <n v="84776"/>
    <m/>
    <m/>
    <s v="Q1"/>
    <e v="#REF!"/>
    <e v="#REF!"/>
    <e v="#REF!"/>
  </r>
  <r>
    <s v="437300"/>
    <x v="6"/>
    <s v="RETRAITE"/>
    <s v="BPRI"/>
    <n v="79.47"/>
    <d v="2025-02-24T00:00:00"/>
    <s v="PRLV SEPA B2V GESTION GU COTISA"/>
    <m/>
    <e v="#N/A"/>
    <e v="#N/A"/>
    <n v="21405"/>
    <s v="07EPI13"/>
    <m/>
    <s v="Q1"/>
    <e v="#REF!"/>
    <e v="#REF!"/>
    <e v="#REF!"/>
  </r>
  <r>
    <s v="437300"/>
    <x v="6"/>
    <s v="RETRAITE"/>
    <s v="BPRI"/>
    <n v="4461.6499999999996"/>
    <d v="2025-02-25T00:00:00"/>
    <s v="PRLV SEPA B2V GESTION GU COTISA"/>
    <m/>
    <e v="#N/A"/>
    <e v="#N/A"/>
    <n v="21417"/>
    <s v="07F493Q"/>
    <m/>
    <s v="Q1"/>
    <e v="#REF!"/>
    <e v="#REF!"/>
    <e v="#REF!"/>
  </r>
  <r>
    <s v="512100"/>
    <x v="6"/>
    <s v="BANQUE POPULAIRE RIVE DE PARIS"/>
    <s v="BPRI"/>
    <n v="-9826.14"/>
    <d v="2025-12-24T00:00:00"/>
    <s v="/SQTP/RCUR/LIB/PRLV SEPA B2V GESTION GU COTISA/LIB/B2V GESTION GU COTISATIO/LIB/B2V  63380066.2501184 DU 241225/LIB/RUBE00005296"/>
    <m/>
    <e v="#N/A"/>
    <e v="#N/A"/>
    <n v="93678"/>
    <m/>
    <m/>
    <s v="Q4"/>
    <e v="#REF!"/>
    <e v="#REF!"/>
    <e v="#REF!"/>
  </r>
  <r>
    <s v="437300"/>
    <x v="6"/>
    <s v="RETRAITE"/>
    <s v="BPRI"/>
    <n v="5158.54"/>
    <d v="2025-10-24T00:00:00"/>
    <s v="/SQTP/RCUR/LIB/PRLV SEPA B2V GESTION GU COTISA/LIB/B2V GESTION GU COTISATIO/LIB/B2V  63476874.2300121 DU 241025/LIB/RUBE00009016"/>
    <m/>
    <e v="#N/A"/>
    <e v="#N/A"/>
    <n v="87378"/>
    <m/>
    <m/>
    <s v="Q4"/>
    <e v="#REF!"/>
    <e v="#REF!"/>
    <e v="#REF!"/>
  </r>
  <r>
    <s v="437300"/>
    <x v="6"/>
    <s v="RETRAITE"/>
    <s v="BPRI"/>
    <n v="5009.28"/>
    <d v="2025-08-26T00:00:00"/>
    <s v="PRLV SEPA B2V GESTION "/>
    <m/>
    <e v="#N/A"/>
    <e v="#N/A"/>
    <n v="81639"/>
    <m/>
    <m/>
    <s v="Q3"/>
    <e v="#REF!"/>
    <e v="#REF!"/>
    <e v="#REF!"/>
  </r>
  <r>
    <s v="437300"/>
    <x v="6"/>
    <s v="RETRAITE"/>
    <s v="BPRI"/>
    <n v="5022.2700000000004"/>
    <d v="2025-09-25T00:00:00"/>
    <s v="PRLV SEPA B2V GESTION GU COTISA"/>
    <m/>
    <e v="#N/A"/>
    <e v="#N/A"/>
    <n v="82603"/>
    <m/>
    <m/>
    <s v="Q3"/>
    <e v="#REF!"/>
    <e v="#REF!"/>
    <e v="#REF!"/>
  </r>
  <r>
    <s v="512100"/>
    <x v="6"/>
    <s v="BANQUE POPULAIRE RIVE DE PARIS"/>
    <s v="BPRI"/>
    <n v="-5158.54"/>
    <d v="2025-10-24T00:00:00"/>
    <s v="/SQTP/RCUR/LIB/PRLV SEPA B2V GESTION GU COTISA/LIB/B2V GESTION GU COTISATIO/LIB/B2V  63476874.2300121 DU 241025/LIB/RUBE00009016"/>
    <m/>
    <e v="#N/A"/>
    <e v="#N/A"/>
    <n v="87377"/>
    <m/>
    <m/>
    <s v="Q4"/>
    <e v="#REF!"/>
    <e v="#REF!"/>
    <e v="#REF!"/>
  </r>
  <r>
    <s v="437300"/>
    <x v="6"/>
    <s v="RETRAITE"/>
    <s v="BPRI"/>
    <n v="5633.3"/>
    <d v="2025-04-25T00:00:00"/>
    <s v="Prélèvement Retraite"/>
    <m/>
    <e v="#N/A"/>
    <e v="#N/A"/>
    <n v="70221"/>
    <m/>
    <m/>
    <s v="Q2"/>
    <e v="#REF!"/>
    <e v="#REF!"/>
    <e v="#REF!"/>
  </r>
  <r>
    <s v="437300"/>
    <x v="6"/>
    <s v="RETRAITE"/>
    <s v="BPRI"/>
    <n v="5671.51"/>
    <d v="2025-06-26T00:00:00"/>
    <s v="PRLV B2V GESTION GU COTISATIO"/>
    <m/>
    <e v="#N/A"/>
    <e v="#N/A"/>
    <n v="76292"/>
    <m/>
    <m/>
    <s v="Q2"/>
    <e v="#REF!"/>
    <e v="#REF!"/>
    <e v="#REF!"/>
  </r>
  <r>
    <s v="437300"/>
    <x v="6"/>
    <s v="RETRAITE"/>
    <s v="BPRI"/>
    <n v="6069.15"/>
    <d v="2025-05-23T00:00:00"/>
    <s v="Prélèvement Retraite"/>
    <m/>
    <e v="#N/A"/>
    <e v="#N/A"/>
    <n v="74086"/>
    <m/>
    <m/>
    <s v="Q2"/>
    <e v="#REF!"/>
    <e v="#REF!"/>
    <e v="#REF!"/>
  </r>
  <r>
    <s v="437300"/>
    <x v="6"/>
    <s v="RETRAITE"/>
    <s v="BPRI"/>
    <n v="4769.51"/>
    <d v="2025-11-25T00:00:00"/>
    <s v="/SQTP/RCUR/LIB/PRLV SEPA B2V GESTION GU COTISA/LIB/B2V GESTION GU COTISATIO/LIB/B2V  63476874.2300131 DU 251125/LIB/RUBE00009016"/>
    <m/>
    <e v="#N/A"/>
    <e v="#N/A"/>
    <n v="91155"/>
    <m/>
    <m/>
    <s v="Q4"/>
    <e v="#REF!"/>
    <e v="#REF!"/>
    <e v="#REF!"/>
  </r>
  <r>
    <s v="437300"/>
    <x v="6"/>
    <s v="RETRAITE"/>
    <s v="BPRI"/>
    <n v="7615.28"/>
    <d v="2025-02-25T00:00:00"/>
    <s v="PRLV SEPA B2V GESTION GU COTISA"/>
    <m/>
    <e v="#N/A"/>
    <e v="#N/A"/>
    <n v="21415"/>
    <s v="07F48O2"/>
    <m/>
    <s v="Q1"/>
    <e v="#REF!"/>
    <e v="#REF!"/>
    <e v="#REF!"/>
  </r>
  <r>
    <s v="437300"/>
    <x v="6"/>
    <s v="RETRAITE"/>
    <s v="BPRI"/>
    <n v="9231.1200000000008"/>
    <d v="2025-04-25T00:00:00"/>
    <s v="Prélèvement Retraite"/>
    <m/>
    <e v="#N/A"/>
    <e v="#N/A"/>
    <n v="70218"/>
    <m/>
    <m/>
    <s v="Q2"/>
    <e v="#REF!"/>
    <e v="#REF!"/>
    <e v="#REF!"/>
  </r>
  <r>
    <s v="437300"/>
    <x v="6"/>
    <s v="RETRAITE"/>
    <s v="BPRI"/>
    <n v="9295.58"/>
    <d v="2025-06-26T00:00:00"/>
    <s v="PRLV B2V GESTION GU COTISATIO"/>
    <m/>
    <e v="#N/A"/>
    <e v="#N/A"/>
    <n v="76295"/>
    <m/>
    <m/>
    <s v="Q2"/>
    <e v="#REF!"/>
    <e v="#REF!"/>
    <e v="#REF!"/>
  </r>
  <r>
    <s v="437300"/>
    <x v="6"/>
    <s v="RETRAITE"/>
    <s v="BPRI"/>
    <n v="9306.43"/>
    <d v="2025-08-26T00:00:00"/>
    <s v="PRLV SEPA B2V GESTION "/>
    <m/>
    <e v="#N/A"/>
    <e v="#N/A"/>
    <n v="81642"/>
    <m/>
    <m/>
    <s v="Q3"/>
    <e v="#REF!"/>
    <e v="#REF!"/>
    <e v="#REF!"/>
  </r>
  <r>
    <s v="437300"/>
    <x v="6"/>
    <s v="RETRAITE"/>
    <s v="BPRI"/>
    <n v="9347.23"/>
    <d v="2025-05-23T00:00:00"/>
    <s v="Prélèvement Retraite"/>
    <m/>
    <e v="#N/A"/>
    <e v="#N/A"/>
    <n v="74089"/>
    <m/>
    <m/>
    <s v="Q2"/>
    <e v="#REF!"/>
    <e v="#REF!"/>
    <e v="#REF!"/>
  </r>
  <r>
    <s v="437300"/>
    <x v="6"/>
    <s v="RETRAITE"/>
    <s v="BPRI"/>
    <n v="10632.75"/>
    <d v="2025-11-25T00:00:00"/>
    <s v="/SQTP/RCUR/LIB/PRLV SEPA B2V GESTION GU COTISA/LIB/B2V GESTION GU COTISATIO/LIB/B2V  63476874.2300131 DU 251125/LIB/RUBE00009016"/>
    <m/>
    <e v="#N/A"/>
    <e v="#N/A"/>
    <n v="91161"/>
    <m/>
    <m/>
    <s v="Q4"/>
    <e v="#REF!"/>
    <e v="#REF!"/>
    <e v="#REF!"/>
  </r>
  <r>
    <s v="437300"/>
    <x v="6"/>
    <s v="RETRAITE"/>
    <s v="BPRI"/>
    <n v="9725.52"/>
    <d v="2025-09-25T00:00:00"/>
    <s v="PRLV SEPA B2V GESTION GU COTISA"/>
    <m/>
    <e v="#N/A"/>
    <e v="#N/A"/>
    <n v="82608"/>
    <m/>
    <m/>
    <s v="Q3"/>
    <e v="#REF!"/>
    <e v="#REF!"/>
    <e v="#REF!"/>
  </r>
  <r>
    <s v="437300"/>
    <x v="6"/>
    <s v="RETRAITE"/>
    <s v="BPRI"/>
    <n v="9806.58"/>
    <d v="2025-06-26T00:00:00"/>
    <s v="PRLV B2V GESTION GU COTISATIO"/>
    <m/>
    <e v="#N/A"/>
    <e v="#N/A"/>
    <n v="76298"/>
    <m/>
    <m/>
    <s v="Q2"/>
    <e v="#REF!"/>
    <e v="#REF!"/>
    <e v="#REF!"/>
  </r>
  <r>
    <s v="512100"/>
    <x v="6"/>
    <s v="BANQUE POPULAIRE RIVE DE PARIS"/>
    <s v="BPRI"/>
    <n v="-10632.75"/>
    <d v="2025-11-25T00:00:00"/>
    <s v="/SQTP/RCUR/LIB/PRLV SEPA B2V GESTION GU COTISA/LIB/B2V GESTION GU COTISATIO/LIB/B2V  63476874.2300131 DU 251125/LIB/RUBE00009016"/>
    <m/>
    <e v="#N/A"/>
    <e v="#N/A"/>
    <n v="91160"/>
    <m/>
    <m/>
    <s v="Q4"/>
    <e v="#REF!"/>
    <e v="#REF!"/>
    <e v="#REF!"/>
  </r>
  <r>
    <s v="512100"/>
    <x v="6"/>
    <s v="BANQUE POPULAIRE RIVE DE PARIS"/>
    <s v="BPRI"/>
    <n v="-4769.51"/>
    <d v="2025-11-25T00:00:00"/>
    <s v="/SQTP/RCUR/LIB/PRLV SEPA B2V GESTION GU COTISA/LIB/B2V GESTION GU COTISATIO/LIB/B2V  63476874.2300131 DU 251125/LIB/RUBE00009016"/>
    <m/>
    <e v="#N/A"/>
    <e v="#N/A"/>
    <n v="91154"/>
    <m/>
    <m/>
    <s v="Q4"/>
    <e v="#REF!"/>
    <e v="#REF!"/>
    <e v="#REF!"/>
  </r>
  <r>
    <s v="437300"/>
    <x v="6"/>
    <s v="RETRAITE"/>
    <s v="BPRI"/>
    <n v="10071.75"/>
    <d v="2025-05-23T00:00:00"/>
    <s v="Prélèvement Retraite"/>
    <m/>
    <e v="#N/A"/>
    <e v="#N/A"/>
    <n v="74092"/>
    <m/>
    <m/>
    <s v="Q2"/>
    <e v="#REF!"/>
    <e v="#REF!"/>
    <e v="#REF!"/>
  </r>
  <r>
    <s v="437300"/>
    <x v="6"/>
    <s v="RETRAITE"/>
    <s v="BPRI"/>
    <n v="10187.51"/>
    <d v="2025-04-25T00:00:00"/>
    <s v="Prélèvement Retraite"/>
    <m/>
    <e v="#N/A"/>
    <e v="#N/A"/>
    <n v="70215"/>
    <m/>
    <m/>
    <s v="Q2"/>
    <e v="#REF!"/>
    <e v="#REF!"/>
    <e v="#REF!"/>
  </r>
  <r>
    <s v="437300"/>
    <x v="6"/>
    <s v="RETRAITE"/>
    <s v="BPRI"/>
    <n v="4844.7"/>
    <d v="2025-12-24T00:00:00"/>
    <s v="/SQTP/RCUR/LIB/PRLV SEPA B2V GESTION GU COTISA/LIB/B2V GESTION GU COTISATIO/LIB/B2V  63476874.2300138 DU 241225/LIB/RUBE00009016"/>
    <m/>
    <e v="#N/A"/>
    <e v="#N/A"/>
    <n v="93676"/>
    <m/>
    <m/>
    <s v="Q4"/>
    <e v="#REF!"/>
    <e v="#REF!"/>
    <e v="#REF!"/>
  </r>
  <r>
    <s v="512100"/>
    <x v="6"/>
    <s v="BANQUE POPULAIRE RIVE DE PARIS"/>
    <s v="BPRI"/>
    <n v="-4844.7"/>
    <d v="2025-12-24T00:00:00"/>
    <s v="/SQTP/RCUR/LIB/PRLV SEPA B2V GESTION GU COTISA/LIB/B2V GESTION GU COTISATIO/LIB/B2V  63476874.2300138 DU 241225/LIB/RUBE00009016"/>
    <m/>
    <e v="#N/A"/>
    <e v="#N/A"/>
    <n v="93675"/>
    <m/>
    <m/>
    <s v="Q4"/>
    <e v="#REF!"/>
    <e v="#REF!"/>
    <e v="#REF!"/>
  </r>
  <r>
    <s v="437300"/>
    <x v="6"/>
    <s v="RETRAITE"/>
    <s v="BPRI"/>
    <n v="10280.16"/>
    <d v="2025-03-25T00:00:00"/>
    <s v="Prélèvement B2V"/>
    <m/>
    <e v="#N/A"/>
    <e v="#N/A"/>
    <n v="64529"/>
    <m/>
    <m/>
    <s v="Q1"/>
    <e v="#REF!"/>
    <e v="#REF!"/>
    <e v="#REF!"/>
  </r>
  <r>
    <s v="437300"/>
    <x v="6"/>
    <s v="RETRAITE"/>
    <s v="BPRI"/>
    <n v="10335.52"/>
    <d v="2025-10-24T00:00:00"/>
    <s v="/SQTP/RCUR/LIB/PRLV SEPA B2V GESTION GU COTISA/LIB/B2V GESTION GU COTISATIO/LIB/B2V  63484120.5201991 DU 241025/LIB/RUBE00009039"/>
    <m/>
    <e v="#N/A"/>
    <e v="#N/A"/>
    <n v="87372"/>
    <m/>
    <m/>
    <s v="Q4"/>
    <e v="#REF!"/>
    <e v="#REF!"/>
    <e v="#REF!"/>
  </r>
  <r>
    <s v="437300"/>
    <x v="6"/>
    <s v="RETRAITE"/>
    <s v="BPRI"/>
    <n v="10384.780000000001"/>
    <d v="2025-08-26T00:00:00"/>
    <s v="PRLV SEPA B2V GESTION "/>
    <m/>
    <e v="#N/A"/>
    <e v="#N/A"/>
    <n v="81644"/>
    <m/>
    <m/>
    <s v="Q3"/>
    <e v="#REF!"/>
    <e v="#REF!"/>
    <e v="#REF!"/>
  </r>
  <r>
    <s v="437300"/>
    <x v="6"/>
    <s v="RETRAITE"/>
    <s v="BPRI"/>
    <n v="10512.61"/>
    <d v="2025-09-25T00:00:00"/>
    <s v="PRLV SEPA B2V GESTION GU COTISA"/>
    <m/>
    <e v="#N/A"/>
    <e v="#N/A"/>
    <n v="82611"/>
    <m/>
    <m/>
    <s v="Q3"/>
    <e v="#REF!"/>
    <e v="#REF!"/>
    <e v="#REF!"/>
  </r>
  <r>
    <s v="512100"/>
    <x v="6"/>
    <s v="BANQUE POPULAIRE RIVE DE PARIS"/>
    <s v="BPRI"/>
    <n v="-10335.52"/>
    <d v="2025-10-24T00:00:00"/>
    <s v="/SQTP/RCUR/LIB/PRLV SEPA B2V GESTION GU COTISA/LIB/B2V GESTION GU COTISATIO/LIB/B2V  63484120.5201991 DU 241025/LIB/RUBE00009039"/>
    <m/>
    <e v="#N/A"/>
    <e v="#N/A"/>
    <n v="87371"/>
    <m/>
    <m/>
    <s v="Q4"/>
    <e v="#REF!"/>
    <e v="#REF!"/>
    <e v="#REF!"/>
  </r>
  <r>
    <s v="437300"/>
    <x v="6"/>
    <s v="RETRAITE"/>
    <s v="BPRI"/>
    <n v="10204.459999999999"/>
    <d v="2025-12-24T00:00:00"/>
    <s v="/SQTP/RCUR/LIB/PRLV SEPA B2V GESTION GU COTISA/LIB/B2V GESTION GU COTISATIO/LIB/B2V  63484120.5202011 DU 241225/LIB/RUBE00009039"/>
    <m/>
    <e v="#N/A"/>
    <e v="#N/A"/>
    <n v="93682"/>
    <m/>
    <m/>
    <s v="Q4"/>
    <e v="#REF!"/>
    <e v="#REF!"/>
    <e v="#REF!"/>
  </r>
  <r>
    <s v="437300"/>
    <x v="6"/>
    <s v="RETRAITE"/>
    <s v="BPRI"/>
    <n v="11201.48"/>
    <d v="2025-01-24T00:00:00"/>
    <s v="PRLV SEPA B2V GESTION GU COTISA"/>
    <m/>
    <e v="#N/A"/>
    <e v="#N/A"/>
    <n v="21073"/>
    <s v="075AY2Y"/>
    <m/>
    <s v="Q1"/>
    <e v="#REF!"/>
    <e v="#REF!"/>
    <e v="#REF!"/>
  </r>
  <r>
    <s v="437300"/>
    <x v="6"/>
    <s v="RETRAITE"/>
    <s v="BPRI"/>
    <n v="12975.46"/>
    <d v="2025-02-25T00:00:00"/>
    <s v="PRLV SEPA B2V GESTION GU COTISA"/>
    <m/>
    <e v="#N/A"/>
    <e v="#N/A"/>
    <n v="21419"/>
    <s v="07F494Z"/>
    <m/>
    <s v="Q1"/>
    <e v="#REF!"/>
    <e v="#REF!"/>
    <e v="#REF!"/>
  </r>
  <r>
    <s v="437300"/>
    <x v="6"/>
    <s v="RETRAITE"/>
    <s v="BPRI"/>
    <n v="18420.97"/>
    <d v="2025-01-24T00:00:00"/>
    <s v="PRLV SEPA B2V GESTION GU COTISA"/>
    <m/>
    <e v="#N/A"/>
    <e v="#N/A"/>
    <n v="21071"/>
    <s v="075AY1H"/>
    <m/>
    <s v="Q1"/>
    <e v="#REF!"/>
    <e v="#REF!"/>
    <e v="#REF!"/>
  </r>
  <r>
    <s v="437300"/>
    <x v="6"/>
    <s v="RETRAITE"/>
    <s v="BPRI"/>
    <n v="21193.45"/>
    <d v="2025-03-25T00:00:00"/>
    <s v="Prélèvement B2V"/>
    <m/>
    <e v="#N/A"/>
    <e v="#N/A"/>
    <n v="64532"/>
    <m/>
    <m/>
    <s v="Q1"/>
    <e v="#REF!"/>
    <e v="#REF!"/>
    <e v="#REF!"/>
  </r>
  <r>
    <s v="437300"/>
    <x v="6"/>
    <s v="RETRAITE"/>
    <s v="BPRI"/>
    <n v="31151.55"/>
    <d v="2025-01-24T00:00:00"/>
    <s v="PRLV SEPA B2V GESTION GU COTISA"/>
    <m/>
    <e v="#N/A"/>
    <e v="#N/A"/>
    <n v="21075"/>
    <s v="075AY7V"/>
    <m/>
    <s v="Q1"/>
    <e v="#REF!"/>
    <e v="#REF!"/>
    <e v="#REF!"/>
  </r>
  <r>
    <s v="437300"/>
    <x v="6"/>
    <s v="RETRAITE"/>
    <s v="BPRI"/>
    <n v="33168.959999999999"/>
    <d v="2025-03-25T00:00:00"/>
    <s v="Prélèvement B2V"/>
    <m/>
    <e v="#N/A"/>
    <e v="#N/A"/>
    <n v="64535"/>
    <m/>
    <m/>
    <s v="Q1"/>
    <e v="#REF!"/>
    <e v="#REF!"/>
    <e v="#REF!"/>
  </r>
  <r>
    <s v="437300"/>
    <x v="6"/>
    <s v="RETRAITE"/>
    <s v="JC"/>
    <n v="-893.58"/>
    <d v="2025-06-30T00:00:00"/>
    <s v="Recalcul paie 06/2025 - Régularisation demandée sur DSN 07/2025"/>
    <m/>
    <e v="#N/A"/>
    <e v="#N/A"/>
    <n v="96516"/>
    <s v="email K. hamon du 02/02/2026"/>
    <m/>
    <s v="Q2"/>
    <e v="#REF!"/>
    <e v="#REF!"/>
    <e v="#REF!"/>
  </r>
  <r>
    <s v="437300"/>
    <x v="6"/>
    <s v="RETRAITE"/>
    <s v="JC"/>
    <n v="893.58"/>
    <d v="2025-06-30T00:00:00"/>
    <s v="Recalcul paie 06/2025 - Régularisation demandée sur DSN 07/2025"/>
    <m/>
    <e v="#N/A"/>
    <e v="#N/A"/>
    <n v="96517"/>
    <s v="email K. hamon du 02/02/2026"/>
    <m/>
    <s v="Q2"/>
    <e v="#REF!"/>
    <e v="#REF!"/>
    <e v="#REF!"/>
  </r>
  <r>
    <s v="437300"/>
    <x v="6"/>
    <s v="RETRAITE"/>
    <s v="SA"/>
    <n v="-40545.800000000003"/>
    <d v="2025-02-28T00:00:00"/>
    <s v="RETRAITE TU2"/>
    <m/>
    <e v="#N/A"/>
    <e v="#N/A"/>
    <n v="85201"/>
    <s v="SA202502"/>
    <m/>
    <s v="Q1"/>
    <e v="#REF!"/>
    <e v="#REF!"/>
    <e v="#REF!"/>
  </r>
  <r>
    <s v="437300"/>
    <x v="6"/>
    <s v="RETRAITE"/>
    <s v="SA"/>
    <n v="-13814.19"/>
    <d v="2025-02-28T00:00:00"/>
    <s v="RETRAITE TU1"/>
    <m/>
    <e v="#N/A"/>
    <e v="#N/A"/>
    <n v="85200"/>
    <s v="SA202502"/>
    <m/>
    <s v="Q1"/>
    <e v="#REF!"/>
    <e v="#REF!"/>
    <e v="#REF!"/>
  </r>
  <r>
    <s v="437300"/>
    <x v="6"/>
    <s v="RETRAITE"/>
    <s v="SA"/>
    <n v="-11563.75"/>
    <d v="2025-07-31T00:00:00"/>
    <s v="RETRAITE TU1"/>
    <m/>
    <e v="#N/A"/>
    <e v="#N/A"/>
    <n v="79813"/>
    <s v="SA202507"/>
    <m/>
    <s v="Q3"/>
    <e v="#REF!"/>
    <e v="#REF!"/>
    <e v="#REF!"/>
  </r>
  <r>
    <s v="437300"/>
    <x v="6"/>
    <s v="RETRAITE"/>
    <s v="SA"/>
    <n v="-11532.2"/>
    <d v="2025-03-31T00:00:00"/>
    <s v="RETRAITE TU1"/>
    <m/>
    <e v="#N/A"/>
    <e v="#N/A"/>
    <n v="80496"/>
    <s v="SA202503"/>
    <m/>
    <s v="Q1"/>
    <e v="#REF!"/>
    <e v="#REF!"/>
    <e v="#REF!"/>
  </r>
  <r>
    <s v="437300"/>
    <x v="6"/>
    <s v="RETRAITE"/>
    <s v="SA"/>
    <n v="-11392.9"/>
    <d v="2025-01-31T00:00:00"/>
    <s v="RETRAITE TU1"/>
    <m/>
    <e v="#N/A"/>
    <e v="#N/A"/>
    <n v="85388"/>
    <s v="SA202501"/>
    <m/>
    <s v="Q1"/>
    <e v="#REF!"/>
    <e v="#REF!"/>
    <e v="#REF!"/>
  </r>
  <r>
    <s v="437300"/>
    <x v="6"/>
    <s v="RETRAITE"/>
    <s v="SA"/>
    <n v="-11301.5"/>
    <d v="2025-06-30T00:00:00"/>
    <s v="RETRAITE TU1"/>
    <m/>
    <e v="#N/A"/>
    <e v="#N/A"/>
    <n v="79987"/>
    <s v="SA202506"/>
    <m/>
    <s v="Q2"/>
    <e v="#REF!"/>
    <e v="#REF!"/>
    <e v="#REF!"/>
  </r>
  <r>
    <s v="437300"/>
    <x v="6"/>
    <s v="RETRAITE"/>
    <s v="SA"/>
    <n v="-11226.3"/>
    <d v="2025-05-31T00:00:00"/>
    <s v="RETRAITE TU1"/>
    <m/>
    <e v="#N/A"/>
    <e v="#N/A"/>
    <n v="80156"/>
    <s v="SA202505"/>
    <m/>
    <s v="Q2"/>
    <e v="#REF!"/>
    <e v="#REF!"/>
    <e v="#REF!"/>
  </r>
  <r>
    <s v="437300"/>
    <x v="6"/>
    <s v="RETRAITE"/>
    <s v="SA"/>
    <n v="-11006.8"/>
    <d v="2025-04-30T00:00:00"/>
    <s v="RETRAITE TU1"/>
    <m/>
    <e v="#N/A"/>
    <e v="#N/A"/>
    <n v="80326"/>
    <s v="SA202504"/>
    <m/>
    <s v="Q2"/>
    <e v="#REF!"/>
    <e v="#REF!"/>
    <e v="#REF!"/>
  </r>
  <r>
    <s v="437300"/>
    <x v="6"/>
    <s v="RETRAITE"/>
    <s v="SA"/>
    <n v="-10717.41"/>
    <d v="2025-08-31T00:00:00"/>
    <s v="RETRAITE TU1"/>
    <m/>
    <e v="#N/A"/>
    <e v="#N/A"/>
    <n v="83932"/>
    <s v="SA202508"/>
    <m/>
    <s v="Q3"/>
    <e v="#REF!"/>
    <e v="#REF!"/>
    <e v="#REF!"/>
  </r>
  <r>
    <s v="437300"/>
    <x v="6"/>
    <s v="RETRAITE"/>
    <s v="SA"/>
    <n v="-10285.31"/>
    <d v="2025-06-30T00:00:00"/>
    <s v="RETRAITE TU2"/>
    <m/>
    <e v="#N/A"/>
    <e v="#N/A"/>
    <n v="79988"/>
    <s v="SA202506"/>
    <m/>
    <s v="Q2"/>
    <e v="#REF!"/>
    <e v="#REF!"/>
    <e v="#REF!"/>
  </r>
  <r>
    <s v="437300"/>
    <x v="6"/>
    <s v="RETRAITE"/>
    <s v="SA"/>
    <n v="-9942.93"/>
    <d v="2025-08-31T00:00:00"/>
    <s v="RETRAITE TU2"/>
    <m/>
    <e v="#N/A"/>
    <e v="#N/A"/>
    <n v="83933"/>
    <s v="SA202508"/>
    <m/>
    <s v="Q3"/>
    <e v="#REF!"/>
    <e v="#REF!"/>
    <e v="#REF!"/>
  </r>
  <r>
    <s v="437300"/>
    <x v="6"/>
    <s v="RETRAITE"/>
    <s v="SA"/>
    <n v="-9884.2000000000007"/>
    <d v="2025-04-30T00:00:00"/>
    <s v="RETRAITE TU2"/>
    <m/>
    <e v="#N/A"/>
    <e v="#N/A"/>
    <n v="80327"/>
    <s v="SA202504"/>
    <m/>
    <s v="Q2"/>
    <e v="#REF!"/>
    <e v="#REF!"/>
    <e v="#REF!"/>
  </r>
  <r>
    <s v="437300"/>
    <x v="6"/>
    <s v="RETRAITE"/>
    <s v="SA"/>
    <n v="-9637.57"/>
    <d v="2025-09-30T00:00:00"/>
    <s v="RETRAITE TU2"/>
    <m/>
    <e v="#N/A"/>
    <e v="#N/A"/>
    <n v="84108"/>
    <s v="SA202509"/>
    <m/>
    <s v="Q3"/>
    <e v="#REF!"/>
    <e v="#REF!"/>
    <e v="#REF!"/>
  </r>
  <r>
    <s v="437300"/>
    <x v="6"/>
    <s v="RETRAITE"/>
    <s v="SA"/>
    <n v="-9483.48"/>
    <d v="2025-11-30T00:00:00"/>
    <s v="RETRAITE TU2"/>
    <m/>
    <e v="#N/A"/>
    <e v="#N/A"/>
    <n v="92282"/>
    <s v="SA202511"/>
    <m/>
    <s v="Q4"/>
    <e v="#REF!"/>
    <e v="#REF!"/>
    <e v="#REF!"/>
  </r>
  <r>
    <s v="437300"/>
    <x v="6"/>
    <s v="RETRAITE"/>
    <s v="SA"/>
    <n v="-9458.67"/>
    <d v="2025-10-31T00:00:00"/>
    <s v="RETRAITE TU2"/>
    <m/>
    <e v="#N/A"/>
    <e v="#N/A"/>
    <n v="87773"/>
    <s v="SA202510"/>
    <m/>
    <s v="Q4"/>
    <e v="#REF!"/>
    <e v="#REF!"/>
    <e v="#REF!"/>
  </r>
  <r>
    <s v="437300"/>
    <x v="6"/>
    <s v="RETRAITE"/>
    <s v="SA"/>
    <n v="-9227.3700000000008"/>
    <d v="2025-01-31T00:00:00"/>
    <s v="RETRAITE TU2"/>
    <m/>
    <e v="#N/A"/>
    <e v="#N/A"/>
    <n v="85389"/>
    <s v="SA202501"/>
    <m/>
    <s v="Q1"/>
    <e v="#REF!"/>
    <e v="#REF!"/>
    <e v="#REF!"/>
  </r>
  <r>
    <s v="437300"/>
    <x v="6"/>
    <s v="RETRAITE"/>
    <s v="SA"/>
    <n v="-9193.32"/>
    <d v="2025-12-31T00:00:00"/>
    <s v="RETRAITE TU2"/>
    <m/>
    <e v="#N/A"/>
    <e v="#N/A"/>
    <n v="92741"/>
    <s v="SA202512"/>
    <m/>
    <s v="Q4"/>
    <e v="#REF!"/>
    <e v="#REF!"/>
    <e v="#REF!"/>
  </r>
  <r>
    <s v="437300"/>
    <x v="6"/>
    <s v="RETRAITE"/>
    <s v="SA"/>
    <n v="-8986.33"/>
    <d v="2025-05-31T00:00:00"/>
    <s v="RETRAITE TU2"/>
    <m/>
    <e v="#N/A"/>
    <e v="#N/A"/>
    <n v="80157"/>
    <s v="SA202505"/>
    <m/>
    <s v="Q2"/>
    <e v="#REF!"/>
    <e v="#REF!"/>
    <e v="#REF!"/>
  </r>
  <r>
    <s v="437300"/>
    <x v="6"/>
    <s v="RETRAITE"/>
    <s v="SA"/>
    <n v="-8876.65"/>
    <d v="2025-03-31T00:00:00"/>
    <s v="RETRAITE TU2"/>
    <m/>
    <e v="#N/A"/>
    <e v="#N/A"/>
    <n v="80497"/>
    <s v="SA202503"/>
    <m/>
    <s v="Q1"/>
    <e v="#REF!"/>
    <e v="#REF!"/>
    <e v="#REF!"/>
  </r>
  <r>
    <s v="437300"/>
    <x v="6"/>
    <s v="RETRAITE"/>
    <s v="SA"/>
    <n v="-8499.59"/>
    <d v="2025-07-31T00:00:00"/>
    <s v="RETRAITE TU2"/>
    <m/>
    <e v="#N/A"/>
    <e v="#N/A"/>
    <n v="79814"/>
    <s v="SA202507"/>
    <m/>
    <s v="Q3"/>
    <e v="#REF!"/>
    <e v="#REF!"/>
    <e v="#REF!"/>
  </r>
  <r>
    <s v="437300"/>
    <x v="6"/>
    <s v="RETRAITE"/>
    <s v="SA"/>
    <n v="-6880.27"/>
    <d v="2025-09-30T00:00:00"/>
    <s v="RETRAITE TU1 - EXO PART APPRENTI"/>
    <m/>
    <e v="#N/A"/>
    <e v="#N/A"/>
    <n v="84107"/>
    <s v="SA202509"/>
    <m/>
    <s v="Q3"/>
    <e v="#REF!"/>
    <e v="#REF!"/>
    <e v="#REF!"/>
  </r>
  <r>
    <s v="437300"/>
    <x v="6"/>
    <s v="RETRAITE"/>
    <s v="SA"/>
    <n v="-6590.19"/>
    <d v="2025-10-31T00:00:00"/>
    <s v="RETRAITE TU1 - EXO PART APPRENTI"/>
    <m/>
    <e v="#N/A"/>
    <e v="#N/A"/>
    <n v="87772"/>
    <s v="SA202510"/>
    <m/>
    <s v="Q4"/>
    <e v="#REF!"/>
    <e v="#REF!"/>
    <e v="#REF!"/>
  </r>
  <r>
    <s v="437300"/>
    <x v="6"/>
    <s v="RETRAITE"/>
    <s v="SA"/>
    <n v="-6588.18"/>
    <d v="2025-11-30T00:00:00"/>
    <s v="RETRAITE TU1 - EXO PART APPRENTI"/>
    <m/>
    <e v="#N/A"/>
    <e v="#N/A"/>
    <n v="92281"/>
    <s v="SA202511"/>
    <m/>
    <s v="Q4"/>
    <e v="#REF!"/>
    <e v="#REF!"/>
    <e v="#REF!"/>
  </r>
  <r>
    <s v="437300"/>
    <x v="6"/>
    <s v="RETRAITE"/>
    <s v="SA"/>
    <n v="-6485.75"/>
    <d v="2025-12-31T00:00:00"/>
    <s v="RETRAITE TU1 - EXO PART APPRENTI"/>
    <m/>
    <e v="#N/A"/>
    <e v="#N/A"/>
    <n v="92740"/>
    <s v="SA202512"/>
    <m/>
    <s v="Q4"/>
    <e v="#REF!"/>
    <e v="#REF!"/>
    <e v="#REF!"/>
  </r>
  <r>
    <s v="512100"/>
    <x v="6"/>
    <s v="BANQUE POPULAIRE RIVE DE PARIS"/>
    <s v="BPRI"/>
    <n v="-10204.459999999999"/>
    <d v="2025-12-24T00:00:00"/>
    <s v="/SQTP/RCUR/LIB/PRLV SEPA B2V GESTION GU COTISA/LIB/B2V GESTION GU COTISATIO/LIB/B2V  63484120.5202011 DU 241225/LIB/RUBE00009039"/>
    <m/>
    <e v="#N/A"/>
    <e v="#N/A"/>
    <n v="93681"/>
    <m/>
    <m/>
    <s v="Q4"/>
    <e v="#REF!"/>
    <e v="#REF!"/>
    <e v="#REF!"/>
  </r>
  <r>
    <s v="437300"/>
    <x v="6"/>
    <s v="RETRAITE"/>
    <s v="SA"/>
    <n v="-4506.63"/>
    <d v="2025-09-30T00:00:00"/>
    <s v="RETRAITE TU1"/>
    <m/>
    <e v="#N/A"/>
    <e v="#N/A"/>
    <n v="84106"/>
    <s v="SA202509"/>
    <m/>
    <s v="Q3"/>
    <e v="#REF!"/>
    <e v="#REF!"/>
    <e v="#REF!"/>
  </r>
  <r>
    <s v="437300"/>
    <x v="6"/>
    <s v="RETRAITE"/>
    <s v="SA"/>
    <n v="-4313.04"/>
    <d v="2025-10-31T00:00:00"/>
    <s v="RETRAITE TU1"/>
    <m/>
    <e v="#N/A"/>
    <e v="#N/A"/>
    <n v="87771"/>
    <s v="SA202510"/>
    <m/>
    <s v="Q4"/>
    <e v="#REF!"/>
    <e v="#REF!"/>
    <e v="#REF!"/>
  </r>
  <r>
    <s v="437300"/>
    <x v="6"/>
    <s v="RETRAITE"/>
    <s v="SA"/>
    <n v="-4311.7"/>
    <d v="2025-11-30T00:00:00"/>
    <s v="RETRAITE TU1"/>
    <m/>
    <e v="#N/A"/>
    <e v="#N/A"/>
    <n v="92280"/>
    <s v="SA202511"/>
    <m/>
    <s v="Q4"/>
    <e v="#REF!"/>
    <e v="#REF!"/>
    <e v="#REF!"/>
  </r>
  <r>
    <s v="437300"/>
    <x v="6"/>
    <s v="RETRAITE"/>
    <s v="SA"/>
    <n v="-4243.32"/>
    <d v="2025-12-31T00:00:00"/>
    <s v="RETRAITE TU1"/>
    <m/>
    <e v="#N/A"/>
    <e v="#N/A"/>
    <n v="92739"/>
    <s v="SA202512"/>
    <m/>
    <s v="Q4"/>
    <e v="#REF!"/>
    <e v="#REF!"/>
    <e v="#REF!"/>
  </r>
  <r>
    <s v="401000"/>
    <x v="6"/>
    <s v="FOURNISSEURS"/>
    <s v="BPRI"/>
    <n v="3316.8"/>
    <d v="2025-11-03T00:00:00"/>
    <s v="/SQTP/RCUR/LIB/PRLV SEPA BAIL ACTEA/LIB/BAIL ACTEA/LIB/205016-LF-0/BAIL ACTEA/FC2532079/LIB/000000042059"/>
    <m/>
    <e v="#N/A"/>
    <e v="#N/A"/>
    <n v="87991"/>
    <m/>
    <s v="ACTEA"/>
    <s v="Q4"/>
    <e v="#REF!"/>
    <e v="#REF!"/>
    <e v="#REF!"/>
  </r>
  <r>
    <s v="512100"/>
    <x v="6"/>
    <s v="BANQUE POPULAIRE RIVE DE PARIS"/>
    <s v="BPRI"/>
    <n v="-3316.8"/>
    <d v="2025-11-03T00:00:00"/>
    <s v="/SQTP/RCUR/LIB/PRLV SEPA BAIL ACTEA/LIB/BAIL ACTEA/LIB/205016-LF-0/BAIL ACTEA/FC2532079/LIB/000000042059"/>
    <m/>
    <e v="#N/A"/>
    <e v="#N/A"/>
    <n v="87990"/>
    <m/>
    <s v="ACTEA"/>
    <s v="Q4"/>
    <e v="#REF!"/>
    <e v="#REF!"/>
    <e v="#REF!"/>
  </r>
  <r>
    <s v="401000"/>
    <x v="6"/>
    <s v="FOURNISSEURS"/>
    <s v="BPRI"/>
    <n v="3316.8"/>
    <d v="2025-12-01T00:00:00"/>
    <s v="/SQTP/RCUR/LIB/PRLV SEPA BAIL ACTEA/LIB/BAIL ACTEA/LIB/205016-LF-0/BAIL ACTEA/FC2533893/LIB/000000042059"/>
    <m/>
    <e v="#N/A"/>
    <e v="#N/A"/>
    <n v="91307"/>
    <m/>
    <s v="ACTEA"/>
    <s v="Q4"/>
    <e v="#REF!"/>
    <e v="#REF!"/>
    <e v="#REF!"/>
  </r>
  <r>
    <s v="512100"/>
    <x v="6"/>
    <s v="BANQUE POPULAIRE RIVE DE PARIS"/>
    <s v="BPRI"/>
    <n v="-3316.8"/>
    <d v="2025-12-01T00:00:00"/>
    <s v="/SQTP/RCUR/LIB/PRLV SEPA BAIL ACTEA/LIB/BAIL ACTEA/LIB/205016-LF-0/BAIL ACTEA/FC2533893/LIB/000000042059"/>
    <m/>
    <e v="#N/A"/>
    <e v="#N/A"/>
    <n v="91306"/>
    <m/>
    <s v="ACTEA"/>
    <s v="Q4"/>
    <e v="#REF!"/>
    <e v="#REF!"/>
    <e v="#REF!"/>
  </r>
  <r>
    <s v="401000"/>
    <x v="6"/>
    <s v="FOURNISSEURS"/>
    <s v="BPRI"/>
    <n v="7129.09"/>
    <d v="2025-10-28T00:00:00"/>
    <s v="/SQTP/RCUR/LIB/PRLV SEPA BDO EXPERTISE SOCIALE/LIB/BDO EXPERTISE SOCIALE/LIB/FACTURE FC-290-25-09-00710/LIB/005783"/>
    <s v="Non"/>
    <s v="Non"/>
    <e v="#N/A"/>
    <n v="87390"/>
    <m/>
    <s v="BDO EXPERTISE"/>
    <s v="Q4"/>
    <e v="#REF!"/>
    <e v="#REF!"/>
    <e v="#REF!"/>
  </r>
  <r>
    <s v="512100"/>
    <x v="6"/>
    <s v="BANQUE POPULAIRE RIVE DE PARIS"/>
    <s v="BPRI"/>
    <n v="-7129.09"/>
    <d v="2025-10-28T00:00:00"/>
    <s v="/SQTP/RCUR/LIB/PRLV SEPA BDO EXPERTISE SOCIALE/LIB/BDO EXPERTISE SOCIALE/LIB/FACTURE FC-290-25-09-00710/LIB/005783"/>
    <s v="Non"/>
    <s v="Non"/>
    <e v="#N/A"/>
    <n v="87389"/>
    <m/>
    <s v="BDO EXPERTISE"/>
    <s v="Q4"/>
    <e v="#REF!"/>
    <e v="#REF!"/>
    <e v="#REF!"/>
  </r>
  <r>
    <s v="437200"/>
    <x v="6"/>
    <s v="PRÉVOYANCE - BENEFIZ"/>
    <s v="BPRI"/>
    <n v="163.22"/>
    <d v="2025-10-07T00:00:00"/>
    <s v="/SQTP/RCUR/LIB/PRLV SEPA BENEFIZ/LIB/BENEFIZ/LIB/BENEFIZ"/>
    <m/>
    <e v="#N/A"/>
    <e v="#N/A"/>
    <n v="86892"/>
    <m/>
    <m/>
    <s v="Q4"/>
    <e v="#REF!"/>
    <e v="#REF!"/>
    <e v="#REF!"/>
  </r>
  <r>
    <s v="437200"/>
    <x v="6"/>
    <s v="PRÉVOYANCE - BENEFIZ"/>
    <s v="BPRI"/>
    <n v="177.81"/>
    <d v="2025-10-07T00:00:00"/>
    <s v="/SQTP/RCUR/LIB/PRLV SEPA BENEFIZ/LIB/BENEFIZ/LIB/BENEFIZ"/>
    <m/>
    <e v="#N/A"/>
    <e v="#N/A"/>
    <n v="86895"/>
    <m/>
    <m/>
    <s v="Q4"/>
    <e v="#REF!"/>
    <e v="#REF!"/>
    <e v="#REF!"/>
  </r>
  <r>
    <s v="437200"/>
    <x v="6"/>
    <s v="PRÉVOYANCE - BENEFIZ"/>
    <s v="BPRI"/>
    <n v="345.79"/>
    <d v="2025-10-07T00:00:00"/>
    <s v="/SQTP/RCUR/LIB/PRLV SEPA BENEFIZ/LIB/BENEFIZ/LIB/BENEFIZ"/>
    <m/>
    <e v="#N/A"/>
    <e v="#N/A"/>
    <n v="86898"/>
    <m/>
    <m/>
    <s v="Q4"/>
    <e v="#REF!"/>
    <e v="#REF!"/>
    <e v="#REF!"/>
  </r>
  <r>
    <s v="437200"/>
    <x v="6"/>
    <s v="PRÉVOYANCE - BENEFIZ"/>
    <s v="BPRI"/>
    <n v="535.35"/>
    <d v="2025-10-07T00:00:00"/>
    <s v="/SQTP/RCUR/LIB/PRLV SEPA BENEFIZ/LIB/BENEFIZ/LIB/BENEFIZ"/>
    <m/>
    <e v="#N/A"/>
    <e v="#N/A"/>
    <n v="86904"/>
    <m/>
    <m/>
    <s v="Q4"/>
    <e v="#REF!"/>
    <e v="#REF!"/>
    <e v="#REF!"/>
  </r>
  <r>
    <s v="437200"/>
    <x v="6"/>
    <s v="PRÉVOYANCE - BENEFIZ"/>
    <s v="BPRI"/>
    <n v="1045.82"/>
    <d v="2025-10-07T00:00:00"/>
    <s v="/SQTP/RCUR/LIB/PRLV SEPA BENEFIZ/LIB/BENEFIZ/LIB/BENEFIZ"/>
    <m/>
    <e v="#N/A"/>
    <e v="#N/A"/>
    <n v="86907"/>
    <m/>
    <m/>
    <s v="Q4"/>
    <e v="#REF!"/>
    <e v="#REF!"/>
    <e v="#REF!"/>
  </r>
  <r>
    <s v="437200"/>
    <x v="6"/>
    <s v="PRÉVOYANCE - BENEFIZ"/>
    <s v="BPRI"/>
    <n v="1127.18"/>
    <d v="2025-10-07T00:00:00"/>
    <s v="/SQTP/RCUR/LIB/PRLV SEPA BENEFIZ/LIB/BENEFIZ/LIB/BENEFIZ"/>
    <m/>
    <e v="#N/A"/>
    <e v="#N/A"/>
    <n v="86910"/>
    <m/>
    <m/>
    <s v="Q4"/>
    <e v="#REF!"/>
    <e v="#REF!"/>
    <e v="#REF!"/>
  </r>
  <r>
    <s v="512100"/>
    <x v="6"/>
    <s v="BANQUE POPULAIRE RIVE DE PARIS"/>
    <s v="BPRI"/>
    <n v="-1127.18"/>
    <d v="2025-10-07T00:00:00"/>
    <s v="/SQTP/RCUR/LIB/PRLV SEPA BENEFIZ/LIB/BENEFIZ/LIB/BENEFIZ"/>
    <m/>
    <e v="#N/A"/>
    <e v="#N/A"/>
    <n v="86909"/>
    <m/>
    <m/>
    <s v="Q4"/>
    <e v="#REF!"/>
    <e v="#REF!"/>
    <e v="#REF!"/>
  </r>
  <r>
    <s v="512100"/>
    <x v="6"/>
    <s v="BANQUE POPULAIRE RIVE DE PARIS"/>
    <s v="BPRI"/>
    <n v="-1045.82"/>
    <d v="2025-10-07T00:00:00"/>
    <s v="/SQTP/RCUR/LIB/PRLV SEPA BENEFIZ/LIB/BENEFIZ/LIB/BENEFIZ"/>
    <m/>
    <e v="#N/A"/>
    <e v="#N/A"/>
    <n v="86906"/>
    <m/>
    <m/>
    <s v="Q4"/>
    <e v="#REF!"/>
    <e v="#REF!"/>
    <e v="#REF!"/>
  </r>
  <r>
    <s v="512100"/>
    <x v="6"/>
    <s v="BANQUE POPULAIRE RIVE DE PARIS"/>
    <s v="BPRI"/>
    <n v="-535.35"/>
    <d v="2025-10-07T00:00:00"/>
    <s v="/SQTP/RCUR/LIB/PRLV SEPA BENEFIZ/LIB/BENEFIZ/LIB/BENEFIZ"/>
    <m/>
    <e v="#N/A"/>
    <e v="#N/A"/>
    <n v="86903"/>
    <m/>
    <m/>
    <s v="Q4"/>
    <e v="#REF!"/>
    <e v="#REF!"/>
    <e v="#REF!"/>
  </r>
  <r>
    <s v="512100"/>
    <x v="6"/>
    <s v="BANQUE POPULAIRE RIVE DE PARIS"/>
    <s v="BPRI"/>
    <n v="-345.79"/>
    <d v="2025-10-07T00:00:00"/>
    <s v="/SQTP/RCUR/LIB/PRLV SEPA BENEFIZ/LIB/BENEFIZ/LIB/BENEFIZ"/>
    <m/>
    <e v="#N/A"/>
    <e v="#N/A"/>
    <n v="86897"/>
    <m/>
    <m/>
    <s v="Q4"/>
    <e v="#REF!"/>
    <e v="#REF!"/>
    <e v="#REF!"/>
  </r>
  <r>
    <s v="512100"/>
    <x v="6"/>
    <s v="BANQUE POPULAIRE RIVE DE PARIS"/>
    <s v="BPRI"/>
    <n v="-177.81"/>
    <d v="2025-10-07T00:00:00"/>
    <s v="/SQTP/RCUR/LIB/PRLV SEPA BENEFIZ/LIB/BENEFIZ/LIB/BENEFIZ"/>
    <m/>
    <e v="#N/A"/>
    <e v="#N/A"/>
    <n v="86894"/>
    <m/>
    <m/>
    <s v="Q4"/>
    <e v="#REF!"/>
    <e v="#REF!"/>
    <e v="#REF!"/>
  </r>
  <r>
    <s v="512100"/>
    <x v="6"/>
    <s v="BANQUE POPULAIRE RIVE DE PARIS"/>
    <s v="BPRI"/>
    <n v="-163.22"/>
    <d v="2025-10-07T00:00:00"/>
    <s v="/SQTP/RCUR/LIB/PRLV SEPA BENEFIZ/LIB/BENEFIZ/LIB/BENEFIZ"/>
    <m/>
    <e v="#N/A"/>
    <e v="#N/A"/>
    <n v="86891"/>
    <m/>
    <m/>
    <s v="Q4"/>
    <e v="#REF!"/>
    <e v="#REF!"/>
    <e v="#REF!"/>
  </r>
  <r>
    <s v="437200"/>
    <x v="6"/>
    <s v="PRÉVOYANCE - BENEFIZ"/>
    <s v="BPRI"/>
    <n v="1040.49"/>
    <d v="2025-12-05T00:00:00"/>
    <s v="/SQTP/RCUR/LIB/PRLV SEPA BENEFIZ/LIB/BENEFIZ/LIB/BENEFIZ/LIB/CGN88GNHC13QNY3L"/>
    <m/>
    <e v="#N/A"/>
    <e v="#N/A"/>
    <n v="91883"/>
    <m/>
    <m/>
    <s v="Q4"/>
    <e v="#REF!"/>
    <e v="#REF!"/>
    <e v="#REF!"/>
  </r>
  <r>
    <s v="437200"/>
    <x v="6"/>
    <s v="PRÉVOYANCE - BENEFIZ"/>
    <s v="BPRI"/>
    <n v="1079.8"/>
    <d v="2025-11-05T00:00:00"/>
    <s v="/SQTP/RCUR/LIB/PRLV SEPA BENEFIZ/LIB/BENEFIZ/LIB/BENEFIZ/LIB/CGN88GNHC13QNY3L"/>
    <m/>
    <e v="#N/A"/>
    <e v="#N/A"/>
    <n v="89273"/>
    <m/>
    <m/>
    <s v="Q4"/>
    <e v="#REF!"/>
    <e v="#REF!"/>
    <e v="#REF!"/>
  </r>
  <r>
    <s v="512100"/>
    <x v="6"/>
    <s v="BANQUE POPULAIRE RIVE DE PARIS"/>
    <s v="BPRI"/>
    <n v="-1079.8"/>
    <d v="2025-11-05T00:00:00"/>
    <s v="/SQTP/RCUR/LIB/PRLV SEPA BENEFIZ/LIB/BENEFIZ/LIB/BENEFIZ/LIB/CGN88GNHC13QNY3L"/>
    <m/>
    <e v="#N/A"/>
    <e v="#N/A"/>
    <n v="89272"/>
    <m/>
    <m/>
    <s v="Q4"/>
    <e v="#REF!"/>
    <e v="#REF!"/>
    <e v="#REF!"/>
  </r>
  <r>
    <s v="512100"/>
    <x v="6"/>
    <s v="BANQUE POPULAIRE RIVE DE PARIS"/>
    <s v="BPRI"/>
    <n v="-1040.49"/>
    <d v="2025-12-05T00:00:00"/>
    <s v="/SQTP/RCUR/LIB/PRLV SEPA BENEFIZ/LIB/BENEFIZ/LIB/BENEFIZ/LIB/CGN88GNHC13QNY3L"/>
    <m/>
    <e v="#N/A"/>
    <e v="#N/A"/>
    <n v="91882"/>
    <m/>
    <m/>
    <s v="Q4"/>
    <e v="#REF!"/>
    <e v="#REF!"/>
    <e v="#REF!"/>
  </r>
  <r>
    <s v="437200"/>
    <x v="6"/>
    <s v="PRÉVOYANCE - BENEFIZ"/>
    <s v="BPRI"/>
    <n v="538.46"/>
    <d v="2025-12-05T00:00:00"/>
    <s v="/SQTP/RCUR/LIB/PRLV SEPA BENEFIZ/LIB/BENEFIZ/LIB/BENEFIZ/LIB/CRJAGG57W3KAKDO6"/>
    <m/>
    <e v="#N/A"/>
    <e v="#N/A"/>
    <n v="91880"/>
    <m/>
    <m/>
    <s v="Q4"/>
    <e v="#REF!"/>
    <e v="#REF!"/>
    <e v="#REF!"/>
  </r>
  <r>
    <s v="437200"/>
    <x v="6"/>
    <s v="PRÉVOYANCE - BENEFIZ"/>
    <s v="BPRI"/>
    <n v="542.98"/>
    <d v="2025-11-05T00:00:00"/>
    <s v="/SQTP/RCUR/LIB/PRLV SEPA BENEFIZ/LIB/BENEFIZ/LIB/BENEFIZ/LIB/CRJAGG57W3KAKDO6"/>
    <m/>
    <e v="#N/A"/>
    <e v="#N/A"/>
    <n v="89276"/>
    <m/>
    <m/>
    <s v="Q4"/>
    <e v="#REF!"/>
    <e v="#REF!"/>
    <e v="#REF!"/>
  </r>
  <r>
    <s v="512100"/>
    <x v="6"/>
    <s v="BANQUE POPULAIRE RIVE DE PARIS"/>
    <s v="BPRI"/>
    <n v="-542.98"/>
    <d v="2025-11-05T00:00:00"/>
    <s v="/SQTP/RCUR/LIB/PRLV SEPA BENEFIZ/LIB/BENEFIZ/LIB/BENEFIZ/LIB/CRJAGG57W3KAKDO6"/>
    <m/>
    <e v="#N/A"/>
    <e v="#N/A"/>
    <n v="89275"/>
    <m/>
    <m/>
    <s v="Q4"/>
    <e v="#REF!"/>
    <e v="#REF!"/>
    <e v="#REF!"/>
  </r>
  <r>
    <s v="512100"/>
    <x v="6"/>
    <s v="BANQUE POPULAIRE RIVE DE PARIS"/>
    <s v="BPRI"/>
    <n v="-538.46"/>
    <d v="2025-12-05T00:00:00"/>
    <s v="/SQTP/RCUR/LIB/PRLV SEPA BENEFIZ/LIB/BENEFIZ/LIB/BENEFIZ/LIB/CRJAGG57W3KAKDO6"/>
    <m/>
    <e v="#N/A"/>
    <e v="#N/A"/>
    <n v="91879"/>
    <m/>
    <m/>
    <s v="Q4"/>
    <e v="#REF!"/>
    <e v="#REF!"/>
    <e v="#REF!"/>
  </r>
  <r>
    <s v="437200"/>
    <x v="6"/>
    <s v="PRÉVOYANCE - BENEFIZ"/>
    <s v="BPRI"/>
    <n v="1103.6500000000001"/>
    <d v="2025-11-05T00:00:00"/>
    <s v="/SQTP/RCUR/LIB/PRLV SEPA BENEFIZ/LIB/BENEFIZ/LIB/BENEFIZ/LIB/LVDV3JOEMTIQHTJ0"/>
    <m/>
    <e v="#N/A"/>
    <e v="#N/A"/>
    <n v="89279"/>
    <m/>
    <m/>
    <s v="Q4"/>
    <e v="#REF!"/>
    <e v="#REF!"/>
    <e v="#REF!"/>
  </r>
  <r>
    <s v="437200"/>
    <x v="6"/>
    <s v="PRÉVOYANCE - BENEFIZ"/>
    <s v="BPRI"/>
    <n v="1135.58"/>
    <d v="2025-12-05T00:00:00"/>
    <s v="/SQTP/RCUR/LIB/PRLV SEPA BENEFIZ/LIB/BENEFIZ/LIB/BENEFIZ/LIB/LVDV3JOEMTIQHTJ0"/>
    <m/>
    <e v="#N/A"/>
    <e v="#N/A"/>
    <n v="91886"/>
    <m/>
    <m/>
    <s v="Q4"/>
    <e v="#REF!"/>
    <e v="#REF!"/>
    <e v="#REF!"/>
  </r>
  <r>
    <s v="512100"/>
    <x v="6"/>
    <s v="BANQUE POPULAIRE RIVE DE PARIS"/>
    <s v="BPRI"/>
    <n v="-1135.58"/>
    <d v="2025-12-05T00:00:00"/>
    <s v="/SQTP/RCUR/LIB/PRLV SEPA BENEFIZ/LIB/BENEFIZ/LIB/BENEFIZ/LIB/LVDV3JOEMTIQHTJ0"/>
    <m/>
    <e v="#N/A"/>
    <e v="#N/A"/>
    <n v="91885"/>
    <m/>
    <m/>
    <s v="Q4"/>
    <e v="#REF!"/>
    <e v="#REF!"/>
    <e v="#REF!"/>
  </r>
  <r>
    <s v="512100"/>
    <x v="6"/>
    <s v="BANQUE POPULAIRE RIVE DE PARIS"/>
    <s v="BPRI"/>
    <n v="-1103.6500000000001"/>
    <d v="2025-11-05T00:00:00"/>
    <s v="/SQTP/RCUR/LIB/PRLV SEPA BENEFIZ/LIB/BENEFIZ/LIB/BENEFIZ/LIB/LVDV3JOEMTIQHTJ0"/>
    <m/>
    <e v="#N/A"/>
    <e v="#N/A"/>
    <n v="89278"/>
    <m/>
    <m/>
    <s v="Q4"/>
    <e v="#REF!"/>
    <e v="#REF!"/>
    <e v="#REF!"/>
  </r>
  <r>
    <s v="437200"/>
    <x v="6"/>
    <s v="PRÉVOYANCE - BENEFIZ"/>
    <s v="BPRI"/>
    <n v="178.81"/>
    <d v="2025-12-05T00:00:00"/>
    <s v="/SQTP/RCUR/LIB/PRLV SEPA BENEFIZ/LIB/BENEFIZ/LIB/BENEFIZ/LIB/UOPYBJUPUWEU9N3B"/>
    <m/>
    <e v="#N/A"/>
    <e v="#N/A"/>
    <n v="91874"/>
    <m/>
    <m/>
    <s v="Q4"/>
    <e v="#REF!"/>
    <e v="#REF!"/>
    <e v="#REF!"/>
  </r>
  <r>
    <s v="437200"/>
    <x v="6"/>
    <s v="PRÉVOYANCE - BENEFIZ"/>
    <s v="BPRI"/>
    <n v="178.88"/>
    <d v="2025-11-05T00:00:00"/>
    <s v="/SQTP/RCUR/LIB/PRLV SEPA BENEFIZ/LIB/BENEFIZ/LIB/BENEFIZ/LIB/UOPYBJUPUWEU9N3B"/>
    <m/>
    <e v="#N/A"/>
    <e v="#N/A"/>
    <n v="89264"/>
    <m/>
    <m/>
    <s v="Q4"/>
    <e v="#REF!"/>
    <e v="#REF!"/>
    <e v="#REF!"/>
  </r>
  <r>
    <s v="512100"/>
    <x v="6"/>
    <s v="BANQUE POPULAIRE RIVE DE PARIS"/>
    <s v="BPRI"/>
    <n v="-178.88"/>
    <d v="2025-11-05T00:00:00"/>
    <s v="/SQTP/RCUR/LIB/PRLV SEPA BENEFIZ/LIB/BENEFIZ/LIB/BENEFIZ/LIB/UOPYBJUPUWEU9N3B"/>
    <m/>
    <e v="#N/A"/>
    <e v="#N/A"/>
    <n v="89263"/>
    <m/>
    <m/>
    <s v="Q4"/>
    <e v="#REF!"/>
    <e v="#REF!"/>
    <e v="#REF!"/>
  </r>
  <r>
    <s v="512100"/>
    <x v="6"/>
    <s v="BANQUE POPULAIRE RIVE DE PARIS"/>
    <s v="BPRI"/>
    <n v="-178.81"/>
    <d v="2025-12-05T00:00:00"/>
    <s v="/SQTP/RCUR/LIB/PRLV SEPA BENEFIZ/LIB/BENEFIZ/LIB/BENEFIZ/LIB/UOPYBJUPUWEU9N3B"/>
    <m/>
    <e v="#N/A"/>
    <e v="#N/A"/>
    <n v="91873"/>
    <m/>
    <m/>
    <s v="Q4"/>
    <e v="#REF!"/>
    <e v="#REF!"/>
    <e v="#REF!"/>
  </r>
  <r>
    <s v="437200"/>
    <x v="6"/>
    <s v="PRÉVOYANCE - BENEFIZ"/>
    <s v="BPRI"/>
    <n v="141.9"/>
    <d v="2025-12-05T00:00:00"/>
    <s v="/SQTP/RCUR/LIB/PRLV SEPA BENEFIZ/LIB/BENEFIZ/LIB/BENEFIZ/LIB/YJIQOP4PW8MRCA3Y"/>
    <m/>
    <e v="#N/A"/>
    <e v="#N/A"/>
    <n v="91871"/>
    <m/>
    <m/>
    <s v="Q4"/>
    <e v="#REF!"/>
    <e v="#REF!"/>
    <e v="#REF!"/>
  </r>
  <r>
    <s v="437200"/>
    <x v="6"/>
    <s v="PRÉVOYANCE - BENEFIZ"/>
    <s v="BPRI"/>
    <n v="203.7"/>
    <d v="2025-11-05T00:00:00"/>
    <s v="/SQTP/RCUR/LIB/PRLV SEPA BENEFIZ/LIB/BENEFIZ/LIB/BENEFIZ/LIB/YJIQOP4PW8MRCA3Y"/>
    <m/>
    <e v="#N/A"/>
    <e v="#N/A"/>
    <n v="89267"/>
    <m/>
    <m/>
    <s v="Q4"/>
    <e v="#REF!"/>
    <e v="#REF!"/>
    <e v="#REF!"/>
  </r>
  <r>
    <s v="512100"/>
    <x v="6"/>
    <s v="BANQUE POPULAIRE RIVE DE PARIS"/>
    <s v="BPRI"/>
    <n v="-203.7"/>
    <d v="2025-11-05T00:00:00"/>
    <s v="/SQTP/RCUR/LIB/PRLV SEPA BENEFIZ/LIB/BENEFIZ/LIB/BENEFIZ/LIB/YJIQOP4PW8MRCA3Y"/>
    <m/>
    <e v="#N/A"/>
    <e v="#N/A"/>
    <n v="89266"/>
    <m/>
    <m/>
    <s v="Q4"/>
    <e v="#REF!"/>
    <e v="#REF!"/>
    <e v="#REF!"/>
  </r>
  <r>
    <s v="512100"/>
    <x v="6"/>
    <s v="BANQUE POPULAIRE RIVE DE PARIS"/>
    <s v="BPRI"/>
    <n v="-141.9"/>
    <d v="2025-12-05T00:00:00"/>
    <s v="/SQTP/RCUR/LIB/PRLV SEPA BENEFIZ/LIB/BENEFIZ/LIB/BENEFIZ/LIB/YJIQOP4PW8MRCA3Y"/>
    <m/>
    <e v="#N/A"/>
    <e v="#N/A"/>
    <n v="91870"/>
    <m/>
    <m/>
    <s v="Q4"/>
    <e v="#REF!"/>
    <e v="#REF!"/>
    <e v="#REF!"/>
  </r>
  <r>
    <s v="437200"/>
    <x v="6"/>
    <s v="PRÉVOYANCE - BENEFIZ"/>
    <s v="BPRI"/>
    <n v="341.31"/>
    <d v="2025-12-05T00:00:00"/>
    <s v="/SQTP/RCUR/LIB/PRLV SEPA BENEFIZ/LIB/BENEFIZ/LIB/BENEFIZ/LIB/ZON6JZKXFLIKYOK8"/>
    <m/>
    <e v="#N/A"/>
    <e v="#N/A"/>
    <n v="91877"/>
    <m/>
    <m/>
    <s v="Q4"/>
    <e v="#REF!"/>
    <e v="#REF!"/>
    <e v="#REF!"/>
  </r>
  <r>
    <s v="437200"/>
    <x v="6"/>
    <s v="PRÉVOYANCE - BENEFIZ"/>
    <s v="BPRI"/>
    <n v="405.08"/>
    <d v="2025-11-05T00:00:00"/>
    <s v="/SQTP/RCUR/LIB/PRLV SEPA BENEFIZ/LIB/BENEFIZ/LIB/BENEFIZ/LIB/ZON6JZKXFLIKYOK8"/>
    <m/>
    <e v="#N/A"/>
    <e v="#N/A"/>
    <n v="89270"/>
    <m/>
    <m/>
    <s v="Q4"/>
    <e v="#REF!"/>
    <e v="#REF!"/>
    <e v="#REF!"/>
  </r>
  <r>
    <s v="512100"/>
    <x v="6"/>
    <s v="BANQUE POPULAIRE RIVE DE PARIS"/>
    <s v="BPRI"/>
    <n v="-405.08"/>
    <d v="2025-11-05T00:00:00"/>
    <s v="/SQTP/RCUR/LIB/PRLV SEPA BENEFIZ/LIB/BENEFIZ/LIB/BENEFIZ/LIB/ZON6JZKXFLIKYOK8"/>
    <m/>
    <e v="#N/A"/>
    <e v="#N/A"/>
    <n v="89269"/>
    <m/>
    <m/>
    <s v="Q4"/>
    <e v="#REF!"/>
    <e v="#REF!"/>
    <e v="#REF!"/>
  </r>
  <r>
    <s v="512100"/>
    <x v="6"/>
    <s v="BANQUE POPULAIRE RIVE DE PARIS"/>
    <s v="BPRI"/>
    <n v="-341.31"/>
    <d v="2025-12-05T00:00:00"/>
    <s v="/SQTP/RCUR/LIB/PRLV SEPA BENEFIZ/LIB/BENEFIZ/LIB/BENEFIZ/LIB/ZON6JZKXFLIKYOK8"/>
    <m/>
    <e v="#N/A"/>
    <e v="#N/A"/>
    <n v="91876"/>
    <m/>
    <m/>
    <s v="Q4"/>
    <e v="#REF!"/>
    <e v="#REF!"/>
    <e v="#REF!"/>
  </r>
  <r>
    <s v="401000"/>
    <x v="6"/>
    <s v="FOURNISSEURS"/>
    <s v="BPRI"/>
    <n v="32.99"/>
    <d v="2025-10-06T00:00:00"/>
    <s v="/SQTP/RCUR/LIB/PRLV SEPA BOUYGUES TELECOM/LIB/BOUYGUES TELECOM/LIB/06XXXXX518/LIB/BT1150YMX7296"/>
    <m/>
    <e v="#N/A"/>
    <e v="#N/A"/>
    <n v="86880"/>
    <m/>
    <s v="BOUYGUES TELECOM"/>
    <s v="Q4"/>
    <e v="#REF!"/>
    <e v="#REF!"/>
    <e v="#REF!"/>
  </r>
  <r>
    <s v="401000"/>
    <x v="6"/>
    <s v="FOURNISSEURS"/>
    <s v="BPRI"/>
    <n v="32.99"/>
    <d v="2025-11-05T00:00:00"/>
    <s v="/SQTP/RCUR/LIB/PRLV SEPA BOUYGUES TELECOM/LIB/BOUYGUES TELECOM/LIB/06XXXXX518/LIB/BT1150YMX7296"/>
    <m/>
    <e v="#N/A"/>
    <e v="#N/A"/>
    <n v="89261"/>
    <m/>
    <s v="BOUYGUES TELECOM"/>
    <s v="Q4"/>
    <e v="#REF!"/>
    <e v="#REF!"/>
    <e v="#REF!"/>
  </r>
  <r>
    <s v="401000"/>
    <x v="6"/>
    <s v="FOURNISSEURS"/>
    <s v="BPRI"/>
    <n v="32.99"/>
    <d v="2025-12-05T00:00:00"/>
    <s v="/SQTP/RCUR/LIB/PRLV SEPA BOUYGUES TELECOM/LIB/BOUYGUES TELECOM/LIB/06XXXXX518/LIB/BT1150YMX7296"/>
    <m/>
    <e v="#N/A"/>
    <e v="#N/A"/>
    <n v="91866"/>
    <m/>
    <s v="BOUYGUES TELECOM"/>
    <s v="Q4"/>
    <e v="#REF!"/>
    <e v="#REF!"/>
    <e v="#REF!"/>
  </r>
  <r>
    <s v="512100"/>
    <x v="6"/>
    <s v="BANQUE POPULAIRE RIVE DE PARIS"/>
    <s v="BPRI"/>
    <n v="-32.99"/>
    <d v="2025-10-06T00:00:00"/>
    <s v="/SQTP/RCUR/LIB/PRLV SEPA BOUYGUES TELECOM/LIB/BOUYGUES TELECOM/LIB/06XXXXX518/LIB/BT1150YMX7296"/>
    <m/>
    <e v="#N/A"/>
    <e v="#N/A"/>
    <n v="86879"/>
    <m/>
    <s v="BOUYGUES TELECOM"/>
    <s v="Q4"/>
    <e v="#REF!"/>
    <e v="#REF!"/>
    <e v="#REF!"/>
  </r>
  <r>
    <s v="512100"/>
    <x v="6"/>
    <s v="BANQUE POPULAIRE RIVE DE PARIS"/>
    <s v="BPRI"/>
    <n v="-32.99"/>
    <d v="2025-11-05T00:00:00"/>
    <s v="/SQTP/RCUR/LIB/PRLV SEPA BOUYGUES TELECOM/LIB/BOUYGUES TELECOM/LIB/06XXXXX518/LIB/BT1150YMX7296"/>
    <m/>
    <e v="#N/A"/>
    <e v="#N/A"/>
    <n v="89260"/>
    <m/>
    <s v="BOUYGUES TELECOM"/>
    <s v="Q4"/>
    <e v="#REF!"/>
    <e v="#REF!"/>
    <e v="#REF!"/>
  </r>
  <r>
    <s v="512100"/>
    <x v="6"/>
    <s v="BANQUE POPULAIRE RIVE DE PARIS"/>
    <s v="BPRI"/>
    <n v="-32.99"/>
    <d v="2025-12-05T00:00:00"/>
    <s v="/SQTP/RCUR/LIB/PRLV SEPA BOUYGUES TELECOM/LIB/BOUYGUES TELECOM/LIB/06XXXXX518/LIB/BT1150YMX7296"/>
    <m/>
    <e v="#N/A"/>
    <e v="#N/A"/>
    <n v="91865"/>
    <m/>
    <s v="BOUYGUES TELECOM"/>
    <s v="Q4"/>
    <e v="#REF!"/>
    <e v="#REF!"/>
    <e v="#REF!"/>
  </r>
  <r>
    <s v="401000"/>
    <x v="6"/>
    <s v="FOURNISSEURS"/>
    <s v="BPRI"/>
    <n v="12"/>
    <d v="2025-10-13T00:00:00"/>
    <s v="/SQTP/RCUR/LIB/PRLV SEPA BPIFRANCE FINANCEMENT/LIB/BPIFRANCE FINANCEMENT/LIB/BPIFRANCE FINANCEMENT/LIB/BELAB0000000002482AA00176"/>
    <m/>
    <e v="#N/A"/>
    <e v="#N/A"/>
    <n v="86930"/>
    <m/>
    <s v="BPI FRANCE"/>
    <s v="Q4"/>
    <e v="#REF!"/>
    <e v="#REF!"/>
    <e v="#REF!"/>
  </r>
  <r>
    <s v="401000"/>
    <x v="6"/>
    <s v="FOURNISSEURS"/>
    <s v="BPRI"/>
    <n v="12"/>
    <d v="2025-11-12T00:00:00"/>
    <s v="/SQTP/RCUR/LIB/PRLV SEPA BPIFRANCE FINANCEMENT/LIB/BPIFRANCE FINANCEMENT/LIB/BPIFRANCE FINANCEMENT/LIB/BELAB0000000002482AA00176"/>
    <m/>
    <e v="#N/A"/>
    <e v="#N/A"/>
    <n v="89850"/>
    <m/>
    <s v="BPI FRANCE"/>
    <s v="Q4"/>
    <e v="#REF!"/>
    <e v="#REF!"/>
    <e v="#REF!"/>
  </r>
  <r>
    <s v="401000"/>
    <x v="6"/>
    <s v="FOURNISSEURS"/>
    <s v="BPRI"/>
    <n v="12"/>
    <d v="2025-12-10T00:00:00"/>
    <s v="/SQTP/RCUR/LIB/PRLV SEPA BPIFRANCE FINANCEMENT/LIB/BPIFRANCE FINANCEMENT/LIB/BPIFRANCE FINANCEMENT/LIB/BELAB0000000002482AA00176"/>
    <m/>
    <e v="#N/A"/>
    <e v="#N/A"/>
    <n v="92108"/>
    <m/>
    <s v="BPI FRANCE"/>
    <s v="Q4"/>
    <e v="#REF!"/>
    <e v="#REF!"/>
    <e v="#REF!"/>
  </r>
  <r>
    <s v="437300"/>
    <x v="6"/>
    <s v="RETRAITE"/>
    <s v="SA"/>
    <n v="-105.1"/>
    <d v="2025-02-28T00:00:00"/>
    <s v="APEC TRB"/>
    <m/>
    <e v="#N/A"/>
    <e v="#N/A"/>
    <n v="85195"/>
    <s v="SA202502"/>
    <m/>
    <s v="Q1"/>
    <e v="#REF!"/>
    <e v="#REF!"/>
    <e v="#REF!"/>
  </r>
  <r>
    <s v="437300"/>
    <x v="6"/>
    <s v="RETRAITE"/>
    <s v="SA"/>
    <n v="-72.61"/>
    <d v="2025-02-28T00:00:00"/>
    <s v="APEC TRA"/>
    <m/>
    <e v="#N/A"/>
    <e v="#N/A"/>
    <n v="85194"/>
    <s v="SA202502"/>
    <m/>
    <s v="Q1"/>
    <e v="#REF!"/>
    <e v="#REF!"/>
    <e v="#REF!"/>
  </r>
  <r>
    <s v="437300"/>
    <x v="6"/>
    <s v="RETRAITE"/>
    <s v="SA"/>
    <n v="-67.36"/>
    <d v="2025-03-31T00:00:00"/>
    <s v="APEC TRA"/>
    <m/>
    <e v="#N/A"/>
    <e v="#N/A"/>
    <n v="80490"/>
    <s v="SA202503"/>
    <m/>
    <s v="Q1"/>
    <e v="#REF!"/>
    <e v="#REF!"/>
    <e v="#REF!"/>
  </r>
  <r>
    <s v="437300"/>
    <x v="6"/>
    <s v="RETRAITE"/>
    <s v="SA"/>
    <n v="-65.760000000000005"/>
    <d v="2025-01-31T00:00:00"/>
    <s v="APEC TRA"/>
    <m/>
    <e v="#N/A"/>
    <e v="#N/A"/>
    <n v="85382"/>
    <s v="SA202501"/>
    <m/>
    <s v="Q1"/>
    <e v="#REF!"/>
    <e v="#REF!"/>
    <e v="#REF!"/>
  </r>
  <r>
    <s v="437300"/>
    <x v="6"/>
    <s v="RETRAITE"/>
    <s v="SA"/>
    <n v="-64.08"/>
    <d v="2025-06-30T00:00:00"/>
    <s v="APEC TRA"/>
    <m/>
    <e v="#N/A"/>
    <e v="#N/A"/>
    <n v="79981"/>
    <s v="SA202506"/>
    <m/>
    <s v="Q2"/>
    <e v="#REF!"/>
    <e v="#REF!"/>
    <e v="#REF!"/>
  </r>
  <r>
    <s v="437300"/>
    <x v="6"/>
    <s v="RETRAITE"/>
    <s v="SA"/>
    <n v="-64.010000000000005"/>
    <d v="2025-04-30T00:00:00"/>
    <s v="APEC TRA"/>
    <m/>
    <e v="#N/A"/>
    <e v="#N/A"/>
    <n v="80320"/>
    <s v="SA202504"/>
    <m/>
    <s v="Q2"/>
    <e v="#REF!"/>
    <e v="#REF!"/>
    <e v="#REF!"/>
  </r>
  <r>
    <s v="437300"/>
    <x v="6"/>
    <s v="RETRAITE"/>
    <s v="SA"/>
    <n v="-63.99"/>
    <d v="2025-05-31T00:00:00"/>
    <s v="APEC TRA"/>
    <m/>
    <e v="#N/A"/>
    <e v="#N/A"/>
    <n v="80150"/>
    <s v="SA202505"/>
    <m/>
    <s v="Q2"/>
    <e v="#REF!"/>
    <e v="#REF!"/>
    <e v="#REF!"/>
  </r>
  <r>
    <s v="437300"/>
    <x v="6"/>
    <s v="RETRAITE"/>
    <s v="SA"/>
    <n v="-62.65"/>
    <d v="2025-10-31T00:00:00"/>
    <s v="APEC TRA"/>
    <m/>
    <e v="#N/A"/>
    <e v="#N/A"/>
    <n v="87764"/>
    <s v="SA202510"/>
    <m/>
    <s v="Q4"/>
    <e v="#REF!"/>
    <e v="#REF!"/>
    <e v="#REF!"/>
  </r>
  <r>
    <s v="437300"/>
    <x v="6"/>
    <s v="RETRAITE"/>
    <s v="SA"/>
    <n v="-62.64"/>
    <d v="2025-12-31T00:00:00"/>
    <s v="APEC TRA"/>
    <m/>
    <e v="#N/A"/>
    <e v="#N/A"/>
    <n v="92732"/>
    <s v="SA202512"/>
    <m/>
    <s v="Q4"/>
    <e v="#REF!"/>
    <e v="#REF!"/>
    <e v="#REF!"/>
  </r>
  <r>
    <s v="437300"/>
    <x v="6"/>
    <s v="RETRAITE"/>
    <s v="SA"/>
    <n v="-62.63"/>
    <d v="2025-11-30T00:00:00"/>
    <s v="APEC TRA"/>
    <m/>
    <e v="#N/A"/>
    <e v="#N/A"/>
    <n v="92273"/>
    <s v="SA202511"/>
    <m/>
    <s v="Q4"/>
    <e v="#REF!"/>
    <e v="#REF!"/>
    <e v="#REF!"/>
  </r>
  <r>
    <s v="437300"/>
    <x v="6"/>
    <s v="RETRAITE"/>
    <s v="SA"/>
    <n v="-62.35"/>
    <d v="2025-09-30T00:00:00"/>
    <s v="APEC TRA"/>
    <m/>
    <e v="#N/A"/>
    <e v="#N/A"/>
    <n v="84099"/>
    <s v="SA202509"/>
    <m/>
    <s v="Q3"/>
    <e v="#REF!"/>
    <e v="#REF!"/>
    <e v="#REF!"/>
  </r>
  <r>
    <s v="437300"/>
    <x v="6"/>
    <s v="RETRAITE"/>
    <s v="SA"/>
    <n v="-61.86"/>
    <d v="2025-07-31T00:00:00"/>
    <s v="APEC TRA"/>
    <m/>
    <e v="#N/A"/>
    <e v="#N/A"/>
    <n v="79807"/>
    <s v="SA202507"/>
    <m/>
    <s v="Q3"/>
    <e v="#REF!"/>
    <e v="#REF!"/>
    <e v="#REF!"/>
  </r>
  <r>
    <s v="437300"/>
    <x v="6"/>
    <s v="RETRAITE"/>
    <s v="SA"/>
    <n v="-60.39"/>
    <d v="2025-08-31T00:00:00"/>
    <s v="APEC TRA"/>
    <m/>
    <e v="#N/A"/>
    <e v="#N/A"/>
    <n v="83926"/>
    <s v="SA202508"/>
    <m/>
    <s v="Q3"/>
    <e v="#REF!"/>
    <e v="#REF!"/>
    <e v="#REF!"/>
  </r>
  <r>
    <s v="437300"/>
    <x v="6"/>
    <s v="RETRAITE"/>
    <s v="SA"/>
    <n v="-32.020000000000003"/>
    <d v="2025-03-31T00:00:00"/>
    <s v="APEC TRB"/>
    <m/>
    <e v="#N/A"/>
    <e v="#N/A"/>
    <n v="80491"/>
    <s v="SA202503"/>
    <m/>
    <s v="Q1"/>
    <e v="#REF!"/>
    <e v="#REF!"/>
    <e v="#REF!"/>
  </r>
  <r>
    <s v="437300"/>
    <x v="6"/>
    <s v="RETRAITE"/>
    <s v="SA"/>
    <n v="-28.59"/>
    <d v="2025-06-30T00:00:00"/>
    <s v="APEC TRB"/>
    <m/>
    <e v="#N/A"/>
    <e v="#N/A"/>
    <n v="79982"/>
    <s v="SA202506"/>
    <m/>
    <s v="Q2"/>
    <e v="#REF!"/>
    <e v="#REF!"/>
    <e v="#REF!"/>
  </r>
  <r>
    <s v="437300"/>
    <x v="6"/>
    <s v="RETRAITE"/>
    <s v="SA"/>
    <n v="-27.68"/>
    <d v="2025-04-30T00:00:00"/>
    <s v="APEC TRB"/>
    <m/>
    <e v="#N/A"/>
    <e v="#N/A"/>
    <n v="80321"/>
    <s v="SA202504"/>
    <m/>
    <s v="Q2"/>
    <e v="#REF!"/>
    <e v="#REF!"/>
    <e v="#REF!"/>
  </r>
  <r>
    <s v="437300"/>
    <x v="6"/>
    <s v="RETRAITE"/>
    <s v="SA"/>
    <n v="-27.63"/>
    <d v="2025-08-31T00:00:00"/>
    <s v="APEC TRB"/>
    <m/>
    <e v="#N/A"/>
    <e v="#N/A"/>
    <n v="83927"/>
    <s v="SA202508"/>
    <m/>
    <s v="Q3"/>
    <e v="#REF!"/>
    <e v="#REF!"/>
    <e v="#REF!"/>
  </r>
  <r>
    <s v="437300"/>
    <x v="6"/>
    <s v="RETRAITE"/>
    <s v="SA"/>
    <n v="-26.8"/>
    <d v="2025-09-30T00:00:00"/>
    <s v="APEC TRB"/>
    <m/>
    <e v="#N/A"/>
    <e v="#N/A"/>
    <n v="84100"/>
    <s v="SA202509"/>
    <m/>
    <s v="Q3"/>
    <e v="#REF!"/>
    <e v="#REF!"/>
    <e v="#REF!"/>
  </r>
  <r>
    <s v="437300"/>
    <x v="6"/>
    <s v="RETRAITE"/>
    <s v="SA"/>
    <n v="-26.35"/>
    <d v="2025-11-30T00:00:00"/>
    <s v="APEC TRB"/>
    <m/>
    <e v="#N/A"/>
    <e v="#N/A"/>
    <n v="92274"/>
    <s v="SA202511"/>
    <m/>
    <s v="Q4"/>
    <e v="#REF!"/>
    <e v="#REF!"/>
    <e v="#REF!"/>
  </r>
  <r>
    <s v="437300"/>
    <x v="6"/>
    <s v="RETRAITE"/>
    <s v="SA"/>
    <n v="-26.33"/>
    <d v="2025-10-31T00:00:00"/>
    <s v="APEC TRB"/>
    <m/>
    <e v="#N/A"/>
    <e v="#N/A"/>
    <n v="87765"/>
    <s v="SA202510"/>
    <m/>
    <s v="Q4"/>
    <e v="#REF!"/>
    <e v="#REF!"/>
    <e v="#REF!"/>
  </r>
  <r>
    <s v="437300"/>
    <x v="6"/>
    <s v="RETRAITE"/>
    <s v="SA"/>
    <n v="-25.55"/>
    <d v="2025-12-31T00:00:00"/>
    <s v="APEC TRB"/>
    <m/>
    <e v="#N/A"/>
    <e v="#N/A"/>
    <n v="92733"/>
    <s v="SA202512"/>
    <m/>
    <s v="Q4"/>
    <e v="#REF!"/>
    <e v="#REF!"/>
    <e v="#REF!"/>
  </r>
  <r>
    <s v="437300"/>
    <x v="6"/>
    <s v="RETRAITE"/>
    <s v="SA"/>
    <n v="-24.99"/>
    <d v="2025-05-31T00:00:00"/>
    <s v="APEC TRB"/>
    <m/>
    <e v="#N/A"/>
    <e v="#N/A"/>
    <n v="80151"/>
    <s v="SA202505"/>
    <m/>
    <s v="Q2"/>
    <e v="#REF!"/>
    <e v="#REF!"/>
    <e v="#REF!"/>
  </r>
  <r>
    <s v="437300"/>
    <x v="6"/>
    <s v="RETRAITE"/>
    <s v="SA"/>
    <n v="-23.61"/>
    <d v="2025-07-31T00:00:00"/>
    <s v="APEC TRB"/>
    <m/>
    <e v="#N/A"/>
    <e v="#N/A"/>
    <n v="79808"/>
    <s v="SA202507"/>
    <m/>
    <s v="Q3"/>
    <e v="#REF!"/>
    <e v="#REF!"/>
    <e v="#REF!"/>
  </r>
  <r>
    <s v="437300"/>
    <x v="6"/>
    <s v="RETRAITE"/>
    <s v="SA"/>
    <n v="-23.09"/>
    <d v="2025-01-31T00:00:00"/>
    <s v="APEC TRB"/>
    <m/>
    <e v="#N/A"/>
    <e v="#N/A"/>
    <n v="85383"/>
    <s v="SA202501"/>
    <m/>
    <s v="Q1"/>
    <e v="#REF!"/>
    <e v="#REF!"/>
    <e v="#REF!"/>
  </r>
  <r>
    <s v="437300"/>
    <x v="6"/>
    <s v="RETRAITE"/>
    <s v="SA"/>
    <n v="6.38"/>
    <d v="2025-02-28T00:00:00"/>
    <s v="RÉDUCT. GÉNÉRALE DES COTISAT. PAT. RETRAITE"/>
    <m/>
    <e v="#N/A"/>
    <e v="#N/A"/>
    <n v="85202"/>
    <s v="SA202502"/>
    <m/>
    <s v="Q1"/>
    <e v="#REF!"/>
    <e v="#REF!"/>
    <e v="#REF!"/>
  </r>
  <r>
    <s v="437300"/>
    <x v="6"/>
    <s v="RETRAITE"/>
    <s v="SA"/>
    <n v="147.25"/>
    <d v="2025-07-31T00:00:00"/>
    <s v="RÉDUCT. GÉNÉRALE DES COTISAT. PAT. RETRAITE"/>
    <m/>
    <e v="#N/A"/>
    <e v="#N/A"/>
    <n v="79815"/>
    <s v="SA202507"/>
    <m/>
    <s v="Q3"/>
    <e v="#REF!"/>
    <e v="#REF!"/>
    <e v="#REF!"/>
  </r>
  <r>
    <s v="437300"/>
    <x v="6"/>
    <s v="RETRAITE"/>
    <s v="SA"/>
    <n v="155.49"/>
    <d v="2025-08-31T00:00:00"/>
    <s v="RÉDUCT. GÉNÉRALE DES COTISAT. PAT. RETRAITE"/>
    <m/>
    <e v="#N/A"/>
    <e v="#N/A"/>
    <n v="83934"/>
    <s v="SA202508"/>
    <m/>
    <s v="Q3"/>
    <e v="#REF!"/>
    <e v="#REF!"/>
    <e v="#REF!"/>
  </r>
  <r>
    <s v="437300"/>
    <x v="6"/>
    <s v="RETRAITE"/>
    <s v="SA"/>
    <n v="164.6"/>
    <d v="2025-04-30T00:00:00"/>
    <s v="RÉDUCT. GÉNÉRALE DES COTISAT. PAT. RETRAITE"/>
    <m/>
    <e v="#N/A"/>
    <e v="#N/A"/>
    <n v="80328"/>
    <s v="SA202504"/>
    <m/>
    <s v="Q2"/>
    <e v="#REF!"/>
    <e v="#REF!"/>
    <e v="#REF!"/>
  </r>
  <r>
    <s v="437300"/>
    <x v="6"/>
    <s v="RETRAITE"/>
    <s v="SA"/>
    <n v="173.27"/>
    <d v="2025-03-31T00:00:00"/>
    <s v="RÉDUCT. GÉNÉRALE DES COTISAT. PAT. RETRAITE"/>
    <m/>
    <e v="#N/A"/>
    <e v="#N/A"/>
    <n v="80498"/>
    <s v="SA202503"/>
    <m/>
    <s v="Q1"/>
    <e v="#REF!"/>
    <e v="#REF!"/>
    <e v="#REF!"/>
  </r>
  <r>
    <s v="437300"/>
    <x v="6"/>
    <s v="RETRAITE"/>
    <s v="SA"/>
    <n v="213.56"/>
    <d v="2025-05-31T00:00:00"/>
    <s v="RÉDUCT. GÉNÉRALE DES COTISAT. PAT. RETRAITE"/>
    <m/>
    <e v="#N/A"/>
    <e v="#N/A"/>
    <n v="80158"/>
    <s v="SA202505"/>
    <m/>
    <s v="Q2"/>
    <e v="#REF!"/>
    <e v="#REF!"/>
    <e v="#REF!"/>
  </r>
  <r>
    <s v="437300"/>
    <x v="6"/>
    <s v="RETRAITE"/>
    <s v="SA"/>
    <n v="215.44"/>
    <d v="2025-06-30T00:00:00"/>
    <s v="RÉDUCT. GÉNÉRALE DES COTISAT. PAT. RETRAITE"/>
    <m/>
    <e v="#N/A"/>
    <e v="#N/A"/>
    <n v="79989"/>
    <s v="SA202506"/>
    <m/>
    <s v="Q2"/>
    <e v="#REF!"/>
    <e v="#REF!"/>
    <e v="#REF!"/>
  </r>
  <r>
    <s v="437300"/>
    <x v="6"/>
    <s v="RETRAITE"/>
    <s v="SA"/>
    <n v="235.07"/>
    <d v="2025-09-30T00:00:00"/>
    <s v="RÉDUCT. GÉNÉRALE DES COTISAT. PAT. RETRAITE"/>
    <m/>
    <e v="#N/A"/>
    <e v="#N/A"/>
    <n v="84109"/>
    <s v="SA202509"/>
    <m/>
    <s v="Q3"/>
    <e v="#REF!"/>
    <e v="#REF!"/>
    <e v="#REF!"/>
  </r>
  <r>
    <s v="437300"/>
    <x v="6"/>
    <s v="RETRAITE"/>
    <s v="SA"/>
    <n v="249.98"/>
    <d v="2025-10-31T00:00:00"/>
    <s v="RÉDUCT. GÉNÉRALE DES COTISAT. PAT. RETRAITE"/>
    <m/>
    <e v="#N/A"/>
    <e v="#N/A"/>
    <n v="87774"/>
    <s v="SA202510"/>
    <m/>
    <s v="Q4"/>
    <e v="#REF!"/>
    <e v="#REF!"/>
    <e v="#REF!"/>
  </r>
  <r>
    <s v="437300"/>
    <x v="6"/>
    <s v="RETRAITE"/>
    <s v="SA"/>
    <n v="249.98"/>
    <d v="2025-11-30T00:00:00"/>
    <s v="RÉDUCT. GÉNÉRALE DES COTISAT. PAT. RETRAITE"/>
    <m/>
    <e v="#N/A"/>
    <e v="#N/A"/>
    <n v="92283"/>
    <s v="SA202511"/>
    <m/>
    <s v="Q4"/>
    <e v="#REF!"/>
    <e v="#REF!"/>
    <e v="#REF!"/>
  </r>
  <r>
    <s v="437300"/>
    <x v="6"/>
    <s v="RETRAITE"/>
    <s v="SA"/>
    <n v="249.98"/>
    <d v="2025-12-31T00:00:00"/>
    <s v="RÉDUCT. GÉNÉRALE DES COTISAT. PAT. RETRAITE"/>
    <m/>
    <e v="#N/A"/>
    <e v="#N/A"/>
    <n v="92742"/>
    <s v="SA202512"/>
    <m/>
    <s v="Q4"/>
    <e v="#REF!"/>
    <e v="#REF!"/>
    <e v="#REF!"/>
  </r>
  <r>
    <s v="437300"/>
    <x v="6"/>
    <s v="RETRAITE"/>
    <s v="SA"/>
    <n v="361.2"/>
    <d v="2025-01-31T00:00:00"/>
    <s v="RÉDUCT. GÉNÉRALE DES COTISAT. PAT. RETRAITE"/>
    <m/>
    <e v="#N/A"/>
    <e v="#N/A"/>
    <n v="85390"/>
    <s v="SA202501"/>
    <m/>
    <s v="Q1"/>
    <e v="#REF!"/>
    <e v="#REF!"/>
    <e v="#REF!"/>
  </r>
  <r>
    <s v="438200"/>
    <x v="6"/>
    <s v="CHARGES SOCIALES SUR CONGÉS PAYÉS"/>
    <s v="AN"/>
    <n v="-60251"/>
    <d v="2025-01-01T00:00:00"/>
    <s v="Report à nouveau Exercice 2025"/>
    <m/>
    <e v="#N/A"/>
    <e v="#N/A"/>
    <n v="84777"/>
    <m/>
    <m/>
    <s v="Q1"/>
    <e v="#REF!"/>
    <e v="#REF!"/>
    <e v="#REF!"/>
  </r>
  <r>
    <s v="438200"/>
    <x v="6"/>
    <s v="CHARGES SOCIALES SUR CONGÉS PAYÉS"/>
    <s v="JC"/>
    <n v="-72585.83"/>
    <d v="2025-06-30T00:00:00"/>
    <s v="Provision CP"/>
    <m/>
    <e v="#N/A"/>
    <e v="#N/A"/>
    <n v="85842"/>
    <m/>
    <m/>
    <s v="Q2"/>
    <e v="#REF!"/>
    <e v="#REF!"/>
    <e v="#REF!"/>
  </r>
  <r>
    <s v="438200"/>
    <x v="6"/>
    <s v="CHARGES SOCIALES SUR CONGÉS PAYÉS"/>
    <s v="JC"/>
    <n v="-70266.91"/>
    <d v="2025-07-31T00:00:00"/>
    <s v="Provision CP"/>
    <m/>
    <e v="#N/A"/>
    <e v="#N/A"/>
    <n v="85905"/>
    <m/>
    <m/>
    <s v="Q3"/>
    <e v="#REF!"/>
    <e v="#REF!"/>
    <e v="#REF!"/>
  </r>
  <r>
    <s v="438200"/>
    <x v="6"/>
    <s v="CHARGES SOCIALES SUR CONGÉS PAYÉS"/>
    <s v="JC"/>
    <n v="-67247.27"/>
    <d v="2025-12-31T00:00:00"/>
    <s v="PROV. CS SUR CP"/>
    <m/>
    <e v="#N/A"/>
    <e v="#N/A"/>
    <n v="92900"/>
    <s v="Provision CP"/>
    <m/>
    <s v="Q4"/>
    <e v="#REF!"/>
    <e v="#REF!"/>
    <e v="#REF!"/>
  </r>
  <r>
    <s v="438200"/>
    <x v="6"/>
    <s v="CHARGES SOCIALES SUR CONGÉS PAYÉS"/>
    <s v="JC"/>
    <n v="-66477.850000000006"/>
    <d v="2025-04-30T00:00:00"/>
    <s v="PROV. CS SUR CP"/>
    <m/>
    <e v="#N/A"/>
    <e v="#N/A"/>
    <n v="92566"/>
    <s v="Provision CP"/>
    <m/>
    <s v="Q2"/>
    <e v="#REF!"/>
    <e v="#REF!"/>
    <e v="#REF!"/>
  </r>
  <r>
    <s v="438200"/>
    <x v="6"/>
    <s v="CHARGES SOCIALES SUR CONGÉS PAYÉS"/>
    <s v="JC"/>
    <n v="-66326.47"/>
    <d v="2025-11-30T00:00:00"/>
    <s v="PROV. CS SUR CP"/>
    <m/>
    <e v="#N/A"/>
    <e v="#N/A"/>
    <n v="92423"/>
    <s v="Provision CP"/>
    <m/>
    <s v="Q4"/>
    <e v="#REF!"/>
    <e v="#REF!"/>
    <e v="#REF!"/>
  </r>
  <r>
    <s v="438200"/>
    <x v="6"/>
    <s v="CHARGES SOCIALES SUR CONGÉS PAYÉS"/>
    <s v="JC"/>
    <n v="-64540"/>
    <d v="2025-05-31T00:00:00"/>
    <s v="PROV. CS SUR CP"/>
    <m/>
    <e v="#N/A"/>
    <e v="#N/A"/>
    <n v="92606"/>
    <s v="Provision CP"/>
    <m/>
    <s v="Q2"/>
    <e v="#REF!"/>
    <e v="#REF!"/>
    <e v="#REF!"/>
  </r>
  <r>
    <s v="438200"/>
    <x v="6"/>
    <s v="CHARGES SOCIALES SUR CONGÉS PAYÉS"/>
    <s v="JC"/>
    <n v="-64436.66"/>
    <d v="2025-03-31T00:00:00"/>
    <s v="PROV. CS SUR CP"/>
    <m/>
    <e v="#N/A"/>
    <e v="#N/A"/>
    <n v="92486"/>
    <s v="Provision CP"/>
    <m/>
    <s v="Q1"/>
    <e v="#REF!"/>
    <e v="#REF!"/>
    <e v="#REF!"/>
  </r>
  <r>
    <s v="438200"/>
    <x v="6"/>
    <s v="CHARGES SOCIALES SUR CONGÉS PAYÉS"/>
    <s v="JC"/>
    <n v="-62356.19"/>
    <d v="2025-10-31T00:00:00"/>
    <s v="PROV. CS SUR CP"/>
    <m/>
    <e v="#N/A"/>
    <e v="#N/A"/>
    <n v="87934"/>
    <s v="Provision CP"/>
    <m/>
    <s v="Q4"/>
    <e v="#REF!"/>
    <e v="#REF!"/>
    <e v="#REF!"/>
  </r>
  <r>
    <s v="438200"/>
    <x v="6"/>
    <s v="CHARGES SOCIALES SUR CONGÉS PAYÉS"/>
    <s v="JC"/>
    <n v="-60232.67"/>
    <d v="2025-01-31T00:00:00"/>
    <s v="Provision CP"/>
    <m/>
    <e v="#N/A"/>
    <e v="#N/A"/>
    <n v="72140"/>
    <m/>
    <m/>
    <s v="Q1"/>
    <e v="#REF!"/>
    <e v="#REF!"/>
    <e v="#REF!"/>
  </r>
  <r>
    <s v="438200"/>
    <x v="6"/>
    <s v="CHARGES SOCIALES SUR CONGÉS PAYÉS"/>
    <s v="JC"/>
    <n v="-60228.95"/>
    <d v="2025-02-28T00:00:00"/>
    <s v="PROV. CS SUR CP"/>
    <m/>
    <e v="#N/A"/>
    <e v="#N/A"/>
    <n v="92526"/>
    <s v="Provision CP"/>
    <m/>
    <s v="Q1"/>
    <e v="#REF!"/>
    <e v="#REF!"/>
    <e v="#REF!"/>
  </r>
  <r>
    <s v="438200"/>
    <x v="6"/>
    <s v="CHARGES SOCIALES SUR CONGÉS PAYÉS"/>
    <s v="JC"/>
    <n v="-55693.15"/>
    <d v="2025-09-30T00:00:00"/>
    <s v="Provision CP"/>
    <m/>
    <e v="#N/A"/>
    <e v="#N/A"/>
    <n v="85821"/>
    <m/>
    <m/>
    <s v="Q3"/>
    <e v="#REF!"/>
    <e v="#REF!"/>
    <e v="#REF!"/>
  </r>
  <r>
    <s v="438200"/>
    <x v="6"/>
    <s v="CHARGES SOCIALES SUR CONGÉS PAYÉS"/>
    <s v="JC"/>
    <n v="-55139.75"/>
    <d v="2025-08-31T00:00:00"/>
    <s v="PROV. CS SUR CP"/>
    <m/>
    <e v="#N/A"/>
    <e v="#N/A"/>
    <n v="85945"/>
    <s v="Provision CP"/>
    <m/>
    <s v="Q3"/>
    <e v="#REF!"/>
    <e v="#REF!"/>
    <e v="#REF!"/>
  </r>
  <r>
    <s v="438200"/>
    <x v="6"/>
    <s v="CHARGES SOCIALES SUR CONGÉS PAYÉS"/>
    <s v="JC"/>
    <n v="55139.75"/>
    <d v="2025-09-01T00:00:00"/>
    <s v="PROV. CS SUR CP"/>
    <m/>
    <e v="#N/A"/>
    <e v="#N/A"/>
    <n v="85965"/>
    <s v="Extourne Provision CP"/>
    <m/>
    <s v="Q3"/>
    <e v="#REF!"/>
    <e v="#REF!"/>
    <e v="#REF!"/>
  </r>
  <r>
    <s v="438200"/>
    <x v="6"/>
    <s v="CHARGES SOCIALES SUR CONGÉS PAYÉS"/>
    <s v="JC"/>
    <n v="55693.15"/>
    <d v="2025-10-01T00:00:00"/>
    <s v="Extourne Provision CP"/>
    <m/>
    <e v="#N/A"/>
    <e v="#N/A"/>
    <n v="85833"/>
    <m/>
    <m/>
    <s v="Q4"/>
    <e v="#REF!"/>
    <e v="#REF!"/>
    <e v="#REF!"/>
  </r>
  <r>
    <s v="438200"/>
    <x v="6"/>
    <s v="CHARGES SOCIALES SUR CONGÉS PAYÉS"/>
    <s v="JC"/>
    <n v="60228.95"/>
    <d v="2025-03-01T00:00:00"/>
    <s v="PROV. CS SUR CP"/>
    <m/>
    <e v="#N/A"/>
    <e v="#N/A"/>
    <n v="92546"/>
    <s v="Extourne Provision CP"/>
    <m/>
    <s v="Q1"/>
    <e v="#REF!"/>
    <e v="#REF!"/>
    <e v="#REF!"/>
  </r>
  <r>
    <s v="438200"/>
    <x v="6"/>
    <s v="CHARGES SOCIALES SUR CONGÉS PAYÉS"/>
    <s v="JC"/>
    <n v="60232.67"/>
    <d v="2025-02-01T00:00:00"/>
    <s v="Extourne Provision CP"/>
    <m/>
    <e v="#N/A"/>
    <e v="#N/A"/>
    <n v="92464"/>
    <m/>
    <m/>
    <s v="Q1"/>
    <e v="#REF!"/>
    <e v="#REF!"/>
    <e v="#REF!"/>
  </r>
  <r>
    <s v="438200"/>
    <x v="6"/>
    <s v="CHARGES SOCIALES SUR CONGÉS PAYÉS"/>
    <s v="JC"/>
    <n v="60251"/>
    <d v="2025-01-01T00:00:00"/>
    <s v="Extourne Provision"/>
    <m/>
    <e v="#N/A"/>
    <e v="#N/A"/>
    <n v="72217"/>
    <m/>
    <m/>
    <s v="Q1"/>
    <e v="#REF!"/>
    <e v="#REF!"/>
    <e v="#REF!"/>
  </r>
  <r>
    <s v="438200"/>
    <x v="6"/>
    <s v="CHARGES SOCIALES SUR CONGÉS PAYÉS"/>
    <s v="JC"/>
    <n v="62356.19"/>
    <d v="2025-11-01T00:00:00"/>
    <s v="PROV. CS SUR CP"/>
    <m/>
    <e v="#N/A"/>
    <e v="#N/A"/>
    <n v="87954"/>
    <s v="Extourne Provision CP"/>
    <m/>
    <s v="Q4"/>
    <e v="#REF!"/>
    <e v="#REF!"/>
    <e v="#REF!"/>
  </r>
  <r>
    <s v="438200"/>
    <x v="6"/>
    <s v="CHARGES SOCIALES SUR CONGÉS PAYÉS"/>
    <s v="JC"/>
    <n v="64436.66"/>
    <d v="2025-04-01T00:00:00"/>
    <s v="PROV. CS SUR CP"/>
    <m/>
    <e v="#N/A"/>
    <e v="#N/A"/>
    <n v="92506"/>
    <s v="Extourne Provision CP"/>
    <m/>
    <s v="Q2"/>
    <e v="#REF!"/>
    <e v="#REF!"/>
    <e v="#REF!"/>
  </r>
  <r>
    <s v="438200"/>
    <x v="6"/>
    <s v="CHARGES SOCIALES SUR CONGÉS PAYÉS"/>
    <s v="JC"/>
    <n v="64540"/>
    <d v="2025-06-01T00:00:00"/>
    <s v="PROV. CS SUR CP"/>
    <m/>
    <e v="#N/A"/>
    <e v="#N/A"/>
    <n v="92626"/>
    <s v="Extourne Provision CP"/>
    <m/>
    <s v="Q2"/>
    <e v="#REF!"/>
    <e v="#REF!"/>
    <e v="#REF!"/>
  </r>
  <r>
    <s v="438200"/>
    <x v="6"/>
    <s v="CHARGES SOCIALES SUR CONGÉS PAYÉS"/>
    <s v="JC"/>
    <n v="66326.47"/>
    <d v="2025-12-01T00:00:00"/>
    <s v="PROV. CS SUR CP"/>
    <m/>
    <e v="#N/A"/>
    <e v="#N/A"/>
    <n v="92443"/>
    <s v="Extourne Provision CP"/>
    <m/>
    <s v="Q4"/>
    <e v="#REF!"/>
    <e v="#REF!"/>
    <e v="#REF!"/>
  </r>
  <r>
    <s v="438200"/>
    <x v="6"/>
    <s v="CHARGES SOCIALES SUR CONGÉS PAYÉS"/>
    <s v="JC"/>
    <n v="66477.850000000006"/>
    <d v="2025-05-01T00:00:00"/>
    <s v="PROV. CS SUR CP"/>
    <m/>
    <e v="#N/A"/>
    <e v="#N/A"/>
    <n v="92586"/>
    <s v="Extourne Provision CP"/>
    <m/>
    <s v="Q2"/>
    <e v="#REF!"/>
    <e v="#REF!"/>
    <e v="#REF!"/>
  </r>
  <r>
    <s v="438200"/>
    <x v="6"/>
    <s v="CHARGES SOCIALES SUR CONGÉS PAYÉS"/>
    <s v="JC"/>
    <n v="70266.91"/>
    <d v="2025-08-01T00:00:00"/>
    <s v="Extourne Provision CP"/>
    <m/>
    <e v="#N/A"/>
    <e v="#N/A"/>
    <n v="85915"/>
    <m/>
    <m/>
    <s v="Q3"/>
    <e v="#REF!"/>
    <e v="#REF!"/>
    <e v="#REF!"/>
  </r>
  <r>
    <s v="438200"/>
    <x v="6"/>
    <s v="CHARGES SOCIALES SUR CONGÉS PAYÉS"/>
    <s v="JC"/>
    <n v="72585.83"/>
    <d v="2025-07-01T00:00:00"/>
    <s v="Extourne Provision CP"/>
    <m/>
    <e v="#N/A"/>
    <e v="#N/A"/>
    <n v="85874"/>
    <m/>
    <m/>
    <s v="Q3"/>
    <e v="#REF!"/>
    <e v="#REF!"/>
    <e v="#REF!"/>
  </r>
  <r>
    <s v="438210"/>
    <x v="6"/>
    <s v="CHARGES SOCIALES SUR RTT"/>
    <s v="AN"/>
    <n v="-2443"/>
    <d v="2025-01-01T00:00:00"/>
    <s v="Report à nouveau Exercice 2025"/>
    <m/>
    <e v="#N/A"/>
    <e v="#N/A"/>
    <n v="84778"/>
    <m/>
    <m/>
    <s v="Q1"/>
    <e v="#REF!"/>
    <e v="#REF!"/>
    <e v="#REF!"/>
  </r>
  <r>
    <s v="438210"/>
    <x v="6"/>
    <s v="CHARGES SOCIALES SUR RTT"/>
    <s v="JC"/>
    <n v="-10053.620000000001"/>
    <d v="2025-07-31T00:00:00"/>
    <s v="Provision RTT"/>
    <m/>
    <e v="#N/A"/>
    <e v="#N/A"/>
    <n v="85925"/>
    <m/>
    <m/>
    <s v="Q3"/>
    <e v="#REF!"/>
    <e v="#REF!"/>
    <e v="#REF!"/>
  </r>
  <r>
    <s v="438210"/>
    <x v="6"/>
    <s v="CHARGES SOCIALES SUR RTT"/>
    <s v="JC"/>
    <n v="-9815.7199999999993"/>
    <d v="2025-06-30T00:00:00"/>
    <s v="Provision RTT"/>
    <m/>
    <e v="#N/A"/>
    <e v="#N/A"/>
    <n v="85852"/>
    <m/>
    <m/>
    <s v="Q2"/>
    <e v="#REF!"/>
    <e v="#REF!"/>
    <e v="#REF!"/>
  </r>
  <r>
    <s v="438210"/>
    <x v="6"/>
    <s v="CHARGES SOCIALES SUR RTT"/>
    <s v="JC"/>
    <n v="-9305.65"/>
    <d v="2025-10-31T00:00:00"/>
    <s v="PROV. CS SUR RTT"/>
    <m/>
    <e v="#N/A"/>
    <e v="#N/A"/>
    <n v="87944"/>
    <s v="Provision RTT"/>
    <m/>
    <s v="Q4"/>
    <e v="#REF!"/>
    <e v="#REF!"/>
    <e v="#REF!"/>
  </r>
  <r>
    <s v="438210"/>
    <x v="6"/>
    <s v="CHARGES SOCIALES SUR RTT"/>
    <s v="JC"/>
    <n v="-8917.86"/>
    <d v="2025-09-30T00:00:00"/>
    <s v="Provision RTT"/>
    <m/>
    <e v="#N/A"/>
    <e v="#N/A"/>
    <n v="85885"/>
    <m/>
    <m/>
    <s v="Q3"/>
    <e v="#REF!"/>
    <e v="#REF!"/>
    <e v="#REF!"/>
  </r>
  <r>
    <s v="438210"/>
    <x v="6"/>
    <s v="CHARGES SOCIALES SUR RTT"/>
    <s v="JC"/>
    <n v="-8531.86"/>
    <d v="2025-11-30T00:00:00"/>
    <s v="PROV. CS SUR RTT"/>
    <m/>
    <e v="#N/A"/>
    <e v="#N/A"/>
    <n v="92433"/>
    <s v="Provision RTT"/>
    <m/>
    <s v="Q4"/>
    <e v="#REF!"/>
    <e v="#REF!"/>
    <e v="#REF!"/>
  </r>
  <r>
    <s v="438210"/>
    <x v="6"/>
    <s v="CHARGES SOCIALES SUR RTT"/>
    <s v="JC"/>
    <n v="-7947.86"/>
    <d v="2025-04-30T00:00:00"/>
    <s v="PROV. CS SUR RTT"/>
    <m/>
    <e v="#N/A"/>
    <e v="#N/A"/>
    <n v="92576"/>
    <s v="Provision RTT"/>
    <m/>
    <s v="Q2"/>
    <e v="#REF!"/>
    <e v="#REF!"/>
    <e v="#REF!"/>
  </r>
  <r>
    <s v="438210"/>
    <x v="6"/>
    <s v="CHARGES SOCIALES SUR RTT"/>
    <s v="JC"/>
    <n v="-7123.03"/>
    <d v="2025-05-31T00:00:00"/>
    <s v="PROV. CS SUR RTT"/>
    <m/>
    <e v="#N/A"/>
    <e v="#N/A"/>
    <n v="92616"/>
    <s v="Provision RTT"/>
    <m/>
    <s v="Q2"/>
    <e v="#REF!"/>
    <e v="#REF!"/>
    <e v="#REF!"/>
  </r>
  <r>
    <s v="438210"/>
    <x v="6"/>
    <s v="CHARGES SOCIALES SUR RTT"/>
    <s v="JC"/>
    <n v="-7104.66"/>
    <d v="2025-08-31T00:00:00"/>
    <s v="PROV. CS SUR RTT"/>
    <m/>
    <e v="#N/A"/>
    <e v="#N/A"/>
    <n v="85955"/>
    <s v="Provision RTT"/>
    <m/>
    <s v="Q3"/>
    <e v="#REF!"/>
    <e v="#REF!"/>
    <e v="#REF!"/>
  </r>
  <r>
    <s v="438210"/>
    <x v="6"/>
    <s v="CHARGES SOCIALES SUR RTT"/>
    <s v="JC"/>
    <n v="-6642.78"/>
    <d v="2025-03-31T00:00:00"/>
    <s v="PROV. CS SUR RTT"/>
    <m/>
    <e v="#N/A"/>
    <e v="#N/A"/>
    <n v="92496"/>
    <s v="Provision RTT"/>
    <m/>
    <s v="Q1"/>
    <e v="#REF!"/>
    <e v="#REF!"/>
    <e v="#REF!"/>
  </r>
  <r>
    <s v="438210"/>
    <x v="6"/>
    <s v="CHARGES SOCIALES SUR RTT"/>
    <s v="JC"/>
    <n v="-4540.54"/>
    <d v="2025-02-28T00:00:00"/>
    <s v="PROV. CS SUR RTT"/>
    <m/>
    <e v="#N/A"/>
    <e v="#N/A"/>
    <n v="92536"/>
    <s v="Provision RTT"/>
    <m/>
    <s v="Q1"/>
    <e v="#REF!"/>
    <e v="#REF!"/>
    <e v="#REF!"/>
  </r>
  <r>
    <s v="438210"/>
    <x v="6"/>
    <s v="CHARGES SOCIALES SUR RTT"/>
    <s v="JC"/>
    <n v="-4187.3900000000003"/>
    <d v="2025-12-31T00:00:00"/>
    <s v="PROV. CS SUR RTT"/>
    <m/>
    <e v="#N/A"/>
    <e v="#N/A"/>
    <n v="92910"/>
    <s v="Provision RTT"/>
    <m/>
    <s v="Q4"/>
    <e v="#REF!"/>
    <e v="#REF!"/>
    <e v="#REF!"/>
  </r>
  <r>
    <s v="438210"/>
    <x v="6"/>
    <s v="CHARGES SOCIALES SUR RTT"/>
    <s v="JC"/>
    <n v="-688.44"/>
    <d v="2025-01-31T00:00:00"/>
    <s v="Provision RTT"/>
    <m/>
    <e v="#N/A"/>
    <e v="#N/A"/>
    <n v="72156"/>
    <m/>
    <m/>
    <s v="Q1"/>
    <e v="#REF!"/>
    <e v="#REF!"/>
    <e v="#REF!"/>
  </r>
  <r>
    <s v="438210"/>
    <x v="6"/>
    <s v="CHARGES SOCIALES SUR RTT"/>
    <s v="JC"/>
    <n v="688.44"/>
    <d v="2025-02-01T00:00:00"/>
    <s v="Extourne Provision RTT"/>
    <m/>
    <e v="#N/A"/>
    <e v="#N/A"/>
    <n v="92473"/>
    <m/>
    <m/>
    <s v="Q1"/>
    <e v="#REF!"/>
    <e v="#REF!"/>
    <e v="#REF!"/>
  </r>
  <r>
    <s v="438210"/>
    <x v="6"/>
    <s v="CHARGES SOCIALES SUR RTT"/>
    <s v="JC"/>
    <n v="2443"/>
    <d v="2025-01-01T00:00:00"/>
    <s v="Extourne Provision"/>
    <m/>
    <e v="#N/A"/>
    <e v="#N/A"/>
    <n v="72227"/>
    <m/>
    <m/>
    <s v="Q1"/>
    <e v="#REF!"/>
    <e v="#REF!"/>
    <e v="#REF!"/>
  </r>
  <r>
    <s v="438210"/>
    <x v="6"/>
    <s v="CHARGES SOCIALES SUR RTT"/>
    <s v="JC"/>
    <n v="4540.54"/>
    <d v="2025-03-01T00:00:00"/>
    <s v="PROV. CS SUR RTT"/>
    <m/>
    <e v="#N/A"/>
    <e v="#N/A"/>
    <n v="92556"/>
    <s v="Extourne Provision RTT"/>
    <m/>
    <s v="Q1"/>
    <e v="#REF!"/>
    <e v="#REF!"/>
    <e v="#REF!"/>
  </r>
  <r>
    <s v="438210"/>
    <x v="6"/>
    <s v="CHARGES SOCIALES SUR RTT"/>
    <s v="JC"/>
    <n v="6642.78"/>
    <d v="2025-04-01T00:00:00"/>
    <s v="PROV. CS SUR RTT"/>
    <m/>
    <e v="#N/A"/>
    <e v="#N/A"/>
    <n v="92516"/>
    <s v="Extourne Provision RTT"/>
    <m/>
    <s v="Q2"/>
    <e v="#REF!"/>
    <e v="#REF!"/>
    <e v="#REF!"/>
  </r>
  <r>
    <s v="438210"/>
    <x v="6"/>
    <s v="CHARGES SOCIALES SUR RTT"/>
    <s v="JC"/>
    <n v="7104.66"/>
    <d v="2025-09-01T00:00:00"/>
    <s v="PROV. CS SUR RTT"/>
    <m/>
    <e v="#N/A"/>
    <e v="#N/A"/>
    <n v="85975"/>
    <s v="Extourne Provision RTT"/>
    <m/>
    <s v="Q3"/>
    <e v="#REF!"/>
    <e v="#REF!"/>
    <e v="#REF!"/>
  </r>
  <r>
    <s v="438210"/>
    <x v="6"/>
    <s v="CHARGES SOCIALES SUR RTT"/>
    <s v="JC"/>
    <n v="7123.03"/>
    <d v="2025-06-01T00:00:00"/>
    <s v="PROV. CS SUR RTT"/>
    <m/>
    <e v="#N/A"/>
    <e v="#N/A"/>
    <n v="92636"/>
    <s v="Extourne Provision RTT"/>
    <m/>
    <s v="Q2"/>
    <e v="#REF!"/>
    <e v="#REF!"/>
    <e v="#REF!"/>
  </r>
  <r>
    <s v="438210"/>
    <x v="6"/>
    <s v="CHARGES SOCIALES SUR RTT"/>
    <s v="JC"/>
    <n v="7947.86"/>
    <d v="2025-05-01T00:00:00"/>
    <s v="PROV. CS SUR RTT"/>
    <m/>
    <e v="#N/A"/>
    <e v="#N/A"/>
    <n v="92596"/>
    <s v="Extourne Provision RTT"/>
    <m/>
    <s v="Q2"/>
    <e v="#REF!"/>
    <e v="#REF!"/>
    <e v="#REF!"/>
  </r>
  <r>
    <s v="438210"/>
    <x v="6"/>
    <s v="CHARGES SOCIALES SUR RTT"/>
    <s v="JC"/>
    <n v="8531.86"/>
    <d v="2025-12-01T00:00:00"/>
    <s v="PROV. CS SUR RTT"/>
    <m/>
    <e v="#N/A"/>
    <e v="#N/A"/>
    <n v="92453"/>
    <s v="Extourne Provision RTT"/>
    <m/>
    <s v="Q4"/>
    <e v="#REF!"/>
    <e v="#REF!"/>
    <e v="#REF!"/>
  </r>
  <r>
    <s v="438210"/>
    <x v="6"/>
    <s v="CHARGES SOCIALES SUR RTT"/>
    <s v="JC"/>
    <n v="8917.86"/>
    <d v="2025-10-01T00:00:00"/>
    <s v="Extourne Provision RTT"/>
    <m/>
    <e v="#N/A"/>
    <e v="#N/A"/>
    <n v="85895"/>
    <m/>
    <m/>
    <s v="Q4"/>
    <e v="#REF!"/>
    <e v="#REF!"/>
    <e v="#REF!"/>
  </r>
  <r>
    <s v="438210"/>
    <x v="6"/>
    <s v="CHARGES SOCIALES SUR RTT"/>
    <s v="JC"/>
    <n v="9305.65"/>
    <d v="2025-11-01T00:00:00"/>
    <s v="PROV. CS SUR RTT"/>
    <m/>
    <e v="#N/A"/>
    <e v="#N/A"/>
    <n v="87964"/>
    <s v="Extourne Provision RTT"/>
    <m/>
    <s v="Q4"/>
    <e v="#REF!"/>
    <e v="#REF!"/>
    <e v="#REF!"/>
  </r>
  <r>
    <s v="438210"/>
    <x v="6"/>
    <s v="CHARGES SOCIALES SUR RTT"/>
    <s v="JC"/>
    <n v="9815.7199999999993"/>
    <d v="2025-07-01T00:00:00"/>
    <s v="Extourne Provision RTT"/>
    <m/>
    <e v="#N/A"/>
    <e v="#N/A"/>
    <n v="85867"/>
    <m/>
    <m/>
    <s v="Q3"/>
    <e v="#REF!"/>
    <e v="#REF!"/>
    <e v="#REF!"/>
  </r>
  <r>
    <s v="438210"/>
    <x v="6"/>
    <s v="CHARGES SOCIALES SUR RTT"/>
    <s v="JC"/>
    <n v="10053.620000000001"/>
    <d v="2025-08-01T00:00:00"/>
    <s v="Extourne Provision RTT"/>
    <m/>
    <e v="#N/A"/>
    <e v="#N/A"/>
    <n v="85935"/>
    <m/>
    <m/>
    <s v="Q3"/>
    <e v="#REF!"/>
    <e v="#REF!"/>
    <e v="#REF!"/>
  </r>
  <r>
    <s v="438220"/>
    <x v="6"/>
    <s v="CHARGES SOCIALES SUR VARIABLES"/>
    <s v="JC"/>
    <n v="-116044.36"/>
    <d v="2025-12-31T00:00:00"/>
    <s v="PROV. CS SUR VARIABLES 2025"/>
    <m/>
    <e v="#N/A"/>
    <e v="#N/A"/>
    <n v="85808"/>
    <s v="Prov. Variables 2025"/>
    <m/>
    <s v="Q4"/>
    <e v="#REF!"/>
    <e v="#REF!"/>
    <e v="#REF!"/>
  </r>
  <r>
    <s v="438220"/>
    <x v="6"/>
    <s v="CHARGES SOCIALES SUR VARIABLES"/>
    <s v="JC"/>
    <n v="-106374"/>
    <d v="2025-11-30T00:00:00"/>
    <s v="PROV. CS SUR VARIABLES 2025"/>
    <m/>
    <e v="#N/A"/>
    <e v="#N/A"/>
    <n v="85788"/>
    <s v="Prov. Variables 2025"/>
    <m/>
    <s v="Q4"/>
    <e v="#REF!"/>
    <e v="#REF!"/>
    <e v="#REF!"/>
  </r>
  <r>
    <s v="438220"/>
    <x v="6"/>
    <s v="CHARGES SOCIALES SUR VARIABLES"/>
    <s v="JC"/>
    <n v="-96703.63"/>
    <d v="2025-10-31T00:00:00"/>
    <s v="PROV. CS SUR VARIABLES 2025"/>
    <m/>
    <e v="#N/A"/>
    <e v="#N/A"/>
    <n v="85768"/>
    <s v="Prov. Variables 2025"/>
    <m/>
    <s v="Q4"/>
    <e v="#REF!"/>
    <e v="#REF!"/>
    <e v="#REF!"/>
  </r>
  <r>
    <s v="438220"/>
    <x v="6"/>
    <s v="CHARGES SOCIALES SUR VARIABLES"/>
    <s v="JC"/>
    <n v="-87033.27"/>
    <d v="2025-09-30T00:00:00"/>
    <s v="PROV. CS SUR VARIABLES 2025"/>
    <m/>
    <e v="#N/A"/>
    <e v="#N/A"/>
    <n v="85748"/>
    <s v="Prov. Variables 2025"/>
    <m/>
    <s v="Q3"/>
    <e v="#REF!"/>
    <e v="#REF!"/>
    <e v="#REF!"/>
  </r>
  <r>
    <s v="438220"/>
    <x v="6"/>
    <s v="CHARGES SOCIALES SUR VARIABLES"/>
    <s v="JC"/>
    <n v="-77362.91"/>
    <d v="2025-08-31T00:00:00"/>
    <s v="PROV. CS SUR VARIABLES 2025"/>
    <m/>
    <e v="#N/A"/>
    <e v="#N/A"/>
    <n v="85728"/>
    <s v="Prov. Variables 2025"/>
    <m/>
    <s v="Q3"/>
    <e v="#REF!"/>
    <e v="#REF!"/>
    <e v="#REF!"/>
  </r>
  <r>
    <s v="438220"/>
    <x v="6"/>
    <s v="CHARGES SOCIALES SUR VARIABLES"/>
    <s v="JC"/>
    <n v="-67692.539999999994"/>
    <d v="2025-07-31T00:00:00"/>
    <s v="PROV. CS SUR VARIABLES 2025"/>
    <m/>
    <e v="#N/A"/>
    <e v="#N/A"/>
    <n v="85708"/>
    <s v="Prov. Variables 2025"/>
    <m/>
    <s v="Q3"/>
    <e v="#REF!"/>
    <e v="#REF!"/>
    <e v="#REF!"/>
  </r>
  <r>
    <s v="438220"/>
    <x v="6"/>
    <s v="CHARGES SOCIALES SUR VARIABLES"/>
    <s v="JC"/>
    <n v="-58022.18"/>
    <d v="2025-06-30T00:00:00"/>
    <s v="PROV. CS SUR VARIABLES 2025"/>
    <m/>
    <e v="#N/A"/>
    <e v="#N/A"/>
    <n v="85688"/>
    <s v="Prov. Variables 2025"/>
    <m/>
    <s v="Q2"/>
    <e v="#REF!"/>
    <e v="#REF!"/>
    <e v="#REF!"/>
  </r>
  <r>
    <s v="438220"/>
    <x v="6"/>
    <s v="CHARGES SOCIALES SUR VARIABLES"/>
    <s v="JC"/>
    <n v="-48351.82"/>
    <d v="2025-05-31T00:00:00"/>
    <s v="PROV. CS SUR VARIABLES 2025"/>
    <m/>
    <e v="#N/A"/>
    <e v="#N/A"/>
    <n v="85668"/>
    <s v="Prov. Variables 2025"/>
    <m/>
    <s v="Q2"/>
    <e v="#REF!"/>
    <e v="#REF!"/>
    <e v="#REF!"/>
  </r>
  <r>
    <s v="438220"/>
    <x v="6"/>
    <s v="CHARGES SOCIALES SUR VARIABLES"/>
    <s v="JC"/>
    <n v="-38681.449999999997"/>
    <d v="2025-04-30T00:00:00"/>
    <s v="PROV. CS SUR VARIABLES 2025"/>
    <m/>
    <e v="#N/A"/>
    <e v="#N/A"/>
    <n v="85648"/>
    <s v="Prov. Variables 2025"/>
    <m/>
    <s v="Q2"/>
    <e v="#REF!"/>
    <e v="#REF!"/>
    <e v="#REF!"/>
  </r>
  <r>
    <s v="438220"/>
    <x v="6"/>
    <s v="CHARGES SOCIALES SUR VARIABLES"/>
    <s v="JC"/>
    <n v="-29011.09"/>
    <d v="2025-03-31T00:00:00"/>
    <s v="PROV. CS SUR VARIABLES 2025"/>
    <m/>
    <e v="#N/A"/>
    <e v="#N/A"/>
    <n v="85628"/>
    <s v="Prov. Variables 2025"/>
    <m/>
    <s v="Q1"/>
    <e v="#REF!"/>
    <e v="#REF!"/>
    <e v="#REF!"/>
  </r>
  <r>
    <s v="438220"/>
    <x v="6"/>
    <s v="CHARGES SOCIALES SUR VARIABLES"/>
    <s v="JC"/>
    <n v="-19340.73"/>
    <d v="2025-02-28T00:00:00"/>
    <s v="PROV. CS SUR VARIABLES 2025"/>
    <m/>
    <e v="#N/A"/>
    <e v="#N/A"/>
    <n v="85608"/>
    <s v="Prov. Variables 2025"/>
    <m/>
    <s v="Q1"/>
    <e v="#REF!"/>
    <e v="#REF!"/>
    <e v="#REF!"/>
  </r>
  <r>
    <s v="438220"/>
    <x v="6"/>
    <s v="CHARGES SOCIALES SUR VARIABLES"/>
    <s v="JC"/>
    <n v="-9670.36"/>
    <d v="2025-01-31T00:00:00"/>
    <s v="PROV. CS SUR VARIABLES 2025"/>
    <m/>
    <e v="#N/A"/>
    <e v="#N/A"/>
    <n v="85588"/>
    <s v="Prov. Variables 2025"/>
    <m/>
    <s v="Q1"/>
    <e v="#REF!"/>
    <e v="#REF!"/>
    <e v="#REF!"/>
  </r>
  <r>
    <s v="438220"/>
    <x v="6"/>
    <s v="CHARGES SOCIALES SUR VARIABLES"/>
    <s v="JC"/>
    <n v="9670.36"/>
    <d v="2025-02-01T00:00:00"/>
    <s v="PROV. CS SUR VARIABLES 2025"/>
    <m/>
    <e v="#N/A"/>
    <e v="#N/A"/>
    <n v="85598"/>
    <s v="Ext. Prov. Variables 2025"/>
    <m/>
    <s v="Q1"/>
    <e v="#REF!"/>
    <e v="#REF!"/>
    <e v="#REF!"/>
  </r>
  <r>
    <s v="438220"/>
    <x v="6"/>
    <s v="CHARGES SOCIALES SUR VARIABLES"/>
    <s v="JC"/>
    <n v="19340.73"/>
    <d v="2025-03-01T00:00:00"/>
    <s v="PROV. CS SUR VARIABLES 2025"/>
    <m/>
    <e v="#N/A"/>
    <e v="#N/A"/>
    <n v="85618"/>
    <s v="Ext. Prov. Variables 2025"/>
    <m/>
    <s v="Q1"/>
    <e v="#REF!"/>
    <e v="#REF!"/>
    <e v="#REF!"/>
  </r>
  <r>
    <s v="438220"/>
    <x v="6"/>
    <s v="CHARGES SOCIALES SUR VARIABLES"/>
    <s v="JC"/>
    <n v="29011.09"/>
    <d v="2025-04-01T00:00:00"/>
    <s v="PROV. CS SUR VARIABLES 2025"/>
    <m/>
    <e v="#N/A"/>
    <e v="#N/A"/>
    <n v="85638"/>
    <s v="Ext. Prov. Variables 2025"/>
    <m/>
    <s v="Q2"/>
    <e v="#REF!"/>
    <e v="#REF!"/>
    <e v="#REF!"/>
  </r>
  <r>
    <s v="438220"/>
    <x v="6"/>
    <s v="CHARGES SOCIALES SUR VARIABLES"/>
    <s v="JC"/>
    <n v="38681.449999999997"/>
    <d v="2025-05-01T00:00:00"/>
    <s v="PROV. CS SUR VARIABLES 2025"/>
    <m/>
    <e v="#N/A"/>
    <e v="#N/A"/>
    <n v="85658"/>
    <s v="Ext. Prov. Variables 2025"/>
    <m/>
    <s v="Q2"/>
    <e v="#REF!"/>
    <e v="#REF!"/>
    <e v="#REF!"/>
  </r>
  <r>
    <s v="438220"/>
    <x v="6"/>
    <s v="CHARGES SOCIALES SUR VARIABLES"/>
    <s v="JC"/>
    <n v="48351.82"/>
    <d v="2025-06-01T00:00:00"/>
    <s v="PROV. CS SUR VARIABLES 2025"/>
    <m/>
    <e v="#N/A"/>
    <e v="#N/A"/>
    <n v="85678"/>
    <s v="Ext. Prov. Variables 2025"/>
    <m/>
    <s v="Q2"/>
    <e v="#REF!"/>
    <e v="#REF!"/>
    <e v="#REF!"/>
  </r>
  <r>
    <s v="438220"/>
    <x v="6"/>
    <s v="CHARGES SOCIALES SUR VARIABLES"/>
    <s v="JC"/>
    <n v="58022.18"/>
    <d v="2025-07-01T00:00:00"/>
    <s v="PROV. CS SUR VARIABLES 2025"/>
    <m/>
    <e v="#N/A"/>
    <e v="#N/A"/>
    <n v="85698"/>
    <s v="Ext. Prov. Variables 2025"/>
    <m/>
    <s v="Q3"/>
    <e v="#REF!"/>
    <e v="#REF!"/>
    <e v="#REF!"/>
  </r>
  <r>
    <s v="438220"/>
    <x v="6"/>
    <s v="CHARGES SOCIALES SUR VARIABLES"/>
    <s v="JC"/>
    <n v="60239"/>
    <d v="2025-02-01T00:00:00"/>
    <s v="EXTOURNE PROVISION VARIABLES 2024"/>
    <m/>
    <e v="#N/A"/>
    <e v="#N/A"/>
    <n v="85582"/>
    <m/>
    <m/>
    <s v="Q1"/>
    <e v="#REF!"/>
    <e v="#REF!"/>
    <e v="#REF!"/>
  </r>
  <r>
    <s v="438220"/>
    <x v="6"/>
    <s v="CHARGES SOCIALES SUR VARIABLES"/>
    <s v="JC"/>
    <n v="67692.539999999994"/>
    <d v="2025-08-01T00:00:00"/>
    <s v="PROV. CS SUR VARIABLES 2025"/>
    <m/>
    <e v="#N/A"/>
    <e v="#N/A"/>
    <n v="85718"/>
    <s v="Ext. Prov. Variables 2025"/>
    <m/>
    <s v="Q3"/>
    <e v="#REF!"/>
    <e v="#REF!"/>
    <e v="#REF!"/>
  </r>
  <r>
    <s v="438220"/>
    <x v="6"/>
    <s v="CHARGES SOCIALES SUR VARIABLES"/>
    <s v="JC"/>
    <n v="77362.91"/>
    <d v="2025-09-01T00:00:00"/>
    <s v="PROV. CS SUR VARIABLES 2025"/>
    <m/>
    <e v="#N/A"/>
    <e v="#N/A"/>
    <n v="85738"/>
    <s v="Ext. Prov. Variables 2025"/>
    <m/>
    <s v="Q3"/>
    <e v="#REF!"/>
    <e v="#REF!"/>
    <e v="#REF!"/>
  </r>
  <r>
    <s v="438220"/>
    <x v="6"/>
    <s v="CHARGES SOCIALES SUR VARIABLES"/>
    <s v="JC"/>
    <n v="87033.27"/>
    <d v="2025-10-01T00:00:00"/>
    <s v="PROV. CS SUR VARIABLES 2025"/>
    <m/>
    <e v="#N/A"/>
    <e v="#N/A"/>
    <n v="85758"/>
    <s v="Ext. Prov. Variables 2025"/>
    <m/>
    <s v="Q4"/>
    <e v="#REF!"/>
    <e v="#REF!"/>
    <e v="#REF!"/>
  </r>
  <r>
    <s v="438220"/>
    <x v="6"/>
    <s v="CHARGES SOCIALES SUR VARIABLES"/>
    <s v="JC"/>
    <n v="96703.63"/>
    <d v="2025-11-01T00:00:00"/>
    <s v="PROV. CS SUR VARIABLES 2025"/>
    <m/>
    <e v="#N/A"/>
    <e v="#N/A"/>
    <n v="85778"/>
    <s v="Ext. Prov. Variables 2025"/>
    <m/>
    <s v="Q4"/>
    <e v="#REF!"/>
    <e v="#REF!"/>
    <e v="#REF!"/>
  </r>
  <r>
    <s v="438220"/>
    <x v="6"/>
    <s v="CHARGES SOCIALES SUR VARIABLES"/>
    <s v="JC"/>
    <n v="106374"/>
    <d v="2025-12-01T00:00:00"/>
    <s v="PROV. CS SUR VARIABLES 2025"/>
    <m/>
    <e v="#N/A"/>
    <e v="#N/A"/>
    <n v="85798"/>
    <s v="Ext. Prov. Variables 2025"/>
    <m/>
    <s v="Q4"/>
    <e v="#REF!"/>
    <e v="#REF!"/>
    <e v="#REF!"/>
  </r>
  <r>
    <s v="438220"/>
    <x v="6"/>
    <s v="CHARGES SOCIALES SUR VARIABLES"/>
    <s v="OD"/>
    <n v="-60239"/>
    <d v="2025-01-01T00:00:00"/>
    <s v="Reclassement CS sur Provision Variables 2024"/>
    <m/>
    <e v="#N/A"/>
    <e v="#N/A"/>
    <n v="85581"/>
    <m/>
    <m/>
    <s v="Q1"/>
    <e v="#REF!"/>
    <e v="#REF!"/>
    <e v="#REF!"/>
  </r>
  <r>
    <s v="438230"/>
    <x v="6"/>
    <s v="CHARGES SOCIALES SUR AUTRES PROVISIONS"/>
    <s v="JC"/>
    <n v="7305"/>
    <d v="2025-03-01T00:00:00"/>
    <s v="Extourne CS sur Provision précarité"/>
    <m/>
    <e v="#N/A"/>
    <e v="#N/A"/>
    <n v="72241"/>
    <m/>
    <m/>
    <s v="Q1"/>
    <e v="#REF!"/>
    <e v="#REF!"/>
    <e v="#REF!"/>
  </r>
  <r>
    <s v="438230"/>
    <x v="6"/>
    <s v="CHARGES SOCIALES SUR AUTRES PROVISIONS"/>
    <s v="OD"/>
    <n v="-7305"/>
    <d v="2025-01-01T00:00:00"/>
    <s v="Reclassement CS sur Provision Précarité 2024"/>
    <m/>
    <e v="#N/A"/>
    <e v="#N/A"/>
    <n v="85579"/>
    <m/>
    <m/>
    <s v="Q1"/>
    <e v="#REF!"/>
    <e v="#REF!"/>
    <e v="#REF!"/>
  </r>
  <r>
    <s v="438600"/>
    <x v="6"/>
    <s v="AUTRES CHARGES SOCIALES À PAYER"/>
    <s v="AN"/>
    <n v="-67544"/>
    <d v="2025-01-01T00:00:00"/>
    <s v="Report à nouveau Exercice 2025"/>
    <m/>
    <e v="#N/A"/>
    <e v="#N/A"/>
    <n v="84779"/>
    <m/>
    <m/>
    <s v="Q1"/>
    <e v="#REF!"/>
    <e v="#REF!"/>
    <e v="#REF!"/>
  </r>
  <r>
    <s v="438600"/>
    <x v="6"/>
    <s v="AUTRES CHARGES SOCIALES À PAYER"/>
    <s v="OD"/>
    <n v="7305"/>
    <d v="2025-01-01T00:00:00"/>
    <s v="Reclassement CS sur Provision Précarité 2024"/>
    <m/>
    <e v="#N/A"/>
    <e v="#N/A"/>
    <n v="85578"/>
    <m/>
    <m/>
    <s v="Q1"/>
    <e v="#REF!"/>
    <e v="#REF!"/>
    <e v="#REF!"/>
  </r>
  <r>
    <s v="438600"/>
    <x v="6"/>
    <s v="AUTRES CHARGES SOCIALES À PAYER"/>
    <s v="OD"/>
    <n v="60239"/>
    <d v="2025-01-01T00:00:00"/>
    <s v="Reclassement CS sur Provision Variables 2024"/>
    <m/>
    <e v="#N/A"/>
    <e v="#N/A"/>
    <n v="85580"/>
    <m/>
    <m/>
    <s v="Q1"/>
    <e v="#REF!"/>
    <e v="#REF!"/>
    <e v="#REF!"/>
  </r>
  <r>
    <s v="438650"/>
    <x v="6"/>
    <s v="TAXE APPRENTISSAGE"/>
    <s v="AN"/>
    <n v="-2123.59"/>
    <d v="2025-01-01T00:00:00"/>
    <s v="Report à nouveau Exercice 2025"/>
    <m/>
    <e v="#N/A"/>
    <e v="#N/A"/>
    <n v="84780"/>
    <m/>
    <m/>
    <s v="Q1"/>
    <e v="#REF!"/>
    <e v="#REF!"/>
    <e v="#REF!"/>
  </r>
  <r>
    <s v="512100"/>
    <x v="6"/>
    <s v="BANQUE POPULAIRE RIVE DE PARIS"/>
    <s v="BPRI"/>
    <n v="-12"/>
    <d v="2025-10-13T00:00:00"/>
    <s v="/SQTP/RCUR/LIB/PRLV SEPA BPIFRANCE FINANCEMENT/LIB/BPIFRANCE FINANCEMENT/LIB/BPIFRANCE FINANCEMENT/LIB/BELAB0000000002482AA00176"/>
    <m/>
    <e v="#N/A"/>
    <e v="#N/A"/>
    <n v="86929"/>
    <m/>
    <s v="BPI FRANCE"/>
    <s v="Q4"/>
    <e v="#REF!"/>
    <e v="#REF!"/>
    <e v="#REF!"/>
  </r>
  <r>
    <s v="512100"/>
    <x v="6"/>
    <s v="BANQUE POPULAIRE RIVE DE PARIS"/>
    <s v="BPRI"/>
    <n v="-12"/>
    <d v="2025-11-12T00:00:00"/>
    <s v="/SQTP/RCUR/LIB/PRLV SEPA BPIFRANCE FINANCEMENT/LIB/BPIFRANCE FINANCEMENT/LIB/BPIFRANCE FINANCEMENT/LIB/BELAB0000000002482AA00176"/>
    <m/>
    <e v="#N/A"/>
    <e v="#N/A"/>
    <n v="89849"/>
    <m/>
    <s v="BPI FRANCE"/>
    <s v="Q4"/>
    <e v="#REF!"/>
    <e v="#REF!"/>
    <e v="#REF!"/>
  </r>
  <r>
    <s v="512100"/>
    <x v="6"/>
    <s v="BANQUE POPULAIRE RIVE DE PARIS"/>
    <s v="BPRI"/>
    <n v="-12"/>
    <d v="2025-12-10T00:00:00"/>
    <s v="/SQTP/RCUR/LIB/PRLV SEPA BPIFRANCE FINANCEMENT/LIB/BPIFRANCE FINANCEMENT/LIB/BPIFRANCE FINANCEMENT/LIB/BELAB0000000002482AA00176"/>
    <m/>
    <e v="#N/A"/>
    <e v="#N/A"/>
    <n v="92107"/>
    <m/>
    <s v="BPI FRANCE"/>
    <s v="Q4"/>
    <e v="#REF!"/>
    <e v="#REF!"/>
    <e v="#REF!"/>
  </r>
  <r>
    <s v="164220"/>
    <x v="6"/>
    <s v="BPI - Emprunt Amorçage FEI - DOS009339700 "/>
    <s v="BPRI"/>
    <n v="2952"/>
    <d v="2025-12-31T00:00:00"/>
    <s v="/SQTP/RCUR/LIB/PRLV SEPA BPIFRANCE/LIB/BPIFRANCE/LIB/5501775 F2512/000548010/LIB/RUM-01212407"/>
    <m/>
    <e v="#N/A"/>
    <e v="#N/A"/>
    <n v="93913"/>
    <m/>
    <m/>
    <s v="Q4"/>
    <e v="#REF!"/>
    <e v="#REF!"/>
    <e v="#REF!"/>
  </r>
  <r>
    <s v="512100"/>
    <x v="6"/>
    <s v="BANQUE POPULAIRE RIVE DE PARIS"/>
    <s v="BPRI"/>
    <n v="-4092"/>
    <d v="2025-12-31T00:00:00"/>
    <s v="/SQTP/RCUR/LIB/PRLV SEPA BPIFRANCE/LIB/BPIFRANCE/LIB/5501775 F2512/000548010/LIB/RUM-01212407"/>
    <m/>
    <e v="#N/A"/>
    <e v="#N/A"/>
    <n v="93885"/>
    <m/>
    <m/>
    <s v="Q4"/>
    <e v="#REF!"/>
    <e v="#REF!"/>
    <e v="#REF!"/>
  </r>
  <r>
    <s v="661100"/>
    <x v="6"/>
    <s v="INTÉRÊTS BANCAIRES"/>
    <s v="BPRI"/>
    <n v="1140"/>
    <d v="2025-12-31T00:00:00"/>
    <s v="/SQTP/RCUR/LIB/PRLV SEPA BPIFRANCE/LIB/BPIFRANCE/LIB/5501775 F2512/000548010/LIB/RUM-01212407"/>
    <m/>
    <e v="#N/A"/>
    <e v="#N/A"/>
    <n v="93917"/>
    <m/>
    <m/>
    <s v="Q4"/>
    <e v="#REF!"/>
    <e v="#REF!"/>
    <e v="#REF!"/>
  </r>
  <r>
    <s v="512100"/>
    <x v="6"/>
    <s v="BANQUE POPULAIRE RIVE DE PARIS"/>
    <s v="BPRI"/>
    <n v="-22700"/>
    <d v="2025-12-31T00:00:00"/>
    <s v="/SQTP/RCUR/LIB/PRLV SEPA BPIFRANCE/LIB/BPIFRANCE/LIB/5501776 F2512/000585467/LIB/RUM-01331624"/>
    <m/>
    <e v="#N/A"/>
    <e v="#N/A"/>
    <n v="93878"/>
    <m/>
    <m/>
    <s v="Q4"/>
    <e v="#REF!"/>
    <e v="#REF!"/>
    <e v="#REF!"/>
  </r>
  <r>
    <s v="661100"/>
    <x v="6"/>
    <s v="INTÉRÊTS BANCAIRES"/>
    <s v="BPRI"/>
    <n v="22700"/>
    <d v="2025-12-31T00:00:00"/>
    <s v="/SQTP/RCUR/LIB/PRLV SEPA BPIFRANCE/LIB/BPIFRANCE/LIB/5501776 F2512/000585467/LIB/RUM-01331624"/>
    <m/>
    <e v="#N/A"/>
    <e v="#N/A"/>
    <n v="93879"/>
    <m/>
    <m/>
    <s v="Q4"/>
    <e v="#REF!"/>
    <e v="#REF!"/>
    <e v="#REF!"/>
  </r>
  <r>
    <s v="401000"/>
    <x v="6"/>
    <s v="FOURNISSEURS"/>
    <s v="BPRI"/>
    <n v="107.99"/>
    <d v="2025-10-17T00:00:00"/>
    <s v="/SQTP/RCUR/LIB/PRLV SEPA DATACAMPUS/LIB/DATACAMPUS/LIB/20251020049 / DB963/LIB/HB963PILI"/>
    <m/>
    <e v="#N/A"/>
    <e v="#N/A"/>
    <n v="87148"/>
    <m/>
    <s v="DATACAMPUS"/>
    <s v="Q4"/>
    <e v="#REF!"/>
    <e v="#REF!"/>
    <e v="#REF!"/>
  </r>
  <r>
    <s v="512100"/>
    <x v="6"/>
    <s v="BANQUE POPULAIRE RIVE DE PARIS"/>
    <s v="BPRI"/>
    <n v="-107.99"/>
    <d v="2025-10-17T00:00:00"/>
    <s v="/SQTP/RCUR/LIB/PRLV SEPA DATACAMPUS/LIB/DATACAMPUS/LIB/20251020049 / DB963/LIB/HB963PILI"/>
    <m/>
    <e v="#N/A"/>
    <e v="#N/A"/>
    <n v="87147"/>
    <m/>
    <s v="DATACAMPUS"/>
    <s v="Q4"/>
    <e v="#REF!"/>
    <e v="#REF!"/>
    <e v="#REF!"/>
  </r>
  <r>
    <s v="401000"/>
    <x v="6"/>
    <s v="FOURNISSEURS"/>
    <s v="BPRI"/>
    <n v="107.99"/>
    <d v="2025-11-19T00:00:00"/>
    <s v="/SQTP/RCUR/LIB/PRLV SEPA DATACAMPUS/LIB/DATACAMPUS/LIB/20251120290 / DB963/LIB/HB963PILI"/>
    <m/>
    <e v="#N/A"/>
    <e v="#N/A"/>
    <n v="90560"/>
    <m/>
    <s v="DATACAMPUS"/>
    <s v="Q4"/>
    <e v="#REF!"/>
    <e v="#REF!"/>
    <e v="#REF!"/>
  </r>
  <r>
    <s v="512100"/>
    <x v="6"/>
    <s v="BANQUE POPULAIRE RIVE DE PARIS"/>
    <s v="BPRI"/>
    <n v="-107.99"/>
    <d v="2025-11-19T00:00:00"/>
    <s v="/SQTP/RCUR/LIB/PRLV SEPA DATACAMPUS/LIB/DATACAMPUS/LIB/20251120290 / DB963/LIB/HB963PILI"/>
    <m/>
    <e v="#N/A"/>
    <e v="#N/A"/>
    <n v="90559"/>
    <m/>
    <s v="DATACAMPUS"/>
    <s v="Q4"/>
    <e v="#REF!"/>
    <e v="#REF!"/>
    <e v="#REF!"/>
  </r>
  <r>
    <s v="401000"/>
    <x v="6"/>
    <s v="FOURNISSEURS"/>
    <s v="BPRI"/>
    <n v="107.99"/>
    <d v="2025-12-18T00:00:00"/>
    <s v="/SQTP/RCUR/LIB/PRLV SEPA DATACAMPUS/LIB/DATACAMPUS/LIB/20251220548 / DB963/LIB/HB963PILI"/>
    <m/>
    <e v="#N/A"/>
    <e v="#N/A"/>
    <n v="92698"/>
    <m/>
    <s v="DATACAMPUS"/>
    <s v="Q4"/>
    <e v="#REF!"/>
    <e v="#REF!"/>
    <e v="#REF!"/>
  </r>
  <r>
    <s v="441710"/>
    <x v="6"/>
    <s v="SUBVENTIONS A RECEVOIR SUR DOSSIERS RECHERCHE"/>
    <s v="AN"/>
    <n v="2303771.87"/>
    <d v="2025-01-01T00:00:00"/>
    <s v="Report à nouveau Exercice 2025"/>
    <m/>
    <e v="#N/A"/>
    <e v="#N/A"/>
    <n v="84781"/>
    <m/>
    <m/>
    <s v="Q1"/>
    <e v="#REF!"/>
    <e v="#REF!"/>
    <e v="#REF!"/>
  </r>
  <r>
    <s v="512100"/>
    <x v="6"/>
    <s v="BANQUE POPULAIRE RIVE DE PARIS"/>
    <s v="BPRI"/>
    <n v="-107.99"/>
    <d v="2025-12-18T00:00:00"/>
    <s v="/SQTP/RCUR/LIB/PRLV SEPA DATACAMPUS/LIB/DATACAMPUS/LIB/20251220548 / DB963/LIB/HB963PILI"/>
    <m/>
    <e v="#N/A"/>
    <e v="#N/A"/>
    <n v="92680"/>
    <m/>
    <s v="DATACAMPUS"/>
    <s v="Q4"/>
    <e v="#REF!"/>
    <e v="#REF!"/>
    <e v="#REF!"/>
  </r>
  <r>
    <s v="441710"/>
    <x v="6"/>
    <s v="SUBVENTIONS A RECEVOIR SUR DOSSIERS RECHERCHE"/>
    <s v="JC"/>
    <n v="-526666"/>
    <d v="2025-04-01T00:00:00"/>
    <s v="EXTOURNE PAR - M-1"/>
    <m/>
    <e v="#N/A"/>
    <e v="#N/A"/>
    <n v="73970"/>
    <s v="Extourne PAR - M-1"/>
    <m/>
    <s v="Q2"/>
    <e v="#REF!"/>
    <e v="#REF!"/>
    <e v="#REF!"/>
  </r>
  <r>
    <s v="441710"/>
    <x v="6"/>
    <s v="SUBVENTIONS A RECEVOIR SUR DOSSIERS RECHERCHE"/>
    <s v="JC"/>
    <n v="-478788"/>
    <d v="2025-03-01T00:00:00"/>
    <s v="EXTOURNE PAR - M-1"/>
    <m/>
    <e v="#N/A"/>
    <e v="#N/A"/>
    <n v="73964"/>
    <s v="Extourne PAR - M-1"/>
    <m/>
    <s v="Q1"/>
    <e v="#REF!"/>
    <e v="#REF!"/>
    <e v="#REF!"/>
  </r>
  <r>
    <s v="441710"/>
    <x v="6"/>
    <s v="SUBVENTIONS A RECEVOIR SUR DOSSIERS RECHERCHE"/>
    <s v="JC"/>
    <n v="-432500"/>
    <d v="2025-09-01T00:00:00"/>
    <s v="FINANCIAL REPORT SUBMISSION - W2BC"/>
    <m/>
    <e v="#N/A"/>
    <e v="#N/A"/>
    <n v="87364"/>
    <m/>
    <m/>
    <s v="Q3"/>
    <e v="#REF!"/>
    <e v="#REF!"/>
    <e v="#REF!"/>
  </r>
  <r>
    <s v="441710"/>
    <x v="6"/>
    <s v="SUBVENTIONS A RECEVOIR SUR DOSSIERS RECHERCHE"/>
    <s v="JC"/>
    <n v="-430908"/>
    <d v="2025-02-01T00:00:00"/>
    <s v="EXTOURNE PAR - M-1"/>
    <m/>
    <e v="#N/A"/>
    <e v="#N/A"/>
    <n v="73958"/>
    <s v="Extourne PAR - M-1"/>
    <m/>
    <s v="Q1"/>
    <e v="#REF!"/>
    <e v="#REF!"/>
    <e v="#REF!"/>
  </r>
  <r>
    <s v="441710"/>
    <x v="6"/>
    <s v="SUBVENTIONS A RECEVOIR SUR DOSSIERS RECHERCHE"/>
    <s v="JC"/>
    <n v="-383030"/>
    <d v="2025-01-01T00:00:00"/>
    <s v="EXTOURNE PAR - M-1"/>
    <m/>
    <e v="#N/A"/>
    <e v="#N/A"/>
    <n v="73952"/>
    <s v="Extourne PAR - M-1"/>
    <m/>
    <s v="Q1"/>
    <e v="#REF!"/>
    <e v="#REF!"/>
    <e v="#REF!"/>
  </r>
  <r>
    <s v="441710"/>
    <x v="6"/>
    <s v="SUBVENTIONS A RECEVOIR SUR DOSSIERS RECHERCHE"/>
    <s v="JC"/>
    <n v="-338180"/>
    <d v="2025-12-01T00:00:00"/>
    <s v="EXTOURNE PAR - M-1"/>
    <m/>
    <e v="#N/A"/>
    <e v="#N/A"/>
    <n v="73067"/>
    <s v="Extourne PAR - M-1"/>
    <m/>
    <s v="Q4"/>
    <e v="#REF!"/>
    <e v="#REF!"/>
    <e v="#REF!"/>
  </r>
  <r>
    <s v="441710"/>
    <x v="6"/>
    <s v="SUBVENTIONS A RECEVOIR SUR DOSSIERS RECHERCHE"/>
    <s v="JC"/>
    <n v="-313615"/>
    <d v="2025-11-01T00:00:00"/>
    <s v="EXTOURNE PAR - M-1"/>
    <m/>
    <e v="#N/A"/>
    <e v="#N/A"/>
    <n v="73063"/>
    <s v="Extourne PAR - M-1"/>
    <m/>
    <s v="Q4"/>
    <e v="#REF!"/>
    <e v="#REF!"/>
    <e v="#REF!"/>
  </r>
  <r>
    <s v="441710"/>
    <x v="6"/>
    <s v="SUBVENTIONS A RECEVOIR SUR DOSSIERS RECHERCHE"/>
    <s v="JC"/>
    <n v="-303523.46000000002"/>
    <d v="2025-12-01T00:00:00"/>
    <s v="EXTOURNE PAR - M36"/>
    <m/>
    <e v="#N/A"/>
    <e v="#N/A"/>
    <n v="74015"/>
    <s v="Extourne PAR - M36"/>
    <m/>
    <s v="Q4"/>
    <e v="#REF!"/>
    <e v="#REF!"/>
    <e v="#REF!"/>
  </r>
  <r>
    <s v="441710"/>
    <x v="6"/>
    <s v="SUBVENTIONS A RECEVOIR SUR DOSSIERS RECHERCHE"/>
    <s v="JC"/>
    <n v="-291667"/>
    <d v="2025-12-31T00:00:00"/>
    <s v="Produits à recevoir -M36 - Color4Craft"/>
    <m/>
    <e v="#N/A"/>
    <e v="#N/A"/>
    <n v="72973"/>
    <m/>
    <m/>
    <s v="Q4"/>
    <e v="#REF!"/>
    <e v="#REF!"/>
    <e v="#REF!"/>
  </r>
  <r>
    <s v="441710"/>
    <x v="6"/>
    <s v="SUBVENTIONS A RECEVOIR SUR DOSSIERS RECHERCHE"/>
    <s v="JC"/>
    <n v="-288231"/>
    <d v="2025-10-01T00:00:00"/>
    <s v="EXTOURNE PAR - M-1"/>
    <m/>
    <e v="#N/A"/>
    <e v="#N/A"/>
    <n v="73059"/>
    <s v="Extourne PAR - M-1"/>
    <m/>
    <s v="Q4"/>
    <e v="#REF!"/>
    <e v="#REF!"/>
    <e v="#REF!"/>
  </r>
  <r>
    <s v="441710"/>
    <x v="6"/>
    <s v="SUBVENTIONS A RECEVOIR SUR DOSSIERS RECHERCHE"/>
    <s v="JC"/>
    <n v="-281944"/>
    <d v="2025-11-30T00:00:00"/>
    <s v="Produits à recevoir -M36 - Color4Craft"/>
    <m/>
    <e v="#N/A"/>
    <e v="#N/A"/>
    <n v="72969"/>
    <m/>
    <m/>
    <s v="Q4"/>
    <e v="#REF!"/>
    <e v="#REF!"/>
    <e v="#REF!"/>
  </r>
  <r>
    <s v="441710"/>
    <x v="6"/>
    <s v="SUBVENTIONS A RECEVOIR SUR DOSSIERS RECHERCHE"/>
    <s v="JC"/>
    <n v="-272222"/>
    <d v="2025-10-31T00:00:00"/>
    <s v="Produits à recevoir -M36 - Color4Craft"/>
    <m/>
    <e v="#N/A"/>
    <e v="#N/A"/>
    <n v="72965"/>
    <m/>
    <m/>
    <s v="Q4"/>
    <e v="#REF!"/>
    <e v="#REF!"/>
    <e v="#REF!"/>
  </r>
  <r>
    <s v="441710"/>
    <x v="6"/>
    <s v="SUBVENTIONS A RECEVOIR SUR DOSSIERS RECHERCHE"/>
    <s v="JC"/>
    <n v="-263666"/>
    <d v="2025-09-01T00:00:00"/>
    <s v="EXTOURNE PAR - M-1"/>
    <m/>
    <e v="#N/A"/>
    <e v="#N/A"/>
    <n v="73055"/>
    <s v="Extourne PAR - M-1"/>
    <m/>
    <s v="Q3"/>
    <e v="#REF!"/>
    <e v="#REF!"/>
    <e v="#REF!"/>
  </r>
  <r>
    <s v="441710"/>
    <x v="6"/>
    <s v="SUBVENTIONS A RECEVOIR SUR DOSSIERS RECHERCHE"/>
    <s v="JC"/>
    <n v="-262500"/>
    <d v="2025-09-30T00:00:00"/>
    <s v="Produits à recevoir -M36 - Color4Craft"/>
    <m/>
    <e v="#N/A"/>
    <e v="#N/A"/>
    <n v="72961"/>
    <m/>
    <m/>
    <s v="Q3"/>
    <e v="#REF!"/>
    <e v="#REF!"/>
    <e v="#REF!"/>
  </r>
  <r>
    <s v="441710"/>
    <x v="6"/>
    <s v="SUBVENTIONS A RECEVOIR SUR DOSSIERS RECHERCHE"/>
    <s v="JC"/>
    <n v="-260162.96"/>
    <d v="2025-11-01T00:00:00"/>
    <s v="EXTOURNE PAR - M36"/>
    <m/>
    <e v="#N/A"/>
    <e v="#N/A"/>
    <n v="74009"/>
    <s v="Extourne PAR - M36"/>
    <m/>
    <s v="Q4"/>
    <e v="#REF!"/>
    <e v="#REF!"/>
    <e v="#REF!"/>
  </r>
  <r>
    <s v="441710"/>
    <x v="6"/>
    <s v="SUBVENTIONS A RECEVOIR SUR DOSSIERS RECHERCHE"/>
    <s v="JC"/>
    <n v="-252778"/>
    <d v="2025-08-31T00:00:00"/>
    <s v="Produits à recevoir -M36 - Color4Craft"/>
    <m/>
    <e v="#N/A"/>
    <e v="#N/A"/>
    <n v="72957"/>
    <m/>
    <m/>
    <s v="Q3"/>
    <e v="#REF!"/>
    <e v="#REF!"/>
    <e v="#REF!"/>
  </r>
  <r>
    <s v="441710"/>
    <x v="6"/>
    <s v="SUBVENTIONS A RECEVOIR SUR DOSSIERS RECHERCHE"/>
    <s v="JC"/>
    <n v="-243056"/>
    <d v="2025-07-31T00:00:00"/>
    <s v="Produits à recevoir -M36 - Color4Craft"/>
    <m/>
    <e v="#N/A"/>
    <e v="#N/A"/>
    <n v="72953"/>
    <m/>
    <m/>
    <s v="Q3"/>
    <e v="#REF!"/>
    <e v="#REF!"/>
    <e v="#REF!"/>
  </r>
  <r>
    <s v="441710"/>
    <x v="6"/>
    <s v="SUBVENTIONS A RECEVOIR SUR DOSSIERS RECHERCHE"/>
    <s v="JC"/>
    <n v="-238282"/>
    <d v="2025-08-01T00:00:00"/>
    <s v="EXTOURNE PAR - M-1"/>
    <m/>
    <e v="#N/A"/>
    <e v="#N/A"/>
    <n v="73051"/>
    <s v="Extourne PAR - M-1"/>
    <m/>
    <s v="Q3"/>
    <e v="#REF!"/>
    <e v="#REF!"/>
    <e v="#REF!"/>
  </r>
  <r>
    <s v="441710"/>
    <x v="6"/>
    <s v="SUBVENTIONS A RECEVOIR SUR DOSSIERS RECHERCHE"/>
    <s v="JC"/>
    <n v="-233333"/>
    <d v="2025-06-30T00:00:00"/>
    <s v="Produits à recevoir -M36 - Color4Craft"/>
    <m/>
    <e v="#N/A"/>
    <e v="#N/A"/>
    <n v="72949"/>
    <m/>
    <m/>
    <s v="Q2"/>
    <e v="#REF!"/>
    <e v="#REF!"/>
    <e v="#REF!"/>
  </r>
  <r>
    <s v="441710"/>
    <x v="6"/>
    <s v="SUBVENTIONS A RECEVOIR SUR DOSSIERS RECHERCHE"/>
    <s v="JC"/>
    <n v="-223611"/>
    <d v="2025-05-31T00:00:00"/>
    <s v="Produits à recevoir -M36 - Color4Craft"/>
    <m/>
    <e v="#N/A"/>
    <e v="#N/A"/>
    <n v="72945"/>
    <m/>
    <m/>
    <s v="Q2"/>
    <e v="#REF!"/>
    <e v="#REF!"/>
    <e v="#REF!"/>
  </r>
  <r>
    <s v="441710"/>
    <x v="6"/>
    <s v="SUBVENTIONS A RECEVOIR SUR DOSSIERS RECHERCHE"/>
    <s v="JC"/>
    <n v="-216802.46"/>
    <d v="2025-10-01T00:00:00"/>
    <s v="EXTOURNE PAR - M36"/>
    <m/>
    <e v="#N/A"/>
    <e v="#N/A"/>
    <n v="74003"/>
    <s v="Extourne PAR - M36"/>
    <m/>
    <s v="Q4"/>
    <e v="#REF!"/>
    <e v="#REF!"/>
    <e v="#REF!"/>
  </r>
  <r>
    <s v="441710"/>
    <x v="6"/>
    <s v="SUBVENTIONS A RECEVOIR SUR DOSSIERS RECHERCHE"/>
    <s v="JC"/>
    <n v="-213889"/>
    <d v="2025-04-30T00:00:00"/>
    <s v="Produits à recevoir -M36 - Color4Craft"/>
    <m/>
    <e v="#N/A"/>
    <e v="#N/A"/>
    <n v="72941"/>
    <m/>
    <m/>
    <s v="Q2"/>
    <e v="#REF!"/>
    <e v="#REF!"/>
    <e v="#REF!"/>
  </r>
  <r>
    <s v="441710"/>
    <x v="6"/>
    <s v="SUBVENTIONS A RECEVOIR SUR DOSSIERS RECHERCHE"/>
    <s v="JC"/>
    <n v="-212898"/>
    <d v="2025-07-31T00:00:00"/>
    <s v="EXTOURNE PAR - M-1"/>
    <m/>
    <e v="#N/A"/>
    <e v="#N/A"/>
    <n v="73047"/>
    <s v="Extourne PAR - M-1"/>
    <m/>
    <s v="Q3"/>
    <e v="#REF!"/>
    <e v="#REF!"/>
    <e v="#REF!"/>
  </r>
  <r>
    <s v="441710"/>
    <x v="6"/>
    <s v="SUBVENTIONS A RECEVOIR SUR DOSSIERS RECHERCHE"/>
    <s v="JC"/>
    <n v="-204167"/>
    <d v="2025-03-31T00:00:00"/>
    <s v="Produits à recevoir -M36 - Color4Craft"/>
    <m/>
    <e v="#N/A"/>
    <e v="#N/A"/>
    <n v="72937"/>
    <m/>
    <m/>
    <s v="Q1"/>
    <e v="#REF!"/>
    <e v="#REF!"/>
    <e v="#REF!"/>
  </r>
  <r>
    <s v="441710"/>
    <x v="6"/>
    <s v="SUBVENTIONS A RECEVOIR SUR DOSSIERS RECHERCHE"/>
    <s v="JC"/>
    <n v="-194444"/>
    <d v="2025-02-28T00:00:00"/>
    <s v="Produits à recevoir -M36 - Color4Craft"/>
    <m/>
    <e v="#N/A"/>
    <e v="#N/A"/>
    <n v="72933"/>
    <m/>
    <m/>
    <s v="Q1"/>
    <e v="#REF!"/>
    <e v="#REF!"/>
    <e v="#REF!"/>
  </r>
  <r>
    <s v="441710"/>
    <x v="6"/>
    <s v="SUBVENTIONS A RECEVOIR SUR DOSSIERS RECHERCHE"/>
    <s v="JC"/>
    <n v="-188333"/>
    <d v="2025-06-30T00:00:00"/>
    <s v="EXTOURNE PAR - M-1"/>
    <m/>
    <e v="#N/A"/>
    <e v="#N/A"/>
    <n v="73043"/>
    <s v="Extourne PAR - M-1"/>
    <m/>
    <s v="Q2"/>
    <e v="#REF!"/>
    <e v="#REF!"/>
    <e v="#REF!"/>
  </r>
  <r>
    <s v="441710"/>
    <x v="6"/>
    <s v="SUBVENTIONS A RECEVOIR SUR DOSSIERS RECHERCHE"/>
    <s v="JC"/>
    <n v="-184722"/>
    <d v="2025-01-31T00:00:00"/>
    <s v="Produits à recevoir -M36 - Color4Craft"/>
    <m/>
    <e v="#N/A"/>
    <e v="#N/A"/>
    <n v="72930"/>
    <m/>
    <m/>
    <s v="Q1"/>
    <e v="#REF!"/>
    <e v="#REF!"/>
    <e v="#REF!"/>
  </r>
  <r>
    <s v="441710"/>
    <x v="6"/>
    <s v="SUBVENTIONS A RECEVOIR SUR DOSSIERS RECHERCHE"/>
    <s v="JC"/>
    <n v="-173441.98"/>
    <d v="2025-09-01T00:00:00"/>
    <s v="EXTOURNE PAR - M36"/>
    <m/>
    <e v="#N/A"/>
    <e v="#N/A"/>
    <n v="73997"/>
    <s v="Extourne PAR - M36"/>
    <m/>
    <s v="Q3"/>
    <e v="#REF!"/>
    <e v="#REF!"/>
    <e v="#REF!"/>
  </r>
  <r>
    <s v="441710"/>
    <x v="6"/>
    <s v="SUBVENTIONS A RECEVOIR SUR DOSSIERS RECHERCHE"/>
    <s v="JC"/>
    <n v="-162949"/>
    <d v="2025-05-31T00:00:00"/>
    <s v="EXTOURNE PAR - M-1"/>
    <m/>
    <e v="#N/A"/>
    <e v="#N/A"/>
    <n v="73039"/>
    <s v="Extourne PAR - M-1"/>
    <m/>
    <s v="Q2"/>
    <e v="#REF!"/>
    <e v="#REF!"/>
    <e v="#REF!"/>
  </r>
  <r>
    <s v="441710"/>
    <x v="6"/>
    <s v="SUBVENTIONS A RECEVOIR SUR DOSSIERS RECHERCHE"/>
    <s v="JC"/>
    <n v="-138383"/>
    <d v="2025-04-30T00:00:00"/>
    <s v="EXTOURNE PAR - M-1"/>
    <m/>
    <e v="#N/A"/>
    <e v="#N/A"/>
    <n v="73035"/>
    <s v="Extourne PAR - M-1"/>
    <m/>
    <s v="Q2"/>
    <e v="#REF!"/>
    <e v="#REF!"/>
    <e v="#REF!"/>
  </r>
  <r>
    <s v="441710"/>
    <x v="6"/>
    <s v="SUBVENTIONS A RECEVOIR SUR DOSSIERS RECHERCHE"/>
    <s v="JC"/>
    <n v="-130081.48"/>
    <d v="2025-08-01T00:00:00"/>
    <s v="EXTOURNE PAR - M36"/>
    <m/>
    <e v="#N/A"/>
    <e v="#N/A"/>
    <n v="73991"/>
    <s v="Extourne PAR - M36"/>
    <m/>
    <s v="Q3"/>
    <e v="#REF!"/>
    <e v="#REF!"/>
    <e v="#REF!"/>
  </r>
  <r>
    <s v="441710"/>
    <x v="6"/>
    <s v="SUBVENTIONS A RECEVOIR SUR DOSSIERS RECHERCHE"/>
    <s v="JC"/>
    <n v="-112999"/>
    <d v="2025-03-31T00:00:00"/>
    <s v="EXTOURNE PAR - M-1"/>
    <m/>
    <e v="#N/A"/>
    <e v="#N/A"/>
    <n v="73031"/>
    <s v="Extourne PAR - M-1"/>
    <m/>
    <s v="Q1"/>
    <e v="#REF!"/>
    <e v="#REF!"/>
    <e v="#REF!"/>
  </r>
  <r>
    <s v="441710"/>
    <x v="6"/>
    <s v="SUBVENTIONS A RECEVOIR SUR DOSSIERS RECHERCHE"/>
    <s v="JC"/>
    <n v="-90072"/>
    <d v="2025-02-28T00:00:00"/>
    <s v="EXTOURNE PAR - M-1"/>
    <m/>
    <e v="#N/A"/>
    <e v="#N/A"/>
    <n v="73027"/>
    <s v="Extourne PAR - M-1"/>
    <m/>
    <s v="Q1"/>
    <e v="#REF!"/>
    <e v="#REF!"/>
    <e v="#REF!"/>
  </r>
  <r>
    <s v="441710"/>
    <x v="6"/>
    <s v="SUBVENTIONS A RECEVOIR SUR DOSSIERS RECHERCHE"/>
    <s v="JC"/>
    <n v="-86720.98"/>
    <d v="2025-07-01T00:00:00"/>
    <s v="EXTOURNE PAR - M36"/>
    <m/>
    <e v="#N/A"/>
    <e v="#N/A"/>
    <n v="73985"/>
    <s v="Extourne PAR - M36"/>
    <m/>
    <s v="Q3"/>
    <e v="#REF!"/>
    <e v="#REF!"/>
    <e v="#REF!"/>
  </r>
  <r>
    <s v="441710"/>
    <x v="6"/>
    <s v="SUBVENTIONS A RECEVOIR SUR DOSSIERS RECHERCHE"/>
    <s v="JC"/>
    <n v="-64688.3"/>
    <d v="2025-01-31T00:00:00"/>
    <s v="EXTOURNE PAR - M-1"/>
    <m/>
    <e v="#N/A"/>
    <e v="#N/A"/>
    <n v="72979"/>
    <s v="Extourne PAR - M-1"/>
    <m/>
    <s v="Q1"/>
    <e v="#REF!"/>
    <e v="#REF!"/>
    <e v="#REF!"/>
  </r>
  <r>
    <s v="441710"/>
    <x v="6"/>
    <s v="SUBVENTIONS A RECEVOIR SUR DOSSIERS RECHERCHE"/>
    <s v="JC"/>
    <n v="-51900"/>
    <d v="2025-12-31T00:00:00"/>
    <s v="EXTOURNE - PRODUITS À RECEVOIR SUR M36 - WOODVALOR"/>
    <m/>
    <e v="#N/A"/>
    <e v="#N/A"/>
    <n v="76266"/>
    <s v="Extourne - Produits à recevoir sur M36 - WoodValor"/>
    <m/>
    <s v="Q4"/>
    <e v="#REF!"/>
    <e v="#REF!"/>
    <e v="#REF!"/>
  </r>
  <r>
    <s v="441710"/>
    <x v="6"/>
    <s v="SUBVENTIONS A RECEVOIR SUR DOSSIERS RECHERCHE"/>
    <s v="JC"/>
    <n v="-43360.5"/>
    <d v="2025-06-01T00:00:00"/>
    <s v="EXTOURNE PAR - M36"/>
    <m/>
    <e v="#N/A"/>
    <e v="#N/A"/>
    <n v="73979"/>
    <s v="Extourne PAR - M36"/>
    <m/>
    <s v="Q2"/>
    <e v="#REF!"/>
    <e v="#REF!"/>
    <e v="#REF!"/>
  </r>
  <r>
    <s v="441710"/>
    <x v="6"/>
    <s v="SUBVENTIONS A RECEVOIR SUR DOSSIERS RECHERCHE"/>
    <s v="JC"/>
    <n v="-43250"/>
    <d v="2025-11-30T00:00:00"/>
    <s v="EXTOURNE - PRODUITS À RECEVOIR SUR M36 - WOODVALOR"/>
    <m/>
    <e v="#N/A"/>
    <e v="#N/A"/>
    <n v="76262"/>
    <s v="Extourne - Produits à recevoir sur M36 - WoodValor"/>
    <m/>
    <s v="Q4"/>
    <e v="#REF!"/>
    <e v="#REF!"/>
    <e v="#REF!"/>
  </r>
  <r>
    <s v="441710"/>
    <x v="6"/>
    <s v="SUBVENTIONS A RECEVOIR SUR DOSSIERS RECHERCHE"/>
    <s v="JC"/>
    <n v="-34600"/>
    <d v="2025-10-31T00:00:00"/>
    <s v="EXTOURNE - PRODUITS À RECEVOIR SUR M36 - WOODVALOR"/>
    <m/>
    <e v="#N/A"/>
    <e v="#N/A"/>
    <n v="76258"/>
    <s v="Extourne - Produits à recevoir sur M36 - WoodValor"/>
    <m/>
    <s v="Q4"/>
    <e v="#REF!"/>
    <e v="#REF!"/>
    <e v="#REF!"/>
  </r>
  <r>
    <s v="441710"/>
    <x v="6"/>
    <s v="SUBVENTIONS A RECEVOIR SUR DOSSIERS RECHERCHE"/>
    <s v="JC"/>
    <n v="-25950"/>
    <d v="2025-09-30T00:00:00"/>
    <s v="EXTOURNE - PRODUITS À RECEVOIR SUR M36 - WOODVALOR"/>
    <m/>
    <e v="#N/A"/>
    <e v="#N/A"/>
    <n v="76254"/>
    <s v="Extourne - Produits à recevoir sur M36 - WoodValor"/>
    <m/>
    <s v="Q3"/>
    <e v="#REF!"/>
    <e v="#REF!"/>
    <e v="#REF!"/>
  </r>
  <r>
    <s v="441710"/>
    <x v="6"/>
    <s v="SUBVENTIONS A RECEVOIR SUR DOSSIERS RECHERCHE"/>
    <s v="JC"/>
    <n v="-17300"/>
    <d v="2025-08-31T00:00:00"/>
    <s v="EXTOURNE - PRODUITS À RECEVOIR SUR M36 - WOODVALOR"/>
    <m/>
    <e v="#N/A"/>
    <e v="#N/A"/>
    <n v="76250"/>
    <s v="Extourne - Produits à recevoir sur M36 - WoodValor"/>
    <m/>
    <s v="Q3"/>
    <e v="#REF!"/>
    <e v="#REF!"/>
    <e v="#REF!"/>
  </r>
  <r>
    <s v="441710"/>
    <x v="6"/>
    <s v="SUBVENTIONS A RECEVOIR SUR DOSSIERS RECHERCHE"/>
    <s v="JC"/>
    <n v="-8650"/>
    <d v="2025-07-31T00:00:00"/>
    <s v="EXTOURNE - PRODUITS À RECEVOIR SUR M36 - WOODVALOR"/>
    <m/>
    <e v="#N/A"/>
    <e v="#N/A"/>
    <n v="76246"/>
    <s v="Extourne - Produits à recevoir sur M36 - WoodValor"/>
    <m/>
    <s v="Q3"/>
    <e v="#REF!"/>
    <e v="#REF!"/>
    <e v="#REF!"/>
  </r>
  <r>
    <s v="441710"/>
    <x v="6"/>
    <s v="SUBVENTIONS A RECEVOIR SUR DOSSIERS RECHERCHE"/>
    <s v="JC"/>
    <n v="8650"/>
    <d v="2025-06-30T00:00:00"/>
    <s v="PRODUITS À RECEVOIR SUR M36 - WOODVALOR"/>
    <m/>
    <e v="#N/A"/>
    <e v="#N/A"/>
    <n v="76242"/>
    <s v="Produits à recevoir sur M36 - WoodValor"/>
    <m/>
    <s v="Q2"/>
    <e v="#REF!"/>
    <e v="#REF!"/>
    <e v="#REF!"/>
  </r>
  <r>
    <s v="441710"/>
    <x v="6"/>
    <s v="SUBVENTIONS A RECEVOIR SUR DOSSIERS RECHERCHE"/>
    <s v="JC"/>
    <n v="17300"/>
    <d v="2025-07-31T00:00:00"/>
    <s v="PRODUITS À RECEVOIR SUR M36 - WOODVALOR"/>
    <m/>
    <e v="#N/A"/>
    <e v="#N/A"/>
    <n v="76244"/>
    <s v="Produits à recevoir sur M36 - WoodValor"/>
    <m/>
    <s v="Q3"/>
    <e v="#REF!"/>
    <e v="#REF!"/>
    <e v="#REF!"/>
  </r>
  <r>
    <s v="441710"/>
    <x v="6"/>
    <s v="SUBVENTIONS A RECEVOIR SUR DOSSIERS RECHERCHE"/>
    <s v="JC"/>
    <n v="25950"/>
    <d v="2025-08-31T00:00:00"/>
    <s v="PRODUITS À RECEVOIR SUR M36 - WOODVALOR"/>
    <m/>
    <e v="#N/A"/>
    <e v="#N/A"/>
    <n v="76248"/>
    <s v="Produits à recevoir sur M36 - WoodValor"/>
    <m/>
    <s v="Q3"/>
    <e v="#REF!"/>
    <e v="#REF!"/>
    <e v="#REF!"/>
  </r>
  <r>
    <s v="441710"/>
    <x v="6"/>
    <s v="SUBVENTIONS A RECEVOIR SUR DOSSIERS RECHERCHE"/>
    <s v="JC"/>
    <n v="34600"/>
    <d v="2025-09-30T00:00:00"/>
    <s v="PRODUITS À RECEVOIR SUR M36 - WOODVALOR"/>
    <m/>
    <e v="#N/A"/>
    <e v="#N/A"/>
    <n v="76252"/>
    <s v="Produits à recevoir sur M36 - WoodValor"/>
    <m/>
    <s v="Q3"/>
    <e v="#REF!"/>
    <e v="#REF!"/>
    <e v="#REF!"/>
  </r>
  <r>
    <s v="441710"/>
    <x v="6"/>
    <s v="SUBVENTIONS A RECEVOIR SUR DOSSIERS RECHERCHE"/>
    <s v="JC"/>
    <n v="43250"/>
    <d v="2025-10-31T00:00:00"/>
    <s v="PRODUITS À RECEVOIR SUR M36 - WOODVALOR"/>
    <m/>
    <e v="#N/A"/>
    <e v="#N/A"/>
    <n v="76256"/>
    <s v="Produits à recevoir sur M36 - WoodValor"/>
    <m/>
    <s v="Q4"/>
    <e v="#REF!"/>
    <e v="#REF!"/>
    <e v="#REF!"/>
  </r>
  <r>
    <s v="441710"/>
    <x v="6"/>
    <s v="SUBVENTIONS A RECEVOIR SUR DOSSIERS RECHERCHE"/>
    <s v="JC"/>
    <n v="43360.5"/>
    <d v="2025-05-31T00:00:00"/>
    <s v="PRODUITS À RECEVOIR SUR M36 - ADEME"/>
    <m/>
    <e v="#N/A"/>
    <e v="#N/A"/>
    <n v="73973"/>
    <s v="Produits à recevoir sur M36 - Ademe"/>
    <m/>
    <s v="Q2"/>
    <e v="#REF!"/>
    <e v="#REF!"/>
    <e v="#REF!"/>
  </r>
  <r>
    <s v="441710"/>
    <x v="6"/>
    <s v="SUBVENTIONS A RECEVOIR SUR DOSSIERS RECHERCHE"/>
    <s v="JC"/>
    <n v="51900"/>
    <d v="2025-11-30T00:00:00"/>
    <s v="PRODUITS À RECEVOIR SUR M36 - WOODVALOR"/>
    <m/>
    <e v="#N/A"/>
    <e v="#N/A"/>
    <n v="76260"/>
    <s v="Produits à recevoir sur M36 - WoodValor"/>
    <m/>
    <s v="Q4"/>
    <e v="#REF!"/>
    <e v="#REF!"/>
    <e v="#REF!"/>
  </r>
  <r>
    <s v="441710"/>
    <x v="6"/>
    <s v="SUBVENTIONS A RECEVOIR SUR DOSSIERS RECHERCHE"/>
    <s v="JC"/>
    <n v="62085"/>
    <d v="2025-09-01T00:00:00"/>
    <s v="FINANCIAL REPORT SUBMISSION - W2BC - LAST PAYMENT EXPECTED"/>
    <m/>
    <e v="#N/A"/>
    <e v="#N/A"/>
    <n v="87367"/>
    <m/>
    <m/>
    <s v="Q3"/>
    <e v="#REF!"/>
    <e v="#REF!"/>
    <e v="#REF!"/>
  </r>
  <r>
    <s v="441710"/>
    <x v="6"/>
    <s v="SUBVENTIONS A RECEVOIR SUR DOSSIERS RECHERCHE"/>
    <s v="JC"/>
    <n v="86720.98"/>
    <d v="2025-06-30T00:00:00"/>
    <s v="PRODUITS À RECEVOIR SUR M36 - ADEME"/>
    <m/>
    <e v="#N/A"/>
    <e v="#N/A"/>
    <n v="73976"/>
    <s v="Produits à recevoir sur M36 - Ademe"/>
    <m/>
    <s v="Q2"/>
    <e v="#REF!"/>
    <e v="#REF!"/>
    <e v="#REF!"/>
  </r>
  <r>
    <s v="441710"/>
    <x v="6"/>
    <s v="SUBVENTIONS A RECEVOIR SUR DOSSIERS RECHERCHE"/>
    <s v="JC"/>
    <n v="90072"/>
    <d v="2025-01-31T00:00:00"/>
    <s v="PRODUITS À RECEVOIR SUR M36 - BPI INOV BIOPIGMENT"/>
    <m/>
    <e v="#N/A"/>
    <e v="#N/A"/>
    <n v="72977"/>
    <s v="Produits à recevoir sur M36 - BPI Inov Biopigment"/>
    <m/>
    <s v="Q1"/>
    <e v="#REF!"/>
    <e v="#REF!"/>
    <e v="#REF!"/>
  </r>
  <r>
    <s v="441710"/>
    <x v="6"/>
    <s v="SUBVENTIONS A RECEVOIR SUR DOSSIERS RECHERCHE"/>
    <s v="JC"/>
    <n v="112999"/>
    <d v="2025-02-28T00:00:00"/>
    <s v="PRODUITS À RECEVOIR SUR M36 - BPI INOV BIOPIGMENT"/>
    <m/>
    <e v="#N/A"/>
    <e v="#N/A"/>
    <n v="73025"/>
    <s v="Produits à recevoir sur M36 - BPI Inov Biopigment"/>
    <m/>
    <s v="Q1"/>
    <e v="#REF!"/>
    <e v="#REF!"/>
    <e v="#REF!"/>
  </r>
  <r>
    <s v="441710"/>
    <x v="6"/>
    <s v="SUBVENTIONS A RECEVOIR SUR DOSSIERS RECHERCHE"/>
    <s v="JC"/>
    <n v="130081.48"/>
    <d v="2025-07-31T00:00:00"/>
    <s v="PRODUITS À RECEVOIR SUR M36 - ADEME"/>
    <m/>
    <e v="#N/A"/>
    <e v="#N/A"/>
    <n v="73982"/>
    <s v="Produits à recevoir sur M36 - Ademe"/>
    <m/>
    <s v="Q3"/>
    <e v="#REF!"/>
    <e v="#REF!"/>
    <e v="#REF!"/>
  </r>
  <r>
    <s v="441710"/>
    <x v="6"/>
    <s v="SUBVENTIONS A RECEVOIR SUR DOSSIERS RECHERCHE"/>
    <s v="JC"/>
    <n v="138383"/>
    <d v="2025-03-31T00:00:00"/>
    <s v="PRODUITS À RECEVOIR SUR M36 - BPI INOV BIOPIGMENT"/>
    <m/>
    <e v="#N/A"/>
    <e v="#N/A"/>
    <n v="73029"/>
    <s v="Produits à recevoir sur M36 - BPI Inov Biopigment"/>
    <m/>
    <s v="Q1"/>
    <e v="#REF!"/>
    <e v="#REF!"/>
    <e v="#REF!"/>
  </r>
  <r>
    <s v="441710"/>
    <x v="6"/>
    <s v="SUBVENTIONS A RECEVOIR SUR DOSSIERS RECHERCHE"/>
    <s v="JC"/>
    <n v="162949"/>
    <d v="2025-04-30T00:00:00"/>
    <s v="PRODUITS À RECEVOIR SUR M36 - BPI INOV BIOPIGMENT"/>
    <m/>
    <e v="#N/A"/>
    <e v="#N/A"/>
    <n v="73033"/>
    <s v="Produits à recevoir sur M36 - BPI Inov Biopigment"/>
    <m/>
    <s v="Q2"/>
    <e v="#REF!"/>
    <e v="#REF!"/>
    <e v="#REF!"/>
  </r>
  <r>
    <s v="441710"/>
    <x v="6"/>
    <s v="SUBVENTIONS A RECEVOIR SUR DOSSIERS RECHERCHE"/>
    <s v="JC"/>
    <n v="173441.98"/>
    <d v="2025-08-31T00:00:00"/>
    <s v="PRODUITS À RECEVOIR SUR M36 - ADEME"/>
    <m/>
    <e v="#N/A"/>
    <e v="#N/A"/>
    <n v="73988"/>
    <s v="Produits à recevoir sur M36 - Ademe"/>
    <m/>
    <s v="Q3"/>
    <e v="#REF!"/>
    <e v="#REF!"/>
    <e v="#REF!"/>
  </r>
  <r>
    <s v="441710"/>
    <x v="6"/>
    <s v="SUBVENTIONS A RECEVOIR SUR DOSSIERS RECHERCHE"/>
    <s v="JC"/>
    <n v="188333"/>
    <d v="2025-05-31T00:00:00"/>
    <s v="PRODUITS À RECEVOIR SUR M36 - BPI INOV BIOPIGMENT"/>
    <m/>
    <e v="#N/A"/>
    <e v="#N/A"/>
    <n v="73037"/>
    <s v="Produits à recevoir sur M36 - BPI Inov Biopigment"/>
    <m/>
    <s v="Q2"/>
    <e v="#REF!"/>
    <e v="#REF!"/>
    <e v="#REF!"/>
  </r>
  <r>
    <s v="441710"/>
    <x v="6"/>
    <s v="SUBVENTIONS A RECEVOIR SUR DOSSIERS RECHERCHE"/>
    <s v="JC"/>
    <n v="194444"/>
    <d v="2025-01-31T00:00:00"/>
    <s v="Produits à recevoir -M36 - Color4Craft"/>
    <m/>
    <e v="#N/A"/>
    <e v="#N/A"/>
    <n v="72925"/>
    <m/>
    <m/>
    <s v="Q1"/>
    <e v="#REF!"/>
    <e v="#REF!"/>
    <e v="#REF!"/>
  </r>
  <r>
    <s v="441710"/>
    <x v="6"/>
    <s v="SUBVENTIONS A RECEVOIR SUR DOSSIERS RECHERCHE"/>
    <s v="JC"/>
    <n v="204167"/>
    <d v="2025-02-28T00:00:00"/>
    <s v="Produits à recevoir -M36 - Color4Craft"/>
    <m/>
    <e v="#N/A"/>
    <e v="#N/A"/>
    <n v="72927"/>
    <m/>
    <m/>
    <s v="Q1"/>
    <e v="#REF!"/>
    <e v="#REF!"/>
    <e v="#REF!"/>
  </r>
  <r>
    <s v="441710"/>
    <x v="6"/>
    <s v="SUBVENTIONS A RECEVOIR SUR DOSSIERS RECHERCHE"/>
    <s v="JC"/>
    <n v="212898"/>
    <d v="2025-06-30T00:00:00"/>
    <s v="PRODUITS À RECEVOIR SUR M36 - BPI INOV BIOPIGMENT"/>
    <m/>
    <e v="#N/A"/>
    <e v="#N/A"/>
    <n v="73041"/>
    <s v="Produits à recevoir sur M36 - BPI Inov Biopigment"/>
    <m/>
    <s v="Q2"/>
    <e v="#REF!"/>
    <e v="#REF!"/>
    <e v="#REF!"/>
  </r>
  <r>
    <s v="441710"/>
    <x v="6"/>
    <s v="SUBVENTIONS A RECEVOIR SUR DOSSIERS RECHERCHE"/>
    <s v="JC"/>
    <n v="213889"/>
    <d v="2025-03-31T00:00:00"/>
    <s v="Produits à recevoir -M36 - Color4Craft"/>
    <m/>
    <e v="#N/A"/>
    <e v="#N/A"/>
    <n v="72934"/>
    <m/>
    <m/>
    <s v="Q1"/>
    <e v="#REF!"/>
    <e v="#REF!"/>
    <e v="#REF!"/>
  </r>
  <r>
    <s v="441710"/>
    <x v="6"/>
    <s v="SUBVENTIONS A RECEVOIR SUR DOSSIERS RECHERCHE"/>
    <s v="JC"/>
    <n v="216802.46"/>
    <d v="2025-09-30T00:00:00"/>
    <s v="PRODUITS À RECEVOIR SUR M36 - ADEME"/>
    <m/>
    <e v="#N/A"/>
    <e v="#N/A"/>
    <n v="73994"/>
    <s v="Produits à recevoir sur M36 - Ademe"/>
    <m/>
    <s v="Q3"/>
    <e v="#REF!"/>
    <e v="#REF!"/>
    <e v="#REF!"/>
  </r>
  <r>
    <s v="441710"/>
    <x v="6"/>
    <s v="SUBVENTIONS A RECEVOIR SUR DOSSIERS RECHERCHE"/>
    <s v="JC"/>
    <n v="223611"/>
    <d v="2025-04-30T00:00:00"/>
    <s v="Produits à recevoir -M36 - Color4Craft"/>
    <m/>
    <e v="#N/A"/>
    <e v="#N/A"/>
    <n v="72938"/>
    <m/>
    <m/>
    <s v="Q2"/>
    <e v="#REF!"/>
    <e v="#REF!"/>
    <e v="#REF!"/>
  </r>
  <r>
    <s v="441710"/>
    <x v="6"/>
    <s v="SUBVENTIONS A RECEVOIR SUR DOSSIERS RECHERCHE"/>
    <s v="JC"/>
    <n v="233333"/>
    <d v="2025-05-31T00:00:00"/>
    <s v="Produits à recevoir -M36 - Color4Craft"/>
    <m/>
    <e v="#N/A"/>
    <e v="#N/A"/>
    <n v="72942"/>
    <m/>
    <m/>
    <s v="Q2"/>
    <e v="#REF!"/>
    <e v="#REF!"/>
    <e v="#REF!"/>
  </r>
  <r>
    <s v="441710"/>
    <x v="6"/>
    <s v="SUBVENTIONS A RECEVOIR SUR DOSSIERS RECHERCHE"/>
    <s v="JC"/>
    <n v="238282"/>
    <d v="2025-07-31T00:00:00"/>
    <s v="PRODUITS À RECEVOIR SUR M36 - BPI INOV BIOPIGMENT"/>
    <m/>
    <e v="#N/A"/>
    <e v="#N/A"/>
    <n v="73045"/>
    <s v="Produits à recevoir sur M36 - BPI Inov Biopigment"/>
    <m/>
    <s v="Q3"/>
    <e v="#REF!"/>
    <e v="#REF!"/>
    <e v="#REF!"/>
  </r>
  <r>
    <s v="441710"/>
    <x v="6"/>
    <s v="SUBVENTIONS A RECEVOIR SUR DOSSIERS RECHERCHE"/>
    <s v="JC"/>
    <n v="243056"/>
    <d v="2025-06-30T00:00:00"/>
    <s v="Produits à recevoir -M36 - Color4Craft"/>
    <m/>
    <e v="#N/A"/>
    <e v="#N/A"/>
    <n v="72946"/>
    <m/>
    <m/>
    <s v="Q2"/>
    <e v="#REF!"/>
    <e v="#REF!"/>
    <e v="#REF!"/>
  </r>
  <r>
    <s v="441710"/>
    <x v="6"/>
    <s v="SUBVENTIONS A RECEVOIR SUR DOSSIERS RECHERCHE"/>
    <s v="JC"/>
    <n v="252778"/>
    <d v="2025-07-31T00:00:00"/>
    <s v="Produits à recevoir -M36 - Color4Craft"/>
    <m/>
    <e v="#N/A"/>
    <e v="#N/A"/>
    <n v="72950"/>
    <m/>
    <m/>
    <s v="Q3"/>
    <e v="#REF!"/>
    <e v="#REF!"/>
    <e v="#REF!"/>
  </r>
  <r>
    <s v="441710"/>
    <x v="6"/>
    <s v="SUBVENTIONS A RECEVOIR SUR DOSSIERS RECHERCHE"/>
    <s v="JC"/>
    <n v="260162.96"/>
    <d v="2025-10-31T00:00:00"/>
    <s v="PRODUITS À RECEVOIR SUR M36 - ADEME"/>
    <m/>
    <e v="#N/A"/>
    <e v="#N/A"/>
    <n v="74000"/>
    <s v="Produits à recevoir sur M36 - Ademe"/>
    <m/>
    <s v="Q4"/>
    <e v="#REF!"/>
    <e v="#REF!"/>
    <e v="#REF!"/>
  </r>
  <r>
    <s v="441710"/>
    <x v="6"/>
    <s v="SUBVENTIONS A RECEVOIR SUR DOSSIERS RECHERCHE"/>
    <s v="JC"/>
    <n v="262500"/>
    <d v="2025-08-31T00:00:00"/>
    <s v="Produits à recevoir -M36 - Color4Craft"/>
    <m/>
    <e v="#N/A"/>
    <e v="#N/A"/>
    <n v="72954"/>
    <m/>
    <m/>
    <s v="Q3"/>
    <e v="#REF!"/>
    <e v="#REF!"/>
    <e v="#REF!"/>
  </r>
  <r>
    <s v="441710"/>
    <x v="6"/>
    <s v="SUBVENTIONS A RECEVOIR SUR DOSSIERS RECHERCHE"/>
    <s v="JC"/>
    <n v="263666"/>
    <d v="2025-08-31T00:00:00"/>
    <s v="PRODUITS À RECEVOIR SUR M36 - BPI INOV BIOPIGMENT"/>
    <m/>
    <e v="#N/A"/>
    <e v="#N/A"/>
    <n v="73049"/>
    <s v="Produits à recevoir sur M36 - BPI Inov Biopigment"/>
    <m/>
    <s v="Q3"/>
    <e v="#REF!"/>
    <e v="#REF!"/>
    <e v="#REF!"/>
  </r>
  <r>
    <s v="441710"/>
    <x v="6"/>
    <s v="SUBVENTIONS A RECEVOIR SUR DOSSIERS RECHERCHE"/>
    <s v="JC"/>
    <n v="272222"/>
    <d v="2025-09-30T00:00:00"/>
    <s v="Produits à recevoir -M36 - Color4Craft"/>
    <m/>
    <e v="#N/A"/>
    <e v="#N/A"/>
    <n v="72958"/>
    <m/>
    <m/>
    <s v="Q3"/>
    <e v="#REF!"/>
    <e v="#REF!"/>
    <e v="#REF!"/>
  </r>
  <r>
    <s v="441710"/>
    <x v="6"/>
    <s v="SUBVENTIONS A RECEVOIR SUR DOSSIERS RECHERCHE"/>
    <s v="JC"/>
    <n v="281944"/>
    <d v="2025-10-31T00:00:00"/>
    <s v="Produits à recevoir -M36 - Color4Craft"/>
    <m/>
    <e v="#N/A"/>
    <e v="#N/A"/>
    <n v="72962"/>
    <m/>
    <m/>
    <s v="Q4"/>
    <e v="#REF!"/>
    <e v="#REF!"/>
    <e v="#REF!"/>
  </r>
  <r>
    <s v="441710"/>
    <x v="6"/>
    <s v="SUBVENTIONS A RECEVOIR SUR DOSSIERS RECHERCHE"/>
    <s v="JC"/>
    <n v="288231"/>
    <d v="2025-09-30T00:00:00"/>
    <s v="PRODUITS À RECEVOIR SUR M36 - BPI INOV BIOPIGMENT"/>
    <m/>
    <e v="#N/A"/>
    <e v="#N/A"/>
    <n v="73053"/>
    <s v="Produits à recevoir sur M36 - BPI Inov Biopigment"/>
    <m/>
    <s v="Q3"/>
    <e v="#REF!"/>
    <e v="#REF!"/>
    <e v="#REF!"/>
  </r>
  <r>
    <s v="441710"/>
    <x v="6"/>
    <s v="SUBVENTIONS A RECEVOIR SUR DOSSIERS RECHERCHE"/>
    <s v="JC"/>
    <n v="291667"/>
    <d v="2025-11-30T00:00:00"/>
    <s v="Produits à recevoir -M36 - Color4Craft"/>
    <m/>
    <e v="#N/A"/>
    <e v="#N/A"/>
    <n v="72966"/>
    <m/>
    <m/>
    <s v="Q4"/>
    <e v="#REF!"/>
    <e v="#REF!"/>
    <e v="#REF!"/>
  </r>
  <r>
    <s v="441710"/>
    <x v="6"/>
    <s v="SUBVENTIONS A RECEVOIR SUR DOSSIERS RECHERCHE"/>
    <s v="JC"/>
    <n v="301389"/>
    <d v="2025-12-31T00:00:00"/>
    <s v="Produits à recevoir -M36 - Color4Craft"/>
    <m/>
    <e v="#N/A"/>
    <e v="#N/A"/>
    <n v="72970"/>
    <m/>
    <m/>
    <s v="Q4"/>
    <e v="#REF!"/>
    <e v="#REF!"/>
    <e v="#REF!"/>
  </r>
  <r>
    <s v="441710"/>
    <x v="6"/>
    <s v="SUBVENTIONS A RECEVOIR SUR DOSSIERS RECHERCHE"/>
    <s v="JC"/>
    <n v="303523.46000000002"/>
    <d v="2025-11-30T00:00:00"/>
    <s v="PRODUITS À RECEVOIR SUR M36 - ADEME"/>
    <m/>
    <e v="#N/A"/>
    <e v="#N/A"/>
    <n v="74006"/>
    <s v="Produits à recevoir sur M36 - Ademe"/>
    <m/>
    <s v="Q4"/>
    <e v="#REF!"/>
    <e v="#REF!"/>
    <e v="#REF!"/>
  </r>
  <r>
    <s v="441710"/>
    <x v="6"/>
    <s v="SUBVENTIONS A RECEVOIR SUR DOSSIERS RECHERCHE"/>
    <s v="JC"/>
    <n v="313615"/>
    <d v="2025-10-31T00:00:00"/>
    <s v="PRODUITS À RECEVOIR SUR M36 - BPI INOV BIOPIGMENT"/>
    <m/>
    <e v="#N/A"/>
    <e v="#N/A"/>
    <n v="73057"/>
    <s v="Produits à recevoir sur M36 - BPI Inov Biopigment"/>
    <m/>
    <s v="Q4"/>
    <e v="#REF!"/>
    <e v="#REF!"/>
    <e v="#REF!"/>
  </r>
  <r>
    <s v="441710"/>
    <x v="6"/>
    <s v="SUBVENTIONS A RECEVOIR SUR DOSSIERS RECHERCHE"/>
    <s v="JC"/>
    <n v="338180"/>
    <d v="2025-11-30T00:00:00"/>
    <s v="PRODUITS À RECEVOIR SUR M36 - BPI INOV BIOPIGMENT"/>
    <m/>
    <e v="#N/A"/>
    <e v="#N/A"/>
    <n v="73061"/>
    <s v="Produits à recevoir sur M36 - BPI Inov Biopigment"/>
    <m/>
    <s v="Q4"/>
    <e v="#REF!"/>
    <e v="#REF!"/>
    <e v="#REF!"/>
  </r>
  <r>
    <s v="441710"/>
    <x v="6"/>
    <s v="SUBVENTIONS A RECEVOIR SUR DOSSIERS RECHERCHE"/>
    <s v="JC"/>
    <n v="346883.94"/>
    <d v="2025-12-31T00:00:00"/>
    <s v="PRODUITS À RECEVOIR SUR M36 - ADEME"/>
    <m/>
    <e v="#N/A"/>
    <e v="#N/A"/>
    <n v="74012"/>
    <s v="Produits à recevoir sur M36 - Ademe"/>
    <m/>
    <s v="Q4"/>
    <e v="#REF!"/>
    <e v="#REF!"/>
    <e v="#REF!"/>
  </r>
  <r>
    <s v="441710"/>
    <x v="6"/>
    <s v="SUBVENTIONS A RECEVOIR SUR DOSSIERS RECHERCHE"/>
    <s v="JC"/>
    <n v="363564"/>
    <d v="2025-12-31T00:00:00"/>
    <s v="PRODUITS À RECEVOIR SUR M36 - BPI INOV BIOPIGMENT"/>
    <m/>
    <e v="#N/A"/>
    <e v="#N/A"/>
    <n v="73065"/>
    <s v="Produits à recevoir sur M36 - BPI Inov Biopigment"/>
    <m/>
    <s v="Q4"/>
    <e v="#REF!"/>
    <e v="#REF!"/>
    <e v="#REF!"/>
  </r>
  <r>
    <s v="441710"/>
    <x v="6"/>
    <s v="SUBVENTIONS A RECEVOIR SUR DOSSIERS RECHERCHE"/>
    <s v="JC"/>
    <n v="367625"/>
    <d v="2025-09-01T00:00:00"/>
    <s v="FINANCIAL REPORT SUBMISSION - W2BC"/>
    <m/>
    <e v="#N/A"/>
    <e v="#N/A"/>
    <n v="87365"/>
    <m/>
    <m/>
    <s v="Q3"/>
    <e v="#REF!"/>
    <e v="#REF!"/>
    <e v="#REF!"/>
  </r>
  <r>
    <s v="441710"/>
    <x v="6"/>
    <s v="SUBVENTIONS A RECEVOIR SUR DOSSIERS RECHERCHE"/>
    <s v="JC"/>
    <n v="430908"/>
    <d v="2025-01-31T00:00:00"/>
    <s v="PRODUITS À RECEVOIR SUR M24 - ADEME"/>
    <m/>
    <e v="#N/A"/>
    <e v="#N/A"/>
    <n v="73949"/>
    <s v="Produits à recevoir sur M24 - Ademe"/>
    <m/>
    <s v="Q1"/>
    <e v="#REF!"/>
    <e v="#REF!"/>
    <e v="#REF!"/>
  </r>
  <r>
    <s v="441710"/>
    <x v="6"/>
    <s v="SUBVENTIONS A RECEVOIR SUR DOSSIERS RECHERCHE"/>
    <s v="JC"/>
    <n v="478788"/>
    <d v="2025-02-28T00:00:00"/>
    <s v="PRODUITS À RECEVOIR SUR M24 - ADEME"/>
    <m/>
    <e v="#N/A"/>
    <e v="#N/A"/>
    <n v="73955"/>
    <s v="Produits à recevoir sur M24 - Ademe"/>
    <m/>
    <s v="Q1"/>
    <e v="#REF!"/>
    <e v="#REF!"/>
    <e v="#REF!"/>
  </r>
  <r>
    <s v="441710"/>
    <x v="6"/>
    <s v="SUBVENTIONS A RECEVOIR SUR DOSSIERS RECHERCHE"/>
    <s v="JC"/>
    <n v="526666"/>
    <d v="2025-03-31T00:00:00"/>
    <s v="PRODUITS À RECEVOIR SUR M24 - ADEME"/>
    <m/>
    <e v="#N/A"/>
    <e v="#N/A"/>
    <n v="73961"/>
    <s v="Produits à recevoir sur M24 - Ademe"/>
    <m/>
    <s v="Q1"/>
    <e v="#REF!"/>
    <e v="#REF!"/>
    <e v="#REF!"/>
  </r>
  <r>
    <s v="441710"/>
    <x v="6"/>
    <s v="SUBVENTIONS A RECEVOIR SUR DOSSIERS RECHERCHE"/>
    <s v="JC"/>
    <n v="574544"/>
    <d v="2025-04-30T00:00:00"/>
    <s v="PRODUITS À RECEVOIR SUR M24 - ADEME"/>
    <m/>
    <e v="#N/A"/>
    <e v="#N/A"/>
    <n v="73967"/>
    <s v="Produits à recevoir sur M24 - Ademe"/>
    <m/>
    <s v="Q2"/>
    <e v="#REF!"/>
    <e v="#REF!"/>
    <e v="#REF!"/>
  </r>
  <r>
    <s v="441710"/>
    <x v="6"/>
    <s v="SUBVENTIONS A RECEVOIR SUR DOSSIERS RECHERCHE"/>
    <s v="OD"/>
    <n v="-1116514.57"/>
    <d v="2025-06-03T00:00:00"/>
    <s v="M12 Ademe - Subventions - Total"/>
    <m/>
    <e v="#N/A"/>
    <e v="#N/A"/>
    <n v="87338"/>
    <m/>
    <m/>
    <s v="Q2"/>
    <e v="#REF!"/>
    <e v="#REF!"/>
    <e v="#REF!"/>
  </r>
  <r>
    <s v="441710"/>
    <x v="6"/>
    <s v="SUBVENTIONS A RECEVOIR SUR DOSSIERS RECHERCHE"/>
    <s v="OD"/>
    <n v="304928.57"/>
    <d v="2025-06-03T00:00:00"/>
    <s v="M12 Ademe - Subventions - Part dépassant plafond FP"/>
    <m/>
    <e v="#N/A"/>
    <e v="#N/A"/>
    <n v="87340"/>
    <m/>
    <m/>
    <s v="Q2"/>
    <e v="#REF!"/>
    <e v="#REF!"/>
    <e v="#REF!"/>
  </r>
  <r>
    <s v="441710"/>
    <x v="6"/>
    <s v="SUBVENTIONS A RECEVOIR SUR DOSSIERS RECHERCHE"/>
    <s v="OD"/>
    <n v="811586"/>
    <d v="2025-06-03T00:00:00"/>
    <s v="M12 Ademe - Subventions - Part encaissée le 03/06/2025"/>
    <m/>
    <e v="#N/A"/>
    <e v="#N/A"/>
    <n v="87339"/>
    <m/>
    <m/>
    <s v="Q2"/>
    <e v="#REF!"/>
    <e v="#REF!"/>
    <e v="#REF!"/>
  </r>
  <r>
    <s v="401000"/>
    <x v="6"/>
    <s v="FOURNISSEURS"/>
    <s v="BPRI"/>
    <n v="19.7"/>
    <d v="2025-10-10T00:00:00"/>
    <s v="/SQTP/RCUR/LIB/PRLV SEPA DHL INTERNAT. EXP FRA/LIB/DHL INTERNAT. EXP FRANCE/LIB/NOTPROVIDED/LIB/FR5500100447041901"/>
    <m/>
    <e v="#N/A"/>
    <e v="#N/A"/>
    <n v="86920"/>
    <m/>
    <s v="DHL"/>
    <s v="Q4"/>
    <e v="#REF!"/>
    <e v="#REF!"/>
    <e v="#REF!"/>
  </r>
  <r>
    <s v="401000"/>
    <x v="6"/>
    <s v="FOURNISSEURS"/>
    <s v="BPRI"/>
    <n v="19.86"/>
    <d v="2025-12-12T00:00:00"/>
    <s v="/SQTP/RCUR/LIB/PRLV SEPA DHL INTERNAT. EXP FRA/LIB/DHL INTERNAT. EXP FRANCE/LIB/NOTPROVIDED/LIB/FR5500100447041901"/>
    <m/>
    <e v="#N/A"/>
    <e v="#N/A"/>
    <n v="92120"/>
    <m/>
    <s v="DHL"/>
    <s v="Q4"/>
    <e v="#REF!"/>
    <e v="#REF!"/>
    <e v="#REF!"/>
  </r>
  <r>
    <s v="441720"/>
    <x v="6"/>
    <s v="SUBVENTIONS A RECEVOIR - DIVERS"/>
    <s v="OD"/>
    <n v="416.66"/>
    <d v="2025-09-01T00:00:00"/>
    <s v="AIDE AUX ALTERNANCES - HAJAR AATILA EL HAMSI "/>
    <m/>
    <e v="#N/A"/>
    <e v="#N/A"/>
    <n v="94180"/>
    <m/>
    <m/>
    <s v="Q3"/>
    <e v="#REF!"/>
    <e v="#REF!"/>
    <e v="#REF!"/>
  </r>
  <r>
    <s v="441720"/>
    <x v="6"/>
    <s v="SUBVENTIONS A RECEVOIR - DIVERS"/>
    <s v="OD"/>
    <n v="416.66"/>
    <d v="2025-10-01T00:00:00"/>
    <s v="AIDE AUX ALTERNANCES - HAJAR AATILA EL HAMSI "/>
    <m/>
    <e v="#N/A"/>
    <e v="#N/A"/>
    <n v="94182"/>
    <m/>
    <m/>
    <s v="Q4"/>
    <e v="#REF!"/>
    <e v="#REF!"/>
    <e v="#REF!"/>
  </r>
  <r>
    <s v="441720"/>
    <x v="6"/>
    <s v="SUBVENTIONS A RECEVOIR - DIVERS"/>
    <s v="OD"/>
    <n v="416.66"/>
    <d v="2025-11-01T00:00:00"/>
    <s v="AIDE AUX ALTERNANCES - HAJAR AATILA EL HAMSI "/>
    <m/>
    <e v="#N/A"/>
    <e v="#N/A"/>
    <n v="94184"/>
    <m/>
    <m/>
    <s v="Q4"/>
    <e v="#REF!"/>
    <e v="#REF!"/>
    <e v="#REF!"/>
  </r>
  <r>
    <s v="441720"/>
    <x v="6"/>
    <s v="SUBVENTIONS A RECEVOIR - DIVERS"/>
    <s v="OD"/>
    <n v="416.66"/>
    <d v="2025-12-01T00:00:00"/>
    <s v="AIDE AUX ALTERNANCES - HAJAR AATILA EL HAMSI "/>
    <m/>
    <e v="#N/A"/>
    <e v="#N/A"/>
    <n v="94186"/>
    <m/>
    <m/>
    <s v="Q4"/>
    <e v="#REF!"/>
    <e v="#REF!"/>
    <e v="#REF!"/>
  </r>
  <r>
    <s v="442100"/>
    <x v="6"/>
    <s v="PRÉLÈVEMENTS À LA SOURCE (IR)"/>
    <s v="AN"/>
    <n v="-32124.21"/>
    <d v="2025-01-01T00:00:00"/>
    <s v="Report à nouveau Exercice 2025"/>
    <m/>
    <e v="#N/A"/>
    <e v="#N/A"/>
    <n v="84782"/>
    <m/>
    <m/>
    <s v="Q1"/>
    <e v="#REF!"/>
    <e v="#REF!"/>
    <e v="#REF!"/>
  </r>
  <r>
    <s v="442100"/>
    <x v="6"/>
    <s v="PRÉLÈVEMENTS À LA SOURCE (IR)"/>
    <s v="BPRI"/>
    <n v="2452"/>
    <d v="2025-02-25T00:00:00"/>
    <s v="PRLV INT ETS DGFIP"/>
    <m/>
    <e v="#N/A"/>
    <e v="#N/A"/>
    <n v="21413"/>
    <s v="07ES3RP"/>
    <m/>
    <s v="Q1"/>
    <e v="#REF!"/>
    <e v="#REF!"/>
    <e v="#REF!"/>
  </r>
  <r>
    <s v="401000"/>
    <x v="6"/>
    <s v="FOURNISSEURS"/>
    <s v="BPRI"/>
    <n v="20.81"/>
    <d v="2025-10-24T00:00:00"/>
    <s v="/SQTP/RCUR/LIB/PRLV SEPA DHL INTERNAT. EXP FRA/LIB/DHL INTERNAT. EXP FRANCE/LIB/NOTPROVIDED/LIB/FR5500100447041901"/>
    <m/>
    <e v="#N/A"/>
    <e v="#N/A"/>
    <n v="87384"/>
    <m/>
    <s v="DHL"/>
    <s v="Q4"/>
    <e v="#REF!"/>
    <e v="#REF!"/>
    <e v="#REF!"/>
  </r>
  <r>
    <s v="401000"/>
    <x v="6"/>
    <s v="FOURNISSEURS"/>
    <s v="BPRI"/>
    <n v="58.72"/>
    <d v="2025-07-31T00:00:00"/>
    <s v="/SQTP/RCUR/LIB/PRLV SEPA DHL INTERNAT. EXP FRA/LIB/DHL INTERNAT. EXP FRANCE/LIB/NOTPROVIDED/LIB/FR5500100447041901"/>
    <m/>
    <e v="#N/A"/>
    <e v="#N/A"/>
    <n v="79393"/>
    <m/>
    <s v="DHL"/>
    <s v="Q3"/>
    <e v="#REF!"/>
    <e v="#REF!"/>
    <e v="#REF!"/>
  </r>
  <r>
    <s v="442100"/>
    <x v="6"/>
    <s v="PRÉLÈVEMENTS À LA SOURCE (IR)"/>
    <s v="BPRI"/>
    <n v="2795"/>
    <d v="2025-08-26T00:00:00"/>
    <s v="PAS"/>
    <m/>
    <e v="#N/A"/>
    <e v="#N/A"/>
    <n v="81650"/>
    <m/>
    <m/>
    <s v="Q3"/>
    <e v="#REF!"/>
    <e v="#REF!"/>
    <e v="#REF!"/>
  </r>
  <r>
    <s v="401000"/>
    <x v="6"/>
    <s v="FOURNISSEURS"/>
    <s v="BPRI"/>
    <n v="63.54"/>
    <d v="2025-11-07T00:00:00"/>
    <s v="/SQTP/RCUR/LIB/PRLV SEPA DHL INTERNAT. EXP FRA/LIB/DHL INTERNAT. EXP FRANCE/LIB/NOTPROVIDED/LIB/FR5500100447041901"/>
    <m/>
    <e v="#N/A"/>
    <e v="#N/A"/>
    <n v="89530"/>
    <m/>
    <s v="DHL"/>
    <s v="Q4"/>
    <e v="#REF!"/>
    <e v="#REF!"/>
    <e v="#REF!"/>
  </r>
  <r>
    <s v="401000"/>
    <x v="6"/>
    <s v="FOURNISSEURS"/>
    <s v="BPRI"/>
    <n v="93.23"/>
    <d v="2025-12-31T00:00:00"/>
    <s v="/SQTP/RCUR/LIB/PRLV SEPA DHL INTERNAT. EXP FRA/LIB/DHL INTERNAT. EXP FRANCE/LIB/NOTPROVIDED/LIB/FR5500100447041901"/>
    <m/>
    <e v="#N/A"/>
    <e v="#N/A"/>
    <n v="93895"/>
    <m/>
    <s v="DHL"/>
    <s v="Q4"/>
    <e v="#REF!"/>
    <e v="#REF!"/>
    <e v="#REF!"/>
  </r>
  <r>
    <s v="442100"/>
    <x v="6"/>
    <s v="PRÉLÈVEMENTS À LA SOURCE (IR)"/>
    <s v="BPRI"/>
    <n v="3350"/>
    <d v="2025-04-24T00:00:00"/>
    <s v="Prélèvement à la source"/>
    <m/>
    <e v="#N/A"/>
    <e v="#N/A"/>
    <n v="68547"/>
    <m/>
    <m/>
    <s v="Q2"/>
    <e v="#REF!"/>
    <e v="#REF!"/>
    <e v="#REF!"/>
  </r>
  <r>
    <s v="442100"/>
    <x v="6"/>
    <s v="PRÉLÈVEMENTS À LA SOURCE (IR)"/>
    <s v="BPRI"/>
    <n v="3404"/>
    <d v="2025-06-26T00:00:00"/>
    <s v="PRLV PAS DSN16062025-052025-8115245450"/>
    <m/>
    <e v="#N/A"/>
    <e v="#N/A"/>
    <n v="76282"/>
    <m/>
    <m/>
    <s v="Q2"/>
    <e v="#REF!"/>
    <e v="#REF!"/>
    <e v="#REF!"/>
  </r>
  <r>
    <s v="442100"/>
    <x v="6"/>
    <s v="PRÉLÈVEMENTS À LA SOURCE (IR)"/>
    <s v="BPRI"/>
    <n v="3416"/>
    <d v="2025-05-21T00:00:00"/>
    <s v="Prélèvement DGFIP"/>
    <m/>
    <e v="#N/A"/>
    <e v="#N/A"/>
    <n v="73915"/>
    <m/>
    <m/>
    <s v="Q2"/>
    <e v="#REF!"/>
    <e v="#REF!"/>
    <e v="#REF!"/>
  </r>
  <r>
    <s v="401000"/>
    <x v="6"/>
    <s v="FOURNISSEURS"/>
    <s v="BPRI"/>
    <n v="113.74"/>
    <d v="2025-12-19T00:00:00"/>
    <s v="/SQTP/RCUR/LIB/PRLV SEPA DHL INTERNAT. EXP FRA/LIB/DHL INTERNAT. EXP FRANCE/LIB/NOTPROVIDED/LIB/FR5500100447041901"/>
    <m/>
    <e v="#N/A"/>
    <e v="#N/A"/>
    <n v="92922"/>
    <m/>
    <s v="DHL"/>
    <s v="Q4"/>
    <e v="#REF!"/>
    <e v="#REF!"/>
    <e v="#REF!"/>
  </r>
  <r>
    <s v="442100"/>
    <x v="6"/>
    <s v="PRÉLÈVEMENTS À LA SOURCE (IR)"/>
    <s v="BPRI"/>
    <n v="4475"/>
    <d v="2025-02-25T00:00:00"/>
    <s v="PRLV INT ETS DGFIP"/>
    <m/>
    <e v="#N/A"/>
    <e v="#N/A"/>
    <n v="21411"/>
    <s v="07ES3RO"/>
    <m/>
    <s v="Q1"/>
    <e v="#REF!"/>
    <e v="#REF!"/>
    <e v="#REF!"/>
  </r>
  <r>
    <s v="442100"/>
    <x v="6"/>
    <s v="PRÉLÈVEMENTS À LA SOURCE (IR)"/>
    <s v="BPRI"/>
    <n v="4773"/>
    <d v="2025-04-24T00:00:00"/>
    <s v="Prélèvement à la source"/>
    <m/>
    <e v="#N/A"/>
    <e v="#N/A"/>
    <n v="68541"/>
    <m/>
    <m/>
    <s v="Q2"/>
    <e v="#REF!"/>
    <e v="#REF!"/>
    <e v="#REF!"/>
  </r>
  <r>
    <s v="442100"/>
    <x v="6"/>
    <s v="PRÉLÈVEMENTS À LA SOURCE (IR)"/>
    <s v="BPRI"/>
    <n v="4866"/>
    <d v="2025-05-21T00:00:00"/>
    <s v="Prélèvement DGFIP"/>
    <m/>
    <e v="#N/A"/>
    <e v="#N/A"/>
    <n v="73918"/>
    <m/>
    <m/>
    <s v="Q2"/>
    <e v="#REF!"/>
    <e v="#REF!"/>
    <e v="#REF!"/>
  </r>
  <r>
    <s v="442100"/>
    <x v="6"/>
    <s v="PRÉLÈVEMENTS À LA SOURCE (IR)"/>
    <s v="BPRI"/>
    <n v="4926"/>
    <d v="2025-03-25T00:00:00"/>
    <s v="Prélèvement à la source"/>
    <m/>
    <e v="#N/A"/>
    <e v="#N/A"/>
    <n v="64517"/>
    <m/>
    <m/>
    <s v="Q1"/>
    <e v="#REF!"/>
    <e v="#REF!"/>
    <e v="#REF!"/>
  </r>
  <r>
    <s v="442100"/>
    <x v="6"/>
    <s v="PRÉLÈVEMENTS À LA SOURCE (IR)"/>
    <s v="BPRI"/>
    <n v="5067"/>
    <d v="2025-01-22T00:00:00"/>
    <s v="PRLV INT ETS DGFIP"/>
    <m/>
    <e v="#N/A"/>
    <e v="#N/A"/>
    <n v="21045"/>
    <s v="074HP96"/>
    <m/>
    <s v="Q1"/>
    <e v="#REF!"/>
    <e v="#REF!"/>
    <e v="#REF!"/>
  </r>
  <r>
    <s v="442100"/>
    <x v="6"/>
    <s v="PRÉLÈVEMENTS À LA SOURCE (IR)"/>
    <s v="BPRI"/>
    <n v="5205"/>
    <d v="2025-06-26T00:00:00"/>
    <s v="PRLV PAS DSN16062025-052025-8115245450"/>
    <m/>
    <e v="#N/A"/>
    <e v="#N/A"/>
    <n v="76285"/>
    <m/>
    <m/>
    <s v="Q2"/>
    <e v="#REF!"/>
    <e v="#REF!"/>
    <e v="#REF!"/>
  </r>
  <r>
    <s v="401000"/>
    <x v="6"/>
    <s v="FOURNISSEURS"/>
    <s v="BPRI"/>
    <n v="116.28"/>
    <d v="2025-11-28T00:00:00"/>
    <s v="/SQTP/RCUR/LIB/PRLV SEPA DHL INTERNAT. EXP FRA/LIB/DHL INTERNAT. EXP FRANCE/LIB/NOTPROVIDED/LIB/FR5500100447041901"/>
    <m/>
    <e v="#N/A"/>
    <e v="#N/A"/>
    <n v="91290"/>
    <m/>
    <s v="DHL"/>
    <s v="Q4"/>
    <e v="#REF!"/>
    <e v="#REF!"/>
    <e v="#REF!"/>
  </r>
  <r>
    <s v="442100"/>
    <x v="6"/>
    <s v="PRÉLÈVEMENTS À LA SOURCE (IR)"/>
    <s v="BPRI"/>
    <n v="5329"/>
    <d v="2025-08-26T00:00:00"/>
    <s v="PAS"/>
    <m/>
    <e v="#N/A"/>
    <e v="#N/A"/>
    <n v="81646"/>
    <m/>
    <m/>
    <s v="Q3"/>
    <e v="#REF!"/>
    <e v="#REF!"/>
    <e v="#REF!"/>
  </r>
  <r>
    <s v="512100"/>
    <x v="6"/>
    <s v="BANQUE POPULAIRE RIVE DE PARIS"/>
    <s v="BPRI"/>
    <n v="-116.28"/>
    <d v="2025-11-28T00:00:00"/>
    <s v="/SQTP/RCUR/LIB/PRLV SEPA DHL INTERNAT. EXP FRA/LIB/DHL INTERNAT. EXP FRANCE/LIB/NOTPROVIDED/LIB/FR5500100447041901"/>
    <m/>
    <e v="#N/A"/>
    <e v="#N/A"/>
    <n v="91289"/>
    <m/>
    <s v="DHL"/>
    <s v="Q4"/>
    <e v="#REF!"/>
    <e v="#REF!"/>
    <e v="#REF!"/>
  </r>
  <r>
    <s v="512100"/>
    <x v="6"/>
    <s v="BANQUE POPULAIRE RIVE DE PARIS"/>
    <s v="BPRI"/>
    <n v="-113.74"/>
    <d v="2025-12-19T00:00:00"/>
    <s v="/SQTP/RCUR/LIB/PRLV SEPA DHL INTERNAT. EXP FRA/LIB/DHL INTERNAT. EXP FRANCE/LIB/NOTPROVIDED/LIB/FR5500100447041901"/>
    <m/>
    <e v="#N/A"/>
    <e v="#N/A"/>
    <n v="92921"/>
    <m/>
    <s v="DHL"/>
    <s v="Q4"/>
    <e v="#REF!"/>
    <e v="#REF!"/>
    <e v="#REF!"/>
  </r>
  <r>
    <s v="512100"/>
    <x v="6"/>
    <s v="BANQUE POPULAIRE RIVE DE PARIS"/>
    <s v="BPRI"/>
    <n v="-93.23"/>
    <d v="2025-12-31T00:00:00"/>
    <s v="/SQTP/RCUR/LIB/PRLV SEPA DHL INTERNAT. EXP FRA/LIB/DHL INTERNAT. EXP FRANCE/LIB/NOTPROVIDED/LIB/FR5500100447041901"/>
    <m/>
    <e v="#N/A"/>
    <e v="#N/A"/>
    <n v="93894"/>
    <m/>
    <s v="DHL"/>
    <s v="Q4"/>
    <e v="#REF!"/>
    <e v="#REF!"/>
    <e v="#REF!"/>
  </r>
  <r>
    <s v="512100"/>
    <x v="6"/>
    <s v="BANQUE POPULAIRE RIVE DE PARIS"/>
    <s v="BPRI"/>
    <n v="-63.54"/>
    <d v="2025-11-07T00:00:00"/>
    <s v="/SQTP/RCUR/LIB/PRLV SEPA DHL INTERNAT. EXP FRA/LIB/DHL INTERNAT. EXP FRANCE/LIB/NOTPROVIDED/LIB/FR5500100447041901"/>
    <m/>
    <e v="#N/A"/>
    <e v="#N/A"/>
    <n v="89529"/>
    <m/>
    <s v="DHL"/>
    <s v="Q4"/>
    <e v="#REF!"/>
    <e v="#REF!"/>
    <e v="#REF!"/>
  </r>
  <r>
    <s v="442100"/>
    <x v="6"/>
    <s v="PRÉLÈVEMENTS À LA SOURCE (IR)"/>
    <s v="BPRI"/>
    <n v="7421"/>
    <d v="2025-05-21T00:00:00"/>
    <s v="Prélèvement DGFIP"/>
    <m/>
    <e v="#N/A"/>
    <e v="#N/A"/>
    <n v="73921"/>
    <m/>
    <m/>
    <s v="Q2"/>
    <e v="#REF!"/>
    <e v="#REF!"/>
    <e v="#REF!"/>
  </r>
  <r>
    <s v="442100"/>
    <x v="6"/>
    <s v="PRÉLÈVEMENTS À LA SOURCE (IR)"/>
    <s v="BPRI"/>
    <n v="7636"/>
    <d v="2025-06-26T00:00:00"/>
    <s v="PRLV PAS DSN16062025-052025-8115245450"/>
    <m/>
    <e v="#N/A"/>
    <e v="#N/A"/>
    <n v="76288"/>
    <m/>
    <m/>
    <s v="Q2"/>
    <e v="#REF!"/>
    <e v="#REF!"/>
    <e v="#REF!"/>
  </r>
  <r>
    <s v="442100"/>
    <x v="6"/>
    <s v="PRÉLÈVEMENTS À LA SOURCE (IR)"/>
    <s v="BPRI"/>
    <n v="7870"/>
    <d v="2025-03-25T00:00:00"/>
    <s v="Prélèvement à la source"/>
    <m/>
    <e v="#N/A"/>
    <e v="#N/A"/>
    <n v="64520"/>
    <m/>
    <m/>
    <s v="Q1"/>
    <e v="#REF!"/>
    <e v="#REF!"/>
    <e v="#REF!"/>
  </r>
  <r>
    <s v="442100"/>
    <x v="6"/>
    <s v="PRÉLÈVEMENTS À LA SOURCE (IR)"/>
    <s v="BPRI"/>
    <n v="7961"/>
    <d v="2025-01-22T00:00:00"/>
    <s v="PRLV INT ETS DGFIP"/>
    <m/>
    <e v="#N/A"/>
    <e v="#N/A"/>
    <n v="21049"/>
    <s v="074HPU9"/>
    <m/>
    <s v="Q1"/>
    <e v="#REF!"/>
    <e v="#REF!"/>
    <e v="#REF!"/>
  </r>
  <r>
    <s v="442100"/>
    <x v="6"/>
    <s v="PRÉLÈVEMENTS À LA SOURCE (IR)"/>
    <s v="BPRI"/>
    <n v="7974"/>
    <d v="2025-04-24T00:00:00"/>
    <s v="Prélèvement à la source"/>
    <m/>
    <e v="#N/A"/>
    <e v="#N/A"/>
    <n v="68544"/>
    <m/>
    <m/>
    <s v="Q2"/>
    <e v="#REF!"/>
    <e v="#REF!"/>
    <e v="#REF!"/>
  </r>
  <r>
    <s v="512100"/>
    <x v="6"/>
    <s v="BANQUE POPULAIRE RIVE DE PARIS"/>
    <s v="BPRI"/>
    <n v="-58.72"/>
    <d v="2025-07-31T00:00:00"/>
    <s v="/SQTP/RCUR/LIB/PRLV SEPA DHL INTERNAT. EXP FRA/LIB/DHL INTERNAT. EXP FRANCE/LIB/NOTPROVIDED/LIB/FR5500100447041901"/>
    <m/>
    <e v="#N/A"/>
    <e v="#N/A"/>
    <n v="79392"/>
    <m/>
    <s v="DHL"/>
    <s v="Q3"/>
    <e v="#REF!"/>
    <e v="#REF!"/>
    <e v="#REF!"/>
  </r>
  <r>
    <s v="512100"/>
    <x v="6"/>
    <s v="BANQUE POPULAIRE RIVE DE PARIS"/>
    <s v="BPRI"/>
    <n v="-20.81"/>
    <d v="2025-10-24T00:00:00"/>
    <s v="/SQTP/RCUR/LIB/PRLV SEPA DHL INTERNAT. EXP FRA/LIB/DHL INTERNAT. EXP FRANCE/LIB/NOTPROVIDED/LIB/FR5500100447041901"/>
    <m/>
    <e v="#N/A"/>
    <e v="#N/A"/>
    <n v="87383"/>
    <m/>
    <s v="DHL"/>
    <s v="Q4"/>
    <e v="#REF!"/>
    <e v="#REF!"/>
    <e v="#REF!"/>
  </r>
  <r>
    <s v="442100"/>
    <x v="6"/>
    <s v="PRÉLÈVEMENTS À LA SOURCE (IR)"/>
    <s v="BPRI"/>
    <n v="8340"/>
    <d v="2025-08-26T00:00:00"/>
    <s v="PAS"/>
    <m/>
    <e v="#N/A"/>
    <e v="#N/A"/>
    <n v="81648"/>
    <m/>
    <m/>
    <s v="Q3"/>
    <e v="#REF!"/>
    <e v="#REF!"/>
    <e v="#REF!"/>
  </r>
  <r>
    <s v="512100"/>
    <x v="6"/>
    <s v="BANQUE POPULAIRE RIVE DE PARIS"/>
    <s v="BPRI"/>
    <n v="-19.86"/>
    <d v="2025-12-12T00:00:00"/>
    <s v="/SQTP/RCUR/LIB/PRLV SEPA DHL INTERNAT. EXP FRA/LIB/DHL INTERNAT. EXP FRANCE/LIB/NOTPROVIDED/LIB/FR5500100447041901"/>
    <m/>
    <e v="#N/A"/>
    <e v="#N/A"/>
    <n v="92119"/>
    <m/>
    <s v="DHL"/>
    <s v="Q4"/>
    <e v="#REF!"/>
    <e v="#REF!"/>
    <e v="#REF!"/>
  </r>
  <r>
    <s v="442100"/>
    <x v="6"/>
    <s v="PRÉLÈVEMENTS À LA SOURCE (IR)"/>
    <s v="BPRI"/>
    <n v="8730"/>
    <d v="2025-02-25T00:00:00"/>
    <s v="PRLV INT ETS DGFIP"/>
    <m/>
    <e v="#N/A"/>
    <e v="#N/A"/>
    <n v="21409"/>
    <s v="07ES38R"/>
    <m/>
    <s v="Q1"/>
    <e v="#REF!"/>
    <e v="#REF!"/>
    <e v="#REF!"/>
  </r>
  <r>
    <s v="512100"/>
    <x v="6"/>
    <s v="BANQUE POPULAIRE RIVE DE PARIS"/>
    <s v="BPRI"/>
    <n v="-19.7"/>
    <d v="2025-10-10T00:00:00"/>
    <s v="/SQTP/RCUR/LIB/PRLV SEPA DHL INTERNAT. EXP FRA/LIB/DHL INTERNAT. EXP FRANCE/LIB/NOTPROVIDED/LIB/FR5500100447041901"/>
    <m/>
    <e v="#N/A"/>
    <e v="#N/A"/>
    <n v="86919"/>
    <m/>
    <s v="DHL"/>
    <s v="Q4"/>
    <e v="#REF!"/>
    <e v="#REF!"/>
    <e v="#REF!"/>
  </r>
  <r>
    <s v="512100"/>
    <x v="6"/>
    <s v="BANQUE POPULAIRE RIVE DE PARIS"/>
    <s v="BPRI"/>
    <n v="-245"/>
    <d v="2025-12-29T00:00:00"/>
    <s v="/SQTP/RCUR/LIB/PRLV SEPA DIRECTION GENERALE DE/LIB/DIRECTION GENERALE DES F/LIB/3106981152454500035222/LIB/NNFR46ZZZ005002P03100"/>
    <m/>
    <e v="#N/A"/>
    <e v="#N/A"/>
    <n v="93699"/>
    <m/>
    <m/>
    <s v="Q4"/>
    <e v="#REF!"/>
    <e v="#REF!"/>
    <e v="#REF!"/>
  </r>
  <r>
    <s v="442100"/>
    <x v="6"/>
    <s v="PRÉLÈVEMENTS À LA SOURCE (IR)"/>
    <s v="BPRI"/>
    <n v="19308"/>
    <d v="2025-01-22T00:00:00"/>
    <s v="PRLV INT ETS DGFIP"/>
    <m/>
    <e v="#N/A"/>
    <e v="#N/A"/>
    <n v="21047"/>
    <s v="074HPN6"/>
    <m/>
    <s v="Q1"/>
    <e v="#REF!"/>
    <e v="#REF!"/>
    <e v="#REF!"/>
  </r>
  <r>
    <s v="442100"/>
    <x v="6"/>
    <s v="PRÉLÈVEMENTS À LA SOURCE (IR)"/>
    <s v="BPRI"/>
    <n v="20051"/>
    <d v="2025-03-25T00:00:00"/>
    <s v="Prélèvement à la source"/>
    <m/>
    <e v="#N/A"/>
    <e v="#N/A"/>
    <n v="64523"/>
    <m/>
    <m/>
    <s v="Q1"/>
    <e v="#REF!"/>
    <e v="#REF!"/>
    <e v="#REF!"/>
  </r>
  <r>
    <s v="442100"/>
    <x v="6"/>
    <s v="PRÉLÈVEMENTS À LA SOURCE (IR)"/>
    <s v="OD"/>
    <n v="-1.08"/>
    <d v="2025-10-07T00:00:00"/>
    <s v="Ecart de règlement"/>
    <m/>
    <e v="#N/A"/>
    <e v="#N/A"/>
    <n v="84333"/>
    <m/>
    <m/>
    <s v="Q4"/>
    <e v="#REF!"/>
    <e v="#REF!"/>
    <e v="#REF!"/>
  </r>
  <r>
    <s v="442100"/>
    <x v="6"/>
    <s v="PRÉLÈVEMENTS À LA SOURCE (IR)"/>
    <s v="OD"/>
    <n v="-0.94"/>
    <d v="2025-10-07T00:00:00"/>
    <s v="Ecart de règlement"/>
    <m/>
    <e v="#N/A"/>
    <e v="#N/A"/>
    <n v="84345"/>
    <m/>
    <m/>
    <s v="Q4"/>
    <e v="#REF!"/>
    <e v="#REF!"/>
    <e v="#REF!"/>
  </r>
  <r>
    <s v="442100"/>
    <x v="6"/>
    <s v="PRÉLÈVEMENTS À LA SOURCE (IR)"/>
    <s v="OD"/>
    <n v="-0.59"/>
    <d v="2025-07-25T00:00:00"/>
    <s v="Ecart de règlement"/>
    <m/>
    <e v="#N/A"/>
    <e v="#N/A"/>
    <n v="84339"/>
    <m/>
    <m/>
    <s v="Q3"/>
    <e v="#REF!"/>
    <e v="#REF!"/>
    <e v="#REF!"/>
  </r>
  <r>
    <s v="442100"/>
    <x v="6"/>
    <s v="PRÉLÈVEMENTS À LA SOURCE (IR)"/>
    <s v="OD"/>
    <n v="-0.59"/>
    <d v="2025-11-26T00:00:00"/>
    <s v="Ecart de règlement"/>
    <m/>
    <e v="#N/A"/>
    <e v="#N/A"/>
    <n v="91166"/>
    <m/>
    <m/>
    <s v="Q4"/>
    <e v="#REF!"/>
    <e v="#REF!"/>
    <e v="#REF!"/>
  </r>
  <r>
    <s v="442100"/>
    <x v="6"/>
    <s v="PRÉLÈVEMENTS À LA SOURCE (IR)"/>
    <s v="OD"/>
    <n v="-0.56000000000000005"/>
    <d v="2025-05-21T00:00:00"/>
    <s v="Ecart de règlement"/>
    <m/>
    <e v="#N/A"/>
    <e v="#N/A"/>
    <n v="84321"/>
    <m/>
    <m/>
    <s v="Q2"/>
    <e v="#REF!"/>
    <e v="#REF!"/>
    <e v="#REF!"/>
  </r>
  <r>
    <s v="442100"/>
    <x v="6"/>
    <s v="PRÉLÈVEMENTS À LA SOURCE (IR)"/>
    <s v="OD"/>
    <n v="0.28000000000000003"/>
    <d v="2025-06-26T00:00:00"/>
    <s v="Ecart de règlement"/>
    <m/>
    <e v="#N/A"/>
    <e v="#N/A"/>
    <n v="84327"/>
    <m/>
    <m/>
    <s v="Q2"/>
    <e v="#REF!"/>
    <e v="#REF!"/>
    <e v="#REF!"/>
  </r>
  <r>
    <s v="442100"/>
    <x v="6"/>
    <s v="PRÉLÈVEMENTS À LA SOURCE (IR)"/>
    <s v="OD"/>
    <n v="0.36"/>
    <d v="2025-02-25T00:00:00"/>
    <s v="Ecart de règlement"/>
    <m/>
    <e v="#N/A"/>
    <e v="#N/A"/>
    <n v="87925"/>
    <m/>
    <m/>
    <s v="Q1"/>
    <e v="#REF!"/>
    <e v="#REF!"/>
    <e v="#REF!"/>
  </r>
  <r>
    <s v="442100"/>
    <x v="6"/>
    <s v="PRÉLÈVEMENTS À LA SOURCE (IR)"/>
    <s v="OD"/>
    <n v="0.39"/>
    <d v="2025-03-25T00:00:00"/>
    <s v="Ecart de règlement"/>
    <m/>
    <e v="#N/A"/>
    <e v="#N/A"/>
    <n v="87931"/>
    <m/>
    <m/>
    <s v="Q1"/>
    <e v="#REF!"/>
    <e v="#REF!"/>
    <e v="#REF!"/>
  </r>
  <r>
    <s v="442100"/>
    <x v="6"/>
    <s v="PRÉLÈVEMENTS À LA SOURCE (IR)"/>
    <s v="OD"/>
    <n v="0.79"/>
    <d v="2025-04-24T00:00:00"/>
    <s v="Ecart de règlement"/>
    <m/>
    <e v="#N/A"/>
    <e v="#N/A"/>
    <n v="84315"/>
    <m/>
    <m/>
    <s v="Q2"/>
    <e v="#REF!"/>
    <e v="#REF!"/>
    <e v="#REF!"/>
  </r>
  <r>
    <s v="442100"/>
    <x v="6"/>
    <s v="PRÉLÈVEMENTS À LA SOURCE (IR)"/>
    <s v="OD"/>
    <n v="0.91"/>
    <d v="2025-08-25T00:00:00"/>
    <s v="Ecart de règlement"/>
    <m/>
    <e v="#N/A"/>
    <e v="#N/A"/>
    <n v="84309"/>
    <m/>
    <m/>
    <s v="Q3"/>
    <e v="#REF!"/>
    <e v="#REF!"/>
    <e v="#REF!"/>
  </r>
  <r>
    <s v="442100"/>
    <x v="6"/>
    <s v="PRÉLÈVEMENTS À LA SOURCE (IR)"/>
    <s v="SA"/>
    <n v="-32847.39"/>
    <d v="2025-02-28T00:00:00"/>
    <s v="IMPÔT SUR LE REVENU PRÉLEVÉ À LA SOURCE - PAS"/>
    <m/>
    <e v="#N/A"/>
    <e v="#N/A"/>
    <n v="85204"/>
    <s v="SA202502"/>
    <m/>
    <s v="Q1"/>
    <e v="#REF!"/>
    <e v="#REF!"/>
    <e v="#REF!"/>
  </r>
  <r>
    <s v="442100"/>
    <x v="6"/>
    <s v="PRÉLÈVEMENTS À LA SOURCE (IR)"/>
    <s v="SA"/>
    <n v="-17663.41"/>
    <d v="2025-10-31T00:00:00"/>
    <s v="IMPÔT SUR LE REVENU PRÉLEVÉ À LA SOURCE - PAS"/>
    <m/>
    <e v="#N/A"/>
    <e v="#N/A"/>
    <n v="87776"/>
    <s v="SA202510"/>
    <m/>
    <s v="Q4"/>
    <e v="#REF!"/>
    <e v="#REF!"/>
    <e v="#REF!"/>
  </r>
  <r>
    <s v="442100"/>
    <x v="6"/>
    <s v="PRÉLÈVEMENTS À LA SOURCE (IR)"/>
    <s v="SA"/>
    <n v="-17604.03"/>
    <d v="2025-11-30T00:00:00"/>
    <s v="IMPÔT SUR LE REVENU PRÉLEVÉ À LA SOURCE - PAS"/>
    <m/>
    <e v="#N/A"/>
    <e v="#N/A"/>
    <n v="92285"/>
    <s v="SA202511"/>
    <m/>
    <s v="Q4"/>
    <e v="#REF!"/>
    <e v="#REF!"/>
    <e v="#REF!"/>
  </r>
  <r>
    <s v="442100"/>
    <x v="6"/>
    <s v="PRÉLÈVEMENTS À LA SOURCE (IR)"/>
    <s v="SA"/>
    <n v="-17394.72"/>
    <d v="2025-12-31T00:00:00"/>
    <s v="IMPÔT SUR LE REVENU PRÉLEVÉ À LA SOURCE - PAS"/>
    <m/>
    <e v="#N/A"/>
    <e v="#N/A"/>
    <n v="92744"/>
    <s v="SA202512"/>
    <m/>
    <s v="Q4"/>
    <e v="#REF!"/>
    <e v="#REF!"/>
    <e v="#REF!"/>
  </r>
  <r>
    <s v="442100"/>
    <x v="6"/>
    <s v="PRÉLÈVEMENTS À LA SOURCE (IR)"/>
    <s v="SA"/>
    <n v="-17291.41"/>
    <d v="2025-06-30T00:00:00"/>
    <s v="IMPÔT SUR LE REVENU PRÉLEVÉ À LA SOURCE - PAS"/>
    <m/>
    <e v="#N/A"/>
    <e v="#N/A"/>
    <n v="79991"/>
    <s v="SA202506"/>
    <m/>
    <s v="Q2"/>
    <e v="#REF!"/>
    <e v="#REF!"/>
    <e v="#REF!"/>
  </r>
  <r>
    <s v="442100"/>
    <x v="6"/>
    <s v="PRÉLÈVEMENTS À LA SOURCE (IR)"/>
    <s v="SA"/>
    <n v="-16683.919999999998"/>
    <d v="2025-09-30T00:00:00"/>
    <s v="IMPÔT SUR LE REVENU PRÉLEVÉ À LA SOURCE - PAS"/>
    <m/>
    <e v="#N/A"/>
    <e v="#N/A"/>
    <n v="84111"/>
    <s v="SA202509"/>
    <m/>
    <s v="Q3"/>
    <e v="#REF!"/>
    <e v="#REF!"/>
    <e v="#REF!"/>
  </r>
  <r>
    <s v="442100"/>
    <x v="6"/>
    <s v="PRÉLÈVEMENTS À LA SOURCE (IR)"/>
    <s v="SA"/>
    <n v="-16632.060000000001"/>
    <d v="2025-08-31T00:00:00"/>
    <s v="IMPÔT SUR LE REVENU PRÉLEVÉ À LA SOURCE - PAS"/>
    <m/>
    <e v="#N/A"/>
    <e v="#N/A"/>
    <n v="83936"/>
    <s v="SA202508"/>
    <m/>
    <s v="Q3"/>
    <e v="#REF!"/>
    <e v="#REF!"/>
    <e v="#REF!"/>
  </r>
  <r>
    <s v="442100"/>
    <x v="6"/>
    <s v="PRÉLÈVEMENTS À LA SOURCE (IR)"/>
    <s v="SA"/>
    <n v="-16464.91"/>
    <d v="2025-07-31T00:00:00"/>
    <s v="IMPÔT SUR LE REVENU PRÉLEVÉ À LA SOURCE - PAS"/>
    <m/>
    <e v="#N/A"/>
    <e v="#N/A"/>
    <n v="79817"/>
    <s v="SA202507"/>
    <m/>
    <s v="Q3"/>
    <e v="#REF!"/>
    <e v="#REF!"/>
    <e v="#REF!"/>
  </r>
  <r>
    <s v="442100"/>
    <x v="6"/>
    <s v="PRÉLÈVEMENTS À LA SOURCE (IR)"/>
    <s v="SA"/>
    <n v="-16245.28"/>
    <d v="2025-05-31T00:00:00"/>
    <s v="IMPÔT SUR LE REVENU PRÉLEVÉ À LA SOURCE - PAS"/>
    <m/>
    <e v="#N/A"/>
    <e v="#N/A"/>
    <n v="80160"/>
    <s v="SA202505"/>
    <m/>
    <s v="Q2"/>
    <e v="#REF!"/>
    <e v="#REF!"/>
    <e v="#REF!"/>
  </r>
  <r>
    <s v="442100"/>
    <x v="6"/>
    <s v="PRÉLÈVEMENTS À LA SOURCE (IR)"/>
    <s v="SA"/>
    <n v="-16097.79"/>
    <d v="2025-03-31T00:00:00"/>
    <s v="IMPÔT SUR LE REVENU PRÉLEVÉ À LA SOURCE - PAS"/>
    <m/>
    <e v="#N/A"/>
    <e v="#N/A"/>
    <n v="80500"/>
    <s v="SA202503"/>
    <m/>
    <s v="Q1"/>
    <e v="#REF!"/>
    <e v="#REF!"/>
    <e v="#REF!"/>
  </r>
  <r>
    <s v="442100"/>
    <x v="6"/>
    <s v="PRÉLÈVEMENTS À LA SOURCE (IR)"/>
    <s v="SA"/>
    <n v="-15702.44"/>
    <d v="2025-04-30T00:00:00"/>
    <s v="IMPÔT SUR LE REVENU PRÉLEVÉ À LA SOURCE - PAS"/>
    <m/>
    <e v="#N/A"/>
    <e v="#N/A"/>
    <n v="80330"/>
    <s v="SA202504"/>
    <m/>
    <s v="Q2"/>
    <e v="#REF!"/>
    <e v="#REF!"/>
    <e v="#REF!"/>
  </r>
  <r>
    <s v="442100"/>
    <x v="6"/>
    <s v="PRÉLÈVEMENTS À LA SOURCE (IR)"/>
    <s v="SA"/>
    <n v="-15625.15"/>
    <d v="2025-01-31T00:00:00"/>
    <s v="IMPÔT SUR LE REVENU PRÉLEVÉ À LA SOURCE - PAS"/>
    <m/>
    <e v="#N/A"/>
    <e v="#N/A"/>
    <n v="85392"/>
    <s v="SA202501"/>
    <m/>
    <s v="Q1"/>
    <e v="#REF!"/>
    <e v="#REF!"/>
    <e v="#REF!"/>
  </r>
  <r>
    <s v="444000"/>
    <x v="6"/>
    <s v="ETAT IMPÔTS SUR LES BÉNÉFICES"/>
    <s v="AN"/>
    <n v="1103639"/>
    <d v="2025-01-01T00:00:00"/>
    <s v="Report à nouveau Exercice 2025"/>
    <m/>
    <e v="#N/A"/>
    <e v="#N/A"/>
    <n v="84783"/>
    <m/>
    <m/>
    <s v="Q1"/>
    <e v="#REF!"/>
    <e v="#REF!"/>
    <e v="#REF!"/>
  </r>
  <r>
    <s v="444000"/>
    <x v="6"/>
    <s v="ETAT IMPÔTS SUR LES BÉNÉFICES"/>
    <s v="BPRI"/>
    <n v="-16500"/>
    <d v="2025-10-22T00:00:00"/>
    <s v="EVI SIE TOULOUSE RANGUEIL - REMB. CREANCES IS - CIR/2022/811 - 524545"/>
    <m/>
    <e v="#N/A"/>
    <e v="#N/A"/>
    <n v="87315"/>
    <m/>
    <m/>
    <s v="Q4"/>
    <e v="#REF!"/>
    <e v="#REF!"/>
    <e v="#REF!"/>
  </r>
  <r>
    <s v="444000"/>
    <x v="6"/>
    <s v="ETAT IMPÔTS SUR LES BÉNÉFICES"/>
    <s v="JC"/>
    <n v="22000"/>
    <d v="2025-01-31T00:00:00"/>
    <s v="Produit à recevoir CIR"/>
    <m/>
    <e v="#N/A"/>
    <e v="#N/A"/>
    <n v="71554"/>
    <m/>
    <m/>
    <s v="Q1"/>
    <e v="#REF!"/>
    <e v="#REF!"/>
    <e v="#REF!"/>
  </r>
  <r>
    <s v="444000"/>
    <x v="6"/>
    <s v="ETAT IMPÔTS SUR LES BÉNÉFICES"/>
    <s v="JC"/>
    <n v="22000"/>
    <d v="2025-02-28T00:00:00"/>
    <s v="Produit à recevoir CIR"/>
    <m/>
    <e v="#N/A"/>
    <e v="#N/A"/>
    <n v="71556"/>
    <m/>
    <m/>
    <s v="Q1"/>
    <e v="#REF!"/>
    <e v="#REF!"/>
    <e v="#REF!"/>
  </r>
  <r>
    <s v="444000"/>
    <x v="6"/>
    <s v="ETAT IMPÔTS SUR LES BÉNÉFICES"/>
    <s v="JC"/>
    <n v="22000"/>
    <d v="2025-03-31T00:00:00"/>
    <s v="Produit à recevoir CIR"/>
    <m/>
    <e v="#N/A"/>
    <e v="#N/A"/>
    <n v="71558"/>
    <m/>
    <m/>
    <s v="Q1"/>
    <e v="#REF!"/>
    <e v="#REF!"/>
    <e v="#REF!"/>
  </r>
  <r>
    <s v="444000"/>
    <x v="6"/>
    <s v="ETAT IMPÔTS SUR LES BÉNÉFICES"/>
    <s v="JC"/>
    <n v="22000"/>
    <d v="2025-04-30T00:00:00"/>
    <s v="Produit à recevoir CIR"/>
    <m/>
    <e v="#N/A"/>
    <e v="#N/A"/>
    <n v="71560"/>
    <m/>
    <m/>
    <s v="Q2"/>
    <e v="#REF!"/>
    <e v="#REF!"/>
    <e v="#REF!"/>
  </r>
  <r>
    <s v="444000"/>
    <x v="6"/>
    <s v="ETAT IMPÔTS SUR LES BÉNÉFICES"/>
    <s v="JC"/>
    <n v="22000"/>
    <d v="2025-05-31T00:00:00"/>
    <s v="Produit à recevoir CIR"/>
    <m/>
    <e v="#N/A"/>
    <e v="#N/A"/>
    <n v="71562"/>
    <m/>
    <m/>
    <s v="Q2"/>
    <e v="#REF!"/>
    <e v="#REF!"/>
    <e v="#REF!"/>
  </r>
  <r>
    <s v="444000"/>
    <x v="6"/>
    <s v="ETAT IMPÔTS SUR LES BÉNÉFICES"/>
    <s v="JC"/>
    <n v="22000"/>
    <d v="2025-06-30T00:00:00"/>
    <s v="Produit à recevoir CIR"/>
    <m/>
    <e v="#N/A"/>
    <e v="#N/A"/>
    <n v="71564"/>
    <m/>
    <m/>
    <s v="Q2"/>
    <e v="#REF!"/>
    <e v="#REF!"/>
    <e v="#REF!"/>
  </r>
  <r>
    <s v="444000"/>
    <x v="6"/>
    <s v="ETAT IMPÔTS SUR LES BÉNÉFICES"/>
    <s v="JC"/>
    <n v="22000"/>
    <d v="2025-07-31T00:00:00"/>
    <s v="Produit à recevoir CIR"/>
    <m/>
    <e v="#N/A"/>
    <e v="#N/A"/>
    <n v="71566"/>
    <m/>
    <m/>
    <s v="Q3"/>
    <e v="#REF!"/>
    <e v="#REF!"/>
    <e v="#REF!"/>
  </r>
  <r>
    <s v="444000"/>
    <x v="6"/>
    <s v="ETAT IMPÔTS SUR LES BÉNÉFICES"/>
    <s v="JC"/>
    <n v="22000"/>
    <d v="2025-08-31T00:00:00"/>
    <s v="Produit à recevoir CIR"/>
    <m/>
    <e v="#N/A"/>
    <e v="#N/A"/>
    <n v="71568"/>
    <m/>
    <m/>
    <s v="Q3"/>
    <e v="#REF!"/>
    <e v="#REF!"/>
    <e v="#REF!"/>
  </r>
  <r>
    <s v="444000"/>
    <x v="6"/>
    <s v="ETAT IMPÔTS SUR LES BÉNÉFICES"/>
    <s v="JC"/>
    <n v="22000"/>
    <d v="2025-09-30T00:00:00"/>
    <s v="Produit à recevoir CIR"/>
    <m/>
    <e v="#N/A"/>
    <e v="#N/A"/>
    <n v="71570"/>
    <m/>
    <m/>
    <s v="Q3"/>
    <e v="#REF!"/>
    <e v="#REF!"/>
    <e v="#REF!"/>
  </r>
  <r>
    <s v="444000"/>
    <x v="6"/>
    <s v="ETAT IMPÔTS SUR LES BÉNÉFICES"/>
    <s v="JC"/>
    <n v="22000"/>
    <d v="2025-10-31T00:00:00"/>
    <s v="Produit à recevoir CIR"/>
    <m/>
    <e v="#N/A"/>
    <e v="#N/A"/>
    <n v="71572"/>
    <m/>
    <m/>
    <s v="Q4"/>
    <e v="#REF!"/>
    <e v="#REF!"/>
    <e v="#REF!"/>
  </r>
  <r>
    <s v="444000"/>
    <x v="6"/>
    <s v="ETAT IMPÔTS SUR LES BÉNÉFICES"/>
    <s v="JC"/>
    <n v="22000"/>
    <d v="2025-11-30T00:00:00"/>
    <s v="Produit à recevoir CIR"/>
    <m/>
    <e v="#N/A"/>
    <e v="#N/A"/>
    <n v="71574"/>
    <m/>
    <m/>
    <s v="Q4"/>
    <e v="#REF!"/>
    <e v="#REF!"/>
    <e v="#REF!"/>
  </r>
  <r>
    <s v="444000"/>
    <x v="6"/>
    <s v="ETAT IMPÔTS SUR LES BÉNÉFICES"/>
    <s v="JC"/>
    <n v="22000"/>
    <d v="2025-12-31T00:00:00"/>
    <s v="Produit à recevoir CIR"/>
    <m/>
    <e v="#N/A"/>
    <e v="#N/A"/>
    <n v="71576"/>
    <m/>
    <m/>
    <s v="Q4"/>
    <e v="#REF!"/>
    <e v="#REF!"/>
    <e v="#REF!"/>
  </r>
  <r>
    <s v="444000"/>
    <x v="6"/>
    <s v="ETAT IMPÔTS SUR LES BÉNÉFICES"/>
    <s v="OD"/>
    <n v="-816471"/>
    <d v="2025-06-02T00:00:00"/>
    <s v="Préfinancement CIR 2024 - Neftys - Valeur Nominale Créance"/>
    <m/>
    <e v="#N/A"/>
    <e v="#N/A"/>
    <n v="87308"/>
    <m/>
    <m/>
    <s v="Q2"/>
    <e v="#REF!"/>
    <e v="#REF!"/>
    <e v="#REF!"/>
  </r>
  <r>
    <s v="444000"/>
    <x v="6"/>
    <s v="ETAT IMPÔTS SUR LES BÉNÉFICES"/>
    <s v="OD"/>
    <n v="-23750"/>
    <d v="2025-01-01T00:00:00"/>
    <s v="CRC 2023 - Reste à percevoir - CNAM"/>
    <m/>
    <e v="#N/A"/>
    <e v="#N/A"/>
    <n v="87334"/>
    <m/>
    <m/>
    <s v="Q1"/>
    <e v="#REF!"/>
    <e v="#REF!"/>
    <e v="#REF!"/>
  </r>
  <r>
    <s v="444000"/>
    <x v="6"/>
    <s v="ETAT IMPÔTS SUR LES BÉNÉFICES"/>
    <s v="OD"/>
    <n v="23750"/>
    <d v="2025-01-01T00:00:00"/>
    <s v="CRC 2023 - Reste à percevoir - CNAM"/>
    <m/>
    <e v="#N/A"/>
    <e v="#N/A"/>
    <n v="87333"/>
    <m/>
    <m/>
    <s v="Q1"/>
    <e v="#REF!"/>
    <e v="#REF!"/>
    <e v="#REF!"/>
  </r>
  <r>
    <s v="445201"/>
    <x v="6"/>
    <s v="TVA - C_20_INTRACOM"/>
    <s v="AC"/>
    <n v="-62994.65"/>
    <d v="2025-03-31T00:00:00"/>
    <s v="9 BATCHES PRODUCED DURING CAMPAIGN  ACTUAL CONSUMPTION OF RAW MATERIAL"/>
    <s v="Non"/>
    <e v="#N/A"/>
    <e v="#N/A"/>
    <n v="73732"/>
    <s v="91250028"/>
    <s v="BIOTIKA"/>
    <s v="Q1"/>
    <e v="#REF!"/>
    <e v="#REF!"/>
    <e v="#REF!"/>
  </r>
  <r>
    <s v="445201"/>
    <x v="6"/>
    <s v="TVA - C_20_INTRACOM"/>
    <s v="AC"/>
    <n v="-26693.42"/>
    <d v="2025-11-28T00:00:00"/>
    <s v="PHOENIX VBIO - PRÉ-PILOTE &amp; PILOTE"/>
    <m/>
    <e v="#N/A"/>
    <e v="#N/A"/>
    <n v="94884"/>
    <s v="325000353"/>
    <s v="WACKER LEON"/>
    <s v="Q4"/>
    <e v="#REF!"/>
    <e v="#REF!"/>
    <e v="#REF!"/>
  </r>
  <r>
    <s v="445201"/>
    <x v="6"/>
    <s v="TVA - C_20_INTRACOM"/>
    <s v="AC"/>
    <n v="-12800"/>
    <d v="2025-07-18T00:00:00"/>
    <s v="AGREEMENT IV -  4 TRIALS IN THE 30L LABORATORY FERMENTER"/>
    <s v="Non"/>
    <e v="#N/A"/>
    <e v="#N/A"/>
    <n v="78803"/>
    <s v="91250101"/>
    <s v="BIOTIKA"/>
    <s v="Q3"/>
    <e v="#REF!"/>
    <e v="#REF!"/>
    <e v="#REF!"/>
  </r>
  <r>
    <s v="445201"/>
    <x v="6"/>
    <s v="TVA - C_20_INTRACOM"/>
    <s v="AC"/>
    <n v="-9000"/>
    <d v="2025-09-16T00:00:00"/>
    <s v="DEVELOPMENT AGREEMENT PHOENIX VI, 3.1."/>
    <s v="Non"/>
    <e v="#N/A"/>
    <e v="#N/A"/>
    <n v="89962"/>
    <s v="91250146"/>
    <s v="BIOTIKA"/>
    <s v="Q3"/>
    <e v="#REF!"/>
    <e v="#REF!"/>
    <e v="#REF!"/>
  </r>
  <r>
    <s v="445201"/>
    <x v="6"/>
    <s v="TVA - C_20_INTRACOM"/>
    <s v="AC"/>
    <n v="-7200"/>
    <d v="2025-11-07T00:00:00"/>
    <s v="AGREEMENT VII - VBIO 15M3 + 35L"/>
    <s v="Non"/>
    <e v="#N/A"/>
    <e v="#N/A"/>
    <n v="91106"/>
    <s v="91250190"/>
    <s v="BIOTIKA"/>
    <s v="Q4"/>
    <e v="#REF!"/>
    <e v="#REF!"/>
    <e v="#REF!"/>
  </r>
  <r>
    <s v="445201"/>
    <x v="6"/>
    <s v="TVA - C_20_INTRACOM"/>
    <s v="AC"/>
    <n v="-6800"/>
    <d v="2025-06-30T00:00:00"/>
    <s v="PHOENIX III REPORT"/>
    <s v="Non"/>
    <e v="#N/A"/>
    <e v="#N/A"/>
    <n v="78882"/>
    <s v="91250094"/>
    <s v="BIOTIKA"/>
    <s v="Q2"/>
    <e v="#REF!"/>
    <e v="#REF!"/>
    <e v="#REF!"/>
  </r>
  <r>
    <s v="445201"/>
    <x v="6"/>
    <s v="TVA - C_20_INTRACOM"/>
    <s v="AC"/>
    <n v="-5800"/>
    <d v="2025-08-14T00:00:00"/>
    <s v="DEVELOPMENT AGREEMENT PHOENIX V"/>
    <s v="Non"/>
    <e v="#N/A"/>
    <e v="#N/A"/>
    <n v="81345"/>
    <s v="91250131"/>
    <s v="BIOTIKA"/>
    <s v="Q3"/>
    <e v="#REF!"/>
    <e v="#REF!"/>
    <e v="#REF!"/>
  </r>
  <r>
    <s v="445201"/>
    <x v="6"/>
    <s v="TVA - C_20_INTRACOM"/>
    <s v="AC"/>
    <n v="-5600"/>
    <d v="2025-05-26T00:00:00"/>
    <s v="INVOICING AFTER FINISHING OF 2TRIALS IN 30L FERMENTER  INVOICING AFTER 3RD TRIAL IN LABORATORY FERMENTER"/>
    <s v="Non"/>
    <e v="#N/A"/>
    <e v="#N/A"/>
    <n v="75164"/>
    <s v="91250072"/>
    <s v="BIOTIKA"/>
    <s v="Q2"/>
    <e v="#REF!"/>
    <e v="#REF!"/>
    <e v="#REF!"/>
  </r>
  <r>
    <s v="445201"/>
    <x v="6"/>
    <s v="TVA - C_20_INTRACOM"/>
    <s v="AC"/>
    <n v="-5557.74"/>
    <d v="2025-04-01T00:00:00"/>
    <s v="FIRST TRIAL OF INDIGO PRODUCTION ACTUAL CONSUMPTION OF RAW MATERIAL"/>
    <s v="Non"/>
    <e v="#N/A"/>
    <e v="#N/A"/>
    <n v="68981"/>
    <s v="91250029"/>
    <s v="BIOTIKA"/>
    <s v="Q2"/>
    <e v="#REF!"/>
    <e v="#REF!"/>
    <e v="#REF!"/>
  </r>
  <r>
    <s v="445201"/>
    <x v="6"/>
    <s v="TVA - C_20_INTRACOM"/>
    <s v="AC"/>
    <n v="-4778.2"/>
    <d v="2025-02-17T00:00:00"/>
    <s v="ADJUSTMENT OF PART OF FERMENTATION LINE"/>
    <s v="Non"/>
    <e v="#N/A"/>
    <e v="#N/A"/>
    <n v="95552"/>
    <s v="91250007"/>
    <s v="BIOTIKA"/>
    <s v="Q1"/>
    <e v="#REF!"/>
    <e v="#REF!"/>
    <e v="#REF!"/>
  </r>
  <r>
    <s v="445201"/>
    <x v="6"/>
    <s v="TVA - C_20_INTRACOM"/>
    <s v="AC"/>
    <n v="-4000"/>
    <d v="2025-04-14T00:00:00"/>
    <s v="1ST INSTALLMENT AFTER SIGN OF AGREEMENT"/>
    <s v="Non"/>
    <e v="#N/A"/>
    <e v="#N/A"/>
    <n v="69793"/>
    <s v="91250037"/>
    <s v="BIOTIKA"/>
    <s v="Q2"/>
    <e v="#REF!"/>
    <e v="#REF!"/>
    <e v="#REF!"/>
  </r>
  <r>
    <s v="445201"/>
    <x v="6"/>
    <s v="TVA - C_20_INTRACOM"/>
    <s v="AC"/>
    <n v="-3488.8"/>
    <d v="2025-07-16T00:00:00"/>
    <s v="SYNTHÈSE ET DÉVELOPPEMENT DE 1KG-V2 DE 2-CBA - KEENB"/>
    <m/>
    <e v="#N/A"/>
    <e v="#N/A"/>
    <n v="87183"/>
    <s v="INV/2025/00193"/>
    <s v="Taros Chemicals GmbH &amp; Co. KG"/>
    <s v="Q3"/>
    <e v="#REF!"/>
    <e v="#REF!"/>
    <e v="#REF!"/>
  </r>
  <r>
    <s v="445201"/>
    <x v="6"/>
    <s v="TVA - C_20_INTRACOM"/>
    <s v="AC"/>
    <n v="-3488.6"/>
    <d v="2025-09-16T00:00:00"/>
    <s v="DÉV ET SYNTHÈSE INTERMÉDIAIRE KEENB KG-SCALE - 2E PARTIE"/>
    <m/>
    <e v="#N/A"/>
    <e v="#N/A"/>
    <n v="85118"/>
    <s v="INV/2025/00261"/>
    <s v="Taros Chemicals GmbH &amp; Co. KG"/>
    <s v="Q3"/>
    <e v="#REF!"/>
    <e v="#REF!"/>
    <e v="#REF!"/>
  </r>
  <r>
    <s v="445201"/>
    <x v="6"/>
    <s v="TVA - C_20_INTRACOM"/>
    <s v="AC"/>
    <n v="-2600"/>
    <d v="2025-02-18T00:00:00"/>
    <s v="2ND INSTALLMENT AFTER FINISHING OF 3 LABORATORY TRIAL"/>
    <s v="Non"/>
    <e v="#N/A"/>
    <e v="#N/A"/>
    <n v="95544"/>
    <s v="91250008"/>
    <s v="BIOTIKA"/>
    <s v="Q1"/>
    <e v="#REF!"/>
    <e v="#REF!"/>
    <e v="#REF!"/>
  </r>
  <r>
    <s v="445201"/>
    <x v="6"/>
    <s v="TVA - C_20_INTRACOM"/>
    <s v="AC"/>
    <n v="-2143"/>
    <d v="2025-04-29T00:00:00"/>
    <s v="FIN DE LA SYNTHÈSE ET DÉVELOPPEMENT DE 1KG CYANOBENZOIC ACID - KEENB"/>
    <m/>
    <e v="#N/A"/>
    <e v="#N/A"/>
    <n v="76097"/>
    <s v="INV/2025/00106"/>
    <s v="Taros Chemicals GmbH &amp; Co. KG"/>
    <s v="Q2"/>
    <e v="#REF!"/>
    <e v="#REF!"/>
    <e v="#REF!"/>
  </r>
  <r>
    <s v="445201"/>
    <x v="6"/>
    <s v="TVA - C_20_INTRACOM"/>
    <s v="AC"/>
    <n v="-2142.8000000000002"/>
    <d v="2025-02-26T00:00:00"/>
    <s v="SYNTHÈSE ET DÉVELOPPEMENT DE 1KG CYANOBENZOIC ACID - KEENB"/>
    <m/>
    <e v="#N/A"/>
    <e v="#N/A"/>
    <n v="67550"/>
    <s v="INV/2025/00046"/>
    <s v="Taros Chemicals GmbH &amp; Co. KG"/>
    <s v="Q1"/>
    <e v="#REF!"/>
    <e v="#REF!"/>
    <e v="#REF!"/>
  </r>
  <r>
    <s v="445201"/>
    <x v="6"/>
    <s v="TVA - C_20_INTRACOM"/>
    <s v="AC"/>
    <n v="-1958.6"/>
    <d v="2025-01-23T00:00:00"/>
    <s v="SYNTHÈSE ET DÉVELOPPEMENT DE 1KG CYANOBENZOIC ACID - KEENB"/>
    <m/>
    <e v="#N/A"/>
    <e v="#N/A"/>
    <n v="67547"/>
    <s v="RE250012"/>
    <s v="Taros Chemicals GmbH &amp; Co. KG"/>
    <s v="Q1"/>
    <e v="#REF!"/>
    <e v="#REF!"/>
    <e v="#REF!"/>
  </r>
  <r>
    <s v="445201"/>
    <x v="6"/>
    <s v="TVA - C_20_INTRACOM"/>
    <s v="AC"/>
    <n v="-1297"/>
    <d v="2025-11-27T00:00:00"/>
    <s v="SALON TECHTEXTIL 2026"/>
    <m/>
    <e v="#N/A"/>
    <e v="#N/A"/>
    <n v="91977"/>
    <s v="1900667076"/>
    <s v="MESSE FRANKFURT EXHIBITION"/>
    <s v="Q4"/>
    <e v="#REF!"/>
    <e v="#REF!"/>
    <e v="#REF!"/>
  </r>
  <r>
    <s v="445201"/>
    <x v="6"/>
    <s v="TVA - C_20_INTRACOM"/>
    <s v="AC"/>
    <n v="-1065.68"/>
    <d v="2025-10-20T00:00:00"/>
    <s v="EQUIPMENT FLOTWEG"/>
    <s v="Non"/>
    <e v="#N/A"/>
    <e v="#N/A"/>
    <n v="89865"/>
    <s v="91250170"/>
    <s v="BIOTIKA"/>
    <s v="Q4"/>
    <e v="#REF!"/>
    <e v="#REF!"/>
    <e v="#REF!"/>
  </r>
  <r>
    <s v="445201"/>
    <x v="6"/>
    <s v="TVA - C_20_INTRACOM"/>
    <s v="AC"/>
    <n v="-1043.5899999999999"/>
    <d v="2025-10-08T00:00:00"/>
    <s v="RM COSTS (4 TRIALS)"/>
    <s v="Non"/>
    <e v="#N/A"/>
    <e v="#N/A"/>
    <n v="89861"/>
    <s v="91250161"/>
    <s v="BIOTIKA"/>
    <s v="Q4"/>
    <e v="#REF!"/>
    <e v="#REF!"/>
    <e v="#REF!"/>
  </r>
  <r>
    <s v="445201"/>
    <x v="6"/>
    <s v="TVA - C_20_INTRACOM"/>
    <s v="AC"/>
    <n v="-1000"/>
    <d v="2025-05-30T00:00:00"/>
    <s v="AGREEMENT  PHOENIX I - FACTURE FINALE - RAPPORT"/>
    <s v="Non"/>
    <e v="#N/A"/>
    <e v="#N/A"/>
    <n v="77095"/>
    <s v="91250075"/>
    <s v="BIOTIKA"/>
    <s v="Q2"/>
    <e v="#REF!"/>
    <e v="#REF!"/>
    <e v="#REF!"/>
  </r>
  <r>
    <s v="445201"/>
    <x v="6"/>
    <s v="TVA - C_20_INTRACOM"/>
    <s v="AC"/>
    <n v="-1000"/>
    <d v="2025-05-30T00:00:00"/>
    <s v="SUMMARY REPORT - AGREEMENT"/>
    <s v="Non"/>
    <e v="#N/A"/>
    <e v="#N/A"/>
    <n v="95538"/>
    <s v="91250074"/>
    <s v="BIOTIKA"/>
    <s v="Q2"/>
    <e v="#REF!"/>
    <e v="#REF!"/>
    <e v="#REF!"/>
  </r>
  <r>
    <s v="445201"/>
    <x v="6"/>
    <s v="TVA - C_20_INTRACOM"/>
    <s v="AC"/>
    <n v="-814.4"/>
    <d v="2025-08-21T00:00:00"/>
    <s v="LOCATION EQUIPEMENT FLOTWEG"/>
    <s v="Non"/>
    <e v="#N/A"/>
    <e v="#N/A"/>
    <n v="81961"/>
    <s v="91250137"/>
    <s v="BIOTIKA"/>
    <s v="Q3"/>
    <e v="#REF!"/>
    <e v="#REF!"/>
    <e v="#REF!"/>
  </r>
  <r>
    <s v="445201"/>
    <x v="6"/>
    <s v="TVA - C_20_INTRACOM"/>
    <s v="AC"/>
    <n v="-775"/>
    <d v="2025-05-19T00:00:00"/>
    <s v="TRANSPORT COSTS"/>
    <s v="Non"/>
    <e v="#N/A"/>
    <e v="#N/A"/>
    <n v="73808"/>
    <s v="91250055"/>
    <s v="BIOTIKA"/>
    <s v="Q2"/>
    <e v="#REF!"/>
    <e v="#REF!"/>
    <e v="#REF!"/>
  </r>
  <r>
    <s v="445201"/>
    <x v="6"/>
    <s v="TVA - C_20_INTRACOM"/>
    <s v="AC"/>
    <n v="-714.99"/>
    <d v="2025-11-13T00:00:00"/>
    <s v="RM - AGREEMENT VII"/>
    <s v="Non"/>
    <e v="#N/A"/>
    <e v="#N/A"/>
    <n v="91116"/>
    <s v="91250196"/>
    <s v="BIOTIKA"/>
    <s v="Q4"/>
    <e v="#REF!"/>
    <e v="#REF!"/>
    <e v="#REF!"/>
  </r>
  <r>
    <s v="445201"/>
    <x v="6"/>
    <s v="TVA - C_20_INTRACOM"/>
    <s v="AC"/>
    <n v="-518"/>
    <d v="2025-05-19T00:00:00"/>
    <s v="TRANSPORTATION COSTS"/>
    <s v="Non"/>
    <e v="#N/A"/>
    <e v="#N/A"/>
    <n v="77091"/>
    <s v="91250058"/>
    <s v="BIOTIKA"/>
    <s v="Q2"/>
    <e v="#REF!"/>
    <e v="#REF!"/>
    <e v="#REF!"/>
  </r>
  <r>
    <s v="445201"/>
    <x v="6"/>
    <s v="TVA - C_20_INTRACOM"/>
    <s v="AC"/>
    <n v="-400"/>
    <d v="2025-08-21T00:00:00"/>
    <s v="PHOENIX VBIO - ESSAI DECANTEUR - CENTRIGUGE / MARINER"/>
    <s v="Non"/>
    <e v="#N/A"/>
    <e v="#N/A"/>
    <n v="81812"/>
    <s v="91250136"/>
    <s v="BIOTIKA"/>
    <s v="Q3"/>
    <e v="#REF!"/>
    <e v="#REF!"/>
    <e v="#REF!"/>
  </r>
  <r>
    <s v="445201"/>
    <x v="6"/>
    <s v="TVA - C_20_INTRACOM"/>
    <s v="AC"/>
    <n v="-368"/>
    <d v="2025-06-03T00:00:00"/>
    <s v="TRANSPORT OF MATERIAL TO ALFA  LAVAL ITALY (MEDICAL LOGISTICS),"/>
    <s v="Non"/>
    <e v="#N/A"/>
    <e v="#N/A"/>
    <n v="76555"/>
    <s v="91250077"/>
    <s v="BIOTIKA"/>
    <s v="Q2"/>
    <e v="#REF!"/>
    <e v="#REF!"/>
    <e v="#REF!"/>
  </r>
  <r>
    <s v="445201"/>
    <x v="6"/>
    <s v="TVA - C_20_INTRACOM"/>
    <s v="AC"/>
    <n v="-316.5"/>
    <d v="2025-06-13T00:00:00"/>
    <s v="BASE DE DONNÉES ACV ECOINVENT 3.1"/>
    <m/>
    <e v="#N/A"/>
    <e v="#N/A"/>
    <n v="78021"/>
    <s v="23"/>
    <s v="GREENDELTA"/>
    <s v="Q2"/>
    <e v="#REF!"/>
    <e v="#REF!"/>
    <e v="#REF!"/>
  </r>
  <r>
    <s v="445201"/>
    <x v="6"/>
    <s v="TVA - C_20_INTRACOM"/>
    <s v="AC"/>
    <n v="-144.19999999999999"/>
    <d v="2025-05-19T00:00:00"/>
    <s v="TRANSPORT COSTS"/>
    <s v="Non"/>
    <e v="#N/A"/>
    <e v="#N/A"/>
    <n v="73800"/>
    <s v="91250057"/>
    <s v="BIOTIKA"/>
    <s v="Q2"/>
    <e v="#REF!"/>
    <e v="#REF!"/>
    <e v="#REF!"/>
  </r>
  <r>
    <s v="445201"/>
    <x v="6"/>
    <s v="TVA - C_20_INTRACOM"/>
    <s v="AC"/>
    <n v="-127.6"/>
    <d v="2025-04-08T00:00:00"/>
    <s v="FACTURE ÉCRAN ECS"/>
    <m/>
    <e v="#N/A"/>
    <e v="#N/A"/>
    <n v="69905"/>
    <s v="20852910"/>
    <s v="NURNBERG"/>
    <s v="Q2"/>
    <e v="#REF!"/>
    <e v="#REF!"/>
    <e v="#REF!"/>
  </r>
  <r>
    <s v="445201"/>
    <x v="6"/>
    <s v="TVA - C_20_INTRACOM"/>
    <s v="AC"/>
    <n v="-86.39"/>
    <d v="2025-10-20T00:00:00"/>
    <s v="TRANSPORT COSTS"/>
    <s v="Non"/>
    <e v="#N/A"/>
    <e v="#N/A"/>
    <n v="87455"/>
    <s v="91250167"/>
    <s v="BIOTIKA"/>
    <s v="Q4"/>
    <e v="#REF!"/>
    <e v="#REF!"/>
    <e v="#REF!"/>
  </r>
  <r>
    <s v="445201"/>
    <x v="6"/>
    <s v="TVA - C_20_INTRACOM"/>
    <s v="AC"/>
    <n v="-84.46"/>
    <d v="2025-05-19T00:00:00"/>
    <s v="TRANSPORT COSTS"/>
    <s v="Non"/>
    <e v="#N/A"/>
    <e v="#N/A"/>
    <n v="73791"/>
    <s v="91250056"/>
    <s v="BIOTIKA"/>
    <s v="Q2"/>
    <e v="#REF!"/>
    <e v="#REF!"/>
    <e v="#REF!"/>
  </r>
  <r>
    <s v="445201"/>
    <x v="6"/>
    <s v="TVA - C_20_INTRACOM"/>
    <s v="AC"/>
    <n v="-83.81"/>
    <d v="2025-10-20T00:00:00"/>
    <s v="TRANSPORT COSTS"/>
    <s v="Non"/>
    <e v="#N/A"/>
    <e v="#N/A"/>
    <n v="87451"/>
    <s v="91250166"/>
    <s v="BIOTIKA"/>
    <s v="Q4"/>
    <e v="#REF!"/>
    <e v="#REF!"/>
    <e v="#REF!"/>
  </r>
  <r>
    <s v="445201"/>
    <x v="6"/>
    <s v="TVA - C_20_INTRACOM"/>
    <s v="AC"/>
    <n v="-76"/>
    <d v="2025-04-15T00:00:00"/>
    <s v="TRANSPORT COSTS"/>
    <s v="Non"/>
    <e v="#N/A"/>
    <e v="#N/A"/>
    <n v="69806"/>
    <s v="91250039"/>
    <s v="BIOTIKA"/>
    <s v="Q2"/>
    <e v="#REF!"/>
    <e v="#REF!"/>
    <e v="#REF!"/>
  </r>
  <r>
    <s v="445201"/>
    <x v="6"/>
    <s v="TVA - C_20_INTRACOM"/>
    <s v="AC"/>
    <n v="-74.25"/>
    <d v="2025-04-02T00:00:00"/>
    <s v="TRANSPORT COSTS"/>
    <s v="Non"/>
    <e v="#N/A"/>
    <e v="#N/A"/>
    <n v="69697"/>
    <s v="91250024"/>
    <s v="BIOTIKA"/>
    <s v="Q2"/>
    <e v="#REF!"/>
    <e v="#REF!"/>
    <e v="#REF!"/>
  </r>
  <r>
    <s v="445201"/>
    <x v="6"/>
    <s v="TVA - C_20_INTRACOM"/>
    <s v="AC"/>
    <n v="-71.22"/>
    <d v="2025-11-10T00:00:00"/>
    <s v="COSTS OF TRANSPORT TO PILI VIA DACHSER - 23.10.2025"/>
    <s v="Non"/>
    <e v="#N/A"/>
    <e v="#N/A"/>
    <n v="91110"/>
    <s v="91250194"/>
    <s v="BIOTIKA"/>
    <s v="Q4"/>
    <e v="#REF!"/>
    <e v="#REF!"/>
    <e v="#REF!"/>
  </r>
  <r>
    <s v="445201"/>
    <x v="6"/>
    <s v="TVA - C_20_INTRACOM"/>
    <s v="AC"/>
    <n v="-68.88"/>
    <d v="2025-06-23T00:00:00"/>
    <s v="TRANSPORT OF ADR MATERIAL TO MILANO ITALY"/>
    <s v="Non"/>
    <e v="#N/A"/>
    <e v="#N/A"/>
    <n v="76819"/>
    <s v="91250083"/>
    <s v="BIOTIKA"/>
    <s v="Q2"/>
    <e v="#REF!"/>
    <e v="#REF!"/>
    <e v="#REF!"/>
  </r>
  <r>
    <s v="445201"/>
    <x v="6"/>
    <s v="TVA - C_20_INTRACOM"/>
    <s v="AC"/>
    <n v="-65.19"/>
    <d v="2025-09-16T00:00:00"/>
    <s v="TRANSPORT COSTS"/>
    <s v="Non"/>
    <e v="#N/A"/>
    <e v="#N/A"/>
    <n v="87431"/>
    <s v="91250148"/>
    <s v="BIOTIKA"/>
    <s v="Q3"/>
    <e v="#REF!"/>
    <e v="#REF!"/>
    <e v="#REF!"/>
  </r>
  <r>
    <s v="445201"/>
    <x v="6"/>
    <s v="TVA - C_20_INTRACOM"/>
    <s v="AC"/>
    <n v="-55.29"/>
    <d v="2025-09-16T00:00:00"/>
    <s v="TRANSPORT COSTS"/>
    <s v="Non"/>
    <e v="#N/A"/>
    <e v="#N/A"/>
    <n v="87427"/>
    <s v="91250147"/>
    <s v="BIOTIKA"/>
    <s v="Q3"/>
    <e v="#REF!"/>
    <e v="#REF!"/>
    <e v="#REF!"/>
  </r>
  <r>
    <s v="445201"/>
    <x v="6"/>
    <s v="TVA - C_20_INTRACOM"/>
    <s v="AC"/>
    <n v="-55.18"/>
    <d v="2025-04-08T00:00:00"/>
    <s v="TRANSPORT COSTS"/>
    <s v="Non"/>
    <e v="#N/A"/>
    <e v="#N/A"/>
    <n v="69733"/>
    <s v="91250032"/>
    <s v="BIOTIKA"/>
    <s v="Q2"/>
    <e v="#REF!"/>
    <e v="#REF!"/>
    <e v="#REF!"/>
  </r>
  <r>
    <s v="445201"/>
    <x v="6"/>
    <s v="TVA - C_20_INTRACOM"/>
    <s v="AC"/>
    <n v="-52.85"/>
    <d v="2025-12-08T00:00:00"/>
    <s v="COSTS OF TRANSPORT VIA FEDEX, AWB 886002140588, 13.11.2025, FEDEX INVOICE 208025262"/>
    <s v="Non"/>
    <e v="#N/A"/>
    <e v="#N/A"/>
    <n v="95732"/>
    <s v="91250202"/>
    <s v="BIOTIKA"/>
    <s v="Q4"/>
    <e v="#REF!"/>
    <e v="#REF!"/>
    <e v="#REF!"/>
  </r>
  <r>
    <s v="445201"/>
    <x v="6"/>
    <s v="TVA - C_20_INTRACOM"/>
    <s v="AC"/>
    <n v="-52.52"/>
    <d v="2025-07-21T00:00:00"/>
    <s v="COÛTS DE TRANSPORT - ECHANTILLONS"/>
    <s v="Non"/>
    <e v="#N/A"/>
    <e v="#N/A"/>
    <n v="81937"/>
    <s v="91250108"/>
    <s v="BIOTIKA"/>
    <s v="Q3"/>
    <e v="#REF!"/>
    <e v="#REF!"/>
    <e v="#REF!"/>
  </r>
  <r>
    <s v="445201"/>
    <x v="6"/>
    <s v="TVA - C_20_INTRACOM"/>
    <s v="AC"/>
    <n v="-52.52"/>
    <d v="2025-07-30T00:00:00"/>
    <s v="COUTS DE TRANSPORT"/>
    <s v="Non"/>
    <e v="#N/A"/>
    <e v="#N/A"/>
    <n v="81941"/>
    <s v="91250118"/>
    <s v="BIOTIKA"/>
    <s v="Q3"/>
    <e v="#REF!"/>
    <e v="#REF!"/>
    <e v="#REF!"/>
  </r>
  <r>
    <s v="445201"/>
    <x v="6"/>
    <s v="TVA - C_20_INTRACOM"/>
    <s v="AC"/>
    <n v="-49.55"/>
    <d v="2025-08-07T00:00:00"/>
    <s v="COÛT TRANSPORT"/>
    <s v="Non"/>
    <e v="#N/A"/>
    <e v="#N/A"/>
    <n v="81945"/>
    <s v="91250121"/>
    <s v="BIOTIKA"/>
    <s v="Q3"/>
    <e v="#REF!"/>
    <e v="#REF!"/>
    <e v="#REF!"/>
  </r>
  <r>
    <s v="445201"/>
    <x v="6"/>
    <s v="TVA - C_20_INTRACOM"/>
    <s v="AC"/>
    <n v="-48"/>
    <d v="2025-06-23T00:00:00"/>
    <s v="TRANSPORT OF MATERIAL FROM GBELY SK TO SLOVENSKÁ"/>
    <s v="Non"/>
    <e v="#N/A"/>
    <e v="#N/A"/>
    <n v="76611"/>
    <s v="91250084"/>
    <s v="BIOTIKA"/>
    <s v="Q2"/>
    <e v="#REF!"/>
    <e v="#REF!"/>
    <e v="#REF!"/>
  </r>
  <r>
    <s v="445201"/>
    <x v="6"/>
    <s v="TVA - C_20_INTRACOM"/>
    <s v="AC"/>
    <n v="-43.99"/>
    <d v="2025-08-07T00:00:00"/>
    <s v="COÛTS DE TRANSPORT ECHANTILLONS"/>
    <s v="Non"/>
    <e v="#N/A"/>
    <e v="#N/A"/>
    <n v="81953"/>
    <s v="91250123"/>
    <s v="BIOTIKA"/>
    <s v="Q3"/>
    <e v="#REF!"/>
    <e v="#REF!"/>
    <e v="#REF!"/>
  </r>
  <r>
    <s v="445201"/>
    <x v="6"/>
    <s v="TVA - C_20_INTRACOM"/>
    <s v="AC"/>
    <n v="-42.69"/>
    <d v="2025-07-02T00:00:00"/>
    <s v="FLEXIBLE 10-12MM EVENTS POMPE À VIDE KL + CONSOMMABLE PILOTE"/>
    <m/>
    <e v="#N/A"/>
    <e v="#N/A"/>
    <n v="80851"/>
    <s v="10762"/>
    <s v="PTFE TUBE SHOP"/>
    <s v="Q3"/>
    <e v="#REF!"/>
    <e v="#REF!"/>
    <e v="#REF!"/>
  </r>
  <r>
    <s v="445201"/>
    <x v="6"/>
    <s v="TVA - C_20_INTRACOM"/>
    <s v="AC"/>
    <n v="-31.4"/>
    <d v="2025-10-13T00:00:00"/>
    <s v="PRODUIT LISA"/>
    <m/>
    <e v="#N/A"/>
    <e v="#N/A"/>
    <n v="94269"/>
    <s v="INGM240404"/>
    <s v="BLD PHARMATECH"/>
    <s v="Q4"/>
    <e v="#REF!"/>
    <e v="#REF!"/>
    <e v="#REF!"/>
  </r>
  <r>
    <s v="445201"/>
    <x v="6"/>
    <s v="TVA - C_20_INTRACOM"/>
    <s v="AC"/>
    <n v="-31"/>
    <d v="2025-07-05T00:00:00"/>
    <s v="ABONNEMENT CREATIVE CLOUD PACK COMPLET, LOGICIELS DE PAO"/>
    <m/>
    <e v="#N/A"/>
    <e v="#N/A"/>
    <n v="80863"/>
    <s v="IEE2025009000468"/>
    <s v="ADOBE"/>
    <s v="Q3"/>
    <e v="#REF!"/>
    <e v="#REF!"/>
    <e v="#REF!"/>
  </r>
  <r>
    <s v="445201"/>
    <x v="6"/>
    <s v="TVA - C_20_INTRACOM"/>
    <s v="AC"/>
    <n v="-31"/>
    <d v="2025-11-05T00:00:00"/>
    <s v="ABONNEMENT CREATIVE CLOUD PACK COMPLET, LOGICIELS DE PAO"/>
    <m/>
    <e v="#N/A"/>
    <e v="#N/A"/>
    <n v="91420"/>
    <s v="IEE2025016882392"/>
    <s v="ADOBE"/>
    <s v="Q4"/>
    <e v="#REF!"/>
    <e v="#REF!"/>
    <e v="#REF!"/>
  </r>
  <r>
    <s v="445201"/>
    <x v="6"/>
    <s v="TVA - C_20_INTRACOM"/>
    <s v="AC"/>
    <n v="-31"/>
    <d v="2025-12-05T00:00:00"/>
    <s v="ABONNEMENT CREATIVE CLOUD PACK COMPLET, LOGICIELS DE PAO"/>
    <m/>
    <e v="#N/A"/>
    <e v="#N/A"/>
    <n v="93937"/>
    <s v="IEE2025018903546"/>
    <s v="ADOBE"/>
    <s v="Q4"/>
    <e v="#REF!"/>
    <e v="#REF!"/>
    <e v="#REF!"/>
  </r>
  <r>
    <s v="445201"/>
    <x v="6"/>
    <s v="TVA - C_20_INTRACOM"/>
    <s v="AC"/>
    <n v="-30.99"/>
    <d v="2025-04-06T00:00:00"/>
    <s v="ABONNEMENT CREATIVE CLOUD PACK COMPLET, LOGICIELS DE PAO"/>
    <m/>
    <e v="#N/A"/>
    <e v="#N/A"/>
    <n v="69723"/>
    <s v="40"/>
    <s v="ADOBE"/>
    <s v="Q2"/>
    <e v="#REF!"/>
    <e v="#REF!"/>
    <e v="#REF!"/>
  </r>
  <r>
    <s v="445201"/>
    <x v="6"/>
    <s v="TVA - C_20_INTRACOM"/>
    <s v="AC"/>
    <n v="-30.94"/>
    <d v="2025-04-03T00:00:00"/>
    <s v="VANNE 3 VOIES R1000 (E654-08)"/>
    <m/>
    <e v="#N/A"/>
    <e v="#N/A"/>
    <n v="69902"/>
    <s v="22502"/>
    <s v="BOHLENDER"/>
    <s v="Q2"/>
    <e v="#REF!"/>
    <e v="#REF!"/>
    <e v="#REF!"/>
  </r>
  <r>
    <s v="445201"/>
    <x v="6"/>
    <s v="TVA - C_20_INTRACOM"/>
    <s v="AC"/>
    <n v="-28"/>
    <d v="2025-08-18T00:00:00"/>
    <s v="TRANSPORT ECHANTILLON"/>
    <s v="Non"/>
    <e v="#N/A"/>
    <e v="#N/A"/>
    <n v="81957"/>
    <s v="91250133"/>
    <s v="BIOTIKA"/>
    <s v="Q3"/>
    <e v="#REF!"/>
    <e v="#REF!"/>
    <e v="#REF!"/>
  </r>
  <r>
    <s v="445201"/>
    <x v="6"/>
    <s v="TVA - C_20_INTRACOM"/>
    <s v="AC"/>
    <n v="-26.77"/>
    <d v="2025-11-25T00:00:00"/>
    <s v="COSTS OF TRANSPORT VIA FEDEX"/>
    <s v="Non"/>
    <e v="#N/A"/>
    <e v="#N/A"/>
    <n v="91961"/>
    <s v="91250200"/>
    <s v="BIOTIKA"/>
    <s v="Q4"/>
    <e v="#REF!"/>
    <e v="#REF!"/>
    <e v="#REF!"/>
  </r>
  <r>
    <s v="445201"/>
    <x v="6"/>
    <s v="TVA - C_20_INTRACOM"/>
    <s v="AC"/>
    <n v="-26.6"/>
    <d v="2025-11-03T00:00:00"/>
    <s v="COSTS OF TRANSPORT TO PILI VIA FEDEX - 22.10.2025"/>
    <s v="Non"/>
    <e v="#N/A"/>
    <e v="#N/A"/>
    <n v="91099"/>
    <s v="91250184"/>
    <s v="BIOTIKA"/>
    <s v="Q4"/>
    <e v="#REF!"/>
    <e v="#REF!"/>
    <e v="#REF!"/>
  </r>
  <r>
    <s v="445201"/>
    <x v="6"/>
    <s v="TVA - C_20_INTRACOM"/>
    <s v="AC"/>
    <n v="-23.79"/>
    <d v="2025-08-07T00:00:00"/>
    <s v="COUTS DE TRANSPORT - ECHANTILLONS"/>
    <s v="Non"/>
    <e v="#N/A"/>
    <e v="#N/A"/>
    <n v="81949"/>
    <s v="91250122"/>
    <s v="BIOTIKA"/>
    <s v="Q3"/>
    <e v="#REF!"/>
    <e v="#REF!"/>
    <e v="#REF!"/>
  </r>
  <r>
    <s v="445201"/>
    <x v="6"/>
    <s v="TVA - C_20_INTRACOM"/>
    <s v="AC"/>
    <n v="-20.8"/>
    <d v="2025-09-08T00:00:00"/>
    <s v="PRODUIT LISA"/>
    <m/>
    <e v="#N/A"/>
    <e v="#N/A"/>
    <n v="82332"/>
    <s v="INGM232808"/>
    <s v="BLD PHARMATECH"/>
    <s v="Q3"/>
    <e v="#REF!"/>
    <e v="#REF!"/>
    <e v="#REF!"/>
  </r>
  <r>
    <s v="445201"/>
    <x v="6"/>
    <s v="TVA - C_20_INTRACOM"/>
    <s v="AC"/>
    <n v="-14.61"/>
    <d v="2025-04-16T00:00:00"/>
    <s v="TRANSPORT COSTS"/>
    <s v="Non"/>
    <e v="#N/A"/>
    <e v="#N/A"/>
    <n v="69815"/>
    <s v="91250043"/>
    <s v="BIOTIKA"/>
    <s v="Q2"/>
    <e v="#REF!"/>
    <e v="#REF!"/>
    <e v="#REF!"/>
  </r>
  <r>
    <s v="445201"/>
    <x v="6"/>
    <s v="TVA - C_20_INTRACOM"/>
    <s v="AC"/>
    <n v="-8.92"/>
    <d v="2025-04-30T00:00:00"/>
    <s v="transport costs"/>
    <s v="Non"/>
    <e v="#N/A"/>
    <e v="#N/A"/>
    <n v="71453"/>
    <m/>
    <s v="BIOTIKA"/>
    <s v="Q2"/>
    <e v="#REF!"/>
    <e v="#REF!"/>
    <e v="#REF!"/>
  </r>
  <r>
    <s v="445201"/>
    <x v="6"/>
    <s v="TVA - C_20_INTRACOM"/>
    <s v="AC"/>
    <n v="-8.8800000000000008"/>
    <d v="2025-04-18T00:00:00"/>
    <s v="ABONNEMENT SHOPIFY + ABONNEMENT ORDER PRINTER (POUR ENVOI AUTO DES FACTURES)"/>
    <m/>
    <e v="#N/A"/>
    <e v="#N/A"/>
    <n v="69825"/>
    <s v="319204665"/>
    <s v="SHOPIFY"/>
    <s v="Q2"/>
    <e v="#REF!"/>
    <e v="#REF!"/>
    <e v="#REF!"/>
  </r>
  <r>
    <s v="445201"/>
    <x v="6"/>
    <s v="TVA - C_20_INTRACOM"/>
    <s v="AC"/>
    <n v="-8.83"/>
    <d v="2025-06-16T00:00:00"/>
    <s v="ABONNEMENT SHOPIFY + ABONNEMENT ORDER PRINTER (POUR ENVOI AUTO DES FACTURES)"/>
    <m/>
    <e v="#N/A"/>
    <e v="#N/A"/>
    <n v="78034"/>
    <s v="27"/>
    <s v="SHOPIFY"/>
    <s v="Q2"/>
    <e v="#REF!"/>
    <e v="#REF!"/>
    <e v="#REF!"/>
  </r>
  <r>
    <s v="445201"/>
    <x v="6"/>
    <s v="TVA - C_20_INTRACOM"/>
    <s v="AC"/>
    <n v="-8.82"/>
    <d v="2025-05-17T00:00:00"/>
    <s v="ABONNEMENT SHOPIFY + ABONNEMENT ORDER PRINTER (POUR ENVOI AUTO DES FACTURES)"/>
    <m/>
    <e v="#N/A"/>
    <e v="#N/A"/>
    <n v="74433"/>
    <s v="366906616"/>
    <s v="SHOPIFY"/>
    <s v="Q2"/>
    <e v="#REF!"/>
    <e v="#REF!"/>
    <e v="#REF!"/>
  </r>
  <r>
    <s v="445201"/>
    <x v="6"/>
    <s v="TVA - C_20_INTRACOM"/>
    <s v="AC"/>
    <n v="-6"/>
    <d v="2025-05-19T00:00:00"/>
    <s v="TRANSPORT COSTS"/>
    <s v="Non"/>
    <e v="#N/A"/>
    <e v="#N/A"/>
    <n v="73804"/>
    <s v="91250054"/>
    <s v="BIOTIKA"/>
    <s v="Q2"/>
    <e v="#REF!"/>
    <e v="#REF!"/>
    <e v="#REF!"/>
  </r>
  <r>
    <s v="445201"/>
    <x v="6"/>
    <s v="TVA - C_20_INTRACOM"/>
    <s v="AC"/>
    <n v="-6"/>
    <d v="2025-12-02T00:00:00"/>
    <s v="GESTIONNAIRE COOKIES SITE WEB PILI"/>
    <m/>
    <e v="#N/A"/>
    <e v="#N/A"/>
    <n v="93926"/>
    <s v="6033065"/>
    <s v="COOKIEBOT"/>
    <s v="Q4"/>
    <e v="#REF!"/>
    <e v="#REF!"/>
    <e v="#REF!"/>
  </r>
  <r>
    <s v="445201"/>
    <x v="6"/>
    <s v="TVA - C_20_INTRACOM"/>
    <s v="AC"/>
    <n v="-5.72"/>
    <d v="2025-10-20T00:00:00"/>
    <s v="TRANSPORT COSTS"/>
    <s v="Non"/>
    <e v="#N/A"/>
    <e v="#N/A"/>
    <n v="87447"/>
    <s v="91250169"/>
    <s v="BIOTIKA"/>
    <s v="Q4"/>
    <e v="#REF!"/>
    <e v="#REF!"/>
    <e v="#REF!"/>
  </r>
  <r>
    <s v="445201"/>
    <x v="6"/>
    <s v="TVA - C_20_INTRACOM"/>
    <s v="AC"/>
    <n v="-3"/>
    <d v="2025-04-02T00:00:00"/>
    <s v="GESTIONNAIRE COOKIES SITE WEB PILI"/>
    <m/>
    <e v="#N/A"/>
    <e v="#N/A"/>
    <n v="69687"/>
    <s v="5354897"/>
    <s v="COOKIEBOT"/>
    <s v="Q2"/>
    <e v="#REF!"/>
    <e v="#REF!"/>
    <e v="#REF!"/>
  </r>
  <r>
    <s v="445201"/>
    <x v="6"/>
    <s v="TVA - C_20_INTRACOM"/>
    <s v="AC"/>
    <n v="-3"/>
    <d v="2025-06-03T00:00:00"/>
    <s v="GESTIONNAIRE COOKIES SITE WEB PILI"/>
    <m/>
    <e v="#N/A"/>
    <e v="#N/A"/>
    <n v="77998"/>
    <s v="14"/>
    <s v="COOKIEBOT"/>
    <s v="Q2"/>
    <e v="#REF!"/>
    <e v="#REF!"/>
    <e v="#REF!"/>
  </r>
  <r>
    <s v="445201"/>
    <x v="6"/>
    <s v="TVA - C_20_INTRACOM"/>
    <s v="AN"/>
    <n v="-19420.91"/>
    <d v="2025-01-01T00:00:00"/>
    <s v="Report à nouveau Exercice 2025"/>
    <m/>
    <e v="#N/A"/>
    <e v="#N/A"/>
    <n v="84784"/>
    <m/>
    <m/>
    <s v="Q1"/>
    <e v="#REF!"/>
    <e v="#REF!"/>
    <e v="#REF!"/>
  </r>
  <r>
    <s v="445201"/>
    <x v="6"/>
    <s v="TVA - C_20_INTRACOM"/>
    <s v="AN"/>
    <n v="0"/>
    <d v="2025-01-01T00:00:00"/>
    <s v="Report à nouveau Exercice 2025"/>
    <m/>
    <e v="#N/A"/>
    <e v="#N/A"/>
    <n v="84823"/>
    <m/>
    <m/>
    <s v="Q1"/>
    <e v="#REF!"/>
    <e v="#REF!"/>
    <e v="#REF!"/>
  </r>
  <r>
    <s v="445201"/>
    <x v="6"/>
    <s v="TVA - C_20_INTRACOM"/>
    <s v="AN"/>
    <n v="0"/>
    <d v="2025-01-01T00:00:00"/>
    <s v="Report à nouveau Exercice 2025"/>
    <m/>
    <e v="#N/A"/>
    <e v="#N/A"/>
    <n v="84867"/>
    <m/>
    <m/>
    <s v="Q1"/>
    <e v="#REF!"/>
    <e v="#REF!"/>
    <e v="#REF!"/>
  </r>
  <r>
    <s v="445201"/>
    <x v="6"/>
    <s v="TVA - C_20_INTRACOM"/>
    <s v="AN"/>
    <n v="0"/>
    <d v="2025-01-01T00:00:00"/>
    <s v="Report à nouveau Exercice 2025"/>
    <m/>
    <e v="#N/A"/>
    <e v="#N/A"/>
    <n v="84966"/>
    <m/>
    <m/>
    <s v="Q1"/>
    <e v="#REF!"/>
    <e v="#REF!"/>
    <e v="#REF!"/>
  </r>
  <r>
    <s v="445201"/>
    <x v="6"/>
    <s v="TVA - C_20_INTRACOM"/>
    <s v="JC"/>
    <n v="19420.91"/>
    <d v="2025-01-01T00:00:00"/>
    <s v="Cadrage comptes audités 2024 - bilan"/>
    <m/>
    <e v="#N/A"/>
    <e v="#N/A"/>
    <n v="87162"/>
    <m/>
    <m/>
    <s v="Q1"/>
    <e v="#REF!"/>
    <e v="#REF!"/>
    <e v="#REF!"/>
  </r>
  <r>
    <s v="445201"/>
    <x v="6"/>
    <s v="TVA - C_20_INTRACOM"/>
    <s v="OD"/>
    <n v="-84066.53"/>
    <d v="2025-06-30T00:00:00"/>
    <s v="Liaison inter-établissement"/>
    <m/>
    <e v="#N/A"/>
    <e v="#N/A"/>
    <n v="78461"/>
    <m/>
    <m/>
    <s v="Q2"/>
    <e v="#REF!"/>
    <e v="#REF!"/>
    <e v="#REF!"/>
  </r>
  <r>
    <s v="445201"/>
    <x v="6"/>
    <s v="TVA - C_20_INTRACOM"/>
    <s v="OD"/>
    <n v="-33936.660000000003"/>
    <d v="2025-09-30T00:00:00"/>
    <s v="Liaison inter-établissement"/>
    <m/>
    <e v="#N/A"/>
    <e v="#N/A"/>
    <n v="87233"/>
    <m/>
    <m/>
    <s v="Q3"/>
    <e v="#REF!"/>
    <e v="#REF!"/>
    <e v="#REF!"/>
  </r>
  <r>
    <s v="445201"/>
    <x v="6"/>
    <s v="TVA - C_20_INTRACOM"/>
    <s v="OD"/>
    <n v="-10280.540000000001"/>
    <d v="2025-03-31T00:00:00"/>
    <s v="Liaison inter-établissement"/>
    <m/>
    <e v="#N/A"/>
    <e v="#N/A"/>
    <n v="68485"/>
    <m/>
    <m/>
    <s v="Q1"/>
    <e v="#REF!"/>
    <e v="#REF!"/>
    <e v="#REF!"/>
  </r>
  <r>
    <s v="445201"/>
    <x v="6"/>
    <s v="TVA - C_20_INTRACOM"/>
    <s v="OD"/>
    <n v="31"/>
    <d v="2025-09-30T00:00:00"/>
    <s v="Liaison inter-établissement vers TO "/>
    <m/>
    <e v="#N/A"/>
    <e v="#N/A"/>
    <n v="87236"/>
    <m/>
    <m/>
    <s v="Q3"/>
    <e v="#REF!"/>
    <e v="#REF!"/>
    <e v="#REF!"/>
  </r>
  <r>
    <s v="445201"/>
    <x v="6"/>
    <s v="TVA - C_20_INTRACOM"/>
    <s v="OD"/>
    <n v="191.12"/>
    <d v="2025-06-30T00:00:00"/>
    <s v="Liaison inter-établissement vers TO "/>
    <m/>
    <e v="#N/A"/>
    <e v="#N/A"/>
    <n v="78464"/>
    <m/>
    <m/>
    <s v="Q2"/>
    <e v="#REF!"/>
    <e v="#REF!"/>
    <e v="#REF!"/>
  </r>
  <r>
    <s v="445201"/>
    <x v="6"/>
    <s v="TVA - C_20_INTRACOM"/>
    <s v="OD"/>
    <n v="2142.8000000000002"/>
    <d v="2025-03-31T00:00:00"/>
    <s v="Liaison inter-établissement vers TO "/>
    <m/>
    <e v="#N/A"/>
    <e v="#N/A"/>
    <n v="68484"/>
    <m/>
    <m/>
    <s v="Q1"/>
    <e v="#REF!"/>
    <e v="#REF!"/>
    <e v="#REF!"/>
  </r>
  <r>
    <s v="445201"/>
    <x v="6"/>
    <s v="TVA - C_20_INTRACOM"/>
    <s v="OD"/>
    <n v="2459.5"/>
    <d v="2025-06-30T00:00:00"/>
    <s v="Liaison inter-établissement vers TO "/>
    <m/>
    <e v="#N/A"/>
    <e v="#N/A"/>
    <n v="78460"/>
    <m/>
    <m/>
    <s v="Q2"/>
    <e v="#REF!"/>
    <e v="#REF!"/>
    <e v="#REF!"/>
  </r>
  <r>
    <s v="445201"/>
    <x v="6"/>
    <s v="TVA - C_20_INTRACOM"/>
    <s v="OD"/>
    <n v="6998.2"/>
    <d v="2025-09-30T00:00:00"/>
    <s v="Liaison inter-établissement vers TO "/>
    <m/>
    <e v="#N/A"/>
    <e v="#N/A"/>
    <n v="87232"/>
    <m/>
    <m/>
    <s v="Q3"/>
    <e v="#REF!"/>
    <e v="#REF!"/>
    <e v="#REF!"/>
  </r>
  <r>
    <s v="445201"/>
    <x v="6"/>
    <s v="TVA - C_20_INTRACOM"/>
    <s v="OD"/>
    <n v="8137.74"/>
    <d v="2025-03-31T00:00:00"/>
    <s v="Liaison inter-établissement vers TO "/>
    <m/>
    <e v="#N/A"/>
    <e v="#N/A"/>
    <n v="68488"/>
    <m/>
    <m/>
    <s v="Q1"/>
    <e v="#REF!"/>
    <e v="#REF!"/>
    <e v="#REF!"/>
  </r>
  <r>
    <s v="445201"/>
    <x v="6"/>
    <s v="TVA - C_20_INTRACOM"/>
    <s v="OD"/>
    <n v="26907.46"/>
    <d v="2025-09-30T00:00:00"/>
    <s v="Liaison inter-établissement vers TO "/>
    <m/>
    <e v="#N/A"/>
    <e v="#N/A"/>
    <n v="87239"/>
    <m/>
    <m/>
    <s v="Q3"/>
    <e v="#REF!"/>
    <e v="#REF!"/>
    <e v="#REF!"/>
  </r>
  <r>
    <s v="445201"/>
    <x v="6"/>
    <s v="TVA - C_20_INTRACOM"/>
    <s v="OD"/>
    <n v="81415.91"/>
    <d v="2025-06-30T00:00:00"/>
    <s v="Liaison inter-établissement vers TO "/>
    <m/>
    <e v="#N/A"/>
    <e v="#N/A"/>
    <n v="78467"/>
    <m/>
    <m/>
    <s v="Q2"/>
    <e v="#REF!"/>
    <e v="#REF!"/>
    <e v="#REF!"/>
  </r>
  <r>
    <s v="445201"/>
    <x v="6"/>
    <s v="TVA - C_20_INTRACOM"/>
    <s v="TVA"/>
    <n v="-7490.54"/>
    <d v="2025-03-31T00:00:00"/>
    <s v="TVA Intracom"/>
    <s v="Non"/>
    <e v="#N/A"/>
    <e v="#N/A"/>
    <n v="66289"/>
    <s v="91250008"/>
    <s v="BIOTIKA"/>
    <s v="Q1"/>
    <e v="#REF!"/>
    <e v="#REF!"/>
    <e v="#REF!"/>
  </r>
  <r>
    <s v="445201"/>
    <x v="6"/>
    <s v="TVA - C_20_INTRACOM"/>
    <s v="TVA"/>
    <n v="-428.5"/>
    <d v="2025-03-31T00:00:00"/>
    <s v="TVA Intracom"/>
    <s v="Non"/>
    <e v="#N/A"/>
    <e v="#N/A"/>
    <n v="66291"/>
    <s v="91250018"/>
    <s v="ZDHC Gateway B.V."/>
    <s v="Q1"/>
    <e v="#REF!"/>
    <e v="#REF!"/>
    <e v="#REF!"/>
  </r>
  <r>
    <s v="445201"/>
    <x v="6"/>
    <s v="TVA - C_20_INTRACOM"/>
    <s v="TVA"/>
    <n v="-92.99"/>
    <d v="2025-03-31T00:00:00"/>
    <s v="TVA Intracom"/>
    <m/>
    <e v="#N/A"/>
    <e v="#N/A"/>
    <n v="68229"/>
    <m/>
    <s v="ADOBE"/>
    <s v="Q1"/>
    <e v="#REF!"/>
    <e v="#REF!"/>
    <e v="#REF!"/>
  </r>
  <r>
    <s v="445201"/>
    <x v="6"/>
    <s v="TVA - C_20_INTRACOM"/>
    <s v="TVA"/>
    <n v="-53.4"/>
    <d v="2025-03-31T00:00:00"/>
    <s v="TVA Intracom"/>
    <m/>
    <e v="#N/A"/>
    <e v="#N/A"/>
    <n v="68237"/>
    <m/>
    <s v="TCI"/>
    <s v="Q1"/>
    <e v="#REF!"/>
    <e v="#REF!"/>
    <e v="#REF!"/>
  </r>
  <r>
    <s v="445201"/>
    <x v="6"/>
    <s v="TVA - C_20_INTRACOM"/>
    <s v="TVA"/>
    <n v="-45.4"/>
    <d v="2025-03-31T00:00:00"/>
    <s v="TVA Intracom"/>
    <m/>
    <e v="#N/A"/>
    <e v="#N/A"/>
    <n v="68241"/>
    <m/>
    <s v="BLD PHARMATECH"/>
    <s v="Q1"/>
    <e v="#REF!"/>
    <e v="#REF!"/>
    <e v="#REF!"/>
  </r>
  <r>
    <s v="445201"/>
    <x v="6"/>
    <s v="TVA - C_20_INTRACOM"/>
    <s v="TVA"/>
    <n v="-17.91"/>
    <d v="2025-03-31T00:00:00"/>
    <s v="TVA Intracom"/>
    <m/>
    <e v="#N/A"/>
    <e v="#N/A"/>
    <n v="68225"/>
    <m/>
    <s v="SHOPIFY"/>
    <s v="Q1"/>
    <e v="#REF!"/>
    <e v="#REF!"/>
    <e v="#REF!"/>
  </r>
  <r>
    <s v="445201"/>
    <x v="6"/>
    <s v="TVA - C_20_INTRACOM"/>
    <s v="TVA"/>
    <n v="-9"/>
    <d v="2025-03-31T00:00:00"/>
    <s v="TVA Intracom"/>
    <m/>
    <e v="#N/A"/>
    <e v="#N/A"/>
    <n v="68233"/>
    <m/>
    <s v="COOKIEBOT"/>
    <s v="Q1"/>
    <e v="#REF!"/>
    <e v="#REF!"/>
    <e v="#REF!"/>
  </r>
  <r>
    <s v="445201"/>
    <x v="6"/>
    <s v="TVA - C_20_INTRACOM"/>
    <s v="TVA"/>
    <n v="12239.14"/>
    <d v="2025-03-31T00:00:00"/>
    <s v="Déclaration TVA Q1"/>
    <m/>
    <e v="#N/A"/>
    <e v="#N/A"/>
    <n v="68474"/>
    <m/>
    <m/>
    <s v="Q1"/>
    <e v="#REF!"/>
    <e v="#REF!"/>
    <e v="#REF!"/>
  </r>
  <r>
    <s v="445201"/>
    <x v="6"/>
    <s v="TVA - C_20_INTRACOM"/>
    <s v="TVA"/>
    <n v="33936.660000000003"/>
    <d v="2025-09-30T00:00:00"/>
    <s v="Déclaration TVA Q3 2025"/>
    <m/>
    <e v="#N/A"/>
    <e v="#N/A"/>
    <n v="87189"/>
    <m/>
    <m/>
    <s v="Q3"/>
    <e v="#REF!"/>
    <e v="#REF!"/>
    <e v="#REF!"/>
  </r>
  <r>
    <s v="445201"/>
    <x v="6"/>
    <s v="TVA - C_20_INTRACOM"/>
    <s v="TVA"/>
    <n v="55966.12"/>
    <d v="2025-12-31T00:00:00"/>
    <s v="Déclaration TVA Q4 2025"/>
    <m/>
    <e v="#N/A"/>
    <e v="#N/A"/>
    <n v="96042"/>
    <m/>
    <m/>
    <s v="Q4"/>
    <e v="#REF!"/>
    <e v="#REF!"/>
    <e v="#REF!"/>
  </r>
  <r>
    <s v="445201"/>
    <x v="6"/>
    <s v="TVA - C_20_INTRACOM"/>
    <s v="TVA"/>
    <n v="84075.45"/>
    <d v="2025-06-30T00:00:00"/>
    <s v="Déclaration TVA Q2 2025"/>
    <m/>
    <e v="#N/A"/>
    <e v="#N/A"/>
    <n v="78448"/>
    <m/>
    <m/>
    <s v="Q2"/>
    <e v="#REF!"/>
    <e v="#REF!"/>
    <e v="#REF!"/>
  </r>
  <r>
    <s v="445202"/>
    <x v="6"/>
    <s v="TVA - D_20_INTRACOM"/>
    <s v="AC"/>
    <n v="3"/>
    <d v="2025-04-02T00:00:00"/>
    <s v="GESTIONNAIRE COOKIES SITE WEB PILI"/>
    <m/>
    <e v="#N/A"/>
    <e v="#N/A"/>
    <n v="69688"/>
    <s v="5354897"/>
    <s v="COOKIEBOT"/>
    <s v="Q2"/>
    <e v="#REF!"/>
    <e v="#REF!"/>
    <e v="#REF!"/>
  </r>
  <r>
    <s v="445202"/>
    <x v="6"/>
    <s v="TVA - D_20_INTRACOM"/>
    <s v="AC"/>
    <n v="3"/>
    <d v="2025-06-03T00:00:00"/>
    <s v="GESTIONNAIRE COOKIES SITE WEB PILI"/>
    <m/>
    <e v="#N/A"/>
    <e v="#N/A"/>
    <n v="77999"/>
    <s v="14"/>
    <s v="COOKIEBOT"/>
    <s v="Q2"/>
    <e v="#REF!"/>
    <e v="#REF!"/>
    <e v="#REF!"/>
  </r>
  <r>
    <s v="445202"/>
    <x v="6"/>
    <s v="TVA - D_20_INTRACOM"/>
    <s v="AC"/>
    <n v="5.72"/>
    <d v="2025-10-20T00:00:00"/>
    <s v="TRANSPORT COSTS"/>
    <s v="Non"/>
    <e v="#N/A"/>
    <e v="#N/A"/>
    <n v="87448"/>
    <s v="91250169"/>
    <s v="BIOTIKA"/>
    <s v="Q4"/>
    <e v="#REF!"/>
    <e v="#REF!"/>
    <e v="#REF!"/>
  </r>
  <r>
    <s v="445202"/>
    <x v="6"/>
    <s v="TVA - D_20_INTRACOM"/>
    <s v="AC"/>
    <n v="6"/>
    <d v="2025-05-19T00:00:00"/>
    <s v="TRANSPORT COSTS"/>
    <s v="Non"/>
    <e v="#N/A"/>
    <e v="#N/A"/>
    <n v="73805"/>
    <s v="91250054"/>
    <s v="BIOTIKA"/>
    <s v="Q2"/>
    <e v="#REF!"/>
    <e v="#REF!"/>
    <e v="#REF!"/>
  </r>
  <r>
    <s v="445202"/>
    <x v="6"/>
    <s v="TVA - D_20_INTRACOM"/>
    <s v="AC"/>
    <n v="6"/>
    <d v="2025-12-02T00:00:00"/>
    <s v="GESTIONNAIRE COOKIES SITE WEB PILI"/>
    <m/>
    <e v="#N/A"/>
    <e v="#N/A"/>
    <n v="93927"/>
    <s v="6033065"/>
    <s v="COOKIEBOT"/>
    <s v="Q4"/>
    <e v="#REF!"/>
    <e v="#REF!"/>
    <e v="#REF!"/>
  </r>
  <r>
    <s v="445202"/>
    <x v="6"/>
    <s v="TVA - D_20_INTRACOM"/>
    <s v="AC"/>
    <n v="8.82"/>
    <d v="2025-05-17T00:00:00"/>
    <s v="ABONNEMENT SHOPIFY + ABONNEMENT ORDER PRINTER (POUR ENVOI AUTO DES FACTURES)"/>
    <m/>
    <e v="#N/A"/>
    <e v="#N/A"/>
    <n v="74434"/>
    <s v="366906616"/>
    <s v="SHOPIFY"/>
    <s v="Q2"/>
    <e v="#REF!"/>
    <e v="#REF!"/>
    <e v="#REF!"/>
  </r>
  <r>
    <s v="445202"/>
    <x v="6"/>
    <s v="TVA - D_20_INTRACOM"/>
    <s v="AC"/>
    <n v="8.83"/>
    <d v="2025-06-16T00:00:00"/>
    <s v="ABONNEMENT SHOPIFY + ABONNEMENT ORDER PRINTER (POUR ENVOI AUTO DES FACTURES)"/>
    <m/>
    <e v="#N/A"/>
    <e v="#N/A"/>
    <n v="78035"/>
    <s v="27"/>
    <s v="SHOPIFY"/>
    <s v="Q2"/>
    <e v="#REF!"/>
    <e v="#REF!"/>
    <e v="#REF!"/>
  </r>
  <r>
    <s v="445202"/>
    <x v="6"/>
    <s v="TVA - D_20_INTRACOM"/>
    <s v="AC"/>
    <n v="8.8800000000000008"/>
    <d v="2025-04-18T00:00:00"/>
    <s v="ABONNEMENT SHOPIFY + ABONNEMENT ORDER PRINTER (POUR ENVOI AUTO DES FACTURES)"/>
    <m/>
    <e v="#N/A"/>
    <e v="#N/A"/>
    <n v="69826"/>
    <s v="319204665"/>
    <s v="SHOPIFY"/>
    <s v="Q2"/>
    <e v="#REF!"/>
    <e v="#REF!"/>
    <e v="#REF!"/>
  </r>
  <r>
    <s v="445202"/>
    <x v="6"/>
    <s v="TVA - D_20_INTRACOM"/>
    <s v="AC"/>
    <n v="8.92"/>
    <d v="2025-04-30T00:00:00"/>
    <s v="transport costs"/>
    <s v="Non"/>
    <e v="#N/A"/>
    <e v="#N/A"/>
    <n v="71452"/>
    <m/>
    <s v="BIOTIKA"/>
    <s v="Q2"/>
    <e v="#REF!"/>
    <e v="#REF!"/>
    <e v="#REF!"/>
  </r>
  <r>
    <s v="445202"/>
    <x v="6"/>
    <s v="TVA - D_20_INTRACOM"/>
    <s v="AC"/>
    <n v="14.61"/>
    <d v="2025-04-16T00:00:00"/>
    <s v="TRANSPORT COSTS"/>
    <s v="Non"/>
    <e v="#N/A"/>
    <e v="#N/A"/>
    <n v="69816"/>
    <s v="91250043"/>
    <s v="BIOTIKA"/>
    <s v="Q2"/>
    <e v="#REF!"/>
    <e v="#REF!"/>
    <e v="#REF!"/>
  </r>
  <r>
    <s v="445202"/>
    <x v="6"/>
    <s v="TVA - D_20_INTRACOM"/>
    <s v="AC"/>
    <n v="20.8"/>
    <d v="2025-09-08T00:00:00"/>
    <s v="PRODUIT LISA"/>
    <m/>
    <e v="#N/A"/>
    <e v="#N/A"/>
    <n v="82333"/>
    <s v="INGM232808"/>
    <s v="BLD PHARMATECH"/>
    <s v="Q3"/>
    <e v="#REF!"/>
    <e v="#REF!"/>
    <e v="#REF!"/>
  </r>
  <r>
    <s v="445202"/>
    <x v="6"/>
    <s v="TVA - D_20_INTRACOM"/>
    <s v="AC"/>
    <n v="23.79"/>
    <d v="2025-08-07T00:00:00"/>
    <s v="COUTS DE TRANSPORT - ECHANTILLONS"/>
    <s v="Non"/>
    <e v="#N/A"/>
    <e v="#N/A"/>
    <n v="81950"/>
    <s v="91250122"/>
    <s v="BIOTIKA"/>
    <s v="Q3"/>
    <e v="#REF!"/>
    <e v="#REF!"/>
    <e v="#REF!"/>
  </r>
  <r>
    <s v="445202"/>
    <x v="6"/>
    <s v="TVA - D_20_INTRACOM"/>
    <s v="AC"/>
    <n v="26.6"/>
    <d v="2025-11-03T00:00:00"/>
    <s v="COSTS OF TRANSPORT TO PILI VIA FEDEX - 22.10.2025"/>
    <s v="Non"/>
    <e v="#N/A"/>
    <e v="#N/A"/>
    <n v="91100"/>
    <s v="91250184"/>
    <s v="BIOTIKA"/>
    <s v="Q4"/>
    <e v="#REF!"/>
    <e v="#REF!"/>
    <e v="#REF!"/>
  </r>
  <r>
    <s v="445202"/>
    <x v="6"/>
    <s v="TVA - D_20_INTRACOM"/>
    <s v="AC"/>
    <n v="26.77"/>
    <d v="2025-11-25T00:00:00"/>
    <s v="COSTS OF TRANSPORT VIA FEDEX"/>
    <s v="Non"/>
    <e v="#N/A"/>
    <e v="#N/A"/>
    <n v="91962"/>
    <s v="91250200"/>
    <s v="BIOTIKA"/>
    <s v="Q4"/>
    <e v="#REF!"/>
    <e v="#REF!"/>
    <e v="#REF!"/>
  </r>
  <r>
    <s v="445202"/>
    <x v="6"/>
    <s v="TVA - D_20_INTRACOM"/>
    <s v="AC"/>
    <n v="28"/>
    <d v="2025-08-18T00:00:00"/>
    <s v="TRANSPORT ECHANTILLON"/>
    <s v="Non"/>
    <e v="#N/A"/>
    <e v="#N/A"/>
    <n v="81958"/>
    <s v="91250133"/>
    <s v="BIOTIKA"/>
    <s v="Q3"/>
    <e v="#REF!"/>
    <e v="#REF!"/>
    <e v="#REF!"/>
  </r>
  <r>
    <s v="445202"/>
    <x v="6"/>
    <s v="TVA - D_20_INTRACOM"/>
    <s v="AC"/>
    <n v="30.94"/>
    <d v="2025-04-03T00:00:00"/>
    <s v="VANNE 3 VOIES R1000 (E654-08)"/>
    <m/>
    <e v="#N/A"/>
    <e v="#N/A"/>
    <n v="69901"/>
    <s v="22502"/>
    <s v="BOHLENDER"/>
    <s v="Q2"/>
    <e v="#REF!"/>
    <e v="#REF!"/>
    <e v="#REF!"/>
  </r>
  <r>
    <s v="445202"/>
    <x v="6"/>
    <s v="TVA - D_20_INTRACOM"/>
    <s v="AC"/>
    <n v="30.99"/>
    <d v="2025-04-06T00:00:00"/>
    <s v="ABONNEMENT CREATIVE CLOUD PACK COMPLET, LOGICIELS DE PAO"/>
    <m/>
    <e v="#N/A"/>
    <e v="#N/A"/>
    <n v="69724"/>
    <s v="40"/>
    <s v="ADOBE"/>
    <s v="Q2"/>
    <e v="#REF!"/>
    <e v="#REF!"/>
    <e v="#REF!"/>
  </r>
  <r>
    <s v="445202"/>
    <x v="6"/>
    <s v="TVA - D_20_INTRACOM"/>
    <s v="AC"/>
    <n v="31"/>
    <d v="2025-07-05T00:00:00"/>
    <s v="ABONNEMENT CREATIVE CLOUD PACK COMPLET, LOGICIELS DE PAO"/>
    <m/>
    <e v="#N/A"/>
    <e v="#N/A"/>
    <n v="80864"/>
    <s v="IEE2025009000468"/>
    <s v="ADOBE"/>
    <s v="Q3"/>
    <e v="#REF!"/>
    <e v="#REF!"/>
    <e v="#REF!"/>
  </r>
  <r>
    <s v="445202"/>
    <x v="6"/>
    <s v="TVA - D_20_INTRACOM"/>
    <s v="AC"/>
    <n v="31"/>
    <d v="2025-11-05T00:00:00"/>
    <s v="ABONNEMENT CREATIVE CLOUD PACK COMPLET, LOGICIELS DE PAO"/>
    <m/>
    <e v="#N/A"/>
    <e v="#N/A"/>
    <n v="91421"/>
    <s v="IEE2025016882392"/>
    <s v="ADOBE"/>
    <s v="Q4"/>
    <e v="#REF!"/>
    <e v="#REF!"/>
    <e v="#REF!"/>
  </r>
  <r>
    <s v="445202"/>
    <x v="6"/>
    <s v="TVA - D_20_INTRACOM"/>
    <s v="AC"/>
    <n v="31"/>
    <d v="2025-12-05T00:00:00"/>
    <s v="ABONNEMENT CREATIVE CLOUD PACK COMPLET, LOGICIELS DE PAO"/>
    <m/>
    <e v="#N/A"/>
    <e v="#N/A"/>
    <n v="93938"/>
    <s v="IEE2025018903546"/>
    <s v="ADOBE"/>
    <s v="Q4"/>
    <e v="#REF!"/>
    <e v="#REF!"/>
    <e v="#REF!"/>
  </r>
  <r>
    <s v="445202"/>
    <x v="6"/>
    <s v="TVA - D_20_INTRACOM"/>
    <s v="AC"/>
    <n v="31.4"/>
    <d v="2025-10-13T00:00:00"/>
    <s v="PRODUIT LISA"/>
    <m/>
    <e v="#N/A"/>
    <e v="#N/A"/>
    <n v="94270"/>
    <s v="INGM240404"/>
    <s v="BLD PHARMATECH"/>
    <s v="Q4"/>
    <e v="#REF!"/>
    <e v="#REF!"/>
    <e v="#REF!"/>
  </r>
  <r>
    <s v="445202"/>
    <x v="6"/>
    <s v="TVA - D_20_INTRACOM"/>
    <s v="AC"/>
    <n v="42.69"/>
    <d v="2025-07-02T00:00:00"/>
    <s v="FLEXIBLE 10-12MM EVENTS POMPE À VIDE KL + CONSOMMABLE PILOTE"/>
    <m/>
    <e v="#N/A"/>
    <e v="#N/A"/>
    <n v="80852"/>
    <s v="10762"/>
    <s v="PTFE TUBE SHOP"/>
    <s v="Q3"/>
    <e v="#REF!"/>
    <e v="#REF!"/>
    <e v="#REF!"/>
  </r>
  <r>
    <s v="445202"/>
    <x v="6"/>
    <s v="TVA - D_20_INTRACOM"/>
    <s v="AC"/>
    <n v="43.99"/>
    <d v="2025-08-07T00:00:00"/>
    <s v="COÛTS DE TRANSPORT ECHANTILLONS"/>
    <s v="Non"/>
    <e v="#N/A"/>
    <e v="#N/A"/>
    <n v="81954"/>
    <s v="91250123"/>
    <s v="BIOTIKA"/>
    <s v="Q3"/>
    <e v="#REF!"/>
    <e v="#REF!"/>
    <e v="#REF!"/>
  </r>
  <r>
    <s v="445202"/>
    <x v="6"/>
    <s v="TVA - D_20_INTRACOM"/>
    <s v="AC"/>
    <n v="48"/>
    <d v="2025-06-23T00:00:00"/>
    <s v="TRANSPORT OF MATERIAL FROM GBELY SK TO SLOVENSKÁ"/>
    <s v="Non"/>
    <e v="#N/A"/>
    <e v="#N/A"/>
    <n v="76612"/>
    <s v="91250084"/>
    <s v="BIOTIKA"/>
    <s v="Q2"/>
    <e v="#REF!"/>
    <e v="#REF!"/>
    <e v="#REF!"/>
  </r>
  <r>
    <s v="445202"/>
    <x v="6"/>
    <s v="TVA - D_20_INTRACOM"/>
    <s v="AC"/>
    <n v="49.55"/>
    <d v="2025-08-07T00:00:00"/>
    <s v="COÛT TRANSPORT"/>
    <s v="Non"/>
    <e v="#N/A"/>
    <e v="#N/A"/>
    <n v="81946"/>
    <s v="91250121"/>
    <s v="BIOTIKA"/>
    <s v="Q3"/>
    <e v="#REF!"/>
    <e v="#REF!"/>
    <e v="#REF!"/>
  </r>
  <r>
    <s v="445202"/>
    <x v="6"/>
    <s v="TVA - D_20_INTRACOM"/>
    <s v="AC"/>
    <n v="52.52"/>
    <d v="2025-07-21T00:00:00"/>
    <s v="COÛTS DE TRANSPORT - ECHANTILLONS"/>
    <s v="Non"/>
    <e v="#N/A"/>
    <e v="#N/A"/>
    <n v="81938"/>
    <s v="91250108"/>
    <s v="BIOTIKA"/>
    <s v="Q3"/>
    <e v="#REF!"/>
    <e v="#REF!"/>
    <e v="#REF!"/>
  </r>
  <r>
    <s v="445202"/>
    <x v="6"/>
    <s v="TVA - D_20_INTRACOM"/>
    <s v="AC"/>
    <n v="52.52"/>
    <d v="2025-07-30T00:00:00"/>
    <s v="COUTS DE TRANSPORT"/>
    <s v="Non"/>
    <e v="#N/A"/>
    <e v="#N/A"/>
    <n v="81942"/>
    <s v="91250118"/>
    <s v="BIOTIKA"/>
    <s v="Q3"/>
    <e v="#REF!"/>
    <e v="#REF!"/>
    <e v="#REF!"/>
  </r>
  <r>
    <s v="445202"/>
    <x v="6"/>
    <s v="TVA - D_20_INTRACOM"/>
    <s v="AC"/>
    <n v="52.85"/>
    <d v="2025-12-08T00:00:00"/>
    <s v="COSTS OF TRANSPORT VIA FEDEX, AWB 886002140588, 13.11.2025, FEDEX INVOICE 208025262"/>
    <s v="Non"/>
    <e v="#N/A"/>
    <e v="#N/A"/>
    <n v="95733"/>
    <s v="91250202"/>
    <s v="BIOTIKA"/>
    <s v="Q4"/>
    <e v="#REF!"/>
    <e v="#REF!"/>
    <e v="#REF!"/>
  </r>
  <r>
    <s v="445202"/>
    <x v="6"/>
    <s v="TVA - D_20_INTRACOM"/>
    <s v="AC"/>
    <n v="55.18"/>
    <d v="2025-04-08T00:00:00"/>
    <s v="TRANSPORT COSTS"/>
    <s v="Non"/>
    <e v="#N/A"/>
    <e v="#N/A"/>
    <n v="69734"/>
    <s v="91250032"/>
    <s v="BIOTIKA"/>
    <s v="Q2"/>
    <e v="#REF!"/>
    <e v="#REF!"/>
    <e v="#REF!"/>
  </r>
  <r>
    <s v="445202"/>
    <x v="6"/>
    <s v="TVA - D_20_INTRACOM"/>
    <s v="AC"/>
    <n v="55.29"/>
    <d v="2025-09-16T00:00:00"/>
    <s v="TRANSPORT COSTS"/>
    <s v="Non"/>
    <e v="#N/A"/>
    <e v="#N/A"/>
    <n v="87428"/>
    <s v="91250147"/>
    <s v="BIOTIKA"/>
    <s v="Q3"/>
    <e v="#REF!"/>
    <e v="#REF!"/>
    <e v="#REF!"/>
  </r>
  <r>
    <s v="445202"/>
    <x v="6"/>
    <s v="TVA - D_20_INTRACOM"/>
    <s v="AC"/>
    <n v="65.19"/>
    <d v="2025-09-16T00:00:00"/>
    <s v="TRANSPORT COSTS"/>
    <s v="Non"/>
    <e v="#N/A"/>
    <e v="#N/A"/>
    <n v="87432"/>
    <s v="91250148"/>
    <s v="BIOTIKA"/>
    <s v="Q3"/>
    <e v="#REF!"/>
    <e v="#REF!"/>
    <e v="#REF!"/>
  </r>
  <r>
    <s v="445202"/>
    <x v="6"/>
    <s v="TVA - D_20_INTRACOM"/>
    <s v="AC"/>
    <n v="68.88"/>
    <d v="2025-06-23T00:00:00"/>
    <s v="TRANSPORT OF ADR MATERIAL TO MILANO ITALY"/>
    <s v="Non"/>
    <e v="#N/A"/>
    <e v="#N/A"/>
    <n v="76820"/>
    <s v="91250083"/>
    <s v="BIOTIKA"/>
    <s v="Q2"/>
    <e v="#REF!"/>
    <e v="#REF!"/>
    <e v="#REF!"/>
  </r>
  <r>
    <s v="445202"/>
    <x v="6"/>
    <s v="TVA - D_20_INTRACOM"/>
    <s v="AC"/>
    <n v="71.22"/>
    <d v="2025-11-10T00:00:00"/>
    <s v="COSTS OF TRANSPORT TO PILI VIA DACHSER - 23.10.2025"/>
    <s v="Non"/>
    <e v="#N/A"/>
    <e v="#N/A"/>
    <n v="91111"/>
    <s v="91250194"/>
    <s v="BIOTIKA"/>
    <s v="Q4"/>
    <e v="#REF!"/>
    <e v="#REF!"/>
    <e v="#REF!"/>
  </r>
  <r>
    <s v="445202"/>
    <x v="6"/>
    <s v="TVA - D_20_INTRACOM"/>
    <s v="AC"/>
    <n v="74.25"/>
    <d v="2025-04-02T00:00:00"/>
    <s v="TRANSPORT COSTS"/>
    <s v="Non"/>
    <e v="#N/A"/>
    <e v="#N/A"/>
    <n v="69698"/>
    <s v="91250024"/>
    <s v="BIOTIKA"/>
    <s v="Q2"/>
    <e v="#REF!"/>
    <e v="#REF!"/>
    <e v="#REF!"/>
  </r>
  <r>
    <s v="445202"/>
    <x v="6"/>
    <s v="TVA - D_20_INTRACOM"/>
    <s v="AC"/>
    <n v="76"/>
    <d v="2025-04-15T00:00:00"/>
    <s v="TRANSPORT COSTS"/>
    <s v="Non"/>
    <e v="#N/A"/>
    <e v="#N/A"/>
    <n v="69807"/>
    <s v="91250039"/>
    <s v="BIOTIKA"/>
    <s v="Q2"/>
    <e v="#REF!"/>
    <e v="#REF!"/>
    <e v="#REF!"/>
  </r>
  <r>
    <s v="445202"/>
    <x v="6"/>
    <s v="TVA - D_20_INTRACOM"/>
    <s v="AC"/>
    <n v="83.81"/>
    <d v="2025-10-20T00:00:00"/>
    <s v="TRANSPORT COSTS"/>
    <s v="Non"/>
    <e v="#N/A"/>
    <e v="#N/A"/>
    <n v="87452"/>
    <s v="91250166"/>
    <s v="BIOTIKA"/>
    <s v="Q4"/>
    <e v="#REF!"/>
    <e v="#REF!"/>
    <e v="#REF!"/>
  </r>
  <r>
    <s v="445202"/>
    <x v="6"/>
    <s v="TVA - D_20_INTRACOM"/>
    <s v="AC"/>
    <n v="84.46"/>
    <d v="2025-05-19T00:00:00"/>
    <s v="TRANSPORT COSTS"/>
    <s v="Non"/>
    <e v="#N/A"/>
    <e v="#N/A"/>
    <n v="73792"/>
    <s v="91250056"/>
    <s v="BIOTIKA"/>
    <s v="Q2"/>
    <e v="#REF!"/>
    <e v="#REF!"/>
    <e v="#REF!"/>
  </r>
  <r>
    <s v="445202"/>
    <x v="6"/>
    <s v="TVA - D_20_INTRACOM"/>
    <s v="AC"/>
    <n v="86.39"/>
    <d v="2025-10-20T00:00:00"/>
    <s v="TRANSPORT COSTS"/>
    <s v="Non"/>
    <e v="#N/A"/>
    <e v="#N/A"/>
    <n v="87456"/>
    <s v="91250167"/>
    <s v="BIOTIKA"/>
    <s v="Q4"/>
    <e v="#REF!"/>
    <e v="#REF!"/>
    <e v="#REF!"/>
  </r>
  <r>
    <s v="445202"/>
    <x v="6"/>
    <s v="TVA - D_20_INTRACOM"/>
    <s v="AC"/>
    <n v="127.6"/>
    <d v="2025-04-08T00:00:00"/>
    <s v="FACTURE ÉCRAN ECS"/>
    <m/>
    <e v="#N/A"/>
    <e v="#N/A"/>
    <n v="69906"/>
    <s v="20852910"/>
    <s v="NURNBERG"/>
    <s v="Q2"/>
    <e v="#REF!"/>
    <e v="#REF!"/>
    <e v="#REF!"/>
  </r>
  <r>
    <s v="445202"/>
    <x v="6"/>
    <s v="TVA - D_20_INTRACOM"/>
    <s v="AC"/>
    <n v="144.19999999999999"/>
    <d v="2025-05-19T00:00:00"/>
    <s v="TRANSPORT COSTS"/>
    <s v="Non"/>
    <e v="#N/A"/>
    <e v="#N/A"/>
    <n v="73801"/>
    <s v="91250057"/>
    <s v="BIOTIKA"/>
    <s v="Q2"/>
    <e v="#REF!"/>
    <e v="#REF!"/>
    <e v="#REF!"/>
  </r>
  <r>
    <s v="445202"/>
    <x v="6"/>
    <s v="TVA - D_20_INTRACOM"/>
    <s v="AC"/>
    <n v="316.5"/>
    <d v="2025-06-13T00:00:00"/>
    <s v="BASE DE DONNÉES ACV ECOINVENT 3.1"/>
    <m/>
    <e v="#N/A"/>
    <e v="#N/A"/>
    <n v="78022"/>
    <s v="23"/>
    <s v="GREENDELTA"/>
    <s v="Q2"/>
    <e v="#REF!"/>
    <e v="#REF!"/>
    <e v="#REF!"/>
  </r>
  <r>
    <s v="445202"/>
    <x v="6"/>
    <s v="TVA - D_20_INTRACOM"/>
    <s v="AC"/>
    <n v="368"/>
    <d v="2025-06-03T00:00:00"/>
    <s v="TRANSPORT OF MATERIAL TO ALFA  LAVAL ITALY (MEDICAL LOGISTICS),"/>
    <s v="Non"/>
    <e v="#N/A"/>
    <e v="#N/A"/>
    <n v="76556"/>
    <s v="91250077"/>
    <s v="BIOTIKA"/>
    <s v="Q2"/>
    <e v="#REF!"/>
    <e v="#REF!"/>
    <e v="#REF!"/>
  </r>
  <r>
    <s v="445202"/>
    <x v="6"/>
    <s v="TVA - D_20_INTRACOM"/>
    <s v="AC"/>
    <n v="400"/>
    <d v="2025-08-21T00:00:00"/>
    <s v="PHOENIX VBIO - ESSAI DECANTEUR - CENTRIGUGE / MARINER"/>
    <s v="Non"/>
    <e v="#N/A"/>
    <e v="#N/A"/>
    <n v="81813"/>
    <s v="91250136"/>
    <s v="BIOTIKA"/>
    <s v="Q3"/>
    <e v="#REF!"/>
    <e v="#REF!"/>
    <e v="#REF!"/>
  </r>
  <r>
    <s v="445202"/>
    <x v="6"/>
    <s v="TVA - D_20_INTRACOM"/>
    <s v="AC"/>
    <n v="518"/>
    <d v="2025-05-19T00:00:00"/>
    <s v="TRANSPORTATION COSTS"/>
    <s v="Non"/>
    <e v="#N/A"/>
    <e v="#N/A"/>
    <n v="77092"/>
    <s v="91250058"/>
    <s v="BIOTIKA"/>
    <s v="Q2"/>
    <e v="#REF!"/>
    <e v="#REF!"/>
    <e v="#REF!"/>
  </r>
  <r>
    <s v="445202"/>
    <x v="6"/>
    <s v="TVA - D_20_INTRACOM"/>
    <s v="AC"/>
    <n v="714.99"/>
    <d v="2025-11-13T00:00:00"/>
    <s v="RM - AGREEMENT VII"/>
    <s v="Non"/>
    <e v="#N/A"/>
    <e v="#N/A"/>
    <n v="91117"/>
    <s v="91250196"/>
    <s v="BIOTIKA"/>
    <s v="Q4"/>
    <e v="#REF!"/>
    <e v="#REF!"/>
    <e v="#REF!"/>
  </r>
  <r>
    <s v="445202"/>
    <x v="6"/>
    <s v="TVA - D_20_INTRACOM"/>
    <s v="AC"/>
    <n v="775"/>
    <d v="2025-05-19T00:00:00"/>
    <s v="TRANSPORT COSTS"/>
    <s v="Non"/>
    <e v="#N/A"/>
    <e v="#N/A"/>
    <n v="73809"/>
    <s v="91250055"/>
    <s v="BIOTIKA"/>
    <s v="Q2"/>
    <e v="#REF!"/>
    <e v="#REF!"/>
    <e v="#REF!"/>
  </r>
  <r>
    <s v="445202"/>
    <x v="6"/>
    <s v="TVA - D_20_INTRACOM"/>
    <s v="AC"/>
    <n v="814.4"/>
    <d v="2025-08-21T00:00:00"/>
    <s v="LOCATION EQUIPEMENT FLOTWEG"/>
    <s v="Non"/>
    <e v="#N/A"/>
    <e v="#N/A"/>
    <n v="81962"/>
    <s v="91250137"/>
    <s v="BIOTIKA"/>
    <s v="Q3"/>
    <e v="#REF!"/>
    <e v="#REF!"/>
    <e v="#REF!"/>
  </r>
  <r>
    <s v="445202"/>
    <x v="6"/>
    <s v="TVA - D_20_INTRACOM"/>
    <s v="AC"/>
    <n v="1000"/>
    <d v="2025-05-30T00:00:00"/>
    <s v="AGREEMENT  PHOENIX I - FACTURE FINALE - RAPPORT"/>
    <s v="Non"/>
    <e v="#N/A"/>
    <e v="#N/A"/>
    <n v="77096"/>
    <s v="91250075"/>
    <s v="BIOTIKA"/>
    <s v="Q2"/>
    <e v="#REF!"/>
    <e v="#REF!"/>
    <e v="#REF!"/>
  </r>
  <r>
    <s v="445202"/>
    <x v="6"/>
    <s v="TVA - D_20_INTRACOM"/>
    <s v="AC"/>
    <n v="1000"/>
    <d v="2025-05-30T00:00:00"/>
    <s v="SUMMARY REPORT - AGREEMENT"/>
    <s v="Non"/>
    <e v="#N/A"/>
    <e v="#N/A"/>
    <n v="95537"/>
    <s v="91250074"/>
    <s v="BIOTIKA"/>
    <s v="Q2"/>
    <e v="#REF!"/>
    <e v="#REF!"/>
    <e v="#REF!"/>
  </r>
  <r>
    <s v="445202"/>
    <x v="6"/>
    <s v="TVA - D_20_INTRACOM"/>
    <s v="AC"/>
    <n v="1043.5899999999999"/>
    <d v="2025-10-08T00:00:00"/>
    <s v="RM COSTS (4 TRIALS)"/>
    <s v="Non"/>
    <e v="#N/A"/>
    <e v="#N/A"/>
    <n v="89862"/>
    <s v="91250161"/>
    <s v="BIOTIKA"/>
    <s v="Q4"/>
    <e v="#REF!"/>
    <e v="#REF!"/>
    <e v="#REF!"/>
  </r>
  <r>
    <s v="445202"/>
    <x v="6"/>
    <s v="TVA - D_20_INTRACOM"/>
    <s v="AC"/>
    <n v="1065.68"/>
    <d v="2025-10-20T00:00:00"/>
    <s v="EQUIPMENT FLOTWEG"/>
    <s v="Non"/>
    <e v="#N/A"/>
    <e v="#N/A"/>
    <n v="89866"/>
    <s v="91250170"/>
    <s v="BIOTIKA"/>
    <s v="Q4"/>
    <e v="#REF!"/>
    <e v="#REF!"/>
    <e v="#REF!"/>
  </r>
  <r>
    <s v="445202"/>
    <x v="6"/>
    <s v="TVA - D_20_INTRACOM"/>
    <s v="AC"/>
    <n v="1297"/>
    <d v="2025-11-27T00:00:00"/>
    <s v="SALON TECHTEXTIL 2026"/>
    <m/>
    <e v="#N/A"/>
    <e v="#N/A"/>
    <n v="91978"/>
    <s v="1900667076"/>
    <s v="MESSE FRANKFURT EXHIBITION"/>
    <s v="Q4"/>
    <e v="#REF!"/>
    <e v="#REF!"/>
    <e v="#REF!"/>
  </r>
  <r>
    <s v="445202"/>
    <x v="6"/>
    <s v="TVA - D_20_INTRACOM"/>
    <s v="AC"/>
    <n v="1958.6"/>
    <d v="2025-01-23T00:00:00"/>
    <s v="SYNTHÈSE ET DÉVELOPPEMENT DE 1KG CYANOBENZOIC ACID - KEENB"/>
    <m/>
    <e v="#N/A"/>
    <e v="#N/A"/>
    <n v="67545"/>
    <s v="RE250012"/>
    <s v="Taros Chemicals GmbH &amp; Co. KG"/>
    <s v="Q1"/>
    <e v="#REF!"/>
    <e v="#REF!"/>
    <e v="#REF!"/>
  </r>
  <r>
    <s v="445202"/>
    <x v="6"/>
    <s v="TVA - D_20_INTRACOM"/>
    <s v="AC"/>
    <n v="2142.8000000000002"/>
    <d v="2025-02-26T00:00:00"/>
    <s v="SYNTHÈSE ET DÉVELOPPEMENT DE 1KG CYANOBENZOIC ACID - KEENB"/>
    <m/>
    <e v="#N/A"/>
    <e v="#N/A"/>
    <n v="67549"/>
    <s v="INV/2025/00046"/>
    <s v="Taros Chemicals GmbH &amp; Co. KG"/>
    <s v="Q1"/>
    <e v="#REF!"/>
    <e v="#REF!"/>
    <e v="#REF!"/>
  </r>
  <r>
    <s v="445202"/>
    <x v="6"/>
    <s v="TVA - D_20_INTRACOM"/>
    <s v="AC"/>
    <n v="2143"/>
    <d v="2025-04-29T00:00:00"/>
    <s v="FIN DE LA SYNTHÈSE ET DÉVELOPPEMENT DE 1KG CYANOBENZOIC ACID - KEENB"/>
    <m/>
    <e v="#N/A"/>
    <e v="#N/A"/>
    <n v="76098"/>
    <s v="INV/2025/00106"/>
    <s v="Taros Chemicals GmbH &amp; Co. KG"/>
    <s v="Q2"/>
    <e v="#REF!"/>
    <e v="#REF!"/>
    <e v="#REF!"/>
  </r>
  <r>
    <s v="445202"/>
    <x v="6"/>
    <s v="TVA - D_20_INTRACOM"/>
    <s v="AC"/>
    <n v="2600"/>
    <d v="2025-02-18T00:00:00"/>
    <s v="2ND INSTALLMENT AFTER FINISHING OF 3 LABORATORY TRIAL"/>
    <s v="Non"/>
    <e v="#N/A"/>
    <e v="#N/A"/>
    <n v="95543"/>
    <s v="91250008"/>
    <s v="BIOTIKA"/>
    <s v="Q1"/>
    <e v="#REF!"/>
    <e v="#REF!"/>
    <e v="#REF!"/>
  </r>
  <r>
    <s v="445202"/>
    <x v="6"/>
    <s v="TVA - D_20_INTRACOM"/>
    <s v="AC"/>
    <n v="3488.6"/>
    <d v="2025-09-16T00:00:00"/>
    <s v="DÉV ET SYNTHÈSE INTERMÉDIAIRE KEENB KG-SCALE - 2E PARTIE"/>
    <m/>
    <e v="#N/A"/>
    <e v="#N/A"/>
    <n v="85119"/>
    <s v="INV/2025/00261"/>
    <s v="Taros Chemicals GmbH &amp; Co. KG"/>
    <s v="Q3"/>
    <e v="#REF!"/>
    <e v="#REF!"/>
    <e v="#REF!"/>
  </r>
  <r>
    <s v="445202"/>
    <x v="6"/>
    <s v="TVA - D_20_INTRACOM"/>
    <s v="AC"/>
    <n v="3488.8"/>
    <d v="2025-07-16T00:00:00"/>
    <s v="SYNTHÈSE ET DÉVELOPPEMENT DE 1KG-V2 DE 2-CBA - KEENB"/>
    <m/>
    <e v="#N/A"/>
    <e v="#N/A"/>
    <n v="87182"/>
    <s v="INV/2025/00193"/>
    <s v="Taros Chemicals GmbH &amp; Co. KG"/>
    <s v="Q3"/>
    <e v="#REF!"/>
    <e v="#REF!"/>
    <e v="#REF!"/>
  </r>
  <r>
    <s v="445202"/>
    <x v="6"/>
    <s v="TVA - D_20_INTRACOM"/>
    <s v="AC"/>
    <n v="4000"/>
    <d v="2025-04-14T00:00:00"/>
    <s v="1ST INSTALLMENT AFTER SIGN OF AGREEMENT"/>
    <s v="Non"/>
    <e v="#N/A"/>
    <e v="#N/A"/>
    <n v="69794"/>
    <s v="91250037"/>
    <s v="BIOTIKA"/>
    <s v="Q2"/>
    <e v="#REF!"/>
    <e v="#REF!"/>
    <e v="#REF!"/>
  </r>
  <r>
    <s v="445202"/>
    <x v="6"/>
    <s v="TVA - D_20_INTRACOM"/>
    <s v="AC"/>
    <n v="4778.2"/>
    <d v="2025-02-17T00:00:00"/>
    <s v="ADJUSTMENT OF PART OF FERMENTATION LINE"/>
    <s v="Non"/>
    <e v="#N/A"/>
    <e v="#N/A"/>
    <n v="95551"/>
    <s v="91250007"/>
    <s v="BIOTIKA"/>
    <s v="Q1"/>
    <e v="#REF!"/>
    <e v="#REF!"/>
    <e v="#REF!"/>
  </r>
  <r>
    <s v="445202"/>
    <x v="6"/>
    <s v="TVA - D_20_INTRACOM"/>
    <s v="AC"/>
    <n v="5557.74"/>
    <d v="2025-04-01T00:00:00"/>
    <s v="FIRST TRIAL OF INDIGO PRODUCTION ACTUAL CONSUMPTION OF RAW MATERIAL"/>
    <s v="Non"/>
    <e v="#N/A"/>
    <e v="#N/A"/>
    <n v="68982"/>
    <s v="91250029"/>
    <s v="BIOTIKA"/>
    <s v="Q2"/>
    <e v="#REF!"/>
    <e v="#REF!"/>
    <e v="#REF!"/>
  </r>
  <r>
    <s v="445202"/>
    <x v="6"/>
    <s v="TVA - D_20_INTRACOM"/>
    <s v="AC"/>
    <n v="5600"/>
    <d v="2025-05-26T00:00:00"/>
    <s v="INVOICING AFTER FINISHING OF 2TRIALS IN 30L FERMENTER  INVOICING AFTER 3RD TRIAL IN LABORATORY FERMENTER"/>
    <s v="Non"/>
    <e v="#N/A"/>
    <e v="#N/A"/>
    <n v="75165"/>
    <s v="91250072"/>
    <s v="BIOTIKA"/>
    <s v="Q2"/>
    <e v="#REF!"/>
    <e v="#REF!"/>
    <e v="#REF!"/>
  </r>
  <r>
    <s v="445202"/>
    <x v="6"/>
    <s v="TVA - D_20_INTRACOM"/>
    <s v="AC"/>
    <n v="5800"/>
    <d v="2025-08-14T00:00:00"/>
    <s v="DEVELOPMENT AGREEMENT PHOENIX V"/>
    <s v="Non"/>
    <e v="#N/A"/>
    <e v="#N/A"/>
    <n v="81346"/>
    <s v="91250131"/>
    <s v="BIOTIKA"/>
    <s v="Q3"/>
    <e v="#REF!"/>
    <e v="#REF!"/>
    <e v="#REF!"/>
  </r>
  <r>
    <s v="445202"/>
    <x v="6"/>
    <s v="TVA - D_20_INTRACOM"/>
    <s v="AC"/>
    <n v="6800"/>
    <d v="2025-06-30T00:00:00"/>
    <s v="PHOENIX III REPORT"/>
    <s v="Non"/>
    <e v="#N/A"/>
    <e v="#N/A"/>
    <n v="78883"/>
    <s v="91250094"/>
    <s v="BIOTIKA"/>
    <s v="Q2"/>
    <e v="#REF!"/>
    <e v="#REF!"/>
    <e v="#REF!"/>
  </r>
  <r>
    <s v="445202"/>
    <x v="6"/>
    <s v="TVA - D_20_INTRACOM"/>
    <s v="AC"/>
    <n v="7200"/>
    <d v="2025-11-07T00:00:00"/>
    <s v="AGREEMENT VII - VBIO 15M3 + 35L"/>
    <s v="Non"/>
    <e v="#N/A"/>
    <e v="#N/A"/>
    <n v="91107"/>
    <s v="91250190"/>
    <s v="BIOTIKA"/>
    <s v="Q4"/>
    <e v="#REF!"/>
    <e v="#REF!"/>
    <e v="#REF!"/>
  </r>
  <r>
    <s v="445202"/>
    <x v="6"/>
    <s v="TVA - D_20_INTRACOM"/>
    <s v="AC"/>
    <n v="9000"/>
    <d v="2025-09-16T00:00:00"/>
    <s v="DEVELOPMENT AGREEMENT PHOENIX VI, 3.1."/>
    <s v="Non"/>
    <e v="#N/A"/>
    <e v="#N/A"/>
    <n v="89963"/>
    <s v="91250146"/>
    <s v="BIOTIKA"/>
    <s v="Q3"/>
    <e v="#REF!"/>
    <e v="#REF!"/>
    <e v="#REF!"/>
  </r>
  <r>
    <s v="445202"/>
    <x v="6"/>
    <s v="TVA - D_20_INTRACOM"/>
    <s v="AC"/>
    <n v="12800"/>
    <d v="2025-07-18T00:00:00"/>
    <s v="AGREEMENT IV -  4 TRIALS IN THE 30L LABORATORY FERMENTER"/>
    <s v="Non"/>
    <e v="#N/A"/>
    <e v="#N/A"/>
    <n v="78804"/>
    <s v="91250101"/>
    <s v="BIOTIKA"/>
    <s v="Q3"/>
    <e v="#REF!"/>
    <e v="#REF!"/>
    <e v="#REF!"/>
  </r>
  <r>
    <s v="445202"/>
    <x v="6"/>
    <s v="TVA - D_20_INTRACOM"/>
    <s v="AC"/>
    <n v="26693.42"/>
    <d v="2025-11-28T00:00:00"/>
    <s v="PHOENIX VBIO - PRÉ-PILOTE &amp; PILOTE"/>
    <m/>
    <e v="#N/A"/>
    <e v="#N/A"/>
    <n v="94885"/>
    <s v="325000353"/>
    <s v="WACKER LEON"/>
    <s v="Q4"/>
    <e v="#REF!"/>
    <e v="#REF!"/>
    <e v="#REF!"/>
  </r>
  <r>
    <s v="445202"/>
    <x v="6"/>
    <s v="TVA - D_20_INTRACOM"/>
    <s v="AC"/>
    <n v="62994.65"/>
    <d v="2025-03-31T00:00:00"/>
    <s v="9 BATCHES PRODUCED DURING CAMPAIGN  ACTUAL CONSUMPTION OF RAW MATERIAL"/>
    <s v="Non"/>
    <e v="#N/A"/>
    <e v="#N/A"/>
    <n v="73733"/>
    <s v="91250028"/>
    <s v="BIOTIKA"/>
    <s v="Q1"/>
    <e v="#REF!"/>
    <e v="#REF!"/>
    <e v="#REF!"/>
  </r>
  <r>
    <s v="445202"/>
    <x v="6"/>
    <s v="TVA - D_20_INTRACOM"/>
    <s v="AN"/>
    <n v="0"/>
    <d v="2025-01-01T00:00:00"/>
    <s v="Report à nouveau Exercice 2025"/>
    <m/>
    <e v="#N/A"/>
    <e v="#N/A"/>
    <n v="84824"/>
    <m/>
    <m/>
    <s v="Q1"/>
    <e v="#REF!"/>
    <e v="#REF!"/>
    <e v="#REF!"/>
  </r>
  <r>
    <s v="445202"/>
    <x v="6"/>
    <s v="TVA - D_20_INTRACOM"/>
    <s v="AN"/>
    <n v="0"/>
    <d v="2025-01-01T00:00:00"/>
    <s v="Report à nouveau Exercice 2025"/>
    <m/>
    <e v="#N/A"/>
    <e v="#N/A"/>
    <n v="84868"/>
    <m/>
    <m/>
    <s v="Q1"/>
    <e v="#REF!"/>
    <e v="#REF!"/>
    <e v="#REF!"/>
  </r>
  <r>
    <s v="445202"/>
    <x v="6"/>
    <s v="TVA - D_20_INTRACOM"/>
    <s v="AN"/>
    <n v="0"/>
    <d v="2025-01-01T00:00:00"/>
    <s v="Report à nouveau Exercice 2025"/>
    <m/>
    <e v="#N/A"/>
    <e v="#N/A"/>
    <n v="84967"/>
    <m/>
    <m/>
    <s v="Q1"/>
    <e v="#REF!"/>
    <e v="#REF!"/>
    <e v="#REF!"/>
  </r>
  <r>
    <s v="445202"/>
    <x v="6"/>
    <s v="TVA - D_20_INTRACOM"/>
    <s v="AN"/>
    <n v="19420.91"/>
    <d v="2025-01-01T00:00:00"/>
    <s v="Report à nouveau Exercice 2025"/>
    <m/>
    <e v="#N/A"/>
    <e v="#N/A"/>
    <n v="84785"/>
    <m/>
    <m/>
    <s v="Q1"/>
    <e v="#REF!"/>
    <e v="#REF!"/>
    <e v="#REF!"/>
  </r>
  <r>
    <s v="445202"/>
    <x v="6"/>
    <s v="TVA - D_20_INTRACOM"/>
    <s v="JC"/>
    <n v="-19420.91"/>
    <d v="2025-01-01T00:00:00"/>
    <s v="Cadrage comptes audités 2024 - bilan"/>
    <m/>
    <e v="#N/A"/>
    <e v="#N/A"/>
    <n v="87163"/>
    <m/>
    <m/>
    <s v="Q1"/>
    <e v="#REF!"/>
    <e v="#REF!"/>
    <e v="#REF!"/>
  </r>
  <r>
    <s v="445202"/>
    <x v="6"/>
    <s v="TVA - D_20_INTRACOM"/>
    <s v="OD"/>
    <n v="-81415.91"/>
    <d v="2025-06-30T00:00:00"/>
    <s v="Liaison inter-établissement vers TO "/>
    <m/>
    <e v="#N/A"/>
    <e v="#N/A"/>
    <n v="78477"/>
    <m/>
    <m/>
    <s v="Q2"/>
    <e v="#REF!"/>
    <e v="#REF!"/>
    <e v="#REF!"/>
  </r>
  <r>
    <s v="445202"/>
    <x v="6"/>
    <s v="TVA - D_20_INTRACOM"/>
    <s v="OD"/>
    <n v="-26907.46"/>
    <d v="2025-09-30T00:00:00"/>
    <s v="Liaison inter-établissement vers TO "/>
    <m/>
    <e v="#N/A"/>
    <e v="#N/A"/>
    <n v="87249"/>
    <m/>
    <m/>
    <s v="Q3"/>
    <e v="#REF!"/>
    <e v="#REF!"/>
    <e v="#REF!"/>
  </r>
  <r>
    <s v="445202"/>
    <x v="6"/>
    <s v="TVA - D_20_INTRACOM"/>
    <s v="OD"/>
    <n v="-8137.74"/>
    <d v="2025-03-31T00:00:00"/>
    <s v="Liaison inter-établissement vers TO "/>
    <m/>
    <e v="#N/A"/>
    <e v="#N/A"/>
    <n v="68495"/>
    <m/>
    <m/>
    <s v="Q1"/>
    <e v="#REF!"/>
    <e v="#REF!"/>
    <e v="#REF!"/>
  </r>
  <r>
    <s v="445202"/>
    <x v="6"/>
    <s v="TVA - D_20_INTRACOM"/>
    <s v="OD"/>
    <n v="-6998.2"/>
    <d v="2025-09-30T00:00:00"/>
    <s v="Liaison inter-établissement vers TO "/>
    <m/>
    <e v="#N/A"/>
    <e v="#N/A"/>
    <n v="87242"/>
    <m/>
    <m/>
    <s v="Q3"/>
    <e v="#REF!"/>
    <e v="#REF!"/>
    <e v="#REF!"/>
  </r>
  <r>
    <s v="445202"/>
    <x v="6"/>
    <s v="TVA - D_20_INTRACOM"/>
    <s v="OD"/>
    <n v="-2459.5"/>
    <d v="2025-06-30T00:00:00"/>
    <s v="Liaison inter-établissement vers TO "/>
    <m/>
    <e v="#N/A"/>
    <e v="#N/A"/>
    <n v="78470"/>
    <m/>
    <m/>
    <s v="Q2"/>
    <e v="#REF!"/>
    <e v="#REF!"/>
    <e v="#REF!"/>
  </r>
  <r>
    <s v="445202"/>
    <x v="6"/>
    <s v="TVA - D_20_INTRACOM"/>
    <s v="OD"/>
    <n v="-2142.8000000000002"/>
    <d v="2025-03-31T00:00:00"/>
    <s v="Liaison inter-établissement vers TO "/>
    <m/>
    <e v="#N/A"/>
    <e v="#N/A"/>
    <n v="68491"/>
    <m/>
    <m/>
    <s v="Q1"/>
    <e v="#REF!"/>
    <e v="#REF!"/>
    <e v="#REF!"/>
  </r>
  <r>
    <s v="445202"/>
    <x v="6"/>
    <s v="TVA - D_20_INTRACOM"/>
    <s v="OD"/>
    <n v="-191.12"/>
    <d v="2025-06-30T00:00:00"/>
    <s v="Liaison inter-établissement vers TO "/>
    <m/>
    <e v="#N/A"/>
    <e v="#N/A"/>
    <n v="78474"/>
    <m/>
    <m/>
    <s v="Q2"/>
    <e v="#REF!"/>
    <e v="#REF!"/>
    <e v="#REF!"/>
  </r>
  <r>
    <s v="445202"/>
    <x v="6"/>
    <s v="TVA - D_20_INTRACOM"/>
    <s v="OD"/>
    <n v="-31"/>
    <d v="2025-09-30T00:00:00"/>
    <s v="Liaison inter-établissement vers TO "/>
    <m/>
    <e v="#N/A"/>
    <e v="#N/A"/>
    <n v="87246"/>
    <m/>
    <m/>
    <s v="Q3"/>
    <e v="#REF!"/>
    <e v="#REF!"/>
    <e v="#REF!"/>
  </r>
  <r>
    <s v="445202"/>
    <x v="6"/>
    <s v="TVA - D_20_INTRACOM"/>
    <s v="OD"/>
    <n v="10280.540000000001"/>
    <d v="2025-03-31T00:00:00"/>
    <s v="Liaison inter-établissement"/>
    <m/>
    <e v="#N/A"/>
    <e v="#N/A"/>
    <n v="68492"/>
    <m/>
    <m/>
    <s v="Q1"/>
    <e v="#REF!"/>
    <e v="#REF!"/>
    <e v="#REF!"/>
  </r>
  <r>
    <s v="445202"/>
    <x v="6"/>
    <s v="TVA - D_20_INTRACOM"/>
    <s v="OD"/>
    <n v="33936.660000000003"/>
    <d v="2025-09-30T00:00:00"/>
    <s v="Liaison inter-établissement"/>
    <m/>
    <e v="#N/A"/>
    <e v="#N/A"/>
    <n v="87243"/>
    <m/>
    <m/>
    <s v="Q3"/>
    <e v="#REF!"/>
    <e v="#REF!"/>
    <e v="#REF!"/>
  </r>
  <r>
    <s v="445202"/>
    <x v="6"/>
    <s v="TVA - D_20_INTRACOM"/>
    <s v="OD"/>
    <n v="84066.53"/>
    <d v="2025-06-30T00:00:00"/>
    <s v="Liaison inter-établissement"/>
    <m/>
    <e v="#N/A"/>
    <e v="#N/A"/>
    <n v="78471"/>
    <m/>
    <m/>
    <s v="Q2"/>
    <e v="#REF!"/>
    <e v="#REF!"/>
    <e v="#REF!"/>
  </r>
  <r>
    <s v="445202"/>
    <x v="6"/>
    <s v="TVA - D_20_INTRACOM"/>
    <s v="TVA"/>
    <n v="-84075.45"/>
    <d v="2025-06-30T00:00:00"/>
    <s v="Déclaration TVA Q2 2025"/>
    <m/>
    <e v="#N/A"/>
    <e v="#N/A"/>
    <n v="78449"/>
    <m/>
    <m/>
    <s v="Q2"/>
    <e v="#REF!"/>
    <e v="#REF!"/>
    <e v="#REF!"/>
  </r>
  <r>
    <s v="445202"/>
    <x v="6"/>
    <s v="TVA - D_20_INTRACOM"/>
    <s v="TVA"/>
    <n v="-55966.12"/>
    <d v="2025-12-31T00:00:00"/>
    <s v="Déclaration TVA Q4 2025"/>
    <m/>
    <e v="#N/A"/>
    <e v="#N/A"/>
    <n v="96043"/>
    <m/>
    <m/>
    <s v="Q4"/>
    <e v="#REF!"/>
    <e v="#REF!"/>
    <e v="#REF!"/>
  </r>
  <r>
    <s v="445202"/>
    <x v="6"/>
    <s v="TVA - D_20_INTRACOM"/>
    <s v="TVA"/>
    <n v="-33936.660000000003"/>
    <d v="2025-09-30T00:00:00"/>
    <s v="Déclaration TVA Q3 2025"/>
    <m/>
    <e v="#N/A"/>
    <e v="#N/A"/>
    <n v="87190"/>
    <m/>
    <m/>
    <s v="Q3"/>
    <e v="#REF!"/>
    <e v="#REF!"/>
    <e v="#REF!"/>
  </r>
  <r>
    <s v="445202"/>
    <x v="6"/>
    <s v="TVA - D_20_INTRACOM"/>
    <s v="TVA"/>
    <n v="-12239.14"/>
    <d v="2025-03-31T00:00:00"/>
    <s v="Déclaration TVA Q1"/>
    <m/>
    <e v="#N/A"/>
    <e v="#N/A"/>
    <n v="68475"/>
    <m/>
    <m/>
    <s v="Q1"/>
    <e v="#REF!"/>
    <e v="#REF!"/>
    <e v="#REF!"/>
  </r>
  <r>
    <s v="445202"/>
    <x v="6"/>
    <s v="TVA - D_20_INTRACOM"/>
    <s v="TVA"/>
    <n v="9"/>
    <d v="2025-03-31T00:00:00"/>
    <s v="TVA Intracom"/>
    <m/>
    <e v="#N/A"/>
    <e v="#N/A"/>
    <n v="68234"/>
    <m/>
    <s v="COOKIEBOT"/>
    <s v="Q1"/>
    <e v="#REF!"/>
    <e v="#REF!"/>
    <e v="#REF!"/>
  </r>
  <r>
    <s v="445202"/>
    <x v="6"/>
    <s v="TVA - D_20_INTRACOM"/>
    <s v="TVA"/>
    <n v="17.91"/>
    <d v="2025-03-31T00:00:00"/>
    <s v="TVA Intracom"/>
    <m/>
    <e v="#N/A"/>
    <e v="#N/A"/>
    <n v="68226"/>
    <m/>
    <s v="SHOPIFY"/>
    <s v="Q1"/>
    <e v="#REF!"/>
    <e v="#REF!"/>
    <e v="#REF!"/>
  </r>
  <r>
    <s v="445202"/>
    <x v="6"/>
    <s v="TVA - D_20_INTRACOM"/>
    <s v="TVA"/>
    <n v="45.4"/>
    <d v="2025-03-31T00:00:00"/>
    <s v="TVA Intracom"/>
    <m/>
    <e v="#N/A"/>
    <e v="#N/A"/>
    <n v="68242"/>
    <m/>
    <s v="BLD PHARMATECH"/>
    <s v="Q1"/>
    <e v="#REF!"/>
    <e v="#REF!"/>
    <e v="#REF!"/>
  </r>
  <r>
    <s v="445202"/>
    <x v="6"/>
    <s v="TVA - D_20_INTRACOM"/>
    <s v="TVA"/>
    <n v="53.4"/>
    <d v="2025-03-31T00:00:00"/>
    <s v="TVA Intracom"/>
    <m/>
    <e v="#N/A"/>
    <e v="#N/A"/>
    <n v="68238"/>
    <m/>
    <s v="TCI"/>
    <s v="Q1"/>
    <e v="#REF!"/>
    <e v="#REF!"/>
    <e v="#REF!"/>
  </r>
  <r>
    <s v="445202"/>
    <x v="6"/>
    <s v="TVA - D_20_INTRACOM"/>
    <s v="TVA"/>
    <n v="92.99"/>
    <d v="2025-03-31T00:00:00"/>
    <s v="TVA Intracom"/>
    <m/>
    <e v="#N/A"/>
    <e v="#N/A"/>
    <n v="68230"/>
    <m/>
    <s v="ADOBE"/>
    <s v="Q1"/>
    <e v="#REF!"/>
    <e v="#REF!"/>
    <e v="#REF!"/>
  </r>
  <r>
    <s v="445202"/>
    <x v="6"/>
    <s v="TVA - D_20_INTRACOM"/>
    <s v="TVA"/>
    <n v="428.5"/>
    <d v="2025-03-31T00:00:00"/>
    <s v="TVA Intracom"/>
    <s v="Non"/>
    <e v="#N/A"/>
    <e v="#N/A"/>
    <n v="66292"/>
    <s v="91250018"/>
    <s v="ZDHC Gateway B.V."/>
    <s v="Q1"/>
    <e v="#REF!"/>
    <e v="#REF!"/>
    <e v="#REF!"/>
  </r>
  <r>
    <s v="445202"/>
    <x v="6"/>
    <s v="TVA - D_20_INTRACOM"/>
    <s v="TVA"/>
    <n v="7490.54"/>
    <d v="2025-03-31T00:00:00"/>
    <s v="TVA Intracom"/>
    <s v="Non"/>
    <e v="#N/A"/>
    <e v="#N/A"/>
    <n v="66290"/>
    <s v="91250008"/>
    <s v="BIOTIKA"/>
    <s v="Q1"/>
    <e v="#REF!"/>
    <e v="#REF!"/>
    <e v="#REF!"/>
  </r>
  <r>
    <s v="445204"/>
    <x v="6"/>
    <s v="TVA - D_20_IMMOS_INTRACOM"/>
    <s v="AN"/>
    <n v="0"/>
    <d v="2025-01-01T00:00:00"/>
    <s v="Report à nouveau Exercice 2025"/>
    <m/>
    <e v="#N/A"/>
    <e v="#N/A"/>
    <n v="84786"/>
    <m/>
    <m/>
    <s v="Q1"/>
    <e v="#REF!"/>
    <e v="#REF!"/>
    <e v="#REF!"/>
  </r>
  <r>
    <s v="445204"/>
    <x v="6"/>
    <s v="TVA - D_20_IMMOS_INTRACOM"/>
    <s v="AN"/>
    <n v="0"/>
    <d v="2025-01-01T00:00:00"/>
    <s v="Report à nouveau Exercice 2025"/>
    <m/>
    <e v="#N/A"/>
    <e v="#N/A"/>
    <n v="84968"/>
    <m/>
    <m/>
    <s v="Q1"/>
    <e v="#REF!"/>
    <e v="#REF!"/>
    <e v="#REF!"/>
  </r>
  <r>
    <s v="445205"/>
    <x v="6"/>
    <s v="TVA - C_20_SERVICES_NON_UE"/>
    <s v="AC"/>
    <n v="-6168"/>
    <d v="2025-05-31T00:00:00"/>
    <s v="LICENCES DOTMATICS 2026 - 1 READ ONLY - 21 CHEMISTRY - 7 BIOREGISTER"/>
    <s v="Non"/>
    <e v="#N/A"/>
    <e v="#N/A"/>
    <n v="95514"/>
    <s v="INV24946"/>
    <s v="DOTMATICS LIMITED"/>
    <s v="Q2"/>
    <e v="#REF!"/>
    <e v="#REF!"/>
    <e v="#REF!"/>
  </r>
  <r>
    <s v="445205"/>
    <x v="6"/>
    <s v="TVA - C_20_SERVICES_NON_UE"/>
    <s v="AC"/>
    <n v="-1390.43"/>
    <d v="2025-02-25T00:00:00"/>
    <s v="FACTURE T CARREY CONSULTANTE GO TO MARKET INDIGO - FACTURE INTERMÉDIAIRE"/>
    <s v="Non"/>
    <s v="Non"/>
    <e v="#N/A"/>
    <n v="95504"/>
    <s v="225"/>
    <s v="TRICIA CAREY"/>
    <s v="Q1"/>
    <e v="#REF!"/>
    <e v="#REF!"/>
    <e v="#REF!"/>
  </r>
  <r>
    <s v="445205"/>
    <x v="6"/>
    <s v="TVA - C_20_SERVICES_NON_UE"/>
    <s v="AC"/>
    <n v="-1322"/>
    <d v="2025-05-31T00:00:00"/>
    <s v="LICENCES DOTMATICS 2025_06 À 2026_05 - 1 READ ONLY - 5 ADDITIONAL CHEMISTRY"/>
    <s v="Non"/>
    <e v="#N/A"/>
    <e v="#N/A"/>
    <n v="95516"/>
    <s v="INV24947"/>
    <s v="DOTMATICS LIMITED"/>
    <s v="Q2"/>
    <e v="#REF!"/>
    <e v="#REF!"/>
    <e v="#REF!"/>
  </r>
  <r>
    <s v="445205"/>
    <x v="6"/>
    <s v="TVA - C_20_SERVICES_NON_UE"/>
    <s v="AC"/>
    <n v="-1318.31"/>
    <d v="2025-05-30T00:00:00"/>
    <s v="FACTURE T CARREY CONSULTANTE GO TO MARKET INDIGO - FACTURE FINALE"/>
    <s v="Non"/>
    <s v="Non"/>
    <e v="#N/A"/>
    <n v="95506"/>
    <s v="0530"/>
    <s v="TRICIA CAREY"/>
    <s v="Q2"/>
    <e v="#REF!"/>
    <e v="#REF!"/>
    <e v="#REF!"/>
  </r>
  <r>
    <s v="445205"/>
    <x v="6"/>
    <s v="TVA - C_20_SERVICES_NON_UE"/>
    <s v="AC"/>
    <n v="-1025.4100000000001"/>
    <d v="2025-12-11T00:00:00"/>
    <s v="STARTUP PREMIUM PLAN DEC 11, 2025 – JAN 11, 2026"/>
    <s v="Non"/>
    <s v="Non"/>
    <e v="#N/A"/>
    <n v="95489"/>
    <s v="1PZECRJE-0001"/>
    <s v="FLOWLIE"/>
    <s v="Q4"/>
    <e v="#REF!"/>
    <e v="#REF!"/>
    <e v="#REF!"/>
  </r>
  <r>
    <s v="445205"/>
    <x v="6"/>
    <s v="TVA - C_20_SERVICES_NON_UE"/>
    <s v="AC"/>
    <n v="-883.75"/>
    <d v="2025-01-17T00:00:00"/>
    <s v="SOW (5 DAYS ) FOR DSP PROTOCOL"/>
    <s v="Non"/>
    <e v="#N/A"/>
    <e v="#N/A"/>
    <n v="95508"/>
    <s v="7230"/>
    <s v="DOTMATICS LIMITED"/>
    <s v="Q1"/>
    <e v="#REF!"/>
    <e v="#REF!"/>
    <e v="#REF!"/>
  </r>
  <r>
    <s v="445205"/>
    <x v="6"/>
    <s v="TVA - C_20_SERVICES_NON_UE"/>
    <s v="AC"/>
    <n v="-681.3"/>
    <d v="2025-12-18T00:00:00"/>
    <s v="CONSEIL LEVÉE DE FONDS US - SAM KASSAHUN"/>
    <s v="Non"/>
    <s v="Non"/>
    <e v="#N/A"/>
    <n v="95491"/>
    <s v="1"/>
    <s v="KASSAHUN CAPITAL"/>
    <s v="Q4"/>
    <e v="#REF!"/>
    <e v="#REF!"/>
    <e v="#REF!"/>
  </r>
  <r>
    <s v="445205"/>
    <x v="6"/>
    <s v="TVA - C_20_SERVICES_NON_UE"/>
    <s v="AC"/>
    <n v="-482.53"/>
    <d v="2025-02-01T00:00:00"/>
    <s v="MONTHLY CONSULTANCY SERVICES 2025_02"/>
    <s v="Non"/>
    <s v="Non"/>
    <e v="#N/A"/>
    <n v="95498"/>
    <s v="7"/>
    <s v="NEIL BELL"/>
    <s v="Q1"/>
    <e v="#REF!"/>
    <e v="#REF!"/>
    <e v="#REF!"/>
  </r>
  <r>
    <s v="445205"/>
    <x v="6"/>
    <s v="TVA - C_20_SERVICES_NON_UE"/>
    <s v="AC"/>
    <n v="-481.78"/>
    <d v="2025-03-01T00:00:00"/>
    <s v="MONTHLY CONSULTANCE SERVICES 2025_03"/>
    <s v="Non"/>
    <s v="Non"/>
    <e v="#N/A"/>
    <n v="95502"/>
    <s v="8"/>
    <s v="NEIL BELL"/>
    <s v="Q1"/>
    <e v="#REF!"/>
    <e v="#REF!"/>
    <e v="#REF!"/>
  </r>
  <r>
    <s v="445205"/>
    <x v="6"/>
    <s v="TVA - C_20_SERVICES_NON_UE"/>
    <s v="AC"/>
    <n v="-480.51"/>
    <d v="2025-01-01T00:00:00"/>
    <s v="MONTHLY CONSULTANCY SERVICES 2025_01"/>
    <s v="Non"/>
    <s v="Non"/>
    <e v="#N/A"/>
    <n v="95495"/>
    <s v="6"/>
    <s v="NEIL BELL"/>
    <s v="Q1"/>
    <e v="#REF!"/>
    <e v="#REF!"/>
    <e v="#REF!"/>
  </r>
  <r>
    <s v="445205"/>
    <x v="6"/>
    <s v="TVA - C_20_SERVICES_NON_UE"/>
    <s v="AC"/>
    <n v="-470.1"/>
    <d v="2025-01-24T00:00:00"/>
    <s v="FACTURE FINALE ZDHC LEVEL 1 INDIGO"/>
    <m/>
    <e v="#N/A"/>
    <e v="#N/A"/>
    <n v="95520"/>
    <s v="INV-0177"/>
    <s v="Eurofins BLC Leather Technology Centre Limited"/>
    <s v="Q1"/>
    <e v="#REF!"/>
    <e v="#REF!"/>
    <e v="#REF!"/>
  </r>
  <r>
    <s v="445205"/>
    <x v="6"/>
    <s v="TVA - C_20_SERVICES_NON_UE"/>
    <s v="AC"/>
    <n v="-464"/>
    <d v="2025-05-31T00:00:00"/>
    <s v="LICENCES DOTMATICS 2026 - 2 ADDITIONAL CHEMISTRY"/>
    <s v="Non"/>
    <e v="#N/A"/>
    <e v="#N/A"/>
    <n v="95518"/>
    <s v="INV24949"/>
    <s v="DOTMATICS LIMITED"/>
    <s v="Q2"/>
    <e v="#REF!"/>
    <e v="#REF!"/>
    <e v="#REF!"/>
  </r>
  <r>
    <s v="445205"/>
    <x v="6"/>
    <s v="TVA - C_20_SERVICES_NON_UE"/>
    <s v="AC"/>
    <n v="-462.2"/>
    <d v="2025-04-01T00:00:00"/>
    <s v="MONTHLY CONSULTANCY SERVICES 2025_04"/>
    <s v="Non"/>
    <s v="Non"/>
    <e v="#N/A"/>
    <n v="95500"/>
    <s v="9"/>
    <s v="NEIL BELL"/>
    <s v="Q2"/>
    <e v="#REF!"/>
    <e v="#REF!"/>
    <e v="#REF!"/>
  </r>
  <r>
    <s v="445205"/>
    <x v="6"/>
    <s v="TVA - C_20_SERVICES_NON_UE"/>
    <s v="AC"/>
    <n v="-435.07"/>
    <d v="2025-05-01T00:00:00"/>
    <s v="MONTHLY CONSULTANCY SERVICES 2025_05"/>
    <s v="Non"/>
    <s v="Non"/>
    <e v="#N/A"/>
    <n v="95493"/>
    <s v="10"/>
    <s v="NEIL BELL"/>
    <s v="Q2"/>
    <e v="#REF!"/>
    <e v="#REF!"/>
    <e v="#REF!"/>
  </r>
  <r>
    <s v="445205"/>
    <x v="6"/>
    <s v="TVA - C_20_SERVICES_NON_UE"/>
    <s v="AC"/>
    <n v="-280"/>
    <d v="2025-02-04T00:00:00"/>
    <s v="SOW (5 DAYS ) FOR DSP PROTOCOL"/>
    <s v="Non"/>
    <e v="#N/A"/>
    <e v="#N/A"/>
    <n v="95510"/>
    <s v="7289"/>
    <s v="DOTMATICS LIMITED"/>
    <s v="Q1"/>
    <e v="#REF!"/>
    <e v="#REF!"/>
    <e v="#REF!"/>
  </r>
  <r>
    <s v="445205"/>
    <x v="6"/>
    <s v="TVA - C_20_SERVICES_NON_UE"/>
    <s v="AC"/>
    <n v="-59.9"/>
    <d v="2025-11-12T00:00:00"/>
    <s v="DÉPÔT MARQUE US, RÉPONSE DEMANDES OFFICE ACTION"/>
    <s v="Non"/>
    <s v="Non"/>
    <e v="#N/A"/>
    <n v="95523"/>
    <s v="2473501"/>
    <s v="WARNER NORCROSS JUDD"/>
    <s v="Q4"/>
    <e v="#REF!"/>
    <e v="#REF!"/>
    <e v="#REF!"/>
  </r>
  <r>
    <s v="445205"/>
    <x v="6"/>
    <s v="TVA - C_20_SERVICES_NON_UE"/>
    <s v="AC"/>
    <n v="-43.75"/>
    <d v="2025-03-04T00:00:00"/>
    <s v="SOW (5 DAYS ) FOR DSP PROTOCOL"/>
    <s v="Non"/>
    <e v="#N/A"/>
    <e v="#N/A"/>
    <n v="95512"/>
    <s v="7348"/>
    <s v="DOTMATICS LIMITED"/>
    <s v="Q1"/>
    <e v="#REF!"/>
    <e v="#REF!"/>
    <e v="#REF!"/>
  </r>
  <r>
    <s v="445205"/>
    <x v="6"/>
    <s v="TVA - C_20_SERVICES_NON_UE"/>
    <s v="TVA"/>
    <n v="16449.04"/>
    <d v="2025-12-31T00:00:00"/>
    <s v="Déclaration TVA Q4 2025"/>
    <m/>
    <e v="#N/A"/>
    <e v="#N/A"/>
    <n v="96049"/>
    <m/>
    <m/>
    <s v="Q4"/>
    <e v="#REF!"/>
    <e v="#REF!"/>
    <e v="#REF!"/>
  </r>
  <r>
    <s v="445206"/>
    <x v="6"/>
    <s v="TVA - D_20_SERVICES_NON_UE"/>
    <s v="AC"/>
    <n v="43.75"/>
    <d v="2025-03-04T00:00:00"/>
    <s v="SOW (5 DAYS ) FOR DSP PROTOCOL"/>
    <s v="Non"/>
    <e v="#N/A"/>
    <e v="#N/A"/>
    <n v="95511"/>
    <s v="7348"/>
    <s v="DOTMATICS LIMITED"/>
    <s v="Q1"/>
    <e v="#REF!"/>
    <e v="#REF!"/>
    <e v="#REF!"/>
  </r>
  <r>
    <s v="445206"/>
    <x v="6"/>
    <s v="TVA - D_20_SERVICES_NON_UE"/>
    <s v="AC"/>
    <n v="59.9"/>
    <d v="2025-11-12T00:00:00"/>
    <s v="DÉPÔT MARQUE US, RÉPONSE DEMANDES OFFICE ACTION"/>
    <s v="Non"/>
    <s v="Non"/>
    <e v="#N/A"/>
    <n v="95522"/>
    <s v="2473501"/>
    <s v="WARNER NORCROSS JUDD"/>
    <s v="Q4"/>
    <e v="#REF!"/>
    <e v="#REF!"/>
    <e v="#REF!"/>
  </r>
  <r>
    <s v="445206"/>
    <x v="6"/>
    <s v="TVA - D_20_SERVICES_NON_UE"/>
    <s v="AC"/>
    <n v="280"/>
    <d v="2025-02-04T00:00:00"/>
    <s v="SOW (5 DAYS ) FOR DSP PROTOCOL"/>
    <s v="Non"/>
    <e v="#N/A"/>
    <e v="#N/A"/>
    <n v="95509"/>
    <s v="7289"/>
    <s v="DOTMATICS LIMITED"/>
    <s v="Q1"/>
    <e v="#REF!"/>
    <e v="#REF!"/>
    <e v="#REF!"/>
  </r>
  <r>
    <s v="445206"/>
    <x v="6"/>
    <s v="TVA - D_20_SERVICES_NON_UE"/>
    <s v="AC"/>
    <n v="435.07"/>
    <d v="2025-05-01T00:00:00"/>
    <s v="MONTHLY CONSULTANCY SERVICES 2025_05"/>
    <s v="Non"/>
    <s v="Non"/>
    <e v="#N/A"/>
    <n v="95492"/>
    <s v="10"/>
    <s v="NEIL BELL"/>
    <s v="Q2"/>
    <e v="#REF!"/>
    <e v="#REF!"/>
    <e v="#REF!"/>
  </r>
  <r>
    <s v="445206"/>
    <x v="6"/>
    <s v="TVA - D_20_SERVICES_NON_UE"/>
    <s v="AC"/>
    <n v="462.2"/>
    <d v="2025-04-01T00:00:00"/>
    <s v="MONTHLY CONSULTANCY SERVICES 2025_04"/>
    <s v="Non"/>
    <s v="Non"/>
    <e v="#N/A"/>
    <n v="95499"/>
    <s v="9"/>
    <s v="NEIL BELL"/>
    <s v="Q2"/>
    <e v="#REF!"/>
    <e v="#REF!"/>
    <e v="#REF!"/>
  </r>
  <r>
    <s v="445206"/>
    <x v="6"/>
    <s v="TVA - D_20_SERVICES_NON_UE"/>
    <s v="AC"/>
    <n v="464"/>
    <d v="2025-05-31T00:00:00"/>
    <s v="LICENCES DOTMATICS 2026 - 2 ADDITIONAL CHEMISTRY"/>
    <s v="Non"/>
    <e v="#N/A"/>
    <e v="#N/A"/>
    <n v="95517"/>
    <s v="INV24949"/>
    <s v="DOTMATICS LIMITED"/>
    <s v="Q2"/>
    <e v="#REF!"/>
    <e v="#REF!"/>
    <e v="#REF!"/>
  </r>
  <r>
    <s v="445206"/>
    <x v="6"/>
    <s v="TVA - D_20_SERVICES_NON_UE"/>
    <s v="AC"/>
    <n v="470.1"/>
    <d v="2025-01-24T00:00:00"/>
    <s v="FACTURE FINALE ZDHC LEVEL 1 INDIGO"/>
    <m/>
    <e v="#N/A"/>
    <e v="#N/A"/>
    <n v="95519"/>
    <s v="INV-0177"/>
    <s v="Eurofins BLC Leather Technology Centre Limited"/>
    <s v="Q1"/>
    <e v="#REF!"/>
    <e v="#REF!"/>
    <e v="#REF!"/>
  </r>
  <r>
    <s v="445206"/>
    <x v="6"/>
    <s v="TVA - D_20_SERVICES_NON_UE"/>
    <s v="AC"/>
    <n v="480.51"/>
    <d v="2025-01-01T00:00:00"/>
    <s v="MONTHLY CONSULTANCY SERVICES 2025_01"/>
    <s v="Non"/>
    <s v="Non"/>
    <e v="#N/A"/>
    <n v="95494"/>
    <s v="6"/>
    <s v="NEIL BELL"/>
    <s v="Q1"/>
    <e v="#REF!"/>
    <e v="#REF!"/>
    <e v="#REF!"/>
  </r>
  <r>
    <s v="445206"/>
    <x v="6"/>
    <s v="TVA - D_20_SERVICES_NON_UE"/>
    <s v="AC"/>
    <n v="481.78"/>
    <d v="2025-03-01T00:00:00"/>
    <s v="MONTHLY CONSULTANCE SERVICES 2025_03"/>
    <s v="Non"/>
    <s v="Non"/>
    <e v="#N/A"/>
    <n v="95501"/>
    <s v="8"/>
    <s v="NEIL BELL"/>
    <s v="Q1"/>
    <e v="#REF!"/>
    <e v="#REF!"/>
    <e v="#REF!"/>
  </r>
  <r>
    <s v="445206"/>
    <x v="6"/>
    <s v="TVA - D_20_SERVICES_NON_UE"/>
    <s v="AC"/>
    <n v="482.53"/>
    <d v="2025-02-01T00:00:00"/>
    <s v="MONTHLY CONSULTANCY SERVICES 2025_02"/>
    <s v="Non"/>
    <s v="Non"/>
    <e v="#N/A"/>
    <n v="95497"/>
    <s v="7"/>
    <s v="NEIL BELL"/>
    <s v="Q1"/>
    <e v="#REF!"/>
    <e v="#REF!"/>
    <e v="#REF!"/>
  </r>
  <r>
    <s v="445206"/>
    <x v="6"/>
    <s v="TVA - D_20_SERVICES_NON_UE"/>
    <s v="AC"/>
    <n v="681.3"/>
    <d v="2025-12-18T00:00:00"/>
    <s v="CONSEIL LEVÉE DE FONDS US - SAM KASSAHUN"/>
    <s v="Non"/>
    <s v="Non"/>
    <e v="#N/A"/>
    <n v="95490"/>
    <s v="1"/>
    <s v="KASSAHUN CAPITAL"/>
    <s v="Q4"/>
    <e v="#REF!"/>
    <e v="#REF!"/>
    <e v="#REF!"/>
  </r>
  <r>
    <s v="445206"/>
    <x v="6"/>
    <s v="TVA - D_20_SERVICES_NON_UE"/>
    <s v="AC"/>
    <n v="883.75"/>
    <d v="2025-01-17T00:00:00"/>
    <s v="SOW (5 DAYS ) FOR DSP PROTOCOL"/>
    <s v="Non"/>
    <e v="#N/A"/>
    <e v="#N/A"/>
    <n v="95507"/>
    <s v="7230"/>
    <s v="DOTMATICS LIMITED"/>
    <s v="Q1"/>
    <e v="#REF!"/>
    <e v="#REF!"/>
    <e v="#REF!"/>
  </r>
  <r>
    <s v="445206"/>
    <x v="6"/>
    <s v="TVA - D_20_SERVICES_NON_UE"/>
    <s v="AC"/>
    <n v="1025.4100000000001"/>
    <d v="2025-12-11T00:00:00"/>
    <s v="STARTUP PREMIUM PLAN DEC 11, 2025 – JAN 11, 2026"/>
    <s v="Non"/>
    <s v="Non"/>
    <e v="#N/A"/>
    <n v="95488"/>
    <s v="1PZECRJE-0001"/>
    <s v="FLOWLIE"/>
    <s v="Q4"/>
    <e v="#REF!"/>
    <e v="#REF!"/>
    <e v="#REF!"/>
  </r>
  <r>
    <s v="445206"/>
    <x v="6"/>
    <s v="TVA - D_20_SERVICES_NON_UE"/>
    <s v="AC"/>
    <n v="1318.31"/>
    <d v="2025-05-30T00:00:00"/>
    <s v="FACTURE T CARREY CONSULTANTE GO TO MARKET INDIGO - FACTURE FINALE"/>
    <s v="Non"/>
    <s v="Non"/>
    <e v="#N/A"/>
    <n v="95505"/>
    <s v="0530"/>
    <s v="TRICIA CAREY"/>
    <s v="Q2"/>
    <e v="#REF!"/>
    <e v="#REF!"/>
    <e v="#REF!"/>
  </r>
  <r>
    <s v="445206"/>
    <x v="6"/>
    <s v="TVA - D_20_SERVICES_NON_UE"/>
    <s v="AC"/>
    <n v="1322"/>
    <d v="2025-05-31T00:00:00"/>
    <s v="LICENCES DOTMATICS 2025_06 À 2026_05 - 1 READ ONLY - 5 ADDITIONAL CHEMISTRY"/>
    <s v="Non"/>
    <e v="#N/A"/>
    <e v="#N/A"/>
    <n v="95515"/>
    <s v="INV24947"/>
    <s v="DOTMATICS LIMITED"/>
    <s v="Q2"/>
    <e v="#REF!"/>
    <e v="#REF!"/>
    <e v="#REF!"/>
  </r>
  <r>
    <s v="445206"/>
    <x v="6"/>
    <s v="TVA - D_20_SERVICES_NON_UE"/>
    <s v="AC"/>
    <n v="1390.43"/>
    <d v="2025-02-25T00:00:00"/>
    <s v="FACTURE T CARREY CONSULTANTE GO TO MARKET INDIGO - FACTURE INTERMÉDIAIRE"/>
    <s v="Non"/>
    <s v="Non"/>
    <e v="#N/A"/>
    <n v="95503"/>
    <s v="225"/>
    <s v="TRICIA CAREY"/>
    <s v="Q1"/>
    <e v="#REF!"/>
    <e v="#REF!"/>
    <e v="#REF!"/>
  </r>
  <r>
    <s v="445206"/>
    <x v="6"/>
    <s v="TVA - D_20_SERVICES_NON_UE"/>
    <s v="AC"/>
    <n v="6168"/>
    <d v="2025-05-31T00:00:00"/>
    <s v="LICENCES DOTMATICS 2026 - 1 READ ONLY - 21 CHEMISTRY - 7 BIOREGISTER"/>
    <s v="Non"/>
    <e v="#N/A"/>
    <e v="#N/A"/>
    <n v="95513"/>
    <s v="INV24946"/>
    <s v="DOTMATICS LIMITED"/>
    <s v="Q2"/>
    <e v="#REF!"/>
    <e v="#REF!"/>
    <e v="#REF!"/>
  </r>
  <r>
    <s v="445206"/>
    <x v="6"/>
    <s v="TVA - D_20_SERVICES_NON_UE"/>
    <s v="TVA"/>
    <n v="-16449.04"/>
    <d v="2025-12-31T00:00:00"/>
    <s v="Déclaration TVA Q4 2025"/>
    <m/>
    <e v="#N/A"/>
    <e v="#N/A"/>
    <n v="96050"/>
    <m/>
    <m/>
    <s v="Q4"/>
    <e v="#REF!"/>
    <e v="#REF!"/>
    <e v="#REF!"/>
  </r>
  <r>
    <s v="445620"/>
    <x v="6"/>
    <s v="TVA - D_20_IMMOS"/>
    <s v="AC"/>
    <n v="99"/>
    <d v="2025-03-05T00:00:00"/>
    <s v="PRESTATION SAGE"/>
    <m/>
    <s v="Non"/>
    <e v="#N/A"/>
    <n v="67838"/>
    <s v="FAP10718"/>
    <s v="AXE GESCOM"/>
    <s v="Q1"/>
    <e v="#REF!"/>
    <e v="#REF!"/>
    <e v="#REF!"/>
  </r>
  <r>
    <s v="445620"/>
    <x v="6"/>
    <s v="TVA - D_20_IMMOS"/>
    <s v="AC"/>
    <n v="99"/>
    <d v="2025-03-18T00:00:00"/>
    <s v="PRESTATION RÉALISÉE À DISTANCE PAR UN CONSULTANT L1K, LA JOURNÉE"/>
    <m/>
    <s v="Non"/>
    <e v="#N/A"/>
    <n v="67850"/>
    <s v="FAP10744"/>
    <s v="AXE GESCOM"/>
    <s v="Q1"/>
    <e v="#REF!"/>
    <e v="#REF!"/>
    <e v="#REF!"/>
  </r>
  <r>
    <s v="445620"/>
    <x v="6"/>
    <s v="TVA - D_20_IMMOS"/>
    <s v="AC"/>
    <n v="108.96"/>
    <d v="2025-01-01T00:00:00"/>
    <s v="COMPLEMENT COTECOTE TRAVAUX D'ÉLECTRICITÉ DANS LE LABO + RACCORDEMENT AÉROTHERME"/>
    <m/>
    <e v="#N/A"/>
    <e v="#N/A"/>
    <n v="71967"/>
    <m/>
    <s v="COTE"/>
    <s v="Q1"/>
    <e v="#REF!"/>
    <e v="#REF!"/>
    <e v="#REF!"/>
  </r>
  <r>
    <s v="445620"/>
    <x v="6"/>
    <s v="TVA - D_20_IMMOS"/>
    <s v="AC"/>
    <n v="198"/>
    <d v="2025-01-31T00:00:00"/>
    <s v="PRESTATION RÉALISÉE À DISTANCE PAR UN CONSULTANT  L1K"/>
    <m/>
    <s v="Non"/>
    <e v="#N/A"/>
    <n v="66536"/>
    <s v="FAP10564"/>
    <s v="AXE GESCOM"/>
    <s v="Q1"/>
    <e v="#REF!"/>
    <e v="#REF!"/>
    <e v="#REF!"/>
  </r>
  <r>
    <s v="445620"/>
    <x v="6"/>
    <s v="TVA - D_20_IMMOS"/>
    <s v="AC"/>
    <n v="198"/>
    <d v="2025-05-06T00:00:00"/>
    <s v="PRESTATION RÉALISÉE À DISTANCE PAR UN CONSULTANT 1,00 L1K, LA JOURNÉE"/>
    <m/>
    <s v="Non"/>
    <e v="#N/A"/>
    <n v="73768"/>
    <s v="FAP10896"/>
    <s v="AXE GESCOM"/>
    <s v="Q2"/>
    <e v="#REF!"/>
    <e v="#REF!"/>
    <e v="#REF!"/>
  </r>
  <r>
    <s v="445620"/>
    <x v="6"/>
    <s v="TVA - D_20_IMMOS"/>
    <s v="AC"/>
    <n v="302"/>
    <d v="2025-02-28T00:00:00"/>
    <s v="GESTION DE PROJET SÉCURISATION BÂTIMENT DÉMO"/>
    <m/>
    <e v="#N/A"/>
    <e v="#N/A"/>
    <n v="67613"/>
    <s v="2023-122-564-1-N1538"/>
    <s v="AIGP INGENIERIE"/>
    <s v="Q1"/>
    <e v="#REF!"/>
    <e v="#REF!"/>
    <e v="#REF!"/>
  </r>
  <r>
    <s v="445620"/>
    <x v="6"/>
    <s v="TVA - D_20_IMMOS"/>
    <s v="AC"/>
    <n v="302"/>
    <d v="2025-05-07T00:00:00"/>
    <s v="GESTION DE PROJET SÉCURISATION BÂTIMENT DÉMO"/>
    <m/>
    <e v="#N/A"/>
    <e v="#N/A"/>
    <n v="73774"/>
    <s v="2023-122-564-1-N1593"/>
    <s v="AIGP INGENIERIE"/>
    <s v="Q2"/>
    <e v="#REF!"/>
    <e v="#REF!"/>
    <e v="#REF!"/>
  </r>
  <r>
    <s v="445620"/>
    <x v="6"/>
    <s v="TVA - D_20_IMMOS"/>
    <s v="AC"/>
    <n v="304.3"/>
    <d v="2025-05-19T00:00:00"/>
    <s v="R1000 - VANNE À BOISSEAU SPHÉRIQUE KK/F DN40"/>
    <m/>
    <e v="#N/A"/>
    <e v="#N/A"/>
    <n v="74437"/>
    <s v="ACI20250724"/>
    <s v="ACI"/>
    <s v="Q2"/>
    <e v="#REF!"/>
    <e v="#REF!"/>
    <e v="#REF!"/>
  </r>
  <r>
    <s v="445620"/>
    <x v="6"/>
    <s v="TVA - D_20_IMMOS"/>
    <s v="AC"/>
    <n v="343.78"/>
    <d v="2025-02-24T00:00:00"/>
    <s v="RACCORDEMENT ÉLECTRIQUE ALGECOS ROUSSILLON (MAIN D'ŒUVRE + MATÉRIEL) + POSE BAES (BLOC AUTONOME D'ÉCLAIRAGE DE SÉCURITÉ) AU NIVE"/>
    <m/>
    <e v="#N/A"/>
    <e v="#N/A"/>
    <n v="67614"/>
    <s v="FCA21250276"/>
    <s v="COTE"/>
    <s v="Q1"/>
    <e v="#REF!"/>
    <e v="#REF!"/>
    <e v="#REF!"/>
  </r>
  <r>
    <s v="445620"/>
    <x v="6"/>
    <s v="TVA - D_20_IMMOS"/>
    <s v="AC"/>
    <n v="380"/>
    <d v="2025-07-07T00:00:00"/>
    <s v="BACS DE RÉTENTION ACIER GALVANISÉ 2 IBC OU 3 PALETTES EUROPES (COMPATIBLE RACKS)"/>
    <m/>
    <e v="#N/A"/>
    <e v="#N/A"/>
    <n v="77099"/>
    <s v="FA19414"/>
    <s v="APIE"/>
    <s v="Q3"/>
    <e v="#REF!"/>
    <e v="#REF!"/>
    <e v="#REF!"/>
  </r>
  <r>
    <s v="445620"/>
    <x v="6"/>
    <s v="TVA - D_20_IMMOS"/>
    <s v="AC"/>
    <n v="408.46"/>
    <d v="2025-03-26T00:00:00"/>
    <s v="COMMANDE DÉTECTEUR HCN POUR KEENB. FACTURE PAYÉE D'AVANCE."/>
    <m/>
    <e v="#N/A"/>
    <e v="#N/A"/>
    <n v="67888"/>
    <s v="922049545"/>
    <s v="DENIOS"/>
    <s v="Q1"/>
    <e v="#REF!"/>
    <e v="#REF!"/>
    <e v="#REF!"/>
  </r>
  <r>
    <s v="445620"/>
    <x v="6"/>
    <s v="TVA - D_20_IMMOS"/>
    <s v="AC"/>
    <n v="442.97"/>
    <d v="2025-02-15T00:00:00"/>
    <s v="AMÉNAGEMENT NOUVEAUX BUNGALOW :  10 TABLES DE RÉUNION PLIANTES (5 PAR BUNGALOW) : 209.35€HT/TABLE JABRA : 121.37€HT"/>
    <m/>
    <s v="Non"/>
    <e v="#N/A"/>
    <n v="67612"/>
    <s v="134"/>
    <s v="DIVERS"/>
    <s v="Q1"/>
    <e v="#REF!"/>
    <e v="#REF!"/>
    <e v="#REF!"/>
  </r>
  <r>
    <s v="445620"/>
    <x v="6"/>
    <s v="TVA - D_20_IMMOS"/>
    <s v="AC"/>
    <n v="485.51"/>
    <d v="2025-01-17T00:00:00"/>
    <s v="POMPE ADDITION KL - MERCI DE PAYER PAR ANTICIPATION ET DE ME TRANSMETTRE LA PREUVE DE VIREMENT - URGENT"/>
    <m/>
    <e v="#N/A"/>
    <e v="#N/A"/>
    <n v="59892"/>
    <s v="FR-5125300495"/>
    <s v="PROMINENT"/>
    <s v="Q1"/>
    <e v="#REF!"/>
    <e v="#REF!"/>
    <e v="#REF!"/>
  </r>
  <r>
    <s v="445620"/>
    <x v="6"/>
    <s v="TVA - D_20_IMMOS"/>
    <s v="AC"/>
    <n v="724"/>
    <d v="2025-01-27T00:00:00"/>
    <s v="RACCORDEMENT ASPIRATION LABORATOIRE"/>
    <s v="Non"/>
    <e v="#N/A"/>
    <e v="#N/A"/>
    <n v="67611"/>
    <s v="FC6491"/>
    <s v="LOPEZ PLOMBERIE ELECTRICITE"/>
    <s v="Q1"/>
    <e v="#REF!"/>
    <e v="#REF!"/>
    <e v="#REF!"/>
  </r>
  <r>
    <s v="445620"/>
    <x v="6"/>
    <s v="TVA - D_20_IMMOS"/>
    <s v="AC"/>
    <n v="792"/>
    <d v="2025-03-10T00:00:00"/>
    <s v="PRESTATION RÉALISÉE À DISTANCE PAR UN CONSULTANT 4,00 L1K, LA JOURNÉE"/>
    <m/>
    <s v="Non"/>
    <e v="#N/A"/>
    <n v="66538"/>
    <s v="FAP10672"/>
    <s v="AXE GESCOM"/>
    <s v="Q1"/>
    <e v="#REF!"/>
    <e v="#REF!"/>
    <e v="#REF!"/>
  </r>
  <r>
    <s v="445620"/>
    <x v="6"/>
    <s v="TVA - D_20_IMMOS"/>
    <s v="AC"/>
    <n v="902.52"/>
    <d v="2025-03-03T00:00:00"/>
    <s v="SPECTROMÈTRE UV LABO ROUSSILLON"/>
    <m/>
    <e v="#N/A"/>
    <e v="#N/A"/>
    <n v="67826"/>
    <s v="4174878933"/>
    <s v="FISHER SCIENTIFIC"/>
    <s v="Q1"/>
    <e v="#REF!"/>
    <e v="#REF!"/>
    <e v="#REF!"/>
  </r>
  <r>
    <s v="445620"/>
    <x v="6"/>
    <s v="TVA - D_20_IMMOS"/>
    <s v="AC"/>
    <n v="903.45"/>
    <d v="2025-01-01T00:00:00"/>
    <s v="Immos en cours AIGP"/>
    <m/>
    <e v="#N/A"/>
    <e v="#N/A"/>
    <n v="74886"/>
    <m/>
    <s v="AIGP INGENIERIE"/>
    <s v="Q1"/>
    <e v="#REF!"/>
    <e v="#REF!"/>
    <e v="#REF!"/>
  </r>
  <r>
    <s v="445620"/>
    <x v="6"/>
    <s v="TVA - D_20_IMMOS"/>
    <s v="AC"/>
    <n v="1000"/>
    <d v="2025-01-17T00:00:00"/>
    <s v="ACCOMPAGNEMENT BPI - CONSULTATION ERP - Y. FEILLENS"/>
    <m/>
    <e v="#N/A"/>
    <e v="#N/A"/>
    <n v="67610"/>
    <s v="UE250005 - PILI II"/>
    <s v="UBIQUITIZ CONSULTING"/>
    <s v="Q1"/>
    <e v="#REF!"/>
    <e v="#REF!"/>
    <e v="#REF!"/>
  </r>
  <r>
    <s v="445620"/>
    <x v="6"/>
    <s v="TVA - D_20_IMMOS"/>
    <s v="AC"/>
    <n v="1682.3"/>
    <d v="2025-04-01T00:00:00"/>
    <s v="RIBIERE - DEMO : SÉCURISATION ZONE DÉMONSTRATEUR : - FONDATION POTEAUX EXISTANTS - TERRASSEMENT"/>
    <m/>
    <e v="#N/A"/>
    <e v="#N/A"/>
    <n v="68985"/>
    <s v="10300"/>
    <s v="RIBIERE"/>
    <s v="Q2"/>
    <e v="#REF!"/>
    <e v="#REF!"/>
    <e v="#REF!"/>
  </r>
  <r>
    <s v="445620"/>
    <x v="6"/>
    <s v="TVA - D_20_IMMOS"/>
    <s v="AC"/>
    <n v="1995.3"/>
    <d v="2025-07-08T00:00:00"/>
    <s v="Projet vidéo Pili"/>
    <m/>
    <e v="#N/A"/>
    <e v="#N/A"/>
    <n v="81274"/>
    <s v="2025 / 96"/>
    <s v="HIPOLITO"/>
    <s v="Q3"/>
    <e v="#REF!"/>
    <e v="#REF!"/>
    <e v="#REF!"/>
  </r>
  <r>
    <s v="445620"/>
    <x v="6"/>
    <s v="TVA - D_20_IMMOS"/>
    <s v="AC"/>
    <n v="2178"/>
    <d v="2025-02-20T00:00:00"/>
    <s v="PRESTATION RÉALISÉE À DISTANCE PAR UN CONSULTANT  L1K, LA JOURNÉE FI FICHE D'INTERVENTION DU 03 AU 19/02/25 SOIT 70H  PAR M. CAS"/>
    <m/>
    <s v="Non"/>
    <e v="#N/A"/>
    <n v="66537"/>
    <s v="FAP10625"/>
    <s v="AXE GESCOM"/>
    <s v="Q1"/>
    <e v="#REF!"/>
    <e v="#REF!"/>
    <e v="#REF!"/>
  </r>
  <r>
    <s v="445620"/>
    <x v="6"/>
    <s v="TVA - D_20_IMMOS"/>
    <s v="AC"/>
    <n v="2851.3"/>
    <d v="2025-02-28T00:00:00"/>
    <s v="AXE MAINTENANCE ÉVOLUTIVE ET CORRECTIVE SAGE L1K (PATCHES...) ASSISTANCE PLATINIUM (SERVICE DÉDIÉ, TÉLÉMAINTENANCE)"/>
    <m/>
    <s v="Non"/>
    <e v="#N/A"/>
    <n v="66527"/>
    <s v="FAP10636"/>
    <s v="AXE GESCOM"/>
    <s v="Q1"/>
    <e v="#REF!"/>
    <e v="#REF!"/>
    <e v="#REF!"/>
  </r>
  <r>
    <s v="445620"/>
    <x v="6"/>
    <s v="TVA - D_20_IMMOS"/>
    <s v="AC"/>
    <n v="3794.34"/>
    <d v="2025-01-29T00:00:00"/>
    <s v="ETUDES ÉLECTRICITÉ / UTILITÉS TRAVAUX DÉMONSTRATEUR"/>
    <s v="Non"/>
    <s v="Non"/>
    <e v="#N/A"/>
    <n v="66558"/>
    <s v="1800003237"/>
    <s v="OSIRIS"/>
    <s v="Q1"/>
    <e v="#REF!"/>
    <e v="#REF!"/>
    <e v="#REF!"/>
  </r>
  <r>
    <s v="445620"/>
    <x v="6"/>
    <s v="TVA - D_20_IMMOS"/>
    <s v="AC"/>
    <n v="4245"/>
    <d v="2025-01-01T00:00:00"/>
    <s v="Immos en cours AIGP"/>
    <m/>
    <e v="#N/A"/>
    <e v="#N/A"/>
    <n v="74882"/>
    <m/>
    <s v="AIGP INGENIERIE"/>
    <s v="Q1"/>
    <e v="#REF!"/>
    <e v="#REF!"/>
    <e v="#REF!"/>
  </r>
  <r>
    <s v="445620"/>
    <x v="6"/>
    <s v="TVA - D_20_IMMOS"/>
    <s v="AN"/>
    <n v="-12289.14"/>
    <d v="2025-01-01T00:00:00"/>
    <s v="Report à nouveau Exercice 2025"/>
    <m/>
    <e v="#N/A"/>
    <e v="#N/A"/>
    <n v="84787"/>
    <m/>
    <m/>
    <s v="Q1"/>
    <e v="#REF!"/>
    <e v="#REF!"/>
    <e v="#REF!"/>
  </r>
  <r>
    <s v="445620"/>
    <x v="6"/>
    <s v="TVA - D_20_IMMOS"/>
    <s v="AN"/>
    <n v="0"/>
    <d v="2025-01-01T00:00:00"/>
    <s v="Report à nouveau Exercice 2025"/>
    <m/>
    <e v="#N/A"/>
    <e v="#N/A"/>
    <n v="84825"/>
    <m/>
    <m/>
    <s v="Q1"/>
    <e v="#REF!"/>
    <e v="#REF!"/>
    <e v="#REF!"/>
  </r>
  <r>
    <s v="445620"/>
    <x v="6"/>
    <s v="TVA - D_20_IMMOS"/>
    <s v="AN"/>
    <n v="241.6"/>
    <d v="2025-01-01T00:00:00"/>
    <s v="Report à nouveau Exercice 2025"/>
    <m/>
    <e v="#N/A"/>
    <e v="#N/A"/>
    <n v="84869"/>
    <m/>
    <m/>
    <s v="Q1"/>
    <e v="#REF!"/>
    <e v="#REF!"/>
    <e v="#REF!"/>
  </r>
  <r>
    <s v="445620"/>
    <x v="6"/>
    <s v="TVA - D_20_IMMOS"/>
    <s v="AN"/>
    <n v="22108.62"/>
    <d v="2025-01-01T00:00:00"/>
    <s v="Report à nouveau Exercice 2025"/>
    <m/>
    <e v="#N/A"/>
    <e v="#N/A"/>
    <n v="84969"/>
    <m/>
    <m/>
    <s v="Q1"/>
    <e v="#REF!"/>
    <e v="#REF!"/>
    <e v="#REF!"/>
  </r>
  <r>
    <s v="445620"/>
    <x v="6"/>
    <s v="TVA - D_20_IMMOS"/>
    <s v="JC"/>
    <n v="99.6"/>
    <d v="2025-01-01T00:00:00"/>
    <s v="Cadrage comptes audités 2024 - bilan"/>
    <m/>
    <e v="#N/A"/>
    <e v="#N/A"/>
    <n v="87164"/>
    <m/>
    <m/>
    <s v="Q1"/>
    <e v="#REF!"/>
    <e v="#REF!"/>
    <e v="#REF!"/>
  </r>
  <r>
    <s v="445620"/>
    <x v="6"/>
    <s v="TVA - D_20_IMMOS"/>
    <s v="OD"/>
    <n v="-30103.74"/>
    <d v="2025-03-31T00:00:00"/>
    <s v="Liaison inter-établissement vers TO "/>
    <m/>
    <e v="#N/A"/>
    <e v="#N/A"/>
    <n v="68502"/>
    <m/>
    <m/>
    <s v="Q1"/>
    <e v="#REF!"/>
    <e v="#REF!"/>
    <e v="#REF!"/>
  </r>
  <r>
    <s v="445620"/>
    <x v="6"/>
    <s v="TVA - D_20_IMMOS"/>
    <s v="OD"/>
    <n v="-6867.36"/>
    <d v="2025-03-31T00:00:00"/>
    <s v="Liaison inter-établissement vers TO "/>
    <m/>
    <e v="#N/A"/>
    <e v="#N/A"/>
    <n v="68498"/>
    <m/>
    <m/>
    <s v="Q1"/>
    <e v="#REF!"/>
    <e v="#REF!"/>
    <e v="#REF!"/>
  </r>
  <r>
    <s v="445620"/>
    <x v="6"/>
    <s v="TVA - D_20_IMMOS"/>
    <s v="OD"/>
    <n v="-2288.6"/>
    <d v="2025-06-30T00:00:00"/>
    <s v="Liaison inter-établissement vers TO "/>
    <m/>
    <e v="#N/A"/>
    <e v="#N/A"/>
    <n v="78484"/>
    <m/>
    <m/>
    <s v="Q2"/>
    <e v="#REF!"/>
    <e v="#REF!"/>
    <e v="#REF!"/>
  </r>
  <r>
    <s v="445620"/>
    <x v="6"/>
    <s v="TVA - D_20_IMMOS"/>
    <s v="OD"/>
    <n v="-380"/>
    <d v="2025-09-30T00:00:00"/>
    <s v="Liaison inter-établissement vers TO "/>
    <m/>
    <e v="#N/A"/>
    <e v="#N/A"/>
    <n v="87228"/>
    <m/>
    <m/>
    <s v="Q3"/>
    <e v="#REF!"/>
    <e v="#REF!"/>
    <e v="#REF!"/>
  </r>
  <r>
    <s v="445620"/>
    <x v="6"/>
    <s v="TVA - D_20_IMMOS"/>
    <s v="OD"/>
    <n v="-198"/>
    <d v="2025-06-30T00:00:00"/>
    <s v="Liaison inter-établissement vers TO "/>
    <m/>
    <e v="#N/A"/>
    <e v="#N/A"/>
    <n v="78480"/>
    <m/>
    <m/>
    <s v="Q2"/>
    <e v="#REF!"/>
    <e v="#REF!"/>
    <e v="#REF!"/>
  </r>
  <r>
    <s v="445620"/>
    <x v="6"/>
    <s v="TVA - D_20_IMMOS"/>
    <s v="OD"/>
    <n v="380"/>
    <d v="2025-09-30T00:00:00"/>
    <s v="Liaison inter-établissement"/>
    <m/>
    <e v="#N/A"/>
    <e v="#N/A"/>
    <n v="87229"/>
    <m/>
    <m/>
    <s v="Q3"/>
    <e v="#REF!"/>
    <e v="#REF!"/>
    <e v="#REF!"/>
  </r>
  <r>
    <s v="445620"/>
    <x v="6"/>
    <s v="TVA - D_20_IMMOS"/>
    <s v="OD"/>
    <n v="2486.6"/>
    <d v="2025-06-30T00:00:00"/>
    <s v="Liaison inter-établissement"/>
    <m/>
    <e v="#N/A"/>
    <e v="#N/A"/>
    <n v="78481"/>
    <m/>
    <m/>
    <s v="Q2"/>
    <e v="#REF!"/>
    <e v="#REF!"/>
    <e v="#REF!"/>
  </r>
  <r>
    <s v="445620"/>
    <x v="6"/>
    <s v="TVA - D_20_IMMOS"/>
    <s v="OD"/>
    <n v="36971.1"/>
    <d v="2025-03-31T00:00:00"/>
    <s v="Liaison inter-établissement"/>
    <m/>
    <e v="#N/A"/>
    <e v="#N/A"/>
    <n v="68499"/>
    <m/>
    <m/>
    <s v="Q1"/>
    <e v="#REF!"/>
    <e v="#REF!"/>
    <e v="#REF!"/>
  </r>
  <r>
    <s v="445620"/>
    <x v="6"/>
    <s v="TVA - D_20_IMMOS"/>
    <s v="TVA"/>
    <n v="-24781.56"/>
    <d v="2025-03-31T00:00:00"/>
    <s v="Déclaration TVA Q1"/>
    <m/>
    <e v="#N/A"/>
    <e v="#N/A"/>
    <n v="68476"/>
    <m/>
    <m/>
    <s v="Q1"/>
    <e v="#REF!"/>
    <e v="#REF!"/>
    <e v="#REF!"/>
  </r>
  <r>
    <s v="445620"/>
    <x v="6"/>
    <s v="TVA - D_20_IMMOS"/>
    <s v="TVA"/>
    <n v="-7744.01"/>
    <d v="2025-06-30T00:00:00"/>
    <s v="Déclaration TVA Q2 2025"/>
    <m/>
    <e v="#N/A"/>
    <e v="#N/A"/>
    <n v="78450"/>
    <m/>
    <m/>
    <s v="Q2"/>
    <e v="#REF!"/>
    <e v="#REF!"/>
    <e v="#REF!"/>
  </r>
  <r>
    <s v="445620"/>
    <x v="6"/>
    <s v="TVA - D_20_IMMOS"/>
    <s v="TVA"/>
    <n v="-2375.3000000000002"/>
    <d v="2025-09-30T00:00:00"/>
    <s v="Déclaration TVA Q3 2025"/>
    <m/>
    <e v="#N/A"/>
    <e v="#N/A"/>
    <n v="87187"/>
    <m/>
    <m/>
    <s v="Q3"/>
    <e v="#REF!"/>
    <e v="#REF!"/>
    <e v="#REF!"/>
  </r>
  <r>
    <s v="445662"/>
    <x v="6"/>
    <s v="TVA - D_20"/>
    <s v="AC"/>
    <n v="-7929"/>
    <d v="2025-08-29T00:00:00"/>
    <s v="AVOIR SUR ACOMPTE KAPP"/>
    <s v="Non"/>
    <e v="#N/A"/>
    <e v="#N/A"/>
    <n v="81915"/>
    <s v="AVE000000"/>
    <s v="KAPP"/>
    <s v="Q3"/>
    <e v="#REF!"/>
    <e v="#REF!"/>
    <e v="#REF!"/>
  </r>
  <r>
    <s v="445662"/>
    <x v="6"/>
    <s v="TVA - D_20"/>
    <s v="AC"/>
    <n v="-5000"/>
    <d v="2025-01-01T00:00:00"/>
    <s v="Annulation Acompte Inside (doublon facture décembre)"/>
    <s v="Non"/>
    <s v="Non"/>
    <e v="#N/A"/>
    <n v="61896"/>
    <m/>
    <s v="INSIDE MANAGEMENT"/>
    <s v="Q1"/>
    <e v="#REF!"/>
    <e v="#REF!"/>
    <e v="#REF!"/>
  </r>
  <r>
    <s v="445662"/>
    <x v="6"/>
    <s v="TVA - D_20"/>
    <s v="AC"/>
    <n v="-426.68"/>
    <d v="2025-09-03T00:00:00"/>
    <s v="DÉTECTEUR DE GAZ DRÄGER"/>
    <m/>
    <e v="#N/A"/>
    <e v="#N/A"/>
    <n v="81901"/>
    <s v="923003074"/>
    <s v="DENIOS"/>
    <s v="Q3"/>
    <e v="#REF!"/>
    <e v="#REF!"/>
    <e v="#REF!"/>
  </r>
  <r>
    <s v="445662"/>
    <x v="6"/>
    <s v="TVA - D_20"/>
    <s v="AC"/>
    <n v="-104.4"/>
    <d v="2025-11-10T00:00:00"/>
    <s v="REMBOURSEMENT DE LA FACTURE 4175054812, PRODUIT NON RÉCEPTIONNÉ SUITE À PB LIVRAISON"/>
    <m/>
    <e v="#N/A"/>
    <e v="#N/A"/>
    <n v="91057"/>
    <s v="5"/>
    <s v="FISHER SCIENTIFIC"/>
    <s v="Q4"/>
    <e v="#REF!"/>
    <e v="#REF!"/>
    <e v="#REF!"/>
  </r>
  <r>
    <s v="445662"/>
    <x v="6"/>
    <s v="TVA - D_20"/>
    <s v="AC"/>
    <n v="-33"/>
    <d v="2025-11-01T00:00:00"/>
    <s v="ANNULATION CHEM DAY"/>
    <m/>
    <e v="#N/A"/>
    <e v="#N/A"/>
    <n v="91804"/>
    <s v="ANNULATION CHEM DAY"/>
    <s v="CHIMIE PROMOTION"/>
    <s v="Q4"/>
    <e v="#REF!"/>
    <e v="#REF!"/>
    <e v="#REF!"/>
  </r>
  <r>
    <s v="445662"/>
    <x v="6"/>
    <s v="TVA - D_20"/>
    <s v="AC"/>
    <n v="-25.39"/>
    <d v="2025-02-07T00:00:00"/>
    <s v="CISEAUX EXPERT PLASTIFIEUSE CISEAUX EXPERT"/>
    <m/>
    <e v="#N/A"/>
    <e v="#N/A"/>
    <n v="71280"/>
    <s v="11"/>
    <s v="OFFICE DEPOT"/>
    <s v="Q1"/>
    <e v="#REF!"/>
    <e v="#REF!"/>
    <e v="#REF!"/>
  </r>
  <r>
    <s v="445662"/>
    <x v="6"/>
    <s v="TVA - D_20"/>
    <s v="AC"/>
    <n v="-14.4"/>
    <d v="2025-03-25T00:00:00"/>
    <s v="AVOIR -FILTRES EN FEUILLE ROTILABO"/>
    <m/>
    <e v="#N/A"/>
    <e v="#N/A"/>
    <n v="67875"/>
    <s v="27"/>
    <s v="ROTH SOCHIEL"/>
    <s v="Q1"/>
    <e v="#REF!"/>
    <e v="#REF!"/>
    <e v="#REF!"/>
  </r>
  <r>
    <s v="445662"/>
    <x v="6"/>
    <s v="TVA - D_20"/>
    <s v="AC"/>
    <n v="-6"/>
    <d v="2025-10-20T00:00:00"/>
    <s v="annulation WEBINAIRE - PRÉSENTATION DES PLATEFORMES SCIENTIFIQUES ET TECHNOLOGIQUES 22-05"/>
    <m/>
    <s v="Non"/>
    <s v="Oui"/>
    <n v="87151"/>
    <m/>
    <s v="AXELERA"/>
    <s v="Q4"/>
    <e v="#REF!"/>
    <e v="#REF!"/>
    <e v="#REF!"/>
  </r>
  <r>
    <s v="445662"/>
    <x v="6"/>
    <s v="TVA - D_20"/>
    <s v="AC"/>
    <n v="-1.41"/>
    <d v="2025-04-28T00:00:00"/>
    <s v="PEINTURE DEBOUCHEUR MANCHE EN BOIS"/>
    <m/>
    <e v="#N/A"/>
    <e v="#N/A"/>
    <n v="81017"/>
    <s v="624505 - DOUBLON"/>
    <s v="LEROY MERLIN"/>
    <s v="Q2"/>
    <e v="#REF!"/>
    <e v="#REF!"/>
    <e v="#REF!"/>
  </r>
  <r>
    <s v="445662"/>
    <x v="6"/>
    <s v="TVA - D_20"/>
    <s v="AC"/>
    <n v="0.2"/>
    <d v="2025-11-30T00:00:00"/>
    <s v="SAMSUNG GALAXY A16 BLEU NUIT 128GO"/>
    <m/>
    <e v="#N/A"/>
    <e v="#N/A"/>
    <n v="92141"/>
    <s v="92598644"/>
    <s v="ORANGE"/>
    <s v="Q4"/>
    <e v="#REF!"/>
    <e v="#REF!"/>
    <e v="#REF!"/>
  </r>
  <r>
    <s v="445662"/>
    <x v="6"/>
    <s v="TVA - D_20"/>
    <s v="AC"/>
    <n v="0.21"/>
    <d v="2025-07-02T00:00:00"/>
    <s v="LRAR CONVOCATION CAC"/>
    <m/>
    <e v="#N/A"/>
    <e v="#N/A"/>
    <n v="80855"/>
    <s v="L000000129024851"/>
    <s v="LA POSTE"/>
    <s v="Q3"/>
    <e v="#REF!"/>
    <e v="#REF!"/>
    <e v="#REF!"/>
  </r>
  <r>
    <s v="445662"/>
    <x v="6"/>
    <s v="TVA - D_20"/>
    <s v="AC"/>
    <n v="0.21"/>
    <d v="2025-07-25T00:00:00"/>
    <s v="COURRIER CAC LRAR"/>
    <m/>
    <e v="#N/A"/>
    <e v="#N/A"/>
    <n v="80895"/>
    <s v="L000000134935634"/>
    <s v="LA POSTE"/>
    <s v="Q3"/>
    <e v="#REF!"/>
    <e v="#REF!"/>
    <e v="#REF!"/>
  </r>
  <r>
    <s v="445662"/>
    <x v="6"/>
    <s v="TVA - D_20"/>
    <s v="AC"/>
    <n v="0.21"/>
    <d v="2025-10-03T00:00:00"/>
    <s v="COURRIER INFORMATION CAC - MODIFS OC"/>
    <m/>
    <e v="#N/A"/>
    <e v="#N/A"/>
    <n v="83040"/>
    <s v="45"/>
    <s v="LA POSTE"/>
    <s v="Q4"/>
    <e v="#REF!"/>
    <e v="#REF!"/>
    <e v="#REF!"/>
  </r>
  <r>
    <s v="445662"/>
    <x v="6"/>
    <s v="TVA - D_20"/>
    <s v="AC"/>
    <n v="0.21"/>
    <d v="2025-12-18T00:00:00"/>
    <s v="LRAR CAC COMPTES 2024"/>
    <m/>
    <e v="#N/A"/>
    <e v="#N/A"/>
    <n v="93973"/>
    <s v="L000000140087491"/>
    <s v="LA POSTE"/>
    <s v="Q4"/>
    <e v="#REF!"/>
    <e v="#REF!"/>
    <e v="#REF!"/>
  </r>
  <r>
    <s v="445662"/>
    <x v="6"/>
    <s v="TVA - D_20"/>
    <s v="AC"/>
    <n v="0.45"/>
    <d v="2025-12-11T00:00:00"/>
    <s v="COURRIER LRAR DGFIP - CRC 2023 ET 2024"/>
    <m/>
    <e v="#N/A"/>
    <e v="#N/A"/>
    <n v="93962"/>
    <s v="L000000139795116"/>
    <s v="LA POSTE"/>
    <s v="Q4"/>
    <e v="#REF!"/>
    <e v="#REF!"/>
    <e v="#REF!"/>
  </r>
  <r>
    <s v="445662"/>
    <x v="6"/>
    <s v="TVA - D_20"/>
    <s v="AC"/>
    <n v="0.53"/>
    <d v="2025-10-21T00:00:00"/>
    <s v="COMMANDE DE KBIS"/>
    <s v="Non"/>
    <s v="Non"/>
    <e v="#N/A"/>
    <n v="89633"/>
    <s v="28"/>
    <s v="INFOGREFFE"/>
    <s v="Q4"/>
    <e v="#REF!"/>
    <e v="#REF!"/>
    <e v="#REF!"/>
  </r>
  <r>
    <s v="445662"/>
    <x v="6"/>
    <s v="TVA - D_20"/>
    <s v="AC"/>
    <n v="0.85"/>
    <d v="2025-07-21T00:00:00"/>
    <s v="GAZ LYON"/>
    <m/>
    <e v="#N/A"/>
    <e v="#N/A"/>
    <n v="87028"/>
    <s v="320008109274"/>
    <s v="ENGIE"/>
    <s v="Q3"/>
    <e v="#REF!"/>
    <e v="#REF!"/>
    <e v="#REF!"/>
  </r>
  <r>
    <s v="445662"/>
    <x v="6"/>
    <s v="TVA - D_20"/>
    <s v="AC"/>
    <n v="1.07"/>
    <d v="2025-07-21T00:00:00"/>
    <s v="EXTRAIT KBIS"/>
    <s v="Non"/>
    <s v="Non"/>
    <e v="#N/A"/>
    <n v="78807"/>
    <s v="50721-QZXYB"/>
    <s v="INFOGREFFE"/>
    <s v="Q3"/>
    <e v="#REF!"/>
    <e v="#REF!"/>
    <e v="#REF!"/>
  </r>
  <r>
    <s v="445662"/>
    <x v="6"/>
    <s v="TVA - D_20"/>
    <s v="AC"/>
    <n v="1.0900000000000001"/>
    <d v="2025-06-23T00:00:00"/>
    <s v="ABONNEMENT SOLUTION LOGISTIQUE EXPÉDITIONS GAM + FRAIS D'EXPÉ"/>
    <m/>
    <e v="#N/A"/>
    <e v="#N/A"/>
    <n v="78052"/>
    <s v="35"/>
    <s v="SENDCLOUD"/>
    <s v="Q2"/>
    <e v="#REF!"/>
    <e v="#REF!"/>
    <e v="#REF!"/>
  </r>
  <r>
    <s v="445662"/>
    <x v="6"/>
    <s v="TVA - D_20"/>
    <s v="AC"/>
    <n v="1.1499999999999999"/>
    <d v="2025-06-17T00:00:00"/>
    <s v="NACL POUR KEENY (SOLUTION BRINE POUR LES LAVAGES)"/>
    <m/>
    <e v="#N/A"/>
    <e v="#N/A"/>
    <n v="78041"/>
    <s v="29"/>
    <s v="MONDROGUISTE"/>
    <s v="Q2"/>
    <e v="#REF!"/>
    <e v="#REF!"/>
    <e v="#REF!"/>
  </r>
  <r>
    <s v="445662"/>
    <x v="6"/>
    <s v="TVA - D_20"/>
    <s v="AC"/>
    <n v="1.25"/>
    <d v="2025-04-15T00:00:00"/>
    <s v="CHEVILLES DE BOIS (POUR MONTAGE ÉTAGÈRE DES TOILETTES), TORCHONS, SERVIETTES, ÉPLUCHEUR"/>
    <m/>
    <e v="#N/A"/>
    <e v="#N/A"/>
    <n v="69800"/>
    <s v="67"/>
    <s v="LEROY MERLIN"/>
    <s v="Q2"/>
    <e v="#REF!"/>
    <e v="#REF!"/>
    <e v="#REF!"/>
  </r>
  <r>
    <s v="445662"/>
    <x v="6"/>
    <s v="TVA - D_20"/>
    <s v="AC"/>
    <n v="1.29"/>
    <d v="2025-04-01T00:00:00"/>
    <s v="LICENCES OFFICE 365 1 MICROSOFT 365 APPS FOR ENTREPRISE"/>
    <m/>
    <e v="#N/A"/>
    <e v="#N/A"/>
    <n v="69666"/>
    <s v="141259"/>
    <s v="ARESCOM"/>
    <s v="Q2"/>
    <e v="#REF!"/>
    <e v="#REF!"/>
    <e v="#REF!"/>
  </r>
  <r>
    <s v="445662"/>
    <x v="6"/>
    <s v="TVA - D_20"/>
    <s v="AC"/>
    <n v="1.34"/>
    <d v="2025-07-21T00:00:00"/>
    <s v="ABONNEMENT SOLUTION LOGISTIQUE EXPÉDITIONS GAM + FRAIS D'EXPÉ"/>
    <m/>
    <e v="#N/A"/>
    <e v="#N/A"/>
    <n v="80886"/>
    <s v="3-25-FR0035057"/>
    <s v="SENDCLOUD"/>
    <s v="Q3"/>
    <e v="#REF!"/>
    <e v="#REF!"/>
    <e v="#REF!"/>
  </r>
  <r>
    <s v="445662"/>
    <x v="6"/>
    <s v="TVA - D_20"/>
    <s v="AC"/>
    <n v="1.34"/>
    <d v="2025-09-01T00:00:00"/>
    <s v="ABONNEMENT SOLUTION LOGISTIQUE EXPÉDITIONS GAM + FRAIS D'EXPÉ"/>
    <m/>
    <e v="#N/A"/>
    <e v="#N/A"/>
    <n v="82952"/>
    <s v="3-25-FR0048856"/>
    <s v="SENDCLOUD"/>
    <s v="Q3"/>
    <e v="#REF!"/>
    <e v="#REF!"/>
    <e v="#REF!"/>
  </r>
  <r>
    <s v="445662"/>
    <x v="6"/>
    <s v="TVA - D_20"/>
    <s v="AC"/>
    <n v="1.41"/>
    <d v="2025-04-25T00:00:00"/>
    <s v="BALAI + SERPILLÈRES (MANCHE CASSÉ, SERPILLÈRE USÉE)"/>
    <m/>
    <e v="#N/A"/>
    <e v="#N/A"/>
    <n v="71345"/>
    <s v="624505"/>
    <s v="LEROY MERLIN"/>
    <s v="Q2"/>
    <e v="#REF!"/>
    <e v="#REF!"/>
    <e v="#REF!"/>
  </r>
  <r>
    <s v="445662"/>
    <x v="6"/>
    <s v="TVA - D_20"/>
    <s v="AC"/>
    <n v="1.41"/>
    <d v="2025-04-28T00:00:00"/>
    <s v="PEINTURE DEBOUCHEUR MANCHE EN BOIS"/>
    <m/>
    <e v="#N/A"/>
    <e v="#N/A"/>
    <n v="71356"/>
    <s v="624505"/>
    <s v="LEROY MERLIN"/>
    <s v="Q2"/>
    <e v="#REF!"/>
    <e v="#REF!"/>
    <e v="#REF!"/>
  </r>
  <r>
    <s v="445662"/>
    <x v="6"/>
    <s v="TVA - D_20"/>
    <s v="AC"/>
    <n v="1.43"/>
    <d v="2025-03-31T00:00:00"/>
    <s v="ABONNEMENT SOLUTION LOGISTIQUE EXPÉDITIONS GAM + FRAIS D'EXPÉ"/>
    <m/>
    <e v="#N/A"/>
    <e v="#N/A"/>
    <n v="67938"/>
    <s v="25-FR0000808"/>
    <s v="SENDCLOUD"/>
    <s v="Q1"/>
    <e v="#REF!"/>
    <e v="#REF!"/>
    <e v="#REF!"/>
  </r>
  <r>
    <s v="445662"/>
    <x v="6"/>
    <s v="TVA - D_20"/>
    <s v="AC"/>
    <n v="1.43"/>
    <d v="2025-07-07T00:00:00"/>
    <s v="ABONNEMENT SOLUTION LOGISTIQUE EXPÉDITIONS GAM + FRAIS D'EXPÉ"/>
    <m/>
    <e v="#N/A"/>
    <e v="#N/A"/>
    <n v="80867"/>
    <s v="3-25-FR0031728"/>
    <s v="SENDCLOUD"/>
    <s v="Q3"/>
    <e v="#REF!"/>
    <e v="#REF!"/>
    <e v="#REF!"/>
  </r>
  <r>
    <s v="445662"/>
    <x v="6"/>
    <s v="TVA - D_20"/>
    <s v="AC"/>
    <n v="1.53"/>
    <d v="2025-04-14T00:00:00"/>
    <s v="ABONNEMENT SOLUTION LOGISTIQUE EXPÉDITIONS GAM + FRAIS D'EXPÉ"/>
    <m/>
    <e v="#N/A"/>
    <e v="#N/A"/>
    <n v="69797"/>
    <s v="25-FR0006020"/>
    <s v="SENDCLOUD"/>
    <s v="Q2"/>
    <e v="#REF!"/>
    <e v="#REF!"/>
    <e v="#REF!"/>
  </r>
  <r>
    <s v="445662"/>
    <x v="6"/>
    <s v="TVA - D_20"/>
    <s v="AC"/>
    <n v="1.53"/>
    <d v="2025-10-13T00:00:00"/>
    <s v="ABONNEMENT SOLUTION LOGISTIQUE EXPÉDITIONS GAM + FRAIS D'EXPÉ"/>
    <m/>
    <e v="#N/A"/>
    <e v="#N/A"/>
    <n v="89613"/>
    <s v="19"/>
    <s v="SENDCLOUD"/>
    <s v="Q4"/>
    <e v="#REF!"/>
    <e v="#REF!"/>
    <e v="#REF!"/>
  </r>
  <r>
    <s v="445662"/>
    <x v="6"/>
    <s v="TVA - D_20"/>
    <s v="AC"/>
    <n v="1.54"/>
    <d v="2025-04-01T00:00:00"/>
    <s v="RÉGULARISATION DE CHARGES"/>
    <m/>
    <e v="#N/A"/>
    <e v="#N/A"/>
    <n v="69672"/>
    <s v="SE250099"/>
    <s v="SEDIST"/>
    <s v="Q2"/>
    <e v="#REF!"/>
    <e v="#REF!"/>
    <e v="#REF!"/>
  </r>
  <r>
    <s v="445662"/>
    <x v="6"/>
    <s v="TVA - D_20"/>
    <s v="AC"/>
    <n v="1.62"/>
    <d v="2025-07-23T00:00:00"/>
    <s v="ELECTRICITÉ LYON"/>
    <m/>
    <e v="#N/A"/>
    <e v="#N/A"/>
    <n v="87033"/>
    <s v="420007162957"/>
    <s v="ENGIE"/>
    <s v="Q3"/>
    <e v="#REF!"/>
    <e v="#REF!"/>
    <e v="#REF!"/>
  </r>
  <r>
    <s v="445662"/>
    <x v="6"/>
    <s v="TVA - D_20"/>
    <s v="AC"/>
    <n v="1.63"/>
    <d v="2025-05-23T00:00:00"/>
    <s v="ELECTRICITÉ LYON"/>
    <m/>
    <e v="#N/A"/>
    <e v="#N/A"/>
    <n v="78763"/>
    <s v="850005168540"/>
    <s v="ENGIE"/>
    <s v="Q2"/>
    <e v="#REF!"/>
    <e v="#REF!"/>
    <e v="#REF!"/>
  </r>
  <r>
    <s v="445662"/>
    <x v="6"/>
    <s v="TVA - D_20"/>
    <s v="AC"/>
    <n v="1.66"/>
    <d v="2025-03-17T00:00:00"/>
    <s v="ABONNEMENT SOLUTION LOGISTIQUE EXPÉDITIONS GAM + FRAIS D'EXPÉ"/>
    <m/>
    <e v="#N/A"/>
    <e v="#N/A"/>
    <n v="66120"/>
    <s v="25-FR0022388"/>
    <s v="SENDCLOUD"/>
    <s v="Q1"/>
    <e v="#REF!"/>
    <e v="#REF!"/>
    <e v="#REF!"/>
  </r>
  <r>
    <s v="445662"/>
    <x v="6"/>
    <s v="TVA - D_20"/>
    <s v="AC"/>
    <n v="1.67"/>
    <d v="2025-01-28T00:00:00"/>
    <s v="LA PREMIÈRE CARTE GÉNÉRÉE POUR CET ABONNEMENT N'A PAS FONCTIONNÉ. LE PAYEMENT EST REFUSÉ. JE RETENTE"/>
    <m/>
    <e v="#N/A"/>
    <e v="#N/A"/>
    <n v="61327"/>
    <s v="66"/>
    <s v="ORSON.IO"/>
    <s v="Q1"/>
    <e v="#REF!"/>
    <e v="#REF!"/>
    <e v="#REF!"/>
  </r>
  <r>
    <s v="445662"/>
    <x v="6"/>
    <s v="TVA - D_20"/>
    <s v="AC"/>
    <n v="1.72"/>
    <d v="2025-06-21T00:00:00"/>
    <s v="GAZ LYON"/>
    <m/>
    <e v="#N/A"/>
    <e v="#N/A"/>
    <n v="78368"/>
    <s v="5"/>
    <s v="ENGIE"/>
    <s v="Q2"/>
    <e v="#REF!"/>
    <e v="#REF!"/>
    <e v="#REF!"/>
  </r>
  <r>
    <s v="445662"/>
    <x v="6"/>
    <s v="TVA - D_20"/>
    <s v="AC"/>
    <n v="1.79"/>
    <d v="2025-06-23T00:00:00"/>
    <s v="ELECTRICITÉ LYON"/>
    <m/>
    <e v="#N/A"/>
    <e v="#N/A"/>
    <n v="78373"/>
    <s v="6"/>
    <s v="ENGIE"/>
    <s v="Q2"/>
    <e v="#REF!"/>
    <e v="#REF!"/>
    <e v="#REF!"/>
  </r>
  <r>
    <s v="445662"/>
    <x v="6"/>
    <s v="TVA - D_20"/>
    <s v="AC"/>
    <n v="2.1800000000000002"/>
    <d v="2025-02-22T00:00:00"/>
    <s v="COMMANDE RÉCURRENTE D'EAU - SITE ROUSSILLON"/>
    <m/>
    <e v="#N/A"/>
    <e v="#N/A"/>
    <n v="61546"/>
    <s v="150"/>
    <s v="CHATEAUDEAU"/>
    <s v="Q1"/>
    <e v="#REF!"/>
    <e v="#REF!"/>
    <e v="#REF!"/>
  </r>
  <r>
    <s v="445662"/>
    <x v="6"/>
    <s v="TVA - D_20"/>
    <s v="AC"/>
    <n v="2.19"/>
    <d v="2025-02-24T00:00:00"/>
    <s v="ELECTRICITÉ LYON"/>
    <m/>
    <e v="#N/A"/>
    <e v="#N/A"/>
    <n v="73700"/>
    <s v="9,80E+11"/>
    <s v="ENGIE"/>
    <s v="Q1"/>
    <e v="#REF!"/>
    <e v="#REF!"/>
    <e v="#REF!"/>
  </r>
  <r>
    <s v="445662"/>
    <x v="6"/>
    <s v="TVA - D_20"/>
    <s v="AC"/>
    <n v="2.2000000000000002"/>
    <d v="2025-04-10T00:00:00"/>
    <s v="ENTRETIEN RECRUTEMENT RAF - CB LOIMAS"/>
    <m/>
    <s v="Non"/>
    <e v="#N/A"/>
    <n v="72601"/>
    <s v="70"/>
    <s v="DIVERS"/>
    <s v="Q2"/>
    <e v="#REF!"/>
    <e v="#REF!"/>
    <e v="#REF!"/>
  </r>
  <r>
    <s v="445662"/>
    <x v="6"/>
    <s v="TVA - D_20"/>
    <s v="AC"/>
    <n v="2.31"/>
    <d v="2025-04-23T00:00:00"/>
    <s v="ELECTRICITÉ LYON"/>
    <m/>
    <e v="#N/A"/>
    <e v="#N/A"/>
    <n v="78741"/>
    <s v="720000560953"/>
    <s v="ENGIE"/>
    <s v="Q2"/>
    <e v="#REF!"/>
    <e v="#REF!"/>
    <e v="#REF!"/>
  </r>
  <r>
    <s v="445662"/>
    <x v="6"/>
    <s v="TVA - D_20"/>
    <s v="AC"/>
    <n v="2.3199999999999998"/>
    <d v="2025-04-25T00:00:00"/>
    <s v="BALAI + SERPILLÈRES (MANCHE CASSÉ, SERPILLÈRE USÉE)"/>
    <m/>
    <e v="#N/A"/>
    <e v="#N/A"/>
    <n v="71342"/>
    <s v="FA#2121326"/>
    <s v="LEROY MERLIN"/>
    <s v="Q2"/>
    <e v="#REF!"/>
    <e v="#REF!"/>
    <e v="#REF!"/>
  </r>
  <r>
    <s v="445662"/>
    <x v="6"/>
    <s v="TVA - D_20"/>
    <s v="AC"/>
    <n v="2.37"/>
    <d v="2025-08-20T00:00:00"/>
    <s v="FOURNITURES DE BUREAU (STOCK DE BASE)"/>
    <m/>
    <e v="#N/A"/>
    <e v="#N/A"/>
    <n v="82202"/>
    <s v="26.322.359"/>
    <s v="BRUNEAU"/>
    <s v="Q3"/>
    <e v="#REF!"/>
    <e v="#REF!"/>
    <e v="#REF!"/>
  </r>
  <r>
    <s v="445662"/>
    <x v="6"/>
    <s v="TVA - D_20"/>
    <s v="AC"/>
    <n v="2.44"/>
    <d v="2025-02-06T00:00:00"/>
    <s v="LRAR AXE INFORMATIQUE"/>
    <m/>
    <e v="#N/A"/>
    <e v="#N/A"/>
    <n v="61420"/>
    <s v="103"/>
    <s v="LA POSTE"/>
    <s v="Q1"/>
    <e v="#REF!"/>
    <e v="#REF!"/>
    <e v="#REF!"/>
  </r>
  <r>
    <s v="445662"/>
    <x v="6"/>
    <s v="TVA - D_20"/>
    <s v="AC"/>
    <n v="2.48"/>
    <d v="2025-11-14T00:00:00"/>
    <s v="CROCHETS PORTE-MANTEAUX POUR SANITAIRES"/>
    <m/>
    <e v="#N/A"/>
    <e v="#N/A"/>
    <n v="91443"/>
    <s v="539089"/>
    <s v="LEROY MERLIN"/>
    <s v="Q4"/>
    <e v="#REF!"/>
    <e v="#REF!"/>
    <e v="#REF!"/>
  </r>
  <r>
    <s v="445662"/>
    <x v="6"/>
    <s v="TVA - D_20"/>
    <s v="AC"/>
    <n v="2.62"/>
    <d v="2025-01-23T00:00:00"/>
    <s v="ELECTRICITÉ LYON 202501"/>
    <m/>
    <e v="#N/A"/>
    <e v="#N/A"/>
    <n v="73631"/>
    <s v="3,20E+11"/>
    <s v="ENGIE"/>
    <s v="Q1"/>
    <e v="#REF!"/>
    <e v="#REF!"/>
    <e v="#REF!"/>
  </r>
  <r>
    <s v="445662"/>
    <x v="6"/>
    <s v="TVA - D_20"/>
    <s v="AC"/>
    <n v="2.64"/>
    <d v="2025-04-08T00:00:00"/>
    <s v="COMMANDE CONSOMMABLE LABO"/>
    <m/>
    <e v="#N/A"/>
    <e v="#N/A"/>
    <n v="69746"/>
    <s v="4067690316"/>
    <s v="VWR AVANTOR"/>
    <s v="Q2"/>
    <e v="#REF!"/>
    <e v="#REF!"/>
    <e v="#REF!"/>
  </r>
  <r>
    <s v="445662"/>
    <x v="6"/>
    <s v="TVA - D_20"/>
    <s v="AC"/>
    <n v="2.68"/>
    <d v="2025-03-20T00:00:00"/>
    <s v="ROULEAU ABSORBANT : 872-5710 5 COMBINAISONS 2XL BLANCHES : 242-5302 5 COMBINAISONS 2XL JAUNES : 248-6476"/>
    <m/>
    <e v="#N/A"/>
    <e v="#N/A"/>
    <n v="65991"/>
    <s v="486410243"/>
    <s v="RS COMPONENT"/>
    <s v="Q1"/>
    <e v="#REF!"/>
    <e v="#REF!"/>
    <e v="#REF!"/>
  </r>
  <r>
    <s v="445662"/>
    <x v="6"/>
    <s v="TVA - D_20"/>
    <s v="AC"/>
    <n v="2.92"/>
    <d v="2025-03-17T00:00:00"/>
    <s v="ROULEAU ABSORBANT : 872-5710 5 COMBINAISONS 2XL BLANCHES : 242-5302 5 COMBINAISONS 2XL JAUNES : 248-6476"/>
    <m/>
    <e v="#N/A"/>
    <e v="#N/A"/>
    <n v="66011"/>
    <s v="486410243"/>
    <s v="RS COMPONENT"/>
    <s v="Q1"/>
    <e v="#REF!"/>
    <e v="#REF!"/>
    <e v="#REF!"/>
  </r>
  <r>
    <s v="445662"/>
    <x v="6"/>
    <s v="TVA - D_20"/>
    <s v="AC"/>
    <n v="2.99"/>
    <d v="2025-03-24T00:00:00"/>
    <s v="ELECTRICITE LYON"/>
    <m/>
    <e v="#N/A"/>
    <e v="#N/A"/>
    <n v="72569"/>
    <s v="8,20E+11"/>
    <s v="ENGIE"/>
    <s v="Q1"/>
    <e v="#REF!"/>
    <e v="#REF!"/>
    <e v="#REF!"/>
  </r>
  <r>
    <s v="445662"/>
    <x v="6"/>
    <s v="TVA - D_20"/>
    <s v="AC"/>
    <n v="3.09"/>
    <d v="2025-12-05T00:00:00"/>
    <s v="BOULES À THÉ, ESSUIE-TOUT, PAPIER TOILETTE, PETITS CAHIERS, POCHETTES PLASTIQUES"/>
    <m/>
    <e v="#N/A"/>
    <e v="#N/A"/>
    <n v="93946"/>
    <s v="26.756.109"/>
    <s v="BRUNEAU"/>
    <s v="Q4"/>
    <e v="#REF!"/>
    <e v="#REF!"/>
    <e v="#REF!"/>
  </r>
  <r>
    <s v="445662"/>
    <x v="6"/>
    <s v="TVA - D_20"/>
    <s v="AC"/>
    <n v="3.14"/>
    <d v="2025-04-01T00:00:00"/>
    <s v="TÉ RACCORDEMENT ASPIRATION"/>
    <m/>
    <e v="#N/A"/>
    <e v="#N/A"/>
    <n v="68978"/>
    <s v="10"/>
    <s v="MANUTAN"/>
    <s v="Q2"/>
    <e v="#REF!"/>
    <e v="#REF!"/>
    <e v="#REF!"/>
  </r>
  <r>
    <s v="445662"/>
    <x v="6"/>
    <s v="TVA - D_20"/>
    <s v="AC"/>
    <n v="3.14"/>
    <d v="2025-04-12T00:00:00"/>
    <s v="CHEVILLES DE BOIS (POUR MONTAGE ÉTAGÈRE DES TOILETTES), TORCHONS, SERVIETTES, ÉPLUCHEUR"/>
    <m/>
    <e v="#N/A"/>
    <e v="#N/A"/>
    <n v="69787"/>
    <s v="FC90002"/>
    <s v="LEROY MERLIN"/>
    <s v="Q2"/>
    <e v="#REF!"/>
    <e v="#REF!"/>
    <e v="#REF!"/>
  </r>
  <r>
    <s v="445662"/>
    <x v="6"/>
    <s v="TVA - D_20"/>
    <s v="AC"/>
    <n v="3.18"/>
    <d v="2025-01-16T00:00:00"/>
    <s v="CALCIUM HYDROXIDE  MIN. 96 %, EN POUDRE"/>
    <m/>
    <e v="#N/A"/>
    <e v="#N/A"/>
    <n v="64008"/>
    <s v="4171856"/>
    <s v="ROTH SOCHIEL"/>
    <s v="Q1"/>
    <e v="#REF!"/>
    <e v="#REF!"/>
    <e v="#REF!"/>
  </r>
  <r>
    <s v="445662"/>
    <x v="6"/>
    <s v="TVA - D_20"/>
    <s v="AC"/>
    <n v="3.18"/>
    <d v="2025-02-28T00:00:00"/>
    <s v="D'EAU LOYER MIDEA"/>
    <m/>
    <e v="#N/A"/>
    <e v="#N/A"/>
    <n v="67813"/>
    <s v="31/05587274"/>
    <s v="CHATEAUDEAU"/>
    <s v="Q1"/>
    <e v="#REF!"/>
    <e v="#REF!"/>
    <e v="#REF!"/>
  </r>
  <r>
    <s v="445662"/>
    <x v="6"/>
    <s v="TVA - D_20"/>
    <s v="AC"/>
    <n v="3.18"/>
    <d v="2025-03-31T00:00:00"/>
    <s v="FONTAINES À EAU - ROUSSILLON"/>
    <m/>
    <e v="#N/A"/>
    <e v="#N/A"/>
    <n v="67947"/>
    <s v="31/05604529"/>
    <s v="CHATEAUDEAU"/>
    <s v="Q1"/>
    <e v="#REF!"/>
    <e v="#REF!"/>
    <e v="#REF!"/>
  </r>
  <r>
    <s v="445662"/>
    <x v="6"/>
    <s v="TVA - D_20"/>
    <s v="AC"/>
    <n v="3.18"/>
    <d v="2025-05-30T00:00:00"/>
    <s v="LIVRAISON EAU ROUSSILLON"/>
    <m/>
    <e v="#N/A"/>
    <e v="#N/A"/>
    <n v="75986"/>
    <s v="31/05634007"/>
    <s v="CHATEAUDEAU"/>
    <s v="Q2"/>
    <e v="#REF!"/>
    <e v="#REF!"/>
    <e v="#REF!"/>
  </r>
  <r>
    <s v="445662"/>
    <x v="6"/>
    <s v="TVA - D_20"/>
    <s v="AC"/>
    <n v="3.18"/>
    <d v="2025-06-30T00:00:00"/>
    <s v="PAIEMENT DE LA FACTURE DE JUIN (LIVRAISON FONTAINE À EAU)"/>
    <m/>
    <e v="#N/A"/>
    <e v="#N/A"/>
    <n v="82170"/>
    <s v="31/05651466"/>
    <s v="CHATEAUDEAU"/>
    <s v="Q2"/>
    <e v="#REF!"/>
    <e v="#REF!"/>
    <e v="#REF!"/>
  </r>
  <r>
    <s v="445662"/>
    <x v="6"/>
    <s v="TVA - D_20"/>
    <s v="AC"/>
    <n v="3.18"/>
    <d v="2025-08-29T00:00:00"/>
    <s v="LIVRAISON EAU ROUSSILLON"/>
    <m/>
    <e v="#N/A"/>
    <e v="#N/A"/>
    <n v="82716"/>
    <s v="3105680616"/>
    <s v="CHATEAUDEAU"/>
    <s v="Q3"/>
    <e v="#REF!"/>
    <e v="#REF!"/>
    <e v="#REF!"/>
  </r>
  <r>
    <s v="445662"/>
    <x v="6"/>
    <s v="TVA - D_20"/>
    <s v="AC"/>
    <n v="3.18"/>
    <d v="2025-09-30T00:00:00"/>
    <s v="LIVRAISON EAU SUR SITE ROUSSILLON"/>
    <m/>
    <e v="#N/A"/>
    <e v="#N/A"/>
    <n v="87063"/>
    <s v="31/05697643"/>
    <s v="CHATEAUDEAU"/>
    <s v="Q3"/>
    <e v="#REF!"/>
    <e v="#REF!"/>
    <e v="#REF!"/>
  </r>
  <r>
    <s v="445662"/>
    <x v="6"/>
    <s v="TVA - D_20"/>
    <s v="AC"/>
    <n v="3.18"/>
    <d v="2025-10-31T00:00:00"/>
    <s v="LIVRAISON EAU ROUSSILLON"/>
    <m/>
    <e v="#N/A"/>
    <e v="#N/A"/>
    <n v="90045"/>
    <s v="31/05713557"/>
    <s v="CHATEAUDEAU"/>
    <s v="Q4"/>
    <e v="#REF!"/>
    <e v="#REF!"/>
    <e v="#REF!"/>
  </r>
  <r>
    <s v="445662"/>
    <x v="6"/>
    <s v="TVA - D_20"/>
    <s v="AC"/>
    <n v="3.28"/>
    <d v="2025-08-21T00:00:00"/>
    <s v="GAZ LYON"/>
    <m/>
    <e v="#N/A"/>
    <e v="#N/A"/>
    <n v="87041"/>
    <s v="820000567975"/>
    <s v="ENGIE"/>
    <s v="Q3"/>
    <e v="#REF!"/>
    <e v="#REF!"/>
    <e v="#REF!"/>
  </r>
  <r>
    <s v="445662"/>
    <x v="6"/>
    <s v="TVA - D_20"/>
    <s v="AC"/>
    <n v="3.28"/>
    <d v="2025-09-08T00:00:00"/>
    <s v="EXPRESS DOMESTIC"/>
    <m/>
    <e v="#N/A"/>
    <e v="#N/A"/>
    <n v="81904"/>
    <s v="TLSR004032421"/>
    <s v="DHL"/>
    <s v="Q3"/>
    <e v="#REF!"/>
    <e v="#REF!"/>
    <e v="#REF!"/>
  </r>
  <r>
    <s v="445662"/>
    <x v="6"/>
    <s v="TVA - D_20"/>
    <s v="AC"/>
    <n v="3.3"/>
    <d v="2025-09-04T00:00:00"/>
    <s v="CONSOMMABLES POUR LABO"/>
    <m/>
    <e v="#N/A"/>
    <e v="#N/A"/>
    <n v="81864"/>
    <s v="4067810312"/>
    <s v="VWR AVANTOR"/>
    <s v="Q3"/>
    <e v="#REF!"/>
    <e v="#REF!"/>
    <e v="#REF!"/>
  </r>
  <r>
    <s v="445662"/>
    <x v="6"/>
    <s v="TVA - D_20"/>
    <s v="AC"/>
    <n v="3.31"/>
    <d v="2025-08-18T00:00:00"/>
    <s v="EXPRESS DOMESTIC"/>
    <m/>
    <e v="#N/A"/>
    <e v="#N/A"/>
    <n v="81283"/>
    <s v="TLSR003988359"/>
    <s v="DHL"/>
    <s v="Q3"/>
    <e v="#REF!"/>
    <e v="#REF!"/>
    <e v="#REF!"/>
  </r>
  <r>
    <s v="445662"/>
    <x v="6"/>
    <s v="TVA - D_20"/>
    <s v="AC"/>
    <n v="3.31"/>
    <d v="2025-08-25T00:00:00"/>
    <s v="EXPRESS DOMESTIC"/>
    <m/>
    <e v="#N/A"/>
    <e v="#N/A"/>
    <n v="81819"/>
    <s v="TLSR003998373"/>
    <s v="DHL"/>
    <s v="Q3"/>
    <e v="#REF!"/>
    <e v="#REF!"/>
    <e v="#REF!"/>
  </r>
  <r>
    <s v="445662"/>
    <x v="6"/>
    <s v="TVA - D_20"/>
    <s v="AC"/>
    <n v="3.31"/>
    <d v="2025-11-10T00:00:00"/>
    <s v="EXPRESS DOMESTIC"/>
    <m/>
    <e v="#N/A"/>
    <e v="#N/A"/>
    <n v="89674"/>
    <s v="TLSR004181886"/>
    <s v="DHL"/>
    <s v="Q4"/>
    <e v="#REF!"/>
    <e v="#REF!"/>
    <e v="#REF!"/>
  </r>
  <r>
    <s v="445662"/>
    <x v="6"/>
    <s v="TVA - D_20"/>
    <s v="AC"/>
    <n v="3.32"/>
    <d v="2025-01-01T00:00:00"/>
    <s v="ENVOI ACTIVATION"/>
    <m/>
    <e v="#N/A"/>
    <e v="#N/A"/>
    <n v="74167"/>
    <s v="TLSR003487393"/>
    <s v="DHL"/>
    <s v="Q1"/>
    <e v="#REF!"/>
    <e v="#REF!"/>
    <e v="#REF!"/>
  </r>
  <r>
    <s v="445662"/>
    <x v="6"/>
    <s v="TVA - D_20"/>
    <s v="AC"/>
    <n v="3.33"/>
    <d v="2025-01-09T00:00:00"/>
    <s v="ABONNEMENT ILLIMITÉ POUR LE SITE PILI DU 09/01/2025 AU 09/02/2025 - CB PASSIM"/>
    <m/>
    <e v="#N/A"/>
    <e v="#N/A"/>
    <n v="67801"/>
    <s v="2025-49"/>
    <s v="ORSON.IO"/>
    <s v="Q1"/>
    <e v="#REF!"/>
    <e v="#REF!"/>
    <e v="#REF!"/>
  </r>
  <r>
    <s v="445662"/>
    <x v="6"/>
    <s v="TVA - D_20"/>
    <s v="AC"/>
    <n v="3.33"/>
    <d v="2025-08-13T00:00:00"/>
    <s v="MATÉRIEL BUREAUTIQUE"/>
    <m/>
    <e v="#N/A"/>
    <e v="#N/A"/>
    <n v="82194"/>
    <s v="2522550058"/>
    <s v="FNAC"/>
    <s v="Q3"/>
    <e v="#REF!"/>
    <e v="#REF!"/>
    <e v="#REF!"/>
  </r>
  <r>
    <s v="445662"/>
    <x v="6"/>
    <s v="TVA - D_20"/>
    <s v="AC"/>
    <n v="3.4"/>
    <d v="2025-06-09T00:00:00"/>
    <s v="EXPRESS DOMESTIC"/>
    <m/>
    <e v="#N/A"/>
    <e v="#N/A"/>
    <n v="76199"/>
    <s v="TLSR003835732"/>
    <s v="DHL"/>
    <s v="Q2"/>
    <e v="#REF!"/>
    <e v="#REF!"/>
    <e v="#REF!"/>
  </r>
  <r>
    <s v="445662"/>
    <x v="6"/>
    <s v="TVA - D_20"/>
    <s v="AC"/>
    <n v="3.42"/>
    <d v="2025-02-14T00:00:00"/>
    <s v="ACIDE PROPIONIQUE"/>
    <m/>
    <e v="#N/A"/>
    <e v="#N/A"/>
    <n v="64095"/>
    <s v="4173508"/>
    <s v="ROTH SOCHIEL"/>
    <s v="Q1"/>
    <e v="#REF!"/>
    <e v="#REF!"/>
    <e v="#REF!"/>
  </r>
  <r>
    <s v="445662"/>
    <x v="6"/>
    <s v="TVA - D_20"/>
    <s v="AC"/>
    <n v="3.46"/>
    <d v="2025-03-24T00:00:00"/>
    <s v="EXPRESS DOMESTIC"/>
    <m/>
    <e v="#N/A"/>
    <e v="#N/A"/>
    <n v="67872"/>
    <s v="TLSR003676986"/>
    <s v="DHL"/>
    <s v="Q1"/>
    <e v="#REF!"/>
    <e v="#REF!"/>
    <e v="#REF!"/>
  </r>
  <r>
    <s v="445662"/>
    <x v="6"/>
    <s v="TVA - D_20"/>
    <s v="AC"/>
    <n v="3.47"/>
    <d v="2025-09-22T00:00:00"/>
    <s v="EXPRESS DOMESTIC"/>
    <m/>
    <e v="#N/A"/>
    <e v="#N/A"/>
    <n v="82769"/>
    <s v="TLSR004059064"/>
    <s v="DHL"/>
    <s v="Q3"/>
    <e v="#REF!"/>
    <e v="#REF!"/>
    <e v="#REF!"/>
  </r>
  <r>
    <s v="445662"/>
    <x v="6"/>
    <s v="TVA - D_20"/>
    <s v="AC"/>
    <n v="3.51"/>
    <d v="2025-11-24T00:00:00"/>
    <s v="EXPRESS DOMESTIC"/>
    <m/>
    <e v="#N/A"/>
    <e v="#N/A"/>
    <n v="91815"/>
    <s v="TLSR004207144"/>
    <s v="DHL"/>
    <s v="Q4"/>
    <e v="#REF!"/>
    <e v="#REF!"/>
    <e v="#REF!"/>
  </r>
  <r>
    <s v="445662"/>
    <x v="6"/>
    <s v="TVA - D_20"/>
    <s v="AC"/>
    <n v="3.67"/>
    <d v="2025-08-13T00:00:00"/>
    <s v="MATÉRIEL BUREAUTIQUE"/>
    <m/>
    <e v="#N/A"/>
    <e v="#N/A"/>
    <n v="82197"/>
    <s v="2522550057"/>
    <s v="FNAC"/>
    <s v="Q3"/>
    <e v="#REF!"/>
    <e v="#REF!"/>
    <e v="#REF!"/>
  </r>
  <r>
    <s v="445662"/>
    <x v="6"/>
    <s v="TVA - D_20"/>
    <s v="AC"/>
    <n v="3.69"/>
    <d v="2025-11-18T00:00:00"/>
    <s v="SOLVANT LABO"/>
    <m/>
    <e v="#N/A"/>
    <e v="#N/A"/>
    <n v="91940"/>
    <s v="4067874264"/>
    <s v="VWR AVANTOR"/>
    <s v="Q4"/>
    <e v="#REF!"/>
    <e v="#REF!"/>
    <e v="#REF!"/>
  </r>
  <r>
    <s v="445662"/>
    <x v="6"/>
    <s v="TVA - D_20"/>
    <s v="AC"/>
    <n v="3.74"/>
    <d v="2025-02-12T00:00:00"/>
    <s v="FOURNITURES ET CONSOMMABLES (ESSUIE-TOUT, PAPIER TOILETTE, PILES, CISEAUX, ...)"/>
    <m/>
    <e v="#N/A"/>
    <e v="#N/A"/>
    <n v="61470"/>
    <s v="122"/>
    <s v="BRUNEAU"/>
    <s v="Q1"/>
    <e v="#REF!"/>
    <e v="#REF!"/>
    <e v="#REF!"/>
  </r>
  <r>
    <s v="445662"/>
    <x v="6"/>
    <s v="TVA - D_20"/>
    <s v="AC"/>
    <n v="3.95"/>
    <d v="2025-01-30T00:00:00"/>
    <s v="PAPIER TOILETTE, ESSUIE TOUT, LIQUIDE VAISSELLE, ETC."/>
    <m/>
    <e v="#N/A"/>
    <e v="#N/A"/>
    <n v="61344"/>
    <s v="72"/>
    <s v="BRUNEAU"/>
    <s v="Q1"/>
    <e v="#REF!"/>
    <e v="#REF!"/>
    <e v="#REF!"/>
  </r>
  <r>
    <s v="445662"/>
    <x v="6"/>
    <s v="TVA - D_20"/>
    <s v="AC"/>
    <n v="4"/>
    <d v="2025-02-24T00:00:00"/>
    <s v="ABONNEMENT CAFÉ"/>
    <m/>
    <e v="#N/A"/>
    <e v="#N/A"/>
    <n v="68963"/>
    <s v="I0000575"/>
    <s v="CAWATOES"/>
    <s v="Q1"/>
    <e v="#REF!"/>
    <e v="#REF!"/>
    <e v="#REF!"/>
  </r>
  <r>
    <s v="445662"/>
    <x v="6"/>
    <s v="TVA - D_20"/>
    <s v="AC"/>
    <n v="4.05"/>
    <d v="2025-08-27T00:00:00"/>
    <s v="BILLE POUR LE BROYEUR"/>
    <m/>
    <e v="#N/A"/>
    <e v="#N/A"/>
    <n v="81830"/>
    <s v="4175119232"/>
    <s v="FISHER SCIENTIFIC"/>
    <s v="Q3"/>
    <e v="#REF!"/>
    <e v="#REF!"/>
    <e v="#REF!"/>
  </r>
  <r>
    <s v="445662"/>
    <x v="6"/>
    <s v="TVA - D_20"/>
    <s v="AC"/>
    <n v="4.13"/>
    <d v="2025-04-15T00:00:00"/>
    <s v="COMMANDE PRODUIT KEENB"/>
    <m/>
    <e v="#N/A"/>
    <e v="#N/A"/>
    <n v="71318"/>
    <s v="8053461349"/>
    <s v="Sigma-Aldrich chimie"/>
    <s v="Q2"/>
    <e v="#REF!"/>
    <e v="#REF!"/>
    <e v="#REF!"/>
  </r>
  <r>
    <s v="445662"/>
    <x v="6"/>
    <s v="TVA - D_20"/>
    <s v="AC"/>
    <n v="4.17"/>
    <d v="2025-08-13T00:00:00"/>
    <s v="MATÉRIEL BUREAUTIQUE"/>
    <m/>
    <e v="#N/A"/>
    <e v="#N/A"/>
    <n v="82191"/>
    <s v="2522550059"/>
    <s v="FNAC"/>
    <s v="Q3"/>
    <e v="#REF!"/>
    <e v="#REF!"/>
    <e v="#REF!"/>
  </r>
  <r>
    <s v="445662"/>
    <x v="6"/>
    <s v="TVA - D_20"/>
    <s v="AC"/>
    <n v="4.17"/>
    <d v="2025-12-17T00:00:00"/>
    <s v="PRODUIT KEENB"/>
    <m/>
    <e v="#N/A"/>
    <e v="#N/A"/>
    <n v="93010"/>
    <s v="4067902399"/>
    <s v="VWR AVANTOR"/>
    <s v="Q4"/>
    <e v="#REF!"/>
    <e v="#REF!"/>
    <e v="#REF!"/>
  </r>
  <r>
    <s v="445662"/>
    <x v="6"/>
    <s v="TVA - D_20"/>
    <s v="AC"/>
    <n v="4.2699999999999996"/>
    <d v="2025-03-04T00:00:00"/>
    <s v="ACÉTONE TECHNICAL BIDON PLASTIQUE 5L DIN42"/>
    <m/>
    <e v="#N/A"/>
    <e v="#N/A"/>
    <n v="65968"/>
    <s v="4067656490"/>
    <s v="VWR AVANTOR"/>
    <s v="Q1"/>
    <e v="#REF!"/>
    <e v="#REF!"/>
    <e v="#REF!"/>
  </r>
  <r>
    <s v="445662"/>
    <x v="6"/>
    <s v="TVA - D_20"/>
    <s v="AC"/>
    <n v="4.2699999999999996"/>
    <d v="2025-11-19T00:00:00"/>
    <s v="SOLVANT LABO"/>
    <m/>
    <e v="#N/A"/>
    <e v="#N/A"/>
    <n v="91943"/>
    <s v="4067875494"/>
    <s v="VWR AVANTOR"/>
    <s v="Q4"/>
    <e v="#REF!"/>
    <e v="#REF!"/>
    <e v="#REF!"/>
  </r>
  <r>
    <s v="445662"/>
    <x v="6"/>
    <s v="TVA - D_20"/>
    <s v="AC"/>
    <n v="4.29"/>
    <d v="2025-04-30T00:00:00"/>
    <s v="ÉTHYLHEXANOL  MIN. 99,5 %, POUR LA SYNTHÈSE"/>
    <m/>
    <e v="#N/A"/>
    <e v="#N/A"/>
    <n v="72639"/>
    <s v="4177412"/>
    <s v="ROTH SOCHIEL"/>
    <s v="Q2"/>
    <e v="#REF!"/>
    <e v="#REF!"/>
    <e v="#REF!"/>
  </r>
  <r>
    <s v="445662"/>
    <x v="6"/>
    <s v="TVA - D_20"/>
    <s v="AC"/>
    <n v="4.3099999999999996"/>
    <d v="2025-05-19T00:00:00"/>
    <s v="EXPRESS DOMESTIC"/>
    <m/>
    <e v="#N/A"/>
    <e v="#N/A"/>
    <n v="73795"/>
    <s v="TLSR003788695"/>
    <s v="DHL"/>
    <s v="Q2"/>
    <e v="#REF!"/>
    <e v="#REF!"/>
    <e v="#REF!"/>
  </r>
  <r>
    <s v="445662"/>
    <x v="6"/>
    <s v="TVA - D_20"/>
    <s v="AC"/>
    <n v="4.4000000000000004"/>
    <d v="2025-07-01T00:00:00"/>
    <s v="COMMANDE CONSOMMABLE LABO"/>
    <m/>
    <e v="#N/A"/>
    <e v="#N/A"/>
    <n v="77324"/>
    <s v="4067761025"/>
    <s v="VWR AVANTOR"/>
    <s v="Q3"/>
    <e v="#REF!"/>
    <e v="#REF!"/>
    <e v="#REF!"/>
  </r>
  <r>
    <s v="445662"/>
    <x v="6"/>
    <s v="TVA - D_20"/>
    <s v="AC"/>
    <n v="4.43"/>
    <d v="2025-02-28T00:00:00"/>
    <s v="METHYL ANTHRANILATE, 99%"/>
    <m/>
    <e v="#N/A"/>
    <e v="#N/A"/>
    <n v="64144"/>
    <s v="4067652895"/>
    <s v="VWR AVANTOR"/>
    <s v="Q1"/>
    <e v="#REF!"/>
    <e v="#REF!"/>
    <e v="#REF!"/>
  </r>
  <r>
    <s v="445662"/>
    <x v="6"/>
    <s v="TVA - D_20"/>
    <s v="AC"/>
    <n v="4.58"/>
    <d v="2025-06-27T00:00:00"/>
    <s v="COMMANDE PRODUIT KEENY POUR ÉTUDE RC1"/>
    <m/>
    <e v="#N/A"/>
    <e v="#N/A"/>
    <n v="77292"/>
    <s v="4067756761"/>
    <s v="VWR AVANTOR"/>
    <s v="Q2"/>
    <e v="#REF!"/>
    <e v="#REF!"/>
    <e v="#REF!"/>
  </r>
  <r>
    <s v="445662"/>
    <x v="6"/>
    <s v="TVA - D_20"/>
    <s v="AC"/>
    <n v="4.6100000000000003"/>
    <d v="2025-07-10T00:00:00"/>
    <s v="CRÉATION ARRIVÉE D'AIR ENTRÉE BÂTIMENT (POMPE DÉCHETS + KL + LABORATOIRE) + CHANGEMENT FILTRE ARRIVÉE PILOTE"/>
    <m/>
    <e v="#N/A"/>
    <e v="#N/A"/>
    <n v="80875"/>
    <s v="487019486"/>
    <s v="RS COMPONENT"/>
    <s v="Q3"/>
    <e v="#REF!"/>
    <e v="#REF!"/>
    <e v="#REF!"/>
  </r>
  <r>
    <s v="445662"/>
    <x v="6"/>
    <s v="TVA - D_20"/>
    <s v="AC"/>
    <n v="4.63"/>
    <d v="2025-12-15T00:00:00"/>
    <s v="EXPRESS WW"/>
    <m/>
    <e v="#N/A"/>
    <e v="#N/A"/>
    <n v="92959"/>
    <s v="TLSR004260524"/>
    <s v="DHL"/>
    <s v="Q4"/>
    <e v="#REF!"/>
    <e v="#REF!"/>
    <e v="#REF!"/>
  </r>
  <r>
    <s v="445662"/>
    <x v="6"/>
    <s v="TVA - D_20"/>
    <s v="AC"/>
    <n v="4.6500000000000004"/>
    <d v="2025-06-23T00:00:00"/>
    <s v="ENVOIS DHL"/>
    <m/>
    <e v="#N/A"/>
    <e v="#N/A"/>
    <n v="76211"/>
    <s v="TLSR003860755"/>
    <s v="DHL"/>
    <s v="Q2"/>
    <e v="#REF!"/>
    <e v="#REF!"/>
    <e v="#REF!"/>
  </r>
  <r>
    <s v="445662"/>
    <x v="6"/>
    <s v="TVA - D_20"/>
    <s v="AC"/>
    <n v="4.66"/>
    <d v="2025-10-20T00:00:00"/>
    <s v="GAZ LYON"/>
    <m/>
    <e v="#N/A"/>
    <e v="#N/A"/>
    <n v="90067"/>
    <s v="120010051276"/>
    <s v="ENGIE"/>
    <s v="Q4"/>
    <e v="#REF!"/>
    <e v="#REF!"/>
    <e v="#REF!"/>
  </r>
  <r>
    <s v="445662"/>
    <x v="6"/>
    <s v="TVA - D_20"/>
    <s v="AC"/>
    <n v="4.7"/>
    <d v="2025-04-28T00:00:00"/>
    <s v="COLIS DHL"/>
    <m/>
    <e v="#N/A"/>
    <e v="#N/A"/>
    <n v="71353"/>
    <s v="TLSR003743493"/>
    <s v="DHL"/>
    <s v="Q2"/>
    <e v="#REF!"/>
    <e v="#REF!"/>
    <e v="#REF!"/>
  </r>
  <r>
    <s v="445662"/>
    <x v="6"/>
    <s v="TVA - D_20"/>
    <s v="AC"/>
    <n v="4.9800000000000004"/>
    <d v="2025-02-18T00:00:00"/>
    <s v="MAGNÉSIUM CHLORURE ANHYDRE POUR LA SYNTHÈSE"/>
    <m/>
    <e v="#N/A"/>
    <e v="#N/A"/>
    <n v="64101"/>
    <s v="4067642228"/>
    <s v="VWR AVANTOR"/>
    <s v="Q1"/>
    <e v="#REF!"/>
    <e v="#REF!"/>
    <e v="#REF!"/>
  </r>
  <r>
    <s v="445662"/>
    <x v="6"/>
    <s v="TVA - D_20"/>
    <s v="AC"/>
    <n v="4.99"/>
    <d v="2025-07-24T00:00:00"/>
    <s v="ABONNEMENT OUTIL ENVOI DE NEWSLETTERS"/>
    <m/>
    <e v="#N/A"/>
    <e v="#N/A"/>
    <n v="80892"/>
    <s v="8934624"/>
    <s v="MAILJET"/>
    <s v="Q3"/>
    <e v="#REF!"/>
    <e v="#REF!"/>
    <e v="#REF!"/>
  </r>
  <r>
    <s v="445662"/>
    <x v="6"/>
    <s v="TVA - D_20"/>
    <s v="AC"/>
    <n v="5"/>
    <d v="2025-08-24T00:00:00"/>
    <s v="ABONNEMENT OUTIL ENVOI DE NEWSLETTERS"/>
    <m/>
    <e v="#N/A"/>
    <e v="#N/A"/>
    <n v="82213"/>
    <s v="9144913"/>
    <s v="MAILJET"/>
    <s v="Q3"/>
    <e v="#REF!"/>
    <e v="#REF!"/>
    <e v="#REF!"/>
  </r>
  <r>
    <s v="445662"/>
    <x v="6"/>
    <s v="TVA - D_20"/>
    <s v="AC"/>
    <n v="5"/>
    <d v="2025-09-24T00:00:00"/>
    <s v="ABONNEMENT OUTIL ENVOI DE NEWSLETTERS"/>
    <m/>
    <e v="#N/A"/>
    <e v="#N/A"/>
    <n v="83022"/>
    <s v="9360292"/>
    <s v="MAILJET"/>
    <s v="Q3"/>
    <e v="#REF!"/>
    <e v="#REF!"/>
    <e v="#REF!"/>
  </r>
  <r>
    <s v="445662"/>
    <x v="6"/>
    <s v="TVA - D_20"/>
    <s v="AC"/>
    <n v="5"/>
    <d v="2025-11-24T00:00:00"/>
    <s v="ABONNEMENT OUTIL ENVOI DE NEWSLETTERS"/>
    <m/>
    <e v="#N/A"/>
    <e v="#N/A"/>
    <n v="91466"/>
    <s v="539089"/>
    <s v="MAILJET"/>
    <s v="Q4"/>
    <e v="#REF!"/>
    <e v="#REF!"/>
    <e v="#REF!"/>
  </r>
  <r>
    <s v="445662"/>
    <x v="6"/>
    <s v="TVA - D_20"/>
    <s v="AC"/>
    <n v="5.04"/>
    <d v="2025-09-22T00:00:00"/>
    <s v="GAZ LYON"/>
    <m/>
    <e v="#N/A"/>
    <e v="#N/A"/>
    <n v="82772"/>
    <s v="970005481454"/>
    <s v="ENGIE"/>
    <s v="Q3"/>
    <e v="#REF!"/>
    <e v="#REF!"/>
    <e v="#REF!"/>
  </r>
  <r>
    <s v="445662"/>
    <x v="6"/>
    <s v="TVA - D_20"/>
    <s v="AC"/>
    <n v="5.13"/>
    <d v="2025-08-23T00:00:00"/>
    <s v="ÉLECTRICITÉ LYON"/>
    <m/>
    <e v="#N/A"/>
    <e v="#N/A"/>
    <n v="81873"/>
    <s v="620000906597"/>
    <s v="ENGIE"/>
    <s v="Q3"/>
    <e v="#REF!"/>
    <e v="#REF!"/>
    <e v="#REF!"/>
  </r>
  <r>
    <s v="445662"/>
    <x v="6"/>
    <s v="TVA - D_20"/>
    <s v="AC"/>
    <n v="5.22"/>
    <d v="2025-02-10T00:00:00"/>
    <s v="FLACON PE POUR LA POMPE DE PRÉLÈVEMENT"/>
    <m/>
    <e v="#N/A"/>
    <e v="#N/A"/>
    <n v="61444"/>
    <s v="4173205"/>
    <s v="ROTH SOCHIEL"/>
    <s v="Q1"/>
    <e v="#REF!"/>
    <e v="#REF!"/>
    <e v="#REF!"/>
  </r>
  <r>
    <s v="445662"/>
    <x v="6"/>
    <s v="TVA - D_20"/>
    <s v="AC"/>
    <n v="5.3"/>
    <d v="2025-01-18T00:00:00"/>
    <s v="ENTRETIEN ET DEMANDE PONCTUELLE PLANTES PLANTES (TERREAU, CACHE POTS, SOUCOUPE)"/>
    <m/>
    <s v="Non"/>
    <e v="#N/A"/>
    <n v="59905"/>
    <s v="28"/>
    <s v="DIVERS"/>
    <s v="Q1"/>
    <e v="#REF!"/>
    <e v="#REF!"/>
    <e v="#REF!"/>
  </r>
  <r>
    <s v="445662"/>
    <x v="6"/>
    <s v="TVA - D_20"/>
    <s v="AC"/>
    <n v="5.45"/>
    <d v="2025-05-02T00:00:00"/>
    <s v="CONSOMMABLE ET ENTRETIEN"/>
    <m/>
    <e v="#N/A"/>
    <e v="#N/A"/>
    <n v="72675"/>
    <s v="2025/05/001630880"/>
    <s v="LA FOURCHE"/>
    <s v="Q2"/>
    <e v="#REF!"/>
    <e v="#REF!"/>
    <e v="#REF!"/>
  </r>
  <r>
    <s v="445662"/>
    <x v="6"/>
    <s v="TVA - D_20"/>
    <s v="AC"/>
    <n v="5.47"/>
    <d v="2025-09-05T00:00:00"/>
    <s v="CONSOMMABLE LABO"/>
    <m/>
    <e v="#N/A"/>
    <e v="#N/A"/>
    <n v="82320"/>
    <s v="4067811317"/>
    <s v="VWR AVANTOR"/>
    <s v="Q3"/>
    <e v="#REF!"/>
    <e v="#REF!"/>
    <e v="#REF!"/>
  </r>
  <r>
    <s v="445662"/>
    <x v="6"/>
    <s v="TVA - D_20"/>
    <s v="AC"/>
    <n v="5.49"/>
    <d v="2025-02-14T00:00:00"/>
    <s v="TETRA-N-BUTYLAMMONIUM IODIDE, 98%"/>
    <m/>
    <e v="#N/A"/>
    <e v="#N/A"/>
    <n v="61491"/>
    <s v="4067639520"/>
    <s v="VWR AVANTOR"/>
    <s v="Q1"/>
    <e v="#REF!"/>
    <e v="#REF!"/>
    <e v="#REF!"/>
  </r>
  <r>
    <s v="445662"/>
    <x v="6"/>
    <s v="TVA - D_20"/>
    <s v="AC"/>
    <n v="5.49"/>
    <d v="2025-03-05T00:00:00"/>
    <s v="TRIÉTHYLÈNEGLYCOL"/>
    <m/>
    <e v="#N/A"/>
    <e v="#N/A"/>
    <n v="66008"/>
    <s v="4174544"/>
    <s v="ROTH SOCHIEL"/>
    <s v="Q1"/>
    <e v="#REF!"/>
    <e v="#REF!"/>
    <e v="#REF!"/>
  </r>
  <r>
    <s v="445662"/>
    <x v="6"/>
    <s v="TVA - D_20"/>
    <s v="AC"/>
    <n v="5.5"/>
    <d v="2025-06-20T00:00:00"/>
    <s v="4G BOX"/>
    <m/>
    <e v="#N/A"/>
    <e v="#N/A"/>
    <n v="89577"/>
    <s v="1,18643E+13"/>
    <s v="BOUYGUES TELECOM"/>
    <s v="Q2"/>
    <e v="#REF!"/>
    <e v="#REF!"/>
    <e v="#REF!"/>
  </r>
  <r>
    <s v="445662"/>
    <x v="6"/>
    <s v="TVA - D_20"/>
    <s v="AC"/>
    <n v="5.5"/>
    <d v="2025-07-20T00:00:00"/>
    <s v="4G BOX"/>
    <m/>
    <e v="#N/A"/>
    <e v="#N/A"/>
    <n v="87025"/>
    <s v="11047185040725"/>
    <s v="BOUYGUES TELECOM"/>
    <s v="Q3"/>
    <e v="#REF!"/>
    <e v="#REF!"/>
    <e v="#REF!"/>
  </r>
  <r>
    <s v="445662"/>
    <x v="6"/>
    <s v="TVA - D_20"/>
    <s v="AC"/>
    <n v="5.5"/>
    <d v="2025-08-20T00:00:00"/>
    <s v="4G BOX"/>
    <m/>
    <e v="#N/A"/>
    <e v="#N/A"/>
    <n v="87038"/>
    <s v="11218192910825"/>
    <s v="BOUYGUES TELECOM"/>
    <s v="Q3"/>
    <e v="#REF!"/>
    <e v="#REF!"/>
    <e v="#REF!"/>
  </r>
  <r>
    <s v="445662"/>
    <x v="6"/>
    <s v="TVA - D_20"/>
    <s v="AC"/>
    <n v="5.5"/>
    <d v="2025-09-20T00:00:00"/>
    <s v="4G BOX"/>
    <m/>
    <e v="#N/A"/>
    <e v="#N/A"/>
    <n v="82763"/>
    <s v="11404201060925"/>
    <s v="BOUYGUES TELECOM"/>
    <s v="Q3"/>
    <e v="#REF!"/>
    <e v="#REF!"/>
    <e v="#REF!"/>
  </r>
  <r>
    <s v="445662"/>
    <x v="6"/>
    <s v="TVA - D_20"/>
    <s v="AC"/>
    <n v="5.5"/>
    <d v="2025-10-20T00:00:00"/>
    <s v="4G BOX"/>
    <m/>
    <e v="#N/A"/>
    <e v="#N/A"/>
    <n v="90064"/>
    <s v="11575482271025"/>
    <s v="BOUYGUES TELECOM"/>
    <s v="Q4"/>
    <e v="#REF!"/>
    <e v="#REF!"/>
    <e v="#REF!"/>
  </r>
  <r>
    <s v="445662"/>
    <x v="6"/>
    <s v="TVA - D_20"/>
    <s v="AC"/>
    <n v="5.5"/>
    <d v="2025-11-20T00:00:00"/>
    <s v="4G BOX"/>
    <m/>
    <e v="#N/A"/>
    <e v="#N/A"/>
    <n v="91809"/>
    <s v="11765149481125"/>
    <s v="BOUYGUES TELECOM"/>
    <s v="Q4"/>
    <e v="#REF!"/>
    <e v="#REF!"/>
    <e v="#REF!"/>
  </r>
  <r>
    <s v="445662"/>
    <x v="6"/>
    <s v="TVA - D_20"/>
    <s v="AC"/>
    <n v="5.5"/>
    <d v="2025-12-20T00:00:00"/>
    <s v="4G BOX"/>
    <m/>
    <e v="#N/A"/>
    <e v="#N/A"/>
    <n v="94955"/>
    <s v="11937344901225"/>
    <s v="BOUYGUES TELECOM"/>
    <s v="Q4"/>
    <e v="#REF!"/>
    <e v="#REF!"/>
    <e v="#REF!"/>
  </r>
  <r>
    <s v="445662"/>
    <x v="6"/>
    <s v="TVA - D_20"/>
    <s v="AC"/>
    <n v="5.57"/>
    <d v="2025-03-01T00:00:00"/>
    <s v="PANNEAU POUR TROUSSE DE SECOURS"/>
    <m/>
    <e v="#N/A"/>
    <e v="#N/A"/>
    <n v="66031"/>
    <s v="3"/>
    <s v="MANUTAN"/>
    <s v="Q1"/>
    <e v="#REF!"/>
    <e v="#REF!"/>
    <e v="#REF!"/>
  </r>
  <r>
    <s v="445662"/>
    <x v="6"/>
    <s v="TVA - D_20"/>
    <s v="AC"/>
    <n v="5.6"/>
    <d v="2025-10-21T00:00:00"/>
    <s v="RÉAPPROVISIONNEMENT DES STOCKS DE PETIT CONSOMMABLE  GANTS DE MÉNAGE (POUR NOTRE TECHNICIEN ABEL) PRODUIT WC  RECHARGES SWIFFER"/>
    <m/>
    <e v="#N/A"/>
    <e v="#N/A"/>
    <n v="89630"/>
    <s v="27"/>
    <s v="BRUNEAU"/>
    <s v="Q4"/>
    <e v="#REF!"/>
    <e v="#REF!"/>
    <e v="#REF!"/>
  </r>
  <r>
    <s v="445662"/>
    <x v="6"/>
    <s v="TVA - D_20"/>
    <s v="AC"/>
    <n v="5.75"/>
    <d v="2025-04-30T00:00:00"/>
    <s v="EAU LIVRÉE AUX ALGÉCOS ROUSSILLON"/>
    <m/>
    <e v="#N/A"/>
    <e v="#N/A"/>
    <n v="73744"/>
    <s v="3105619632"/>
    <s v="CHATEAUDEAU"/>
    <s v="Q2"/>
    <e v="#REF!"/>
    <e v="#REF!"/>
    <e v="#REF!"/>
  </r>
  <r>
    <s v="445662"/>
    <x v="6"/>
    <s v="TVA - D_20"/>
    <s v="AC"/>
    <n v="5.8"/>
    <d v="2025-01-01T00:00:00"/>
    <s v="ABONNEMENT SOLUTION LOGISTIQUE EXPÉDITIONS GAM + FRAIS D'EXPÉ"/>
    <m/>
    <e v="#N/A"/>
    <e v="#N/A"/>
    <n v="59837"/>
    <s v="25-FR0000533"/>
    <s v="SENDCLOUD"/>
    <s v="Q1"/>
    <e v="#REF!"/>
    <e v="#REF!"/>
    <e v="#REF!"/>
  </r>
  <r>
    <s v="445662"/>
    <x v="6"/>
    <s v="TVA - D_20"/>
    <s v="AC"/>
    <n v="5.8"/>
    <d v="2025-02-02T00:00:00"/>
    <s v="ABONNEMENT SOLUTION LOGISTIQUE EXPÉDITIONS GAM + FRAIS D'EXPÉ"/>
    <m/>
    <e v="#N/A"/>
    <e v="#N/A"/>
    <n v="61394"/>
    <s v="91"/>
    <s v="SENDCLOUD"/>
    <s v="Q1"/>
    <e v="#REF!"/>
    <e v="#REF!"/>
    <e v="#REF!"/>
  </r>
  <r>
    <s v="445662"/>
    <x v="6"/>
    <s v="TVA - D_20"/>
    <s v="AC"/>
    <n v="5.8"/>
    <d v="2025-03-02T00:00:00"/>
    <s v="ABONNEMENT SOLUTION LOGISTIQUE EXPÉDITIONS GAM + FRAIS D'EXPÉ"/>
    <m/>
    <e v="#N/A"/>
    <e v="#N/A"/>
    <n v="66014"/>
    <s v="6"/>
    <s v="SENDCLOUD"/>
    <s v="Q1"/>
    <e v="#REF!"/>
    <e v="#REF!"/>
    <e v="#REF!"/>
  </r>
  <r>
    <s v="445662"/>
    <x v="6"/>
    <s v="TVA - D_20"/>
    <s v="AC"/>
    <n v="5.8"/>
    <d v="2025-05-01T00:00:00"/>
    <s v="ABONNEMENT SOLUTION LOGISTIQUE EXPÉDITIONS GAM + FRAIS D'EXPÉ"/>
    <m/>
    <e v="#N/A"/>
    <e v="#N/A"/>
    <n v="72667"/>
    <s v="25-FR0010091"/>
    <s v="SENDCLOUD"/>
    <s v="Q2"/>
    <e v="#REF!"/>
    <e v="#REF!"/>
    <e v="#REF!"/>
  </r>
  <r>
    <s v="445662"/>
    <x v="6"/>
    <s v="TVA - D_20"/>
    <s v="AC"/>
    <n v="5.8"/>
    <d v="2025-06-01T00:00:00"/>
    <s v="ABONNEMENT SOLUTION LOGISTIQUE EXPÉDITIONS GAM + FRAIS D'EXPÉ"/>
    <m/>
    <e v="#N/A"/>
    <e v="#N/A"/>
    <n v="75483"/>
    <s v="3-25-FR0020559"/>
    <s v="SENDCLOUD"/>
    <s v="Q2"/>
    <e v="#REF!"/>
    <e v="#REF!"/>
    <e v="#REF!"/>
  </r>
  <r>
    <s v="445662"/>
    <x v="6"/>
    <s v="TVA - D_20"/>
    <s v="AC"/>
    <n v="5.8"/>
    <d v="2025-08-01T00:00:00"/>
    <s v="ABONNEMENT SOLUTION LOGISTIQUE EXPÉDITIONS GAM + FRAIS D'EXPÉ"/>
    <m/>
    <e v="#N/A"/>
    <e v="#N/A"/>
    <n v="81243"/>
    <s v=" 3-25-FR0039050"/>
    <s v="SENDCLOUD"/>
    <s v="Q3"/>
    <e v="#REF!"/>
    <e v="#REF!"/>
    <e v="#REF!"/>
  </r>
  <r>
    <s v="445662"/>
    <x v="6"/>
    <s v="TVA - D_20"/>
    <s v="AC"/>
    <n v="5.8"/>
    <d v="2025-12-23T00:00:00"/>
    <s v="TÉLÉDÉCLARATION EN LIGNE - PILI - DÉCLARATION DE CVAE (1330-CVAE) 2024"/>
    <m/>
    <e v="#N/A"/>
    <e v="#N/A"/>
    <n v="93977"/>
    <s v="T311530"/>
    <s v="LPI CONSEIL"/>
    <s v="Q4"/>
    <e v="#REF!"/>
    <e v="#REF!"/>
    <e v="#REF!"/>
  </r>
  <r>
    <s v="445662"/>
    <x v="6"/>
    <s v="TVA - D_20"/>
    <s v="AC"/>
    <n v="5.84"/>
    <d v="2025-04-01T00:00:00"/>
    <s v="ABONNEMENT SOLUTION LOGISTIQUE EXPÉDITIONS GAM + FRAIS D'EXPÉ"/>
    <m/>
    <e v="#N/A"/>
    <e v="#N/A"/>
    <n v="69669"/>
    <s v="25-FR0001817"/>
    <s v="SENDCLOUD"/>
    <s v="Q2"/>
    <e v="#REF!"/>
    <e v="#REF!"/>
    <e v="#REF!"/>
  </r>
  <r>
    <s v="445662"/>
    <x v="6"/>
    <s v="TVA - D_20"/>
    <s v="AC"/>
    <n v="5.84"/>
    <d v="2025-07-01T00:00:00"/>
    <s v="ABONNEMENT SOLUTION LOGISTIQUE EXPÉDITIONS GAM + FRAIS D'EXPÉ"/>
    <m/>
    <e v="#N/A"/>
    <e v="#N/A"/>
    <n v="80846"/>
    <s v="2"/>
    <s v="SENDCLOUD"/>
    <s v="Q3"/>
    <e v="#REF!"/>
    <e v="#REF!"/>
    <e v="#REF!"/>
  </r>
  <r>
    <s v="445662"/>
    <x v="6"/>
    <s v="TVA - D_20"/>
    <s v="AC"/>
    <n v="5.95"/>
    <d v="2025-03-18T00:00:00"/>
    <s v="MÉTHYLAMINE (SOLUTION AQUEUSE À 40%)"/>
    <m/>
    <e v="#N/A"/>
    <e v="#N/A"/>
    <n v="66020"/>
    <s v="4067668984"/>
    <s v="VWR AVANTOR"/>
    <s v="Q1"/>
    <e v="#REF!"/>
    <e v="#REF!"/>
    <e v="#REF!"/>
  </r>
  <r>
    <s v="445662"/>
    <x v="6"/>
    <s v="TVA - D_20"/>
    <s v="AC"/>
    <n v="5.98"/>
    <d v="2025-12-22T00:00:00"/>
    <s v="EXPRESS DOMESTIC"/>
    <m/>
    <e v="#N/A"/>
    <e v="#N/A"/>
    <n v="93649"/>
    <s v="TLSR004274653"/>
    <s v="DHL"/>
    <s v="Q4"/>
    <e v="#REF!"/>
    <e v="#REF!"/>
    <e v="#REF!"/>
  </r>
  <r>
    <s v="445662"/>
    <x v="6"/>
    <s v="TVA - D_20"/>
    <s v="AC"/>
    <n v="6"/>
    <d v="2025-04-03T00:00:00"/>
    <s v="WEBINAIRE - PRÉSENTATION DES PLATEFORMES SCIENTIFIQUES ET TECHNOLOGIQUES 22-05"/>
    <m/>
    <s v="Non"/>
    <s v="Oui"/>
    <n v="69704"/>
    <s v="M138284121"/>
    <s v="AXELERA"/>
    <s v="Q2"/>
    <e v="#REF!"/>
    <e v="#REF!"/>
    <e v="#REF!"/>
  </r>
  <r>
    <s v="445662"/>
    <x v="6"/>
    <s v="TVA - D_20"/>
    <s v="AC"/>
    <n v="6"/>
    <d v="2025-04-25T00:00:00"/>
    <s v="HYDROGENE PEROXYDE 30% PH"/>
    <m/>
    <e v="#N/A"/>
    <e v="#N/A"/>
    <n v="71348"/>
    <s v="4067704793"/>
    <s v="VWR AVANTOR"/>
    <s v="Q2"/>
    <e v="#REF!"/>
    <e v="#REF!"/>
    <e v="#REF!"/>
  </r>
  <r>
    <s v="445662"/>
    <x v="6"/>
    <s v="TVA - D_20"/>
    <s v="AC"/>
    <n v="6"/>
    <d v="2025-07-02T00:00:00"/>
    <s v="COMMANDE PRODUIT KEENB"/>
    <m/>
    <e v="#N/A"/>
    <e v="#N/A"/>
    <n v="78892"/>
    <s v="4067762269"/>
    <s v="VWR AVANTOR"/>
    <s v="Q3"/>
    <e v="#REF!"/>
    <e v="#REF!"/>
    <e v="#REF!"/>
  </r>
  <r>
    <s v="445662"/>
    <x v="6"/>
    <s v="TVA - D_20"/>
    <s v="AC"/>
    <n v="6"/>
    <d v="2025-07-30T00:00:00"/>
    <s v="FORFAIT UTILISATION DU MATÉRIEL AVANT DÉMARRAGE SELON CLAUSE M2"/>
    <m/>
    <e v="#N/A"/>
    <e v="#N/A"/>
    <n v="80656"/>
    <s v="75987067"/>
    <s v="RICOH"/>
    <s v="Q3"/>
    <e v="#REF!"/>
    <e v="#REF!"/>
    <e v="#REF!"/>
  </r>
  <r>
    <s v="445662"/>
    <x v="6"/>
    <s v="TVA - D_20"/>
    <s v="AC"/>
    <n v="6.01"/>
    <d v="2025-01-18T00:00:00"/>
    <s v="DEMANDE COLLABORATEURS (AMPOULE, PILES, RUBAN ADHÉSIF, ETC.)"/>
    <m/>
    <s v="Non"/>
    <e v="#N/A"/>
    <n v="59900"/>
    <s v="26"/>
    <s v="DIVERS"/>
    <s v="Q1"/>
    <e v="#REF!"/>
    <e v="#REF!"/>
    <e v="#REF!"/>
  </r>
  <r>
    <s v="445662"/>
    <x v="6"/>
    <s v="TVA - D_20"/>
    <s v="AC"/>
    <n v="6.03"/>
    <d v="2025-01-16T00:00:00"/>
    <s v="GANT NITRILE ÉPAIS"/>
    <m/>
    <s v="Non"/>
    <e v="#N/A"/>
    <n v="59886"/>
    <s v="21"/>
    <s v="DIVERS"/>
    <s v="Q1"/>
    <e v="#REF!"/>
    <e v="#REF!"/>
    <e v="#REF!"/>
  </r>
  <r>
    <s v="445662"/>
    <x v="6"/>
    <s v="TVA - D_20"/>
    <s v="AC"/>
    <n v="6.1"/>
    <d v="2025-05-21T00:00:00"/>
    <s v="GAZ LYON"/>
    <m/>
    <e v="#N/A"/>
    <e v="#N/A"/>
    <n v="78758"/>
    <s v="620000836126"/>
    <s v="ENGIE"/>
    <s v="Q2"/>
    <e v="#REF!"/>
    <e v="#REF!"/>
    <e v="#REF!"/>
  </r>
  <r>
    <s v="445662"/>
    <x v="6"/>
    <s v="TVA - D_20"/>
    <s v="AC"/>
    <n v="6.14"/>
    <d v="2025-04-15T00:00:00"/>
    <s v="AIGUILLES 10ML (12ML) 3-PIÈCES"/>
    <m/>
    <e v="#N/A"/>
    <e v="#N/A"/>
    <n v="69810"/>
    <s v="4067696577"/>
    <s v="VWR AVANTOR"/>
    <s v="Q2"/>
    <e v="#REF!"/>
    <e v="#REF!"/>
    <e v="#REF!"/>
  </r>
  <r>
    <s v="445662"/>
    <x v="6"/>
    <s v="TVA - D_20"/>
    <s v="AC"/>
    <n v="6.14"/>
    <d v="2025-07-30T00:00:00"/>
    <s v="COMMANDE CONSOMMABLES LABO"/>
    <m/>
    <e v="#N/A"/>
    <e v="#N/A"/>
    <n v="81223"/>
    <s v="4067783339"/>
    <s v="VWR AVANTOR"/>
    <s v="Q3"/>
    <e v="#REF!"/>
    <e v="#REF!"/>
    <e v="#REF!"/>
  </r>
  <r>
    <s v="445662"/>
    <x v="6"/>
    <s v="TVA - D_20"/>
    <s v="AC"/>
    <n v="6.14"/>
    <d v="2025-12-31T00:00:00"/>
    <s v="CONSOMMABLES LABO"/>
    <m/>
    <e v="#N/A"/>
    <e v="#N/A"/>
    <n v="94307"/>
    <s v="4067909583"/>
    <s v="VWR AVANTOR"/>
    <s v="Q4"/>
    <e v="#REF!"/>
    <e v="#REF!"/>
    <e v="#REF!"/>
  </r>
  <r>
    <s v="445662"/>
    <x v="6"/>
    <s v="TVA - D_20"/>
    <s v="AC"/>
    <n v="6.34"/>
    <d v="2025-05-26T00:00:00"/>
    <s v="COMMANDE CONSOMMABLE LABO"/>
    <m/>
    <e v="#N/A"/>
    <e v="#N/A"/>
    <n v="76525"/>
    <s v="4067728862"/>
    <s v="VWR AVANTOR"/>
    <s v="Q2"/>
    <e v="#REF!"/>
    <e v="#REF!"/>
    <e v="#REF!"/>
  </r>
  <r>
    <s v="445662"/>
    <x v="6"/>
    <s v="TVA - D_20"/>
    <s v="AC"/>
    <n v="6.37"/>
    <d v="2025-03-10T00:00:00"/>
    <s v="AMMONIUM HYDROXIDE"/>
    <m/>
    <e v="#N/A"/>
    <e v="#N/A"/>
    <n v="66072"/>
    <s v="4067661159"/>
    <s v="VWR AVANTOR"/>
    <s v="Q1"/>
    <e v="#REF!"/>
    <e v="#REF!"/>
    <e v="#REF!"/>
  </r>
  <r>
    <s v="445662"/>
    <x v="6"/>
    <s v="TVA - D_20"/>
    <s v="AC"/>
    <n v="6.38"/>
    <d v="2025-01-01T00:00:00"/>
    <s v="LAMPADAIRE, LAMPES DE BUREAU"/>
    <m/>
    <e v="#N/A"/>
    <e v="#N/A"/>
    <n v="59843"/>
    <s v="4"/>
    <s v="BRUNEAU"/>
    <s v="Q1"/>
    <e v="#REF!"/>
    <e v="#REF!"/>
    <e v="#REF!"/>
  </r>
  <r>
    <s v="445662"/>
    <x v="6"/>
    <s v="TVA - D_20"/>
    <s v="AC"/>
    <n v="6.43"/>
    <d v="2025-07-23T00:00:00"/>
    <s v="COMMANDE PRODUIT MUSTANG"/>
    <m/>
    <e v="#N/A"/>
    <e v="#N/A"/>
    <n v="78935"/>
    <s v="4067778265"/>
    <s v="VWR AVANTOR"/>
    <s v="Q3"/>
    <e v="#REF!"/>
    <e v="#REF!"/>
    <e v="#REF!"/>
  </r>
  <r>
    <s v="445662"/>
    <x v="6"/>
    <s v="TVA - D_20"/>
    <s v="AC"/>
    <n v="6.49"/>
    <d v="2025-03-27T00:00:00"/>
    <s v="DOUBLON"/>
    <m/>
    <e v="#N/A"/>
    <e v="#N/A"/>
    <n v="67890"/>
    <s v="25.868.404"/>
    <s v="BRUNEAU"/>
    <s v="Q1"/>
    <e v="#REF!"/>
    <e v="#REF!"/>
    <e v="#REF!"/>
  </r>
  <r>
    <s v="445662"/>
    <x v="6"/>
    <s v="TVA - D_20"/>
    <s v="AC"/>
    <n v="6.49"/>
    <d v="2025-03-28T00:00:00"/>
    <s v="EPONGES VAISSELLE, ÉPONGES À RÉCURER, MOUCHOIRS, THÉ"/>
    <m/>
    <e v="#N/A"/>
    <e v="#N/A"/>
    <n v="67903"/>
    <s v="36"/>
    <s v="BRUNEAU"/>
    <s v="Q1"/>
    <e v="#REF!"/>
    <e v="#REF!"/>
    <e v="#REF!"/>
  </r>
  <r>
    <s v="445662"/>
    <x v="6"/>
    <s v="TVA - D_20"/>
    <s v="AC"/>
    <n v="6.5"/>
    <d v="2025-02-06T00:00:00"/>
    <s v="PDF ARCHITECT V9 POUR DIRECTION FINANCIÈRE"/>
    <m/>
    <s v="Non"/>
    <e v="#N/A"/>
    <n v="61427"/>
    <s v="106"/>
    <s v="DIVERS"/>
    <s v="Q1"/>
    <e v="#REF!"/>
    <e v="#REF!"/>
    <e v="#REF!"/>
  </r>
  <r>
    <s v="445662"/>
    <x v="6"/>
    <s v="TVA - D_20"/>
    <s v="AC"/>
    <n v="6.6"/>
    <d v="2025-07-21T00:00:00"/>
    <s v="COMMANDE PRODUIT KEENB"/>
    <m/>
    <e v="#N/A"/>
    <e v="#N/A"/>
    <n v="78926"/>
    <s v="4067776382"/>
    <s v="VWR AVANTOR"/>
    <s v="Q3"/>
    <e v="#REF!"/>
    <e v="#REF!"/>
    <e v="#REF!"/>
  </r>
  <r>
    <s v="445662"/>
    <x v="6"/>
    <s v="TVA - D_20"/>
    <s v="AC"/>
    <n v="6.6"/>
    <d v="2025-09-01T00:00:00"/>
    <s v="ABONNEMENT SOLUTION LOGISTIQUE EXPÉDITIONS GAM + FRAIS D'EXPÉ"/>
    <m/>
    <e v="#N/A"/>
    <e v="#N/A"/>
    <n v="82949"/>
    <s v="3-25-FR0047380"/>
    <s v="SENDCLOUD"/>
    <s v="Q3"/>
    <e v="#REF!"/>
    <e v="#REF!"/>
    <e v="#REF!"/>
  </r>
  <r>
    <s v="445662"/>
    <x v="6"/>
    <s v="TVA - D_20"/>
    <s v="AC"/>
    <n v="6.6"/>
    <d v="2025-12-01T00:00:00"/>
    <s v="ABONNEMENT SOLUTION LOGISTIQUE EXPÉDITIONS GAM + FRAIS D'EXPÉ"/>
    <m/>
    <e v="#N/A"/>
    <e v="#N/A"/>
    <n v="91841"/>
    <s v="3-25-FR0077207"/>
    <s v="SENDCLOUD"/>
    <s v="Q4"/>
    <e v="#REF!"/>
    <e v="#REF!"/>
    <e v="#REF!"/>
  </r>
  <r>
    <s v="445662"/>
    <x v="6"/>
    <s v="TVA - D_20"/>
    <s v="AC"/>
    <n v="6.6"/>
    <d v="2025-12-11T00:00:00"/>
    <s v="REGISTRE UNIQUE DE CONSIGNATION D'ALERTE (DANGERS GRAVES, SANTÉ PUBLIQUE ET ENVIRONNEMENT)"/>
    <m/>
    <e v="#N/A"/>
    <e v="#N/A"/>
    <n v="92169"/>
    <s v="E 25 28105"/>
    <s v="GUILLARD PREVISA"/>
    <s v="Q4"/>
    <e v="#REF!"/>
    <e v="#REF!"/>
    <e v="#REF!"/>
  </r>
  <r>
    <s v="445662"/>
    <x v="6"/>
    <s v="TVA - D_20"/>
    <s v="AC"/>
    <n v="6.61"/>
    <d v="2025-10-27T00:00:00"/>
    <s v="EXPRESS DOMESTIC"/>
    <m/>
    <e v="#N/A"/>
    <e v="#N/A"/>
    <n v="87475"/>
    <s v="TLSR004141948"/>
    <s v="DHL"/>
    <s v="Q4"/>
    <e v="#REF!"/>
    <e v="#REF!"/>
    <e v="#REF!"/>
  </r>
  <r>
    <s v="445662"/>
    <x v="6"/>
    <s v="TVA - D_20"/>
    <s v="AC"/>
    <n v="6.63"/>
    <d v="2025-01-18T00:00:00"/>
    <s v="ENTRETIEN ET DEMANDE PONCTUELLE PLANTES PLANTES (TERREAU, CACHE POTS, SOUCOUPE)"/>
    <m/>
    <e v="#N/A"/>
    <e v="#N/A"/>
    <n v="61270"/>
    <s v="43"/>
    <s v="TRUFFAUT"/>
    <s v="Q1"/>
    <e v="#REF!"/>
    <e v="#REF!"/>
    <e v="#REF!"/>
  </r>
  <r>
    <s v="445662"/>
    <x v="6"/>
    <s v="TVA - D_20"/>
    <s v="AC"/>
    <n v="6.65"/>
    <d v="2025-05-11T00:00:00"/>
    <s v="CONSOMMABLE ET ENTRETIEN"/>
    <m/>
    <e v="#N/A"/>
    <e v="#N/A"/>
    <n v="73780"/>
    <s v="327712"/>
    <s v="LA FOURCHE"/>
    <s v="Q2"/>
    <e v="#REF!"/>
    <e v="#REF!"/>
    <e v="#REF!"/>
  </r>
  <r>
    <s v="445662"/>
    <x v="6"/>
    <s v="TVA - D_20"/>
    <s v="AC"/>
    <n v="6.66"/>
    <d v="2025-08-04T00:00:00"/>
    <s v="PRODUIT MUSTANG"/>
    <m/>
    <e v="#N/A"/>
    <e v="#N/A"/>
    <n v="81785"/>
    <s v="4067788328"/>
    <s v="VWR AVANTOR"/>
    <s v="Q3"/>
    <e v="#REF!"/>
    <e v="#REF!"/>
    <e v="#REF!"/>
  </r>
  <r>
    <s v="445662"/>
    <x v="6"/>
    <s v="TVA - D_20"/>
    <s v="AC"/>
    <n v="6.7"/>
    <d v="2025-03-04T00:00:00"/>
    <s v="SODIUM LIGNINE SULFONATE"/>
    <m/>
    <e v="#N/A"/>
    <e v="#N/A"/>
    <n v="66044"/>
    <s v="4174464"/>
    <s v="ROTH SOCHIEL"/>
    <s v="Q1"/>
    <e v="#REF!"/>
    <e v="#REF!"/>
    <e v="#REF!"/>
  </r>
  <r>
    <s v="445662"/>
    <x v="6"/>
    <s v="TVA - D_20"/>
    <s v="AC"/>
    <n v="6.71"/>
    <d v="2025-10-01T00:00:00"/>
    <s v="ABONNEMENT SOLUTION LOGISTIQUE EXPÉDITIONS GAM + FRAIS D'EXPÉ"/>
    <m/>
    <e v="#N/A"/>
    <e v="#N/A"/>
    <n v="83035"/>
    <s v="3-25-FR0057769"/>
    <s v="SENDCLOUD"/>
    <s v="Q4"/>
    <e v="#REF!"/>
    <e v="#REF!"/>
    <e v="#REF!"/>
  </r>
  <r>
    <s v="445662"/>
    <x v="6"/>
    <s v="TVA - D_20"/>
    <s v="AC"/>
    <n v="6.92"/>
    <d v="2025-09-29T00:00:00"/>
    <s v="ABONNEMENT SOLUTION LOGISTIQUE EXPÉDITIONS GAM + FRAIS D'EXPÉ"/>
    <m/>
    <e v="#N/A"/>
    <e v="#N/A"/>
    <n v="83031"/>
    <s v="3-25-FR0056203"/>
    <s v="SENDCLOUD"/>
    <s v="Q3"/>
    <e v="#REF!"/>
    <e v="#REF!"/>
    <e v="#REF!"/>
  </r>
  <r>
    <s v="445662"/>
    <x v="6"/>
    <s v="TVA - D_20"/>
    <s v="AC"/>
    <n v="6.93"/>
    <d v="2025-12-22T00:00:00"/>
    <s v="PRODUIT ANILINE"/>
    <m/>
    <e v="#N/A"/>
    <e v="#N/A"/>
    <n v="94295"/>
    <s v="4067905378"/>
    <s v="VWR AVANTOR"/>
    <s v="Q4"/>
    <e v="#REF!"/>
    <e v="#REF!"/>
    <e v="#REF!"/>
  </r>
  <r>
    <s v="445662"/>
    <x v="6"/>
    <s v="TVA - D_20"/>
    <s v="AC"/>
    <n v="7"/>
    <d v="2025-10-06T00:00:00"/>
    <s v="PRODUIT CONSOMMABLE LABO"/>
    <m/>
    <e v="#N/A"/>
    <e v="#N/A"/>
    <n v="85156"/>
    <s v="4067836548"/>
    <s v="VWR AVANTOR"/>
    <s v="Q4"/>
    <e v="#REF!"/>
    <e v="#REF!"/>
    <e v="#REF!"/>
  </r>
  <r>
    <s v="445662"/>
    <x v="6"/>
    <s v="TVA - D_20"/>
    <s v="AC"/>
    <n v="7.1"/>
    <d v="2025-06-10T00:00:00"/>
    <s v="COMMANDE PRODUIT LABO"/>
    <m/>
    <e v="#N/A"/>
    <e v="#N/A"/>
    <n v="76581"/>
    <s v="4067740797"/>
    <s v="VWR AVANTOR"/>
    <s v="Q2"/>
    <e v="#REF!"/>
    <e v="#REF!"/>
    <e v="#REF!"/>
  </r>
  <r>
    <s v="445662"/>
    <x v="6"/>
    <s v="TVA - D_20"/>
    <s v="AC"/>
    <n v="7.13"/>
    <d v="2025-10-23T00:00:00"/>
    <s v="ÉLECTRICITÉ LYON"/>
    <m/>
    <e v="#N/A"/>
    <e v="#N/A"/>
    <n v="90070"/>
    <s v="320008164129"/>
    <s v="ENGIE"/>
    <s v="Q4"/>
    <e v="#REF!"/>
    <e v="#REF!"/>
    <e v="#REF!"/>
  </r>
  <r>
    <s v="445662"/>
    <x v="6"/>
    <s v="TVA - D_20"/>
    <s v="AC"/>
    <n v="7.16"/>
    <d v="2025-09-23T00:00:00"/>
    <s v="ELECTRICITÉ LYON"/>
    <m/>
    <e v="#N/A"/>
    <e v="#N/A"/>
    <n v="82775"/>
    <s v="320008150541"/>
    <s v="ENGIE"/>
    <s v="Q3"/>
    <e v="#REF!"/>
    <e v="#REF!"/>
    <e v="#REF!"/>
  </r>
  <r>
    <s v="445662"/>
    <x v="6"/>
    <s v="TVA - D_20"/>
    <s v="AC"/>
    <n v="7.26"/>
    <d v="2025-03-22T00:00:00"/>
    <s v="ARDOISE ET AIMANTS CHIMISTES"/>
    <m/>
    <s v="Non"/>
    <e v="#N/A"/>
    <n v="67863"/>
    <s v="23"/>
    <s v="DIVERS"/>
    <s v="Q1"/>
    <e v="#REF!"/>
    <e v="#REF!"/>
    <e v="#REF!"/>
  </r>
  <r>
    <s v="445662"/>
    <x v="6"/>
    <s v="TVA - D_20"/>
    <s v="AC"/>
    <n v="7.3"/>
    <d v="2025-10-14T00:00:00"/>
    <s v="CONSOMMABLES LABO"/>
    <m/>
    <e v="#N/A"/>
    <e v="#N/A"/>
    <n v="87281"/>
    <s v="4067843913"/>
    <s v="VWR AVANTOR"/>
    <s v="Q4"/>
    <e v="#REF!"/>
    <e v="#REF!"/>
    <e v="#REF!"/>
  </r>
  <r>
    <s v="445662"/>
    <x v="6"/>
    <s v="TVA - D_20"/>
    <s v="AC"/>
    <n v="7.41"/>
    <d v="2025-04-23T00:00:00"/>
    <s v="COMMANDE PRODUIT KEENABIS"/>
    <m/>
    <e v="#N/A"/>
    <e v="#N/A"/>
    <n v="71333"/>
    <s v="4067702475"/>
    <s v="VWR AVANTOR"/>
    <s v="Q2"/>
    <e v="#REF!"/>
    <e v="#REF!"/>
    <e v="#REF!"/>
  </r>
  <r>
    <s v="445662"/>
    <x v="6"/>
    <s v="TVA - D_20"/>
    <s v="AC"/>
    <n v="7.44"/>
    <d v="2025-08-26T00:00:00"/>
    <s v="PRODUIT KEENB"/>
    <m/>
    <e v="#N/A"/>
    <e v="#N/A"/>
    <n v="81822"/>
    <s v="4067801247"/>
    <s v="VWR AVANTOR"/>
    <s v="Q3"/>
    <e v="#REF!"/>
    <e v="#REF!"/>
    <e v="#REF!"/>
  </r>
  <r>
    <s v="445662"/>
    <x v="6"/>
    <s v="TVA - D_20"/>
    <s v="AC"/>
    <n v="7.44"/>
    <d v="2025-12-31T00:00:00"/>
    <s v="LOCATION BOUTEILLE GAZ SPÉCIAUX SMART"/>
    <m/>
    <e v="#N/A"/>
    <e v="#N/A"/>
    <n v="94298"/>
    <s v="5801116529"/>
    <s v="AIR LIQUIDE"/>
    <s v="Q4"/>
    <e v="#REF!"/>
    <e v="#REF!"/>
    <e v="#REF!"/>
  </r>
  <r>
    <s v="445662"/>
    <x v="6"/>
    <s v="TVA - D_20"/>
    <s v="AC"/>
    <n v="7.5"/>
    <d v="2025-01-19T00:00:00"/>
    <s v="ETUIS SMARTPHONES ROUSSILLON - DEVAIENT ÊTRE RECOMMANDÉS SUITE À L'OUBLI DE LIVRAISON DE BOULANGER (QUI AVAIT REMBOURSÉ)"/>
    <m/>
    <e v="#N/A"/>
    <e v="#N/A"/>
    <n v="61276"/>
    <s v="45"/>
    <s v="BOULANGER"/>
    <s v="Q1"/>
    <e v="#REF!"/>
    <e v="#REF!"/>
    <e v="#REF!"/>
  </r>
  <r>
    <s v="445662"/>
    <x v="6"/>
    <s v="TVA - D_20"/>
    <s v="AC"/>
    <n v="7.63"/>
    <d v="2025-12-23T00:00:00"/>
    <s v="ÉLECTRICITÉ LYON"/>
    <m/>
    <e v="#N/A"/>
    <e v="#N/A"/>
    <n v="94850"/>
    <s v="6,20001E+11"/>
    <s v="ENGIE"/>
    <s v="Q4"/>
    <e v="#REF!"/>
    <e v="#REF!"/>
    <e v="#REF!"/>
  </r>
  <r>
    <s v="445662"/>
    <x v="6"/>
    <s v="TVA - D_20"/>
    <s v="AC"/>
    <n v="7.65"/>
    <d v="2025-10-28T00:00:00"/>
    <s v="CONSOMMABLES LABO"/>
    <m/>
    <e v="#N/A"/>
    <e v="#N/A"/>
    <n v="89875"/>
    <s v="4067855749"/>
    <s v="VWR AVANTOR"/>
    <s v="Q4"/>
    <e v="#REF!"/>
    <e v="#REF!"/>
    <e v="#REF!"/>
  </r>
  <r>
    <s v="445662"/>
    <x v="6"/>
    <s v="TVA - D_20"/>
    <s v="AC"/>
    <n v="7.66"/>
    <d v="2025-06-16T00:00:00"/>
    <s v="EXPRESS DOMESTIC"/>
    <m/>
    <e v="#N/A"/>
    <e v="#N/A"/>
    <n v="76208"/>
    <s v="TLSR003847796"/>
    <s v="DHL"/>
    <s v="Q2"/>
    <e v="#REF!"/>
    <e v="#REF!"/>
    <e v="#REF!"/>
  </r>
  <r>
    <s v="445662"/>
    <x v="6"/>
    <s v="TVA - D_20"/>
    <s v="AC"/>
    <n v="7.83"/>
    <d v="2025-11-24T00:00:00"/>
    <s v="ÉLECTRICITÉ"/>
    <m/>
    <e v="#N/A"/>
    <e v="#N/A"/>
    <n v="91818"/>
    <s v="980005480995"/>
    <s v="ENGIE"/>
    <s v="Q4"/>
    <e v="#REF!"/>
    <e v="#REF!"/>
    <e v="#REF!"/>
  </r>
  <r>
    <s v="445662"/>
    <x v="6"/>
    <s v="TVA - D_20"/>
    <s v="AC"/>
    <n v="7.86"/>
    <d v="2025-02-27T00:00:00"/>
    <s v="ISOPENTYL NITRITE, 97%, STAB. WITH 0.2% ANHYD. SODIUM CARBONATE"/>
    <m/>
    <e v="#N/A"/>
    <e v="#N/A"/>
    <n v="64126"/>
    <s v="4067651001"/>
    <s v="VWR AVANTOR"/>
    <s v="Q1"/>
    <e v="#REF!"/>
    <e v="#REF!"/>
    <e v="#REF!"/>
  </r>
  <r>
    <s v="445662"/>
    <x v="6"/>
    <s v="TVA - D_20"/>
    <s v="AC"/>
    <n v="7.88"/>
    <d v="2025-05-05T00:00:00"/>
    <s v="PAPIER FILTRE PAILLASSE"/>
    <m/>
    <e v="#N/A"/>
    <e v="#N/A"/>
    <n v="72690"/>
    <s v="4067712766"/>
    <s v="VWR AVANTOR"/>
    <s v="Q2"/>
    <e v="#REF!"/>
    <e v="#REF!"/>
    <e v="#REF!"/>
  </r>
  <r>
    <s v="445662"/>
    <x v="6"/>
    <s v="TVA - D_20"/>
    <s v="AC"/>
    <n v="7.92"/>
    <d v="2025-03-20T00:00:00"/>
    <s v="COMMANDE SUITE À REMBOURSEMENT OFFICE DÉPÔT (PORTE-DOCUMENTS, PLASTIFIEUSE, POCHETTES POUR PLASTIFIEUSE) + BESOINS EN CONSOMABLE"/>
    <m/>
    <e v="#N/A"/>
    <e v="#N/A"/>
    <n v="66135"/>
    <s v="25.842.918"/>
    <s v="BRUNEAU"/>
    <s v="Q1"/>
    <e v="#REF!"/>
    <e v="#REF!"/>
    <e v="#REF!"/>
  </r>
  <r>
    <s v="445662"/>
    <x v="6"/>
    <s v="TVA - D_20"/>
    <s v="AC"/>
    <n v="7.95"/>
    <d v="2025-08-25T00:00:00"/>
    <s v="PRODUIT KEENB"/>
    <m/>
    <e v="#N/A"/>
    <e v="#N/A"/>
    <n v="81816"/>
    <s v="4067800329"/>
    <s v="VWR AVANTOR"/>
    <s v="Q3"/>
    <e v="#REF!"/>
    <e v="#REF!"/>
    <e v="#REF!"/>
  </r>
  <r>
    <s v="445662"/>
    <x v="6"/>
    <s v="TVA - D_20"/>
    <s v="AC"/>
    <n v="7.98"/>
    <d v="2025-01-25T00:00:00"/>
    <s v="PETIT CONSOMMABLE (HUILE D'OLIVE, CHOCOLAT EN POUDRE, ETC.)"/>
    <m/>
    <e v="#N/A"/>
    <e v="#N/A"/>
    <n v="61318"/>
    <s v="63"/>
    <s v="AUCHAN"/>
    <s v="Q1"/>
    <e v="#REF!"/>
    <e v="#REF!"/>
    <e v="#REF!"/>
  </r>
  <r>
    <s v="445662"/>
    <x v="6"/>
    <s v="TVA - D_20"/>
    <s v="AC"/>
    <n v="8.01"/>
    <d v="2025-02-25T00:00:00"/>
    <s v="ETHANOL 96 % VOL PUR TECHNISOLV"/>
    <m/>
    <e v="#N/A"/>
    <e v="#N/A"/>
    <n v="64112"/>
    <s v="4067648478"/>
    <s v="VWR AVANTOR"/>
    <s v="Q1"/>
    <e v="#REF!"/>
    <e v="#REF!"/>
    <e v="#REF!"/>
  </r>
  <r>
    <s v="445662"/>
    <x v="6"/>
    <s v="TVA - D_20"/>
    <s v="AC"/>
    <n v="8.1199999999999992"/>
    <d v="2025-05-23T00:00:00"/>
    <s v="COMMANDE PRODUIT KEENB"/>
    <m/>
    <e v="#N/A"/>
    <e v="#N/A"/>
    <n v="75963"/>
    <s v="4067727729"/>
    <s v="VWR AVANTOR"/>
    <s v="Q2"/>
    <e v="#REF!"/>
    <e v="#REF!"/>
    <e v="#REF!"/>
  </r>
  <r>
    <s v="445662"/>
    <x v="6"/>
    <s v="TVA - D_20"/>
    <s v="AC"/>
    <n v="8.3000000000000007"/>
    <d v="2025-09-24T00:00:00"/>
    <s v="PRODUIT KEENB"/>
    <m/>
    <e v="#N/A"/>
    <e v="#N/A"/>
    <n v="85134"/>
    <s v="4067825047"/>
    <s v="VWR AVANTOR"/>
    <s v="Q3"/>
    <e v="#REF!"/>
    <e v="#REF!"/>
    <e v="#REF!"/>
  </r>
  <r>
    <s v="445662"/>
    <x v="6"/>
    <s v="TVA - D_20"/>
    <s v="AC"/>
    <n v="8.32"/>
    <d v="2025-01-01T00:00:00"/>
    <s v="ENVOI FERRANIA"/>
    <m/>
    <e v="#N/A"/>
    <e v="#N/A"/>
    <n v="74156"/>
    <s v="TLSR003470941"/>
    <s v="DHL"/>
    <s v="Q1"/>
    <e v="#REF!"/>
    <e v="#REF!"/>
    <e v="#REF!"/>
  </r>
  <r>
    <s v="445662"/>
    <x v="6"/>
    <s v="TVA - D_20"/>
    <s v="AC"/>
    <n v="8.4700000000000006"/>
    <d v="2025-04-21T00:00:00"/>
    <s v="GAZ LYON"/>
    <m/>
    <e v="#N/A"/>
    <e v="#N/A"/>
    <n v="78736"/>
    <s v="980005285371"/>
    <s v="ENGIE"/>
    <s v="Q2"/>
    <e v="#REF!"/>
    <e v="#REF!"/>
    <e v="#REF!"/>
  </r>
  <r>
    <s v="445662"/>
    <x v="6"/>
    <s v="TVA - D_20"/>
    <s v="AC"/>
    <n v="8.5"/>
    <d v="2025-07-15T00:00:00"/>
    <s v="COMMANDE PRODUIT KEENB"/>
    <m/>
    <e v="#N/A"/>
    <e v="#N/A"/>
    <n v="78906"/>
    <s v="4067772001"/>
    <s v="VWR AVANTOR"/>
    <s v="Q3"/>
    <e v="#REF!"/>
    <e v="#REF!"/>
    <e v="#REF!"/>
  </r>
  <r>
    <s v="445662"/>
    <x v="6"/>
    <s v="TVA - D_20"/>
    <s v="AC"/>
    <n v="8.56"/>
    <d v="2025-03-03T00:00:00"/>
    <s v="ELECTROLYTE"/>
    <m/>
    <e v="#N/A"/>
    <e v="#N/A"/>
    <n v="67828"/>
    <s v="4174395"/>
    <s v="ROTH SOCHIEL"/>
    <s v="Q1"/>
    <e v="#REF!"/>
    <e v="#REF!"/>
    <e v="#REF!"/>
  </r>
  <r>
    <s v="445662"/>
    <x v="6"/>
    <s v="TVA - D_20"/>
    <s v="AC"/>
    <n v="8.6999999999999993"/>
    <d v="2025-01-31T00:00:00"/>
    <s v="CONNEXION 4G 2025_02"/>
    <m/>
    <e v="#N/A"/>
    <e v="#N/A"/>
    <n v="71277"/>
    <s v="89346203"/>
    <s v="ORANGE"/>
    <s v="Q1"/>
    <e v="#REF!"/>
    <e v="#REF!"/>
    <e v="#REF!"/>
  </r>
  <r>
    <s v="445662"/>
    <x v="6"/>
    <s v="TVA - D_20"/>
    <s v="AC"/>
    <n v="8.6999999999999993"/>
    <d v="2025-02-28T00:00:00"/>
    <s v="FACTURE FÉVRIER 2025"/>
    <m/>
    <e v="#N/A"/>
    <e v="#N/A"/>
    <n v="76187"/>
    <s v="89683765"/>
    <s v="ORANGE"/>
    <s v="Q1"/>
    <e v="#REF!"/>
    <e v="#REF!"/>
    <e v="#REF!"/>
  </r>
  <r>
    <s v="445662"/>
    <x v="6"/>
    <s v="TVA - D_20"/>
    <s v="AC"/>
    <n v="8.6999999999999993"/>
    <d v="2025-03-31T00:00:00"/>
    <s v="FACTURE MARS"/>
    <m/>
    <e v="#N/A"/>
    <e v="#N/A"/>
    <n v="71293"/>
    <s v="90013330"/>
    <s v="ORANGE"/>
    <s v="Q1"/>
    <e v="#REF!"/>
    <e v="#REF!"/>
    <e v="#REF!"/>
  </r>
  <r>
    <s v="445662"/>
    <x v="6"/>
    <s v="TVA - D_20"/>
    <s v="AC"/>
    <n v="8.7100000000000009"/>
    <d v="2025-07-18T00:00:00"/>
    <s v="COMMANDE PRODUIT KEENB"/>
    <m/>
    <e v="#N/A"/>
    <e v="#N/A"/>
    <n v="78923"/>
    <s v="4067775354"/>
    <s v="VWR AVANTOR"/>
    <s v="Q3"/>
    <e v="#REF!"/>
    <e v="#REF!"/>
    <e v="#REF!"/>
  </r>
  <r>
    <s v="445662"/>
    <x v="6"/>
    <s v="TVA - D_20"/>
    <s v="AC"/>
    <n v="8.9600000000000009"/>
    <d v="2025-08-31T00:00:00"/>
    <s v="EXPRESS WORLDWIDE EU"/>
    <m/>
    <e v="#N/A"/>
    <e v="#N/A"/>
    <n v="91048"/>
    <s v="TLSR004019801"/>
    <s v="DHL"/>
    <s v="Q3"/>
    <e v="#REF!"/>
    <e v="#REF!"/>
    <e v="#REF!"/>
  </r>
  <r>
    <s v="445662"/>
    <x v="6"/>
    <s v="TVA - D_20"/>
    <s v="AC"/>
    <n v="9.14"/>
    <d v="2025-04-07T00:00:00"/>
    <s v="EXPRESS DOMESTIC"/>
    <m/>
    <e v="#N/A"/>
    <e v="#N/A"/>
    <n v="69727"/>
    <s v="TLSR003709755"/>
    <s v="DHL"/>
    <s v="Q2"/>
    <e v="#REF!"/>
    <e v="#REF!"/>
    <e v="#REF!"/>
  </r>
  <r>
    <s v="445662"/>
    <x v="6"/>
    <s v="TVA - D_20"/>
    <s v="AC"/>
    <n v="9.2100000000000009"/>
    <d v="2025-05-20T00:00:00"/>
    <s v="ABONNEMENT 4G"/>
    <m/>
    <e v="#N/A"/>
    <e v="#N/A"/>
    <n v="76190"/>
    <s v="1,16908E+13"/>
    <s v="BOUYGUES TELECOM"/>
    <s v="Q2"/>
    <e v="#REF!"/>
    <e v="#REF!"/>
    <e v="#REF!"/>
  </r>
  <r>
    <s v="445662"/>
    <x v="6"/>
    <s v="TVA - D_20"/>
    <s v="AC"/>
    <n v="9.2799999999999994"/>
    <d v="2025-08-19T00:00:00"/>
    <s v="PRODUIT MUSTANG"/>
    <m/>
    <e v="#N/A"/>
    <e v="#N/A"/>
    <n v="81806"/>
    <s v="4067797082"/>
    <s v="VWR AVANTOR"/>
    <s v="Q3"/>
    <e v="#REF!"/>
    <e v="#REF!"/>
    <e v="#REF!"/>
  </r>
  <r>
    <s v="445662"/>
    <x v="6"/>
    <s v="TVA - D_20"/>
    <s v="AC"/>
    <n v="9.3000000000000007"/>
    <d v="2025-09-08T00:00:00"/>
    <s v="COMMANDE PRODUIT LISA"/>
    <m/>
    <e v="#N/A"/>
    <e v="#N/A"/>
    <n v="82329"/>
    <s v="4067812304"/>
    <s v="VWR AVANTOR"/>
    <s v="Q3"/>
    <e v="#REF!"/>
    <e v="#REF!"/>
    <e v="#REF!"/>
  </r>
  <r>
    <s v="445662"/>
    <x v="6"/>
    <s v="TVA - D_20"/>
    <s v="AC"/>
    <n v="9.31"/>
    <d v="2025-05-28T00:00:00"/>
    <s v="DÉTENDEURS FILTRE À PLAQUES : DÉTENDEUR CASSÉ +&gt; ACHAT D'UN DÉTENDEUR POUR LE REMPLACER + 1 EN SPARE PARTS"/>
    <m/>
    <e v="#N/A"/>
    <e v="#N/A"/>
    <n v="77987"/>
    <s v="11"/>
    <s v="RS COMPONENT"/>
    <s v="Q2"/>
    <e v="#REF!"/>
    <e v="#REF!"/>
    <e v="#REF!"/>
  </r>
  <r>
    <s v="445662"/>
    <x v="6"/>
    <s v="TVA - D_20"/>
    <s v="AC"/>
    <n v="9.36"/>
    <d v="2025-02-17T00:00:00"/>
    <s v="SODIUM HYDROXYDE EN SOLUTION"/>
    <m/>
    <e v="#N/A"/>
    <e v="#N/A"/>
    <n v="64098"/>
    <s v="4067640910"/>
    <s v="VWR AVANTOR"/>
    <s v="Q1"/>
    <e v="#REF!"/>
    <e v="#REF!"/>
    <e v="#REF!"/>
  </r>
  <r>
    <s v="445662"/>
    <x v="6"/>
    <s v="TVA - D_20"/>
    <s v="AC"/>
    <n v="9.59"/>
    <d v="2025-04-10T00:00:00"/>
    <s v="ACIDE SULFURIQUE 95 % TECHNICAL FLACON VERRE 1L"/>
    <m/>
    <e v="#N/A"/>
    <e v="#N/A"/>
    <n v="69772"/>
    <s v="4067692788"/>
    <s v="VWR AVANTOR"/>
    <s v="Q2"/>
    <e v="#REF!"/>
    <e v="#REF!"/>
    <e v="#REF!"/>
  </r>
  <r>
    <s v="445662"/>
    <x v="6"/>
    <s v="TVA - D_20"/>
    <s v="AC"/>
    <n v="9.67"/>
    <d v="2025-06-11T00:00:00"/>
    <s v="COURSIER ARCHIVES COH"/>
    <m/>
    <e v="#N/A"/>
    <e v="#N/A"/>
    <n v="78012"/>
    <s v="19"/>
    <s v="COURSIER"/>
    <s v="Q2"/>
    <e v="#REF!"/>
    <e v="#REF!"/>
    <e v="#REF!"/>
  </r>
  <r>
    <s v="445662"/>
    <x v="6"/>
    <s v="TVA - D_20"/>
    <s v="AC"/>
    <n v="9.7899999999999991"/>
    <d v="2025-06-30T00:00:00"/>
    <s v="EXPRESS DOMESTIC"/>
    <m/>
    <e v="#N/A"/>
    <e v="#N/A"/>
    <n v="78388"/>
    <s v="10"/>
    <s v="DHL"/>
    <s v="Q2"/>
    <e v="#REF!"/>
    <e v="#REF!"/>
    <e v="#REF!"/>
  </r>
  <r>
    <s v="445662"/>
    <x v="6"/>
    <s v="TVA - D_20"/>
    <s v="AC"/>
    <n v="9.92"/>
    <d v="2025-08-26T00:00:00"/>
    <s v="JEU DE CLÉS TORX 6 - 15 (TCU KILOLAB)"/>
    <m/>
    <e v="#N/A"/>
    <e v="#N/A"/>
    <n v="82357"/>
    <s v="487240865"/>
    <s v="RS COMPONENT"/>
    <s v="Q3"/>
    <e v="#REF!"/>
    <e v="#REF!"/>
    <e v="#REF!"/>
  </r>
  <r>
    <s v="445662"/>
    <x v="6"/>
    <s v="TVA - D_20"/>
    <s v="AC"/>
    <n v="10"/>
    <d v="2025-09-19T00:00:00"/>
    <s v="TRAITEUR SÉMINAIRE PILI (JEUDI 18 SEPT. SOIR)"/>
    <m/>
    <e v="#N/A"/>
    <e v="#N/A"/>
    <n v="82740"/>
    <s v="F-2025-1596"/>
    <s v="CANOVAS STEVE EI"/>
    <s v="Q3"/>
    <e v="#REF!"/>
    <e v="#REF!"/>
    <e v="#REF!"/>
  </r>
  <r>
    <s v="445662"/>
    <x v="6"/>
    <s v="TVA - D_20"/>
    <s v="AC"/>
    <n v="10.26"/>
    <d v="2025-06-13T00:00:00"/>
    <s v="CONSOMMABLE ET ENTRETIEN"/>
    <m/>
    <e v="#N/A"/>
    <e v="#N/A"/>
    <n v="78025"/>
    <s v="24"/>
    <s v="LA FOURCHE"/>
    <s v="Q2"/>
    <e v="#REF!"/>
    <e v="#REF!"/>
    <e v="#REF!"/>
  </r>
  <r>
    <s v="445662"/>
    <x v="6"/>
    <s v="TVA - D_20"/>
    <s v="AC"/>
    <n v="10.32"/>
    <d v="2025-11-28T00:00:00"/>
    <s v="CONSOMMABLE ET ENTRETIEN"/>
    <m/>
    <e v="#N/A"/>
    <e v="#N/A"/>
    <n v="91477"/>
    <s v="2025/11/002132104"/>
    <s v="LA FOURCHE"/>
    <s v="Q4"/>
    <e v="#REF!"/>
    <e v="#REF!"/>
    <e v="#REF!"/>
  </r>
  <r>
    <s v="445662"/>
    <x v="6"/>
    <s v="TVA - D_20"/>
    <s v="AC"/>
    <n v="10.36"/>
    <d v="2025-02-14T00:00:00"/>
    <s v="COMMANDE PRODUIT KEENB"/>
    <m/>
    <e v="#N/A"/>
    <e v="#N/A"/>
    <n v="61484"/>
    <s v="8053425310"/>
    <s v="Sigma-Aldrich chimie"/>
    <s v="Q1"/>
    <e v="#REF!"/>
    <e v="#REF!"/>
    <e v="#REF!"/>
  </r>
  <r>
    <s v="445662"/>
    <x v="6"/>
    <s v="TVA - D_20"/>
    <s v="AC"/>
    <n v="10.37"/>
    <d v="2025-02-10T00:00:00"/>
    <s v="ENVOI HUMBOLDT"/>
    <m/>
    <e v="#N/A"/>
    <e v="#N/A"/>
    <n v="74188"/>
    <s v="TLSR003597831"/>
    <s v="DHL"/>
    <s v="Q1"/>
    <e v="#REF!"/>
    <e v="#REF!"/>
    <e v="#REF!"/>
  </r>
  <r>
    <s v="445662"/>
    <x v="6"/>
    <s v="TVA - D_20"/>
    <s v="AC"/>
    <n v="10.56"/>
    <d v="2025-03-10T00:00:00"/>
    <s v="ENVOI INSA ROUEN"/>
    <m/>
    <e v="#N/A"/>
    <e v="#N/A"/>
    <n v="74196"/>
    <s v="TLSR003653033"/>
    <s v="DHL"/>
    <s v="Q1"/>
    <e v="#REF!"/>
    <e v="#REF!"/>
    <e v="#REF!"/>
  </r>
  <r>
    <s v="445662"/>
    <x v="6"/>
    <s v="TVA - D_20"/>
    <s v="AC"/>
    <n v="10.59"/>
    <d v="2025-10-06T00:00:00"/>
    <s v="EXPRESS DOMESTIC"/>
    <m/>
    <e v="#N/A"/>
    <e v="#N/A"/>
    <n v="84993"/>
    <s v="TLSR004101755"/>
    <s v="DHL"/>
    <s v="Q4"/>
    <e v="#REF!"/>
    <e v="#REF!"/>
    <e v="#REF!"/>
  </r>
  <r>
    <s v="445662"/>
    <x v="6"/>
    <s v="TVA - D_20"/>
    <s v="AC"/>
    <n v="10.6"/>
    <d v="2025-04-05T00:00:00"/>
    <s v="7 NEDIS RALLONGE POUR PC, MONITEUR ET ONDULEUR NOIR - 2 MÈTRES - DEMANDE COLLABORATEURS"/>
    <m/>
    <e v="#N/A"/>
    <e v="#N/A"/>
    <n v="69715"/>
    <s v="FV202500010890"/>
    <s v="GROUPE LDLC"/>
    <s v="Q2"/>
    <e v="#REF!"/>
    <e v="#REF!"/>
    <e v="#REF!"/>
  </r>
  <r>
    <s v="445662"/>
    <x v="6"/>
    <s v="TVA - D_20"/>
    <s v="AC"/>
    <n v="10.68"/>
    <d v="2025-03-07T00:00:00"/>
    <s v="COPPER(II) SULFATE PENTAHYDRATE P.A."/>
    <m/>
    <e v="#N/A"/>
    <e v="#N/A"/>
    <n v="66146"/>
    <s v="4067659979"/>
    <s v="VWR AVANTOR"/>
    <s v="Q1"/>
    <e v="#REF!"/>
    <e v="#REF!"/>
    <e v="#REF!"/>
  </r>
  <r>
    <s v="445662"/>
    <x v="6"/>
    <s v="TVA - D_20"/>
    <s v="AC"/>
    <n v="10.87"/>
    <d v="2025-09-17T00:00:00"/>
    <s v="CONSOMMABLE LABO"/>
    <m/>
    <e v="#N/A"/>
    <e v="#N/A"/>
    <n v="85122"/>
    <s v="4067819409"/>
    <s v="VWR AVANTOR"/>
    <s v="Q3"/>
    <e v="#REF!"/>
    <e v="#REF!"/>
    <e v="#REF!"/>
  </r>
  <r>
    <s v="445662"/>
    <x v="6"/>
    <s v="TVA - D_20"/>
    <s v="AC"/>
    <n v="10.87"/>
    <d v="2025-09-18T00:00:00"/>
    <s v="CONSOMMABLE LABO"/>
    <m/>
    <e v="#N/A"/>
    <e v="#N/A"/>
    <n v="85125"/>
    <s v="4067820430"/>
    <s v="VWR AVANTOR"/>
    <s v="Q3"/>
    <e v="#REF!"/>
    <e v="#REF!"/>
    <e v="#REF!"/>
  </r>
  <r>
    <s v="445662"/>
    <x v="6"/>
    <s v="TVA - D_20"/>
    <s v="AC"/>
    <n v="11.06"/>
    <d v="2025-01-01T00:00:00"/>
    <s v="ENVOI YVES"/>
    <m/>
    <e v="#N/A"/>
    <e v="#N/A"/>
    <n v="74153"/>
    <s v="TLSR003505118"/>
    <s v="DHL"/>
    <s v="Q1"/>
    <e v="#REF!"/>
    <e v="#REF!"/>
    <e v="#REF!"/>
  </r>
  <r>
    <s v="445662"/>
    <x v="6"/>
    <s v="TVA - D_20"/>
    <s v="AC"/>
    <n v="11.06"/>
    <d v="2025-11-21T00:00:00"/>
    <s v="GAZ NATUREL"/>
    <m/>
    <e v="#N/A"/>
    <e v="#N/A"/>
    <n v="91812"/>
    <s v="40017459099"/>
    <s v="ENGIE"/>
    <s v="Q4"/>
    <e v="#REF!"/>
    <e v="#REF!"/>
    <e v="#REF!"/>
  </r>
  <r>
    <s v="445662"/>
    <x v="6"/>
    <s v="TVA - D_20"/>
    <s v="AC"/>
    <n v="11.17"/>
    <d v="2025-10-31T00:00:00"/>
    <s v="LOCATION BOUTEILLE GAZ SPÉCIAUX SMART"/>
    <m/>
    <e v="#N/A"/>
    <e v="#N/A"/>
    <n v="89662"/>
    <s v="5800971725"/>
    <s v="AIR LIQUIDE"/>
    <s v="Q4"/>
    <e v="#REF!"/>
    <e v="#REF!"/>
    <e v="#REF!"/>
  </r>
  <r>
    <s v="445662"/>
    <x v="6"/>
    <s v="TVA - D_20"/>
    <s v="AC"/>
    <n v="11.18"/>
    <d v="2025-03-27T00:00:00"/>
    <s v="COMMANDE PRODUIT KEENB"/>
    <m/>
    <e v="#N/A"/>
    <e v="#N/A"/>
    <n v="67895"/>
    <s v="4067677741"/>
    <s v="VWR AVANTOR"/>
    <s v="Q1"/>
    <e v="#REF!"/>
    <e v="#REF!"/>
    <e v="#REF!"/>
  </r>
  <r>
    <s v="445662"/>
    <x v="6"/>
    <s v="TVA - D_20"/>
    <s v="AC"/>
    <n v="11.89"/>
    <d v="2025-05-21T00:00:00"/>
    <s v="COMMANDE PRODUIT KEENY"/>
    <m/>
    <e v="#N/A"/>
    <e v="#N/A"/>
    <n v="74449"/>
    <s v="4067725484"/>
    <s v="VWR AVANTOR"/>
    <s v="Q2"/>
    <e v="#REF!"/>
    <e v="#REF!"/>
    <e v="#REF!"/>
  </r>
  <r>
    <s v="445662"/>
    <x v="6"/>
    <s v="TVA - D_20"/>
    <s v="AC"/>
    <n v="11.98"/>
    <d v="2025-06-10T00:00:00"/>
    <s v="RENOUVELLEMENT BOÎTE MAIL GAM"/>
    <m/>
    <e v="#N/A"/>
    <e v="#N/A"/>
    <n v="78009"/>
    <s v="18"/>
    <s v="GANDI"/>
    <s v="Q2"/>
    <e v="#REF!"/>
    <e v="#REF!"/>
    <e v="#REF!"/>
  </r>
  <r>
    <s v="445662"/>
    <x v="6"/>
    <s v="TVA - D_20"/>
    <s v="AC"/>
    <n v="11.98"/>
    <d v="2025-08-05T00:00:00"/>
    <s v="AFFICHE"/>
    <m/>
    <e v="#N/A"/>
    <e v="#N/A"/>
    <n v="81280"/>
    <s v="26.296.061"/>
    <s v="BRUNEAU"/>
    <s v="Q3"/>
    <e v="#REF!"/>
    <e v="#REF!"/>
    <e v="#REF!"/>
  </r>
  <r>
    <s v="445662"/>
    <x v="6"/>
    <s v="TVA - D_20"/>
    <s v="AC"/>
    <n v="11.98"/>
    <d v="2025-08-08T00:00:00"/>
    <s v="PRODUIT KEENB"/>
    <m/>
    <e v="#N/A"/>
    <e v="#N/A"/>
    <n v="81791"/>
    <s v="4067791695"/>
    <s v="VWR AVANTOR"/>
    <s v="Q3"/>
    <e v="#REF!"/>
    <e v="#REF!"/>
    <e v="#REF!"/>
  </r>
  <r>
    <s v="445662"/>
    <x v="6"/>
    <s v="TVA - D_20"/>
    <s v="AC"/>
    <n v="12.03"/>
    <d v="2025-11-30T00:00:00"/>
    <s v="EXPRESS DOMESTIC"/>
    <m/>
    <e v="#N/A"/>
    <e v="#N/A"/>
    <n v="91827"/>
    <s v="TLSR004232345"/>
    <s v="DHL"/>
    <s v="Q4"/>
    <e v="#REF!"/>
    <e v="#REF!"/>
    <e v="#REF!"/>
  </r>
  <r>
    <s v="445662"/>
    <x v="6"/>
    <s v="TVA - D_20"/>
    <s v="AC"/>
    <n v="12.11"/>
    <d v="2025-01-31T00:00:00"/>
    <s v="FRAIS BANCAIRES"/>
    <m/>
    <e v="#N/A"/>
    <e v="#N/A"/>
    <n v="72529"/>
    <s v="2,50E+19"/>
    <s v="Banque Populaire Rive de Paris"/>
    <s v="Q1"/>
    <e v="#REF!"/>
    <e v="#REF!"/>
    <e v="#REF!"/>
  </r>
  <r>
    <s v="445662"/>
    <x v="6"/>
    <s v="TVA - D_20"/>
    <s v="AC"/>
    <n v="12.11"/>
    <d v="2025-02-28T00:00:00"/>
    <s v="FRAIS BANCAIRES"/>
    <m/>
    <e v="#N/A"/>
    <e v="#N/A"/>
    <n v="72542"/>
    <s v="2,50E+19"/>
    <s v="Banque Populaire Rive de Paris"/>
    <s v="Q1"/>
    <e v="#REF!"/>
    <e v="#REF!"/>
    <e v="#REF!"/>
  </r>
  <r>
    <s v="445662"/>
    <x v="6"/>
    <s v="TVA - D_20"/>
    <s v="AC"/>
    <n v="12.11"/>
    <d v="2025-05-09T00:00:00"/>
    <s v="MATIÈRES PREMIÈRES KEENY ROUSSILLON"/>
    <m/>
    <e v="#N/A"/>
    <e v="#N/A"/>
    <n v="73777"/>
    <s v="4177718"/>
    <s v="ROTH SOCHIEL"/>
    <s v="Q2"/>
    <e v="#REF!"/>
    <e v="#REF!"/>
    <e v="#REF!"/>
  </r>
  <r>
    <s v="445662"/>
    <x v="6"/>
    <s v="TVA - D_20"/>
    <s v="AC"/>
    <n v="12.11"/>
    <d v="2025-09-30T00:00:00"/>
    <s v="Frais bancaires BPRI 09/2025"/>
    <m/>
    <e v="#N/A"/>
    <e v="#N/A"/>
    <n v="82937"/>
    <m/>
    <s v="Banque Populaire Rive de Paris"/>
    <s v="Q3"/>
    <e v="#REF!"/>
    <e v="#REF!"/>
    <e v="#REF!"/>
  </r>
  <r>
    <s v="445662"/>
    <x v="6"/>
    <s v="TVA - D_20"/>
    <s v="AC"/>
    <n v="12.11"/>
    <d v="2025-12-31T00:00:00"/>
    <s v="FRAIS ET COMMISSIONS PRÉLEVÉS DU 29/11/2025 AU 31/12/2025"/>
    <m/>
    <e v="#N/A"/>
    <e v="#N/A"/>
    <n v="94310"/>
    <s v="25120000000000029134"/>
    <s v="Banque Populaire Rive de Paris"/>
    <s v="Q4"/>
    <e v="#REF!"/>
    <e v="#REF!"/>
    <e v="#REF!"/>
  </r>
  <r>
    <s v="445662"/>
    <x v="6"/>
    <s v="TVA - D_20"/>
    <s v="AC"/>
    <n v="12.28"/>
    <d v="2025-10-06T00:00:00"/>
    <s v="CONSOMMABLE LABO"/>
    <m/>
    <e v="#N/A"/>
    <e v="#N/A"/>
    <n v="85151"/>
    <s v="4067836547"/>
    <s v="VWR AVANTOR"/>
    <s v="Q4"/>
    <e v="#REF!"/>
    <e v="#REF!"/>
    <e v="#REF!"/>
  </r>
  <r>
    <s v="445662"/>
    <x v="6"/>
    <s v="TVA - D_20"/>
    <s v="AC"/>
    <n v="12.46"/>
    <d v="2025-05-20T00:00:00"/>
    <s v="PRODUITS CHIMIQUES KL"/>
    <m/>
    <e v="#N/A"/>
    <e v="#N/A"/>
    <n v="75957"/>
    <s v="4178152"/>
    <s v="ROTH SOCHIEL"/>
    <s v="Q2"/>
    <e v="#REF!"/>
    <e v="#REF!"/>
    <e v="#REF!"/>
  </r>
  <r>
    <s v="445662"/>
    <x v="6"/>
    <s v="TVA - D_20"/>
    <s v="AC"/>
    <n v="12.54"/>
    <d v="2025-02-21T00:00:00"/>
    <s v="COMMANDE PRODUIT KEENY"/>
    <m/>
    <e v="#N/A"/>
    <e v="#N/A"/>
    <n v="61543"/>
    <s v="8053429520"/>
    <s v="Sigma-Aldrich chimie"/>
    <s v="Q1"/>
    <e v="#REF!"/>
    <e v="#REF!"/>
    <e v="#REF!"/>
  </r>
  <r>
    <s v="445662"/>
    <x v="6"/>
    <s v="TVA - D_20"/>
    <s v="AC"/>
    <n v="12.6"/>
    <d v="2025-10-31T00:00:00"/>
    <s v="IMPRESSION CDV PYB, JBL ET ANNE-SOPHIE"/>
    <m/>
    <e v="#N/A"/>
    <e v="#N/A"/>
    <n v="89881"/>
    <s v="FL260494"/>
    <s v="GROUPE CHAUMEIL"/>
    <s v="Q4"/>
    <e v="#REF!"/>
    <e v="#REF!"/>
    <e v="#REF!"/>
  </r>
  <r>
    <s v="445662"/>
    <x v="6"/>
    <s v="TVA - D_20"/>
    <s v="AC"/>
    <n v="12.64"/>
    <d v="2025-03-17T00:00:00"/>
    <s v="EAU POUR LA CHROMATOGRAPHIE"/>
    <m/>
    <e v="#N/A"/>
    <e v="#N/A"/>
    <n v="65965"/>
    <s v="4067667596"/>
    <s v="VWR AVANTOR"/>
    <s v="Q1"/>
    <e v="#REF!"/>
    <e v="#REF!"/>
    <e v="#REF!"/>
  </r>
  <r>
    <s v="445662"/>
    <x v="6"/>
    <s v="TVA - D_20"/>
    <s v="AC"/>
    <n v="12.76"/>
    <d v="2025-11-30T00:00:00"/>
    <s v="FACTURE MAINTENANCE OSIRIS"/>
    <s v="Non"/>
    <s v="Non"/>
    <e v="#N/A"/>
    <n v="92187"/>
    <s v="93814171"/>
    <s v="OSIRIS"/>
    <s v="Q4"/>
    <e v="#REF!"/>
    <e v="#REF!"/>
    <e v="#REF!"/>
  </r>
  <r>
    <s v="445662"/>
    <x v="6"/>
    <s v="TVA - D_20"/>
    <s v="AC"/>
    <n v="12.77"/>
    <d v="2025-10-31T00:00:00"/>
    <s v="ECONOMY SELECT"/>
    <m/>
    <e v="#N/A"/>
    <e v="#N/A"/>
    <n v="89659"/>
    <s v="TLSR004168249"/>
    <s v="DHL"/>
    <s v="Q4"/>
    <e v="#REF!"/>
    <e v="#REF!"/>
    <e v="#REF!"/>
  </r>
  <r>
    <s v="445662"/>
    <x v="6"/>
    <s v="TVA - D_20"/>
    <s v="AC"/>
    <n v="12.83"/>
    <d v="2025-03-03T00:00:00"/>
    <s v="AIGUILLE HYPODERMIQUE JAUNE HENKE-JECT À USAGE UNIQUE  MÉTHANOL POUR LA CHROMATOGRAPHIE EN PHASE LIQUIDE LICHROSOLV"/>
    <m/>
    <e v="#N/A"/>
    <e v="#N/A"/>
    <n v="66087"/>
    <s v="4067655037"/>
    <s v="VWR AVANTOR"/>
    <s v="Q1"/>
    <e v="#REF!"/>
    <e v="#REF!"/>
    <e v="#REF!"/>
  </r>
  <r>
    <s v="445662"/>
    <x v="6"/>
    <s v="TVA - D_20"/>
    <s v="AC"/>
    <n v="13.37"/>
    <d v="2025-04-24T00:00:00"/>
    <s v="CHARGEUR BATTERIE ASPIRATEUR (MAINTENANCE TCU KILOLAB - PILOTE) VU AVEC ASG"/>
    <m/>
    <e v="#N/A"/>
    <e v="#N/A"/>
    <n v="73736"/>
    <s v="M010016112"/>
    <s v="MANUTAN"/>
    <s v="Q2"/>
    <e v="#REF!"/>
    <e v="#REF!"/>
    <e v="#REF!"/>
  </r>
  <r>
    <s v="445662"/>
    <x v="6"/>
    <s v="TVA - D_20"/>
    <s v="AC"/>
    <n v="13.42"/>
    <d v="2025-03-11T00:00:00"/>
    <s v="COMMANDE PRODUIT KEENB"/>
    <m/>
    <e v="#N/A"/>
    <e v="#N/A"/>
    <n v="66023"/>
    <s v="4067662482"/>
    <s v="VWR AVANTOR"/>
    <s v="Q1"/>
    <e v="#REF!"/>
    <e v="#REF!"/>
    <e v="#REF!"/>
  </r>
  <r>
    <s v="445662"/>
    <x v="6"/>
    <s v="TVA - D_20"/>
    <s v="AC"/>
    <n v="13.53"/>
    <d v="2025-06-05T00:00:00"/>
    <s v="COMMANDE PRODUIT KEENY"/>
    <m/>
    <e v="#N/A"/>
    <e v="#N/A"/>
    <n v="76561"/>
    <s v="4067738283"/>
    <s v="VWR AVANTOR"/>
    <s v="Q2"/>
    <e v="#REF!"/>
    <e v="#REF!"/>
    <e v="#REF!"/>
  </r>
  <r>
    <s v="445662"/>
    <x v="6"/>
    <s v="TVA - D_20"/>
    <s v="AC"/>
    <n v="13.55"/>
    <d v="2025-05-30T00:00:00"/>
    <s v="CONSOMMABLE ET ENTRETIEN"/>
    <m/>
    <e v="#N/A"/>
    <e v="#N/A"/>
    <n v="77990"/>
    <s v="12"/>
    <s v="LA FOURCHE"/>
    <s v="Q2"/>
    <e v="#REF!"/>
    <e v="#REF!"/>
    <e v="#REF!"/>
  </r>
  <r>
    <s v="445662"/>
    <x v="6"/>
    <s v="TVA - D_20"/>
    <s v="AC"/>
    <n v="13.62"/>
    <d v="2025-02-24T00:00:00"/>
    <s v="ENVOI ARCHROMA"/>
    <m/>
    <e v="#N/A"/>
    <e v="#N/A"/>
    <n v="74191"/>
    <s v="TLSR003620657"/>
    <s v="DHL"/>
    <s v="Q1"/>
    <e v="#REF!"/>
    <e v="#REF!"/>
    <e v="#REF!"/>
  </r>
  <r>
    <s v="445662"/>
    <x v="6"/>
    <s v="TVA - D_20"/>
    <s v="AC"/>
    <n v="13.65"/>
    <d v="2025-11-03T00:00:00"/>
    <s v="ACHAT HYDROSULFITE DE SODIUM"/>
    <m/>
    <e v="#N/A"/>
    <e v="#N/A"/>
    <n v="91412"/>
    <s v="2000125507"/>
    <s v="MONDROGUISTE"/>
    <s v="Q4"/>
    <e v="#REF!"/>
    <e v="#REF!"/>
    <e v="#REF!"/>
  </r>
  <r>
    <s v="445662"/>
    <x v="6"/>
    <s v="TVA - D_20"/>
    <s v="AC"/>
    <n v="13.72"/>
    <d v="2025-11-03T00:00:00"/>
    <s v="VERRERIE DE DISTILLATION"/>
    <m/>
    <e v="#N/A"/>
    <e v="#N/A"/>
    <n v="89915"/>
    <s v="4184627"/>
    <s v="ROTH SOCHIEL"/>
    <s v="Q4"/>
    <e v="#REF!"/>
    <e v="#REF!"/>
    <e v="#REF!"/>
  </r>
  <r>
    <s v="445662"/>
    <x v="6"/>
    <s v="TVA - D_20"/>
    <s v="AC"/>
    <n v="13.8"/>
    <d v="2025-03-17T00:00:00"/>
    <s v="ENVOI ROTH SOCHIEL"/>
    <m/>
    <e v="#N/A"/>
    <e v="#N/A"/>
    <n v="74199"/>
    <s v="TLSR003664833"/>
    <s v="DHL"/>
    <s v="Q1"/>
    <e v="#REF!"/>
    <e v="#REF!"/>
    <e v="#REF!"/>
  </r>
  <r>
    <s v="445662"/>
    <x v="6"/>
    <s v="TVA - D_20"/>
    <s v="AC"/>
    <n v="13.89"/>
    <d v="2025-08-19T00:00:00"/>
    <s v="BILLES POUR LE BROYEUR"/>
    <m/>
    <e v="#N/A"/>
    <e v="#N/A"/>
    <n v="81809"/>
    <s v="4175109842"/>
    <s v="FISHER SCIENTIFIC"/>
    <s v="Q3"/>
    <e v="#REF!"/>
    <e v="#REF!"/>
    <e v="#REF!"/>
  </r>
  <r>
    <s v="445662"/>
    <x v="6"/>
    <s v="TVA - D_20"/>
    <s v="AC"/>
    <n v="14.11"/>
    <d v="2025-02-26T00:00:00"/>
    <s v="SOLVANTS VBIO"/>
    <m/>
    <e v="#N/A"/>
    <e v="#N/A"/>
    <n v="92971"/>
    <s v="4174161"/>
    <s v="ROTH SOCHIEL"/>
    <s v="Q1"/>
    <e v="#REF!"/>
    <e v="#REF!"/>
    <e v="#REF!"/>
  </r>
  <r>
    <s v="445662"/>
    <x v="6"/>
    <s v="TVA - D_20"/>
    <s v="AC"/>
    <n v="14.22"/>
    <d v="2025-03-31T00:00:00"/>
    <s v="FACTURE MENSUELLE CLÉ WIFI ROUSSILLON"/>
    <m/>
    <e v="#N/A"/>
    <e v="#N/A"/>
    <n v="72581"/>
    <s v="90124303"/>
    <s v="ORANGE"/>
    <s v="Q1"/>
    <e v="#REF!"/>
    <e v="#REF!"/>
    <e v="#REF!"/>
  </r>
  <r>
    <s v="445662"/>
    <x v="6"/>
    <s v="TVA - D_20"/>
    <s v="AC"/>
    <n v="14.23"/>
    <d v="2025-09-03T00:00:00"/>
    <s v="PRODUIT LISA"/>
    <m/>
    <e v="#N/A"/>
    <e v="#N/A"/>
    <n v="81858"/>
    <s v="4175127897"/>
    <s v="FISHER SCIENTIFIC"/>
    <s v="Q3"/>
    <e v="#REF!"/>
    <e v="#REF!"/>
    <e v="#REF!"/>
  </r>
  <r>
    <s v="445662"/>
    <x v="6"/>
    <s v="TVA - D_20"/>
    <s v="AC"/>
    <n v="14.38"/>
    <d v="2025-06-12T00:00:00"/>
    <s v="CELITE S POUR VBIO KL"/>
    <m/>
    <e v="#N/A"/>
    <e v="#N/A"/>
    <n v="76205"/>
    <s v="8053492053"/>
    <s v="Sigma-Aldrich chimie"/>
    <s v="Q2"/>
    <e v="#REF!"/>
    <e v="#REF!"/>
    <e v="#REF!"/>
  </r>
  <r>
    <s v="445662"/>
    <x v="6"/>
    <s v="TVA - D_20"/>
    <s v="AC"/>
    <n v="14.4"/>
    <d v="2025-02-25T00:00:00"/>
    <s v="FILTRES EN FEUILLE ROTILABO"/>
    <m/>
    <e v="#N/A"/>
    <e v="#N/A"/>
    <n v="64115"/>
    <s v="4174060"/>
    <s v="ROTH SOCHIEL"/>
    <s v="Q1"/>
    <e v="#REF!"/>
    <e v="#REF!"/>
    <e v="#REF!"/>
  </r>
  <r>
    <s v="445662"/>
    <x v="6"/>
    <s v="TVA - D_20"/>
    <s v="AC"/>
    <n v="14.4"/>
    <d v="2025-03-03T00:00:00"/>
    <s v="FILTRES EN FEUILLE ROTILABO"/>
    <m/>
    <e v="#N/A"/>
    <e v="#N/A"/>
    <n v="67831"/>
    <s v="4174396"/>
    <s v="ROTH SOCHIEL"/>
    <s v="Q1"/>
    <e v="#REF!"/>
    <e v="#REF!"/>
    <e v="#REF!"/>
  </r>
  <r>
    <s v="445662"/>
    <x v="6"/>
    <s v="TVA - D_20"/>
    <s v="AC"/>
    <n v="14.4"/>
    <d v="2025-12-08T00:00:00"/>
    <s v="FACTURE EXTRA BIÈRES 10 ANS PILI"/>
    <m/>
    <e v="#N/A"/>
    <e v="#N/A"/>
    <n v="92009"/>
    <s v="FACT-20251208-23397"/>
    <s v="Kymono"/>
    <s v="Q4"/>
    <e v="#REF!"/>
    <e v="#REF!"/>
    <e v="#REF!"/>
  </r>
  <r>
    <s v="445662"/>
    <x v="6"/>
    <s v="TVA - D_20"/>
    <s v="AC"/>
    <n v="14.77"/>
    <d v="2025-02-28T00:00:00"/>
    <s v="ALPHAGAZ 1 AZOTE BOUTEILLE SMARTOP 50L 200 BA"/>
    <m/>
    <e v="#N/A"/>
    <e v="#N/A"/>
    <n v="87004"/>
    <s v="5800405584"/>
    <s v="AIR LIQUIDE"/>
    <s v="Q1"/>
    <e v="#REF!"/>
    <e v="#REF!"/>
    <e v="#REF!"/>
  </r>
  <r>
    <s v="445662"/>
    <x v="6"/>
    <s v="TVA - D_20"/>
    <s v="AC"/>
    <n v="14.8"/>
    <d v="2025-01-31T00:00:00"/>
    <s v="AMPOULE À DÉCANTER GLASSCO GIL"/>
    <m/>
    <e v="#N/A"/>
    <e v="#N/A"/>
    <n v="64031"/>
    <s v="186494"/>
    <s v="CLOUP"/>
    <s v="Q1"/>
    <e v="#REF!"/>
    <e v="#REF!"/>
    <e v="#REF!"/>
  </r>
  <r>
    <s v="445662"/>
    <x v="6"/>
    <s v="TVA - D_20"/>
    <s v="AC"/>
    <n v="14.88"/>
    <d v="2025-12-31T00:00:00"/>
    <s v="LOCATION BOUTEILLE GAZ SPÉCIAUX SMART"/>
    <m/>
    <e v="#N/A"/>
    <e v="#N/A"/>
    <n v="94301"/>
    <s v="5801121469"/>
    <s v="AIR LIQUIDE"/>
    <s v="Q4"/>
    <e v="#REF!"/>
    <e v="#REF!"/>
    <e v="#REF!"/>
  </r>
  <r>
    <s v="445662"/>
    <x v="6"/>
    <s v="TVA - D_20"/>
    <s v="AC"/>
    <n v="14.92"/>
    <d v="2025-02-21T00:00:00"/>
    <s v="ELECTRICITÉ LYON"/>
    <m/>
    <e v="#N/A"/>
    <e v="#N/A"/>
    <n v="73692"/>
    <s v="4,20E+11"/>
    <s v="ENGIE"/>
    <s v="Q1"/>
    <e v="#REF!"/>
    <e v="#REF!"/>
    <e v="#REF!"/>
  </r>
  <r>
    <s v="445662"/>
    <x v="6"/>
    <s v="TVA - D_20"/>
    <s v="AC"/>
    <n v="14.94"/>
    <d v="2025-01-20T00:00:00"/>
    <s v="ENVOI KHI ARCHROMA"/>
    <m/>
    <e v="#N/A"/>
    <e v="#N/A"/>
    <n v="74173"/>
    <s v="TLSR003553874"/>
    <s v="DHL"/>
    <s v="Q1"/>
    <e v="#REF!"/>
    <e v="#REF!"/>
    <e v="#REF!"/>
  </r>
  <r>
    <s v="445662"/>
    <x v="6"/>
    <s v="TVA - D_20"/>
    <s v="AC"/>
    <n v="14.94"/>
    <d v="2025-11-28T00:00:00"/>
    <s v="FRAIS ET COMMISSIONS PRÉLEVÉS DU 01/11/2025 AU 28/11/2025"/>
    <m/>
    <e v="#N/A"/>
    <e v="#N/A"/>
    <n v="94279"/>
    <s v="25110000000000029581"/>
    <s v="Banque Populaire Rive de Paris"/>
    <s v="Q4"/>
    <e v="#REF!"/>
    <e v="#REF!"/>
    <e v="#REF!"/>
  </r>
  <r>
    <s v="445662"/>
    <x v="6"/>
    <s v="TVA - D_20"/>
    <s v="AC"/>
    <n v="15"/>
    <d v="2025-02-19T00:00:00"/>
    <s v="IMPRESSION CARTES DE VISITE BOB"/>
    <m/>
    <e v="#N/A"/>
    <e v="#N/A"/>
    <n v="61531"/>
    <s v="FL253741"/>
    <s v="GROUPE CHAUMEIL"/>
    <s v="Q1"/>
    <e v="#REF!"/>
    <e v="#REF!"/>
    <e v="#REF!"/>
  </r>
  <r>
    <s v="445662"/>
    <x v="6"/>
    <s v="TVA - D_20"/>
    <s v="AC"/>
    <n v="15"/>
    <d v="2025-07-02T00:00:00"/>
    <s v="COMMANDE ABSORBANT POUR LABO"/>
    <m/>
    <e v="#N/A"/>
    <e v="#N/A"/>
    <n v="78889"/>
    <s v="922055769"/>
    <s v="DENIOS"/>
    <s v="Q3"/>
    <e v="#REF!"/>
    <e v="#REF!"/>
    <e v="#REF!"/>
  </r>
  <r>
    <s v="445662"/>
    <x v="6"/>
    <s v="TVA - D_20"/>
    <s v="AC"/>
    <n v="15"/>
    <d v="2025-10-17T00:00:00"/>
    <s v="frais de gestion administrative"/>
    <s v="Non"/>
    <s v="Oui"/>
    <e v="#N/A"/>
    <n v="87402"/>
    <s v="254669"/>
    <s v="BECKER"/>
    <s v="Q4"/>
    <e v="#REF!"/>
    <e v="#REF!"/>
    <e v="#REF!"/>
  </r>
  <r>
    <s v="445662"/>
    <x v="6"/>
    <s v="TVA - D_20"/>
    <s v="AC"/>
    <n v="15.03"/>
    <d v="2025-04-12T00:00:00"/>
    <s v="CHEVILLES DE BOIS (POUR MONTAGE ÉTAGÈRE DES TOILETTES), TORCHONS, SERVIETTES, ÉPLUCHEUR"/>
    <m/>
    <e v="#N/A"/>
    <e v="#N/A"/>
    <n v="69790"/>
    <s v="525162-042025"/>
    <s v="LEROY MERLIN"/>
    <s v="Q2"/>
    <e v="#REF!"/>
    <e v="#REF!"/>
    <e v="#REF!"/>
  </r>
  <r>
    <s v="445662"/>
    <x v="6"/>
    <s v="TVA - D_20"/>
    <s v="AC"/>
    <n v="15.07"/>
    <d v="2025-03-18T00:00:00"/>
    <s v="ROULEAU ABSORBANT : 872-5710 5 COMBINAISONS 2XL BLANCHES : 242-5302 5 COMBINAISONS 2XL JAUNES : 248-6476"/>
    <m/>
    <e v="#N/A"/>
    <e v="#N/A"/>
    <n v="66028"/>
    <s v="486419727"/>
    <s v="RS COMPONENT"/>
    <s v="Q1"/>
    <e v="#REF!"/>
    <e v="#REF!"/>
    <e v="#REF!"/>
  </r>
  <r>
    <s v="445662"/>
    <x v="6"/>
    <s v="TVA - D_20"/>
    <s v="AC"/>
    <n v="15.36"/>
    <d v="2025-07-30T00:00:00"/>
    <s v="COMMANDE CONSOMMABLES LABO"/>
    <m/>
    <e v="#N/A"/>
    <e v="#N/A"/>
    <n v="81229"/>
    <s v="4067783340"/>
    <s v="VWR AVANTOR"/>
    <s v="Q3"/>
    <e v="#REF!"/>
    <e v="#REF!"/>
    <e v="#REF!"/>
  </r>
  <r>
    <s v="445662"/>
    <x v="6"/>
    <s v="TVA - D_20"/>
    <s v="AC"/>
    <n v="15.4"/>
    <d v="2025-07-31T00:00:00"/>
    <s v="EAU POUR HPLC KEENY"/>
    <m/>
    <e v="#N/A"/>
    <e v="#N/A"/>
    <n v="92974"/>
    <s v="4181060"/>
    <s v="ROTH SOCHIEL"/>
    <s v="Q3"/>
    <e v="#REF!"/>
    <e v="#REF!"/>
    <e v="#REF!"/>
  </r>
  <r>
    <s v="445662"/>
    <x v="6"/>
    <s v="TVA - D_20"/>
    <s v="AC"/>
    <n v="15.64"/>
    <d v="2025-05-30T00:00:00"/>
    <s v="&quot;GLYCEROL _x0009_ ETHYLENE GLYCOL_x0009_ 1,3-PROPANEDIOL_x0009_ CALCIUM CHLORIDE ANHYDROUS_x0009_ SODIUM SULFITE&quot;"/>
    <m/>
    <e v="#N/A"/>
    <e v="#N/A"/>
    <n v="75983"/>
    <s v="4178669"/>
    <s v="ROTH SOCHIEL"/>
    <s v="Q2"/>
    <e v="#REF!"/>
    <e v="#REF!"/>
    <e v="#REF!"/>
  </r>
  <r>
    <s v="445662"/>
    <x v="6"/>
    <s v="TVA - D_20"/>
    <s v="AC"/>
    <n v="15.65"/>
    <d v="2025-04-22T00:00:00"/>
    <s v="COMMANDE PRODUIT LABO"/>
    <m/>
    <e v="#N/A"/>
    <e v="#N/A"/>
    <n v="71330"/>
    <s v="4067701172"/>
    <s v="VWR AVANTOR"/>
    <s v="Q2"/>
    <e v="#REF!"/>
    <e v="#REF!"/>
    <e v="#REF!"/>
  </r>
  <r>
    <s v="445662"/>
    <x v="6"/>
    <s v="TVA - D_20"/>
    <s v="AC"/>
    <n v="16"/>
    <d v="2025-10-31T00:00:00"/>
    <s v="JOURNÉE TECHNIQUE : SÉPARATIONS SOLIDE / LIQUIDE"/>
    <m/>
    <s v="Non"/>
    <s v="Oui"/>
    <n v="91398"/>
    <s v="M156506189"/>
    <s v="AXELERA"/>
    <s v="Q4"/>
    <e v="#REF!"/>
    <e v="#REF!"/>
    <e v="#REF!"/>
  </r>
  <r>
    <s v="445662"/>
    <x v="6"/>
    <s v="TVA - D_20"/>
    <s v="AC"/>
    <n v="16.149999999999999"/>
    <d v="2025-02-03T00:00:00"/>
    <s v="SODIUM HYDROXYDE EN SOLUTION"/>
    <m/>
    <e v="#N/A"/>
    <e v="#N/A"/>
    <n v="64073"/>
    <s v="4067628880"/>
    <s v="VWR AVANTOR"/>
    <s v="Q1"/>
    <e v="#REF!"/>
    <e v="#REF!"/>
    <e v="#REF!"/>
  </r>
  <r>
    <s v="445662"/>
    <x v="6"/>
    <s v="TVA - D_20"/>
    <s v="AC"/>
    <n v="16.18"/>
    <d v="2025-03-21T00:00:00"/>
    <s v="ELECTRICITE LYON"/>
    <m/>
    <e v="#N/A"/>
    <e v="#N/A"/>
    <n v="72564"/>
    <s v="5,20E+11"/>
    <s v="ENGIE"/>
    <s v="Q1"/>
    <e v="#REF!"/>
    <e v="#REF!"/>
    <e v="#REF!"/>
  </r>
  <r>
    <s v="445662"/>
    <x v="6"/>
    <s v="TVA - D_20"/>
    <s v="AC"/>
    <n v="16.28"/>
    <d v="2025-01-31T00:00:00"/>
    <s v="ENVOI TAROS"/>
    <m/>
    <e v="#N/A"/>
    <e v="#N/A"/>
    <n v="74182"/>
    <s v="TLSR003585605"/>
    <s v="DHL"/>
    <s v="Q1"/>
    <e v="#REF!"/>
    <e v="#REF!"/>
    <e v="#REF!"/>
  </r>
  <r>
    <s v="445662"/>
    <x v="6"/>
    <s v="TVA - D_20"/>
    <s v="AC"/>
    <n v="16.62"/>
    <d v="2025-09-09T00:00:00"/>
    <s v="REVÊTEMENT SERVANTES"/>
    <m/>
    <e v="#N/A"/>
    <e v="#N/A"/>
    <n v="82975"/>
    <s v="1670"/>
    <s v="RAPTOR FRANCE"/>
    <s v="Q3"/>
    <e v="#REF!"/>
    <e v="#REF!"/>
    <e v="#REF!"/>
  </r>
  <r>
    <s v="445662"/>
    <x v="6"/>
    <s v="TVA - D_20"/>
    <s v="AC"/>
    <n v="16.96"/>
    <d v="2025-04-08T00:00:00"/>
    <s v="COMMANDE PRODUIT LABO"/>
    <m/>
    <e v="#N/A"/>
    <e v="#N/A"/>
    <n v="69740"/>
    <s v="4067690317"/>
    <s v="VWR AVANTOR"/>
    <s v="Q2"/>
    <e v="#REF!"/>
    <e v="#REF!"/>
    <e v="#REF!"/>
  </r>
  <r>
    <s v="445662"/>
    <x v="6"/>
    <s v="TVA - D_20"/>
    <s v="AC"/>
    <n v="17"/>
    <d v="2025-06-03T00:00:00"/>
    <s v="COMMANDE PRODUIT POUR LABO"/>
    <m/>
    <e v="#N/A"/>
    <e v="#N/A"/>
    <n v="76104"/>
    <s v="4067736064"/>
    <s v="VWR AVANTOR"/>
    <s v="Q2"/>
    <e v="#REF!"/>
    <e v="#REF!"/>
    <e v="#REF!"/>
  </r>
  <r>
    <s v="445662"/>
    <x v="6"/>
    <s v="TVA - D_20"/>
    <s v="AC"/>
    <n v="17.16"/>
    <d v="2025-06-20T00:00:00"/>
    <s v="COMMANDE DE ROUSSILLON : BESOIN DE MATÉRIEL SUPPLÉMENTAIRE (CAHIERS, CARTOUCHES, RUBAN, CLÉ USB) - CONTACT MARIE REZEAU - TEAMS"/>
    <m/>
    <e v="#N/A"/>
    <e v="#N/A"/>
    <n v="82161"/>
    <s v="1"/>
    <s v="BRUNEAU"/>
    <s v="Q2"/>
    <e v="#REF!"/>
    <e v="#REF!"/>
    <e v="#REF!"/>
  </r>
  <r>
    <s v="445662"/>
    <x v="6"/>
    <s v="TVA - D_20"/>
    <s v="AC"/>
    <n v="17.45"/>
    <d v="2025-09-05T00:00:00"/>
    <s v="SOLVANT LABO"/>
    <m/>
    <e v="#N/A"/>
    <e v="#N/A"/>
    <n v="82326"/>
    <s v="4067811318"/>
    <s v="VWR AVANTOR"/>
    <s v="Q3"/>
    <e v="#REF!"/>
    <e v="#REF!"/>
    <e v="#REF!"/>
  </r>
  <r>
    <s v="445662"/>
    <x v="6"/>
    <s v="TVA - D_20"/>
    <s v="AC"/>
    <n v="17.579999999999998"/>
    <d v="2025-05-28T00:00:00"/>
    <s v="COMMANDE SOLVANT LABO"/>
    <m/>
    <e v="#N/A"/>
    <e v="#N/A"/>
    <n v="75978"/>
    <s v="4067731075"/>
    <s v="VWR AVANTOR"/>
    <s v="Q2"/>
    <e v="#REF!"/>
    <e v="#REF!"/>
    <e v="#REF!"/>
  </r>
  <r>
    <s v="445662"/>
    <x v="6"/>
    <s v="TVA - D_20"/>
    <s v="AC"/>
    <n v="17.75"/>
    <d v="2025-03-17T00:00:00"/>
    <s v="ROULEAU ABSORBANT : 872-5710 5 COMBINAISONS 2XL BLANCHES : 242-5302 5 COMBINAISONS 2XL JAUNES : 248-6476"/>
    <m/>
    <e v="#N/A"/>
    <e v="#N/A"/>
    <n v="66062"/>
    <s v="486410243"/>
    <s v="RS COMPONENT"/>
    <s v="Q1"/>
    <e v="#REF!"/>
    <e v="#REF!"/>
    <e v="#REF!"/>
  </r>
  <r>
    <s v="445662"/>
    <x v="6"/>
    <s v="TVA - D_20"/>
    <s v="AC"/>
    <n v="17.8"/>
    <d v="2025-12-11T00:00:00"/>
    <s v="BOULES À THÉ, ESSUIE-TOUT, PAPIER TOILETTE, PETITS CAHIERS, POCHETTES PLASTIQUES"/>
    <m/>
    <e v="#N/A"/>
    <e v="#N/A"/>
    <n v="93959"/>
    <s v="26.762.569"/>
    <s v="BRUNEAU"/>
    <s v="Q4"/>
    <e v="#REF!"/>
    <e v="#REF!"/>
    <e v="#REF!"/>
  </r>
  <r>
    <s v="445662"/>
    <x v="6"/>
    <s v="TVA - D_20"/>
    <s v="AC"/>
    <n v="17.86"/>
    <d v="2025-04-14T00:00:00"/>
    <s v="ENVOI NATURAMOLE ET INSA ROUEN"/>
    <m/>
    <e v="#N/A"/>
    <e v="#N/A"/>
    <n v="74224"/>
    <s v="TLSR003721635"/>
    <s v="DHL"/>
    <s v="Q2"/>
    <e v="#REF!"/>
    <e v="#REF!"/>
    <e v="#REF!"/>
  </r>
  <r>
    <s v="445662"/>
    <x v="6"/>
    <s v="TVA - D_20"/>
    <s v="AC"/>
    <n v="17.899999999999999"/>
    <d v="2025-09-19T00:00:00"/>
    <s v="CONSOMMABLE LABO"/>
    <m/>
    <e v="#N/A"/>
    <e v="#N/A"/>
    <n v="85131"/>
    <s v="4067821368"/>
    <s v="VWR AVANTOR"/>
    <s v="Q3"/>
    <e v="#REF!"/>
    <e v="#REF!"/>
    <e v="#REF!"/>
  </r>
  <r>
    <s v="445662"/>
    <x v="6"/>
    <s v="TVA - D_20"/>
    <s v="AC"/>
    <n v="17.940000000000001"/>
    <d v="2025-04-28T00:00:00"/>
    <s v="DMSO"/>
    <m/>
    <e v="#N/A"/>
    <e v="#N/A"/>
    <n v="72617"/>
    <s v="FA032223"/>
    <s v="ARCANE INDUSTRIE"/>
    <s v="Q2"/>
    <e v="#REF!"/>
    <e v="#REF!"/>
    <e v="#REF!"/>
  </r>
  <r>
    <s v="445662"/>
    <x v="6"/>
    <s v="TVA - D_20"/>
    <s v="AC"/>
    <n v="18"/>
    <d v="2025-01-09T00:00:00"/>
    <s v="HÉBERGEMENT 2025_01"/>
    <m/>
    <e v="#N/A"/>
    <e v="#N/A"/>
    <n v="71271"/>
    <s v="20250117479"/>
    <s v="DATACAMPUS"/>
    <s v="Q1"/>
    <e v="#REF!"/>
    <e v="#REF!"/>
    <e v="#REF!"/>
  </r>
  <r>
    <s v="445662"/>
    <x v="6"/>
    <s v="TVA - D_20"/>
    <s v="AC"/>
    <n v="18"/>
    <d v="2025-02-09T00:00:00"/>
    <s v="HÉBERGEMENT PILI 2025_02"/>
    <m/>
    <e v="#N/A"/>
    <e v="#N/A"/>
    <n v="71283"/>
    <s v="20250217801"/>
    <s v="DATACAMPUS"/>
    <s v="Q1"/>
    <e v="#REF!"/>
    <e v="#REF!"/>
    <e v="#REF!"/>
  </r>
  <r>
    <s v="445662"/>
    <x v="6"/>
    <s v="TVA - D_20"/>
    <s v="AC"/>
    <n v="18"/>
    <d v="2025-03-09T00:00:00"/>
    <s v="HÉBERGEMENT 2025_03"/>
    <m/>
    <e v="#N/A"/>
    <e v="#N/A"/>
    <n v="71288"/>
    <s v="20250318101"/>
    <s v="DATACAMPUS"/>
    <s v="Q1"/>
    <e v="#REF!"/>
    <e v="#REF!"/>
    <e v="#REF!"/>
  </r>
  <r>
    <s v="445662"/>
    <x v="6"/>
    <s v="TVA - D_20"/>
    <s v="AC"/>
    <n v="18"/>
    <d v="2025-04-09T00:00:00"/>
    <s v="HÉBERGEMENT SITE PILI"/>
    <m/>
    <e v="#N/A"/>
    <e v="#N/A"/>
    <n v="69754"/>
    <s v="20250418401"/>
    <s v="DATACAMPUS"/>
    <s v="Q2"/>
    <e v="#REF!"/>
    <e v="#REF!"/>
    <e v="#REF!"/>
  </r>
  <r>
    <s v="445662"/>
    <x v="6"/>
    <s v="TVA - D_20"/>
    <s v="AC"/>
    <n v="18"/>
    <d v="2025-05-09T00:00:00"/>
    <s v="HÉBERGEMENT 2025_05"/>
    <m/>
    <e v="#N/A"/>
    <e v="#N/A"/>
    <n v="72706"/>
    <s v="20250518691"/>
    <s v="DATACAMPUS"/>
    <s v="Q2"/>
    <e v="#REF!"/>
    <e v="#REF!"/>
    <e v="#REF!"/>
  </r>
  <r>
    <s v="445662"/>
    <x v="6"/>
    <s v="TVA - D_20"/>
    <s v="AC"/>
    <n v="18"/>
    <d v="2025-06-09T00:00:00"/>
    <s v="HÉBERGEMENT SITE PILI  2025_05"/>
    <m/>
    <e v="#N/A"/>
    <e v="#N/A"/>
    <n v="76202"/>
    <s v="20250618994"/>
    <s v="DATACAMPUS"/>
    <s v="Q2"/>
    <e v="#REF!"/>
    <e v="#REF!"/>
    <e v="#REF!"/>
  </r>
  <r>
    <s v="445662"/>
    <x v="6"/>
    <s v="TVA - D_20"/>
    <s v="AC"/>
    <n v="18"/>
    <d v="2025-07-09T00:00:00"/>
    <s v="COMPTE #2706: SERVEURS DÉDIÉS - VPS SSD IM 2023.1 - PILI-VT-PROD-LAMP01"/>
    <m/>
    <e v="#N/A"/>
    <e v="#N/A"/>
    <n v="78800"/>
    <s v="20250719313"/>
    <s v="DATACAMPUS"/>
    <s v="Q3"/>
    <e v="#REF!"/>
    <e v="#REF!"/>
    <e v="#REF!"/>
  </r>
  <r>
    <s v="445662"/>
    <x v="6"/>
    <s v="TVA - D_20"/>
    <s v="AC"/>
    <n v="18"/>
    <d v="2025-08-09T00:00:00"/>
    <s v="COMPTE #2706: SERVEURS DÉDIÉS - VPS SSD IM 2023.1 - PILI-VT-PROD-LAMP01"/>
    <m/>
    <e v="#N/A"/>
    <e v="#N/A"/>
    <n v="82240"/>
    <s v="20250819568"/>
    <s v="DATACAMPUS"/>
    <s v="Q3"/>
    <e v="#REF!"/>
    <e v="#REF!"/>
    <e v="#REF!"/>
  </r>
  <r>
    <s v="445662"/>
    <x v="6"/>
    <s v="TVA - D_20"/>
    <s v="AC"/>
    <n v="18"/>
    <d v="2025-09-09T00:00:00"/>
    <s v="COMPTE #2706: SERVEURS DÉDIÉS - VPS SSD IM 2023.1 - PILI-VT-PROD-LAMP01"/>
    <m/>
    <e v="#N/A"/>
    <e v="#N/A"/>
    <n v="81907"/>
    <s v="20250919793"/>
    <s v="DATACAMPUS"/>
    <s v="Q3"/>
    <e v="#REF!"/>
    <e v="#REF!"/>
    <e v="#REF!"/>
  </r>
  <r>
    <s v="445662"/>
    <x v="6"/>
    <s v="TVA - D_20"/>
    <s v="AC"/>
    <n v="18"/>
    <d v="2025-10-09T00:00:00"/>
    <s v="COMPTE #2706: SERVEURS DÉDIÉS - VPS SSD IM 2023.1 - PILI-VT-PROD-LAMP01"/>
    <m/>
    <e v="#N/A"/>
    <e v="#N/A"/>
    <n v="84999"/>
    <s v="20251020049"/>
    <s v="DATACAMPUS"/>
    <s v="Q4"/>
    <e v="#REF!"/>
    <e v="#REF!"/>
    <e v="#REF!"/>
  </r>
  <r>
    <s v="445662"/>
    <x v="6"/>
    <s v="TVA - D_20"/>
    <s v="AC"/>
    <n v="18"/>
    <d v="2025-11-09T00:00:00"/>
    <s v="COMPTE #2706: SERVEURS DÉDIÉS - VPS SSD IM 2023.1 - PILI-VT-PROD-LAMP01"/>
    <m/>
    <e v="#N/A"/>
    <e v="#N/A"/>
    <n v="89671"/>
    <s v="20251120290"/>
    <s v="DATACAMPUS"/>
    <s v="Q4"/>
    <e v="#REF!"/>
    <e v="#REF!"/>
    <e v="#REF!"/>
  </r>
  <r>
    <s v="445662"/>
    <x v="6"/>
    <s v="TVA - D_20"/>
    <s v="AC"/>
    <n v="18"/>
    <d v="2025-12-09T00:00:00"/>
    <s v="COMPTE #2706: SERVEURS DÉDIÉS - VPS SSD IM 2023.1 - PILI-VT-PROD-LAMP01"/>
    <m/>
    <e v="#N/A"/>
    <e v="#N/A"/>
    <n v="92017"/>
    <s v="20251220548"/>
    <s v="DATACAMPUS"/>
    <s v="Q4"/>
    <e v="#REF!"/>
    <e v="#REF!"/>
    <e v="#REF!"/>
  </r>
  <r>
    <s v="445662"/>
    <x v="6"/>
    <s v="TVA - D_20"/>
    <s v="AC"/>
    <n v="18.13"/>
    <d v="2025-08-21T00:00:00"/>
    <s v="FOURNITURES DE BUREAU (STOCK DE BASE)"/>
    <m/>
    <e v="#N/A"/>
    <e v="#N/A"/>
    <n v="82208"/>
    <s v="26.322.946"/>
    <s v="BRUNEAU"/>
    <s v="Q3"/>
    <e v="#REF!"/>
    <e v="#REF!"/>
    <e v="#REF!"/>
  </r>
  <r>
    <s v="445662"/>
    <x v="6"/>
    <s v="TVA - D_20"/>
    <s v="AC"/>
    <n v="18.399999999999999"/>
    <d v="2025-12-05T00:00:00"/>
    <s v="CONSOMMABLE LABO"/>
    <m/>
    <e v="#N/A"/>
    <e v="#N/A"/>
    <n v="92989"/>
    <s v="4067892756"/>
    <s v="VWR AVANTOR"/>
    <s v="Q4"/>
    <e v="#REF!"/>
    <e v="#REF!"/>
    <e v="#REF!"/>
  </r>
  <r>
    <s v="445662"/>
    <x v="6"/>
    <s v="TVA - D_20"/>
    <s v="AC"/>
    <n v="18.420000000000002"/>
    <d v="2025-05-19T00:00:00"/>
    <s v="PRODUITS POUR VBIO ET V2020 AMINOIMINOMETHANESULFINIC ACID IRON II SULFATE HEPTAHYDRATE"/>
    <m/>
    <e v="#N/A"/>
    <e v="#N/A"/>
    <n v="75954"/>
    <s v="8053478579"/>
    <s v="Sigma-Aldrich chimie"/>
    <s v="Q2"/>
    <e v="#REF!"/>
    <e v="#REF!"/>
    <e v="#REF!"/>
  </r>
  <r>
    <s v="445662"/>
    <x v="6"/>
    <s v="TVA - D_20"/>
    <s v="AC"/>
    <n v="18.43"/>
    <d v="2025-07-30T00:00:00"/>
    <s v="COMMANDE CONSOMMABLES LABO"/>
    <m/>
    <e v="#N/A"/>
    <e v="#N/A"/>
    <n v="81226"/>
    <s v="4067783341"/>
    <s v="VWR AVANTOR"/>
    <s v="Q3"/>
    <e v="#REF!"/>
    <e v="#REF!"/>
    <e v="#REF!"/>
  </r>
  <r>
    <s v="445662"/>
    <x v="6"/>
    <s v="TVA - D_20"/>
    <s v="AC"/>
    <n v="18.510000000000002"/>
    <d v="2025-02-22T00:00:00"/>
    <s v="FACTURE RÉCEPTION RÉCURRENTE D'EAU - SITE ROUSSILLON"/>
    <m/>
    <e v="#N/A"/>
    <e v="#N/A"/>
    <n v="61549"/>
    <s v="151"/>
    <s v="CHATEAUDEAU"/>
    <s v="Q1"/>
    <e v="#REF!"/>
    <e v="#REF!"/>
    <e v="#REF!"/>
  </r>
  <r>
    <s v="445662"/>
    <x v="6"/>
    <s v="TVA - D_20"/>
    <s v="AC"/>
    <n v="18.600000000000001"/>
    <d v="2025-07-31T00:00:00"/>
    <s v="MÉDECINE DU TRAVAIL"/>
    <m/>
    <e v="#N/A"/>
    <e v="#N/A"/>
    <n v="80659"/>
    <s v="25042280"/>
    <s v="PREVALY"/>
    <s v="Q3"/>
    <e v="#REF!"/>
    <e v="#REF!"/>
    <e v="#REF!"/>
  </r>
  <r>
    <s v="445662"/>
    <x v="6"/>
    <s v="TVA - D_20"/>
    <s v="AC"/>
    <n v="18.600000000000001"/>
    <d v="2025-09-30T00:00:00"/>
    <s v="COTISATION ANNUELLE"/>
    <m/>
    <e v="#N/A"/>
    <e v="#N/A"/>
    <n v="82781"/>
    <s v="25048482"/>
    <s v="PREVALY"/>
    <s v="Q3"/>
    <e v="#REF!"/>
    <e v="#REF!"/>
    <e v="#REF!"/>
  </r>
  <r>
    <s v="445662"/>
    <x v="6"/>
    <s v="TVA - D_20"/>
    <s v="AC"/>
    <n v="18.64"/>
    <d v="2025-07-10T00:00:00"/>
    <s v="CRÉATION ARRIVÉE D'AIR ENTRÉE BÂTIMENT (POMPE DÉCHETS + KL + LABORATOIRE) + CHANGEMENT FILTRE ARRIVÉE PILOTE"/>
    <m/>
    <e v="#N/A"/>
    <e v="#N/A"/>
    <n v="80870"/>
    <s v="487019486"/>
    <s v="RS COMPONENT"/>
    <s v="Q3"/>
    <e v="#REF!"/>
    <e v="#REF!"/>
    <e v="#REF!"/>
  </r>
  <r>
    <s v="445662"/>
    <x v="6"/>
    <s v="TVA - D_20"/>
    <s v="AC"/>
    <n v="18.8"/>
    <d v="2025-04-08T00:00:00"/>
    <s v="ROULEAU ABSORBANT ET SURCHAUSSURE"/>
    <m/>
    <e v="#N/A"/>
    <e v="#N/A"/>
    <n v="69743"/>
    <s v="922050413"/>
    <s v="DENIOS"/>
    <s v="Q2"/>
    <e v="#REF!"/>
    <e v="#REF!"/>
    <e v="#REF!"/>
  </r>
  <r>
    <s v="445662"/>
    <x v="6"/>
    <s v="TVA - D_20"/>
    <s v="AC"/>
    <n v="18.84"/>
    <d v="2025-12-18T00:00:00"/>
    <s v="PRODUIT KEENABIS"/>
    <m/>
    <e v="#N/A"/>
    <e v="#N/A"/>
    <n v="93013"/>
    <s v="4067903482"/>
    <s v="VWR AVANTOR"/>
    <s v="Q4"/>
    <e v="#REF!"/>
    <e v="#REF!"/>
    <e v="#REF!"/>
  </r>
  <r>
    <s v="445662"/>
    <x v="6"/>
    <s v="TVA - D_20"/>
    <s v="AC"/>
    <n v="18.850000000000001"/>
    <d v="2025-05-31T00:00:00"/>
    <s v="DHL EXPRESS"/>
    <m/>
    <e v="#N/A"/>
    <e v="#N/A"/>
    <n v="75181"/>
    <s v="TLSR003823467"/>
    <s v="DHL"/>
    <s v="Q2"/>
    <e v="#REF!"/>
    <e v="#REF!"/>
    <e v="#REF!"/>
  </r>
  <r>
    <s v="445662"/>
    <x v="6"/>
    <s v="TVA - D_20"/>
    <s v="AC"/>
    <n v="18.88"/>
    <d v="2025-01-31T00:00:00"/>
    <s v="LOCATION BOUTEILLE GAZ SPÉCIAUX SMART"/>
    <m/>
    <e v="#N/A"/>
    <e v="#N/A"/>
    <n v="86998"/>
    <s v="5800327193"/>
    <s v="AIR LIQUIDE"/>
    <s v="Q1"/>
    <e v="#REF!"/>
    <e v="#REF!"/>
    <e v="#REF!"/>
  </r>
  <r>
    <s v="445662"/>
    <x v="6"/>
    <s v="TVA - D_20"/>
    <s v="AC"/>
    <n v="18.88"/>
    <d v="2025-02-28T00:00:00"/>
    <s v="LOCATION BOUTEILLE GAZ SPÉCIAUX SMART"/>
    <m/>
    <e v="#N/A"/>
    <e v="#N/A"/>
    <n v="87010"/>
    <s v="5800405617"/>
    <s v="AIR LIQUIDE"/>
    <s v="Q1"/>
    <e v="#REF!"/>
    <e v="#REF!"/>
    <e v="#REF!"/>
  </r>
  <r>
    <s v="445662"/>
    <x v="6"/>
    <s v="TVA - D_20"/>
    <s v="AC"/>
    <n v="18.88"/>
    <d v="2025-03-31T00:00:00"/>
    <s v="MMOBILISATION BOUTEILLE GAZ SPÉCIAUX SMART"/>
    <m/>
    <e v="#N/A"/>
    <e v="#N/A"/>
    <n v="67908"/>
    <s v="5800479141"/>
    <s v="AIR LIQUIDE"/>
    <s v="Q1"/>
    <e v="#REF!"/>
    <e v="#REF!"/>
    <e v="#REF!"/>
  </r>
  <r>
    <s v="445662"/>
    <x v="6"/>
    <s v="TVA - D_20"/>
    <s v="AC"/>
    <n v="18.88"/>
    <d v="2025-04-30T00:00:00"/>
    <s v="IMMOBILISATION BOUTEILLE GAZ SPÉCIAUX SMART LOCATION BOUTEILLE GAZ SPÉCIAUX SMART"/>
    <m/>
    <e v="#N/A"/>
    <e v="#N/A"/>
    <n v="72642"/>
    <s v="5800552847"/>
    <s v="AIR LIQUIDE"/>
    <s v="Q2"/>
    <e v="#REF!"/>
    <e v="#REF!"/>
    <e v="#REF!"/>
  </r>
  <r>
    <s v="445662"/>
    <x v="6"/>
    <s v="TVA - D_20"/>
    <s v="AC"/>
    <n v="18.96"/>
    <d v="2025-11-17T00:00:00"/>
    <s v="EXPRESS WORLDWIDE EU"/>
    <m/>
    <e v="#N/A"/>
    <e v="#N/A"/>
    <n v="91060"/>
    <s v="TLSR004193764"/>
    <s v="DHL"/>
    <s v="Q4"/>
    <e v="#REF!"/>
    <e v="#REF!"/>
    <e v="#REF!"/>
  </r>
  <r>
    <s v="445662"/>
    <x v="6"/>
    <s v="TVA - D_20"/>
    <s v="AC"/>
    <n v="19.059999999999999"/>
    <d v="2025-03-25T00:00:00"/>
    <s v="AFFICHAGE MAGNÉTIQUE SALLE DE PAUSE (KPI) CÂBLE ROTAVAP"/>
    <m/>
    <e v="#N/A"/>
    <e v="#N/A"/>
    <n v="66107"/>
    <s v="70"/>
    <s v="MANUTAN"/>
    <s v="Q1"/>
    <e v="#REF!"/>
    <e v="#REF!"/>
    <e v="#REF!"/>
  </r>
  <r>
    <s v="445662"/>
    <x v="6"/>
    <s v="TVA - D_20"/>
    <s v="AC"/>
    <n v="19.420000000000002"/>
    <d v="2025-09-18T00:00:00"/>
    <s v="PAPIER TOILETTE, LESSIVE (POUR MACHINE 7ÈME), LIQUIDE VAISSELLE, ÉPONGES, ESSUIE-TOUT"/>
    <m/>
    <e v="#N/A"/>
    <e v="#N/A"/>
    <n v="83014"/>
    <s v="26.427.240"/>
    <s v="BRUNEAU"/>
    <s v="Q3"/>
    <e v="#REF!"/>
    <e v="#REF!"/>
    <e v="#REF!"/>
  </r>
  <r>
    <s v="445662"/>
    <x v="6"/>
    <s v="TVA - D_20"/>
    <s v="AC"/>
    <n v="19.5"/>
    <d v="2025-04-03T00:00:00"/>
    <s v="FLOCAGE VÊTEMENTS DE TRAVAIL"/>
    <m/>
    <e v="#N/A"/>
    <e v="#N/A"/>
    <n v="69707"/>
    <s v="2504003"/>
    <s v="RUF POSEUR D'EMPREINTES"/>
    <s v="Q2"/>
    <e v="#REF!"/>
    <e v="#REF!"/>
    <e v="#REF!"/>
  </r>
  <r>
    <s v="445662"/>
    <x v="6"/>
    <s v="TVA - D_20"/>
    <s v="AC"/>
    <n v="19.600000000000001"/>
    <d v="2025-04-02T00:00:00"/>
    <s v="IMPRESSION CDV PYB"/>
    <m/>
    <e v="#N/A"/>
    <e v="#N/A"/>
    <n v="69694"/>
    <s v="FL254906"/>
    <s v="GROUPE CHAUMEIL"/>
    <s v="Q2"/>
    <e v="#REF!"/>
    <e v="#REF!"/>
    <e v="#REF!"/>
  </r>
  <r>
    <s v="445662"/>
    <x v="6"/>
    <s v="TVA - D_20"/>
    <s v="AC"/>
    <n v="19.670000000000002"/>
    <d v="2025-05-20T00:00:00"/>
    <s v="COMMANDE PRODUIT LABO"/>
    <m/>
    <e v="#N/A"/>
    <e v="#N/A"/>
    <n v="74443"/>
    <s v="4067724454"/>
    <s v="VWR AVANTOR"/>
    <s v="Q2"/>
    <e v="#REF!"/>
    <e v="#REF!"/>
    <e v="#REF!"/>
  </r>
  <r>
    <s v="445662"/>
    <x v="6"/>
    <s v="TVA - D_20"/>
    <s v="AC"/>
    <n v="19.8"/>
    <d v="2025-11-04T00:00:00"/>
    <s v="FRAIS CLOSD"/>
    <s v="Non"/>
    <s v="Non"/>
    <e v="#N/A"/>
    <n v="89924"/>
    <s v="C2025991"/>
    <s v="ALTAIR AVOCATS"/>
    <s v="Q4"/>
    <e v="#REF!"/>
    <e v="#REF!"/>
    <e v="#REF!"/>
  </r>
  <r>
    <s v="445662"/>
    <x v="6"/>
    <s v="TVA - D_20"/>
    <s v="AC"/>
    <n v="19.899999999999999"/>
    <d v="2025-11-18T00:00:00"/>
    <s v="SODIUM HYDROSULFITE POUR VEG EXTRA"/>
    <m/>
    <e v="#N/A"/>
    <e v="#N/A"/>
    <n v="91461"/>
    <s v="2000126585"/>
    <s v="MONDROGUISTE"/>
    <s v="Q4"/>
    <e v="#REF!"/>
    <e v="#REF!"/>
    <e v="#REF!"/>
  </r>
  <r>
    <s v="445662"/>
    <x v="6"/>
    <s v="TVA - D_20"/>
    <s v="AC"/>
    <n v="20"/>
    <d v="2025-02-09T00:00:00"/>
    <s v="ECRAN THIBAULT ROUSSILLON - NOUVEAU COLLAB (RUPTURE DE STOCK DE L'ANCIEN MODÈLE, DARTY AVAIT REMBOURSÉ)"/>
    <m/>
    <e v="#N/A"/>
    <e v="#N/A"/>
    <n v="61439"/>
    <s v="110"/>
    <s v="DARTY"/>
    <s v="Q1"/>
    <e v="#REF!"/>
    <e v="#REF!"/>
    <e v="#REF!"/>
  </r>
  <r>
    <s v="445662"/>
    <x v="6"/>
    <s v="TVA - D_20"/>
    <s v="AC"/>
    <n v="20"/>
    <d v="2025-05-03T00:00:00"/>
    <s v="AGENTS DE FILTRATIONS POUR VBIO"/>
    <m/>
    <e v="#N/A"/>
    <e v="#N/A"/>
    <n v="73762"/>
    <s v="8053470420"/>
    <s v="Sigma-Aldrich chimie"/>
    <s v="Q2"/>
    <e v="#REF!"/>
    <e v="#REF!"/>
    <e v="#REF!"/>
  </r>
  <r>
    <s v="445662"/>
    <x v="6"/>
    <s v="TVA - D_20"/>
    <s v="AC"/>
    <n v="20.059999999999999"/>
    <d v="2025-03-04T00:00:00"/>
    <s v="AMMONIUM HYDROXIDE"/>
    <m/>
    <e v="#N/A"/>
    <e v="#N/A"/>
    <n v="66094"/>
    <s v="4067656491"/>
    <s v="VWR AVANTOR"/>
    <s v="Q1"/>
    <e v="#REF!"/>
    <e v="#REF!"/>
    <e v="#REF!"/>
  </r>
  <r>
    <s v="445662"/>
    <x v="6"/>
    <s v="TVA - D_20"/>
    <s v="AC"/>
    <n v="20.309999999999999"/>
    <d v="2025-06-30T00:00:00"/>
    <s v="COMMANDE CONSOMMABLE LABO"/>
    <m/>
    <e v="#N/A"/>
    <e v="#N/A"/>
    <n v="77301"/>
    <s v="4067758784"/>
    <s v="VWR AVANTOR"/>
    <s v="Q2"/>
    <e v="#REF!"/>
    <e v="#REF!"/>
    <e v="#REF!"/>
  </r>
  <r>
    <s v="445662"/>
    <x v="6"/>
    <s v="TVA - D_20"/>
    <s v="AC"/>
    <n v="20.420000000000002"/>
    <d v="2025-02-20T00:00:00"/>
    <s v="SODIUM HYDROXIDE, PELLETS, 98%"/>
    <m/>
    <e v="#N/A"/>
    <e v="#N/A"/>
    <n v="64109"/>
    <s v="4067644636"/>
    <s v="VWR AVANTOR"/>
    <s v="Q1"/>
    <e v="#REF!"/>
    <e v="#REF!"/>
    <e v="#REF!"/>
  </r>
  <r>
    <s v="445662"/>
    <x v="6"/>
    <s v="TVA - D_20"/>
    <s v="AC"/>
    <n v="20.43"/>
    <d v="2025-01-07T00:00:00"/>
    <s v="POMPE DE PRÉLÈVEMENT D'ÉCHANTILLONS"/>
    <m/>
    <e v="#N/A"/>
    <e v="#N/A"/>
    <n v="59856"/>
    <s v="4171344"/>
    <s v="ROTH SOCHIEL"/>
    <s v="Q1"/>
    <e v="#REF!"/>
    <e v="#REF!"/>
    <e v="#REF!"/>
  </r>
  <r>
    <s v="445662"/>
    <x v="6"/>
    <s v="TVA - D_20"/>
    <s v="AC"/>
    <n v="20.440000000000001"/>
    <d v="2025-04-21T00:00:00"/>
    <s v="EXPRESS 9:00 DOC"/>
    <m/>
    <e v="#N/A"/>
    <e v="#N/A"/>
    <n v="69829"/>
    <s v="TLSR003732984"/>
    <s v="DHL"/>
    <s v="Q2"/>
    <e v="#REF!"/>
    <e v="#REF!"/>
    <e v="#REF!"/>
  </r>
  <r>
    <s v="445662"/>
    <x v="6"/>
    <s v="TVA - D_20"/>
    <s v="AC"/>
    <n v="20.68"/>
    <d v="2025-07-17T00:00:00"/>
    <s v="COMMANDE PRODUITS LABO"/>
    <m/>
    <e v="#N/A"/>
    <e v="#N/A"/>
    <n v="78915"/>
    <s v="4067774391"/>
    <s v="VWR AVANTOR"/>
    <s v="Q3"/>
    <e v="#REF!"/>
    <e v="#REF!"/>
    <e v="#REF!"/>
  </r>
  <r>
    <s v="445662"/>
    <x v="6"/>
    <s v="TVA - D_20"/>
    <s v="AC"/>
    <n v="21.1"/>
    <d v="2025-01-26T00:00:00"/>
    <s v="COMBINAISON POUDRE ET LIQUIDE XXL"/>
    <m/>
    <e v="#N/A"/>
    <e v="#N/A"/>
    <n v="61321"/>
    <s v="64"/>
    <s v="RS COMPONENT"/>
    <s v="Q1"/>
    <e v="#REF!"/>
    <e v="#REF!"/>
    <e v="#REF!"/>
  </r>
  <r>
    <s v="445662"/>
    <x v="6"/>
    <s v="TVA - D_20"/>
    <s v="AC"/>
    <n v="21.57"/>
    <d v="2025-01-20T00:00:00"/>
    <s v="ACÉTONE TECHNICAL BIDON PLASTIQUE 5L DIN42"/>
    <m/>
    <e v="#N/A"/>
    <e v="#N/A"/>
    <n v="64011"/>
    <s v="4067615587"/>
    <s v="VWR AVANTOR"/>
    <s v="Q1"/>
    <e v="#REF!"/>
    <e v="#REF!"/>
    <e v="#REF!"/>
  </r>
  <r>
    <s v="445662"/>
    <x v="6"/>
    <s v="TVA - D_20"/>
    <s v="AC"/>
    <n v="21.67"/>
    <d v="2025-06-10T00:00:00"/>
    <s v="CONSEIL ET ASSISTANCE DANS LE CADRE DU SUIVI DES BSPCE"/>
    <s v="Non"/>
    <s v="Non"/>
    <e v="#N/A"/>
    <n v="76573"/>
    <s v="C2025590"/>
    <s v="ALTAIR AVOCATS"/>
    <s v="Q2"/>
    <e v="#REF!"/>
    <e v="#REF!"/>
    <e v="#REF!"/>
  </r>
  <r>
    <s v="445662"/>
    <x v="6"/>
    <s v="TVA - D_20"/>
    <s v="AC"/>
    <n v="22.08"/>
    <d v="2025-06-30T00:00:00"/>
    <s v="RÉACTIFS KL VBIO"/>
    <m/>
    <e v="#N/A"/>
    <e v="#N/A"/>
    <n v="78403"/>
    <s v="4179905"/>
    <s v="ROTH SOCHIEL"/>
    <s v="Q2"/>
    <e v="#REF!"/>
    <e v="#REF!"/>
    <e v="#REF!"/>
  </r>
  <r>
    <s v="445662"/>
    <x v="6"/>
    <s v="TVA - D_20"/>
    <s v="AC"/>
    <n v="22.2"/>
    <d v="2025-01-29T00:00:00"/>
    <s v="FIBRE PRO LYON"/>
    <m/>
    <e v="#N/A"/>
    <e v="#N/A"/>
    <n v="72526"/>
    <s v="04C993L662 25A7- 1J01"/>
    <s v="ORANGE"/>
    <s v="Q1"/>
    <e v="#REF!"/>
    <e v="#REF!"/>
    <e v="#REF!"/>
  </r>
  <r>
    <s v="445662"/>
    <x v="6"/>
    <s v="TVA - D_20"/>
    <s v="AC"/>
    <n v="22.2"/>
    <d v="2025-03-03T00:00:00"/>
    <s v="CONNECT PRO FIBRE"/>
    <m/>
    <e v="#N/A"/>
    <e v="#N/A"/>
    <n v="80644"/>
    <s v="04C993L66225B5-1J02"/>
    <s v="ORANGE"/>
    <s v="Q1"/>
    <e v="#REF!"/>
    <e v="#REF!"/>
    <e v="#REF!"/>
  </r>
  <r>
    <s v="445662"/>
    <x v="6"/>
    <s v="TVA - D_20"/>
    <s v="AC"/>
    <n v="22.2"/>
    <d v="2025-03-31T00:00:00"/>
    <s v="CONNECT PRO FIBRE"/>
    <m/>
    <e v="#N/A"/>
    <e v="#N/A"/>
    <n v="87260"/>
    <s v="04C993L66225C3-1J03"/>
    <s v="ORANGE"/>
    <s v="Q1"/>
    <e v="#REF!"/>
    <e v="#REF!"/>
    <e v="#REF!"/>
  </r>
  <r>
    <s v="445662"/>
    <x v="6"/>
    <s v="TVA - D_20"/>
    <s v="AC"/>
    <n v="22.2"/>
    <d v="2025-04-30T00:00:00"/>
    <s v="CONNECT PRO FIBRE"/>
    <m/>
    <e v="#N/A"/>
    <e v="#N/A"/>
    <n v="80647"/>
    <s v="04C993L662 25D1-1J04"/>
    <s v="ORANGE"/>
    <s v="Q2"/>
    <e v="#REF!"/>
    <e v="#REF!"/>
    <e v="#REF!"/>
  </r>
  <r>
    <s v="445662"/>
    <x v="6"/>
    <s v="TVA - D_20"/>
    <s v="AC"/>
    <n v="22.38"/>
    <d v="2025-05-12T00:00:00"/>
    <s v="RENOUVELLEMENT NOMS DE DOMAINE GAM"/>
    <m/>
    <e v="#N/A"/>
    <e v="#N/A"/>
    <n v="72711"/>
    <s v="2,03E+12"/>
    <s v="GANDI"/>
    <s v="Q2"/>
    <e v="#REF!"/>
    <e v="#REF!"/>
    <e v="#REF!"/>
  </r>
  <r>
    <s v="445662"/>
    <x v="6"/>
    <s v="TVA - D_20"/>
    <s v="AC"/>
    <n v="22.46"/>
    <d v="2025-01-31T00:00:00"/>
    <s v="COMMANDE PRODUIT KEENY"/>
    <m/>
    <e v="#N/A"/>
    <e v="#N/A"/>
    <n v="61361"/>
    <s v="8053417163"/>
    <s v="Sigma-Aldrich chimie"/>
    <s v="Q1"/>
    <e v="#REF!"/>
    <e v="#REF!"/>
    <e v="#REF!"/>
  </r>
  <r>
    <s v="445662"/>
    <x v="6"/>
    <s v="TVA - D_20"/>
    <s v="AC"/>
    <n v="22.47"/>
    <d v="2025-05-30T00:00:00"/>
    <s v="CONNECT PRO FIBRE"/>
    <m/>
    <e v="#N/A"/>
    <e v="#N/A"/>
    <n v="80650"/>
    <s v="04C993L662 25D9-1J05"/>
    <s v="ORANGE"/>
    <s v="Q2"/>
    <e v="#REF!"/>
    <e v="#REF!"/>
    <e v="#REF!"/>
  </r>
  <r>
    <s v="445662"/>
    <x v="6"/>
    <s v="TVA - D_20"/>
    <s v="AC"/>
    <n v="22.5"/>
    <d v="2025-06-02T00:00:00"/>
    <s v="ÉQUIPEMENT POUR LABO"/>
    <m/>
    <e v="#N/A"/>
    <e v="#N/A"/>
    <n v="76101"/>
    <s v="4175007551"/>
    <s v="FISHER SCIENTIFIC"/>
    <s v="Q2"/>
    <e v="#REF!"/>
    <e v="#REF!"/>
    <e v="#REF!"/>
  </r>
  <r>
    <s v="445662"/>
    <x v="6"/>
    <s v="TVA - D_20"/>
    <s v="AC"/>
    <n v="22.76"/>
    <d v="2025-01-01T00:00:00"/>
    <s v="ABONNEMENT HELLOCSE FORFAIT 2 ANS PÉRIODE DU 01/12/2024 AU 31/12/2024"/>
    <m/>
    <s v="Non"/>
    <e v="#N/A"/>
    <n v="72513"/>
    <s v="2025-01-2408"/>
    <s v="HELLOCSE"/>
    <s v="Q1"/>
    <e v="#REF!"/>
    <e v="#REF!"/>
    <e v="#REF!"/>
  </r>
  <r>
    <s v="445662"/>
    <x v="6"/>
    <s v="TVA - D_20"/>
    <s v="AC"/>
    <n v="22.76"/>
    <d v="2025-02-01T00:00:00"/>
    <s v="ABONNEMENT HELLOCSE FORFAIT 2 ANS PÉRIODE DU 01/01/2025 AU 31/01/2025"/>
    <m/>
    <s v="Non"/>
    <e v="#N/A"/>
    <n v="72533"/>
    <s v="2025-02-2373"/>
    <s v="HELLOCSE"/>
    <s v="Q1"/>
    <e v="#REF!"/>
    <e v="#REF!"/>
    <e v="#REF!"/>
  </r>
  <r>
    <s v="445662"/>
    <x v="6"/>
    <s v="TVA - D_20"/>
    <s v="AC"/>
    <n v="22.76"/>
    <d v="2025-03-01T00:00:00"/>
    <s v="ABONNEMENT HELLOCSE FORFAIT 2 ANS PÉRIODE DU 01/02/2025 AU 28/02/2025"/>
    <m/>
    <s v="Non"/>
    <e v="#N/A"/>
    <n v="72546"/>
    <s v="2025-03-2362"/>
    <s v="HELLOCSE"/>
    <s v="Q1"/>
    <e v="#REF!"/>
    <e v="#REF!"/>
    <e v="#REF!"/>
  </r>
  <r>
    <s v="445662"/>
    <x v="6"/>
    <s v="TVA - D_20"/>
    <s v="AC"/>
    <n v="22.76"/>
    <d v="2025-04-01T00:00:00"/>
    <s v="ABONNEMENT HELLOCSE FORFAIT 2 ANS PÉRIODE DU 01/03/2025 AU 31/03/2025"/>
    <m/>
    <s v="Non"/>
    <e v="#N/A"/>
    <n v="72598"/>
    <s v="2025-04-2345"/>
    <s v="HELLOCSE"/>
    <s v="Q2"/>
    <e v="#REF!"/>
    <e v="#REF!"/>
    <e v="#REF!"/>
  </r>
  <r>
    <s v="445662"/>
    <x v="6"/>
    <s v="TVA - D_20"/>
    <s v="AC"/>
    <n v="22.76"/>
    <d v="2025-05-01T00:00:00"/>
    <s v="ABONNEMENT HELLOCSE FORFAIT 2 ANS"/>
    <m/>
    <s v="Non"/>
    <e v="#N/A"/>
    <n v="82226"/>
    <s v="2025-05-2326"/>
    <s v="HELLOCSE"/>
    <s v="Q2"/>
    <e v="#REF!"/>
    <e v="#REF!"/>
    <e v="#REF!"/>
  </r>
  <r>
    <s v="445662"/>
    <x v="6"/>
    <s v="TVA - D_20"/>
    <s v="AC"/>
    <n v="22.76"/>
    <d v="2025-06-01T00:00:00"/>
    <s v="ABONNEMENT HELLOCSE FORFAIT 2 ANS"/>
    <m/>
    <s v="Non"/>
    <e v="#N/A"/>
    <n v="82231"/>
    <s v="2025-06-2317"/>
    <s v="HELLOCSE"/>
    <s v="Q2"/>
    <e v="#REF!"/>
    <e v="#REF!"/>
    <e v="#REF!"/>
  </r>
  <r>
    <s v="445662"/>
    <x v="6"/>
    <s v="TVA - D_20"/>
    <s v="AC"/>
    <n v="22.76"/>
    <d v="2025-07-01T00:00:00"/>
    <s v="ABONNEMENT HELLOCSE FORFAIT 2 ANS"/>
    <m/>
    <s v="Non"/>
    <e v="#N/A"/>
    <n v="82234"/>
    <s v="2025-07-2314"/>
    <s v="HELLOCSE"/>
    <s v="Q3"/>
    <e v="#REF!"/>
    <e v="#REF!"/>
    <e v="#REF!"/>
  </r>
  <r>
    <s v="445662"/>
    <x v="6"/>
    <s v="TVA - D_20"/>
    <s v="AC"/>
    <n v="22.76"/>
    <d v="2025-08-01T00:00:00"/>
    <s v="ABONNEMENT HELLOCSE FORFAIT 2 ANS"/>
    <m/>
    <s v="Non"/>
    <e v="#N/A"/>
    <n v="82237"/>
    <s v="2025-08-2316"/>
    <s v="HELLOCSE"/>
    <s v="Q3"/>
    <e v="#REF!"/>
    <e v="#REF!"/>
    <e v="#REF!"/>
  </r>
  <r>
    <s v="445662"/>
    <x v="6"/>
    <s v="TVA - D_20"/>
    <s v="AC"/>
    <n v="22.76"/>
    <d v="2025-09-01T00:00:00"/>
    <s v="ABONNEMENT HELLOCSE FORFAIT 2 ANS"/>
    <m/>
    <s v="Non"/>
    <e v="#N/A"/>
    <n v="82252"/>
    <s v="2025-09-2318"/>
    <s v="HELLOCSE"/>
    <s v="Q3"/>
    <e v="#REF!"/>
    <e v="#REF!"/>
    <e v="#REF!"/>
  </r>
  <r>
    <s v="445662"/>
    <x v="6"/>
    <s v="TVA - D_20"/>
    <s v="AC"/>
    <n v="22.76"/>
    <d v="2025-10-01T00:00:00"/>
    <s v="ABONNEMENT HELLOCSE FORFAIT 2 ANS"/>
    <m/>
    <s v="Non"/>
    <e v="#N/A"/>
    <n v="91051"/>
    <s v="2025-10-2310"/>
    <s v="HELLOCSE"/>
    <s v="Q4"/>
    <e v="#REF!"/>
    <e v="#REF!"/>
    <e v="#REF!"/>
  </r>
  <r>
    <s v="445662"/>
    <x v="6"/>
    <s v="TVA - D_20"/>
    <s v="AC"/>
    <n v="22.76"/>
    <d v="2025-11-01T00:00:00"/>
    <s v="ABONNEMENT HELLOCSE FORFAIT 2 ANS"/>
    <m/>
    <s v="Non"/>
    <e v="#N/A"/>
    <n v="91054"/>
    <s v="2025-11-2303"/>
    <s v="HELLOCSE"/>
    <s v="Q4"/>
    <e v="#REF!"/>
    <e v="#REF!"/>
    <e v="#REF!"/>
  </r>
  <r>
    <s v="445662"/>
    <x v="6"/>
    <s v="TVA - D_20"/>
    <s v="AC"/>
    <n v="22.76"/>
    <d v="2025-12-01T00:00:00"/>
    <s v="ABONNEMENT HELLOCSE FORFAIT 2 ANS"/>
    <m/>
    <s v="Non"/>
    <e v="#N/A"/>
    <n v="91844"/>
    <s v="2025-12-2287"/>
    <s v="HELLOCSE"/>
    <s v="Q4"/>
    <e v="#REF!"/>
    <e v="#REF!"/>
    <e v="#REF!"/>
  </r>
  <r>
    <s v="445662"/>
    <x v="6"/>
    <s v="TVA - D_20"/>
    <s v="AC"/>
    <n v="22.8"/>
    <d v="2025-03-05T00:00:00"/>
    <s v="CONSOMMABLES LABO R."/>
    <m/>
    <e v="#N/A"/>
    <e v="#N/A"/>
    <n v="67834"/>
    <s v="4174543"/>
    <s v="ROTH SOCHIEL"/>
    <s v="Q1"/>
    <e v="#REF!"/>
    <e v="#REF!"/>
    <e v="#REF!"/>
  </r>
  <r>
    <s v="445662"/>
    <x v="6"/>
    <s v="TVA - D_20"/>
    <s v="AC"/>
    <n v="22.82"/>
    <d v="2025-01-13T00:00:00"/>
    <s v="RÉACTIFS LABO R"/>
    <m/>
    <e v="#N/A"/>
    <e v="#N/A"/>
    <n v="61252"/>
    <s v="8053408144"/>
    <s v="Sigma-Aldrich chimie"/>
    <s v="Q1"/>
    <e v="#REF!"/>
    <e v="#REF!"/>
    <e v="#REF!"/>
  </r>
  <r>
    <s v="445662"/>
    <x v="6"/>
    <s v="TVA - D_20"/>
    <s v="AC"/>
    <n v="22.84"/>
    <d v="2025-04-30T00:00:00"/>
    <s v="AGENTS DE FILTRATIONS POUR VBIO"/>
    <m/>
    <e v="#N/A"/>
    <e v="#N/A"/>
    <n v="73741"/>
    <s v="8053469180"/>
    <s v="Sigma-Aldrich chimie"/>
    <s v="Q2"/>
    <e v="#REF!"/>
    <e v="#REF!"/>
    <e v="#REF!"/>
  </r>
  <r>
    <s v="445662"/>
    <x v="6"/>
    <s v="TVA - D_20"/>
    <s v="AC"/>
    <n v="22.88"/>
    <d v="2025-01-20T00:00:00"/>
    <s v="ELECTRICITE LYON"/>
    <m/>
    <e v="#N/A"/>
    <e v="#N/A"/>
    <n v="72519"/>
    <s v="4,20E+11"/>
    <s v="ENGIE"/>
    <s v="Q1"/>
    <e v="#REF!"/>
    <e v="#REF!"/>
    <e v="#REF!"/>
  </r>
  <r>
    <s v="445662"/>
    <x v="6"/>
    <s v="TVA - D_20"/>
    <s v="AC"/>
    <n v="23.25"/>
    <d v="2025-01-31T00:00:00"/>
    <s v="LIVRAISON INCLUSE JUSQU'À 8 EMBALLAGES"/>
    <m/>
    <e v="#N/A"/>
    <e v="#N/A"/>
    <n v="87001"/>
    <s v="5800327175"/>
    <s v="AIR LIQUIDE"/>
    <s v="Q1"/>
    <e v="#REF!"/>
    <e v="#REF!"/>
    <e v="#REF!"/>
  </r>
  <r>
    <s v="445662"/>
    <x v="6"/>
    <s v="TVA - D_20"/>
    <s v="AC"/>
    <n v="23.25"/>
    <d v="2025-06-30T00:00:00"/>
    <s v="LIVRAISON INCLUSE JUSQU'À 8 EMBALLAGES PRE FIXE BT RÉGLEMENTATIONS-ENVIRONNEMENT"/>
    <m/>
    <e v="#N/A"/>
    <e v="#N/A"/>
    <n v="78397"/>
    <s v="5800692943"/>
    <s v="AIR LIQUIDE"/>
    <s v="Q2"/>
    <e v="#REF!"/>
    <e v="#REF!"/>
    <e v="#REF!"/>
  </r>
  <r>
    <s v="445662"/>
    <x v="6"/>
    <s v="TVA - D_20"/>
    <s v="AC"/>
    <n v="23.25"/>
    <d v="2025-07-31T00:00:00"/>
    <s v="IMMOBILISATION BOUTEILLE GAZ SPÉCIAUX SMART"/>
    <m/>
    <e v="#N/A"/>
    <e v="#N/A"/>
    <n v="80662"/>
    <s v="5800760438"/>
    <s v="AIR LIQUIDE"/>
    <s v="Q3"/>
    <e v="#REF!"/>
    <e v="#REF!"/>
    <e v="#REF!"/>
  </r>
  <r>
    <s v="445662"/>
    <x v="6"/>
    <s v="TVA - D_20"/>
    <s v="AC"/>
    <n v="23.35"/>
    <d v="2025-12-31T00:00:00"/>
    <s v="TRANSPORT INDIGO BRUT VERS VEG EXTRA"/>
    <m/>
    <e v="#N/A"/>
    <e v="#N/A"/>
    <n v="95160"/>
    <s v="25120323"/>
    <s v="BROSSIER TRANSPORTS"/>
    <s v="Q4"/>
    <e v="#REF!"/>
    <e v="#REF!"/>
    <e v="#REF!"/>
  </r>
  <r>
    <s v="445662"/>
    <x v="6"/>
    <s v="TVA - D_20"/>
    <s v="AC"/>
    <n v="23.46"/>
    <d v="2025-03-20T00:00:00"/>
    <s v="KIT SULFITE (11741014) ET RACCORD (10430464)"/>
    <m/>
    <e v="#N/A"/>
    <e v="#N/A"/>
    <n v="66041"/>
    <s v="1173675389"/>
    <s v="FISHER SCIENTIFIC"/>
    <s v="Q1"/>
    <e v="#REF!"/>
    <e v="#REF!"/>
    <e v="#REF!"/>
  </r>
  <r>
    <s v="445662"/>
    <x v="6"/>
    <s v="TVA - D_20"/>
    <s v="AC"/>
    <n v="23.46"/>
    <d v="2025-03-26T00:00:00"/>
    <s v="SPECTROMÈTRE UV LABO ROUSSILLON"/>
    <m/>
    <e v="#N/A"/>
    <e v="#N/A"/>
    <n v="67884"/>
    <s v="4174916221"/>
    <s v="FISHER SCIENTIFIC"/>
    <s v="Q1"/>
    <e v="#REF!"/>
    <e v="#REF!"/>
    <e v="#REF!"/>
  </r>
  <r>
    <s v="445662"/>
    <x v="6"/>
    <s v="TVA - D_20"/>
    <s v="AC"/>
    <n v="23.6"/>
    <d v="2025-02-17T00:00:00"/>
    <s v="COMMANDE PRODUIT KEENB"/>
    <m/>
    <e v="#N/A"/>
    <e v="#N/A"/>
    <n v="61515"/>
    <s v="8053426199"/>
    <s v="Sigma-Aldrich chimie"/>
    <s v="Q1"/>
    <e v="#REF!"/>
    <e v="#REF!"/>
    <e v="#REF!"/>
  </r>
  <r>
    <s v="445662"/>
    <x v="6"/>
    <s v="TVA - D_20"/>
    <s v="AC"/>
    <n v="23.68"/>
    <d v="2025-12-22T00:00:00"/>
    <s v="PRODUIT KEENB"/>
    <m/>
    <e v="#N/A"/>
    <e v="#N/A"/>
    <n v="94292"/>
    <s v="VRGG25-028287"/>
    <s v="ABCR"/>
    <s v="Q4"/>
    <e v="#REF!"/>
    <e v="#REF!"/>
    <e v="#REF!"/>
  </r>
  <r>
    <s v="445662"/>
    <x v="6"/>
    <s v="TVA - D_20"/>
    <s v="AC"/>
    <n v="23.71"/>
    <d v="2025-10-21T00:00:00"/>
    <s v="PRODUITS POUR LABO"/>
    <m/>
    <e v="#N/A"/>
    <e v="#N/A"/>
    <n v="87459"/>
    <s v="4067849964"/>
    <s v="VWR AVANTOR"/>
    <s v="Q4"/>
    <e v="#REF!"/>
    <e v="#REF!"/>
    <e v="#REF!"/>
  </r>
  <r>
    <s v="445662"/>
    <x v="6"/>
    <s v="TVA - D_20"/>
    <s v="AC"/>
    <n v="23.81"/>
    <d v="2025-11-13T00:00:00"/>
    <s v="&quot;-_x0009_SURLIGNEURS -_x0009_STYLOS BLEUS -_x0009_CLASSEURS (X2) -_x0009_PETITS CAHIERS -_x0009_RAMETTES DE PAPIER -_x0009_STYLOS 4 COULEURS -_x0009_POT À STYLOS -_x0009_LIQUID"/>
    <m/>
    <e v="#N/A"/>
    <e v="#N/A"/>
    <n v="91438"/>
    <s v="26.638.348"/>
    <s v="BRUNEAU"/>
    <s v="Q4"/>
    <e v="#REF!"/>
    <e v="#REF!"/>
    <e v="#REF!"/>
  </r>
  <r>
    <s v="445662"/>
    <x v="6"/>
    <s v="TVA - D_20"/>
    <s v="AC"/>
    <n v="23.84"/>
    <d v="2025-10-13T00:00:00"/>
    <s v="TRAITEUR CS"/>
    <m/>
    <e v="#N/A"/>
    <e v="#N/A"/>
    <n v="87077"/>
    <s v="F-1013-1766"/>
    <s v="LES BOUFFESQUETAIRES"/>
    <s v="Q4"/>
    <e v="#REF!"/>
    <e v="#REF!"/>
    <e v="#REF!"/>
  </r>
  <r>
    <s v="445662"/>
    <x v="6"/>
    <s v="TVA - D_20"/>
    <s v="AC"/>
    <n v="23.88"/>
    <d v="2025-04-11T00:00:00"/>
    <s v="2-AMINOBENZOATE DE MÉTHYLE 50G  CB SPENDESK 1104"/>
    <m/>
    <e v="#N/A"/>
    <e v="#N/A"/>
    <n v="69781"/>
    <s v="8053459307"/>
    <s v="Sigma-Aldrich chimie"/>
    <s v="Q2"/>
    <e v="#REF!"/>
    <e v="#REF!"/>
    <e v="#REF!"/>
  </r>
  <r>
    <s v="445662"/>
    <x v="6"/>
    <s v="TVA - D_20"/>
    <s v="AC"/>
    <n v="23.91"/>
    <d v="2025-02-10T00:00:00"/>
    <s v="MÉTHYLE-2-TÉTRAHYDROFURANE"/>
    <m/>
    <e v="#N/A"/>
    <e v="#N/A"/>
    <n v="61453"/>
    <s v="4173206"/>
    <s v="ROTH SOCHIEL"/>
    <s v="Q1"/>
    <e v="#REF!"/>
    <e v="#REF!"/>
    <e v="#REF!"/>
  </r>
  <r>
    <s v="445662"/>
    <x v="6"/>
    <s v="TVA - D_20"/>
    <s v="AC"/>
    <n v="24"/>
    <d v="2025-01-15T00:00:00"/>
    <s v="AMPOULE À DÉCANTER GLASSCO GIL"/>
    <m/>
    <e v="#N/A"/>
    <e v="#N/A"/>
    <n v="64005"/>
    <s v="186261"/>
    <s v="CLOUP"/>
    <s v="Q1"/>
    <e v="#REF!"/>
    <e v="#REF!"/>
    <e v="#REF!"/>
  </r>
  <r>
    <s v="445662"/>
    <x v="6"/>
    <s v="TVA - D_20"/>
    <s v="AC"/>
    <n v="24"/>
    <d v="2025-04-05T00:00:00"/>
    <s v="TRAITEUR DÉJEUNER CS 27 MARS 2025"/>
    <m/>
    <e v="#N/A"/>
    <e v="#N/A"/>
    <n v="69718"/>
    <s v="F-0405-1426"/>
    <s v="LES BOUFFESQUETAIRES"/>
    <s v="Q2"/>
    <e v="#REF!"/>
    <e v="#REF!"/>
    <e v="#REF!"/>
  </r>
  <r>
    <s v="445662"/>
    <x v="6"/>
    <s v="TVA - D_20"/>
    <s v="AC"/>
    <n v="24"/>
    <d v="2025-11-07T00:00:00"/>
    <s v="FORFAIT SERVICE ET MAINTENANCE POUR LA PÉRIODE DU 01-NOV-2025 AU 31-JAN-2026"/>
    <m/>
    <e v="#N/A"/>
    <e v="#N/A"/>
    <n v="94844"/>
    <s v="927364008"/>
    <s v="RICOH"/>
    <s v="Q4"/>
    <e v="#REF!"/>
    <e v="#REF!"/>
    <e v="#REF!"/>
  </r>
  <r>
    <s v="445662"/>
    <x v="6"/>
    <s v="TVA - D_20"/>
    <s v="AC"/>
    <n v="24.11"/>
    <d v="2025-12-22T00:00:00"/>
    <s v="GAZ NATUREL LYON"/>
    <m/>
    <e v="#N/A"/>
    <e v="#N/A"/>
    <n v="94847"/>
    <s v="1,2001E+11"/>
    <s v="ENGIE"/>
    <s v="Q4"/>
    <e v="#REF!"/>
    <e v="#REF!"/>
    <e v="#REF!"/>
  </r>
  <r>
    <s v="445662"/>
    <x v="6"/>
    <s v="TVA - D_20"/>
    <s v="AC"/>
    <n v="24.17"/>
    <d v="2025-07-29T00:00:00"/>
    <s v="COMMANDE CONSOMMABLES LABO"/>
    <m/>
    <e v="#N/A"/>
    <e v="#N/A"/>
    <n v="81220"/>
    <s v="4067782413"/>
    <s v="VWR AVANTOR"/>
    <s v="Q3"/>
    <e v="#REF!"/>
    <e v="#REF!"/>
    <e v="#REF!"/>
  </r>
  <r>
    <s v="445662"/>
    <x v="6"/>
    <s v="TVA - D_20"/>
    <s v="AC"/>
    <n v="24.2"/>
    <d v="2025-03-04T00:00:00"/>
    <s v="CONGRÈS BIOKET (GALA DINNER)"/>
    <m/>
    <s v="Non"/>
    <e v="#N/A"/>
    <n v="65994"/>
    <s v="18"/>
    <s v="DIVERS"/>
    <s v="Q1"/>
    <e v="#REF!"/>
    <e v="#REF!"/>
    <e v="#REF!"/>
  </r>
  <r>
    <s v="445662"/>
    <x v="6"/>
    <s v="TVA - D_20"/>
    <s v="AC"/>
    <n v="24.34"/>
    <d v="2025-06-10T00:00:00"/>
    <s v="COMMANDE PRODUIT LABO"/>
    <m/>
    <e v="#N/A"/>
    <e v="#N/A"/>
    <n v="76570"/>
    <s v="4067740798"/>
    <s v="VWR AVANTOR"/>
    <s v="Q2"/>
    <e v="#REF!"/>
    <e v="#REF!"/>
    <e v="#REF!"/>
  </r>
  <r>
    <s v="445662"/>
    <x v="6"/>
    <s v="TVA - D_20"/>
    <s v="AC"/>
    <n v="24.35"/>
    <d v="2025-05-23T00:00:00"/>
    <s v="TOURNEVIS DYNAMOMÉTRIQUE 1-5 NM (ÉQUIPEMENTS POUR MAINTENANCE POMPES À VIDE / POMPE DE CHARGEMENT)"/>
    <m/>
    <e v="#N/A"/>
    <e v="#N/A"/>
    <n v="78362"/>
    <s v="3"/>
    <s v="WURTH FRANCE"/>
    <s v="Q2"/>
    <e v="#REF!"/>
    <e v="#REF!"/>
    <e v="#REF!"/>
  </r>
  <r>
    <s v="445662"/>
    <x v="6"/>
    <s v="TVA - D_20"/>
    <s v="AC"/>
    <n v="24.44"/>
    <d v="2025-06-16T00:00:00"/>
    <s v="COMMANDE PRODUIT LABO"/>
    <m/>
    <e v="#N/A"/>
    <e v="#N/A"/>
    <n v="76602"/>
    <s v="4067746196"/>
    <s v="VWR AVANTOR"/>
    <s v="Q2"/>
    <e v="#REF!"/>
    <e v="#REF!"/>
    <e v="#REF!"/>
  </r>
  <r>
    <s v="445662"/>
    <x v="6"/>
    <s v="TVA - D_20"/>
    <s v="AC"/>
    <n v="24.52"/>
    <d v="2025-02-18T00:00:00"/>
    <s v="STANDARDS ANALYTIQUES POUR OASIS + INDIGO"/>
    <m/>
    <e v="#N/A"/>
    <e v="#N/A"/>
    <n v="67807"/>
    <s v="8053426943"/>
    <s v="Sigma-Aldrich chimie"/>
    <s v="Q1"/>
    <e v="#REF!"/>
    <e v="#REF!"/>
    <e v="#REF!"/>
  </r>
  <r>
    <s v="445662"/>
    <x v="6"/>
    <s v="TVA - D_20"/>
    <s v="AC"/>
    <n v="25.18"/>
    <d v="2025-01-29T00:00:00"/>
    <s v="COLLECTE DASRI"/>
    <m/>
    <s v="Non"/>
    <n v="0"/>
    <n v="71274"/>
    <s v="FA2509484"/>
    <s v="SERVICE ACTION SANTE"/>
    <s v="Q1"/>
    <e v="#REF!"/>
    <e v="#REF!"/>
    <e v="#REF!"/>
  </r>
  <r>
    <s v="445662"/>
    <x v="6"/>
    <s v="TVA - D_20"/>
    <s v="AC"/>
    <n v="25.39"/>
    <d v="2025-02-11T00:00:00"/>
    <s v="PETIT ÉQUIPEMENT BUREAUX CHIMISTES (PLASTIFIEUSE, FEUILLES DE PLASTIQUES, ...)"/>
    <m/>
    <e v="#N/A"/>
    <e v="#N/A"/>
    <n v="61459"/>
    <s v="117"/>
    <s v="OFFICE DEPOT"/>
    <s v="Q1"/>
    <e v="#REF!"/>
    <e v="#REF!"/>
    <e v="#REF!"/>
  </r>
  <r>
    <s v="445662"/>
    <x v="6"/>
    <s v="TVA - D_20"/>
    <s v="AC"/>
    <n v="25.4"/>
    <d v="2025-04-07T00:00:00"/>
    <s v="COMMANDE PRODUIT LABO"/>
    <m/>
    <e v="#N/A"/>
    <e v="#N/A"/>
    <n v="69730"/>
    <s v="4067689026"/>
    <s v="VWR AVANTOR"/>
    <s v="Q2"/>
    <e v="#REF!"/>
    <e v="#REF!"/>
    <e v="#REF!"/>
  </r>
  <r>
    <s v="445662"/>
    <x v="6"/>
    <s v="TVA - D_20"/>
    <s v="AC"/>
    <n v="25.76"/>
    <d v="2025-05-30T00:00:00"/>
    <s v="MATÉRIEL MARIE-SARAH EXPOSITION PASTEUR JUIN 2025"/>
    <m/>
    <e v="#N/A"/>
    <e v="#N/A"/>
    <n v="77995"/>
    <s v="13"/>
    <s v="ROUGIER ET PIE"/>
    <s v="Q2"/>
    <e v="#REF!"/>
    <e v="#REF!"/>
    <e v="#REF!"/>
  </r>
  <r>
    <s v="445662"/>
    <x v="6"/>
    <s v="TVA - D_20"/>
    <s v="AC"/>
    <n v="25.9"/>
    <d v="2025-12-12T00:00:00"/>
    <s v="VERRERIE ET ÉQUIPEMENT POUR KEENB"/>
    <m/>
    <e v="#N/A"/>
    <e v="#N/A"/>
    <n v="92194"/>
    <s v="0190961"/>
    <s v="CLOUP"/>
    <s v="Q4"/>
    <e v="#REF!"/>
    <e v="#REF!"/>
    <e v="#REF!"/>
  </r>
  <r>
    <s v="445662"/>
    <x v="6"/>
    <s v="TVA - D_20"/>
    <s v="AC"/>
    <n v="26"/>
    <d v="2025-06-05T00:00:00"/>
    <s v="TRANSPORT ESSAI 1 ROUSSELET ROBATEL"/>
    <m/>
    <e v="#N/A"/>
    <e v="#N/A"/>
    <n v="76564"/>
    <s v="9102322"/>
    <s v="BROSSIER TRANSPORTS"/>
    <s v="Q2"/>
    <e v="#REF!"/>
    <e v="#REF!"/>
    <e v="#REF!"/>
  </r>
  <r>
    <s v="445662"/>
    <x v="6"/>
    <s v="TVA - D_20"/>
    <s v="AC"/>
    <n v="26.2"/>
    <d v="2025-01-21T00:00:00"/>
    <s v="COMMANDE ÉQUIPEMENT LABO  KB"/>
    <m/>
    <e v="#N/A"/>
    <e v="#N/A"/>
    <n v="61290"/>
    <s v="8053411469"/>
    <s v="Sigma-Aldrich chimie"/>
    <s v="Q1"/>
    <e v="#REF!"/>
    <e v="#REF!"/>
    <e v="#REF!"/>
  </r>
  <r>
    <s v="445662"/>
    <x v="6"/>
    <s v="TVA - D_20"/>
    <s v="AC"/>
    <n v="26.2"/>
    <d v="2025-05-14T00:00:00"/>
    <s v="ACCESSOIRE LABO ANALYSES R."/>
    <m/>
    <e v="#N/A"/>
    <e v="#N/A"/>
    <n v="73783"/>
    <s v="8053475547"/>
    <s v="Sigma-Aldrich chimie"/>
    <s v="Q2"/>
    <e v="#REF!"/>
    <e v="#REF!"/>
    <e v="#REF!"/>
  </r>
  <r>
    <s v="445662"/>
    <x v="6"/>
    <s v="TVA - D_20"/>
    <s v="AC"/>
    <n v="26.2"/>
    <d v="2025-06-30T00:00:00"/>
    <s v="CONNECT PRO FIBRE"/>
    <m/>
    <e v="#N/A"/>
    <e v="#N/A"/>
    <n v="80653"/>
    <s v="04C993L662 25E7-1J06"/>
    <s v="ORANGE"/>
    <s v="Q2"/>
    <e v="#REF!"/>
    <e v="#REF!"/>
    <e v="#REF!"/>
  </r>
  <r>
    <s v="445662"/>
    <x v="6"/>
    <s v="TVA - D_20"/>
    <s v="AC"/>
    <n v="26.2"/>
    <d v="2025-07-29T00:00:00"/>
    <s v="CONNECT PRO FIBRE"/>
    <m/>
    <e v="#N/A"/>
    <e v="#N/A"/>
    <n v="87269"/>
    <s v="04C993L662 25F5-1J07"/>
    <s v="ORANGE"/>
    <s v="Q3"/>
    <e v="#REF!"/>
    <e v="#REF!"/>
    <e v="#REF!"/>
  </r>
  <r>
    <s v="445662"/>
    <x v="6"/>
    <s v="TVA - D_20"/>
    <s v="AC"/>
    <n v="26.2"/>
    <d v="2025-08-28T00:00:00"/>
    <s v="INTERNET FIBRE LYON"/>
    <m/>
    <e v="#N/A"/>
    <e v="#N/A"/>
    <n v="82245"/>
    <s v="04C993L662 25G3-1J08"/>
    <s v="ORANGE"/>
    <s v="Q3"/>
    <e v="#REF!"/>
    <e v="#REF!"/>
    <e v="#REF!"/>
  </r>
  <r>
    <s v="445662"/>
    <x v="6"/>
    <s v="TVA - D_20"/>
    <s v="AC"/>
    <n v="26.2"/>
    <d v="2025-09-30T00:00:00"/>
    <s v="BOX INTERNET LYON"/>
    <m/>
    <e v="#N/A"/>
    <e v="#N/A"/>
    <n v="90061"/>
    <s v="04C993L66225H1-1J09"/>
    <s v="ORANGE"/>
    <s v="Q3"/>
    <e v="#REF!"/>
    <e v="#REF!"/>
    <e v="#REF!"/>
  </r>
  <r>
    <s v="445662"/>
    <x v="6"/>
    <s v="TVA - D_20"/>
    <s v="AC"/>
    <n v="26.2"/>
    <d v="2025-10-28T00:00:00"/>
    <s v="BOX INTERNET LYON"/>
    <m/>
    <e v="#N/A"/>
    <e v="#N/A"/>
    <n v="90073"/>
    <s v="04C993L662 25H9-1J10"/>
    <s v="ORANGE"/>
    <s v="Q4"/>
    <e v="#REF!"/>
    <e v="#REF!"/>
    <e v="#REF!"/>
  </r>
  <r>
    <s v="445662"/>
    <x v="6"/>
    <s v="TVA - D_20"/>
    <s v="AC"/>
    <n v="26.2"/>
    <d v="2025-11-28T00:00:00"/>
    <s v="BOX INTERNET LYON"/>
    <m/>
    <e v="#N/A"/>
    <e v="#N/A"/>
    <n v="92956"/>
    <s v="04C993L6622517-1J11"/>
    <s v="ORANGE"/>
    <s v="Q4"/>
    <e v="#REF!"/>
    <e v="#REF!"/>
    <e v="#REF!"/>
  </r>
  <r>
    <s v="445662"/>
    <x v="6"/>
    <s v="TVA - D_20"/>
    <s v="AC"/>
    <n v="26.2"/>
    <d v="2025-12-30T00:00:00"/>
    <s v="CONNECT PRO FIBRE"/>
    <m/>
    <e v="#N/A"/>
    <e v="#N/A"/>
    <n v="95467"/>
    <s v="04C993L66225J5-1J12"/>
    <s v="ORANGE"/>
    <s v="Q4"/>
    <e v="#REF!"/>
    <e v="#REF!"/>
    <e v="#REF!"/>
  </r>
  <r>
    <s v="445662"/>
    <x v="6"/>
    <s v="TVA - D_20"/>
    <s v="AC"/>
    <n v="26.36"/>
    <d v="2025-11-12T00:00:00"/>
    <s v="PRODUIT KEENB"/>
    <m/>
    <e v="#N/A"/>
    <e v="#N/A"/>
    <n v="89972"/>
    <s v="4067869549"/>
    <s v="VWR AVANTOR"/>
    <s v="Q4"/>
    <e v="#REF!"/>
    <e v="#REF!"/>
    <e v="#REF!"/>
  </r>
  <r>
    <s v="445662"/>
    <x v="6"/>
    <s v="TVA - D_20"/>
    <s v="AC"/>
    <n v="26.44"/>
    <d v="2025-01-31T00:00:00"/>
    <s v="LOYER FENWICK 2025_01"/>
    <m/>
    <e v="#N/A"/>
    <e v="#N/A"/>
    <n v="73071"/>
    <m/>
    <s v="FENWICK FINANCIAL SERVICES"/>
    <s v="Q1"/>
    <e v="#REF!"/>
    <e v="#REF!"/>
    <e v="#REF!"/>
  </r>
  <r>
    <s v="445662"/>
    <x v="6"/>
    <s v="TVA - D_20"/>
    <s v="AC"/>
    <n v="26.44"/>
    <d v="2025-02-28T00:00:00"/>
    <s v="LOYER FENWICK 2025_02"/>
    <m/>
    <e v="#N/A"/>
    <e v="#N/A"/>
    <n v="73075"/>
    <m/>
    <s v="FENWICK FINANCIAL SERVICES"/>
    <s v="Q1"/>
    <e v="#REF!"/>
    <e v="#REF!"/>
    <e v="#REF!"/>
  </r>
  <r>
    <s v="445662"/>
    <x v="6"/>
    <s v="TVA - D_20"/>
    <s v="AC"/>
    <n v="26.44"/>
    <d v="2025-03-31T00:00:00"/>
    <s v="LOYER FENWICK 2025_03"/>
    <m/>
    <e v="#N/A"/>
    <e v="#N/A"/>
    <n v="73078"/>
    <m/>
    <s v="FENWICK FINANCIAL SERVICES"/>
    <s v="Q1"/>
    <e v="#REF!"/>
    <e v="#REF!"/>
    <e v="#REF!"/>
  </r>
  <r>
    <s v="445662"/>
    <x v="6"/>
    <s v="TVA - D_20"/>
    <s v="AC"/>
    <n v="26.44"/>
    <d v="2025-04-01T00:00:00"/>
    <s v="LOYER FENWICK 2025_04"/>
    <m/>
    <e v="#N/A"/>
    <e v="#N/A"/>
    <n v="69675"/>
    <s v="2071581760"/>
    <s v="FENWICK FINANCIAL SERVICES"/>
    <s v="Q2"/>
    <e v="#REF!"/>
    <e v="#REF!"/>
    <e v="#REF!"/>
  </r>
  <r>
    <s v="445662"/>
    <x v="6"/>
    <s v="TVA - D_20"/>
    <s v="AC"/>
    <n v="26.44"/>
    <d v="2025-05-01T00:00:00"/>
    <s v="LOYER FENWICK 2025_05"/>
    <m/>
    <e v="#N/A"/>
    <e v="#N/A"/>
    <n v="72661"/>
    <s v="2071600116"/>
    <s v="FENWICK FINANCIAL SERVICES"/>
    <s v="Q2"/>
    <e v="#REF!"/>
    <e v="#REF!"/>
    <e v="#REF!"/>
  </r>
  <r>
    <s v="445662"/>
    <x v="6"/>
    <s v="TVA - D_20"/>
    <s v="AC"/>
    <n v="26.44"/>
    <d v="2025-06-30T00:00:00"/>
    <s v="LOYER FENWICK 2025_06"/>
    <m/>
    <e v="#N/A"/>
    <e v="#N/A"/>
    <n v="73081"/>
    <m/>
    <s v="FENWICK FINANCIAL SERVICES"/>
    <s v="Q2"/>
    <e v="#REF!"/>
    <e v="#REF!"/>
    <e v="#REF!"/>
  </r>
  <r>
    <s v="445662"/>
    <x v="6"/>
    <s v="TVA - D_20"/>
    <s v="AC"/>
    <n v="26.44"/>
    <d v="2025-07-01T00:00:00"/>
    <s v="LOYER 2025 07"/>
    <m/>
    <e v="#N/A"/>
    <e v="#N/A"/>
    <n v="78786"/>
    <s v="2071634575"/>
    <s v="FENWICK FINANCIAL SERVICES"/>
    <s v="Q3"/>
    <e v="#REF!"/>
    <e v="#REF!"/>
    <e v="#REF!"/>
  </r>
  <r>
    <s v="445662"/>
    <x v="6"/>
    <s v="TVA - D_20"/>
    <s v="AC"/>
    <n v="26.44"/>
    <d v="2025-08-31T00:00:00"/>
    <s v="LOYER FENWICK 2025_08"/>
    <m/>
    <e v="#N/A"/>
    <e v="#N/A"/>
    <n v="73090"/>
    <m/>
    <s v="FENWICK FINANCIAL SERVICES"/>
    <s v="Q3"/>
    <e v="#REF!"/>
    <e v="#REF!"/>
    <e v="#REF!"/>
  </r>
  <r>
    <s v="445662"/>
    <x v="6"/>
    <s v="TVA - D_20"/>
    <s v="AC"/>
    <n v="26.44"/>
    <d v="2025-09-30T00:00:00"/>
    <s v="LOYER FENWICK 2025_09"/>
    <m/>
    <e v="#N/A"/>
    <e v="#N/A"/>
    <n v="73093"/>
    <m/>
    <s v="FENWICK FINANCIAL SERVICES"/>
    <s v="Q3"/>
    <e v="#REF!"/>
    <e v="#REF!"/>
    <e v="#REF!"/>
  </r>
  <r>
    <s v="445662"/>
    <x v="6"/>
    <s v="TVA - D_20"/>
    <s v="AC"/>
    <n v="26.44"/>
    <d v="2025-10-01T00:00:00"/>
    <s v="LOYER FINANCIER"/>
    <m/>
    <e v="#N/A"/>
    <e v="#N/A"/>
    <n v="82790"/>
    <s v="2071687888"/>
    <s v="FENWICK FINANCIAL SERVICES"/>
    <s v="Q4"/>
    <e v="#REF!"/>
    <e v="#REF!"/>
    <e v="#REF!"/>
  </r>
  <r>
    <s v="445662"/>
    <x v="6"/>
    <s v="TVA - D_20"/>
    <s v="AC"/>
    <n v="26.44"/>
    <d v="2025-11-01T00:00:00"/>
    <s v="LOYER FINANCIER"/>
    <m/>
    <e v="#N/A"/>
    <e v="#N/A"/>
    <n v="89665"/>
    <s v="2071707682"/>
    <s v="FENWICK FINANCIAL SERVICES"/>
    <s v="Q4"/>
    <e v="#REF!"/>
    <e v="#REF!"/>
    <e v="#REF!"/>
  </r>
  <r>
    <s v="445662"/>
    <x v="6"/>
    <s v="TVA - D_20"/>
    <s v="AC"/>
    <n v="26.44"/>
    <d v="2025-12-31T00:00:00"/>
    <s v="LOYER FENWICK 2025_12"/>
    <m/>
    <e v="#N/A"/>
    <e v="#N/A"/>
    <n v="73102"/>
    <m/>
    <s v="FENWICK FINANCIAL SERVICES"/>
    <s v="Q4"/>
    <e v="#REF!"/>
    <e v="#REF!"/>
    <e v="#REF!"/>
  </r>
  <r>
    <s v="445662"/>
    <x v="6"/>
    <s v="TVA - D_20"/>
    <s v="AC"/>
    <n v="26.58"/>
    <d v="2025-04-29T00:00:00"/>
    <s v="PC HP ELITE 8100 TOUR INTEL I5-650 RAM 16GO HDD 500GO W10 WIFI"/>
    <m/>
    <s v="Non"/>
    <e v="#N/A"/>
    <n v="72627"/>
    <s v="403-3068210-5169135"/>
    <s v="DIVERS"/>
    <s v="Q2"/>
    <e v="#REF!"/>
    <e v="#REF!"/>
    <e v="#REF!"/>
  </r>
  <r>
    <s v="445662"/>
    <x v="6"/>
    <s v="TVA - D_20"/>
    <s v="AC"/>
    <n v="26.67"/>
    <d v="2025-12-08T00:00:00"/>
    <s v="PRODUIT MUSTANG"/>
    <m/>
    <e v="#N/A"/>
    <e v="#N/A"/>
    <n v="92995"/>
    <s v="4067894030"/>
    <s v="VWR AVANTOR"/>
    <s v="Q4"/>
    <e v="#REF!"/>
    <e v="#REF!"/>
    <e v="#REF!"/>
  </r>
  <r>
    <s v="445662"/>
    <x v="6"/>
    <s v="TVA - D_20"/>
    <s v="AC"/>
    <n v="26.8"/>
    <d v="2025-05-06T00:00:00"/>
    <s v="HYDROXYLAMINE SULFATE"/>
    <m/>
    <e v="#N/A"/>
    <e v="#N/A"/>
    <n v="72698"/>
    <s v="8053471633"/>
    <s v="Sigma-Aldrich chimie"/>
    <s v="Q2"/>
    <e v="#REF!"/>
    <e v="#REF!"/>
    <e v="#REF!"/>
  </r>
  <r>
    <s v="445662"/>
    <x v="6"/>
    <s v="TVA - D_20"/>
    <s v="AC"/>
    <n v="26.8"/>
    <d v="2025-07-22T00:00:00"/>
    <s v="HYDROXYLAMINE SULFATE POUR KEENY STEP 2"/>
    <m/>
    <e v="#N/A"/>
    <e v="#N/A"/>
    <n v="81330"/>
    <s v="8053513828"/>
    <s v="Sigma-Aldrich chimie"/>
    <s v="Q3"/>
    <e v="#REF!"/>
    <e v="#REF!"/>
    <e v="#REF!"/>
  </r>
  <r>
    <s v="445662"/>
    <x v="6"/>
    <s v="TVA - D_20"/>
    <s v="AC"/>
    <n v="27.01"/>
    <d v="2025-01-15T00:00:00"/>
    <s v="COMMANDE PRODUIT PHOENIX 2023"/>
    <m/>
    <e v="#N/A"/>
    <e v="#N/A"/>
    <n v="61262"/>
    <s v="4174814735"/>
    <s v="FISHER SCIENTIFIC"/>
    <s v="Q1"/>
    <e v="#REF!"/>
    <e v="#REF!"/>
    <e v="#REF!"/>
  </r>
  <r>
    <s v="445662"/>
    <x v="6"/>
    <s v="TVA - D_20"/>
    <s v="AC"/>
    <n v="27.52"/>
    <d v="2025-04-30T00:00:00"/>
    <s v="2-HYDROXYBENZIMIDAZOLE, 98 %, THERMO SCIENTIFIC CHEMICALS 2-HYDROXYBENZIMIDAZOLE, 98%,50G MÉTHANOL, CHROMASOLV™, POUR HPLC, ? 99"/>
    <m/>
    <e v="#N/A"/>
    <e v="#N/A"/>
    <n v="72648"/>
    <s v="4174966176"/>
    <s v="FISHER SCIENTIFIC"/>
    <s v="Q2"/>
    <e v="#REF!"/>
    <e v="#REF!"/>
    <e v="#REF!"/>
  </r>
  <r>
    <s v="445662"/>
    <x v="6"/>
    <s v="TVA - D_20"/>
    <s v="AC"/>
    <n v="27.69"/>
    <d v="2025-01-01T00:00:00"/>
    <s v="LOCATION BOUTEILLE GAZ SPÉCIAUX SMART"/>
    <m/>
    <e v="#N/A"/>
    <e v="#N/A"/>
    <n v="86989"/>
    <s v="5800263688"/>
    <s v="AIR LIQUIDE"/>
    <s v="Q1"/>
    <e v="#REF!"/>
    <e v="#REF!"/>
    <e v="#REF!"/>
  </r>
  <r>
    <s v="445662"/>
    <x v="6"/>
    <s v="TVA - D_20"/>
    <s v="AC"/>
    <n v="27.97"/>
    <d v="2025-06-19T00:00:00"/>
    <s v="DIPHOTÉRINE POUR ACCIDENT ACIDE OU BASE"/>
    <m/>
    <e v="#N/A"/>
    <e v="#N/A"/>
    <n v="78046"/>
    <s v="30"/>
    <s v="NMMEDICAL"/>
    <s v="Q2"/>
    <e v="#REF!"/>
    <e v="#REF!"/>
    <e v="#REF!"/>
  </r>
  <r>
    <s v="445662"/>
    <x v="6"/>
    <s v="TVA - D_20"/>
    <s v="AC"/>
    <n v="28"/>
    <d v="2025-06-30T00:00:00"/>
    <s v="RELECTURE TEXTE VOIX OFF ANGLAISE"/>
    <m/>
    <e v="#N/A"/>
    <e v="#N/A"/>
    <n v="78394"/>
    <s v="92861"/>
    <s v="TRANSPERFECT TRADUCTIONS"/>
    <s v="Q2"/>
    <e v="#REF!"/>
    <e v="#REF!"/>
    <e v="#REF!"/>
  </r>
  <r>
    <s v="445662"/>
    <x v="6"/>
    <s v="TVA - D_20"/>
    <s v="AC"/>
    <n v="28.1"/>
    <d v="2025-02-26T00:00:00"/>
    <s v="RECRUITER LITE (LICENCE 1) DU 26 FÉVRIER 2025 AU 26 MARS 2025"/>
    <s v="Non"/>
    <s v="Non"/>
    <e v="#N/A"/>
    <n v="72539"/>
    <s v="78177001133"/>
    <s v="LINKEDIN"/>
    <s v="Q1"/>
    <e v="#REF!"/>
    <e v="#REF!"/>
    <e v="#REF!"/>
  </r>
  <r>
    <s v="445662"/>
    <x v="6"/>
    <s v="TVA - D_20"/>
    <s v="AC"/>
    <n v="28.1"/>
    <d v="2025-11-26T00:00:00"/>
    <s v="ABONNEMENT MENSUEL LINKEDIN RECRUTEUR"/>
    <s v="Non"/>
    <s v="Non"/>
    <e v="#N/A"/>
    <n v="91821"/>
    <s v="6"/>
    <s v="LINKEDIN"/>
    <s v="Q4"/>
    <e v="#REF!"/>
    <e v="#REF!"/>
    <e v="#REF!"/>
  </r>
  <r>
    <s v="445662"/>
    <x v="6"/>
    <s v="TVA - D_20"/>
    <s v="AC"/>
    <n v="28.1"/>
    <d v="2025-12-26T00:00:00"/>
    <s v="ABONNEMENT MENSUEL LINKEDIN RECRUTEUR"/>
    <s v="Non"/>
    <s v="Non"/>
    <e v="#N/A"/>
    <n v="95736"/>
    <s v="2"/>
    <s v="LINKEDIN"/>
    <s v="Q4"/>
    <e v="#REF!"/>
    <e v="#REF!"/>
    <e v="#REF!"/>
  </r>
  <r>
    <s v="445662"/>
    <x v="6"/>
    <s v="TVA - D_20"/>
    <s v="AC"/>
    <n v="28.34"/>
    <d v="2025-01-13T00:00:00"/>
    <s v="SODIUM HYDROSULFITE, TECH., #85%"/>
    <m/>
    <e v="#N/A"/>
    <e v="#N/A"/>
    <n v="64000"/>
    <s v="4067609870"/>
    <s v="VWR AVANTOR"/>
    <s v="Q1"/>
    <e v="#REF!"/>
    <e v="#REF!"/>
    <e v="#REF!"/>
  </r>
  <r>
    <s v="445662"/>
    <x v="6"/>
    <s v="TVA - D_20"/>
    <s v="AC"/>
    <n v="28.58"/>
    <d v="2025-11-29T00:00:00"/>
    <s v="VERRERIE POUR LABORATOIRE R. ET DIVERS PETIT MATÉRIEL POUR PILOT / KL"/>
    <m/>
    <e v="#N/A"/>
    <e v="#N/A"/>
    <n v="92983"/>
    <s v="0190628"/>
    <s v="CLOUP"/>
    <s v="Q4"/>
    <e v="#REF!"/>
    <e v="#REF!"/>
    <e v="#REF!"/>
  </r>
  <r>
    <s v="445662"/>
    <x v="6"/>
    <s v="TVA - D_20"/>
    <s v="AC"/>
    <n v="28.65"/>
    <d v="2025-08-18T00:00:00"/>
    <s v="CONSOMMABLES LABO"/>
    <m/>
    <e v="#N/A"/>
    <e v="#N/A"/>
    <n v="81803"/>
    <s v="4067796293"/>
    <s v="VWR AVANTOR"/>
    <s v="Q3"/>
    <e v="#REF!"/>
    <e v="#REF!"/>
    <e v="#REF!"/>
  </r>
  <r>
    <s v="445662"/>
    <x v="6"/>
    <s v="TVA - D_20"/>
    <s v="AC"/>
    <n v="28.66"/>
    <d v="2025-01-15T00:00:00"/>
    <s v="AMPOULE À DÉCANTER GLASSCO GIL ROBINET PTFE"/>
    <m/>
    <e v="#N/A"/>
    <e v="#N/A"/>
    <n v="68957"/>
    <s v="186262"/>
    <s v="CLOUP"/>
    <s v="Q1"/>
    <e v="#REF!"/>
    <e v="#REF!"/>
    <e v="#REF!"/>
  </r>
  <r>
    <s v="445662"/>
    <x v="6"/>
    <s v="TVA - D_20"/>
    <s v="AC"/>
    <n v="28.73"/>
    <d v="2025-10-23T00:00:00"/>
    <s v="RÉAPPROVISIONNEMENT DES STOCKS DE PETIT CONSOMMABLE  GANTS DE MÉNAGE (POUR NOTRE TECHNICIEN ABEL) PRODUIT WC  RECHARGES SWIFFER"/>
    <m/>
    <e v="#N/A"/>
    <e v="#N/A"/>
    <n v="89638"/>
    <s v="30"/>
    <s v="BRUNEAU"/>
    <s v="Q4"/>
    <e v="#REF!"/>
    <e v="#REF!"/>
    <e v="#REF!"/>
  </r>
  <r>
    <s v="445662"/>
    <x v="6"/>
    <s v="TVA - D_20"/>
    <s v="AC"/>
    <n v="28.8"/>
    <d v="2025-07-16T00:00:00"/>
    <s v="SACS DE SABLES POUR LES CHIMISTES"/>
    <m/>
    <e v="#N/A"/>
    <e v="#N/A"/>
    <n v="82177"/>
    <s v="7"/>
    <s v="MANUTAN"/>
    <s v="Q3"/>
    <e v="#REF!"/>
    <e v="#REF!"/>
    <e v="#REF!"/>
  </r>
  <r>
    <s v="445662"/>
    <x v="6"/>
    <s v="TVA - D_20"/>
    <s v="AC"/>
    <n v="28.8"/>
    <d v="2025-12-03T00:00:00"/>
    <s v="RENOUVELLEMENT NOM DE DOMAINE"/>
    <m/>
    <e v="#N/A"/>
    <e v="#N/A"/>
    <n v="93932"/>
    <s v="2,02512E+12"/>
    <s v="GANDI"/>
    <s v="Q4"/>
    <e v="#REF!"/>
    <e v="#REF!"/>
    <e v="#REF!"/>
  </r>
  <r>
    <s v="445662"/>
    <x v="6"/>
    <s v="TVA - D_20"/>
    <s v="AC"/>
    <n v="28.92"/>
    <d v="2025-12-19T00:00:00"/>
    <s v="PRODUIT ANILINE"/>
    <m/>
    <e v="#N/A"/>
    <e v="#N/A"/>
    <n v="94289"/>
    <s v="4067904484"/>
    <s v="VWR AVANTOR"/>
    <s v="Q4"/>
    <e v="#REF!"/>
    <e v="#REF!"/>
    <e v="#REF!"/>
  </r>
  <r>
    <s v="445662"/>
    <x v="6"/>
    <s v="TVA - D_20"/>
    <s v="AC"/>
    <n v="29.16"/>
    <d v="2025-02-15T00:00:00"/>
    <s v="PARKAS THIBAULT + ANNE-SOPHIE"/>
    <m/>
    <e v="#N/A"/>
    <e v="#N/A"/>
    <n v="61497"/>
    <s v="132"/>
    <s v="PROLIANS"/>
    <s v="Q1"/>
    <e v="#REF!"/>
    <e v="#REF!"/>
    <e v="#REF!"/>
  </r>
  <r>
    <s v="445662"/>
    <x v="6"/>
    <s v="TVA - D_20"/>
    <s v="AC"/>
    <n v="29.43"/>
    <d v="2025-01-31T00:00:00"/>
    <s v="ENVOI SOFFEIERIA SESTERSE"/>
    <m/>
    <e v="#N/A"/>
    <e v="#N/A"/>
    <n v="74185"/>
    <s v="TLSIR01132497"/>
    <s v="DHL"/>
    <s v="Q1"/>
    <e v="#REF!"/>
    <e v="#REF!"/>
    <e v="#REF!"/>
  </r>
  <r>
    <s v="445662"/>
    <x v="6"/>
    <s v="TVA - D_20"/>
    <s v="AC"/>
    <n v="29.5"/>
    <d v="2025-09-19T00:00:00"/>
    <s v="LOCATION MINIBUS ÉQUIPE ROUSSILLON DÉPLACEMENT SÉMINAIRE PILI"/>
    <m/>
    <e v="#N/A"/>
    <e v="#N/A"/>
    <n v="82737"/>
    <s v="FC05250614"/>
    <s v="GINE-LOG"/>
    <s v="Q3"/>
    <e v="#REF!"/>
    <e v="#REF!"/>
    <e v="#REF!"/>
  </r>
  <r>
    <s v="445662"/>
    <x v="6"/>
    <s v="TVA - D_20"/>
    <s v="AC"/>
    <n v="29.73"/>
    <d v="2025-07-10T00:00:00"/>
    <s v="CRÉATION ARRIVÉE D'AIR ENTRÉE BÂTIMENT (POMPE DÉCHETS + KL + LABORATOIRE) + CHANGEMENT FILTRE ARRIVÉE PILOTE"/>
    <m/>
    <e v="#N/A"/>
    <e v="#N/A"/>
    <n v="80878"/>
    <s v="487019486"/>
    <s v="RS COMPONENT"/>
    <s v="Q3"/>
    <e v="#REF!"/>
    <e v="#REF!"/>
    <e v="#REF!"/>
  </r>
  <r>
    <s v="445662"/>
    <x v="6"/>
    <s v="TVA - D_20"/>
    <s v="AC"/>
    <n v="29.77"/>
    <d v="2025-02-28T00:00:00"/>
    <s v="BOUTEILLE GAZ SPÉCIAUX"/>
    <m/>
    <e v="#N/A"/>
    <e v="#N/A"/>
    <n v="76184"/>
    <s v="5800408744"/>
    <s v="AIR LIQUIDE"/>
    <s v="Q1"/>
    <e v="#REF!"/>
    <e v="#REF!"/>
    <e v="#REF!"/>
  </r>
  <r>
    <s v="445662"/>
    <x v="6"/>
    <s v="TVA - D_20"/>
    <s v="AC"/>
    <n v="29.77"/>
    <d v="2025-04-30T00:00:00"/>
    <s v="IMMOBILISATION BOUTEILLE GAZ SPÉCIAUX  LOCATION BOUTEILLE GAZ SPÉCIAUX"/>
    <m/>
    <e v="#N/A"/>
    <e v="#N/A"/>
    <n v="72636"/>
    <s v="5800549781"/>
    <s v="AIR LIQUIDE"/>
    <s v="Q2"/>
    <e v="#REF!"/>
    <e v="#REF!"/>
    <e v="#REF!"/>
  </r>
  <r>
    <s v="445662"/>
    <x v="6"/>
    <s v="TVA - D_20"/>
    <s v="AC"/>
    <n v="29.77"/>
    <d v="2025-06-30T00:00:00"/>
    <s v="LOCATION BOUTEILLE GAZ SPÉCIAUX SMART"/>
    <m/>
    <e v="#N/A"/>
    <e v="#N/A"/>
    <n v="78391"/>
    <s v="5800692163"/>
    <s v="AIR LIQUIDE"/>
    <s v="Q2"/>
    <e v="#REF!"/>
    <e v="#REF!"/>
    <e v="#REF!"/>
  </r>
  <r>
    <s v="445662"/>
    <x v="6"/>
    <s v="TVA - D_20"/>
    <s v="AC"/>
    <n v="29.77"/>
    <d v="2025-08-31T00:00:00"/>
    <s v="LOCATION BOUTEILLE GAZ SPÉCIAUX SMART"/>
    <m/>
    <e v="#N/A"/>
    <e v="#N/A"/>
    <n v="81881"/>
    <s v="5800831067"/>
    <s v="AIR LIQUIDE"/>
    <s v="Q3"/>
    <e v="#REF!"/>
    <e v="#REF!"/>
    <e v="#REF!"/>
  </r>
  <r>
    <s v="445662"/>
    <x v="6"/>
    <s v="TVA - D_20"/>
    <s v="AC"/>
    <n v="29.77"/>
    <d v="2025-11-30T00:00:00"/>
    <s v="LOCATION BOUTEILLE GAZ SPÉCIAUX SMART"/>
    <m/>
    <e v="#N/A"/>
    <e v="#N/A"/>
    <n v="94946"/>
    <s v="5801057271"/>
    <s v="AIR LIQUIDE"/>
    <s v="Q4"/>
    <e v="#REF!"/>
    <e v="#REF!"/>
    <e v="#REF!"/>
  </r>
  <r>
    <s v="445662"/>
    <x v="6"/>
    <s v="TVA - D_20"/>
    <s v="AC"/>
    <n v="29.8"/>
    <d v="2025-05-24T00:00:00"/>
    <s v="PRODUITS POUR VBIO ET V2020 AMINOIMINOMETHANESULFINIC ACID IRON II SULFATE HEPTAHYDRATE"/>
    <m/>
    <e v="#N/A"/>
    <e v="#N/A"/>
    <n v="78365"/>
    <s v="4"/>
    <s v="Sigma-Aldrich chimie"/>
    <s v="Q2"/>
    <e v="#REF!"/>
    <e v="#REF!"/>
    <e v="#REF!"/>
  </r>
  <r>
    <s v="445662"/>
    <x v="6"/>
    <s v="TVA - D_20"/>
    <s v="AC"/>
    <n v="29.99"/>
    <d v="2025-01-15T00:00:00"/>
    <s v="Facture Ricoh SEP 2024 - NOV 24"/>
    <m/>
    <e v="#N/A"/>
    <e v="#N/A"/>
    <n v="80818"/>
    <m/>
    <s v="RICOH"/>
    <s v="Q1"/>
    <e v="#REF!"/>
    <e v="#REF!"/>
    <e v="#REF!"/>
  </r>
  <r>
    <s v="445662"/>
    <x v="6"/>
    <s v="TVA - D_20"/>
    <s v="AC"/>
    <n v="30"/>
    <d v="2025-06-04T00:00:00"/>
    <s v="DEMANDE DE BREVET EN INDE (ÉTAT DE LA FAMILLE) - BREVET PHOENIX"/>
    <s v="Non"/>
    <s v="Oui"/>
    <e v="#N/A"/>
    <n v="76107"/>
    <s v="252550"/>
    <s v="BECKER"/>
    <s v="Q2"/>
    <e v="#REF!"/>
    <e v="#REF!"/>
    <e v="#REF!"/>
  </r>
  <r>
    <s v="445662"/>
    <x v="6"/>
    <s v="TVA - D_20"/>
    <s v="AC"/>
    <n v="30.2"/>
    <d v="2025-03-14T00:00:00"/>
    <s v="ENTONNOIR SECURITE PEHD"/>
    <m/>
    <e v="#N/A"/>
    <e v="#N/A"/>
    <n v="66104"/>
    <s v="187095"/>
    <s v="CLOUP"/>
    <s v="Q1"/>
    <e v="#REF!"/>
    <e v="#REF!"/>
    <e v="#REF!"/>
  </r>
  <r>
    <s v="445662"/>
    <x v="6"/>
    <s v="TVA - D_20"/>
    <s v="AC"/>
    <n v="30.31"/>
    <d v="2025-06-30T00:00:00"/>
    <s v="IMMOBILISATION BOUTEILLE GAZ SPÉCIAUX LOCATION BOUTEILLE GAZ SPÉCIAUX"/>
    <m/>
    <e v="#N/A"/>
    <e v="#N/A"/>
    <n v="78412"/>
    <s v="5800692918"/>
    <s v="AIR LIQUIDE"/>
    <s v="Q2"/>
    <e v="#REF!"/>
    <e v="#REF!"/>
    <e v="#REF!"/>
  </r>
  <r>
    <s v="445662"/>
    <x v="6"/>
    <s v="TVA - D_20"/>
    <s v="AC"/>
    <n v="30.4"/>
    <d v="2025-02-28T00:00:00"/>
    <s v="FACTURE COMPTE 63 36 37 23 (ROUSSILLON) LIGNES ANNE-SOPHIE, MAUD, YVES, THIBAULT"/>
    <m/>
    <e v="#N/A"/>
    <e v="#N/A"/>
    <n v="67818"/>
    <s v="7"/>
    <s v="ORANGE"/>
    <s v="Q1"/>
    <e v="#REF!"/>
    <e v="#REF!"/>
    <e v="#REF!"/>
  </r>
  <r>
    <s v="445662"/>
    <x v="6"/>
    <s v="TVA - D_20"/>
    <s v="AC"/>
    <n v="30.48"/>
    <d v="2025-11-20T00:00:00"/>
    <s v="ISOPROPYLACETATE POUR TESTS DÉCOLORATION CHIC"/>
    <m/>
    <e v="#N/A"/>
    <e v="#N/A"/>
    <n v="91946"/>
    <s v="8053576312"/>
    <s v="Sigma-Aldrich chimie"/>
    <s v="Q4"/>
    <e v="#REF!"/>
    <e v="#REF!"/>
    <e v="#REF!"/>
  </r>
  <r>
    <s v="445662"/>
    <x v="6"/>
    <s v="TVA - D_20"/>
    <s v="AC"/>
    <n v="30.5"/>
    <d v="2025-01-31T00:00:00"/>
    <s v="ORANGE ROUSSILLON"/>
    <m/>
    <e v="#N/A"/>
    <e v="#N/A"/>
    <n v="73646"/>
    <s v="89376299"/>
    <s v="ORANGE"/>
    <s v="Q1"/>
    <e v="#REF!"/>
    <e v="#REF!"/>
    <e v="#REF!"/>
  </r>
  <r>
    <s v="445662"/>
    <x v="6"/>
    <s v="TVA - D_20"/>
    <s v="AC"/>
    <n v="30.72"/>
    <d v="2025-07-31T00:00:00"/>
    <s v="CLARINETTE POUR KL"/>
    <m/>
    <e v="#N/A"/>
    <e v="#N/A"/>
    <n v="82282"/>
    <s v="14003587"/>
    <s v="OPTIMUS"/>
    <s v="Q3"/>
    <e v="#REF!"/>
    <e v="#REF!"/>
    <e v="#REF!"/>
  </r>
  <r>
    <s v="445662"/>
    <x v="6"/>
    <s v="TVA - D_20"/>
    <s v="AC"/>
    <n v="30.79"/>
    <d v="2025-04-10T00:00:00"/>
    <s v="CONSOMMABLES LABO R."/>
    <m/>
    <e v="#N/A"/>
    <e v="#N/A"/>
    <n v="69769"/>
    <s v="4176538"/>
    <s v="ROTH SOCHIEL"/>
    <s v="Q2"/>
    <e v="#REF!"/>
    <e v="#REF!"/>
    <e v="#REF!"/>
  </r>
  <r>
    <s v="445662"/>
    <x v="6"/>
    <s v="TVA - D_20"/>
    <s v="AC"/>
    <n v="31"/>
    <d v="2025-10-13T00:00:00"/>
    <s v="FLEXIBLE PU ANTISTATIQUE POUR RACCORDEMENT EN AIR DES VANNES TOR CADENAS DISJONCTEUR"/>
    <m/>
    <e v="#N/A"/>
    <e v="#N/A"/>
    <n v="89608"/>
    <s v="17"/>
    <s v="RS COMPONENT"/>
    <s v="Q4"/>
    <e v="#REF!"/>
    <e v="#REF!"/>
    <e v="#REF!"/>
  </r>
  <r>
    <s v="445662"/>
    <x v="6"/>
    <s v="TVA - D_20"/>
    <s v="AC"/>
    <n v="31.07"/>
    <d v="2025-05-06T00:00:00"/>
    <s v="DODÉCYLSULFATE SEL DE SODIUM LAB"/>
    <m/>
    <e v="#N/A"/>
    <e v="#N/A"/>
    <n v="72695"/>
    <s v="4067713927"/>
    <s v="VWR AVANTOR"/>
    <s v="Q2"/>
    <e v="#REF!"/>
    <e v="#REF!"/>
    <e v="#REF!"/>
  </r>
  <r>
    <s v="445662"/>
    <x v="6"/>
    <s v="TVA - D_20"/>
    <s v="AC"/>
    <n v="31.4"/>
    <d v="2025-01-29T00:00:00"/>
    <s v="INSTALLATION DU NOUVEAU POSTE À DISTANCE INSTALLATION DE L'AGENT DE SUPERVISIONS INSTALLATION DE L' ANTIVIRUS ENREGISTREMENT DAN"/>
    <m/>
    <e v="#N/A"/>
    <e v="#N/A"/>
    <n v="61336"/>
    <s v="140136"/>
    <s v="ARESCOM"/>
    <s v="Q1"/>
    <e v="#REF!"/>
    <e v="#REF!"/>
    <e v="#REF!"/>
  </r>
  <r>
    <s v="445662"/>
    <x v="6"/>
    <s v="TVA - D_20"/>
    <s v="AC"/>
    <n v="31.42"/>
    <d v="2025-02-10T00:00:00"/>
    <s v="SODIUM CARBONATE, 98%"/>
    <m/>
    <e v="#N/A"/>
    <e v="#N/A"/>
    <n v="64086"/>
    <s v="4067634589"/>
    <s v="VWR AVANTOR"/>
    <s v="Q1"/>
    <e v="#REF!"/>
    <e v="#REF!"/>
    <e v="#REF!"/>
  </r>
  <r>
    <s v="445662"/>
    <x v="6"/>
    <s v="TVA - D_20"/>
    <s v="AC"/>
    <n v="31.44"/>
    <d v="2025-03-31T00:00:00"/>
    <s v="FACTURE - CONCERNE LES 4 DERNIÈRES LIGNES ROUSSILLON  COMPTE 633 63 723 - MANDAT SEPA EN TRAITEMENT CHEZ ORANGE POUR PRÉLÈVEMENT"/>
    <m/>
    <e v="#N/A"/>
    <e v="#N/A"/>
    <n v="72590"/>
    <s v="89927071"/>
    <s v="ORANGE"/>
    <s v="Q1"/>
    <e v="#REF!"/>
    <e v="#REF!"/>
    <e v="#REF!"/>
  </r>
  <r>
    <s v="445662"/>
    <x v="6"/>
    <s v="TVA - D_20"/>
    <s v="AC"/>
    <n v="31.45"/>
    <d v="2025-07-31T00:00:00"/>
    <s v="FOURNITURES DE BUREAU ET PETIT CONSOMMABLE"/>
    <m/>
    <e v="#N/A"/>
    <e v="#N/A"/>
    <n v="82182"/>
    <s v="26.282.179"/>
    <s v="BRUNEAU"/>
    <s v="Q3"/>
    <e v="#REF!"/>
    <e v="#REF!"/>
    <e v="#REF!"/>
  </r>
  <r>
    <s v="445662"/>
    <x v="6"/>
    <s v="TVA - D_20"/>
    <s v="AC"/>
    <n v="31.6"/>
    <d v="2025-11-28T00:00:00"/>
    <s v="SOLVANTS POUR TESTS DÉCOLO CHIC + KEENY"/>
    <m/>
    <e v="#N/A"/>
    <e v="#N/A"/>
    <n v="91981"/>
    <s v="4185754"/>
    <s v="ROTH SOCHIEL"/>
    <s v="Q4"/>
    <e v="#REF!"/>
    <e v="#REF!"/>
    <e v="#REF!"/>
  </r>
  <r>
    <s v="445662"/>
    <x v="6"/>
    <s v="TVA - D_20"/>
    <s v="AC"/>
    <n v="32.11"/>
    <d v="2025-10-31T00:00:00"/>
    <s v="COMMANDE 3SKEY JB"/>
    <m/>
    <e v="#N/A"/>
    <e v="#N/A"/>
    <n v="87158"/>
    <s v="25100000000000028544"/>
    <s v="Banque Populaire Rive de Paris"/>
    <s v="Q4"/>
    <e v="#REF!"/>
    <e v="#REF!"/>
    <e v="#REF!"/>
  </r>
  <r>
    <s v="445662"/>
    <x v="6"/>
    <s v="TVA - D_20"/>
    <s v="AC"/>
    <n v="32.340000000000003"/>
    <d v="2025-07-01T00:00:00"/>
    <s v="COMMANDE CONSOMMABLE LABO"/>
    <m/>
    <e v="#N/A"/>
    <e v="#N/A"/>
    <n v="77321"/>
    <s v="4067761026"/>
    <s v="VWR AVANTOR"/>
    <s v="Q3"/>
    <e v="#REF!"/>
    <e v="#REF!"/>
    <e v="#REF!"/>
  </r>
  <r>
    <s v="445662"/>
    <x v="6"/>
    <s v="TVA - D_20"/>
    <s v="AC"/>
    <n v="32.479999999999997"/>
    <d v="2025-10-28T00:00:00"/>
    <s v="CONSOMMABLES LABO"/>
    <m/>
    <e v="#N/A"/>
    <e v="#N/A"/>
    <n v="89878"/>
    <s v="4067855750"/>
    <s v="VWR AVANTOR"/>
    <s v="Q4"/>
    <e v="#REF!"/>
    <e v="#REF!"/>
    <e v="#REF!"/>
  </r>
  <r>
    <s v="445662"/>
    <x v="6"/>
    <s v="TVA - D_20"/>
    <s v="AC"/>
    <n v="32.56"/>
    <d v="2025-03-06T00:00:00"/>
    <s v="COMMANDE PRODUIT KEENB"/>
    <m/>
    <e v="#N/A"/>
    <e v="#N/A"/>
    <n v="65973"/>
    <s v="8053436660"/>
    <s v="Sigma-Aldrich chimie"/>
    <s v="Q1"/>
    <e v="#REF!"/>
    <e v="#REF!"/>
    <e v="#REF!"/>
  </r>
  <r>
    <s v="445662"/>
    <x v="6"/>
    <s v="TVA - D_20"/>
    <s v="AC"/>
    <n v="33"/>
    <d v="2025-07-29T00:00:00"/>
    <s v="ENTRÉE ÉVÉNEMENT CHEMDAY"/>
    <m/>
    <e v="#N/A"/>
    <e v="#N/A"/>
    <n v="80899"/>
    <s v="22"/>
    <s v="CHIMIE PROMOTION"/>
    <s v="Q3"/>
    <e v="#REF!"/>
    <e v="#REF!"/>
    <e v="#REF!"/>
  </r>
  <r>
    <s v="445662"/>
    <x v="6"/>
    <s v="TVA - D_20"/>
    <s v="AC"/>
    <n v="33"/>
    <d v="2025-07-31T00:00:00"/>
    <s v="ATTESTATION BPI JUILLET 2025"/>
    <s v="Non"/>
    <s v="Non"/>
    <e v="#N/A"/>
    <n v="82713"/>
    <s v="EXP0007955"/>
    <s v="F2P AUDIT &amp; CONSEIL"/>
    <s v="Q3"/>
    <e v="#REF!"/>
    <e v="#REF!"/>
    <e v="#REF!"/>
  </r>
  <r>
    <s v="445662"/>
    <x v="6"/>
    <s v="TVA - D_20"/>
    <s v="AC"/>
    <n v="33.049999999999997"/>
    <d v="2025-02-19T00:00:00"/>
    <s v="2.5LT METHANOL CHROMASOLV, GRADIENT GRADE, FOR HPL"/>
    <m/>
    <e v="#N/A"/>
    <e v="#N/A"/>
    <n v="64104"/>
    <s v="4174862464"/>
    <s v="FISHER SCIENTIFIC"/>
    <s v="Q1"/>
    <e v="#REF!"/>
    <e v="#REF!"/>
    <e v="#REF!"/>
  </r>
  <r>
    <s v="445662"/>
    <x v="6"/>
    <s v="TVA - D_20"/>
    <s v="AC"/>
    <n v="33.22"/>
    <d v="2025-02-14T00:00:00"/>
    <s v="FOURNITURES ET CONSOMMABLES (ESSUIE-TOUT, PAPIER TOILETTE, PILES, CISEAUX, ...)"/>
    <m/>
    <e v="#N/A"/>
    <e v="#N/A"/>
    <n v="61494"/>
    <s v="131"/>
    <s v="BRUNEAU"/>
    <s v="Q1"/>
    <e v="#REF!"/>
    <e v="#REF!"/>
    <e v="#REF!"/>
  </r>
  <r>
    <s v="445662"/>
    <x v="6"/>
    <s v="TVA - D_20"/>
    <s v="AC"/>
    <n v="33.49"/>
    <d v="2025-06-30T00:00:00"/>
    <s v="TRANSPORT PRODUITS POUR ESSAIS 2 CHEZ ROUSSELET"/>
    <m/>
    <e v="#N/A"/>
    <e v="#N/A"/>
    <n v="78381"/>
    <s v="2506225"/>
    <s v="FILHOL"/>
    <s v="Q2"/>
    <e v="#REF!"/>
    <e v="#REF!"/>
    <e v="#REF!"/>
  </r>
  <r>
    <s v="445662"/>
    <x v="6"/>
    <s v="TVA - D_20"/>
    <s v="AC"/>
    <n v="33.78"/>
    <d v="2025-02-28T00:00:00"/>
    <s v="VÉRIFICATION PÉRIODIQUE GERBEUR ÉLECTRIQUE"/>
    <m/>
    <e v="#N/A"/>
    <e v="#N/A"/>
    <n v="61561"/>
    <s v="VE/2025/00637"/>
    <s v="ACRITEC"/>
    <s v="Q1"/>
    <e v="#REF!"/>
    <e v="#REF!"/>
    <e v="#REF!"/>
  </r>
  <r>
    <s v="445662"/>
    <x v="6"/>
    <s v="TVA - D_20"/>
    <s v="AC"/>
    <n v="34.11"/>
    <d v="2025-04-04T00:00:00"/>
    <s v="KIT SULFITE (11741014) ET RACCORD (10430464)"/>
    <m/>
    <e v="#N/A"/>
    <e v="#N/A"/>
    <n v="69710"/>
    <s v="36"/>
    <s v="FISHER SCIENTIFIC"/>
    <s v="Q2"/>
    <e v="#REF!"/>
    <e v="#REF!"/>
    <e v="#REF!"/>
  </r>
  <r>
    <s v="445662"/>
    <x v="6"/>
    <s v="TVA - D_20"/>
    <s v="AC"/>
    <n v="34.380000000000003"/>
    <d v="2025-01-09T00:00:00"/>
    <s v="MONARCH DNA CLEANUP COLUMNS ( SITE DE TOULOUSE)"/>
    <m/>
    <e v="#N/A"/>
    <e v="#N/A"/>
    <n v="61244"/>
    <s v="5138554"/>
    <s v="BIOLABS"/>
    <s v="Q1"/>
    <e v="#REF!"/>
    <e v="#REF!"/>
    <e v="#REF!"/>
  </r>
  <r>
    <s v="445662"/>
    <x v="6"/>
    <s v="TVA - D_20"/>
    <s v="AC"/>
    <n v="35"/>
    <d v="2025-02-05T00:00:00"/>
    <s v="COLONNE HPLC LABO ROUSSILLON"/>
    <m/>
    <e v="#N/A"/>
    <e v="#N/A"/>
    <n v="61411"/>
    <s v="CIFR-25000477"/>
    <s v="PHENOMENEX"/>
    <s v="Q1"/>
    <e v="#REF!"/>
    <e v="#REF!"/>
    <e v="#REF!"/>
  </r>
  <r>
    <s v="445662"/>
    <x v="6"/>
    <s v="TVA - D_20"/>
    <s v="AC"/>
    <n v="35"/>
    <d v="2025-02-28T00:00:00"/>
    <s v="CHARIOT À PLATEAUX ROTILABO ACIER INOX. 18/0, AVEC 2 PLATEAUX"/>
    <m/>
    <e v="#N/A"/>
    <e v="#N/A"/>
    <n v="64132"/>
    <s v="4174305"/>
    <s v="ROTH SOCHIEL"/>
    <s v="Q1"/>
    <e v="#REF!"/>
    <e v="#REF!"/>
    <e v="#REF!"/>
  </r>
  <r>
    <s v="445662"/>
    <x v="6"/>
    <s v="TVA - D_20"/>
    <s v="AC"/>
    <n v="35.119999999999997"/>
    <d v="2025-01-01T00:00:00"/>
    <s v="BOUTEILLE GAZ SPÉCIAUX"/>
    <m/>
    <e v="#N/A"/>
    <e v="#N/A"/>
    <n v="76172"/>
    <s v="5800265918"/>
    <s v="AIR LIQUIDE"/>
    <s v="Q1"/>
    <e v="#REF!"/>
    <e v="#REF!"/>
    <e v="#REF!"/>
  </r>
  <r>
    <s v="445662"/>
    <x v="6"/>
    <s v="TVA - D_20"/>
    <s v="AC"/>
    <n v="36.04"/>
    <d v="2025-01-27T00:00:00"/>
    <s v="BARYUM HYDROXIYE OCTAHYDRATÉ  MIN. 98 %, EXTRA-PUR NAPHTHOL-1  MIN. 99 %"/>
    <m/>
    <e v="#N/A"/>
    <e v="#N/A"/>
    <n v="64017"/>
    <s v="4172396"/>
    <s v="ROTH SOCHIEL"/>
    <s v="Q1"/>
    <e v="#REF!"/>
    <e v="#REF!"/>
    <e v="#REF!"/>
  </r>
  <r>
    <s v="445662"/>
    <x v="6"/>
    <s v="TVA - D_20"/>
    <s v="AC"/>
    <n v="36.28"/>
    <d v="2025-11-21T00:00:00"/>
    <s v="METHYLATE DE SODIUM POUR KEENY STEP 1 + CUVES UV"/>
    <m/>
    <e v="#N/A"/>
    <e v="#N/A"/>
    <n v="91952"/>
    <s v="4175244732"/>
    <s v="FISHER SCIENTIFIC"/>
    <s v="Q4"/>
    <e v="#REF!"/>
    <e v="#REF!"/>
    <e v="#REF!"/>
  </r>
  <r>
    <s v="445662"/>
    <x v="6"/>
    <s v="TVA - D_20"/>
    <s v="AC"/>
    <n v="36.72"/>
    <d v="2025-02-10T00:00:00"/>
    <s v="DIMETHYL SULFOXIDE 99%"/>
    <m/>
    <e v="#N/A"/>
    <e v="#N/A"/>
    <n v="64083"/>
    <s v="VRGG25-003327"/>
    <s v="ABCR"/>
    <s v="Q1"/>
    <e v="#REF!"/>
    <e v="#REF!"/>
    <e v="#REF!"/>
  </r>
  <r>
    <s v="445662"/>
    <x v="6"/>
    <s v="TVA - D_20"/>
    <s v="AC"/>
    <n v="36.729999999999997"/>
    <d v="2025-09-12T00:00:00"/>
    <s v="EXTENSION BREVET PHOENIX V20 AUX US"/>
    <s v="Non"/>
    <s v="Oui"/>
    <e v="#N/A"/>
    <n v="82345"/>
    <s v="254202"/>
    <s v="BECKER"/>
    <s v="Q3"/>
    <e v="#REF!"/>
    <e v="#REF!"/>
    <e v="#REF!"/>
  </r>
  <r>
    <s v="445662"/>
    <x v="6"/>
    <s v="TVA - D_20"/>
    <s v="AC"/>
    <n v="37.08"/>
    <d v="2025-04-23T00:00:00"/>
    <s v="MAINTENANCE GERBEUR : RÉPARATION BOUTON MONTÉE-BAISSE"/>
    <m/>
    <e v="#N/A"/>
    <e v="#N/A"/>
    <n v="82269"/>
    <s v="8802106422"/>
    <s v="FENWICK-LINDE"/>
    <s v="Q2"/>
    <e v="#REF!"/>
    <e v="#REF!"/>
    <e v="#REF!"/>
  </r>
  <r>
    <s v="445662"/>
    <x v="6"/>
    <s v="TVA - D_20"/>
    <s v="AC"/>
    <n v="37.35"/>
    <d v="2025-02-03T00:00:00"/>
    <s v="ELECTRICITÉ KB"/>
    <m/>
    <e v="#N/A"/>
    <e v="#N/A"/>
    <n v="73661"/>
    <s v="5,20E+11"/>
    <s v="ENGIE"/>
    <s v="Q1"/>
    <e v="#REF!"/>
    <e v="#REF!"/>
    <e v="#REF!"/>
  </r>
  <r>
    <s v="445662"/>
    <x v="6"/>
    <s v="TVA - D_20"/>
    <s v="AC"/>
    <n v="37.51"/>
    <d v="2025-05-02T00:00:00"/>
    <s v="ELECTRICITÉ KB"/>
    <m/>
    <e v="#N/A"/>
    <e v="#N/A"/>
    <n v="78746"/>
    <s v="970005348107"/>
    <s v="ENGIE"/>
    <s v="Q2"/>
    <e v="#REF!"/>
    <e v="#REF!"/>
    <e v="#REF!"/>
  </r>
  <r>
    <s v="445662"/>
    <x v="6"/>
    <s v="TVA - D_20"/>
    <s v="AC"/>
    <n v="37.6"/>
    <d v="2025-11-24T00:00:00"/>
    <s v="IMPRESSION KAKÉMONO ROUSSILLON, PAYEMENT 50% À LA COMMANDE"/>
    <m/>
    <e v="#N/A"/>
    <e v="#N/A"/>
    <n v="95131"/>
    <s v="FACT-20251124-00849"/>
    <s v="LE DISPLAY FRANCAIS"/>
    <s v="Q4"/>
    <e v="#REF!"/>
    <e v="#REF!"/>
    <e v="#REF!"/>
  </r>
  <r>
    <s v="445662"/>
    <x v="6"/>
    <s v="TVA - D_20"/>
    <s v="AC"/>
    <n v="37.799999999999997"/>
    <d v="2025-06-30T00:00:00"/>
    <s v="CARTOUCHES POUR L'EAU DÉMINÉRALISÉE"/>
    <m/>
    <e v="#N/A"/>
    <e v="#N/A"/>
    <n v="78400"/>
    <s v="0188670"/>
    <s v="CLOUP"/>
    <s v="Q2"/>
    <e v="#REF!"/>
    <e v="#REF!"/>
    <e v="#REF!"/>
  </r>
  <r>
    <s v="445662"/>
    <x v="6"/>
    <s v="TVA - D_20"/>
    <s v="AC"/>
    <n v="38"/>
    <d v="2025-10-21T00:00:00"/>
    <s v="MIGRATION WINDOWS 11"/>
    <m/>
    <e v="#N/A"/>
    <e v="#N/A"/>
    <n v="87287"/>
    <s v="144835"/>
    <s v="ARESCOM"/>
    <s v="Q4"/>
    <e v="#REF!"/>
    <e v="#REF!"/>
    <e v="#REF!"/>
  </r>
  <r>
    <s v="445662"/>
    <x v="6"/>
    <s v="TVA - D_20"/>
    <s v="AC"/>
    <n v="38"/>
    <d v="2025-11-24T00:00:00"/>
    <s v="PROJET VIDÉO - INSTALLATION FOND NOIR EN STUDIO"/>
    <m/>
    <e v="#N/A"/>
    <e v="#N/A"/>
    <n v="91958"/>
    <s v="2025 / 177"/>
    <s v="HIPOLITO"/>
    <s v="Q4"/>
    <e v="#REF!"/>
    <e v="#REF!"/>
    <e v="#REF!"/>
  </r>
  <r>
    <s v="445662"/>
    <x v="6"/>
    <s v="TVA - D_20"/>
    <s v="AC"/>
    <n v="38.020000000000003"/>
    <d v="2025-02-28T00:00:00"/>
    <s v="ALPHAGAZ 1 AZOTE BOUTEILLE SMARTOP 50L 200 BAR"/>
    <m/>
    <e v="#N/A"/>
    <e v="#N/A"/>
    <n v="87007"/>
    <s v="5800405597"/>
    <s v="AIR LIQUIDE"/>
    <s v="Q1"/>
    <e v="#REF!"/>
    <e v="#REF!"/>
    <e v="#REF!"/>
  </r>
  <r>
    <s v="445662"/>
    <x v="6"/>
    <s v="TVA - D_20"/>
    <s v="AC"/>
    <n v="38.020000000000003"/>
    <d v="2025-03-31T00:00:00"/>
    <s v="ALPHAGAZ 1 AZOTE BOUTEILLE SMARTOP 50L 200 BAR"/>
    <m/>
    <e v="#N/A"/>
    <e v="#N/A"/>
    <n v="67923"/>
    <s v="5800479122"/>
    <s v="AIR LIQUIDE"/>
    <s v="Q1"/>
    <e v="#REF!"/>
    <e v="#REF!"/>
    <e v="#REF!"/>
  </r>
  <r>
    <s v="445662"/>
    <x v="6"/>
    <s v="TVA - D_20"/>
    <s v="AC"/>
    <n v="38.020000000000003"/>
    <d v="2025-03-31T00:00:00"/>
    <s v="ALPHAGAZ 1 AZOTE BOUTEILLE SMARTOP 50L 200 BAR"/>
    <m/>
    <e v="#N/A"/>
    <e v="#N/A"/>
    <n v="87019"/>
    <s v="5800479131"/>
    <s v="AIR LIQUIDE"/>
    <s v="Q1"/>
    <e v="#REF!"/>
    <e v="#REF!"/>
    <e v="#REF!"/>
  </r>
  <r>
    <s v="445662"/>
    <x v="6"/>
    <s v="TVA - D_20"/>
    <s v="AC"/>
    <n v="38.020000000000003"/>
    <d v="2025-04-30T00:00:00"/>
    <s v="ALPHAGAZ 1 AZOTE BOUTEILLE SMARTOP 50L 200 BAR LIVRAISON INCLUSE JUSQU'À 8 EMBALLAGES"/>
    <m/>
    <e v="#N/A"/>
    <e v="#N/A"/>
    <n v="72658"/>
    <s v="5800552826"/>
    <s v="AIR LIQUIDE"/>
    <s v="Q2"/>
    <e v="#REF!"/>
    <e v="#REF!"/>
    <e v="#REF!"/>
  </r>
  <r>
    <s v="445662"/>
    <x v="6"/>
    <s v="TVA - D_20"/>
    <s v="AC"/>
    <n v="38.18"/>
    <d v="2025-08-22T00:00:00"/>
    <s v="RACCORD DÉTENDEUR"/>
    <m/>
    <e v="#N/A"/>
    <e v="#N/A"/>
    <n v="81870"/>
    <s v="5800795390"/>
    <s v="AIR LIQUIDE"/>
    <s v="Q3"/>
    <e v="#REF!"/>
    <e v="#REF!"/>
    <e v="#REF!"/>
  </r>
  <r>
    <s v="445662"/>
    <x v="6"/>
    <s v="TVA - D_20"/>
    <s v="AC"/>
    <n v="38.479999999999997"/>
    <d v="2025-07-11T00:00:00"/>
    <s v="RACCORDS"/>
    <m/>
    <e v="#N/A"/>
    <e v="#N/A"/>
    <n v="80881"/>
    <s v="487047790"/>
    <s v="RS COMPONENT"/>
    <s v="Q3"/>
    <e v="#REF!"/>
    <e v="#REF!"/>
    <e v="#REF!"/>
  </r>
  <r>
    <s v="445662"/>
    <x v="6"/>
    <s v="TVA - D_20"/>
    <s v="AC"/>
    <n v="38.61"/>
    <d v="2025-03-21T00:00:00"/>
    <s v="COPIEURS"/>
    <m/>
    <e v="#N/A"/>
    <e v="#N/A"/>
    <n v="81198"/>
    <s v="927033166"/>
    <s v="RICOH"/>
    <s v="Q1"/>
    <e v="#REF!"/>
    <e v="#REF!"/>
    <e v="#REF!"/>
  </r>
  <r>
    <s v="445662"/>
    <x v="6"/>
    <s v="TVA - D_20"/>
    <s v="AC"/>
    <n v="38.85"/>
    <d v="2025-01-31T00:00:00"/>
    <s v="PAPIER TOILETTE, ESSUIE TOUT, LIQUIDE VAISSELLE, ETC."/>
    <m/>
    <e v="#N/A"/>
    <e v="#N/A"/>
    <n v="61358"/>
    <s v="77"/>
    <s v="BRUNEAU"/>
    <s v="Q1"/>
    <e v="#REF!"/>
    <e v="#REF!"/>
    <e v="#REF!"/>
  </r>
  <r>
    <s v="445662"/>
    <x v="6"/>
    <s v="TVA - D_20"/>
    <s v="AC"/>
    <n v="38.950000000000003"/>
    <d v="2025-06-20T00:00:00"/>
    <s v="COMMANDE DE ROUSSILLON : BESOIN DE MATÉRIEL SUPPLÉMENTAIRE (CAHIERS, CARTOUCHES, RUBAN, CLÉ USB) - CONTACT MARIE REZEAU - TEAMS"/>
    <m/>
    <e v="#N/A"/>
    <e v="#N/A"/>
    <n v="78049"/>
    <s v="31"/>
    <s v="BRUNEAU"/>
    <s v="Q2"/>
    <e v="#REF!"/>
    <e v="#REF!"/>
    <e v="#REF!"/>
  </r>
  <r>
    <s v="445662"/>
    <x v="6"/>
    <s v="TVA - D_20"/>
    <s v="AC"/>
    <n v="39.17"/>
    <d v="2025-02-06T00:00:00"/>
    <s v="PHMÈTRE REF: 701012"/>
    <m/>
    <s v="Non"/>
    <e v="#N/A"/>
    <n v="61433"/>
    <s v="108"/>
    <s v="DIVERS"/>
    <s v="Q1"/>
    <e v="#REF!"/>
    <e v="#REF!"/>
    <e v="#REF!"/>
  </r>
  <r>
    <s v="445662"/>
    <x v="6"/>
    <s v="TVA - D_20"/>
    <s v="AC"/>
    <n v="39.22"/>
    <d v="2025-02-25T00:00:00"/>
    <s v="RÉACTIFS DEV"/>
    <m/>
    <e v="#N/A"/>
    <e v="#N/A"/>
    <n v="64121"/>
    <s v="8053430930"/>
    <s v="Sigma-Aldrich chimie"/>
    <s v="Q1"/>
    <e v="#REF!"/>
    <e v="#REF!"/>
    <e v="#REF!"/>
  </r>
  <r>
    <s v="445662"/>
    <x v="6"/>
    <s v="TVA - D_20"/>
    <s v="AC"/>
    <n v="39.4"/>
    <d v="2025-09-26T00:00:00"/>
    <s v="COMMANDE PRODUIT KEENB"/>
    <m/>
    <e v="#N/A"/>
    <e v="#N/A"/>
    <n v="85137"/>
    <s v="4067827511"/>
    <s v="VWR AVANTOR"/>
    <s v="Q3"/>
    <e v="#REF!"/>
    <e v="#REF!"/>
    <e v="#REF!"/>
  </r>
  <r>
    <s v="445662"/>
    <x v="6"/>
    <s v="TVA - D_20"/>
    <s v="AC"/>
    <n v="39.799999999999997"/>
    <d v="2025-05-31T00:00:00"/>
    <s v="ELECTRICITÉ KB"/>
    <m/>
    <e v="#N/A"/>
    <e v="#N/A"/>
    <n v="78773"/>
    <s v="520001657014"/>
    <s v="ENGIE"/>
    <s v="Q2"/>
    <e v="#REF!"/>
    <e v="#REF!"/>
    <e v="#REF!"/>
  </r>
  <r>
    <s v="445662"/>
    <x v="6"/>
    <s v="TVA - D_20"/>
    <s v="AC"/>
    <n v="39.86"/>
    <d v="2025-05-19T00:00:00"/>
    <s v="COMMANDE PRODUIT LABO"/>
    <m/>
    <e v="#N/A"/>
    <e v="#N/A"/>
    <n v="74440"/>
    <s v="4067723324"/>
    <s v="VWR AVANTOR"/>
    <s v="Q2"/>
    <e v="#REF!"/>
    <e v="#REF!"/>
    <e v="#REF!"/>
  </r>
  <r>
    <s v="445662"/>
    <x v="6"/>
    <s v="TVA - D_20"/>
    <s v="AC"/>
    <n v="40.18"/>
    <d v="2025-01-01T00:00:00"/>
    <s v="FACTURE  DÉCEMBRE 2024"/>
    <m/>
    <e v="#N/A"/>
    <e v="#N/A"/>
    <n v="76175"/>
    <s v="89030478"/>
    <s v="ORANGE"/>
    <s v="Q1"/>
    <e v="#REF!"/>
    <e v="#REF!"/>
    <e v="#REF!"/>
  </r>
  <r>
    <s v="445662"/>
    <x v="6"/>
    <s v="TVA - D_20"/>
    <s v="AC"/>
    <n v="40.18"/>
    <d v="2025-01-31T00:00:00"/>
    <s v="FACTURE  JANVIER 2025"/>
    <m/>
    <e v="#N/A"/>
    <e v="#N/A"/>
    <n v="76181"/>
    <s v="89370326"/>
    <s v="ORANGE"/>
    <s v="Q1"/>
    <e v="#REF!"/>
    <e v="#REF!"/>
    <e v="#REF!"/>
  </r>
  <r>
    <s v="445662"/>
    <x v="6"/>
    <s v="TVA - D_20"/>
    <s v="AC"/>
    <n v="40.22"/>
    <d v="2025-06-25T00:00:00"/>
    <s v="COPIEURS"/>
    <m/>
    <e v="#N/A"/>
    <e v="#N/A"/>
    <n v="78778"/>
    <s v="927157818"/>
    <s v="RICOH"/>
    <s v="Q2"/>
    <e v="#REF!"/>
    <e v="#REF!"/>
    <e v="#REF!"/>
  </r>
  <r>
    <s v="401000"/>
    <x v="6"/>
    <s v="FOURNISSEURS"/>
    <s v="BPRI"/>
    <n v="32.020000000000003"/>
    <d v="2025-12-04T00:00:00"/>
    <s v="/SQTP/RCUR/LIB/PRLV SEPA EAU DU GRAND LYON - L/LIB/EAU DU GRAND LYON - LA R/LIB/EGL EAU 2041281 1009543685/LIB/XX703222347SEPA"/>
    <m/>
    <e v="#N/A"/>
    <e v="#N/A"/>
    <n v="91328"/>
    <m/>
    <s v="EAU DU GRAND LYON"/>
    <s v="Q4"/>
    <e v="#REF!"/>
    <e v="#REF!"/>
    <e v="#REF!"/>
  </r>
  <r>
    <s v="445662"/>
    <x v="6"/>
    <s v="TVA - D_20"/>
    <s v="AC"/>
    <n v="40.36"/>
    <d v="2025-02-04T00:00:00"/>
    <s v="ACCESSOIRE KL - FLACONS LAVEURS -  VERRERIE VILLERUBANNE"/>
    <m/>
    <s v="Non"/>
    <e v="#N/A"/>
    <n v="64541"/>
    <s v="10000516"/>
    <s v="DIVERS"/>
    <s v="Q1"/>
    <e v="#REF!"/>
    <e v="#REF!"/>
    <e v="#REF!"/>
  </r>
  <r>
    <s v="445662"/>
    <x v="6"/>
    <s v="TVA - D_20"/>
    <s v="AC"/>
    <n v="40.42"/>
    <d v="2025-03-31T00:00:00"/>
    <s v="FACTURE DE MARS 2025"/>
    <m/>
    <e v="#N/A"/>
    <e v="#N/A"/>
    <n v="67917"/>
    <s v="90034605"/>
    <s v="ORANGE"/>
    <s v="Q1"/>
    <e v="#REF!"/>
    <e v="#REF!"/>
    <e v="#REF!"/>
  </r>
  <r>
    <s v="445662"/>
    <x v="6"/>
    <s v="TVA - D_20"/>
    <s v="AC"/>
    <n v="40.6"/>
    <d v="2025-07-22T00:00:00"/>
    <s v="COMMANDE CONSOMMABLE LABO"/>
    <m/>
    <e v="#N/A"/>
    <e v="#N/A"/>
    <n v="78932"/>
    <s v="4067777337"/>
    <s v="VWR AVANTOR"/>
    <s v="Q3"/>
    <e v="#REF!"/>
    <e v="#REF!"/>
    <e v="#REF!"/>
  </r>
  <r>
    <s v="445662"/>
    <x v="6"/>
    <s v="TVA - D_20"/>
    <s v="AC"/>
    <n v="41.16"/>
    <d v="2025-02-15T00:00:00"/>
    <s v="Facture Ricoh DEC 2024 - FEV 25"/>
    <m/>
    <e v="#N/A"/>
    <e v="#N/A"/>
    <n v="80814"/>
    <m/>
    <s v="RICOH"/>
    <s v="Q1"/>
    <e v="#REF!"/>
    <e v="#REF!"/>
    <e v="#REF!"/>
  </r>
  <r>
    <s v="445662"/>
    <x v="6"/>
    <s v="TVA - D_20"/>
    <s v="AC"/>
    <n v="41.39"/>
    <d v="2025-12-22T00:00:00"/>
    <s v="PACK TRANQUILLITÉ AVANTAGE COPIEURS"/>
    <m/>
    <e v="#N/A"/>
    <e v="#N/A"/>
    <n v="97056"/>
    <s v="927401445"/>
    <s v="RICOH"/>
    <s v="Q4"/>
    <e v="#REF!"/>
    <e v="#REF!"/>
    <e v="#REF!"/>
  </r>
  <r>
    <s v="445662"/>
    <x v="6"/>
    <s v="TVA - D_20"/>
    <s v="AC"/>
    <n v="41.6"/>
    <d v="2025-01-30T00:00:00"/>
    <s v="RÉACTIFS DEV"/>
    <m/>
    <e v="#N/A"/>
    <e v="#N/A"/>
    <n v="64025"/>
    <s v="8053416259"/>
    <s v="Sigma-Aldrich chimie"/>
    <s v="Q1"/>
    <e v="#REF!"/>
    <e v="#REF!"/>
    <e v="#REF!"/>
  </r>
  <r>
    <s v="445662"/>
    <x v="6"/>
    <s v="TVA - D_20"/>
    <s v="AC"/>
    <n v="41.6"/>
    <d v="2025-07-07T00:00:00"/>
    <s v="MAINTENANCE/RÉPARATION DES 4 DÉTECTEURS HCN DU LABO"/>
    <m/>
    <e v="#N/A"/>
    <e v="#N/A"/>
    <n v="78982"/>
    <s v="FC96970"/>
    <s v="GAZ DETECT"/>
    <s v="Q3"/>
    <e v="#REF!"/>
    <e v="#REF!"/>
    <e v="#REF!"/>
  </r>
  <r>
    <s v="445662"/>
    <x v="6"/>
    <s v="TVA - D_20"/>
    <s v="AC"/>
    <n v="41.74"/>
    <d v="2025-11-12T00:00:00"/>
    <s v="PRODUIT KEENY"/>
    <m/>
    <e v="#N/A"/>
    <e v="#N/A"/>
    <n v="89969"/>
    <s v="VRGG25-025479"/>
    <s v="ABCR"/>
    <s v="Q4"/>
    <e v="#REF!"/>
    <e v="#REF!"/>
    <e v="#REF!"/>
  </r>
  <r>
    <s v="445662"/>
    <x v="6"/>
    <s v="TVA - D_20"/>
    <s v="AC"/>
    <n v="41.77"/>
    <d v="2025-03-17T00:00:00"/>
    <s v="SEAU TRANSPARENT"/>
    <m/>
    <e v="#N/A"/>
    <e v="#N/A"/>
    <n v="67844"/>
    <s v="16"/>
    <s v="MANUTAN"/>
    <s v="Q1"/>
    <e v="#REF!"/>
    <e v="#REF!"/>
    <e v="#REF!"/>
  </r>
  <r>
    <s v="445662"/>
    <x v="6"/>
    <s v="TVA - D_20"/>
    <s v="AC"/>
    <n v="41.77"/>
    <d v="2025-07-24T00:00:00"/>
    <s v="SEAUX 5L"/>
    <m/>
    <e v="#N/A"/>
    <e v="#N/A"/>
    <n v="80889"/>
    <s v="M010330293"/>
    <s v="MANUTAN"/>
    <s v="Q3"/>
    <e v="#REF!"/>
    <e v="#REF!"/>
    <e v="#REF!"/>
  </r>
  <r>
    <s v="445662"/>
    <x v="6"/>
    <s v="TVA - D_20"/>
    <s v="AC"/>
    <n v="41.8"/>
    <d v="2025-04-01T00:00:00"/>
    <s v="ROULEAU ABSORBANT ET SURCHAUSSURE"/>
    <m/>
    <e v="#N/A"/>
    <e v="#N/A"/>
    <n v="69684"/>
    <s v="922049943"/>
    <s v="DENIOS"/>
    <s v="Q2"/>
    <e v="#REF!"/>
    <e v="#REF!"/>
    <e v="#REF!"/>
  </r>
  <r>
    <s v="445662"/>
    <x v="6"/>
    <s v="TVA - D_20"/>
    <s v="AC"/>
    <n v="42.5"/>
    <d v="2025-02-20T00:00:00"/>
    <s v="GANT NITRILE ÉPAIS MANCHE LONGUE"/>
    <m/>
    <s v="Non"/>
    <e v="#N/A"/>
    <n v="61540"/>
    <s v="148"/>
    <s v="DIVERS"/>
    <s v="Q1"/>
    <e v="#REF!"/>
    <e v="#REF!"/>
    <e v="#REF!"/>
  </r>
  <r>
    <s v="445662"/>
    <x v="6"/>
    <s v="TVA - D_20"/>
    <s v="AC"/>
    <n v="42.91"/>
    <d v="2025-04-30T00:00:00"/>
    <s v="MANCHETTES A956359 X100"/>
    <m/>
    <e v="#N/A"/>
    <e v="#N/A"/>
    <n v="72645"/>
    <s v="M010022895"/>
    <s v="MANUTAN"/>
    <s v="Q2"/>
    <e v="#REF!"/>
    <e v="#REF!"/>
    <e v="#REF!"/>
  </r>
  <r>
    <s v="445662"/>
    <x v="6"/>
    <s v="TVA - D_20"/>
    <s v="AC"/>
    <n v="43.12"/>
    <d v="2025-01-29T00:00:00"/>
    <s v="DIMETHYL SULFOXIDE 99%"/>
    <m/>
    <e v="#N/A"/>
    <e v="#N/A"/>
    <n v="64020"/>
    <s v="VRGG25-002237"/>
    <s v="ABCR"/>
    <s v="Q1"/>
    <e v="#REF!"/>
    <e v="#REF!"/>
    <e v="#REF!"/>
  </r>
  <r>
    <s v="445662"/>
    <x v="6"/>
    <s v="TVA - D_20"/>
    <s v="AC"/>
    <n v="43.2"/>
    <d v="2025-01-01T00:00:00"/>
    <s v="KIT 3 JOINTS PTFE POUR GUIDE D'AGITATION"/>
    <m/>
    <e v="#N/A"/>
    <e v="#N/A"/>
    <n v="67798"/>
    <s v="742"/>
    <s v="ALGOCHEM"/>
    <s v="Q1"/>
    <e v="#REF!"/>
    <e v="#REF!"/>
    <e v="#REF!"/>
  </r>
  <r>
    <s v="445662"/>
    <x v="6"/>
    <s v="TVA - D_20"/>
    <s v="AC"/>
    <n v="43.31"/>
    <d v="2025-03-31T00:00:00"/>
    <s v="FRAIS BANCAIRES"/>
    <m/>
    <e v="#N/A"/>
    <e v="#N/A"/>
    <n v="72584"/>
    <s v="2,50E+19"/>
    <s v="Banque Populaire Rive de Paris"/>
    <s v="Q1"/>
    <e v="#REF!"/>
    <e v="#REF!"/>
    <e v="#REF!"/>
  </r>
  <r>
    <s v="445662"/>
    <x v="6"/>
    <s v="TVA - D_20"/>
    <s v="AC"/>
    <n v="43.94"/>
    <d v="2025-12-22T00:00:00"/>
    <s v="DIVERS CONSOMMABLES LABO ROUSSILLON"/>
    <m/>
    <e v="#N/A"/>
    <e v="#N/A"/>
    <n v="94894"/>
    <s v="4186592"/>
    <s v="ROTH SOCHIEL"/>
    <s v="Q4"/>
    <e v="#REF!"/>
    <e v="#REF!"/>
    <e v="#REF!"/>
  </r>
  <r>
    <s v="445662"/>
    <x v="6"/>
    <s v="TVA - D_20"/>
    <s v="AC"/>
    <n v="44"/>
    <d v="2025-07-01T00:00:00"/>
    <s v="ELECTRICITÉ"/>
    <m/>
    <e v="#N/A"/>
    <e v="#N/A"/>
    <n v="78781"/>
    <s v="420007146056"/>
    <s v="ENGIE"/>
    <s v="Q3"/>
    <e v="#REF!"/>
    <e v="#REF!"/>
    <e v="#REF!"/>
  </r>
  <r>
    <s v="445662"/>
    <x v="6"/>
    <s v="TVA - D_20"/>
    <s v="AC"/>
    <n v="44.15"/>
    <d v="2025-03-06T00:00:00"/>
    <s v="MAINTENANCE GERBEUR : RÉPARATION BOUTON MONTÉE-BAISSE"/>
    <m/>
    <e v="#N/A"/>
    <e v="#N/A"/>
    <n v="81309"/>
    <s v="8802089097"/>
    <s v="FENWICK-LINDE"/>
    <s v="Q1"/>
    <e v="#REF!"/>
    <e v="#REF!"/>
    <e v="#REF!"/>
  </r>
  <r>
    <s v="445662"/>
    <x v="6"/>
    <s v="TVA - D_20"/>
    <s v="AC"/>
    <n v="44.2"/>
    <d v="2025-05-21T00:00:00"/>
    <s v="BOUCHONS MOULÉS"/>
    <m/>
    <e v="#N/A"/>
    <e v="#N/A"/>
    <n v="94878"/>
    <s v="FRFQ24183"/>
    <s v="COTRAL LAB"/>
    <s v="Q2"/>
    <e v="#REF!"/>
    <e v="#REF!"/>
    <e v="#REF!"/>
  </r>
  <r>
    <s v="445662"/>
    <x v="6"/>
    <s v="TVA - D_20"/>
    <s v="AC"/>
    <n v="44.6"/>
    <d v="2025-09-24T00:00:00"/>
    <s v="PRESTATION COACHING DE LUCIE CREPIN MANAGER"/>
    <m/>
    <s v="Non"/>
    <e v="#N/A"/>
    <n v="82745"/>
    <s v="F2025-028"/>
    <s v="BERNARD SEMBEILLES CONSULTING"/>
    <s v="Q3"/>
    <e v="#REF!"/>
    <e v="#REF!"/>
    <e v="#REF!"/>
  </r>
  <r>
    <s v="445662"/>
    <x v="6"/>
    <s v="TVA - D_20"/>
    <s v="AC"/>
    <n v="44.6"/>
    <d v="2025-12-17T00:00:00"/>
    <s v="PRESTATION COACHING MANAGER"/>
    <m/>
    <s v="Non"/>
    <e v="#N/A"/>
    <n v="93007"/>
    <s v="F2025-048"/>
    <s v="BERNARD SEMBEILLES CONSULTING"/>
    <s v="Q4"/>
    <e v="#REF!"/>
    <e v="#REF!"/>
    <e v="#REF!"/>
  </r>
  <r>
    <s v="445662"/>
    <x v="6"/>
    <s v="TVA - D_20"/>
    <s v="AC"/>
    <n v="45.76"/>
    <d v="2025-10-31T00:00:00"/>
    <s v="MAINTENANCE OSIRIS CARDANS KL"/>
    <s v="Non"/>
    <s v="Non"/>
    <e v="#N/A"/>
    <n v="89884"/>
    <s v="93813939"/>
    <s v="OSIRIS"/>
    <s v="Q4"/>
    <e v="#REF!"/>
    <e v="#REF!"/>
    <e v="#REF!"/>
  </r>
  <r>
    <s v="445662"/>
    <x v="6"/>
    <s v="TVA - D_20"/>
    <s v="AC"/>
    <n v="46.04"/>
    <d v="2025-09-15T00:00:00"/>
    <s v="BOISSONS SÉMINAIRE"/>
    <m/>
    <e v="#N/A"/>
    <e v="#N/A"/>
    <n v="82994"/>
    <s v="945460859"/>
    <s v="INTERMARCHE"/>
    <s v="Q3"/>
    <e v="#REF!"/>
    <e v="#REF!"/>
    <e v="#REF!"/>
  </r>
  <r>
    <s v="445662"/>
    <x v="6"/>
    <s v="TVA - D_20"/>
    <s v="AC"/>
    <n v="46.62"/>
    <d v="2025-07-17T00:00:00"/>
    <s v="JOINTS ÉTANCHÉITÉ KL POUR MAINTENANCE JUILLET - URGENT"/>
    <m/>
    <e v="#N/A"/>
    <e v="#N/A"/>
    <n v="82272"/>
    <s v="14003548"/>
    <s v="OPTIMUS"/>
    <s v="Q3"/>
    <e v="#REF!"/>
    <e v="#REF!"/>
    <e v="#REF!"/>
  </r>
  <r>
    <s v="445662"/>
    <x v="6"/>
    <s v="TVA - D_20"/>
    <s v="AC"/>
    <n v="47.23"/>
    <d v="2025-06-24T00:00:00"/>
    <s v="COMMANDE CONSOMMABLE LABO"/>
    <m/>
    <e v="#N/A"/>
    <e v="#N/A"/>
    <n v="77283"/>
    <s v="4067753049"/>
    <s v="VWR AVANTOR"/>
    <s v="Q2"/>
    <e v="#REF!"/>
    <e v="#REF!"/>
    <e v="#REF!"/>
  </r>
  <r>
    <s v="445662"/>
    <x v="6"/>
    <s v="TVA - D_20"/>
    <s v="AC"/>
    <n v="47.68"/>
    <d v="2025-06-30T00:00:00"/>
    <s v="COMMANDE PRODUIT POUR LABO"/>
    <m/>
    <e v="#N/A"/>
    <e v="#N/A"/>
    <n v="77315"/>
    <s v="4067758783"/>
    <s v="VWR AVANTOR"/>
    <s v="Q2"/>
    <e v="#REF!"/>
    <e v="#REF!"/>
    <e v="#REF!"/>
  </r>
  <r>
    <s v="445662"/>
    <x v="6"/>
    <s v="TVA - D_20"/>
    <s v="AC"/>
    <n v="47.75"/>
    <d v="2025-03-31T00:00:00"/>
    <s v="ELECTRICITE KB"/>
    <m/>
    <e v="#N/A"/>
    <e v="#N/A"/>
    <n v="72593"/>
    <s v="4,20E+11"/>
    <s v="ENGIE"/>
    <s v="Q1"/>
    <e v="#REF!"/>
    <e v="#REF!"/>
    <e v="#REF!"/>
  </r>
  <r>
    <s v="445662"/>
    <x v="6"/>
    <s v="TVA - D_20"/>
    <s v="AC"/>
    <n v="47.97"/>
    <d v="2025-12-12T00:00:00"/>
    <s v="ÉTIQUETTES CLP POUR ÉCHANTILLONS ROUSSILLON"/>
    <m/>
    <e v="#N/A"/>
    <e v="#N/A"/>
    <n v="93968"/>
    <s v="9302081956"/>
    <s v="BRADY GROUPE"/>
    <s v="Q4"/>
    <e v="#REF!"/>
    <e v="#REF!"/>
    <e v="#REF!"/>
  </r>
  <r>
    <s v="445662"/>
    <x v="6"/>
    <s v="TVA - D_20"/>
    <s v="AC"/>
    <n v="48"/>
    <d v="2025-01-23T00:00:00"/>
    <s v="PRISE EN MAIN MOTS DE PASSES FINANCE, CDG ET OFFICE MANAGEMENT DANS COFFRE FORT CRYPTÉ"/>
    <m/>
    <s v="Non"/>
    <e v="#N/A"/>
    <n v="61301"/>
    <s v="55"/>
    <s v="DIVERS"/>
    <s v="Q1"/>
    <e v="#REF!"/>
    <e v="#REF!"/>
    <e v="#REF!"/>
  </r>
  <r>
    <s v="445662"/>
    <x v="6"/>
    <s v="TVA - D_20"/>
    <s v="AC"/>
    <n v="48"/>
    <d v="2025-07-31T00:00:00"/>
    <s v="JUILLET DÉCAPAGE DES SOLS"/>
    <m/>
    <e v="#N/A"/>
    <e v="#N/A"/>
    <n v="81759"/>
    <s v="251P1197"/>
    <s v="GSF"/>
    <s v="Q3"/>
    <e v="#REF!"/>
    <e v="#REF!"/>
    <e v="#REF!"/>
  </r>
  <r>
    <s v="445662"/>
    <x v="6"/>
    <s v="TVA - D_20"/>
    <s v="AC"/>
    <n v="48.05"/>
    <d v="2025-10-13T00:00:00"/>
    <s v="PRODUITS LISA"/>
    <m/>
    <e v="#N/A"/>
    <e v="#N/A"/>
    <n v="87278"/>
    <s v="4067842722"/>
    <s v="VWR AVANTOR"/>
    <s v="Q4"/>
    <e v="#REF!"/>
    <e v="#REF!"/>
    <e v="#REF!"/>
  </r>
  <r>
    <s v="445662"/>
    <x v="6"/>
    <s v="TVA - D_20"/>
    <s v="AC"/>
    <n v="48.56"/>
    <d v="2025-07-31T00:00:00"/>
    <s v="ÉLECTRICITÉ KB"/>
    <m/>
    <e v="#N/A"/>
    <e v="#N/A"/>
    <n v="81754"/>
    <s v="720000616366"/>
    <s v="ENGIE"/>
    <s v="Q3"/>
    <e v="#REF!"/>
    <e v="#REF!"/>
    <e v="#REF!"/>
  </r>
  <r>
    <s v="445662"/>
    <x v="6"/>
    <s v="TVA - D_20"/>
    <s v="AC"/>
    <n v="48.92"/>
    <d v="2025-01-17T00:00:00"/>
    <s v="ACCESSOIRES SITE ROUSSILLON"/>
    <m/>
    <e v="#N/A"/>
    <e v="#N/A"/>
    <n v="59889"/>
    <s v="M009631483du"/>
    <s v="MANUTAN"/>
    <s v="Q1"/>
    <e v="#REF!"/>
    <e v="#REF!"/>
    <e v="#REF!"/>
  </r>
  <r>
    <s v="445662"/>
    <x v="6"/>
    <s v="TVA - D_20"/>
    <s v="AC"/>
    <n v="49.8"/>
    <d v="2025-01-31T00:00:00"/>
    <s v="COMMANDE D'ÉQUIPEMENTS KB"/>
    <m/>
    <e v="#N/A"/>
    <e v="#N/A"/>
    <n v="61349"/>
    <s v="186495"/>
    <s v="CLOUP"/>
    <s v="Q1"/>
    <e v="#REF!"/>
    <e v="#REF!"/>
    <e v="#REF!"/>
  </r>
  <r>
    <s v="445662"/>
    <x v="6"/>
    <s v="TVA - D_20"/>
    <s v="AC"/>
    <n v="49.98"/>
    <d v="2025-06-03T00:00:00"/>
    <s v="RMN UPS"/>
    <m/>
    <e v="#N/A"/>
    <e v="#N/A"/>
    <n v="81744"/>
    <s v="210121995"/>
    <s v="UNIVERSITE DE TOULOUSE"/>
    <s v="Q2"/>
    <e v="#REF!"/>
    <e v="#REF!"/>
    <e v="#REF!"/>
  </r>
  <r>
    <s v="445662"/>
    <x v="6"/>
    <s v="TVA - D_20"/>
    <s v="AC"/>
    <n v="50.4"/>
    <d v="2025-07-31T00:00:00"/>
    <s v="CONSOMMABLES LABO"/>
    <m/>
    <e v="#N/A"/>
    <e v="#N/A"/>
    <n v="81776"/>
    <s v="4067785384"/>
    <s v="VWR AVANTOR"/>
    <s v="Q3"/>
    <e v="#REF!"/>
    <e v="#REF!"/>
    <e v="#REF!"/>
  </r>
  <r>
    <s v="445662"/>
    <x v="6"/>
    <s v="TVA - D_20"/>
    <s v="AC"/>
    <n v="50.99"/>
    <d v="2025-10-01T00:00:00"/>
    <s v="ELECTRICITÉ KB 6E"/>
    <m/>
    <e v="#N/A"/>
    <e v="#N/A"/>
    <n v="82784"/>
    <s v="850005285735"/>
    <s v="ENGIE"/>
    <s v="Q4"/>
    <e v="#REF!"/>
    <e v="#REF!"/>
    <e v="#REF!"/>
  </r>
  <r>
    <s v="445662"/>
    <x v="6"/>
    <s v="TVA - D_20"/>
    <s v="AC"/>
    <n v="51.4"/>
    <d v="2025-10-06T00:00:00"/>
    <s v="CONSOMMABLE LABO"/>
    <m/>
    <e v="#N/A"/>
    <e v="#N/A"/>
    <n v="85159"/>
    <s v="4067836549"/>
    <s v="VWR AVANTOR"/>
    <s v="Q4"/>
    <e v="#REF!"/>
    <e v="#REF!"/>
    <e v="#REF!"/>
  </r>
  <r>
    <s v="445662"/>
    <x v="6"/>
    <s v="TVA - D_20"/>
    <s v="AC"/>
    <n v="51.52"/>
    <d v="2025-02-28T00:00:00"/>
    <s v="100 FEUILLES ABSORBANTES POUR PRODUITS CHIMIQUES THERMOMÈTRE À LIQUIDE ROUGE"/>
    <m/>
    <e v="#N/A"/>
    <e v="#N/A"/>
    <n v="64135"/>
    <s v="186913"/>
    <s v="CLOUP"/>
    <s v="Q1"/>
    <e v="#REF!"/>
    <e v="#REF!"/>
    <e v="#REF!"/>
  </r>
  <r>
    <s v="445662"/>
    <x v="6"/>
    <s v="TVA - D_20"/>
    <s v="AC"/>
    <n v="52.2"/>
    <d v="2025-04-01T00:00:00"/>
    <s v="TUBE BRUN RAJA D60 LONG500"/>
    <m/>
    <e v="#N/A"/>
    <e v="#N/A"/>
    <n v="71301"/>
    <s v="25F075847"/>
    <s v="RAJA"/>
    <s v="Q2"/>
    <e v="#REF!"/>
    <e v="#REF!"/>
    <e v="#REF!"/>
  </r>
  <r>
    <s v="445662"/>
    <x v="6"/>
    <s v="TVA - D_20"/>
    <s v="AC"/>
    <n v="52.2"/>
    <d v="2025-07-23T00:00:00"/>
    <s v="HYDROXYLAMINE SULFATE POUR STEP 2 KEENY"/>
    <m/>
    <e v="#N/A"/>
    <e v="#N/A"/>
    <n v="81333"/>
    <s v="4175079697"/>
    <s v="FISHER SCIENTIFIC"/>
    <s v="Q3"/>
    <e v="#REF!"/>
    <e v="#REF!"/>
    <e v="#REF!"/>
  </r>
  <r>
    <s v="445662"/>
    <x v="6"/>
    <s v="TVA - D_20"/>
    <s v="AC"/>
    <n v="52.2"/>
    <d v="2025-09-05T00:00:00"/>
    <s v="HYDROXYLAMINE SULFATE POUR STEP 2 KEENY"/>
    <m/>
    <e v="#N/A"/>
    <e v="#N/A"/>
    <n v="82323"/>
    <s v="4175131442"/>
    <s v="FISHER SCIENTIFIC"/>
    <s v="Q3"/>
    <e v="#REF!"/>
    <e v="#REF!"/>
    <e v="#REF!"/>
  </r>
  <r>
    <s v="445662"/>
    <x v="6"/>
    <s v="TVA - D_20"/>
    <s v="AC"/>
    <n v="52.43"/>
    <d v="2025-11-30T00:00:00"/>
    <s v="TRANSPORT INDIGO VERS SD TECH POUR HOMOGENEISATION"/>
    <m/>
    <e v="#N/A"/>
    <e v="#N/A"/>
    <n v="94891"/>
    <s v="25110453"/>
    <s v="BROSSIER TRANSPORTS"/>
    <s v="Q4"/>
    <e v="#REF!"/>
    <e v="#REF!"/>
    <e v="#REF!"/>
  </r>
  <r>
    <s v="445662"/>
    <x v="6"/>
    <s v="TVA - D_20"/>
    <s v="AC"/>
    <n v="52.78"/>
    <d v="2025-01-31T00:00:00"/>
    <s v="ALPHAGAZ 1 AZOTE BOUTEILLE SMARTOP 50L 200 BAR"/>
    <m/>
    <e v="#N/A"/>
    <e v="#N/A"/>
    <n v="86992"/>
    <s v="5800327183"/>
    <s v="AIR LIQUIDE"/>
    <s v="Q1"/>
    <e v="#REF!"/>
    <e v="#REF!"/>
    <e v="#REF!"/>
  </r>
  <r>
    <s v="445662"/>
    <x v="6"/>
    <s v="TVA - D_20"/>
    <s v="AC"/>
    <n v="52.78"/>
    <d v="2025-03-21T00:00:00"/>
    <s v="BOUCHON REMPLISSAGE IBC DÉCHETS AVEC RACCORDS POMPE"/>
    <m/>
    <s v="Non"/>
    <e v="#N/A"/>
    <n v="66084"/>
    <s v="69"/>
    <s v="DIVERS"/>
    <s v="Q1"/>
    <e v="#REF!"/>
    <e v="#REF!"/>
    <e v="#REF!"/>
  </r>
  <r>
    <s v="445662"/>
    <x v="6"/>
    <s v="TVA - D_20"/>
    <s v="AC"/>
    <n v="53"/>
    <d v="2025-04-29T00:00:00"/>
    <s v="CARTOUCHE AX POUR MASQUE À GAZ"/>
    <m/>
    <e v="#N/A"/>
    <e v="#N/A"/>
    <n v="71365"/>
    <s v="FC95492"/>
    <s v="GAZ DETECT"/>
    <s v="Q2"/>
    <e v="#REF!"/>
    <e v="#REF!"/>
    <e v="#REF!"/>
  </r>
  <r>
    <s v="445662"/>
    <x v="6"/>
    <s v="TVA - D_20"/>
    <s v="AC"/>
    <n v="53.24"/>
    <d v="2025-08-04T00:00:00"/>
    <s v="CONSOMMABLES LABO"/>
    <m/>
    <e v="#N/A"/>
    <e v="#N/A"/>
    <n v="81788"/>
    <s v="4067788329"/>
    <s v="VWR AVANTOR"/>
    <s v="Q3"/>
    <e v="#REF!"/>
    <e v="#REF!"/>
    <e v="#REF!"/>
  </r>
  <r>
    <s v="445662"/>
    <x v="6"/>
    <s v="TVA - D_20"/>
    <s v="AC"/>
    <n v="53.53"/>
    <d v="2025-11-17T00:00:00"/>
    <s v="CONSOMMABLE LABO"/>
    <m/>
    <e v="#N/A"/>
    <e v="#N/A"/>
    <n v="91937"/>
    <s v="4067873149"/>
    <s v="VWR AVANTOR"/>
    <s v="Q4"/>
    <e v="#REF!"/>
    <e v="#REF!"/>
    <e v="#REF!"/>
  </r>
  <r>
    <s v="445662"/>
    <x v="6"/>
    <s v="TVA - D_20"/>
    <s v="AC"/>
    <n v="54"/>
    <d v="2025-09-30T00:00:00"/>
    <s v="ENTRETIEN DU LINGE DU SÉMINAIRE DU 17 AU 19 SEPTEMBRE 2025 - 36 COUCHAGES"/>
    <m/>
    <e v="#N/A"/>
    <e v="#N/A"/>
    <n v="87275"/>
    <s v="9301-25"/>
    <s v="DOMAINE DE CHRISTIN SAS"/>
    <s v="Q3"/>
    <e v="#REF!"/>
    <e v="#REF!"/>
    <e v="#REF!"/>
  </r>
  <r>
    <s v="445662"/>
    <x v="6"/>
    <s v="TVA - D_20"/>
    <s v="AC"/>
    <n v="54.68"/>
    <d v="2025-08-21T00:00:00"/>
    <s v="CDE 20L DMSO"/>
    <m/>
    <e v="#N/A"/>
    <e v="#N/A"/>
    <n v="82205"/>
    <s v="FA035721"/>
    <s v="ARCANE INDUSTRIE"/>
    <s v="Q3"/>
    <e v="#REF!"/>
    <e v="#REF!"/>
    <e v="#REF!"/>
  </r>
  <r>
    <s v="445662"/>
    <x v="6"/>
    <s v="TVA - D_20"/>
    <s v="AC"/>
    <n v="54.68"/>
    <d v="2025-11-04T00:00:00"/>
    <s v="DMSO POUR ROUSSILLON"/>
    <m/>
    <e v="#N/A"/>
    <e v="#N/A"/>
    <n v="91415"/>
    <s v="FA037938"/>
    <s v="ARCANE INDUSTRIE"/>
    <s v="Q4"/>
    <e v="#REF!"/>
    <e v="#REF!"/>
    <e v="#REF!"/>
  </r>
  <r>
    <s v="445662"/>
    <x v="6"/>
    <s v="TVA - D_20"/>
    <s v="AC"/>
    <n v="55.03"/>
    <d v="2025-03-20T00:00:00"/>
    <s v="COMMANDE SUITE À REMBOURSEMENT OFFICE DÉPÔT (PORTE-DOCUMENTS, PLASTIFIEUSE, POCHETTES POUR PLASTIFIEUSE) + BESOINS EN CONSOMABLE"/>
    <m/>
    <e v="#N/A"/>
    <e v="#N/A"/>
    <n v="66154"/>
    <s v="25.842.920"/>
    <s v="BRUNEAU"/>
    <s v="Q1"/>
    <e v="#REF!"/>
    <e v="#REF!"/>
    <e v="#REF!"/>
  </r>
  <r>
    <s v="445662"/>
    <x v="6"/>
    <s v="TVA - D_20"/>
    <s v="AC"/>
    <n v="55.21"/>
    <d v="2025-12-12T00:00:00"/>
    <s v="FACTURE MINIBUS POUR DÉPLACEMENT ROUSSILLON À TOULOUSE (PS)"/>
    <m/>
    <e v="#N/A"/>
    <e v="#N/A"/>
    <n v="92998"/>
    <s v="FC05250830"/>
    <s v="GINE-LOG"/>
    <s v="Q4"/>
    <e v="#REF!"/>
    <e v="#REF!"/>
    <e v="#REF!"/>
  </r>
  <r>
    <s v="445662"/>
    <x v="6"/>
    <s v="TVA - D_20"/>
    <s v="AC"/>
    <n v="55.24"/>
    <d v="2025-12-04T00:00:00"/>
    <s v="GARNITURE EN VERRE KL"/>
    <m/>
    <e v="#N/A"/>
    <e v="#N/A"/>
    <n v="92986"/>
    <s v="14003797"/>
    <s v="OPTIMUS"/>
    <s v="Q4"/>
    <e v="#REF!"/>
    <e v="#REF!"/>
    <e v="#REF!"/>
  </r>
  <r>
    <s v="445662"/>
    <x v="6"/>
    <s v="TVA - D_20"/>
    <s v="AC"/>
    <n v="55.53"/>
    <d v="2025-01-01T00:00:00"/>
    <s v="EXPÉ AA À FERRANIA -"/>
    <m/>
    <e v="#N/A"/>
    <e v="#N/A"/>
    <n v="73598"/>
    <s v="24120113"/>
    <s v="BROSSIER TRANSPORTS"/>
    <s v="Q1"/>
    <e v="#REF!"/>
    <e v="#REF!"/>
    <e v="#REF!"/>
  </r>
  <r>
    <s v="445662"/>
    <x v="6"/>
    <s v="TVA - D_20"/>
    <s v="AC"/>
    <n v="55.7"/>
    <d v="2025-09-26T00:00:00"/>
    <s v="PACK TRANQUILLITÉ AVANTAGE POUR LA PÉRIODE DU 01-SEP-2025 AU 30-NOV-2025"/>
    <m/>
    <e v="#N/A"/>
    <e v="#N/A"/>
    <n v="94841"/>
    <s v="927279859"/>
    <s v="RICOH"/>
    <s v="Q3"/>
    <e v="#REF!"/>
    <e v="#REF!"/>
    <e v="#REF!"/>
  </r>
  <r>
    <s v="445662"/>
    <x v="6"/>
    <s v="TVA - D_20"/>
    <s v="AC"/>
    <n v="55.93"/>
    <d v="2025-03-27T00:00:00"/>
    <s v="DEMANDE DE BREVET EN INDE N° 202417089145"/>
    <s v="Non"/>
    <s v="Oui"/>
    <e v="#N/A"/>
    <n v="66052"/>
    <s v="251394"/>
    <s v="BECKER"/>
    <s v="Q1"/>
    <e v="#REF!"/>
    <e v="#REF!"/>
    <e v="#REF!"/>
  </r>
  <r>
    <s v="445662"/>
    <x v="6"/>
    <s v="TVA - D_20"/>
    <s v="AC"/>
    <n v="56"/>
    <d v="2025-09-11T00:00:00"/>
    <s v="RETRAIT DEMANDE INITIALE EP AVANT PCT DE PALOMA CHIMIE"/>
    <s v="Non"/>
    <s v="Oui"/>
    <e v="#N/A"/>
    <n v="82342"/>
    <s v="254192"/>
    <s v="BECKER"/>
    <s v="Q3"/>
    <e v="#REF!"/>
    <e v="#REF!"/>
    <e v="#REF!"/>
  </r>
  <r>
    <s v="445662"/>
    <x v="6"/>
    <s v="TVA - D_20"/>
    <s v="AC"/>
    <n v="56"/>
    <d v="2025-09-26T00:00:00"/>
    <s v="RETRAIT DEMANDE INITIAL AVANT PCT - BREVET PALOMA BIO"/>
    <s v="Non"/>
    <s v="Oui"/>
    <e v="#N/A"/>
    <n v="82748"/>
    <s v="254356"/>
    <s v="BECKER"/>
    <s v="Q3"/>
    <e v="#REF!"/>
    <e v="#REF!"/>
    <e v="#REF!"/>
  </r>
  <r>
    <s v="445662"/>
    <x v="6"/>
    <s v="TVA - D_20"/>
    <s v="AC"/>
    <n v="56"/>
    <d v="2025-12-12T00:00:00"/>
    <s v="RETRAIT DEMANDE OEB BREVET BIOPIGMENT"/>
    <s v="Non"/>
    <s v="Oui"/>
    <e v="#N/A"/>
    <n v="92176"/>
    <s v="255673"/>
    <s v="BECKER"/>
    <s v="Q4"/>
    <e v="#REF!"/>
    <e v="#REF!"/>
    <e v="#REF!"/>
  </r>
  <r>
    <s v="445662"/>
    <x v="6"/>
    <s v="TVA - D_20"/>
    <s v="AC"/>
    <n v="56.14"/>
    <d v="2025-02-12T00:00:00"/>
    <s v="ACCESSOIRES LABO &amp; KL"/>
    <m/>
    <e v="#N/A"/>
    <e v="#N/A"/>
    <n v="61476"/>
    <s v="M009726521du"/>
    <s v="MANUTAN"/>
    <s v="Q1"/>
    <e v="#REF!"/>
    <e v="#REF!"/>
    <e v="#REF!"/>
  </r>
  <r>
    <s v="445662"/>
    <x v="6"/>
    <s v="TVA - D_20"/>
    <s v="AC"/>
    <n v="57.76"/>
    <d v="2025-04-22T00:00:00"/>
    <s v="COMMANDE PRODUITS ET CONSOMMABLES LABO"/>
    <m/>
    <e v="#N/A"/>
    <e v="#N/A"/>
    <n v="71327"/>
    <s v="4067701173"/>
    <s v="VWR AVANTOR"/>
    <s v="Q2"/>
    <e v="#REF!"/>
    <e v="#REF!"/>
    <e v="#REF!"/>
  </r>
  <r>
    <s v="445662"/>
    <x v="6"/>
    <s v="TVA - D_20"/>
    <s v="AC"/>
    <n v="58.06"/>
    <d v="2025-03-19T00:00:00"/>
    <s v="EAU AVEC 0,1 % D'ACIDE FORMIQUE"/>
    <m/>
    <e v="#N/A"/>
    <e v="#N/A"/>
    <n v="66101"/>
    <s v="4175368"/>
    <s v="ROTH SOCHIEL"/>
    <s v="Q1"/>
    <e v="#REF!"/>
    <e v="#REF!"/>
    <e v="#REF!"/>
  </r>
  <r>
    <s v="445662"/>
    <x v="6"/>
    <s v="TVA - D_20"/>
    <s v="AC"/>
    <n v="58.41"/>
    <d v="2025-10-07T00:00:00"/>
    <s v="PALETTES EUROPE, ORGANISEURS POUR RANGER RACCORDS, BAC RÉTENTION LABO"/>
    <m/>
    <e v="#N/A"/>
    <e v="#N/A"/>
    <n v="89595"/>
    <s v="11"/>
    <s v="MANUTAN"/>
    <s v="Q4"/>
    <e v="#REF!"/>
    <e v="#REF!"/>
    <e v="#REF!"/>
  </r>
  <r>
    <s v="445662"/>
    <x v="6"/>
    <s v="TVA - D_20"/>
    <s v="AC"/>
    <n v="59.16"/>
    <d v="2025-03-06T00:00:00"/>
    <s v="POST-IT SANYTOL SPRAY SANYTOL LINGETTES PILES AA PILES AAA BOÎTES DE MOUCHOIRS CISEAUX BOÎTE DE THÉ VERT MENTHE BOUTEILLES DE LA"/>
    <m/>
    <e v="#N/A"/>
    <e v="#N/A"/>
    <n v="66117"/>
    <s v="25.790.561"/>
    <s v="BRUNEAU"/>
    <s v="Q1"/>
    <e v="#REF!"/>
    <e v="#REF!"/>
    <e v="#REF!"/>
  </r>
  <r>
    <s v="445662"/>
    <x v="6"/>
    <s v="TVA - D_20"/>
    <s v="AC"/>
    <n v="59.4"/>
    <d v="2025-07-28T00:00:00"/>
    <s v="ANALYSE RMN ESPCI - AVR-JUIN 2025"/>
    <m/>
    <e v="#N/A"/>
    <e v="#N/A"/>
    <n v="78940"/>
    <s v="78"/>
    <s v="SAESPCI"/>
    <s v="Q3"/>
    <e v="#REF!"/>
    <e v="#REF!"/>
    <e v="#REF!"/>
  </r>
  <r>
    <s v="445662"/>
    <x v="6"/>
    <s v="TVA - D_20"/>
    <s v="AC"/>
    <n v="59.95"/>
    <d v="2025-03-25T00:00:00"/>
    <s v="CONSOMMABLES LABO R."/>
    <m/>
    <e v="#N/A"/>
    <e v="#N/A"/>
    <n v="67878"/>
    <s v="4175654"/>
    <s v="ROTH SOCHIEL"/>
    <s v="Q1"/>
    <e v="#REF!"/>
    <e v="#REF!"/>
    <e v="#REF!"/>
  </r>
  <r>
    <s v="445662"/>
    <x v="6"/>
    <s v="TVA - D_20"/>
    <s v="AC"/>
    <n v="60"/>
    <d v="2025-06-06T00:00:00"/>
    <s v="SURVEILLANCE BREVET"/>
    <s v="Non"/>
    <s v="Oui"/>
    <e v="#N/A"/>
    <n v="76110"/>
    <s v="252600"/>
    <s v="BECKER"/>
    <s v="Q2"/>
    <e v="#REF!"/>
    <e v="#REF!"/>
    <e v="#REF!"/>
  </r>
  <r>
    <s v="445662"/>
    <x v="6"/>
    <s v="TVA - D_20"/>
    <s v="AC"/>
    <n v="60"/>
    <d v="2025-06-16T00:00:00"/>
    <s v="PARTICIPATION TECH DAY"/>
    <m/>
    <s v="Non"/>
    <s v="Oui"/>
    <n v="78038"/>
    <s v="28"/>
    <s v="BIOECONOMY FOR CHANGE"/>
    <s v="Q2"/>
    <e v="#REF!"/>
    <e v="#REF!"/>
    <e v="#REF!"/>
  </r>
  <r>
    <s v="445662"/>
    <x v="6"/>
    <s v="TVA - D_20"/>
    <s v="AC"/>
    <n v="60"/>
    <d v="2025-09-24T00:00:00"/>
    <s v="INSCRIPTION TECHDAY POUR FILIPE ET VINCENT"/>
    <m/>
    <e v="#N/A"/>
    <e v="#N/A"/>
    <n v="83017"/>
    <s v="F12491419"/>
    <s v="BILLETWEB"/>
    <s v="Q3"/>
    <e v="#REF!"/>
    <e v="#REF!"/>
    <e v="#REF!"/>
  </r>
  <r>
    <s v="445662"/>
    <x v="6"/>
    <s v="TVA - D_20"/>
    <s v="AC"/>
    <n v="60"/>
    <d v="2025-11-03T00:00:00"/>
    <s v="ABONNEMENT YOUSIGN"/>
    <m/>
    <e v="#N/A"/>
    <e v="#N/A"/>
    <n v="91409"/>
    <s v="430521"/>
    <s v="YOUSIGN"/>
    <s v="Q4"/>
    <e v="#REF!"/>
    <e v="#REF!"/>
    <e v="#REF!"/>
  </r>
  <r>
    <s v="445662"/>
    <x v="6"/>
    <s v="TVA - D_20"/>
    <s v="AC"/>
    <n v="60"/>
    <d v="2025-12-30T00:00:00"/>
    <s v="LOCATION ESSOREUSE PILOTE +&gt; BUDGET POUR 2 MOIS DE LOCATION + LIVRAISON"/>
    <s v="Non"/>
    <e v="#N/A"/>
    <e v="#N/A"/>
    <n v="94897"/>
    <s v="FA006796"/>
    <s v="ROUSSELET CENTRIFUGATION"/>
    <s v="Q4"/>
    <e v="#REF!"/>
    <e v="#REF!"/>
    <e v="#REF!"/>
  </r>
  <r>
    <s v="445662"/>
    <x v="6"/>
    <s v="TVA - D_20"/>
    <s v="AC"/>
    <n v="60.8"/>
    <d v="2025-01-01T00:00:00"/>
    <s v="LUNETTES DE SÉCURITÉ MAUD ET ANNE-SOPHIE"/>
    <m/>
    <e v="#N/A"/>
    <e v="#N/A"/>
    <n v="63993"/>
    <s v="FRFP57903"/>
    <s v="COTRAL LAB"/>
    <s v="Q1"/>
    <e v="#REF!"/>
    <e v="#REF!"/>
    <e v="#REF!"/>
  </r>
  <r>
    <s v="445662"/>
    <x v="6"/>
    <s v="TVA - D_20"/>
    <s v="AC"/>
    <n v="62.2"/>
    <d v="2025-04-01T00:00:00"/>
    <s v="ENTRETIEN DES LOCAUX ROUSSILLON AVRIL 2025"/>
    <m/>
    <e v="#N/A"/>
    <e v="#N/A"/>
    <n v="69658"/>
    <s v="251P0617"/>
    <s v="GSF"/>
    <s v="Q2"/>
    <e v="#REF!"/>
    <e v="#REF!"/>
    <e v="#REF!"/>
  </r>
  <r>
    <s v="445662"/>
    <x v="6"/>
    <s v="TVA - D_20"/>
    <s v="AC"/>
    <n v="62.2"/>
    <d v="2025-05-01T00:00:00"/>
    <s v="ENTRETIEN LOCAUX ROUSSILLON"/>
    <m/>
    <e v="#N/A"/>
    <e v="#N/A"/>
    <n v="73759"/>
    <s v="251P0757"/>
    <s v="GSF"/>
    <s v="Q2"/>
    <e v="#REF!"/>
    <e v="#REF!"/>
    <e v="#REF!"/>
  </r>
  <r>
    <s v="445662"/>
    <x v="6"/>
    <s v="TVA - D_20"/>
    <s v="AC"/>
    <n v="62.2"/>
    <d v="2025-06-01T00:00:00"/>
    <s v="CONTRAT DE NETTOYAGE DES ALGECOS - ROUSSILLON"/>
    <m/>
    <e v="#N/A"/>
    <e v="#N/A"/>
    <n v="76550"/>
    <s v="251P0951"/>
    <s v="GSF"/>
    <s v="Q2"/>
    <e v="#REF!"/>
    <e v="#REF!"/>
    <e v="#REF!"/>
  </r>
  <r>
    <s v="445662"/>
    <x v="6"/>
    <s v="TVA - D_20"/>
    <s v="AC"/>
    <n v="62.2"/>
    <d v="2025-07-01T00:00:00"/>
    <s v="PRESTATION DE NETTOYAGE - SITE ROUSSILLON"/>
    <m/>
    <e v="#N/A"/>
    <e v="#N/A"/>
    <n v="81208"/>
    <s v="251P1156"/>
    <s v="GSF"/>
    <s v="Q3"/>
    <e v="#REF!"/>
    <e v="#REF!"/>
    <e v="#REF!"/>
  </r>
  <r>
    <s v="445662"/>
    <x v="6"/>
    <s v="TVA - D_20"/>
    <s v="AC"/>
    <n v="62.2"/>
    <d v="2025-08-08T00:00:00"/>
    <s v="ENTRETIEN DES ALGÉCOS"/>
    <m/>
    <e v="#N/A"/>
    <e v="#N/A"/>
    <n v="81249"/>
    <s v="251P1302"/>
    <s v="GSF"/>
    <s v="Q3"/>
    <e v="#REF!"/>
    <e v="#REF!"/>
    <e v="#REF!"/>
  </r>
  <r>
    <s v="445662"/>
    <x v="6"/>
    <s v="TVA - D_20"/>
    <s v="AC"/>
    <n v="62.2"/>
    <d v="2025-09-09T00:00:00"/>
    <s v="MÉNAGE ROUSSILLON"/>
    <m/>
    <e v="#N/A"/>
    <e v="#N/A"/>
    <n v="82336"/>
    <s v="251P1464"/>
    <s v="GSF"/>
    <s v="Q3"/>
    <e v="#REF!"/>
    <e v="#REF!"/>
    <e v="#REF!"/>
  </r>
  <r>
    <s v="445662"/>
    <x v="6"/>
    <s v="TVA - D_20"/>
    <s v="AC"/>
    <n v="62.2"/>
    <d v="2025-10-01T00:00:00"/>
    <s v="OCTOBRE 2025 PRESTATION D'ENTRETIEN HEBDOMADAIRE DES LOCAUX BÂTIMENT 37: MODULES BUREAUX, RÉFECTOIRE, VESTIAIRE"/>
    <m/>
    <e v="#N/A"/>
    <e v="#N/A"/>
    <n v="89858"/>
    <s v="251P1661"/>
    <s v="GSF"/>
    <s v="Q4"/>
    <e v="#REF!"/>
    <e v="#REF!"/>
    <e v="#REF!"/>
  </r>
  <r>
    <s v="445662"/>
    <x v="6"/>
    <s v="TVA - D_20"/>
    <s v="AC"/>
    <n v="62.2"/>
    <d v="2025-11-01T00:00:00"/>
    <s v="ENTRETIEN ALGÉCOS ROUSSILLON"/>
    <m/>
    <e v="#N/A"/>
    <e v="#N/A"/>
    <n v="90050"/>
    <s v="251P1830"/>
    <s v="GSF"/>
    <s v="Q4"/>
    <e v="#REF!"/>
    <e v="#REF!"/>
    <e v="#REF!"/>
  </r>
  <r>
    <s v="445662"/>
    <x v="6"/>
    <s v="TVA - D_20"/>
    <s v="AC"/>
    <n v="62.2"/>
    <d v="2025-12-23T00:00:00"/>
    <s v="ENTRETIEN ALGÉCO ROUSSILLON"/>
    <m/>
    <e v="#N/A"/>
    <e v="#N/A"/>
    <n v="95142"/>
    <s v="251P2013"/>
    <s v="GSF"/>
    <s v="Q4"/>
    <e v="#REF!"/>
    <e v="#REF!"/>
    <e v="#REF!"/>
  </r>
  <r>
    <s v="445662"/>
    <x v="6"/>
    <s v="TVA - D_20"/>
    <s v="AC"/>
    <n v="63"/>
    <d v="2025-02-06T00:00:00"/>
    <s v="RMN ESPCI NOV-DÉC 2024"/>
    <m/>
    <e v="#N/A"/>
    <e v="#N/A"/>
    <n v="61430"/>
    <s v="8"/>
    <s v="SAESPCI"/>
    <s v="Q1"/>
    <e v="#REF!"/>
    <e v="#REF!"/>
    <e v="#REF!"/>
  </r>
  <r>
    <s v="445662"/>
    <x v="6"/>
    <s v="TVA - D_20"/>
    <s v="AC"/>
    <n v="63.46"/>
    <d v="2025-03-03T00:00:00"/>
    <s v="ELETRICITE KB"/>
    <m/>
    <e v="#N/A"/>
    <e v="#N/A"/>
    <n v="72549"/>
    <s v="40017294812"/>
    <s v="ENGIE"/>
    <s v="Q1"/>
    <e v="#REF!"/>
    <e v="#REF!"/>
    <e v="#REF!"/>
  </r>
  <r>
    <s v="445662"/>
    <x v="6"/>
    <s v="TVA - D_20"/>
    <s v="AC"/>
    <n v="64"/>
    <d v="2025-10-27T00:00:00"/>
    <s v="FORMATION MAINTIEN DES ACQUIS ET DES CONNAISSANCES DU SST"/>
    <m/>
    <s v="Non"/>
    <n v="0"/>
    <n v="87472"/>
    <s v="0002942"/>
    <s v="APF SECURITE"/>
    <s v="Q4"/>
    <e v="#REF!"/>
    <e v="#REF!"/>
    <e v="#REF!"/>
  </r>
  <r>
    <s v="445662"/>
    <x v="6"/>
    <s v="TVA - D_20"/>
    <s v="AC"/>
    <n v="64.400000000000006"/>
    <d v="2025-06-24T00:00:00"/>
    <s v="FRAIS PI LISA EN AMONT BREVET PALOMA CHIMIE"/>
    <s v="Non"/>
    <s v="Oui"/>
    <e v="#N/A"/>
    <n v="76619"/>
    <s v="252930"/>
    <s v="BECKER"/>
    <s v="Q2"/>
    <e v="#REF!"/>
    <e v="#REF!"/>
    <e v="#REF!"/>
  </r>
  <r>
    <s v="445662"/>
    <x v="6"/>
    <s v="TVA - D_20"/>
    <s v="AC"/>
    <n v="64.78"/>
    <d v="2025-09-01T00:00:00"/>
    <s v="ÉLECTRICITÉ KB"/>
    <m/>
    <e v="#N/A"/>
    <e v="#N/A"/>
    <n v="81889"/>
    <s v="120010018682"/>
    <s v="ENGIE"/>
    <s v="Q3"/>
    <e v="#REF!"/>
    <e v="#REF!"/>
    <e v="#REF!"/>
  </r>
  <r>
    <s v="445662"/>
    <x v="6"/>
    <s v="TVA - D_20"/>
    <s v="AC"/>
    <n v="65.650000000000006"/>
    <d v="2025-10-22T00:00:00"/>
    <s v="VERRERIE DE DISTILLATION"/>
    <m/>
    <e v="#N/A"/>
    <e v="#N/A"/>
    <n v="87462"/>
    <s v="4184079"/>
    <s v="ROTH SOCHIEL"/>
    <s v="Q4"/>
    <e v="#REF!"/>
    <e v="#REF!"/>
    <e v="#REF!"/>
  </r>
  <r>
    <s v="445662"/>
    <x v="6"/>
    <s v="TVA - D_20"/>
    <s v="AC"/>
    <n v="66.099999999999994"/>
    <d v="2025-03-26T00:00:00"/>
    <s v="GAINE D'ASPIRATION POUR ÉTUVES REF: 136-9517"/>
    <m/>
    <e v="#N/A"/>
    <e v="#N/A"/>
    <n v="66067"/>
    <s v="3010224843"/>
    <s v="RS COMPONENT"/>
    <s v="Q1"/>
    <e v="#REF!"/>
    <e v="#REF!"/>
    <e v="#REF!"/>
  </r>
  <r>
    <s v="445662"/>
    <x v="6"/>
    <s v="TVA - D_20"/>
    <s v="AC"/>
    <n v="66.900000000000006"/>
    <d v="2025-06-30T00:00:00"/>
    <s v="FORFAIT PERFORMANCE PRO"/>
    <m/>
    <e v="#N/A"/>
    <e v="#N/A"/>
    <n v="78064"/>
    <s v="91008499"/>
    <s v="ORANGE"/>
    <s v="Q2"/>
    <e v="#REF!"/>
    <e v="#REF!"/>
    <e v="#REF!"/>
  </r>
  <r>
    <s v="445662"/>
    <x v="6"/>
    <s v="TVA - D_20"/>
    <s v="AC"/>
    <n v="66.900000000000006"/>
    <d v="2025-11-01T00:00:00"/>
    <s v="FORMATION LUCIE"/>
    <m/>
    <s v="Non"/>
    <e v="#N/A"/>
    <n v="91079"/>
    <s v="F2025-034"/>
    <s v="BERNARD SEMBEILLES CONSULTING"/>
    <s v="Q4"/>
    <e v="#REF!"/>
    <e v="#REF!"/>
    <e v="#REF!"/>
  </r>
  <r>
    <s v="445662"/>
    <x v="6"/>
    <s v="TVA - D_20"/>
    <s v="AC"/>
    <n v="66.900000000000006"/>
    <d v="2025-11-07T00:00:00"/>
    <s v="FORMATION LUCIE"/>
    <m/>
    <s v="Non"/>
    <e v="#N/A"/>
    <n v="91103"/>
    <s v="F2025-040"/>
    <s v="BERNARD SEMBEILLES CONSULTING"/>
    <s v="Q4"/>
    <e v="#REF!"/>
    <e v="#REF!"/>
    <e v="#REF!"/>
  </r>
  <r>
    <s v="445662"/>
    <x v="6"/>
    <s v="TVA - D_20"/>
    <s v="AC"/>
    <n v="67.13"/>
    <d v="2025-10-31T00:00:00"/>
    <s v="ELECTRICITÉ KB - 6E ÉTAGE"/>
    <m/>
    <e v="#N/A"/>
    <e v="#N/A"/>
    <n v="90079"/>
    <s v="980005457003"/>
    <s v="ENGIE"/>
    <s v="Q4"/>
    <e v="#REF!"/>
    <e v="#REF!"/>
    <e v="#REF!"/>
  </r>
  <r>
    <s v="445662"/>
    <x v="6"/>
    <s v="TVA - D_20"/>
    <s v="AC"/>
    <n v="67.8"/>
    <d v="2025-08-30T00:00:00"/>
    <s v="COMMANDE FILTRE POUR ANALYSE"/>
    <m/>
    <e v="#N/A"/>
    <e v="#N/A"/>
    <n v="82294"/>
    <s v="0189297"/>
    <s v="CLOUP"/>
    <s v="Q3"/>
    <e v="#REF!"/>
    <e v="#REF!"/>
    <e v="#REF!"/>
  </r>
  <r>
    <s v="445662"/>
    <x v="6"/>
    <s v="TVA - D_20"/>
    <s v="AC"/>
    <n v="68.22"/>
    <d v="2025-12-19T00:00:00"/>
    <s v="COMMANDE DE VERRERIE POUR LE LABORATOIRE DU KB"/>
    <m/>
    <e v="#N/A"/>
    <e v="#N/A"/>
    <n v="95136"/>
    <s v="0191130"/>
    <s v="CLOUP"/>
    <s v="Q4"/>
    <e v="#REF!"/>
    <e v="#REF!"/>
    <e v="#REF!"/>
  </r>
  <r>
    <s v="445662"/>
    <x v="6"/>
    <s v="TVA - D_20"/>
    <s v="AC"/>
    <n v="68.3"/>
    <d v="2025-09-15T00:00:00"/>
    <s v="VERRERIE POUR LABORATOIRE R. ET DIVERS PETIT MATÉRIEL POUR PILOT / KL"/>
    <m/>
    <e v="#N/A"/>
    <e v="#N/A"/>
    <n v="82348"/>
    <s v="0189538"/>
    <s v="CLOUP"/>
    <s v="Q3"/>
    <e v="#REF!"/>
    <e v="#REF!"/>
    <e v="#REF!"/>
  </r>
  <r>
    <s v="445662"/>
    <x v="6"/>
    <s v="TVA - D_20"/>
    <s v="AC"/>
    <n v="68.540000000000006"/>
    <d v="2025-01-31T00:00:00"/>
    <s v="ALPHAGAZ AUTO IV AIR BOUTEILLE SMARTOP 50L 200 BAR"/>
    <m/>
    <e v="#N/A"/>
    <e v="#N/A"/>
    <n v="86995"/>
    <s v="5800327157"/>
    <s v="AIR LIQUIDE"/>
    <s v="Q1"/>
    <e v="#REF!"/>
    <e v="#REF!"/>
    <e v="#REF!"/>
  </r>
  <r>
    <s v="445662"/>
    <x v="6"/>
    <s v="TVA - D_20"/>
    <s v="AC"/>
    <n v="69.73"/>
    <d v="2025-12-01T00:00:00"/>
    <s v="DMSO POUR ROUSSILLON"/>
    <m/>
    <e v="#N/A"/>
    <e v="#N/A"/>
    <n v="93921"/>
    <s v="2"/>
    <s v="ARCANE INDUSTRIE"/>
    <s v="Q4"/>
    <e v="#REF!"/>
    <e v="#REF!"/>
    <e v="#REF!"/>
  </r>
  <r>
    <s v="445662"/>
    <x v="6"/>
    <s v="TVA - D_20"/>
    <s v="AC"/>
    <n v="70.27"/>
    <d v="2025-11-12T00:00:00"/>
    <s v="CHAMPAGNE SOIRÉE 10 ANS PILI"/>
    <m/>
    <e v="#N/A"/>
    <e v="#N/A"/>
    <n v="89966"/>
    <s v="20251089"/>
    <s v="GUERLET-DEGUERNE"/>
    <s v="Q4"/>
    <e v="#REF!"/>
    <e v="#REF!"/>
    <e v="#REF!"/>
  </r>
  <r>
    <s v="445662"/>
    <x v="6"/>
    <s v="TVA - D_20"/>
    <s v="AC"/>
    <n v="75.34"/>
    <d v="2025-04-11T00:00:00"/>
    <s v="2-HYDROXYBENZIMIDAZOLE, 98 %, THERMO SCIENTIFIC CHEMICALS 2-HYDROXYBENZIMIDAZOLE, 98%,50G MÉTHANOL, CHROMASOLV™, POUR HPLC, ? 99"/>
    <m/>
    <e v="#N/A"/>
    <e v="#N/A"/>
    <n v="69784"/>
    <s v="4174941834"/>
    <s v="FISHER SCIENTIFIC"/>
    <s v="Q2"/>
    <e v="#REF!"/>
    <e v="#REF!"/>
    <e v="#REF!"/>
  </r>
  <r>
    <s v="512100"/>
    <x v="6"/>
    <s v="BANQUE POPULAIRE RIVE DE PARIS"/>
    <s v="BPRI"/>
    <n v="-32.020000000000003"/>
    <d v="2025-12-04T00:00:00"/>
    <s v="/SQTP/RCUR/LIB/PRLV SEPA EAU DU GRAND LYON - L/LIB/EAU DU GRAND LYON - LA R/LIB/EGL EAU 2041281 1009543685/LIB/XX703222347SEPA"/>
    <m/>
    <e v="#N/A"/>
    <e v="#N/A"/>
    <n v="91327"/>
    <m/>
    <s v="EAU DU GRAND LYON"/>
    <s v="Q4"/>
    <e v="#REF!"/>
    <e v="#REF!"/>
    <e v="#REF!"/>
  </r>
  <r>
    <s v="445662"/>
    <x v="6"/>
    <s v="TVA - D_20"/>
    <s v="AC"/>
    <n v="76"/>
    <d v="2025-04-10T00:00:00"/>
    <s v="TRANSPORT DEVELOPPEMENT"/>
    <m/>
    <e v="#N/A"/>
    <e v="#N/A"/>
    <n v="69775"/>
    <s v="9096940"/>
    <s v="BROSSIER TRANSPORTS"/>
    <s v="Q2"/>
    <e v="#REF!"/>
    <e v="#REF!"/>
    <e v="#REF!"/>
  </r>
  <r>
    <s v="445662"/>
    <x v="6"/>
    <s v="TVA - D_20"/>
    <s v="AC"/>
    <n v="76.2"/>
    <d v="2025-05-23T00:00:00"/>
    <s v="COMMANDE PRODUIT KEENB"/>
    <m/>
    <e v="#N/A"/>
    <e v="#N/A"/>
    <n v="75966"/>
    <s v="4067727728"/>
    <s v="VWR AVANTOR"/>
    <s v="Q2"/>
    <e v="#REF!"/>
    <e v="#REF!"/>
    <e v="#REF!"/>
  </r>
  <r>
    <s v="401000"/>
    <x v="6"/>
    <s v="FOURNISSEURS"/>
    <s v="BPRI"/>
    <n v="329.19"/>
    <d v="2025-08-15T00:00:00"/>
    <s v="/SQTP/RCUR/LIB/PRLV SEPA ENGIE/LIB/ENGIE"/>
    <m/>
    <e v="#N/A"/>
    <e v="#N/A"/>
    <n v="81193"/>
    <m/>
    <s v="ENGIE"/>
    <s v="Q3"/>
    <e v="#REF!"/>
    <e v="#REF!"/>
    <e v="#REF!"/>
  </r>
  <r>
    <s v="401000"/>
    <x v="6"/>
    <s v="FOURNISSEURS"/>
    <s v="BPRI"/>
    <n v="1411.13"/>
    <d v="2025-08-15T00:00:00"/>
    <s v="/SQTP/RCUR/LIB/PRLV SEPA ENGIE/LIB/ENGIE"/>
    <m/>
    <e v="#N/A"/>
    <e v="#N/A"/>
    <n v="81190"/>
    <m/>
    <s v="ENGIE"/>
    <s v="Q3"/>
    <e v="#REF!"/>
    <e v="#REF!"/>
    <e v="#REF!"/>
  </r>
  <r>
    <s v="512100"/>
    <x v="6"/>
    <s v="BANQUE POPULAIRE RIVE DE PARIS"/>
    <s v="BPRI"/>
    <n v="-1411.13"/>
    <d v="2025-08-15T00:00:00"/>
    <s v="/SQTP/RCUR/LIB/PRLV SEPA ENGIE/LIB/ENGIE"/>
    <m/>
    <e v="#N/A"/>
    <e v="#N/A"/>
    <n v="81189"/>
    <m/>
    <s v="ENGIE"/>
    <s v="Q3"/>
    <e v="#REF!"/>
    <e v="#REF!"/>
    <e v="#REF!"/>
  </r>
  <r>
    <s v="512100"/>
    <x v="6"/>
    <s v="BANQUE POPULAIRE RIVE DE PARIS"/>
    <s v="BPRI"/>
    <n v="-329.19"/>
    <d v="2025-08-15T00:00:00"/>
    <s v="/SQTP/RCUR/LIB/PRLV SEPA ENGIE/LIB/ENGIE"/>
    <m/>
    <e v="#N/A"/>
    <e v="#N/A"/>
    <n v="81192"/>
    <m/>
    <s v="ENGIE"/>
    <s v="Q3"/>
    <e v="#REF!"/>
    <e v="#REF!"/>
    <e v="#REF!"/>
  </r>
  <r>
    <s v="445662"/>
    <x v="6"/>
    <s v="TVA - D_20"/>
    <s v="AC"/>
    <n v="78"/>
    <d v="2025-03-31T00:00:00"/>
    <s v="LIVRAISON ET INSTALLATION DE DEUX NOUVEAUX ALGECOS _x0009_LOCATION DES 4 ALGECOS ACTUELS + 2 NOUVEAUX PENDANT 1 AN _x0009_DÉMONTAGE DES"/>
    <m/>
    <e v="#N/A"/>
    <e v="#N/A"/>
    <n v="68988"/>
    <s v="F2503/1118"/>
    <s v="COFICIEL"/>
    <s v="Q1"/>
    <e v="#REF!"/>
    <e v="#REF!"/>
    <e v="#REF!"/>
  </r>
  <r>
    <s v="445662"/>
    <x v="6"/>
    <s v="TVA - D_20"/>
    <s v="AC"/>
    <n v="78"/>
    <d v="2025-04-30T00:00:00"/>
    <s v="LIVRAISON ET INSTALLATION DE DEUX NOUVEAUX ALGECOS LOCATION DES 4 ALGECOS ACTUELS + 2 NOUVEAUX PENDANT 1 AN _x0009_DÉMONTAGE DES"/>
    <m/>
    <e v="#N/A"/>
    <e v="#N/A"/>
    <n v="71371"/>
    <s v="F2504/0497"/>
    <s v="COFICIEL"/>
    <s v="Q2"/>
    <e v="#REF!"/>
    <e v="#REF!"/>
    <e v="#REF!"/>
  </r>
  <r>
    <s v="445662"/>
    <x v="6"/>
    <s v="TVA - D_20"/>
    <s v="AC"/>
    <n v="78"/>
    <d v="2025-05-31T00:00:00"/>
    <s v="LOCATION ALGECO ROUSSILLON (PÉRIODE TRAVAUX)"/>
    <m/>
    <e v="#N/A"/>
    <e v="#N/A"/>
    <n v="75175"/>
    <s v="F2505/1515"/>
    <s v="COFICIEL"/>
    <s v="Q2"/>
    <e v="#REF!"/>
    <e v="#REF!"/>
    <e v="#REF!"/>
  </r>
  <r>
    <s v="445662"/>
    <x v="6"/>
    <s v="TVA - D_20"/>
    <s v="AC"/>
    <n v="78"/>
    <d v="2025-07-31T00:00:00"/>
    <s v="LOCATION ALGECO ROUSSILLON (PÉRIODE TRAVAUX)"/>
    <m/>
    <e v="#N/A"/>
    <e v="#N/A"/>
    <n v="81339"/>
    <s v="F2507/0533"/>
    <s v="COFICIEL"/>
    <s v="Q3"/>
    <e v="#REF!"/>
    <e v="#REF!"/>
    <e v="#REF!"/>
  </r>
  <r>
    <s v="445662"/>
    <x v="6"/>
    <s v="TVA - D_20"/>
    <s v="AC"/>
    <n v="78"/>
    <d v="2025-08-31T00:00:00"/>
    <s v="MODIFICATION ALGECO"/>
    <m/>
    <e v="#N/A"/>
    <e v="#N/A"/>
    <n v="82303"/>
    <s v="F2508/0405"/>
    <s v="COFICIEL"/>
    <s v="Q3"/>
    <e v="#REF!"/>
    <e v="#REF!"/>
    <e v="#REF!"/>
  </r>
  <r>
    <s v="445662"/>
    <x v="6"/>
    <s v="TVA - D_20"/>
    <s v="AC"/>
    <n v="78"/>
    <d v="2025-09-30T00:00:00"/>
    <s v="&quot;•_x0009_LIVRAISON ET INSTALLATION DE DEUX NOUVEAUX ALGECOS •_x0009_LOCATION DES 4 ALGECOS ACTUELS + 2 NOUVEAUX PENDANT 1 AN •_x0009_DÉMONTAGE DES"/>
    <m/>
    <e v="#N/A"/>
    <e v="#N/A"/>
    <n v="82751"/>
    <s v="F2509/0833"/>
    <s v="COFICIEL"/>
    <s v="Q3"/>
    <e v="#REF!"/>
    <e v="#REF!"/>
    <e v="#REF!"/>
  </r>
  <r>
    <s v="445662"/>
    <x v="6"/>
    <s v="TVA - D_20"/>
    <s v="AC"/>
    <n v="78"/>
    <d v="2025-10-31T00:00:00"/>
    <s v="&quot;•_x0009_LIVRAISON ET INSTALLATION DE DEUX NOUVEAUX ALGECOS •_x0009_LOCATION DES 4 ALGECOS ACTUELS + 2 NOUVEAUX PENDANT 1 AN •_x0009_DÉMONTAGE DES"/>
    <m/>
    <e v="#N/A"/>
    <e v="#N/A"/>
    <n v="89906"/>
    <s v="F2510/0736"/>
    <s v="COFICIEL"/>
    <s v="Q4"/>
    <e v="#REF!"/>
    <e v="#REF!"/>
    <e v="#REF!"/>
  </r>
  <r>
    <s v="445662"/>
    <x v="6"/>
    <s v="TVA - D_20"/>
    <s v="AC"/>
    <n v="78"/>
    <d v="2025-11-30T00:00:00"/>
    <s v="MODIFICATION ALGECO"/>
    <m/>
    <e v="#N/A"/>
    <e v="#N/A"/>
    <n v="91996"/>
    <s v="F2511/1367"/>
    <s v="COFICIEL"/>
    <s v="Q4"/>
    <e v="#REF!"/>
    <e v="#REF!"/>
    <e v="#REF!"/>
  </r>
  <r>
    <s v="445662"/>
    <x v="6"/>
    <s v="TVA - D_20"/>
    <s v="AC"/>
    <n v="78"/>
    <d v="2025-12-31T00:00:00"/>
    <s v="ALGECO ROUSSILLON"/>
    <m/>
    <e v="#N/A"/>
    <e v="#N/A"/>
    <n v="95151"/>
    <s v="F2512/1222"/>
    <s v="COFICIEL"/>
    <s v="Q4"/>
    <e v="#REF!"/>
    <e v="#REF!"/>
    <e v="#REF!"/>
  </r>
  <r>
    <s v="445662"/>
    <x v="6"/>
    <s v="TVA - D_20"/>
    <s v="AC"/>
    <n v="78"/>
    <d v="2025-12-31T00:00:00"/>
    <s v="VISITES MÉDICALES"/>
    <m/>
    <e v="#N/A"/>
    <e v="#N/A"/>
    <n v="95739"/>
    <s v="2545823"/>
    <s v="CIAMT"/>
    <s v="Q4"/>
    <e v="#REF!"/>
    <e v="#REF!"/>
    <e v="#REF!"/>
  </r>
  <r>
    <s v="445662"/>
    <x v="6"/>
    <s v="TVA - D_20"/>
    <s v="AC"/>
    <n v="78.22"/>
    <d v="2025-10-23T00:00:00"/>
    <s v="VERRERIE POUR LABORATOIRE R. ET DIVERS PETIT MATÉRIEL POUR PILOT / KL"/>
    <m/>
    <e v="#N/A"/>
    <e v="#N/A"/>
    <n v="89869"/>
    <s v="0190028"/>
    <s v="CLOUP"/>
    <s v="Q4"/>
    <e v="#REF!"/>
    <e v="#REF!"/>
    <e v="#REF!"/>
  </r>
  <r>
    <s v="445662"/>
    <x v="6"/>
    <s v="TVA - D_20"/>
    <s v="AC"/>
    <n v="78.83"/>
    <d v="2025-11-12T00:00:00"/>
    <s v="COMMANDE VIN SOIRÉE 10 ANS PILI"/>
    <m/>
    <e v="#N/A"/>
    <e v="#N/A"/>
    <n v="90053"/>
    <s v="260097"/>
    <s v="ROLAND GRANGIER"/>
    <s v="Q4"/>
    <e v="#REF!"/>
    <e v="#REF!"/>
    <e v="#REF!"/>
  </r>
  <r>
    <s v="445662"/>
    <x v="6"/>
    <s v="TVA - D_20"/>
    <s v="AC"/>
    <n v="78.91"/>
    <d v="2025-10-27T00:00:00"/>
    <s v="CONSOMMABLE ET PRODUITS LABO"/>
    <m/>
    <e v="#N/A"/>
    <e v="#N/A"/>
    <n v="89872"/>
    <s v="4067854697"/>
    <s v="VWR AVANTOR"/>
    <s v="Q4"/>
    <e v="#REF!"/>
    <e v="#REF!"/>
    <e v="#REF!"/>
  </r>
  <r>
    <s v="445662"/>
    <x v="6"/>
    <s v="TVA - D_20"/>
    <s v="AC"/>
    <n v="79"/>
    <d v="2025-11-29T00:00:00"/>
    <s v="RÉPARATION DOME RÉACTEUR 10L"/>
    <m/>
    <e v="#N/A"/>
    <e v="#N/A"/>
    <n v="94888"/>
    <s v="0190629"/>
    <s v="CLOUP"/>
    <s v="Q4"/>
    <e v="#REF!"/>
    <e v="#REF!"/>
    <e v="#REF!"/>
  </r>
  <r>
    <s v="445662"/>
    <x v="6"/>
    <s v="TVA - D_20"/>
    <s v="AC"/>
    <n v="79.42"/>
    <d v="2025-01-01T00:00:00"/>
    <s v="LOYER COPIEUR MULTIFONCTION"/>
    <m/>
    <e v="#N/A"/>
    <e v="#N/A"/>
    <n v="86986"/>
    <s v="FLG6G869125"/>
    <s v="BNP PARIBAS LEASE GROUP"/>
    <s v="Q1"/>
    <e v="#REF!"/>
    <e v="#REF!"/>
    <e v="#REF!"/>
  </r>
  <r>
    <s v="445662"/>
    <x v="6"/>
    <s v="TVA - D_20"/>
    <s v="AC"/>
    <n v="79.42"/>
    <d v="2025-04-01T00:00:00"/>
    <s v="LOYER COPIEUR MULTIFONCTION"/>
    <m/>
    <e v="#N/A"/>
    <e v="#N/A"/>
    <n v="87013"/>
    <s v="FLG7G851903"/>
    <s v="BNP PARIBAS LEASE GROUP"/>
    <s v="Q2"/>
    <e v="#REF!"/>
    <e v="#REF!"/>
    <e v="#REF!"/>
  </r>
  <r>
    <s v="445662"/>
    <x v="6"/>
    <s v="TVA - D_20"/>
    <s v="AC"/>
    <n v="79.42"/>
    <d v="2025-07-01T00:00:00"/>
    <s v="LOYER COPIEUR MULTIFONCTION"/>
    <m/>
    <e v="#N/A"/>
    <e v="#N/A"/>
    <n v="87022"/>
    <s v="FLG8G834291"/>
    <s v="BNP PARIBAS LEASE GROUP"/>
    <s v="Q3"/>
    <e v="#REF!"/>
    <e v="#REF!"/>
    <e v="#REF!"/>
  </r>
  <r>
    <s v="445662"/>
    <x v="6"/>
    <s v="TVA - D_20"/>
    <s v="AC"/>
    <n v="79.42"/>
    <d v="2025-10-01T00:00:00"/>
    <s v="LOYER COPIEUR MULTIFONCTION"/>
    <m/>
    <e v="#N/A"/>
    <e v="#N/A"/>
    <n v="87046"/>
    <s v="FLG9G556178"/>
    <s v="BNP PARIBAS LEASE GROUP"/>
    <s v="Q4"/>
    <e v="#REF!"/>
    <e v="#REF!"/>
    <e v="#REF!"/>
  </r>
  <r>
    <s v="401000"/>
    <x v="6"/>
    <s v="FOURNISSEURS"/>
    <s v="BPRI"/>
    <n v="42.95"/>
    <d v="2025-10-08T00:00:00"/>
    <s v="/SQTP/RCUR/LIB/PRLV SEPA ENGIE/LIB/ENGIE/LIB/300003366729-320008150541/LIB/00PEG0418998"/>
    <m/>
    <e v="#N/A"/>
    <e v="#N/A"/>
    <n v="86918"/>
    <m/>
    <s v="ENGIE"/>
    <s v="Q4"/>
    <e v="#REF!"/>
    <e v="#REF!"/>
    <e v="#REF!"/>
  </r>
  <r>
    <s v="445662"/>
    <x v="6"/>
    <s v="TVA - D_20"/>
    <s v="AC"/>
    <n v="80"/>
    <d v="2025-05-31T00:00:00"/>
    <s v="ARRÊTÉ ANNUEL DES COMPTES 2024 : SOLDE"/>
    <s v="Non"/>
    <s v="Non"/>
    <e v="#N/A"/>
    <n v="75938"/>
    <s v="EXP0007829"/>
    <s v="F2P AUDIT &amp; CONSEIL"/>
    <s v="Q2"/>
    <e v="#REF!"/>
    <e v="#REF!"/>
    <e v="#REF!"/>
  </r>
  <r>
    <s v="445662"/>
    <x v="6"/>
    <s v="TVA - D_20"/>
    <s v="AC"/>
    <n v="80.34"/>
    <d v="2025-01-01T00:00:00"/>
    <s v="PRESTATION : SPS"/>
    <m/>
    <e v="#N/A"/>
    <e v="#N/A"/>
    <n v="81306"/>
    <s v="202301269"/>
    <s v="EXELL SECURITE"/>
    <s v="Q1"/>
    <e v="#REF!"/>
    <e v="#REF!"/>
    <e v="#REF!"/>
  </r>
  <r>
    <s v="445662"/>
    <x v="6"/>
    <s v="TVA - D_20"/>
    <s v="AC"/>
    <n v="80.41"/>
    <d v="2025-04-30T00:00:00"/>
    <s v="FACTURE D'AVRIL 2025"/>
    <m/>
    <e v="#N/A"/>
    <e v="#N/A"/>
    <n v="72654"/>
    <s v="90361034"/>
    <s v="ORANGE"/>
    <s v="Q2"/>
    <e v="#REF!"/>
    <e v="#REF!"/>
    <e v="#REF!"/>
  </r>
  <r>
    <s v="445662"/>
    <x v="6"/>
    <s v="TVA - D_20"/>
    <s v="AC"/>
    <n v="80.8"/>
    <d v="2025-09-23T00:00:00"/>
    <s v="PRESTATION TRAITEUR SÉMINAIRE PILI"/>
    <m/>
    <e v="#N/A"/>
    <e v="#N/A"/>
    <n v="87049"/>
    <s v="TG34/3888"/>
    <s v="TRAITEUR GRAND"/>
    <s v="Q3"/>
    <e v="#REF!"/>
    <e v="#REF!"/>
    <e v="#REF!"/>
  </r>
  <r>
    <s v="445662"/>
    <x v="6"/>
    <s v="TVA - D_20"/>
    <s v="AC"/>
    <n v="81.67"/>
    <d v="2025-04-08T00:00:00"/>
    <s v="SUIVI JURIDIQUE EN HOTLINE POUR LA PÉRIODE DU 1ER AU 31 MARS 2025"/>
    <s v="Non"/>
    <s v="Non"/>
    <e v="#N/A"/>
    <n v="69737"/>
    <s v="C2025446"/>
    <s v="ALTAIR AVOCATS"/>
    <s v="Q2"/>
    <e v="#REF!"/>
    <e v="#REF!"/>
    <e v="#REF!"/>
  </r>
  <r>
    <s v="445662"/>
    <x v="6"/>
    <s v="TVA - D_20"/>
    <s v="AC"/>
    <n v="84.99"/>
    <d v="2025-12-01T00:00:00"/>
    <s v="ÉLECTRICITÉ KB 6E"/>
    <m/>
    <e v="#N/A"/>
    <e v="#N/A"/>
    <n v="91838"/>
    <s v="850005343738"/>
    <s v="ENGIE"/>
    <s v="Q4"/>
    <e v="#REF!"/>
    <e v="#REF!"/>
    <e v="#REF!"/>
  </r>
  <r>
    <s v="445662"/>
    <x v="6"/>
    <s v="TVA - D_20"/>
    <s v="AC"/>
    <n v="85.34"/>
    <d v="2025-11-06T00:00:00"/>
    <s v="(NCE) MICROSOFT COPILOT FOR MICROSOFT 365 PREPAID FOR 12 MONTH(S) PER UNIT"/>
    <m/>
    <e v="#N/A"/>
    <e v="#N/A"/>
    <n v="89928"/>
    <s v="145295"/>
    <s v="ARESCOM"/>
    <s v="Q4"/>
    <e v="#REF!"/>
    <e v="#REF!"/>
    <e v="#REF!"/>
  </r>
  <r>
    <s v="445662"/>
    <x v="6"/>
    <s v="TVA - D_20"/>
    <s v="AC"/>
    <n v="85.95"/>
    <d v="2025-02-25T00:00:00"/>
    <s v="BALLONS GRAD. BLAUBRAND, CL.A, BOUCH. PP FIOLES À VIDE ROTILABO FIOLES À VIDE ROTILABO JEU GUKO, EPDM"/>
    <m/>
    <e v="#N/A"/>
    <e v="#N/A"/>
    <n v="64118"/>
    <s v="4174059"/>
    <s v="ROTH SOCHIEL"/>
    <s v="Q1"/>
    <e v="#REF!"/>
    <e v="#REF!"/>
    <e v="#REF!"/>
  </r>
  <r>
    <s v="445662"/>
    <x v="6"/>
    <s v="TVA - D_20"/>
    <s v="AC"/>
    <n v="86"/>
    <d v="2025-02-28T00:00:00"/>
    <s v="FORMATION  CLÉMENT ET MARIE"/>
    <s v="Non"/>
    <s v="Non"/>
    <e v="#N/A"/>
    <n v="64141"/>
    <s v="93812420"/>
    <s v="OSIRIS"/>
    <s v="Q1"/>
    <e v="#REF!"/>
    <e v="#REF!"/>
    <e v="#REF!"/>
  </r>
  <r>
    <s v="445662"/>
    <x v="6"/>
    <s v="TVA - D_20"/>
    <s v="AC"/>
    <n v="86.1"/>
    <d v="2025-12-31T00:00:00"/>
    <s v="ELECTRICITÉ KB 6E ÉTAGE"/>
    <m/>
    <e v="#N/A"/>
    <e v="#N/A"/>
    <n v="94856"/>
    <s v="8,50005E+11"/>
    <s v="ENGIE"/>
    <s v="Q4"/>
    <e v="#REF!"/>
    <e v="#REF!"/>
    <e v="#REF!"/>
  </r>
  <r>
    <s v="445662"/>
    <x v="6"/>
    <s v="TVA - D_20"/>
    <s v="AC"/>
    <n v="87.2"/>
    <d v="2025-08-01T00:00:00"/>
    <s v="HYDROXYLAMINE SULFATE POUR KEENY STEP 2"/>
    <m/>
    <e v="#N/A"/>
    <e v="#N/A"/>
    <n v="81779"/>
    <s v="8053519234"/>
    <s v="Sigma-Aldrich chimie"/>
    <s v="Q3"/>
    <e v="#REF!"/>
    <e v="#REF!"/>
    <e v="#REF!"/>
  </r>
  <r>
    <s v="445662"/>
    <x v="6"/>
    <s v="TVA - D_20"/>
    <s v="AC"/>
    <n v="87.5"/>
    <d v="2025-09-03T00:00:00"/>
    <s v="ETUDE RAPPORT DE RECHERCHE OEB"/>
    <s v="Non"/>
    <s v="Oui"/>
    <e v="#N/A"/>
    <n v="81861"/>
    <s v="254099"/>
    <s v="BECKER"/>
    <s v="Q3"/>
    <e v="#REF!"/>
    <e v="#REF!"/>
    <e v="#REF!"/>
  </r>
  <r>
    <s v="445662"/>
    <x v="6"/>
    <s v="TVA - D_20"/>
    <s v="AC"/>
    <n v="88.2"/>
    <d v="2025-06-23T00:00:00"/>
    <s v="COMMANDE PRODUIT LABO"/>
    <m/>
    <e v="#N/A"/>
    <e v="#N/A"/>
    <n v="77277"/>
    <s v="4067751906"/>
    <s v="VWR AVANTOR"/>
    <s v="Q2"/>
    <e v="#REF!"/>
    <e v="#REF!"/>
    <e v="#REF!"/>
  </r>
  <r>
    <s v="445662"/>
    <x v="6"/>
    <s v="TVA - D_20"/>
    <s v="AC"/>
    <n v="89"/>
    <d v="2025-11-14T00:00:00"/>
    <s v="IMPRESSIONS PANNEAUX PHOTOS POUR LE KB"/>
    <m/>
    <e v="#N/A"/>
    <e v="#N/A"/>
    <n v="90056"/>
    <s v="FL260970"/>
    <s v="GROUPE CHAUMEIL"/>
    <s v="Q4"/>
    <e v="#REF!"/>
    <e v="#REF!"/>
    <e v="#REF!"/>
  </r>
  <r>
    <s v="445662"/>
    <x v="6"/>
    <s v="TVA - D_20"/>
    <s v="AC"/>
    <n v="89.2"/>
    <d v="2025-07-03T00:00:00"/>
    <s v="PRESTATION COACHING DE LUCIE CREPIN MANAGER SOCIÉTÉ PILI"/>
    <m/>
    <s v="Non"/>
    <e v="#N/A"/>
    <n v="77336"/>
    <s v="F2025-025"/>
    <s v="BERNARD SEMBEILLES CONSULTING"/>
    <s v="Q3"/>
    <e v="#REF!"/>
    <e v="#REF!"/>
    <e v="#REF!"/>
  </r>
  <r>
    <s v="445662"/>
    <x v="6"/>
    <s v="TVA - D_20"/>
    <s v="AC"/>
    <n v="89.2"/>
    <d v="2025-08-27T00:00:00"/>
    <s v="PRESTATION COACHING DE LUCIE CREPIN MANAGER"/>
    <m/>
    <s v="Non"/>
    <e v="#N/A"/>
    <n v="81833"/>
    <s v="F2025-027"/>
    <s v="BERNARD SEMBEILLES CONSULTING"/>
    <s v="Q3"/>
    <e v="#REF!"/>
    <e v="#REF!"/>
    <e v="#REF!"/>
  </r>
  <r>
    <s v="445662"/>
    <x v="6"/>
    <s v="TVA - D_20"/>
    <s v="AC"/>
    <n v="89.53"/>
    <d v="2025-05-31T00:00:00"/>
    <s v="FORFAIT PERFORMANCE PRO"/>
    <m/>
    <e v="#N/A"/>
    <e v="#N/A"/>
    <n v="76195"/>
    <s v="90684696"/>
    <s v="ORANGE"/>
    <s v="Q2"/>
    <e v="#REF!"/>
    <e v="#REF!"/>
    <e v="#REF!"/>
  </r>
  <r>
    <s v="445662"/>
    <x v="6"/>
    <s v="TVA - D_20"/>
    <s v="AC"/>
    <n v="90"/>
    <d v="2025-07-07T00:00:00"/>
    <s v="FACTURE CONFÉRENCE PYB AFTPVA"/>
    <m/>
    <e v="#N/A"/>
    <e v="#N/A"/>
    <n v="78898"/>
    <s v="MED 2025/07/02"/>
    <s v="AFTPVA"/>
    <s v="Q3"/>
    <e v="#REF!"/>
    <e v="#REF!"/>
    <e v="#REF!"/>
  </r>
  <r>
    <s v="445662"/>
    <x v="6"/>
    <s v="TVA - D_20"/>
    <s v="AC"/>
    <n v="90"/>
    <d v="2025-12-03T00:00:00"/>
    <s v="ADVISORY - MEETING 05/12"/>
    <s v="Non"/>
    <s v="Non"/>
    <e v="#N/A"/>
    <n v="92200"/>
    <s v="F-2025-12455"/>
    <s v="BEEMYDESK"/>
    <s v="Q4"/>
    <e v="#REF!"/>
    <e v="#REF!"/>
    <e v="#REF!"/>
  </r>
  <r>
    <s v="445662"/>
    <x v="6"/>
    <s v="TVA - D_20"/>
    <s v="AC"/>
    <n v="93.65"/>
    <d v="2025-02-22T00:00:00"/>
    <s v="EQUIPEMENT CHIMISTE (SABLE, PELLES, BACS DE TRANSPORT SPÉCIFIQUES, ...)"/>
    <m/>
    <e v="#N/A"/>
    <e v="#N/A"/>
    <n v="67810"/>
    <s v="5"/>
    <s v="MANUTAN"/>
    <s v="Q1"/>
    <e v="#REF!"/>
    <e v="#REF!"/>
    <e v="#REF!"/>
  </r>
  <r>
    <s v="445662"/>
    <x v="6"/>
    <s v="TVA - D_20"/>
    <s v="AC"/>
    <n v="93.86"/>
    <d v="2025-03-24T00:00:00"/>
    <s v="COMMANDE PRODUIT ET CONSOMMABLE LABO"/>
    <m/>
    <e v="#N/A"/>
    <e v="#N/A"/>
    <n v="67866"/>
    <s v="4067673846"/>
    <s v="VWR AVANTOR"/>
    <s v="Q1"/>
    <e v="#REF!"/>
    <e v="#REF!"/>
    <e v="#REF!"/>
  </r>
  <r>
    <s v="445662"/>
    <x v="6"/>
    <s v="TVA - D_20"/>
    <s v="AC"/>
    <n v="93.98"/>
    <d v="2025-06-27T00:00:00"/>
    <s v="LESSIVE DE SOUDE 30%, CARBONATE DE SODIUM, ACIDE SULFURIQUE"/>
    <m/>
    <e v="#N/A"/>
    <e v="#N/A"/>
    <n v="78061"/>
    <s v="38"/>
    <s v="ARCANE INDUSTRIE"/>
    <s v="Q2"/>
    <e v="#REF!"/>
    <e v="#REF!"/>
    <e v="#REF!"/>
  </r>
  <r>
    <s v="445662"/>
    <x v="6"/>
    <s v="TVA - D_20"/>
    <s v="AC"/>
    <n v="95"/>
    <d v="2025-04-01T00:00:00"/>
    <s v="HONORAIRES CONSULTANT FP&amp;A / CONTRÔLE DE GESTION INTERVENTION DU 17/01/2025"/>
    <s v="Non"/>
    <s v="Non"/>
    <e v="#N/A"/>
    <n v="69663"/>
    <s v="PaulTessier"/>
    <s v="TESSIER PAUL"/>
    <s v="Q2"/>
    <e v="#REF!"/>
    <e v="#REF!"/>
    <e v="#REF!"/>
  </r>
  <r>
    <s v="445662"/>
    <x v="6"/>
    <s v="TVA - D_20"/>
    <s v="AC"/>
    <n v="95"/>
    <d v="2025-11-26T00:00:00"/>
    <s v="HONORAIRE PI PALOMA CHIMIE"/>
    <s v="Non"/>
    <s v="Oui"/>
    <e v="#N/A"/>
    <n v="91968"/>
    <s v="255303"/>
    <s v="BECKER"/>
    <s v="Q4"/>
    <e v="#REF!"/>
    <e v="#REF!"/>
    <e v="#REF!"/>
  </r>
  <r>
    <s v="512100"/>
    <x v="6"/>
    <s v="BANQUE POPULAIRE RIVE DE PARIS"/>
    <s v="BPRI"/>
    <n v="-42.95"/>
    <d v="2025-10-08T00:00:00"/>
    <s v="/SQTP/RCUR/LIB/PRLV SEPA ENGIE/LIB/ENGIE/LIB/300003366729-320008150541/LIB/00PEG0418998"/>
    <m/>
    <e v="#N/A"/>
    <e v="#N/A"/>
    <n v="86917"/>
    <m/>
    <s v="ENGIE"/>
    <s v="Q4"/>
    <e v="#REF!"/>
    <e v="#REF!"/>
    <e v="#REF!"/>
  </r>
  <r>
    <s v="445662"/>
    <x v="6"/>
    <s v="TVA - D_20"/>
    <s v="AC"/>
    <n v="96.51"/>
    <d v="2025-04-09T00:00:00"/>
    <s v="PALETTES EUROPE * 10"/>
    <m/>
    <e v="#N/A"/>
    <e v="#N/A"/>
    <n v="69749"/>
    <s v="49"/>
    <s v="MANUTAN"/>
    <s v="Q2"/>
    <e v="#REF!"/>
    <e v="#REF!"/>
    <e v="#REF!"/>
  </r>
  <r>
    <s v="445662"/>
    <x v="6"/>
    <s v="TVA - D_20"/>
    <s v="AC"/>
    <n v="97"/>
    <d v="2025-01-01T00:00:00"/>
    <s v="TRANSPORT"/>
    <m/>
    <e v="#N/A"/>
    <e v="#N/A"/>
    <n v="73595"/>
    <s v="24100913"/>
    <s v="BROSSIER TRANSPORTS"/>
    <s v="Q1"/>
    <e v="#REF!"/>
    <e v="#REF!"/>
    <e v="#REF!"/>
  </r>
  <r>
    <s v="445662"/>
    <x v="6"/>
    <s v="TVA - D_20"/>
    <s v="AC"/>
    <n v="97.5"/>
    <d v="2025-07-08T00:00:00"/>
    <s v="HOTLINE"/>
    <s v="Non"/>
    <s v="Non"/>
    <e v="#N/A"/>
    <n v="77342"/>
    <s v="C2025695"/>
    <s v="ALTAIR AVOCATS"/>
    <s v="Q3"/>
    <e v="#REF!"/>
    <e v="#REF!"/>
    <e v="#REF!"/>
  </r>
  <r>
    <s v="445662"/>
    <x v="6"/>
    <s v="TVA - D_20"/>
    <s v="AC"/>
    <n v="99.6"/>
    <d v="2025-09-16T00:00:00"/>
    <s v="DMSO POUR PURIF VBIO (2*20 KG)"/>
    <m/>
    <e v="#N/A"/>
    <e v="#N/A"/>
    <n v="83005"/>
    <s v="FA036462"/>
    <s v="ARCANE INDUSTRIE"/>
    <s v="Q3"/>
    <e v="#REF!"/>
    <e v="#REF!"/>
    <e v="#REF!"/>
  </r>
  <r>
    <s v="445662"/>
    <x v="6"/>
    <s v="TVA - D_20"/>
    <s v="AC"/>
    <n v="100"/>
    <d v="2025-06-10T00:00:00"/>
    <s v="&quot;HONORAIRE FORFAITAIRE &quot;&quot;ATTENDANCE TO THE BOARD &quot;&quot; 13/05/2025&quot;"/>
    <s v="Non"/>
    <s v="Non"/>
    <e v="#N/A"/>
    <n v="76584"/>
    <s v="C2025591"/>
    <s v="ALTAIR AVOCATS"/>
    <s v="Q2"/>
    <e v="#REF!"/>
    <e v="#REF!"/>
    <e v="#REF!"/>
  </r>
  <r>
    <s v="445662"/>
    <x v="6"/>
    <s v="TVA - D_20"/>
    <s v="AC"/>
    <n v="100"/>
    <d v="2025-06-27T00:00:00"/>
    <s v="&quot;HONORAIRE FORFAITAIRE &quot;&quot;ATTENDANCE TO THE BOARD &quot;&quot; 10/06/2025&quot;"/>
    <s v="Non"/>
    <s v="Non"/>
    <e v="#N/A"/>
    <n v="77298"/>
    <s v="C2025613"/>
    <s v="ALTAIR AVOCATS"/>
    <s v="Q2"/>
    <e v="#REF!"/>
    <e v="#REF!"/>
    <e v="#REF!"/>
  </r>
  <r>
    <s v="445662"/>
    <x v="6"/>
    <s v="TVA - D_20"/>
    <s v="AC"/>
    <n v="100.68"/>
    <d v="2025-11-17T00:00:00"/>
    <s v="FORMALITÉ LÉGALES CONVERSION OC"/>
    <s v="Non"/>
    <s v="Non"/>
    <e v="#N/A"/>
    <n v="91122"/>
    <s v="FACT 2025 - 1245"/>
    <s v="SERVICES PRESTATIONS FORMALITES LEGALES"/>
    <s v="Q4"/>
    <e v="#REF!"/>
    <e v="#REF!"/>
    <e v="#REF!"/>
  </r>
  <r>
    <s v="445662"/>
    <x v="6"/>
    <s v="TVA - D_20"/>
    <s v="AC"/>
    <n v="101.25"/>
    <d v="2025-02-05T00:00:00"/>
    <s v="2-METHYLTETRAHYDROFURAN"/>
    <m/>
    <e v="#N/A"/>
    <e v="#N/A"/>
    <n v="64076"/>
    <s v="4067631288"/>
    <s v="VWR AVANTOR"/>
    <s v="Q1"/>
    <e v="#REF!"/>
    <e v="#REF!"/>
    <e v="#REF!"/>
  </r>
  <r>
    <s v="445662"/>
    <x v="6"/>
    <s v="TVA - D_20"/>
    <s v="AC"/>
    <n v="101.54"/>
    <d v="2025-08-28T00:00:00"/>
    <s v="CONTRÔLE ANNUEL ÉLECTRIQUE + VGP GERBEUR ÉLECTRIQUE"/>
    <m/>
    <e v="#N/A"/>
    <e v="#N/A"/>
    <n v="82285"/>
    <s v="VE/2025/02804"/>
    <s v="ACRITEC"/>
    <s v="Q3"/>
    <e v="#REF!"/>
    <e v="#REF!"/>
    <e v="#REF!"/>
  </r>
  <r>
    <s v="445662"/>
    <x v="6"/>
    <s v="TVA - D_20"/>
    <s v="AC"/>
    <n v="102.4"/>
    <d v="2025-02-08T00:00:00"/>
    <s v="200L ÉTHANOL"/>
    <m/>
    <e v="#N/A"/>
    <e v="#N/A"/>
    <n v="61436"/>
    <s v="109"/>
    <s v="ARCANE INDUSTRIE"/>
    <s v="Q1"/>
    <e v="#REF!"/>
    <e v="#REF!"/>
    <e v="#REF!"/>
  </r>
  <r>
    <s v="445662"/>
    <x v="6"/>
    <s v="TVA - D_20"/>
    <s v="AC"/>
    <n v="102.5"/>
    <d v="2025-06-06T00:00:00"/>
    <s v="RAPPORT DE RECHERCHE - BREVET PALOMA CHIMIE"/>
    <s v="Non"/>
    <s v="Oui"/>
    <e v="#N/A"/>
    <n v="76113"/>
    <s v="252594"/>
    <s v="BECKER"/>
    <s v="Q2"/>
    <e v="#REF!"/>
    <e v="#REF!"/>
    <e v="#REF!"/>
  </r>
  <r>
    <s v="445662"/>
    <x v="6"/>
    <s v="TVA - D_20"/>
    <s v="AC"/>
    <n v="103.9"/>
    <d v="2025-03-27T00:00:00"/>
    <s v="ETUDE DE PRODUCTION D’UN INTERMÉDIAIRE DE COLORANT"/>
    <s v="Non"/>
    <s v="Oui"/>
    <e v="#N/A"/>
    <n v="67898"/>
    <s v="251388"/>
    <s v="BECKER"/>
    <s v="Q1"/>
    <e v="#REF!"/>
    <e v="#REF!"/>
    <e v="#REF!"/>
  </r>
  <r>
    <s v="445662"/>
    <x v="6"/>
    <s v="TVA - D_20"/>
    <s v="AC"/>
    <n v="104.4"/>
    <d v="2025-11-10T00:00:00"/>
    <s v="HYDROXYLAMINE SULFATE POUR STEP 2 KEENY  MATIÈRE PREMIÈRE NON RÉCEPTIONNÉE. AVOIR ENVOYÉ PAR FISHER EN COMPLÉMENT."/>
    <m/>
    <e v="#N/A"/>
    <e v="#N/A"/>
    <n v="91045"/>
    <s v="4175054812"/>
    <s v="FISHER SCIENTIFIC"/>
    <s v="Q4"/>
    <e v="#REF!"/>
    <e v="#REF!"/>
    <e v="#REF!"/>
  </r>
  <r>
    <s v="445662"/>
    <x v="6"/>
    <s v="TVA - D_20"/>
    <s v="AC"/>
    <n v="106.2"/>
    <d v="2025-05-23T00:00:00"/>
    <s v="IMPRESSIONS EXPO PASTEUR"/>
    <m/>
    <e v="#N/A"/>
    <e v="#N/A"/>
    <n v="74456"/>
    <s v="FL256126"/>
    <s v="GROUPE CHAUMEIL"/>
    <s v="Q2"/>
    <e v="#REF!"/>
    <e v="#REF!"/>
    <e v="#REF!"/>
  </r>
  <r>
    <s v="445662"/>
    <x v="6"/>
    <s v="TVA - D_20"/>
    <s v="AC"/>
    <n v="107.42"/>
    <d v="2025-02-19T00:00:00"/>
    <s v="COMMANDE SOLVANTS DEUTÉRÉS"/>
    <m/>
    <e v="#N/A"/>
    <e v="#N/A"/>
    <n v="61528"/>
    <s v="FVE0225-220"/>
    <s v="EURISOTOP"/>
    <s v="Q1"/>
    <e v="#REF!"/>
    <e v="#REF!"/>
    <e v="#REF!"/>
  </r>
  <r>
    <s v="445662"/>
    <x v="6"/>
    <s v="TVA - D_20"/>
    <s v="AC"/>
    <n v="107.47"/>
    <d v="2025-01-09T00:00:00"/>
    <s v="ARMOIRE EPI ATELIER PILOTE / KL"/>
    <m/>
    <e v="#N/A"/>
    <e v="#N/A"/>
    <n v="59879"/>
    <s v="18"/>
    <s v="DENIOS"/>
    <s v="Q1"/>
    <e v="#REF!"/>
    <e v="#REF!"/>
    <e v="#REF!"/>
  </r>
  <r>
    <s v="445662"/>
    <x v="6"/>
    <s v="TVA - D_20"/>
    <s v="AC"/>
    <n v="108.6"/>
    <d v="2025-01-24T00:00:00"/>
    <s v="FOURNITURE FILTRES A POCHE 287*592*25 F7"/>
    <m/>
    <e v="#N/A"/>
    <e v="#N/A"/>
    <n v="64014"/>
    <s v="FA005083"/>
    <s v="3BCLIM"/>
    <s v="Q1"/>
    <e v="#REF!"/>
    <e v="#REF!"/>
    <e v="#REF!"/>
  </r>
  <r>
    <s v="445662"/>
    <x v="6"/>
    <s v="TVA - D_20"/>
    <s v="AC"/>
    <n v="108.77"/>
    <d v="2025-09-02T00:00:00"/>
    <s v="PRODUITS KEENB"/>
    <m/>
    <e v="#N/A"/>
    <e v="#N/A"/>
    <n v="81855"/>
    <s v="4067808240"/>
    <s v="VWR AVANTOR"/>
    <s v="Q3"/>
    <e v="#REF!"/>
    <e v="#REF!"/>
    <e v="#REF!"/>
  </r>
  <r>
    <s v="445662"/>
    <x v="6"/>
    <s v="TVA - D_20"/>
    <s v="AC"/>
    <n v="109.42"/>
    <d v="2025-07-17T00:00:00"/>
    <s v="METHANOL 1 FÛT DE 200L KEENY A PAYER EN PROFORMA (FACTURE PROFORMA SERA ENVOYÉE PAR MAIL À GILLES)"/>
    <m/>
    <e v="#N/A"/>
    <e v="#N/A"/>
    <n v="81324"/>
    <s v="94474214"/>
    <s v="BRENNTAG"/>
    <s v="Q3"/>
    <e v="#REF!"/>
    <e v="#REF!"/>
    <e v="#REF!"/>
  </r>
  <r>
    <s v="445662"/>
    <x v="6"/>
    <s v="TVA - D_20"/>
    <s v="AC"/>
    <n v="110"/>
    <d v="2025-06-30T00:00:00"/>
    <s v="CONTRAT DE LOCATION N° CT25/0186 ALGECOS"/>
    <m/>
    <e v="#N/A"/>
    <e v="#N/A"/>
    <n v="78406"/>
    <s v="F2506/0476"/>
    <s v="COFICIEL"/>
    <s v="Q2"/>
    <e v="#REF!"/>
    <e v="#REF!"/>
    <e v="#REF!"/>
  </r>
  <r>
    <s v="445662"/>
    <x v="6"/>
    <s v="TVA - D_20"/>
    <s v="AC"/>
    <n v="110"/>
    <d v="2025-11-30T00:00:00"/>
    <s v="FORMATION FDS MARIE"/>
    <m/>
    <s v="Non"/>
    <e v="#N/A"/>
    <n v="91990"/>
    <s v="2025-0189-FACTURE"/>
    <s v="SICADAE"/>
    <s v="Q4"/>
    <e v="#REF!"/>
    <e v="#REF!"/>
    <e v="#REF!"/>
  </r>
  <r>
    <s v="445662"/>
    <x v="6"/>
    <s v="TVA - D_20"/>
    <s v="AC"/>
    <n v="110.28"/>
    <d v="2025-07-18T00:00:00"/>
    <s v="FILTRE DE PROTECTION POUR LA GC-MS (ARRIVÉ D'HÉLIUM + SORTIE DE LA POMPE)"/>
    <m/>
    <s v="Non"/>
    <e v="#N/A"/>
    <n v="82275"/>
    <s v="9131423883"/>
    <s v="THERMOELECTRON"/>
    <s v="Q3"/>
    <e v="#REF!"/>
    <e v="#REF!"/>
    <e v="#REF!"/>
  </r>
  <r>
    <s v="445662"/>
    <x v="6"/>
    <s v="TVA - D_20"/>
    <s v="AC"/>
    <n v="118.3"/>
    <d v="2025-04-28T00:00:00"/>
    <s v="MODIFICATION BUTÉE MONORAIL RÉACTEUR INOX"/>
    <m/>
    <e v="#N/A"/>
    <e v="#N/A"/>
    <n v="71359"/>
    <s v="25040370"/>
    <s v="FOURE LAGADEC"/>
    <s v="Q2"/>
    <e v="#REF!"/>
    <e v="#REF!"/>
    <e v="#REF!"/>
  </r>
  <r>
    <s v="445662"/>
    <x v="6"/>
    <s v="TVA - D_20"/>
    <s v="AC"/>
    <n v="119.45"/>
    <d v="2025-03-07T00:00:00"/>
    <s v="ELECTRODE PH POUR KL"/>
    <m/>
    <e v="#N/A"/>
    <e v="#N/A"/>
    <n v="68973"/>
    <s v="788139642"/>
    <s v="METTLER TOLEDO"/>
    <s v="Q1"/>
    <e v="#REF!"/>
    <e v="#REF!"/>
    <e v="#REF!"/>
  </r>
  <r>
    <s v="445662"/>
    <x v="6"/>
    <s v="TVA - D_20"/>
    <s v="AC"/>
    <n v="120"/>
    <d v="2025-03-05T00:00:00"/>
    <s v="STARTER - PACK 5 EMPLACEMENTS SUPPLÉMENTAIRES - 3 MOIS"/>
    <m/>
    <e v="#N/A"/>
    <e v="#N/A"/>
    <n v="72561"/>
    <s v="OD-20250305-172248-XX227"/>
    <s v="EURECIA"/>
    <s v="Q1"/>
    <e v="#REF!"/>
    <e v="#REF!"/>
    <e v="#REF!"/>
  </r>
  <r>
    <s v="445662"/>
    <x v="6"/>
    <s v="TVA - D_20"/>
    <s v="AC"/>
    <n v="120"/>
    <d v="2025-12-17T00:00:00"/>
    <s v="FORMATION PERFECTIONNEMENT TVA DANS LA CHIMIE G ZIANI"/>
    <m/>
    <s v="Non"/>
    <e v="#N/A"/>
    <n v="94286"/>
    <s v="410741"/>
    <s v="MATHEZ CONSEIL FORMATION"/>
    <s v="Q4"/>
    <e v="#REF!"/>
    <e v="#REF!"/>
    <e v="#REF!"/>
  </r>
  <r>
    <s v="445662"/>
    <x v="6"/>
    <s v="TVA - D_20"/>
    <s v="AC"/>
    <n v="120.6"/>
    <d v="2025-09-30T00:00:00"/>
    <s v="VÉRIFICATION + RÉGLAGE SOUPAPES ET DÉTENDEURS"/>
    <m/>
    <e v="#N/A"/>
    <e v="#N/A"/>
    <n v="87435"/>
    <s v="F00034250900145"/>
    <s v="EIFFAGE ENERGIE SYSTEMES"/>
    <s v="Q3"/>
    <e v="#REF!"/>
    <e v="#REF!"/>
    <e v="#REF!"/>
  </r>
  <r>
    <s v="445662"/>
    <x v="6"/>
    <s v="TVA - D_20"/>
    <s v="AC"/>
    <n v="122.67"/>
    <d v="2025-07-18T00:00:00"/>
    <s v="BENZENE SULFONYLE CHLORURE POUR KEENY STEP 3"/>
    <m/>
    <e v="#N/A"/>
    <e v="#N/A"/>
    <n v="78920"/>
    <s v="4175074046"/>
    <s v="FISHER SCIENTIFIC"/>
    <s v="Q3"/>
    <e v="#REF!"/>
    <e v="#REF!"/>
    <e v="#REF!"/>
  </r>
  <r>
    <s v="445662"/>
    <x v="6"/>
    <s v="TVA - D_20"/>
    <s v="AC"/>
    <n v="126.81"/>
    <d v="2025-01-07T00:00:00"/>
    <s v="COMMANDE PRODUIT PHOENIX"/>
    <m/>
    <e v="#N/A"/>
    <e v="#N/A"/>
    <n v="59865"/>
    <s v="4067605669"/>
    <s v="VWR AVANTOR"/>
    <s v="Q1"/>
    <e v="#REF!"/>
    <e v="#REF!"/>
    <e v="#REF!"/>
  </r>
  <r>
    <s v="445662"/>
    <x v="6"/>
    <s v="TVA - D_20"/>
    <s v="AC"/>
    <n v="127.3"/>
    <d v="2025-07-31T00:00:00"/>
    <s v="ELECTRODE PH + PETIT MATÉRIEL LABO"/>
    <m/>
    <e v="#N/A"/>
    <e v="#N/A"/>
    <n v="92977"/>
    <s v="4181061"/>
    <s v="ROTH SOCHIEL"/>
    <s v="Q3"/>
    <e v="#REF!"/>
    <e v="#REF!"/>
    <e v="#REF!"/>
  </r>
  <r>
    <s v="445662"/>
    <x v="6"/>
    <s v="TVA - D_20"/>
    <s v="AC"/>
    <n v="128.22"/>
    <d v="2025-02-10T00:00:00"/>
    <s v="BENZENESULFONIC ACID SODIUM SALT 98%"/>
    <m/>
    <e v="#N/A"/>
    <e v="#N/A"/>
    <n v="64089"/>
    <s v="4067634590"/>
    <s v="VWR AVANTOR"/>
    <s v="Q1"/>
    <e v="#REF!"/>
    <e v="#REF!"/>
    <e v="#REF!"/>
  </r>
  <r>
    <s v="445662"/>
    <x v="6"/>
    <s v="TVA - D_20"/>
    <s v="AC"/>
    <n v="129.80000000000001"/>
    <d v="2025-01-01T00:00:00"/>
    <s v="SPENDESK INVOICE #CB-202501-2246"/>
    <m/>
    <e v="#N/A"/>
    <e v="#N/A"/>
    <n v="59840"/>
    <s v="3"/>
    <s v="SPENDESK"/>
    <s v="Q1"/>
    <e v="#REF!"/>
    <e v="#REF!"/>
    <e v="#REF!"/>
  </r>
  <r>
    <s v="445662"/>
    <x v="6"/>
    <s v="TVA - D_20"/>
    <s v="AC"/>
    <n v="129.80000000000001"/>
    <d v="2025-02-01T00:00:00"/>
    <s v="SPENDESK INVOICE #CB-202502-6989"/>
    <m/>
    <e v="#N/A"/>
    <e v="#N/A"/>
    <n v="61387"/>
    <s v="88"/>
    <s v="SPENDESK"/>
    <s v="Q1"/>
    <e v="#REF!"/>
    <e v="#REF!"/>
    <e v="#REF!"/>
  </r>
  <r>
    <s v="445662"/>
    <x v="6"/>
    <s v="TVA - D_20"/>
    <s v="AC"/>
    <n v="129.80000000000001"/>
    <d v="2025-03-01T00:00:00"/>
    <s v="SPENDESK INVOICE #CB-202503-11702"/>
    <m/>
    <e v="#N/A"/>
    <e v="#N/A"/>
    <n v="66017"/>
    <s v="2"/>
    <s v="SPENDESK"/>
    <s v="Q1"/>
    <e v="#REF!"/>
    <e v="#REF!"/>
    <e v="#REF!"/>
  </r>
  <r>
    <s v="445662"/>
    <x v="6"/>
    <s v="TVA - D_20"/>
    <s v="AC"/>
    <n v="129.80000000000001"/>
    <d v="2025-04-01T00:00:00"/>
    <s v="SPENDESK INVOICE #CB-202504-16483"/>
    <m/>
    <e v="#N/A"/>
    <e v="#N/A"/>
    <n v="69655"/>
    <s v="17"/>
    <s v="SPENDESK"/>
    <s v="Q2"/>
    <e v="#REF!"/>
    <e v="#REF!"/>
    <e v="#REF!"/>
  </r>
  <r>
    <s v="445662"/>
    <x v="6"/>
    <s v="TVA - D_20"/>
    <s v="AC"/>
    <n v="129.80000000000001"/>
    <d v="2025-05-01T00:00:00"/>
    <s v="SPENDESK INVOICE #CB-202505-20932"/>
    <m/>
    <e v="#N/A"/>
    <e v="#N/A"/>
    <n v="72664"/>
    <s v="202505-20932"/>
    <s v="SPENDESK"/>
    <s v="Q2"/>
    <e v="#REF!"/>
    <e v="#REF!"/>
    <e v="#REF!"/>
  </r>
  <r>
    <s v="445662"/>
    <x v="6"/>
    <s v="TVA - D_20"/>
    <s v="AC"/>
    <n v="129.80000000000001"/>
    <d v="2025-06-01T00:00:00"/>
    <s v="SPENDESK INVOICE #CB-202506-25305"/>
    <m/>
    <e v="#N/A"/>
    <e v="#N/A"/>
    <n v="76542"/>
    <s v="CB-202506-25305"/>
    <s v="SPENDESK"/>
    <s v="Q2"/>
    <e v="#REF!"/>
    <e v="#REF!"/>
    <e v="#REF!"/>
  </r>
  <r>
    <s v="445662"/>
    <x v="6"/>
    <s v="TVA - D_20"/>
    <s v="AC"/>
    <n v="129.80000000000001"/>
    <d v="2025-07-01T00:00:00"/>
    <s v="SPENDESK INVOICE #CB-202507-29783"/>
    <m/>
    <e v="#N/A"/>
    <e v="#N/A"/>
    <n v="78794"/>
    <s v="CB-202507-29783"/>
    <s v="SPENDESK"/>
    <s v="Q3"/>
    <e v="#REF!"/>
    <e v="#REF!"/>
    <e v="#REF!"/>
  </r>
  <r>
    <s v="445662"/>
    <x v="6"/>
    <s v="TVA - D_20"/>
    <s v="AC"/>
    <n v="129.80000000000001"/>
    <d v="2025-08-01T00:00:00"/>
    <s v="SPENDESK INVOICE #CB-202508-34181"/>
    <m/>
    <e v="#N/A"/>
    <e v="#N/A"/>
    <n v="80668"/>
    <s v="CB-202508-34181"/>
    <s v="SPENDESK"/>
    <s v="Q3"/>
    <e v="#REF!"/>
    <e v="#REF!"/>
    <e v="#REF!"/>
  </r>
  <r>
    <s v="445662"/>
    <x v="6"/>
    <s v="TVA - D_20"/>
    <s v="AC"/>
    <n v="129.80000000000001"/>
    <d v="2025-09-01T00:00:00"/>
    <s v="SPENDESK INVOICE #CB-202509-38674"/>
    <m/>
    <e v="#N/A"/>
    <e v="#N/A"/>
    <n v="81898"/>
    <s v="CB-202509-38674"/>
    <s v="SPENDESK"/>
    <s v="Q3"/>
    <e v="#REF!"/>
    <e v="#REF!"/>
    <e v="#REF!"/>
  </r>
  <r>
    <s v="445662"/>
    <x v="6"/>
    <s v="TVA - D_20"/>
    <s v="AC"/>
    <n v="129.80000000000001"/>
    <d v="2025-10-01T00:00:00"/>
    <s v="SPENDESK INVOICE #CB-202510-42829"/>
    <m/>
    <e v="#N/A"/>
    <e v="#N/A"/>
    <n v="82787"/>
    <s v="CB-202510-42829"/>
    <s v="SPENDESK"/>
    <s v="Q4"/>
    <e v="#REF!"/>
    <e v="#REF!"/>
    <e v="#REF!"/>
  </r>
  <r>
    <s v="445662"/>
    <x v="6"/>
    <s v="TVA - D_20"/>
    <s v="AC"/>
    <n v="129.80000000000001"/>
    <d v="2025-11-01T00:00:00"/>
    <s v="SPENDESK INVOICE #CB-202511-47184"/>
    <m/>
    <e v="#N/A"/>
    <e v="#N/A"/>
    <n v="89668"/>
    <s v="CB-202511-47184"/>
    <s v="SPENDESK"/>
    <s v="Q4"/>
    <e v="#REF!"/>
    <e v="#REF!"/>
    <e v="#REF!"/>
  </r>
  <r>
    <s v="445662"/>
    <x v="6"/>
    <s v="TVA - D_20"/>
    <s v="AC"/>
    <n v="129.80000000000001"/>
    <d v="2025-12-01T00:00:00"/>
    <s v="SPENDESK INVOICE #CB-202512-51443"/>
    <m/>
    <e v="#N/A"/>
    <e v="#N/A"/>
    <n v="91830"/>
    <s v="CB-202512-51443"/>
    <s v="SPENDESK"/>
    <s v="Q4"/>
    <e v="#REF!"/>
    <e v="#REF!"/>
    <e v="#REF!"/>
  </r>
  <r>
    <s v="445662"/>
    <x v="6"/>
    <s v="TVA - D_20"/>
    <s v="AC"/>
    <n v="132"/>
    <d v="2025-05-07T00:00:00"/>
    <s v="ELECTIONS CSE PAR VOIE ÉLECTRONIQUE SUR LA BASE DE 40 ÉLECTEURS"/>
    <m/>
    <s v="Non"/>
    <e v="#N/A"/>
    <n v="72703"/>
    <s v="F2025-10241"/>
    <s v="AGRUME"/>
    <s v="Q2"/>
    <e v="#REF!"/>
    <e v="#REF!"/>
    <e v="#REF!"/>
  </r>
  <r>
    <s v="445662"/>
    <x v="6"/>
    <s v="TVA - D_20"/>
    <s v="AC"/>
    <n v="132"/>
    <d v="2025-10-08T00:00:00"/>
    <s v="ELECTIONS CSE PAR VOIE ÉLECTRONIQUE"/>
    <m/>
    <s v="Non"/>
    <e v="#N/A"/>
    <n v="84996"/>
    <s v="F2025-11607"/>
    <s v="AGRUME"/>
    <s v="Q4"/>
    <e v="#REF!"/>
    <e v="#REF!"/>
    <e v="#REF!"/>
  </r>
  <r>
    <s v="445662"/>
    <x v="6"/>
    <s v="TVA - D_20"/>
    <s v="AC"/>
    <n v="133.55000000000001"/>
    <d v="2025-12-31T00:00:00"/>
    <s v="RMN ESPCI"/>
    <m/>
    <e v="#N/A"/>
    <e v="#N/A"/>
    <n v="95154"/>
    <s v="122"/>
    <s v="SAESPCI"/>
    <s v="Q4"/>
    <e v="#REF!"/>
    <e v="#REF!"/>
    <e v="#REF!"/>
  </r>
  <r>
    <s v="445662"/>
    <x v="6"/>
    <s v="TVA - D_20"/>
    <s v="AC"/>
    <n v="136.4"/>
    <d v="2025-06-27T00:00:00"/>
    <s v="PAC 6500 SO2 0-100 PPM STANDARD"/>
    <m/>
    <e v="#N/A"/>
    <e v="#N/A"/>
    <n v="77295"/>
    <s v="FC96819"/>
    <s v="GAZ DETECT"/>
    <s v="Q2"/>
    <e v="#REF!"/>
    <e v="#REF!"/>
    <e v="#REF!"/>
  </r>
  <r>
    <s v="445662"/>
    <x v="6"/>
    <s v="TVA - D_20"/>
    <s v="AC"/>
    <n v="138"/>
    <d v="2025-06-25T00:00:00"/>
    <s v="UTILISATION LOGICIEL CHROMOLEON - NIVEAU 2 - 1 JOURNÉE"/>
    <m/>
    <s v="Non"/>
    <e v="#N/A"/>
    <n v="77286"/>
    <s v="9131422299"/>
    <s v="THERMOELECTRON"/>
    <s v="Q2"/>
    <e v="#REF!"/>
    <e v="#REF!"/>
    <e v="#REF!"/>
  </r>
  <r>
    <s v="445662"/>
    <x v="6"/>
    <s v="TVA - D_20"/>
    <s v="AC"/>
    <n v="138.69999999999999"/>
    <d v="2025-04-10T00:00:00"/>
    <s v="ANALYSE RMN ESPCI"/>
    <m/>
    <e v="#N/A"/>
    <e v="#N/A"/>
    <n v="69766"/>
    <s v="25"/>
    <s v="SAESPCI"/>
    <s v="Q2"/>
    <e v="#REF!"/>
    <e v="#REF!"/>
    <e v="#REF!"/>
  </r>
  <r>
    <s v="445662"/>
    <x v="6"/>
    <s v="TVA - D_20"/>
    <s v="AC"/>
    <n v="139"/>
    <d v="2025-10-08T00:00:00"/>
    <s v="RMN ESPCI"/>
    <m/>
    <e v="#N/A"/>
    <e v="#N/A"/>
    <n v="85162"/>
    <s v="92"/>
    <s v="SAESPCI"/>
    <s v="Q4"/>
    <e v="#REF!"/>
    <e v="#REF!"/>
    <e v="#REF!"/>
  </r>
  <r>
    <s v="445662"/>
    <x v="6"/>
    <s v="TVA - D_20"/>
    <s v="AC"/>
    <n v="140.69999999999999"/>
    <d v="2025-12-08T00:00:00"/>
    <s v="COLONNE LUNA + PRÉ-COLONNES"/>
    <m/>
    <e v="#N/A"/>
    <e v="#N/A"/>
    <n v="92992"/>
    <s v="CIFR-25005568"/>
    <s v="PHENOMENEX"/>
    <s v="Q4"/>
    <e v="#REF!"/>
    <e v="#REF!"/>
    <e v="#REF!"/>
  </r>
  <r>
    <s v="445662"/>
    <x v="6"/>
    <s v="TVA - D_20"/>
    <s v="AC"/>
    <n v="140.79"/>
    <d v="2025-07-28T00:00:00"/>
    <s v="COMMANDE CONSOMMABLES ET SOLVANTS POUR LABO"/>
    <m/>
    <e v="#N/A"/>
    <e v="#N/A"/>
    <n v="81217"/>
    <s v="4067781492"/>
    <s v="VWR AVANTOR"/>
    <s v="Q3"/>
    <e v="#REF!"/>
    <e v="#REF!"/>
    <e v="#REF!"/>
  </r>
  <r>
    <s v="445662"/>
    <x v="6"/>
    <s v="TVA - D_20"/>
    <s v="AC"/>
    <n v="141.6"/>
    <d v="2025-02-06T00:00:00"/>
    <s v="PAIEMENT ANTICIPÉ  100%   PILI PF OSIRIS 06-02-2 SK-97613 SLOVENSKA LUPC"/>
    <m/>
    <e v="#N/A"/>
    <e v="#N/A"/>
    <n v="73666"/>
    <s v="25020842"/>
    <s v="BROSSIER TRANSPORTS"/>
    <s v="Q1"/>
    <e v="#REF!"/>
    <e v="#REF!"/>
    <e v="#REF!"/>
  </r>
  <r>
    <s v="445662"/>
    <x v="6"/>
    <s v="TVA - D_20"/>
    <s v="AC"/>
    <n v="142"/>
    <d v="2025-08-04T00:00:00"/>
    <s v="URGENT PIÈCES MAINTENANCE POMPE À VIDE PILOTE"/>
    <m/>
    <e v="#N/A"/>
    <e v="#N/A"/>
    <n v="81782"/>
    <s v="#910"/>
    <s v="ALGOCHEM"/>
    <s v="Q3"/>
    <e v="#REF!"/>
    <e v="#REF!"/>
    <e v="#REF!"/>
  </r>
  <r>
    <s v="445662"/>
    <x v="6"/>
    <s v="TVA - D_20"/>
    <s v="AC"/>
    <n v="143"/>
    <d v="2025-02-28T00:00:00"/>
    <s v="PRESTATION ASSISTANT(E) OFFICE MANAGER  FÉVRIER"/>
    <m/>
    <e v="#N/A"/>
    <e v="#N/A"/>
    <n v="61584"/>
    <s v="F25030152"/>
    <s v="AGENCE DIVA"/>
    <s v="Q1"/>
    <e v="#REF!"/>
    <e v="#REF!"/>
    <e v="#REF!"/>
  </r>
  <r>
    <s v="445662"/>
    <x v="6"/>
    <s v="TVA - D_20"/>
    <s v="AC"/>
    <n v="143.18"/>
    <d v="2025-07-31T00:00:00"/>
    <s v="PETIT MATÉRIEL POUR MAINTENANCE ROUSSILLON : PERCEUSE, TOURNEVIS,..."/>
    <m/>
    <e v="#N/A"/>
    <e v="#N/A"/>
    <n v="80906"/>
    <s v="4 471 111"/>
    <s v="MAXOUTILS"/>
    <s v="Q3"/>
    <e v="#REF!"/>
    <e v="#REF!"/>
    <e v="#REF!"/>
  </r>
  <r>
    <s v="445662"/>
    <x v="6"/>
    <s v="TVA - D_20"/>
    <s v="AC"/>
    <n v="147.5"/>
    <d v="2025-01-08T00:00:00"/>
    <s v="CONSEILS ET ASSISTANCE POUR LA PÉRIODE DU 1ER DÉCEMBRE 2024 AU 31 DÉCEMBRE 2024"/>
    <s v="Non"/>
    <s v="Non"/>
    <e v="#N/A"/>
    <n v="59876"/>
    <s v="C2025087"/>
    <s v="ALTAIR AVOCATS"/>
    <s v="Q1"/>
    <e v="#REF!"/>
    <e v="#REF!"/>
    <e v="#REF!"/>
  </r>
  <r>
    <s v="445662"/>
    <x v="6"/>
    <s v="TVA - D_20"/>
    <s v="AC"/>
    <n v="147.53"/>
    <d v="2025-03-20T00:00:00"/>
    <s v="ENLÈVEMENT DÉCHETS CHIMIQUES LABO KB"/>
    <m/>
    <s v="Non"/>
    <n v="0"/>
    <n v="67860"/>
    <s v="FA2510473"/>
    <s v="SERVICE ACTION SANTE"/>
    <s v="Q1"/>
    <e v="#REF!"/>
    <e v="#REF!"/>
    <e v="#REF!"/>
  </r>
  <r>
    <s v="445662"/>
    <x v="6"/>
    <s v="TVA - D_20"/>
    <s v="AC"/>
    <n v="148"/>
    <d v="2025-01-03T00:00:00"/>
    <s v="COTISATION 2025 B4C"/>
    <m/>
    <s v="Non"/>
    <s v="Oui"/>
    <n v="68954"/>
    <s v="F2025/281"/>
    <s v="BIOECONOMY FOR CHANGE"/>
    <s v="Q1"/>
    <e v="#REF!"/>
    <e v="#REF!"/>
    <e v="#REF!"/>
  </r>
  <r>
    <s v="445662"/>
    <x v="6"/>
    <s v="TVA - D_20"/>
    <s v="AC"/>
    <n v="150"/>
    <d v="2025-01-28T00:00:00"/>
    <s v="COMMISSION ANNUELLE REPRÉSENTANT MASSE PORTEURS OC"/>
    <s v="Non"/>
    <s v="Non"/>
    <e v="#N/A"/>
    <n v="78979"/>
    <s v="F-202501174"/>
    <s v="AETHER"/>
    <s v="Q1"/>
    <e v="#REF!"/>
    <e v="#REF!"/>
    <e v="#REF!"/>
  </r>
  <r>
    <s v="445662"/>
    <x v="6"/>
    <s v="TVA - D_20"/>
    <s v="AC"/>
    <n v="150"/>
    <d v="2025-03-14T00:00:00"/>
    <s v="AGITATEUR MAGNÉTIQUE CHAUFFANT LABO R."/>
    <m/>
    <e v="#N/A"/>
    <e v="#N/A"/>
    <n v="66038"/>
    <s v="187096"/>
    <s v="CLOUP"/>
    <s v="Q1"/>
    <e v="#REF!"/>
    <e v="#REF!"/>
    <e v="#REF!"/>
  </r>
  <r>
    <s v="445662"/>
    <x v="6"/>
    <s v="TVA - D_20"/>
    <s v="AC"/>
    <n v="150"/>
    <d v="2025-05-12T00:00:00"/>
    <s v="CONSULTANTE E CHARRIÈRE"/>
    <s v="Non"/>
    <s v="Non"/>
    <e v="#N/A"/>
    <n v="75951"/>
    <s v="250544439"/>
    <s v="CHARRIERE Eugenie"/>
    <s v="Q2"/>
    <e v="#REF!"/>
    <e v="#REF!"/>
    <e v="#REF!"/>
  </r>
  <r>
    <s v="445662"/>
    <x v="6"/>
    <s v="TVA - D_20"/>
    <s v="AC"/>
    <n v="151.19999999999999"/>
    <d v="2025-01-02T00:00:00"/>
    <s v="FIBRE KB"/>
    <m/>
    <e v="#N/A"/>
    <e v="#N/A"/>
    <n v="73613"/>
    <s v="12501052746"/>
    <s v="ORANGE"/>
    <s v="Q1"/>
    <e v="#REF!"/>
    <e v="#REF!"/>
    <e v="#REF!"/>
  </r>
  <r>
    <s v="445662"/>
    <x v="6"/>
    <s v="TVA - D_20"/>
    <s v="AC"/>
    <n v="151.19999999999999"/>
    <d v="2025-03-01T00:00:00"/>
    <s v="FIBRE INTERNET MARS &amp; AVRIL 2025"/>
    <m/>
    <e v="#N/A"/>
    <e v="#N/A"/>
    <n v="66138"/>
    <s v="12503051136"/>
    <s v="ORANGE"/>
    <s v="Q1"/>
    <e v="#REF!"/>
    <e v="#REF!"/>
    <e v="#REF!"/>
  </r>
  <r>
    <s v="445662"/>
    <x v="6"/>
    <s v="TVA - D_20"/>
    <s v="AC"/>
    <n v="151.19999999999999"/>
    <d v="2025-05-01T00:00:00"/>
    <s v="ABONNEMENT"/>
    <m/>
    <e v="#N/A"/>
    <e v="#N/A"/>
    <n v="77260"/>
    <s v="12505050205"/>
    <s v="ORANGE"/>
    <s v="Q2"/>
    <e v="#REF!"/>
    <e v="#REF!"/>
    <e v="#REF!"/>
  </r>
  <r>
    <s v="445662"/>
    <x v="6"/>
    <s v="TVA - D_20"/>
    <s v="AC"/>
    <n v="151.19999999999999"/>
    <d v="2025-07-02T00:00:00"/>
    <s v="BUSINESS INTERNET"/>
    <m/>
    <e v="#N/A"/>
    <e v="#N/A"/>
    <n v="78797"/>
    <s v="12507049386"/>
    <s v="ORANGE"/>
    <s v="Q3"/>
    <e v="#REF!"/>
    <e v="#REF!"/>
    <e v="#REF!"/>
  </r>
  <r>
    <s v="445662"/>
    <x v="6"/>
    <s v="TVA - D_20"/>
    <s v="AC"/>
    <n v="151.19999999999999"/>
    <d v="2025-09-02T00:00:00"/>
    <s v="BUSINESS INTERNET"/>
    <m/>
    <e v="#N/A"/>
    <e v="#N/A"/>
    <n v="82255"/>
    <s v="12509048545"/>
    <s v="ORANGE"/>
    <s v="Q3"/>
    <e v="#REF!"/>
    <e v="#REF!"/>
    <e v="#REF!"/>
  </r>
  <r>
    <s v="445662"/>
    <x v="6"/>
    <s v="TVA - D_20"/>
    <s v="AC"/>
    <n v="151.19999999999999"/>
    <d v="2025-11-03T00:00:00"/>
    <s v="BUSINESS INTERNET - 2 MOIS"/>
    <m/>
    <e v="#N/A"/>
    <e v="#N/A"/>
    <n v="90082"/>
    <s v="12511046008"/>
    <s v="ORANGE"/>
    <s v="Q4"/>
    <e v="#REF!"/>
    <e v="#REF!"/>
    <e v="#REF!"/>
  </r>
  <r>
    <s v="445662"/>
    <x v="6"/>
    <s v="TVA - D_20"/>
    <s v="AC"/>
    <n v="151.99"/>
    <d v="2025-06-02T00:00:00"/>
    <s v="COMMISSION DE STRUCTURATION CIR 2024"/>
    <s v="Non"/>
    <s v="Non"/>
    <e v="#N/A"/>
    <n v="87266"/>
    <s v="C2025-06-113"/>
    <s v="SIENNA AM FRANCE"/>
    <s v="Q2"/>
    <e v="#REF!"/>
    <e v="#REF!"/>
    <e v="#REF!"/>
  </r>
  <r>
    <s v="445662"/>
    <x v="6"/>
    <s v="TVA - D_20"/>
    <s v="AC"/>
    <n v="152"/>
    <d v="2025-01-31T00:00:00"/>
    <s v="CONTRAT DE LOCATION ALGECOS N° CT24/1025"/>
    <m/>
    <e v="#N/A"/>
    <e v="#N/A"/>
    <n v="96076"/>
    <s v="F2501/0298"/>
    <s v="COFICIEL"/>
    <s v="Q1"/>
    <e v="#REF!"/>
    <e v="#REF!"/>
    <e v="#REF!"/>
  </r>
  <r>
    <s v="445662"/>
    <x v="6"/>
    <s v="TVA - D_20"/>
    <s v="AC"/>
    <n v="152"/>
    <d v="2025-02-28T00:00:00"/>
    <s v="LIVRAISON ET INSTALLATION DE DEUX NOUVEAUX ALGECOS _x0009_LOCATION DES 4 ALGECOS ACTUELS + 2 NOUVEAUX PENDANT 1 AN _x0009_DÉMONTAGE DES"/>
    <m/>
    <e v="#N/A"/>
    <e v="#N/A"/>
    <n v="61575"/>
    <s v="F2502/0987"/>
    <s v="COFICIEL"/>
    <s v="Q1"/>
    <e v="#REF!"/>
    <e v="#REF!"/>
    <e v="#REF!"/>
  </r>
  <r>
    <s v="445662"/>
    <x v="6"/>
    <s v="TVA - D_20"/>
    <s v="AC"/>
    <n v="152"/>
    <d v="2025-03-31T00:00:00"/>
    <s v="LOCATION ALGECO ROUSSILLON (PÉRIODE TRAVAUX)"/>
    <m/>
    <e v="#N/A"/>
    <e v="#N/A"/>
    <n v="67911"/>
    <s v="F2503/1120"/>
    <s v="COFICIEL"/>
    <s v="Q1"/>
    <e v="#REF!"/>
    <e v="#REF!"/>
    <e v="#REF!"/>
  </r>
  <r>
    <s v="445662"/>
    <x v="6"/>
    <s v="TVA - D_20"/>
    <s v="AC"/>
    <n v="152"/>
    <d v="2025-04-30T00:00:00"/>
    <s v="LIVRAISON ET INSTALLATION DE DEUX NOUVEAUX ALGECOS LOCATION DES 4 ALGECOS ACTUELS + 2 NOUVEAUX PENDANT 1 AN DÉMONTAGE DES"/>
    <m/>
    <e v="#N/A"/>
    <e v="#N/A"/>
    <n v="71374"/>
    <s v="F2504/0496"/>
    <s v="COFICIEL"/>
    <s v="Q2"/>
    <e v="#REF!"/>
    <e v="#REF!"/>
    <e v="#REF!"/>
  </r>
  <r>
    <s v="445662"/>
    <x v="6"/>
    <s v="TVA - D_20"/>
    <s v="AC"/>
    <n v="152"/>
    <d v="2025-05-31T00:00:00"/>
    <s v="LOCATION ALGECO ROUSSILLON (PÉRIODE TRAVAUX)"/>
    <m/>
    <e v="#N/A"/>
    <e v="#N/A"/>
    <n v="75178"/>
    <s v="F2505/1514"/>
    <s v="COFICIEL"/>
    <s v="Q2"/>
    <e v="#REF!"/>
    <e v="#REF!"/>
    <e v="#REF!"/>
  </r>
  <r>
    <s v="445662"/>
    <x v="6"/>
    <s v="TVA - D_20"/>
    <s v="AC"/>
    <n v="152"/>
    <d v="2025-06-30T00:00:00"/>
    <s v="LOCATION ALGECO ROUSSILLON (PÉRIODE TRAVAUX)"/>
    <m/>
    <e v="#N/A"/>
    <e v="#N/A"/>
    <n v="81315"/>
    <s v="F2506/0477"/>
    <s v="COFICIEL"/>
    <s v="Q2"/>
    <e v="#REF!"/>
    <e v="#REF!"/>
    <e v="#REF!"/>
  </r>
  <r>
    <s v="445662"/>
    <x v="6"/>
    <s v="TVA - D_20"/>
    <s v="AC"/>
    <n v="152"/>
    <d v="2025-07-31T00:00:00"/>
    <s v="&quot;•_x0009_LIVRAISON ET INSTALLATION DE DEUX NOUVEAUX ALGECOS •_x0009_LOCATION DES 4 ALGECOS ACTUELS + 2 NOUVEAUX PENDANT 1 AN •_x0009_DÉMONTAGE DES"/>
    <m/>
    <e v="#N/A"/>
    <e v="#N/A"/>
    <n v="81762"/>
    <s v="F2507/0532"/>
    <s v="COFICIEL"/>
    <s v="Q3"/>
    <e v="#REF!"/>
    <e v="#REF!"/>
    <e v="#REF!"/>
  </r>
  <r>
    <s v="445662"/>
    <x v="6"/>
    <s v="TVA - D_20"/>
    <s v="AC"/>
    <n v="152"/>
    <d v="2025-08-31T00:00:00"/>
    <s v="LOCATION ALGECO ROUSSILLON (PÉRIODE TRAVAUX)"/>
    <m/>
    <e v="#N/A"/>
    <e v="#N/A"/>
    <n v="82300"/>
    <s v="F2508/0404"/>
    <s v="COFICIEL"/>
    <s v="Q3"/>
    <e v="#REF!"/>
    <e v="#REF!"/>
    <e v="#REF!"/>
  </r>
  <r>
    <s v="445662"/>
    <x v="6"/>
    <s v="TVA - D_20"/>
    <s v="AC"/>
    <n v="152"/>
    <d v="2025-09-30T00:00:00"/>
    <s v="LOCATION ALGECO ROUSSILLON (PÉRIODE TRAVAUX)"/>
    <m/>
    <e v="#N/A"/>
    <e v="#N/A"/>
    <n v="87068"/>
    <s v="F2509/0832"/>
    <s v="COFICIEL"/>
    <s v="Q3"/>
    <e v="#REF!"/>
    <e v="#REF!"/>
    <e v="#REF!"/>
  </r>
  <r>
    <s v="445662"/>
    <x v="6"/>
    <s v="TVA - D_20"/>
    <s v="AC"/>
    <n v="152"/>
    <d v="2025-10-31T00:00:00"/>
    <s v="LOCATION ALGECO ROUSSILLON (PÉRIODE TRAVAUX)"/>
    <m/>
    <e v="#N/A"/>
    <e v="#N/A"/>
    <n v="89887"/>
    <s v="F2510/0735"/>
    <s v="COFICIEL"/>
    <s v="Q4"/>
    <e v="#REF!"/>
    <e v="#REF!"/>
    <e v="#REF!"/>
  </r>
  <r>
    <s v="445662"/>
    <x v="6"/>
    <s v="TVA - D_20"/>
    <s v="AC"/>
    <n v="152"/>
    <d v="2025-11-30T00:00:00"/>
    <s v="LOCATION ALGECO ROUSSILLON (PÉRIODE TRAVAUX)"/>
    <m/>
    <e v="#N/A"/>
    <e v="#N/A"/>
    <n v="91987"/>
    <s v="F2511/1366"/>
    <s v="COFICIEL"/>
    <s v="Q4"/>
    <e v="#REF!"/>
    <e v="#REF!"/>
    <e v="#REF!"/>
  </r>
  <r>
    <s v="445662"/>
    <x v="6"/>
    <s v="TVA - D_20"/>
    <s v="AC"/>
    <n v="152"/>
    <d v="2025-12-31T00:00:00"/>
    <s v="LOCATION ALGÉCO"/>
    <m/>
    <e v="#N/A"/>
    <e v="#N/A"/>
    <n v="95148"/>
    <s v="F2512/1221"/>
    <s v="COFICIEL"/>
    <s v="Q4"/>
    <e v="#REF!"/>
    <e v="#REF!"/>
    <e v="#REF!"/>
  </r>
  <r>
    <s v="445662"/>
    <x v="6"/>
    <s v="TVA - D_20"/>
    <s v="AC"/>
    <n v="153"/>
    <d v="2025-02-17T00:00:00"/>
    <s v="COLONNE HPLC LABO ROUSSILLON"/>
    <m/>
    <e v="#N/A"/>
    <e v="#N/A"/>
    <n v="61506"/>
    <s v="CIFR-25000680"/>
    <s v="PHENOMENEX"/>
    <s v="Q1"/>
    <e v="#REF!"/>
    <e v="#REF!"/>
    <e v="#REF!"/>
  </r>
  <r>
    <s v="445662"/>
    <x v="6"/>
    <s v="TVA - D_20"/>
    <s v="AC"/>
    <n v="154.61000000000001"/>
    <d v="2025-11-20T00:00:00"/>
    <s v="ARBRE AGITATION KL + JOINTS +&gt; AJOUT D'UN 3ÈME ARBRE PAR RAPPORT À LA DEMANDE INITIALE"/>
    <m/>
    <e v="#N/A"/>
    <e v="#N/A"/>
    <n v="91949"/>
    <s v="14003762"/>
    <s v="OPTIMUS"/>
    <s v="Q4"/>
    <e v="#REF!"/>
    <e v="#REF!"/>
    <e v="#REF!"/>
  </r>
  <r>
    <s v="445662"/>
    <x v="6"/>
    <s v="TVA - D_20"/>
    <s v="AC"/>
    <n v="157.81"/>
    <d v="2025-10-03T00:00:00"/>
    <s v="GESTION DES ANNUITÉS - SÉRIE B3404"/>
    <s v="Non"/>
    <s v="Oui"/>
    <e v="#N/A"/>
    <n v="85147"/>
    <s v="254445"/>
    <s v="BECKER"/>
    <s v="Q4"/>
    <e v="#REF!"/>
    <e v="#REF!"/>
    <e v="#REF!"/>
  </r>
  <r>
    <s v="445662"/>
    <x v="6"/>
    <s v="TVA - D_20"/>
    <s v="AC"/>
    <n v="158.97"/>
    <d v="2025-05-31T00:00:00"/>
    <s v="ELECTRICITÉ KB"/>
    <m/>
    <e v="#N/A"/>
    <e v="#N/A"/>
    <n v="78768"/>
    <s v="520001657013"/>
    <s v="ENGIE"/>
    <s v="Q2"/>
    <e v="#REF!"/>
    <e v="#REF!"/>
    <e v="#REF!"/>
  </r>
  <r>
    <s v="445662"/>
    <x v="6"/>
    <s v="TVA - D_20"/>
    <s v="AC"/>
    <n v="159.79"/>
    <d v="2025-12-12T00:00:00"/>
    <s v="SABOTS DE PESÉE / POIDS ÉTALONNAGE BALANCE ANALYTIQUE / FLACONS + BOUCHONS HPLC"/>
    <m/>
    <e v="#N/A"/>
    <e v="#N/A"/>
    <n v="93001"/>
    <s v="0190962"/>
    <s v="CLOUP"/>
    <s v="Q4"/>
    <e v="#REF!"/>
    <e v="#REF!"/>
    <e v="#REF!"/>
  </r>
  <r>
    <s v="445662"/>
    <x v="6"/>
    <s v="TVA - D_20"/>
    <s v="AC"/>
    <n v="160"/>
    <d v="2025-02-12T00:00:00"/>
    <s v="FORMATION - LOÏC MASSEBOEUF  FORMATION - ANNE SOPHIE GOUTIERRE"/>
    <m/>
    <s v="Non"/>
    <n v="0"/>
    <n v="61464"/>
    <s v="F2025/0087"/>
    <s v="ASS FORMATION CONTINUE INDUS CHIMIQUES"/>
    <s v="Q1"/>
    <e v="#REF!"/>
    <e v="#REF!"/>
    <e v="#REF!"/>
  </r>
  <r>
    <s v="445662"/>
    <x v="6"/>
    <s v="TVA - D_20"/>
    <s v="AC"/>
    <n v="160"/>
    <d v="2025-11-01T00:00:00"/>
    <s v="MARQUE US DÉPÔT"/>
    <s v="Non"/>
    <s v="Non"/>
    <e v="#N/A"/>
    <n v="91082"/>
    <s v="BOLD-031819"/>
    <s v="WE ARE BOLD"/>
    <s v="Q4"/>
    <e v="#REF!"/>
    <e v="#REF!"/>
    <e v="#REF!"/>
  </r>
  <r>
    <s v="445662"/>
    <x v="6"/>
    <s v="TVA - D_20"/>
    <s v="AC"/>
    <n v="160.06"/>
    <d v="2025-12-28T00:00:00"/>
    <s v="INTÉRIM SEPHORA"/>
    <m/>
    <e v="#N/A"/>
    <e v="#N/A"/>
    <n v="95145"/>
    <s v="N6171315-2025"/>
    <s v="CRIT"/>
    <s v="Q4"/>
    <e v="#REF!"/>
    <e v="#REF!"/>
    <e v="#REF!"/>
  </r>
  <r>
    <s v="445662"/>
    <x v="6"/>
    <s v="TVA - D_20"/>
    <s v="AC"/>
    <n v="160.49"/>
    <d v="2025-06-10T00:00:00"/>
    <s v="GESTION DES ANNUITÉS"/>
    <s v="Non"/>
    <s v="Oui"/>
    <e v="#N/A"/>
    <n v="76119"/>
    <s v="252668"/>
    <s v="BECKER"/>
    <s v="Q2"/>
    <e v="#REF!"/>
    <e v="#REF!"/>
    <e v="#REF!"/>
  </r>
  <r>
    <s v="445662"/>
    <x v="6"/>
    <s v="TVA - D_20"/>
    <s v="AC"/>
    <n v="165.45"/>
    <d v="2025-04-30T00:00:00"/>
    <s v="MÉTHANOL 2MIN. 99 % EAU 5 ROTISOLV HPLC GRADIENT GRADE MÉTHYLE-2-TÉTRAHYDROFURANE"/>
    <m/>
    <e v="#N/A"/>
    <e v="#N/A"/>
    <n v="72633"/>
    <s v="4177456"/>
    <s v="ROTH SOCHIEL"/>
    <s v="Q2"/>
    <e v="#REF!"/>
    <e v="#REF!"/>
    <e v="#REF!"/>
  </r>
  <r>
    <s v="445662"/>
    <x v="6"/>
    <s v="TVA - D_20"/>
    <s v="AC"/>
    <n v="168.97"/>
    <d v="2025-10-03T00:00:00"/>
    <s v="PHASE NATIONALE USA - BREVET PHOENIX V20"/>
    <s v="Non"/>
    <s v="Oui"/>
    <e v="#N/A"/>
    <n v="82760"/>
    <s v="254432"/>
    <s v="BECKER"/>
    <s v="Q4"/>
    <e v="#REF!"/>
    <e v="#REF!"/>
    <e v="#REF!"/>
  </r>
  <r>
    <s v="445662"/>
    <x v="6"/>
    <s v="TVA - D_20"/>
    <s v="AC"/>
    <n v="171"/>
    <d v="2025-02-18T00:00:00"/>
    <s v="COLONNE HPLC LABO ROUSSILLON"/>
    <m/>
    <e v="#N/A"/>
    <e v="#N/A"/>
    <n v="61525"/>
    <s v="CIFR-25000698"/>
    <s v="PHENOMENEX"/>
    <s v="Q1"/>
    <e v="#REF!"/>
    <e v="#REF!"/>
    <e v="#REF!"/>
  </r>
  <r>
    <s v="445662"/>
    <x v="6"/>
    <s v="TVA - D_20"/>
    <s v="AC"/>
    <n v="172.9"/>
    <d v="2025-02-03T00:00:00"/>
    <s v="BAC DE RÉTENTION DE FÛTS D'EFFLUENTS DANS L'ATELIER"/>
    <m/>
    <e v="#N/A"/>
    <e v="#N/A"/>
    <n v="68960"/>
    <s v="922045638"/>
    <s v="DENIOS"/>
    <s v="Q1"/>
    <e v="#REF!"/>
    <e v="#REF!"/>
    <e v="#REF!"/>
  </r>
  <r>
    <s v="445662"/>
    <x v="6"/>
    <s v="TVA - D_20"/>
    <s v="AC"/>
    <n v="175"/>
    <d v="2025-02-12T00:00:00"/>
    <s v="TABLES/CHAISES/VIDÉOPROJ POUR CONSEIL SCIENTIFIQUE"/>
    <m/>
    <e v="#N/A"/>
    <n v="0"/>
    <n v="61473"/>
    <s v="225020109"/>
    <s v="LOCAPROD EVENEMENT"/>
    <s v="Q1"/>
    <e v="#REF!"/>
    <e v="#REF!"/>
    <e v="#REF!"/>
  </r>
  <r>
    <s v="445662"/>
    <x v="6"/>
    <s v="TVA - D_20"/>
    <s v="AC"/>
    <n v="175"/>
    <d v="2025-03-31T00:00:00"/>
    <s v="PRESTATION RÉGIS QWINCY"/>
    <s v="Non"/>
    <s v="Non"/>
    <e v="#N/A"/>
    <n v="75153"/>
    <s v="F 2025030058"/>
    <s v="QWINCY"/>
    <s v="Q1"/>
    <e v="#REF!"/>
    <e v="#REF!"/>
    <e v="#REF!"/>
  </r>
  <r>
    <s v="445662"/>
    <x v="6"/>
    <s v="TVA - D_20"/>
    <s v="AC"/>
    <n v="176.55"/>
    <d v="2025-01-28T00:00:00"/>
    <s v="RACCORD INOX DÉTENDEUR"/>
    <m/>
    <e v="#N/A"/>
    <e v="#N/A"/>
    <n v="76178"/>
    <s v="5800302424"/>
    <s v="AIR LIQUIDE"/>
    <s v="Q1"/>
    <e v="#REF!"/>
    <e v="#REF!"/>
    <e v="#REF!"/>
  </r>
  <r>
    <s v="445662"/>
    <x v="6"/>
    <s v="TVA - D_20"/>
    <s v="AC"/>
    <n v="178.1"/>
    <d v="2025-05-27T00:00:00"/>
    <s v="TRANSMISSION ET ANALYSE DU RAPPORT DE RECHERCHE EUROPÉEN - BREVET BIOPIGMENTS"/>
    <s v="Non"/>
    <s v="Oui"/>
    <e v="#N/A"/>
    <n v="74464"/>
    <s v="252431"/>
    <s v="BECKER"/>
    <s v="Q2"/>
    <e v="#REF!"/>
    <e v="#REF!"/>
    <e v="#REF!"/>
  </r>
  <r>
    <s v="445662"/>
    <x v="6"/>
    <s v="TVA - D_20"/>
    <s v="AC"/>
    <n v="179.86"/>
    <d v="2025-05-02T00:00:00"/>
    <s v="ELECTRICITÉ KB"/>
    <m/>
    <e v="#N/A"/>
    <e v="#N/A"/>
    <n v="78751"/>
    <s v="970005348106"/>
    <s v="ENGIE"/>
    <s v="Q2"/>
    <e v="#REF!"/>
    <e v="#REF!"/>
    <e v="#REF!"/>
  </r>
  <r>
    <s v="445662"/>
    <x v="6"/>
    <s v="TVA - D_20"/>
    <s v="AC"/>
    <n v="180"/>
    <d v="2025-04-18T00:00:00"/>
    <s v="COURS PARTICULIER D'ANGLAIS A.M"/>
    <m/>
    <s v="Non"/>
    <e v="#N/A"/>
    <n v="69822"/>
    <s v="F-2025-01108"/>
    <s v="WOOSPEAK"/>
    <s v="Q2"/>
    <e v="#REF!"/>
    <e v="#REF!"/>
    <e v="#REF!"/>
  </r>
  <r>
    <s v="445662"/>
    <x v="6"/>
    <s v="TVA - D_20"/>
    <s v="AC"/>
    <n v="180"/>
    <d v="2025-04-24T00:00:00"/>
    <s v="A.D COURS PARTICULIER D'ANGLAIS"/>
    <m/>
    <s v="Non"/>
    <e v="#N/A"/>
    <n v="71339"/>
    <s v="F-2025-01139"/>
    <s v="WOOSPEAK"/>
    <s v="Q2"/>
    <e v="#REF!"/>
    <e v="#REF!"/>
    <e v="#REF!"/>
  </r>
  <r>
    <s v="445662"/>
    <x v="6"/>
    <s v="TVA - D_20"/>
    <s v="AC"/>
    <n v="180.6"/>
    <d v="2025-12-15T00:00:00"/>
    <s v="COLONNE LUNA + PRÉ-COLONNES"/>
    <m/>
    <e v="#N/A"/>
    <e v="#N/A"/>
    <n v="93004"/>
    <s v="CIFR-25005742"/>
    <s v="PHENOMENEX"/>
    <s v="Q4"/>
    <e v="#REF!"/>
    <e v="#REF!"/>
    <e v="#REF!"/>
  </r>
  <r>
    <s v="445662"/>
    <x v="6"/>
    <s v="TVA - D_20"/>
    <s v="AC"/>
    <n v="181"/>
    <d v="2025-04-30T00:00:00"/>
    <s v="FORMATION 04/2025 : HABILITATION ÉLECTRIQUE BR BC B1V B2V BE ESSAI H"/>
    <s v="Non"/>
    <s v="Non"/>
    <e v="#N/A"/>
    <n v="73747"/>
    <s v="93812814"/>
    <s v="OSIRIS"/>
    <s v="Q2"/>
    <e v="#REF!"/>
    <e v="#REF!"/>
    <e v="#REF!"/>
  </r>
  <r>
    <s v="445662"/>
    <x v="6"/>
    <s v="TVA - D_20"/>
    <s v="AC"/>
    <n v="186"/>
    <d v="2025-01-31T00:00:00"/>
    <s v="PRESTATION POUR LA PÉRIODE JANVIER 2025 PRESTATION RÉCURRENTE"/>
    <m/>
    <e v="#N/A"/>
    <e v="#N/A"/>
    <n v="61373"/>
    <s v="F25020082"/>
    <s v="AGENCE DIVA"/>
    <s v="Q1"/>
    <e v="#REF!"/>
    <e v="#REF!"/>
    <e v="#REF!"/>
  </r>
  <r>
    <s v="445662"/>
    <x v="6"/>
    <s v="TVA - D_20"/>
    <s v="AC"/>
    <n v="186"/>
    <d v="2025-03-31T00:00:00"/>
    <s v="PRESTATION POUR LA PÉRIODE MARS 2025 PRESTATION RÉCURRENTE"/>
    <m/>
    <e v="#N/A"/>
    <e v="#N/A"/>
    <n v="67914"/>
    <s v="F25040221"/>
    <s v="AGENCE DIVA"/>
    <s v="Q1"/>
    <e v="#REF!"/>
    <e v="#REF!"/>
    <e v="#REF!"/>
  </r>
  <r>
    <s v="445662"/>
    <x v="6"/>
    <s v="TVA - D_20"/>
    <s v="AC"/>
    <n v="186"/>
    <d v="2025-04-30T00:00:00"/>
    <s v="PRESTATION POUR LA PÉRIODE AVRIL 2025 PRESTATION RÉCURRENTE - OFFICE MANAGEMENT"/>
    <m/>
    <e v="#N/A"/>
    <e v="#N/A"/>
    <n v="72630"/>
    <s v="F25050295"/>
    <s v="AGENCE DIVA"/>
    <s v="Q2"/>
    <e v="#REF!"/>
    <e v="#REF!"/>
    <e v="#REF!"/>
  </r>
  <r>
    <s v="445662"/>
    <x v="6"/>
    <s v="TVA - D_20"/>
    <s v="AC"/>
    <n v="186"/>
    <d v="2025-05-31T00:00:00"/>
    <s v="PRESTATION ASSISTANT(E) OFFICE MANAGER"/>
    <m/>
    <e v="#N/A"/>
    <e v="#N/A"/>
    <n v="75993"/>
    <s v="F-25060373"/>
    <s v="AGENCE DIVA"/>
    <s v="Q2"/>
    <e v="#REF!"/>
    <e v="#REF!"/>
    <e v="#REF!"/>
  </r>
  <r>
    <s v="445662"/>
    <x v="6"/>
    <s v="TVA - D_20"/>
    <s v="AC"/>
    <n v="186"/>
    <d v="2025-06-30T00:00:00"/>
    <s v="PRESTATION ASSISTANT(E) OFFICE MANAGER"/>
    <m/>
    <e v="#N/A"/>
    <e v="#N/A"/>
    <n v="77307"/>
    <s v="F-25070447"/>
    <s v="AGENCE DIVA"/>
    <s v="Q2"/>
    <e v="#REF!"/>
    <e v="#REF!"/>
    <e v="#REF!"/>
  </r>
  <r>
    <s v="445662"/>
    <x v="6"/>
    <s v="TVA - D_20"/>
    <s v="AC"/>
    <n v="186"/>
    <d v="2025-07-31T00:00:00"/>
    <s v="PRESTATION ASSISTANT(E) OFFICE MANAGER"/>
    <m/>
    <e v="#N/A"/>
    <e v="#N/A"/>
    <n v="81232"/>
    <s v="F-25070516"/>
    <s v="AGENCE DIVA"/>
    <s v="Q3"/>
    <e v="#REF!"/>
    <e v="#REF!"/>
    <e v="#REF!"/>
  </r>
  <r>
    <s v="445662"/>
    <x v="6"/>
    <s v="TVA - D_20"/>
    <s v="AC"/>
    <n v="186"/>
    <d v="2025-08-31T00:00:00"/>
    <s v="PRESTATION ASSISTANT(E) OFFICE MANAGER"/>
    <m/>
    <e v="#N/A"/>
    <e v="#N/A"/>
    <n v="82297"/>
    <s v="F-25090585"/>
    <s v="AGENCE DIVA"/>
    <s v="Q3"/>
    <e v="#REF!"/>
    <e v="#REF!"/>
    <e v="#REF!"/>
  </r>
  <r>
    <s v="445662"/>
    <x v="6"/>
    <s v="TVA - D_20"/>
    <s v="AC"/>
    <n v="186"/>
    <d v="2025-09-30T00:00:00"/>
    <s v="PRESTATION POUR LA PÉRIODE SEPTEMBRE 2025 PRESTATION RÉCURRENTE"/>
    <m/>
    <e v="#N/A"/>
    <e v="#N/A"/>
    <n v="87056"/>
    <s v="F-25100652"/>
    <s v="AGENCE DIVA"/>
    <s v="Q3"/>
    <e v="#REF!"/>
    <e v="#REF!"/>
    <e v="#REF!"/>
  </r>
  <r>
    <s v="445662"/>
    <x v="6"/>
    <s v="TVA - D_20"/>
    <s v="AC"/>
    <n v="186"/>
    <d v="2025-10-31T00:00:00"/>
    <s v="PRESTATION ASSISTANT(E) OFFICE MANAGER"/>
    <m/>
    <e v="#N/A"/>
    <e v="#N/A"/>
    <n v="89896"/>
    <s v="F-25110721"/>
    <s v="AGENCE DIVA"/>
    <s v="Q4"/>
    <e v="#REF!"/>
    <e v="#REF!"/>
    <e v="#REF!"/>
  </r>
  <r>
    <s v="445662"/>
    <x v="6"/>
    <s v="TVA - D_20"/>
    <s v="AC"/>
    <n v="186"/>
    <d v="2025-11-30T00:00:00"/>
    <s v="PRESTATION POUR LA PÉRIODE NOVEMBRE 2025 PRESTATION RÉCURRENTE"/>
    <m/>
    <e v="#N/A"/>
    <e v="#N/A"/>
    <n v="91984"/>
    <s v="F-25120794"/>
    <s v="AGENCE DIVA"/>
    <s v="Q4"/>
    <e v="#REF!"/>
    <e v="#REF!"/>
    <e v="#REF!"/>
  </r>
  <r>
    <s v="445662"/>
    <x v="6"/>
    <s v="TVA - D_20"/>
    <s v="AC"/>
    <n v="186"/>
    <d v="2025-12-31T00:00:00"/>
    <s v="PRESTATION POUR LA PÉRIODE DÉCEMBRE 2025 PRESTATION RÉCURRENTE"/>
    <m/>
    <e v="#N/A"/>
    <e v="#N/A"/>
    <n v="95157"/>
    <s v="F-26010025"/>
    <s v="AGENCE DIVA"/>
    <s v="Q4"/>
    <e v="#REF!"/>
    <e v="#REF!"/>
    <e v="#REF!"/>
  </r>
  <r>
    <s v="445662"/>
    <x v="6"/>
    <s v="TVA - D_20"/>
    <s v="AC"/>
    <n v="188.2"/>
    <d v="2025-03-03T00:00:00"/>
    <s v="A PAYER 100% À LA COMMANDE DÉTECTEUR NO2 AVEC OPTION MAINTENANCE"/>
    <m/>
    <e v="#N/A"/>
    <e v="#N/A"/>
    <n v="66047"/>
    <s v="FC94298"/>
    <s v="GAZ DETECT"/>
    <s v="Q1"/>
    <e v="#REF!"/>
    <e v="#REF!"/>
    <e v="#REF!"/>
  </r>
  <r>
    <s v="445662"/>
    <x v="6"/>
    <s v="TVA - D_20"/>
    <s v="AC"/>
    <n v="190"/>
    <d v="2025-12-11T00:00:00"/>
    <s v="RESTAURANT GROUPE PS DEC 2025"/>
    <m/>
    <e v="#N/A"/>
    <e v="#N/A"/>
    <n v="94815"/>
    <s v="031"/>
    <s v="RJM LA ROSA NEGRA"/>
    <s v="Q4"/>
    <e v="#REF!"/>
    <e v="#REF!"/>
    <e v="#REF!"/>
  </r>
  <r>
    <s v="445662"/>
    <x v="6"/>
    <s v="TVA - D_20"/>
    <s v="AC"/>
    <n v="193"/>
    <d v="2025-05-20T00:00:00"/>
    <s v="CONTRÔLE ANNUEL DES SORBONNES ET DES ARMOIRES"/>
    <m/>
    <e v="#N/A"/>
    <e v="#N/A"/>
    <n v="74446"/>
    <s v="2025F017"/>
    <s v="CONTROL'AIR"/>
    <s v="Q2"/>
    <e v="#REF!"/>
    <e v="#REF!"/>
    <e v="#REF!"/>
  </r>
  <r>
    <s v="445662"/>
    <x v="6"/>
    <s v="TVA - D_20"/>
    <s v="AC"/>
    <n v="195.03"/>
    <d v="2025-10-31T00:00:00"/>
    <s v="ELECTRICITÉ KB - 7E ÉTAGE"/>
    <m/>
    <e v="#N/A"/>
    <e v="#N/A"/>
    <n v="90076"/>
    <s v="980005457002"/>
    <s v="ENGIE"/>
    <s v="Q4"/>
    <e v="#REF!"/>
    <e v="#REF!"/>
    <e v="#REF!"/>
  </r>
  <r>
    <s v="445662"/>
    <x v="6"/>
    <s v="TVA - D_20"/>
    <s v="AC"/>
    <n v="195.6"/>
    <d v="2025-07-08T00:00:00"/>
    <s v="RÉPONSE À LA NOTIFICATION DE DEMANDE DE BREVET EUROPÉEN - BREVET PHOENIX"/>
    <s v="Non"/>
    <s v="Oui"/>
    <e v="#N/A"/>
    <n v="77339"/>
    <s v="253208"/>
    <s v="BECKER"/>
    <s v="Q3"/>
    <e v="#REF!"/>
    <e v="#REF!"/>
    <e v="#REF!"/>
  </r>
  <r>
    <s v="445662"/>
    <x v="6"/>
    <s v="TVA - D_20"/>
    <s v="AC"/>
    <n v="196"/>
    <d v="2025-04-29T00:00:00"/>
    <s v="FORMATION CCN GOUTIERRE-MASSEBOEUF"/>
    <m/>
    <s v="Non"/>
    <n v="0"/>
    <n v="72620"/>
    <s v="F2025/0308"/>
    <s v="ASS FORMATION CONTINUE INDUS CHIMIQUES"/>
    <s v="Q2"/>
    <e v="#REF!"/>
    <e v="#REF!"/>
    <e v="#REF!"/>
  </r>
  <r>
    <s v="445662"/>
    <x v="6"/>
    <s v="TVA - D_20"/>
    <s v="AC"/>
    <n v="198"/>
    <d v="2025-07-04T00:00:00"/>
    <s v="FORMATION À DISTANCE SAGE G. ZIANI"/>
    <m/>
    <s v="Non"/>
    <e v="#N/A"/>
    <n v="78895"/>
    <s v="FAP11094"/>
    <s v="AXE GESCOM"/>
    <s v="Q3"/>
    <e v="#REF!"/>
    <e v="#REF!"/>
    <e v="#REF!"/>
  </r>
  <r>
    <s v="445662"/>
    <x v="6"/>
    <s v="TVA - D_20"/>
    <s v="AC"/>
    <n v="198"/>
    <d v="2025-07-11T00:00:00"/>
    <s v="FORMATION À DISTANCE SAGE"/>
    <m/>
    <s v="Non"/>
    <e v="#N/A"/>
    <n v="78903"/>
    <s v="FAP11163"/>
    <s v="AXE GESCOM"/>
    <s v="Q3"/>
    <e v="#REF!"/>
    <e v="#REF!"/>
    <e v="#REF!"/>
  </r>
  <r>
    <s v="445662"/>
    <x v="6"/>
    <s v="TVA - D_20"/>
    <s v="AC"/>
    <n v="198.4"/>
    <d v="2025-09-18T00:00:00"/>
    <s v="ANIMATION SÉMINAIRE PILI 2025"/>
    <m/>
    <e v="#N/A"/>
    <e v="#N/A"/>
    <n v="94266"/>
    <s v="F20250908"/>
    <s v="MISTERAVENTURE"/>
    <s v="Q3"/>
    <e v="#REF!"/>
    <e v="#REF!"/>
    <e v="#REF!"/>
  </r>
  <r>
    <s v="445662"/>
    <x v="6"/>
    <s v="TVA - D_20"/>
    <s v="AC"/>
    <n v="200"/>
    <d v="2025-02-20T00:00:00"/>
    <s v="FOFAIT 1 BOARD -18/02/2025 - BOARD SERIE B Q1 2025"/>
    <s v="Non"/>
    <s v="Non"/>
    <e v="#N/A"/>
    <n v="61537"/>
    <s v="20250220-0001"/>
    <s v="GARRIGUE CONSULTING"/>
    <s v="Q1"/>
    <e v="#REF!"/>
    <e v="#REF!"/>
    <e v="#REF!"/>
  </r>
  <r>
    <s v="445662"/>
    <x v="6"/>
    <s v="TVA - D_20"/>
    <s v="AC"/>
    <n v="200"/>
    <d v="2025-04-01T00:00:00"/>
    <s v="FOFAIT 1 BOARD -18/03/2025 - PILI BOARD Q1 2025"/>
    <s v="Non"/>
    <s v="Non"/>
    <e v="#N/A"/>
    <n v="69678"/>
    <s v="20250401-0001"/>
    <s v="GARRIGUE CONSULTING"/>
    <s v="Q2"/>
    <e v="#REF!"/>
    <e v="#REF!"/>
    <e v="#REF!"/>
  </r>
  <r>
    <s v="445662"/>
    <x v="6"/>
    <s v="TVA - D_20"/>
    <s v="AC"/>
    <n v="200"/>
    <d v="2025-05-26T00:00:00"/>
    <s v="FOFAIT 1 BOARD -13/05/2025 - PILI BOARD SERIE B"/>
    <s v="Non"/>
    <s v="Non"/>
    <e v="#N/A"/>
    <n v="74459"/>
    <s v="20250526-0001"/>
    <s v="GARRIGUE CONSULTING"/>
    <s v="Q2"/>
    <e v="#REF!"/>
    <e v="#REF!"/>
    <e v="#REF!"/>
  </r>
  <r>
    <s v="445662"/>
    <x v="6"/>
    <s v="TVA - D_20"/>
    <s v="AC"/>
    <n v="200"/>
    <d v="2025-06-18T00:00:00"/>
    <s v="FOFAIT 1 BOARD -10/06/2025 - PILI BOARD"/>
    <s v="Non"/>
    <s v="Non"/>
    <e v="#N/A"/>
    <n v="76608"/>
    <s v="20250618-0001"/>
    <s v="GARRIGUE CONSULTING"/>
    <s v="Q2"/>
    <e v="#REF!"/>
    <e v="#REF!"/>
    <e v="#REF!"/>
  </r>
  <r>
    <s v="445662"/>
    <x v="6"/>
    <s v="TVA - D_20"/>
    <s v="AC"/>
    <n v="200"/>
    <d v="2025-06-23T00:00:00"/>
    <s v="LOYER ANNUEL OSIRIS"/>
    <s v="Non"/>
    <s v="Non"/>
    <e v="#N/A"/>
    <n v="77280"/>
    <s v="93813093"/>
    <s v="OSIRIS"/>
    <s v="Q2"/>
    <e v="#REF!"/>
    <e v="#REF!"/>
    <e v="#REF!"/>
  </r>
  <r>
    <s v="445662"/>
    <x v="6"/>
    <s v="TVA - D_20"/>
    <s v="AC"/>
    <n v="200"/>
    <d v="2025-09-01T00:00:00"/>
    <s v="BUSINESS ADVISORY BOARD - E PETIOT."/>
    <s v="Non"/>
    <s v="Non"/>
    <e v="#N/A"/>
    <n v="81852"/>
    <s v="F2590001"/>
    <s v="HELLITAX"/>
    <s v="Q3"/>
    <e v="#REF!"/>
    <e v="#REF!"/>
    <e v="#REF!"/>
  </r>
  <r>
    <s v="445662"/>
    <x v="6"/>
    <s v="TVA - D_20"/>
    <s v="AC"/>
    <n v="200"/>
    <d v="2025-10-01T00:00:00"/>
    <s v="FOFAIT 1 BOARD -16/09/2025 - PILI BOARD"/>
    <s v="Non"/>
    <s v="Non"/>
    <e v="#N/A"/>
    <n v="82757"/>
    <s v="20251001-0001"/>
    <s v="GARRIGUE CONSULTING"/>
    <s v="Q4"/>
    <e v="#REF!"/>
    <e v="#REF!"/>
    <e v="#REF!"/>
  </r>
  <r>
    <s v="445662"/>
    <x v="6"/>
    <s v="TVA - D_20"/>
    <s v="AC"/>
    <n v="200"/>
    <d v="2025-10-17T00:00:00"/>
    <s v="CONSEIL EMMANUEL PETIOT, BUSINESS ADVISORY BOARD #2 131025"/>
    <s v="Non"/>
    <s v="Non"/>
    <e v="#N/A"/>
    <n v="87284"/>
    <s v="F25X0003"/>
    <s v="HELLITAX"/>
    <s v="Q4"/>
    <e v="#REF!"/>
    <e v="#REF!"/>
    <e v="#REF!"/>
  </r>
  <r>
    <s v="445662"/>
    <x v="6"/>
    <s v="TVA - D_20"/>
    <s v="AC"/>
    <n v="201"/>
    <d v="2025-02-03T00:00:00"/>
    <s v="ELECTRICITÉ KB - 7E"/>
    <m/>
    <e v="#N/A"/>
    <e v="#N/A"/>
    <n v="73656"/>
    <s v="5,20E+11"/>
    <s v="ENGIE"/>
    <s v="Q1"/>
    <e v="#REF!"/>
    <e v="#REF!"/>
    <e v="#REF!"/>
  </r>
  <r>
    <s v="445662"/>
    <x v="6"/>
    <s v="TVA - D_20"/>
    <s v="AC"/>
    <n v="202.11"/>
    <d v="2025-09-30T00:00:00"/>
    <s v="LIVRAISON DE DEUX BOUTEILLES DE GAZ HÉLIUM ENLÈVEMENT DE DEUX BOUTEILLES DE GAZ"/>
    <m/>
    <e v="#N/A"/>
    <e v="#N/A"/>
    <n v="82778"/>
    <s v="5800906723"/>
    <s v="AIR LIQUIDE"/>
    <s v="Q3"/>
    <e v="#REF!"/>
    <e v="#REF!"/>
    <e v="#REF!"/>
  </r>
  <r>
    <s v="445662"/>
    <x v="6"/>
    <s v="TVA - D_20"/>
    <s v="AC"/>
    <n v="205.2"/>
    <d v="2025-10-06T00:00:00"/>
    <s v="LOCATION N°225070176 DU 01/10/25 AU 03/10/25 - CS PILI"/>
    <m/>
    <e v="#N/A"/>
    <n v="0"/>
    <n v="84990"/>
    <s v="C5101347"/>
    <s v="LOCAPROD EVENEMENT"/>
    <s v="Q4"/>
    <e v="#REF!"/>
    <e v="#REF!"/>
    <e v="#REF!"/>
  </r>
  <r>
    <s v="445662"/>
    <x v="6"/>
    <s v="TVA - D_20"/>
    <s v="AC"/>
    <n v="206.14"/>
    <d v="2025-01-01T00:00:00"/>
    <s v="RÈGLEMENT 100% EN AVANCE MALLE OPEN ROAD SUR MESURE DIM.  760X520X H700 INT SERRURE AVEC 2 CLES POUR COUVERCLE  OPEN ROAD"/>
    <m/>
    <e v="#N/A"/>
    <e v="#N/A"/>
    <n v="61241"/>
    <s v="12401666"/>
    <s v="RYTHMES ET SONS"/>
    <s v="Q1"/>
    <e v="#REF!"/>
    <e v="#REF!"/>
    <e v="#REF!"/>
  </r>
  <r>
    <s v="445662"/>
    <x v="6"/>
    <s v="TVA - D_20"/>
    <s v="AC"/>
    <n v="208.89"/>
    <d v="2025-09-01T00:00:00"/>
    <s v="LOYER LYON"/>
    <m/>
    <e v="#N/A"/>
    <e v="#N/A"/>
    <n v="81894"/>
    <s v="000931000101"/>
    <s v="REGIE CONSEIL"/>
    <s v="Q3"/>
    <e v="#REF!"/>
    <e v="#REF!"/>
    <e v="#REF!"/>
  </r>
  <r>
    <s v="445662"/>
    <x v="6"/>
    <s v="TVA - D_20"/>
    <s v="AC"/>
    <n v="208.89"/>
    <d v="2025-10-01T00:00:00"/>
    <s v="LOYER LYON"/>
    <m/>
    <e v="#N/A"/>
    <e v="#N/A"/>
    <n v="82796"/>
    <s v="OCTOBRE 2025"/>
    <s v="REGIE CONSEIL"/>
    <s v="Q4"/>
    <e v="#REF!"/>
    <e v="#REF!"/>
    <e v="#REF!"/>
  </r>
  <r>
    <s v="445662"/>
    <x v="6"/>
    <s v="TVA - D_20"/>
    <s v="AC"/>
    <n v="208.89"/>
    <d v="2025-11-01T00:00:00"/>
    <s v="LOYER LYON"/>
    <m/>
    <e v="#N/A"/>
    <e v="#N/A"/>
    <n v="87468"/>
    <s v="000931000101 - NOVEMBRE 2025"/>
    <s v="REGIE CONSEIL"/>
    <s v="Q4"/>
    <e v="#REF!"/>
    <e v="#REF!"/>
    <e v="#REF!"/>
  </r>
  <r>
    <s v="445662"/>
    <x v="6"/>
    <s v="TVA - D_20"/>
    <s v="AC"/>
    <n v="209.69"/>
    <d v="2025-07-01T00:00:00"/>
    <s v="ELECTRICITÉ"/>
    <m/>
    <e v="#N/A"/>
    <e v="#N/A"/>
    <n v="78789"/>
    <s v="420007146055"/>
    <s v="ENGIE"/>
    <s v="Q3"/>
    <e v="#REF!"/>
    <e v="#REF!"/>
    <e v="#REF!"/>
  </r>
  <r>
    <s v="445662"/>
    <x v="6"/>
    <s v="TVA - D_20"/>
    <s v="AC"/>
    <n v="209.97"/>
    <d v="2025-12-23T00:00:00"/>
    <s v="LOYER LYON JANVIER 26"/>
    <m/>
    <e v="#N/A"/>
    <e v="#N/A"/>
    <n v="93611"/>
    <s v="JANVIER 2026"/>
    <s v="REGIE CONSEIL"/>
    <s v="Q4"/>
    <e v="#REF!"/>
    <e v="#REF!"/>
    <e v="#REF!"/>
  </r>
  <r>
    <s v="445662"/>
    <x v="6"/>
    <s v="TVA - D_20"/>
    <s v="AC"/>
    <n v="211.25"/>
    <d v="2025-12-01T00:00:00"/>
    <s v="LOYER DÉCEMBRE 2025 LYON"/>
    <m/>
    <e v="#N/A"/>
    <e v="#N/A"/>
    <n v="92144"/>
    <s v="DECEMBRE 2025"/>
    <s v="REGIE CONSEIL"/>
    <s v="Q4"/>
    <e v="#REF!"/>
    <e v="#REF!"/>
    <e v="#REF!"/>
  </r>
  <r>
    <s v="445662"/>
    <x v="6"/>
    <s v="TVA - D_20"/>
    <s v="AC"/>
    <n v="211.42"/>
    <d v="2025-04-16T00:00:00"/>
    <s v="TURBINE RUSHTON - KL - PROJET KEENY ET AUTRES PROJETS"/>
    <m/>
    <e v="#N/A"/>
    <e v="#N/A"/>
    <n v="69819"/>
    <s v="14003367"/>
    <s v="OPTIMUS"/>
    <s v="Q2"/>
    <e v="#REF!"/>
    <e v="#REF!"/>
    <e v="#REF!"/>
  </r>
  <r>
    <s v="445662"/>
    <x v="6"/>
    <s v="TVA - D_20"/>
    <s v="AC"/>
    <n v="213.41"/>
    <d v="2025-11-16T00:00:00"/>
    <s v="INTÉRIMAIRE GHALMI SEPHORA"/>
    <m/>
    <e v="#N/A"/>
    <e v="#N/A"/>
    <n v="94273"/>
    <s v="N6171212-2025"/>
    <s v="CRIT"/>
    <s v="Q4"/>
    <e v="#REF!"/>
    <e v="#REF!"/>
    <e v="#REF!"/>
  </r>
  <r>
    <s v="445662"/>
    <x v="6"/>
    <s v="TVA - D_20"/>
    <s v="AC"/>
    <n v="213.41"/>
    <d v="2025-12-18T00:00:00"/>
    <s v="POSE TÉLÉPHONE LISA BÂTIMENT E46"/>
    <s v="Non"/>
    <s v="Non"/>
    <e v="#N/A"/>
    <n v="93646"/>
    <s v="93814306"/>
    <s v="OSIRIS"/>
    <s v="Q4"/>
    <e v="#REF!"/>
    <e v="#REF!"/>
    <e v="#REF!"/>
  </r>
  <r>
    <s v="445662"/>
    <x v="6"/>
    <s v="TVA - D_20"/>
    <s v="AC"/>
    <n v="217.54"/>
    <d v="2025-07-17T00:00:00"/>
    <s v="SOLVANTS DEUTÉRÉS POUR ANALYSE RMN"/>
    <m/>
    <e v="#N/A"/>
    <e v="#N/A"/>
    <n v="78909"/>
    <s v="FVE0725-235"/>
    <s v="EURISOTOP"/>
    <s v="Q3"/>
    <e v="#REF!"/>
    <e v="#REF!"/>
    <e v="#REF!"/>
  </r>
  <r>
    <s v="445662"/>
    <x v="6"/>
    <s v="TVA - D_20"/>
    <s v="AC"/>
    <n v="217.66"/>
    <d v="2025-02-01T00:00:00"/>
    <s v="LOYER LYON -FÉVRIER"/>
    <m/>
    <e v="#N/A"/>
    <e v="#N/A"/>
    <n v="64063"/>
    <s v="5087"/>
    <s v="REGIE CONSEIL"/>
    <s v="Q1"/>
    <e v="#REF!"/>
    <e v="#REF!"/>
    <e v="#REF!"/>
  </r>
  <r>
    <s v="445662"/>
    <x v="6"/>
    <s v="TVA - D_20"/>
    <s v="AC"/>
    <n v="217.66"/>
    <d v="2025-03-05T00:00:00"/>
    <s v="LOYER LYON- MARS"/>
    <m/>
    <e v="#N/A"/>
    <e v="#N/A"/>
    <n v="66097"/>
    <s v="5087"/>
    <s v="REGIE CONSEIL"/>
    <s v="Q1"/>
    <e v="#REF!"/>
    <e v="#REF!"/>
    <e v="#REF!"/>
  </r>
  <r>
    <s v="445662"/>
    <x v="6"/>
    <s v="TVA - D_20"/>
    <s v="AC"/>
    <n v="217.66"/>
    <d v="2025-04-01T00:00:00"/>
    <s v="Location Lyon 202504"/>
    <m/>
    <e v="#N/A"/>
    <e v="#N/A"/>
    <n v="72919"/>
    <m/>
    <s v="REGIE CONSEIL"/>
    <s v="Q2"/>
    <e v="#REF!"/>
    <e v="#REF!"/>
    <e v="#REF!"/>
  </r>
  <r>
    <s v="445662"/>
    <x v="6"/>
    <s v="TVA - D_20"/>
    <s v="AC"/>
    <n v="217.66"/>
    <d v="2025-05-01T00:00:00"/>
    <s v="LOCATION LYON 202505"/>
    <m/>
    <e v="#N/A"/>
    <e v="#N/A"/>
    <n v="72623"/>
    <s v="202505"/>
    <s v="REGIE CONSEIL"/>
    <s v="Q2"/>
    <e v="#REF!"/>
    <e v="#REF!"/>
    <e v="#REF!"/>
  </r>
  <r>
    <s v="445662"/>
    <x v="6"/>
    <s v="TVA - D_20"/>
    <s v="AC"/>
    <n v="217.66"/>
    <d v="2025-06-01T00:00:00"/>
    <s v="LOYER LYON 2025_06"/>
    <m/>
    <e v="#N/A"/>
    <e v="#N/A"/>
    <n v="75168"/>
    <s v="202506"/>
    <s v="REGIE CONSEIL"/>
    <s v="Q2"/>
    <e v="#REF!"/>
    <e v="#REF!"/>
    <e v="#REF!"/>
  </r>
  <r>
    <s v="445662"/>
    <x v="6"/>
    <s v="TVA - D_20"/>
    <s v="AC"/>
    <n v="217.7"/>
    <d v="2025-06-23T00:00:00"/>
    <s v="LOYER JUILLET 2025"/>
    <m/>
    <e v="#N/A"/>
    <e v="#N/A"/>
    <n v="78055"/>
    <s v="36"/>
    <s v="REGIE CONSEIL"/>
    <s v="Q2"/>
    <e v="#REF!"/>
    <e v="#REF!"/>
    <e v="#REF!"/>
  </r>
  <r>
    <s v="445662"/>
    <x v="6"/>
    <s v="TVA - D_20"/>
    <s v="AC"/>
    <n v="220.12"/>
    <d v="2025-05-26T00:00:00"/>
    <s v="ACCESSOIRES MAINTENANCE KL"/>
    <m/>
    <e v="#N/A"/>
    <e v="#N/A"/>
    <n v="75971"/>
    <s v="14003423"/>
    <s v="OPTIMUS"/>
    <s v="Q2"/>
    <e v="#REF!"/>
    <e v="#REF!"/>
    <e v="#REF!"/>
  </r>
  <r>
    <s v="445662"/>
    <x v="6"/>
    <s v="TVA - D_20"/>
    <s v="AC"/>
    <n v="221.48"/>
    <d v="2025-06-27T00:00:00"/>
    <s v="MAINTENANCE GERBEUR ÉLECTRIQUE : CHANGEMENT CARTE DE COMMANDE ÉLECTRONIQUE"/>
    <m/>
    <e v="#N/A"/>
    <e v="#N/A"/>
    <n v="81205"/>
    <s v="8802128819"/>
    <s v="FENWICK-LINDE"/>
    <s v="Q2"/>
    <e v="#REF!"/>
    <e v="#REF!"/>
    <e v="#REF!"/>
  </r>
  <r>
    <s v="445662"/>
    <x v="6"/>
    <s v="TVA - D_20"/>
    <s v="AC"/>
    <n v="222.61"/>
    <d v="2025-10-29T00:00:00"/>
    <s v="ENLÈVEMENT DE DÉCHETS LABO KB"/>
    <m/>
    <s v="Non"/>
    <n v="0"/>
    <n v="87478"/>
    <s v="FA2513736"/>
    <s v="SERVICE ACTION SANTE"/>
    <s v="Q4"/>
    <e v="#REF!"/>
    <e v="#REF!"/>
    <e v="#REF!"/>
  </r>
  <r>
    <s v="445662"/>
    <x v="6"/>
    <s v="TVA - D_20"/>
    <s v="AC"/>
    <n v="222.63"/>
    <d v="2025-09-19T00:00:00"/>
    <s v="CONSOMMABLE LABO"/>
    <m/>
    <e v="#N/A"/>
    <e v="#N/A"/>
    <n v="85128"/>
    <s v="4067821369"/>
    <s v="VWR AVANTOR"/>
    <s v="Q3"/>
    <e v="#REF!"/>
    <e v="#REF!"/>
    <e v="#REF!"/>
  </r>
  <r>
    <s v="445662"/>
    <x v="6"/>
    <s v="TVA - D_20"/>
    <s v="AC"/>
    <n v="223.66"/>
    <d v="2025-01-20T00:00:00"/>
    <s v="RAPPORT DE RECHERCHE - BREVET PALOMA BIO"/>
    <s v="Non"/>
    <s v="Oui"/>
    <e v="#N/A"/>
    <n v="61279"/>
    <s v="250156"/>
    <s v="BECKER"/>
    <s v="Q1"/>
    <e v="#REF!"/>
    <e v="#REF!"/>
    <e v="#REF!"/>
  </r>
  <r>
    <s v="445662"/>
    <x v="6"/>
    <s v="TVA - D_20"/>
    <s v="AC"/>
    <n v="224.44"/>
    <d v="2025-12-12T00:00:00"/>
    <s v="PHASE NATIONALE USA BREVET CHIC"/>
    <s v="Non"/>
    <s v="Oui"/>
    <e v="#N/A"/>
    <n v="92172"/>
    <s v="255685"/>
    <s v="BECKER"/>
    <s v="Q4"/>
    <e v="#REF!"/>
    <e v="#REF!"/>
    <e v="#REF!"/>
  </r>
  <r>
    <s v="445662"/>
    <x v="6"/>
    <s v="TVA - D_20"/>
    <s v="AC"/>
    <n v="224.8"/>
    <d v="2025-01-30T00:00:00"/>
    <s v="COTISATION 2025"/>
    <m/>
    <s v="Non"/>
    <s v="Oui"/>
    <n v="61341"/>
    <s v="F2025003322"/>
    <s v="AXELERA"/>
    <s v="Q1"/>
    <e v="#REF!"/>
    <e v="#REF!"/>
    <e v="#REF!"/>
  </r>
  <r>
    <s v="445662"/>
    <x v="6"/>
    <s v="TVA - D_20"/>
    <s v="AC"/>
    <n v="224.8"/>
    <d v="2025-12-09T00:00:00"/>
    <s v="COTISATION AXELERA"/>
    <m/>
    <s v="Non"/>
    <s v="Oui"/>
    <n v="92162"/>
    <s v="F2025003757"/>
    <s v="AXELERA"/>
    <s v="Q4"/>
    <e v="#REF!"/>
    <e v="#REF!"/>
    <e v="#REF!"/>
  </r>
  <r>
    <s v="445662"/>
    <x v="6"/>
    <s v="TVA - D_20"/>
    <s v="AC"/>
    <n v="225.69"/>
    <d v="2025-07-31T00:00:00"/>
    <s v="ÉLECTRICITÉ KB"/>
    <m/>
    <e v="#N/A"/>
    <e v="#N/A"/>
    <n v="81771"/>
    <s v="720000616365"/>
    <s v="ENGIE"/>
    <s v="Q3"/>
    <e v="#REF!"/>
    <e v="#REF!"/>
    <e v="#REF!"/>
  </r>
  <r>
    <s v="445662"/>
    <x v="6"/>
    <s v="TVA - D_20"/>
    <s v="AC"/>
    <n v="226.08"/>
    <d v="2025-02-15T00:00:00"/>
    <s v="ANNULE ET REMPLACE DEMANDE CB MANUTAN DE LA SEMAINE DERNIERE  VESTIAIRE + 20 CHAISES EMPILABLES (SALLE DE RÉUNION + SALLE DE PAU"/>
    <m/>
    <e v="#N/A"/>
    <e v="#N/A"/>
    <n v="61500"/>
    <s v="133"/>
    <s v="MANUTAN"/>
    <s v="Q1"/>
    <e v="#REF!"/>
    <e v="#REF!"/>
    <e v="#REF!"/>
  </r>
  <r>
    <s v="445662"/>
    <x v="6"/>
    <s v="TVA - D_20"/>
    <s v="AC"/>
    <n v="227.98"/>
    <d v="2025-07-23T00:00:00"/>
    <s v="LOYER AOUT LYON"/>
    <m/>
    <e v="#N/A"/>
    <e v="#N/A"/>
    <n v="78810"/>
    <s v="000931000101 - AOUT 25"/>
    <s v="REGIE CONSEIL"/>
    <s v="Q3"/>
    <e v="#REF!"/>
    <e v="#REF!"/>
    <e v="#REF!"/>
  </r>
  <r>
    <s v="445662"/>
    <x v="6"/>
    <s v="TVA - D_20"/>
    <s v="AC"/>
    <n v="228.06"/>
    <d v="2025-03-31T00:00:00"/>
    <s v="ELECTRICITE KB"/>
    <m/>
    <e v="#N/A"/>
    <e v="#N/A"/>
    <n v="72576"/>
    <s v="4,20E+11"/>
    <s v="ENGIE"/>
    <s v="Q1"/>
    <e v="#REF!"/>
    <e v="#REF!"/>
    <e v="#REF!"/>
  </r>
  <r>
    <s v="445662"/>
    <x v="6"/>
    <s v="TVA - D_20"/>
    <s v="AC"/>
    <n v="228.46"/>
    <d v="2025-05-23T00:00:00"/>
    <s v="COUVERCLE DE RÉACTEUR 10L, EN REMPLACEMENT DU COUVERCLE CASSÉ QUI SERA ENVOYÉ EN RÉPARATION ET MIS EN STOCK MAINTENANCE"/>
    <m/>
    <e v="#N/A"/>
    <e v="#N/A"/>
    <n v="75960"/>
    <s v="14003415"/>
    <s v="OPTIMUS"/>
    <s v="Q2"/>
    <e v="#REF!"/>
    <e v="#REF!"/>
    <e v="#REF!"/>
  </r>
  <r>
    <s v="445662"/>
    <x v="6"/>
    <s v="TVA - D_20"/>
    <s v="AC"/>
    <n v="229.15"/>
    <d v="2025-06-17T00:00:00"/>
    <s v="PRÉSENTATION DE LA REQUÊTE EN EXAMEN - PHASES NATIONALES CHINE - BREVET PHOENIX"/>
    <s v="Non"/>
    <s v="Oui"/>
    <e v="#N/A"/>
    <n v="76605"/>
    <s v="252819"/>
    <s v="BECKER"/>
    <s v="Q2"/>
    <e v="#REF!"/>
    <e v="#REF!"/>
    <e v="#REF!"/>
  </r>
  <r>
    <s v="445662"/>
    <x v="6"/>
    <s v="TVA - D_20"/>
    <s v="AC"/>
    <n v="234"/>
    <d v="2025-06-26T00:00:00"/>
    <s v="ESSAI ROUSSELET (APRÈS LYSE SOUDE)"/>
    <s v="Non"/>
    <e v="#N/A"/>
    <e v="#N/A"/>
    <n v="77289"/>
    <s v="FA006303"/>
    <s v="ROUSSELET CENTRIFUGATION"/>
    <s v="Q2"/>
    <e v="#REF!"/>
    <e v="#REF!"/>
    <e v="#REF!"/>
  </r>
  <r>
    <s v="445662"/>
    <x v="6"/>
    <s v="TVA - D_20"/>
    <s v="AC"/>
    <n v="234.76"/>
    <d v="2025-01-31T00:00:00"/>
    <s v="MAINTENANCE AGITATEUR R2000"/>
    <s v="Non"/>
    <s v="Non"/>
    <e v="#N/A"/>
    <n v="61355"/>
    <s v="93812122"/>
    <s v="OSIRIS"/>
    <s v="Q1"/>
    <e v="#REF!"/>
    <e v="#REF!"/>
    <e v="#REF!"/>
  </r>
  <r>
    <s v="445662"/>
    <x v="6"/>
    <s v="TVA - D_20"/>
    <s v="AC"/>
    <n v="236"/>
    <d v="2025-05-20T00:00:00"/>
    <s v="CONTRÔLE AÉRAULIQUE D'ÉQUIPEMENTS DE PROTECTION COLLECTIVE VENTILÉS SUR SITE"/>
    <m/>
    <e v="#N/A"/>
    <e v="#N/A"/>
    <n v="73812"/>
    <s v="2025F016"/>
    <s v="CONTROL'AIR"/>
    <s v="Q2"/>
    <e v="#REF!"/>
    <e v="#REF!"/>
    <e v="#REF!"/>
  </r>
  <r>
    <s v="445662"/>
    <x v="6"/>
    <s v="TVA - D_20"/>
    <s v="AC"/>
    <n v="238"/>
    <d v="2025-03-05T00:00:00"/>
    <s v="RACCORD / FLEXIBLE TCU F3000"/>
    <m/>
    <e v="#N/A"/>
    <e v="#N/A"/>
    <n v="78354"/>
    <s v="878"/>
    <s v="ALGOCHEM"/>
    <s v="Q1"/>
    <e v="#REF!"/>
    <e v="#REF!"/>
    <e v="#REF!"/>
  </r>
  <r>
    <s v="445662"/>
    <x v="6"/>
    <s v="TVA - D_20"/>
    <s v="AC"/>
    <n v="238.21"/>
    <d v="2025-11-14T00:00:00"/>
    <s v="VERRERIE POUR LABO"/>
    <m/>
    <e v="#N/A"/>
    <e v="#N/A"/>
    <n v="91934"/>
    <s v="0190376"/>
    <s v="CLOUP"/>
    <s v="Q4"/>
    <e v="#REF!"/>
    <e v="#REF!"/>
    <e v="#REF!"/>
  </r>
  <r>
    <s v="445662"/>
    <x v="6"/>
    <s v="TVA - D_20"/>
    <s v="AC"/>
    <n v="240"/>
    <d v="2025-07-30T00:00:00"/>
    <s v="ETUDE ACV"/>
    <m/>
    <e v="#N/A"/>
    <e v="#N/A"/>
    <n v="78943"/>
    <s v="FT25-4209"/>
    <s v="EVEA"/>
    <s v="Q3"/>
    <e v="#REF!"/>
    <e v="#REF!"/>
    <e v="#REF!"/>
  </r>
  <r>
    <s v="445662"/>
    <x v="6"/>
    <s v="TVA - D_20"/>
    <s v="AC"/>
    <n v="240"/>
    <d v="2025-08-11T00:00:00"/>
    <s v="MONTANT MINIMUM LORS DE LA PROLONGATION (PAR MOIS)"/>
    <m/>
    <e v="#N/A"/>
    <e v="#N/A"/>
    <n v="81794"/>
    <s v="1459938-FR"/>
    <s v="DROOMS"/>
    <s v="Q3"/>
    <e v="#REF!"/>
    <e v="#REF!"/>
    <e v="#REF!"/>
  </r>
  <r>
    <s v="445662"/>
    <x v="6"/>
    <s v="TVA - D_20"/>
    <s v="AC"/>
    <n v="240"/>
    <d v="2025-09-09T00:00:00"/>
    <s v="MONTANT MINIMUM LORS DE LA PROLONGATION (PAR MOIS)"/>
    <m/>
    <e v="#N/A"/>
    <e v="#N/A"/>
    <n v="81867"/>
    <s v="1460091-FR"/>
    <s v="DROOMS"/>
    <s v="Q3"/>
    <e v="#REF!"/>
    <e v="#REF!"/>
    <e v="#REF!"/>
  </r>
  <r>
    <s v="445662"/>
    <x v="6"/>
    <s v="TVA - D_20"/>
    <s v="AC"/>
    <n v="240"/>
    <d v="2025-10-09T00:00:00"/>
    <s v="MONTANT MINIMUM LORS DE LA PROLONGATION (PAR MOIS)"/>
    <m/>
    <e v="#N/A"/>
    <e v="#N/A"/>
    <n v="85165"/>
    <s v="1460273-FR"/>
    <s v="DROOMS"/>
    <s v="Q4"/>
    <e v="#REF!"/>
    <e v="#REF!"/>
    <e v="#REF!"/>
  </r>
  <r>
    <s v="445662"/>
    <x v="6"/>
    <s v="TVA - D_20"/>
    <s v="AC"/>
    <n v="240"/>
    <d v="2025-11-10T00:00:00"/>
    <s v="MONTANT MINIMUM LORS DE LA PROLONGATION (PAR MOIS)"/>
    <m/>
    <e v="#N/A"/>
    <e v="#N/A"/>
    <n v="89931"/>
    <s v="1460452-FR"/>
    <s v="DROOMS"/>
    <s v="Q4"/>
    <e v="#REF!"/>
    <e v="#REF!"/>
    <e v="#REF!"/>
  </r>
  <r>
    <s v="445662"/>
    <x v="6"/>
    <s v="TVA - D_20"/>
    <s v="AC"/>
    <n v="240"/>
    <d v="2025-12-09T00:00:00"/>
    <s v="MONTANT MINIMUM LORS DE LA PROLONGATION (PAR MOIS)"/>
    <m/>
    <e v="#N/A"/>
    <e v="#N/A"/>
    <n v="92012"/>
    <s v="1460653-FR"/>
    <s v="DROOMS"/>
    <s v="Q4"/>
    <e v="#REF!"/>
    <e v="#REF!"/>
    <e v="#REF!"/>
  </r>
  <r>
    <s v="445662"/>
    <x v="6"/>
    <s v="TVA - D_20"/>
    <s v="AC"/>
    <n v="244.04"/>
    <d v="2025-04-15T00:00:00"/>
    <s v="SAB #16 - WANDA DISCHERT - MARS 2025"/>
    <s v="Non"/>
    <s v="Non"/>
    <e v="#N/A"/>
    <n v="69803"/>
    <s v="01/04/2025"/>
    <s v="IN MANAGEMENT"/>
    <s v="Q2"/>
    <e v="#REF!"/>
    <e v="#REF!"/>
    <e v="#REF!"/>
  </r>
  <r>
    <s v="445662"/>
    <x v="6"/>
    <s v="TVA - D_20"/>
    <s v="AC"/>
    <n v="248.16"/>
    <d v="2025-10-01T00:00:00"/>
    <s v="ELECTRICITÉ KB 7E"/>
    <m/>
    <e v="#N/A"/>
    <e v="#N/A"/>
    <n v="82793"/>
    <s v="850005285734"/>
    <s v="ENGIE"/>
    <s v="Q4"/>
    <e v="#REF!"/>
    <e v="#REF!"/>
    <e v="#REF!"/>
  </r>
  <r>
    <s v="445662"/>
    <x v="6"/>
    <s v="TVA - D_20"/>
    <s v="AC"/>
    <n v="250"/>
    <d v="2025-03-19T00:00:00"/>
    <s v="MISSION SPOT SI ( AIDE RECRUTEMENT RSI)"/>
    <s v="Non"/>
    <s v="Non"/>
    <e v="#N/A"/>
    <n v="66128"/>
    <s v="378"/>
    <s v="LRC2"/>
    <s v="Q1"/>
    <e v="#REF!"/>
    <e v="#REF!"/>
    <e v="#REF!"/>
  </r>
  <r>
    <s v="445662"/>
    <x v="6"/>
    <s v="TVA - D_20"/>
    <s v="AC"/>
    <n v="250.35"/>
    <d v="2025-06-05T00:00:00"/>
    <s v="ENLÈVEMENT DÉCHETS LABO"/>
    <m/>
    <s v="Non"/>
    <n v="0"/>
    <n v="77271"/>
    <s v="FA2511788"/>
    <s v="SERVICE ACTION SANTE"/>
    <s v="Q2"/>
    <e v="#REF!"/>
    <e v="#REF!"/>
    <e v="#REF!"/>
  </r>
  <r>
    <s v="445662"/>
    <x v="6"/>
    <s v="TVA - D_20"/>
    <s v="AC"/>
    <n v="250.7"/>
    <d v="2025-07-24T00:00:00"/>
    <s v="MODIFICATION FILTRE À PLAQUES :  - AJOUT BAC DE RÉTENTION - AJOUT SUPPORT SEAU 30L"/>
    <m/>
    <e v="#N/A"/>
    <e v="#N/A"/>
    <n v="81336"/>
    <s v="RMG-020255"/>
    <s v="RIVOIRE"/>
    <s v="Q3"/>
    <e v="#REF!"/>
    <e v="#REF!"/>
    <e v="#REF!"/>
  </r>
  <r>
    <s v="445662"/>
    <x v="6"/>
    <s v="TVA - D_20"/>
    <s v="AC"/>
    <n v="252"/>
    <d v="2025-01-16T00:00:00"/>
    <s v="NOTE DE CALCULS FONDATIONS POTEAUX EXISTANTS"/>
    <m/>
    <e v="#N/A"/>
    <e v="#N/A"/>
    <n v="61267"/>
    <s v="FC250013"/>
    <s v="CIMEO"/>
    <s v="Q1"/>
    <e v="#REF!"/>
    <e v="#REF!"/>
    <e v="#REF!"/>
  </r>
  <r>
    <s v="445662"/>
    <x v="6"/>
    <s v="TVA - D_20"/>
    <s v="AC"/>
    <n v="253.32"/>
    <d v="2025-09-01T00:00:00"/>
    <s v="ÉLECTRICITÉ KB"/>
    <m/>
    <e v="#N/A"/>
    <e v="#N/A"/>
    <n v="81884"/>
    <s v="120010018681"/>
    <s v="ENGIE"/>
    <s v="Q3"/>
    <e v="#REF!"/>
    <e v="#REF!"/>
    <e v="#REF!"/>
  </r>
  <r>
    <s v="445662"/>
    <x v="6"/>
    <s v="TVA - D_20"/>
    <s v="AC"/>
    <n v="256"/>
    <d v="2025-10-13T00:00:00"/>
    <s v="4 DSC"/>
    <m/>
    <e v="#N/A"/>
    <e v="#N/A"/>
    <n v="87082"/>
    <s v="FAR-2025-000748"/>
    <s v="INSA ROUEN"/>
    <s v="Q4"/>
    <e v="#REF!"/>
    <e v="#REF!"/>
    <e v="#REF!"/>
  </r>
  <r>
    <s v="445662"/>
    <x v="6"/>
    <s v="TVA - D_20"/>
    <s v="AC"/>
    <n v="257.7"/>
    <d v="2025-09-02T00:00:00"/>
    <s v="CONTRAT DE MAINTENANCE PRO"/>
    <m/>
    <e v="#N/A"/>
    <e v="#N/A"/>
    <n v="82313"/>
    <s v="143995"/>
    <s v="ARESCOM"/>
    <s v="Q3"/>
    <e v="#REF!"/>
    <e v="#REF!"/>
    <e v="#REF!"/>
  </r>
  <r>
    <s v="445662"/>
    <x v="6"/>
    <s v="TVA - D_20"/>
    <s v="AC"/>
    <n v="260.39999999999998"/>
    <d v="2025-06-02T00:00:00"/>
    <s v="MAINTENANCE ARESCOM"/>
    <m/>
    <e v="#N/A"/>
    <e v="#N/A"/>
    <n v="75489"/>
    <s v="142470"/>
    <s v="ARESCOM"/>
    <s v="Q2"/>
    <e v="#REF!"/>
    <e v="#REF!"/>
    <e v="#REF!"/>
  </r>
  <r>
    <s v="445662"/>
    <x v="6"/>
    <s v="TVA - D_20"/>
    <s v="AC"/>
    <n v="260.39999999999998"/>
    <d v="2025-07-02T00:00:00"/>
    <s v="CONTRAT DE MAINTENANCE PRO"/>
    <m/>
    <e v="#N/A"/>
    <e v="#N/A"/>
    <n v="77333"/>
    <s v="142982"/>
    <s v="ARESCOM"/>
    <s v="Q3"/>
    <e v="#REF!"/>
    <e v="#REF!"/>
    <e v="#REF!"/>
  </r>
  <r>
    <s v="445662"/>
    <x v="6"/>
    <s v="TVA - D_20"/>
    <s v="AC"/>
    <n v="260.39999999999998"/>
    <d v="2025-08-01T00:00:00"/>
    <s v="CONTRAT DE MAINTENANCE PRO"/>
    <m/>
    <e v="#N/A"/>
    <e v="#N/A"/>
    <n v="81240"/>
    <s v="143526"/>
    <s v="ARESCOM"/>
    <s v="Q3"/>
    <e v="#REF!"/>
    <e v="#REF!"/>
    <e v="#REF!"/>
  </r>
  <r>
    <s v="445662"/>
    <x v="6"/>
    <s v="TVA - D_20"/>
    <s v="AC"/>
    <n v="264"/>
    <d v="2025-02-13T00:00:00"/>
    <s v="FORMATION SST INITIAL (SAUVETEUR SECOURISTE DU TRAVAIL) DATES : LES 10 ET 11 FÉVRIER 2025 (AMILLASTRE E, BONNAUD M, RAMOS N ET R"/>
    <m/>
    <s v="Non"/>
    <n v="0"/>
    <n v="61481"/>
    <s v="2643"/>
    <s v="APF SECURITE"/>
    <s v="Q1"/>
    <e v="#REF!"/>
    <e v="#REF!"/>
    <e v="#REF!"/>
  </r>
  <r>
    <s v="445662"/>
    <x v="6"/>
    <s v="TVA - D_20"/>
    <s v="AC"/>
    <n v="264"/>
    <d v="2025-09-01T00:00:00"/>
    <s v="CONSEIL ET ASSISTANCE CONFORMÉMENT À LA LETTRE DE MISSION POUR LA PÉRIODE DU 1ER JUIN AU 31 AOUT 2025"/>
    <s v="Non"/>
    <s v="Non"/>
    <e v="#N/A"/>
    <n v="81846"/>
    <s v="C2025829"/>
    <s v="ALTAIR AVOCATS"/>
    <s v="Q3"/>
    <e v="#REF!"/>
    <e v="#REF!"/>
    <e v="#REF!"/>
  </r>
  <r>
    <s v="445662"/>
    <x v="6"/>
    <s v="TVA - D_20"/>
    <s v="AC"/>
    <n v="264.88"/>
    <d v="2025-11-03T00:00:00"/>
    <s v="CONTRAT DE MAINTENANCE PRO"/>
    <m/>
    <e v="#N/A"/>
    <e v="#N/A"/>
    <n v="89909"/>
    <s v="145044"/>
    <s v="ARESCOM"/>
    <s v="Q4"/>
    <e v="#REF!"/>
    <e v="#REF!"/>
    <e v="#REF!"/>
  </r>
  <r>
    <s v="445662"/>
    <x v="6"/>
    <s v="TVA - D_20"/>
    <s v="AC"/>
    <n v="266.32"/>
    <d v="2025-10-03T00:00:00"/>
    <s v="CONTRAT DE MAINTENANCE PRO"/>
    <m/>
    <e v="#N/A"/>
    <e v="#N/A"/>
    <n v="84978"/>
    <s v="144519"/>
    <s v="ARESCOM"/>
    <s v="Q4"/>
    <e v="#REF!"/>
    <e v="#REF!"/>
    <e v="#REF!"/>
  </r>
  <r>
    <s v="445662"/>
    <x v="6"/>
    <s v="TVA - D_20"/>
    <s v="AC"/>
    <n v="266.76"/>
    <d v="2025-11-01T00:00:00"/>
    <s v="INTÉRIM ROUSSILLON"/>
    <m/>
    <e v="#N/A"/>
    <e v="#N/A"/>
    <n v="91085"/>
    <s v="N6171053-2025"/>
    <s v="CRIT"/>
    <s v="Q4"/>
    <e v="#REF!"/>
    <e v="#REF!"/>
    <e v="#REF!"/>
  </r>
  <r>
    <s v="445662"/>
    <x v="6"/>
    <s v="TVA - D_20"/>
    <s v="AC"/>
    <n v="266.76"/>
    <d v="2025-11-02T00:00:00"/>
    <s v="INTÉRIM ROUSSILLON"/>
    <m/>
    <e v="#N/A"/>
    <e v="#N/A"/>
    <n v="91096"/>
    <s v="N6171054-2025"/>
    <s v="CRIT"/>
    <s v="Q4"/>
    <e v="#REF!"/>
    <e v="#REF!"/>
    <e v="#REF!"/>
  </r>
  <r>
    <s v="445662"/>
    <x v="6"/>
    <s v="TVA - D_20"/>
    <s v="AC"/>
    <n v="266.76"/>
    <d v="2025-11-09T00:00:00"/>
    <s v="INTÉRIM SEPHORA ROUSSILLON"/>
    <m/>
    <e v="#N/A"/>
    <e v="#N/A"/>
    <n v="91931"/>
    <s v="N6171211-2025"/>
    <s v="CRIT"/>
    <s v="Q4"/>
    <e v="#REF!"/>
    <e v="#REF!"/>
    <e v="#REF!"/>
  </r>
  <r>
    <s v="445662"/>
    <x v="6"/>
    <s v="TVA - D_20"/>
    <s v="AC"/>
    <n v="266.76"/>
    <d v="2025-11-23T00:00:00"/>
    <s v="INTÉRIMAIRE GHALMI SEPHORA"/>
    <m/>
    <e v="#N/A"/>
    <e v="#N/A"/>
    <n v="94276"/>
    <s v="N6171213-2025"/>
    <s v="CRIT"/>
    <s v="Q4"/>
    <e v="#REF!"/>
    <e v="#REF!"/>
    <e v="#REF!"/>
  </r>
  <r>
    <s v="445662"/>
    <x v="6"/>
    <s v="TVA - D_20"/>
    <s v="AC"/>
    <n v="266.76"/>
    <d v="2025-11-30T00:00:00"/>
    <s v="INTÉRIMAIRE GHALMI SEPHORA"/>
    <m/>
    <e v="#N/A"/>
    <e v="#N/A"/>
    <n v="94283"/>
    <s v="N6171214-2025"/>
    <s v="CRIT"/>
    <s v="Q4"/>
    <e v="#REF!"/>
    <e v="#REF!"/>
    <e v="#REF!"/>
  </r>
  <r>
    <s v="445662"/>
    <x v="6"/>
    <s v="TVA - D_20"/>
    <s v="AC"/>
    <n v="266.76"/>
    <d v="2025-12-07T00:00:00"/>
    <s v="INTÉRIM SEPHORA"/>
    <m/>
    <e v="#N/A"/>
    <e v="#N/A"/>
    <n v="94949"/>
    <s v="N6171312-2025"/>
    <s v="CRIT"/>
    <s v="Q4"/>
    <e v="#REF!"/>
    <e v="#REF!"/>
    <e v="#REF!"/>
  </r>
  <r>
    <s v="445662"/>
    <x v="6"/>
    <s v="TVA - D_20"/>
    <s v="AC"/>
    <n v="266.76"/>
    <d v="2025-12-14T00:00:00"/>
    <s v="INTÉRIM SEPHORA"/>
    <m/>
    <e v="#N/A"/>
    <e v="#N/A"/>
    <n v="94952"/>
    <s v="N6171313-2025"/>
    <s v="CRIT"/>
    <s v="Q4"/>
    <e v="#REF!"/>
    <e v="#REF!"/>
    <e v="#REF!"/>
  </r>
  <r>
    <s v="445662"/>
    <x v="6"/>
    <s v="TVA - D_20"/>
    <s v="AC"/>
    <n v="266.76"/>
    <d v="2025-12-21T00:00:00"/>
    <s v="INTÉRIM SEPHORA"/>
    <m/>
    <e v="#N/A"/>
    <e v="#N/A"/>
    <n v="95139"/>
    <s v="N6171314-2025"/>
    <s v="CRIT"/>
    <s v="Q4"/>
    <e v="#REF!"/>
    <e v="#REF!"/>
    <e v="#REF!"/>
  </r>
  <r>
    <s v="445662"/>
    <x v="6"/>
    <s v="TVA - D_20"/>
    <s v="AC"/>
    <n v="267.60000000000002"/>
    <d v="2025-06-18T00:00:00"/>
    <s v="PRESTATION COACHING DE LUCIE CREPIN"/>
    <m/>
    <s v="Non"/>
    <e v="#N/A"/>
    <n v="77274"/>
    <s v="F2025-019"/>
    <s v="BERNARD SEMBEILLES CONSULTING"/>
    <s v="Q2"/>
    <e v="#REF!"/>
    <e v="#REF!"/>
    <e v="#REF!"/>
  </r>
  <r>
    <s v="445662"/>
    <x v="6"/>
    <s v="TVA - D_20"/>
    <s v="AC"/>
    <n v="268"/>
    <d v="2025-06-13T00:00:00"/>
    <s v="ESSAIS LABORATOIRE ESSOREUSE / DECANTEUSE À BOL POUR SÉPARATION INDIGO ET MOÛT DE FERMENTATION"/>
    <s v="Non"/>
    <e v="#N/A"/>
    <e v="#N/A"/>
    <n v="76596"/>
    <s v="FA006275"/>
    <s v="ROUSSELET CENTRIFUGATION"/>
    <s v="Q2"/>
    <e v="#REF!"/>
    <e v="#REF!"/>
    <e v="#REF!"/>
  </r>
  <r>
    <s v="445662"/>
    <x v="6"/>
    <s v="TVA - D_20"/>
    <s v="AC"/>
    <n v="272.02"/>
    <d v="2025-01-07T00:00:00"/>
    <s v="LICENCES OFFICE 365"/>
    <m/>
    <e v="#N/A"/>
    <e v="#N/A"/>
    <n v="59868"/>
    <s v="139963"/>
    <s v="ARESCOM"/>
    <s v="Q1"/>
    <e v="#REF!"/>
    <e v="#REF!"/>
    <e v="#REF!"/>
  </r>
  <r>
    <s v="445662"/>
    <x v="6"/>
    <s v="TVA - D_20"/>
    <s v="AC"/>
    <n v="272.67"/>
    <d v="2025-01-07T00:00:00"/>
    <s v="CONTRAT DE MAINTENANCE PRO ANTIVIRUS ET FILTRAGE WEB MANAGÉ CLOUD CHIFFREMENT DISQUES DURS MANAGÉ - CLOUD"/>
    <m/>
    <e v="#N/A"/>
    <e v="#N/A"/>
    <n v="59859"/>
    <s v="139834"/>
    <s v="ARESCOM"/>
    <s v="Q1"/>
    <e v="#REF!"/>
    <e v="#REF!"/>
    <e v="#REF!"/>
  </r>
  <r>
    <s v="445662"/>
    <x v="6"/>
    <s v="TVA - D_20"/>
    <s v="AC"/>
    <n v="272.92"/>
    <d v="2025-03-03T00:00:00"/>
    <s v="LICENCES OFFICE 365 1 EXCHANGE ONLINE P1 / 50 MICROSOFT 365 BUSINESS PREMIUM / 3 POWER BI PRO / 7 PROJECT PLAN 3 / 4 VISIO P2"/>
    <m/>
    <e v="#N/A"/>
    <e v="#N/A"/>
    <n v="65999"/>
    <s v="140962"/>
    <s v="ARESCOM"/>
    <s v="Q1"/>
    <e v="#REF!"/>
    <e v="#REF!"/>
    <e v="#REF!"/>
  </r>
  <r>
    <s v="445662"/>
    <x v="6"/>
    <s v="TVA - D_20"/>
    <s v="AC"/>
    <n v="274.45"/>
    <d v="2025-12-02T00:00:00"/>
    <s v="CONTRAT DE MAINTENANCE PRO"/>
    <m/>
    <e v="#N/A"/>
    <e v="#N/A"/>
    <n v="92159"/>
    <s v="145557"/>
    <s v="ARESCOM"/>
    <s v="Q4"/>
    <e v="#REF!"/>
    <e v="#REF!"/>
    <e v="#REF!"/>
  </r>
  <r>
    <s v="445662"/>
    <x v="6"/>
    <s v="TVA - D_20"/>
    <s v="AC"/>
    <n v="274.76"/>
    <d v="2025-03-03T00:00:00"/>
    <s v="CONTRAT DE MAINTENANCE PRO ANTIVIRUS ET FILTRAGE WEB MANAGÉ CLOUD SECURITY FOR MSP CHIFFREMENT DISQUES DURS MANAGÉ - CLOUD SECUR"/>
    <m/>
    <e v="#N/A"/>
    <e v="#N/A"/>
    <n v="65988"/>
    <s v="140833"/>
    <s v="ARESCOM"/>
    <s v="Q1"/>
    <e v="#REF!"/>
    <e v="#REF!"/>
    <e v="#REF!"/>
  </r>
  <r>
    <s v="445662"/>
    <x v="6"/>
    <s v="TVA - D_20"/>
    <s v="AC"/>
    <n v="274.76"/>
    <d v="2025-04-02T00:00:00"/>
    <s v="CONTRAT DE MAINTENANCE PRO ANTIVIRUS ET FILTRAGE WEB MANAGÉ CLOUD SECURITY FOR MSP CHIFFREMENT DISQUES DURS MANAGÉ - CLOUD SECUR"/>
    <m/>
    <e v="#N/A"/>
    <e v="#N/A"/>
    <n v="69691"/>
    <s v="141448"/>
    <s v="ARESCOM"/>
    <s v="Q2"/>
    <e v="#REF!"/>
    <e v="#REF!"/>
    <e v="#REF!"/>
  </r>
  <r>
    <s v="445662"/>
    <x v="6"/>
    <s v="TVA - D_20"/>
    <s v="AC"/>
    <n v="274.76"/>
    <d v="2025-05-02T00:00:00"/>
    <s v="CONTRAT DE MAINTENANCE PRO ANTIVIRUS ET FILTRAGE WEB MANAGÉ CLOUD SECURITY FOR MSP CHIFFREMENT DISQUES DURS MANAGÉ - CLOUD SECUR"/>
    <m/>
    <e v="#N/A"/>
    <e v="#N/A"/>
    <n v="72682"/>
    <s v="141961"/>
    <s v="ARESCOM"/>
    <s v="Q2"/>
    <e v="#REF!"/>
    <e v="#REF!"/>
    <e v="#REF!"/>
  </r>
  <r>
    <s v="445662"/>
    <x v="6"/>
    <s v="TVA - D_20"/>
    <s v="AC"/>
    <n v="275.45"/>
    <d v="2025-02-04T00:00:00"/>
    <s v="CONTRAT DE MAINTENANCE PRO ANTIVIRUS ET FILTRAGE WEB MANAGÉ CLOUD SECURITY FOR MSP CHIFFREMENT DISQUES DURS MANAGÉ"/>
    <m/>
    <e v="#N/A"/>
    <e v="#N/A"/>
    <n v="61406"/>
    <s v="140346"/>
    <s v="ARESCOM"/>
    <s v="Q1"/>
    <e v="#REF!"/>
    <e v="#REF!"/>
    <e v="#REF!"/>
  </r>
  <r>
    <s v="445662"/>
    <x v="6"/>
    <s v="TVA - D_20"/>
    <s v="AC"/>
    <n v="276.17"/>
    <d v="2025-02-04T00:00:00"/>
    <s v="LICENCES OFFICE 365"/>
    <m/>
    <e v="#N/A"/>
    <e v="#N/A"/>
    <n v="61403"/>
    <s v="140475"/>
    <s v="ARESCOM"/>
    <s v="Q1"/>
    <e v="#REF!"/>
    <e v="#REF!"/>
    <e v="#REF!"/>
  </r>
  <r>
    <s v="445662"/>
    <x v="6"/>
    <s v="TVA - D_20"/>
    <s v="AC"/>
    <n v="278.37"/>
    <d v="2025-01-29T00:00:00"/>
    <s v="COLLECTE EXCEPTIONNELLE DE DASRI DU 27/01/2025"/>
    <m/>
    <s v="Non"/>
    <n v="0"/>
    <n v="67804"/>
    <s v="FA2509484"/>
    <s v="SERVICE ACTION SANTE"/>
    <s v="Q1"/>
    <e v="#REF!"/>
    <e v="#REF!"/>
    <e v="#REF!"/>
  </r>
  <r>
    <s v="445662"/>
    <x v="6"/>
    <s v="TVA - D_20"/>
    <s v="AC"/>
    <n v="279.83999999999997"/>
    <d v="2025-12-01T00:00:00"/>
    <s v="ÉLECTRICITÉ KB 7E"/>
    <m/>
    <e v="#N/A"/>
    <e v="#N/A"/>
    <n v="91835"/>
    <s v="850005343737"/>
    <s v="ENGIE"/>
    <s v="Q4"/>
    <e v="#REF!"/>
    <e v="#REF!"/>
    <e v="#REF!"/>
  </r>
  <r>
    <s v="445662"/>
    <x v="6"/>
    <s v="TVA - D_20"/>
    <s v="AC"/>
    <n v="284.56"/>
    <d v="2025-12-12T00:00:00"/>
    <s v="ABANDON DEMANDE TAIWAN CHIC"/>
    <s v="Non"/>
    <s v="Oui"/>
    <e v="#N/A"/>
    <n v="92179"/>
    <s v="255691"/>
    <s v="BECKER"/>
    <s v="Q4"/>
    <e v="#REF!"/>
    <e v="#REF!"/>
    <e v="#REF!"/>
  </r>
  <r>
    <s v="445662"/>
    <x v="6"/>
    <s v="TVA - D_20"/>
    <s v="AC"/>
    <n v="288.38"/>
    <d v="2025-06-10T00:00:00"/>
    <s v="HONORAIRES DE PROGRESSION SUR LA PÉRIODE DU 1ER AU 31 MAI 2025"/>
    <s v="Non"/>
    <s v="Non"/>
    <e v="#N/A"/>
    <n v="76590"/>
    <s v="C2025585"/>
    <s v="ALTAIR AVOCATS"/>
    <s v="Q2"/>
    <e v="#REF!"/>
    <e v="#REF!"/>
    <e v="#REF!"/>
  </r>
  <r>
    <s v="445662"/>
    <x v="6"/>
    <s v="TVA - D_20"/>
    <s v="AC"/>
    <n v="291.91000000000003"/>
    <d v="2025-04-02T00:00:00"/>
    <s v="LICENCES OFFICE 365 1 EXCHANGE ONLINE P1 / 1 MICROSOFT 365 APPS FOR ENTREPRISE / 50 MICROSOFT 365 BUSINESS PREMIUM / 3 POWER BI"/>
    <m/>
    <e v="#N/A"/>
    <e v="#N/A"/>
    <n v="69701"/>
    <s v="141572"/>
    <s v="ARESCOM"/>
    <s v="Q2"/>
    <e v="#REF!"/>
    <e v="#REF!"/>
    <e v="#REF!"/>
  </r>
  <r>
    <s v="445662"/>
    <x v="6"/>
    <s v="TVA - D_20"/>
    <s v="AC"/>
    <n v="294.44"/>
    <d v="2025-02-11T00:00:00"/>
    <s v="ENLÈVEMENT DÉCHETS SOLIDES TOXIQUES"/>
    <m/>
    <s v="Non"/>
    <n v="0"/>
    <n v="61456"/>
    <s v="F061342800"/>
    <s v="CHIMIREC CENTRE EST"/>
    <s v="Q1"/>
    <e v="#REF!"/>
    <e v="#REF!"/>
    <e v="#REF!"/>
  </r>
  <r>
    <s v="445662"/>
    <x v="6"/>
    <s v="TVA - D_20"/>
    <s v="AC"/>
    <n v="297.60000000000002"/>
    <d v="2025-01-17T00:00:00"/>
    <s v="COTISATION ANNUELLE"/>
    <m/>
    <e v="#N/A"/>
    <e v="#N/A"/>
    <n v="72516"/>
    <s v="25009518"/>
    <s v="PREVALY"/>
    <s v="Q1"/>
    <e v="#REF!"/>
    <e v="#REF!"/>
    <e v="#REF!"/>
  </r>
  <r>
    <s v="445662"/>
    <x v="6"/>
    <s v="TVA - D_20"/>
    <s v="AC"/>
    <n v="300"/>
    <d v="2025-01-31T00:00:00"/>
    <s v="HONORAIRES JURIDIQUES MI FÉVRIER"/>
    <s v="Non"/>
    <s v="Non"/>
    <e v="#N/A"/>
    <n v="61379"/>
    <s v="BOLD-027358"/>
    <s v="WE ARE BOLD"/>
    <s v="Q1"/>
    <e v="#REF!"/>
    <e v="#REF!"/>
    <e v="#REF!"/>
  </r>
  <r>
    <s v="445662"/>
    <x v="6"/>
    <s v="TVA - D_20"/>
    <s v="AC"/>
    <n v="300"/>
    <d v="2025-02-28T00:00:00"/>
    <s v="PRESTATION FÉVRIER"/>
    <s v="Non"/>
    <s v="Non"/>
    <e v="#N/A"/>
    <n v="61578"/>
    <s v="BOLD-027562"/>
    <s v="WE ARE BOLD"/>
    <s v="Q1"/>
    <e v="#REF!"/>
    <e v="#REF!"/>
    <e v="#REF!"/>
  </r>
  <r>
    <s v="445662"/>
    <x v="6"/>
    <s v="TVA - D_20"/>
    <s v="AC"/>
    <n v="300"/>
    <d v="2025-04-18T00:00:00"/>
    <s v="BILAN CARBONE EXPRESS PILI"/>
    <s v="Non"/>
    <s v="Non"/>
    <e v="#N/A"/>
    <n v="72608"/>
    <s v="F_452"/>
    <s v="MAGELAN"/>
    <s v="Q2"/>
    <e v="#REF!"/>
    <e v="#REF!"/>
    <e v="#REF!"/>
  </r>
  <r>
    <s v="445662"/>
    <x v="6"/>
    <s v="TVA - D_20"/>
    <s v="AC"/>
    <n v="300.67"/>
    <d v="2025-06-02T00:00:00"/>
    <s v="LICENCES OFFICE365"/>
    <m/>
    <e v="#N/A"/>
    <e v="#N/A"/>
    <n v="75486"/>
    <s v="142594"/>
    <s v="ARESCOM"/>
    <s v="Q2"/>
    <e v="#REF!"/>
    <e v="#REF!"/>
    <e v="#REF!"/>
  </r>
  <r>
    <s v="445662"/>
    <x v="6"/>
    <s v="TVA - D_20"/>
    <s v="AC"/>
    <n v="300.67"/>
    <d v="2025-07-02T00:00:00"/>
    <s v="LICENCES OFFICE 365"/>
    <m/>
    <e v="#N/A"/>
    <e v="#N/A"/>
    <n v="77330"/>
    <s v="143106"/>
    <s v="ARESCOM"/>
    <s v="Q3"/>
    <e v="#REF!"/>
    <e v="#REF!"/>
    <e v="#REF!"/>
  </r>
  <r>
    <s v="445662"/>
    <x v="6"/>
    <s v="TVA - D_20"/>
    <s v="AC"/>
    <n v="301.23"/>
    <d v="2025-10-10T00:00:00"/>
    <s v="RAPPORT DU COMMISSAIRE AUX COMPTES SUR LE CONTRAT D'ÉMISSION"/>
    <s v="Non"/>
    <s v="Non"/>
    <e v="#N/A"/>
    <n v="87071"/>
    <s v="E002VPR-26-10-0731"/>
    <s v="FORVIS MAZARS"/>
    <s v="Q4"/>
    <e v="#REF!"/>
    <e v="#REF!"/>
    <e v="#REF!"/>
  </r>
  <r>
    <s v="445662"/>
    <x v="6"/>
    <s v="TVA - D_20"/>
    <s v="AC"/>
    <n v="304.83"/>
    <d v="2025-05-02T00:00:00"/>
    <s v="LICENCES OFFICE 365LICENCES OFFICE 365 1 EXCHANGE ONLINE P1 / 3 MICROSOFT 365 APPS FOR ENTREPRISE / 50 MICROSOFT 365 BUSINESS PR"/>
    <m/>
    <e v="#N/A"/>
    <e v="#N/A"/>
    <n v="72672"/>
    <s v="142087"/>
    <s v="ARESCOM"/>
    <s v="Q2"/>
    <e v="#REF!"/>
    <e v="#REF!"/>
    <e v="#REF!"/>
  </r>
  <r>
    <s v="445662"/>
    <x v="6"/>
    <s v="TVA - D_20"/>
    <s v="AC"/>
    <n v="309.08"/>
    <d v="2025-12-31T00:00:00"/>
    <s v="ELECTRICITÉ KB 7E ÉTAGE"/>
    <m/>
    <e v="#N/A"/>
    <e v="#N/A"/>
    <n v="94853"/>
    <s v="8,50005E+11"/>
    <s v="ENGIE"/>
    <s v="Q4"/>
    <e v="#REF!"/>
    <e v="#REF!"/>
    <e v="#REF!"/>
  </r>
  <r>
    <s v="445662"/>
    <x v="6"/>
    <s v="TVA - D_20"/>
    <s v="AC"/>
    <n v="318.92"/>
    <d v="2025-03-03T00:00:00"/>
    <s v="ELECTRICITE"/>
    <m/>
    <e v="#N/A"/>
    <e v="#N/A"/>
    <n v="72554"/>
    <s v="40017294811"/>
    <s v="ENGIE"/>
    <s v="Q1"/>
    <e v="#REF!"/>
    <e v="#REF!"/>
    <e v="#REF!"/>
  </r>
  <r>
    <s v="445662"/>
    <x v="6"/>
    <s v="TVA - D_20"/>
    <s v="AC"/>
    <n v="324.22000000000003"/>
    <d v="2025-05-14T00:00:00"/>
    <s v="HONORAIRES DE PROGRESSION SUR LA PÉRIODE DU 1ER AU 30 AVRIL 2025"/>
    <s v="Non"/>
    <s v="Non"/>
    <e v="#N/A"/>
    <n v="73786"/>
    <s v="C2025520"/>
    <s v="ALTAIR AVOCATS"/>
    <s v="Q2"/>
    <e v="#REF!"/>
    <e v="#REF!"/>
    <e v="#REF!"/>
  </r>
  <r>
    <s v="445662"/>
    <x v="6"/>
    <s v="TVA - D_20"/>
    <s v="AC"/>
    <n v="328.29"/>
    <d v="2025-02-28T00:00:00"/>
    <s v="LIVRAISON ET INSTALLATION DE DEUX NOUVEAUX ALGECOS _x0009_LOCATION DES 4 ALGECOS ACTUELS + 2 NOUVEAUX PENDANT 1 AN _x0009_DÉMONTAGE DES"/>
    <m/>
    <e v="#N/A"/>
    <e v="#N/A"/>
    <n v="61587"/>
    <s v="F2502/1041"/>
    <s v="COFICIEL"/>
    <s v="Q1"/>
    <e v="#REF!"/>
    <e v="#REF!"/>
    <e v="#REF!"/>
  </r>
  <r>
    <s v="445662"/>
    <x v="6"/>
    <s v="TVA - D_20"/>
    <s v="AC"/>
    <n v="330.18"/>
    <d v="2025-09-02T00:00:00"/>
    <s v="LICENCES OFFICE 365"/>
    <m/>
    <e v="#N/A"/>
    <e v="#N/A"/>
    <n v="82310"/>
    <s v="144119"/>
    <s v="ARESCOM"/>
    <s v="Q3"/>
    <e v="#REF!"/>
    <e v="#REF!"/>
    <e v="#REF!"/>
  </r>
  <r>
    <s v="445662"/>
    <x v="6"/>
    <s v="TVA - D_20"/>
    <s v="AC"/>
    <n v="330.18"/>
    <d v="2025-10-03T00:00:00"/>
    <s v="LICENCES OFFICE 365"/>
    <m/>
    <e v="#N/A"/>
    <e v="#N/A"/>
    <n v="84981"/>
    <s v="144642"/>
    <s v="ARESCOM"/>
    <s v="Q4"/>
    <e v="#REF!"/>
    <e v="#REF!"/>
    <e v="#REF!"/>
  </r>
  <r>
    <s v="445662"/>
    <x v="6"/>
    <s v="TVA - D_20"/>
    <s v="AC"/>
    <n v="330.18"/>
    <d v="2025-11-03T00:00:00"/>
    <s v="LICENCES OFFICE 365"/>
    <m/>
    <e v="#N/A"/>
    <e v="#N/A"/>
    <n v="89912"/>
    <s v="145166"/>
    <s v="ARESCOM"/>
    <s v="Q4"/>
    <e v="#REF!"/>
    <e v="#REF!"/>
    <e v="#REF!"/>
  </r>
  <r>
    <s v="445662"/>
    <x v="6"/>
    <s v="TVA - D_20"/>
    <s v="AC"/>
    <n v="330.18"/>
    <d v="2025-12-02T00:00:00"/>
    <s v="LICENCES OFFICE 365"/>
    <m/>
    <e v="#N/A"/>
    <e v="#N/A"/>
    <n v="92156"/>
    <s v="145679"/>
    <s v="ARESCOM"/>
    <s v="Q4"/>
    <e v="#REF!"/>
    <e v="#REF!"/>
    <e v="#REF!"/>
  </r>
  <r>
    <s v="445662"/>
    <x v="6"/>
    <s v="TVA - D_20"/>
    <s v="AC"/>
    <n v="342"/>
    <d v="2025-09-30T00:00:00"/>
    <s v="VÉRIFICATION + RÉGLAGE SOUPAPES ET DÉTENDEURS"/>
    <m/>
    <e v="#N/A"/>
    <e v="#N/A"/>
    <n v="87438"/>
    <s v="F00034250900143"/>
    <s v="EIFFAGE ENERGIE SYSTEMES"/>
    <s v="Q3"/>
    <e v="#REF!"/>
    <e v="#REF!"/>
    <e v="#REF!"/>
  </r>
  <r>
    <s v="445662"/>
    <x v="6"/>
    <s v="TVA - D_20"/>
    <s v="AC"/>
    <n v="351.13"/>
    <d v="2025-08-01T00:00:00"/>
    <s v="LICENCES OFFICE 365"/>
    <m/>
    <e v="#N/A"/>
    <e v="#N/A"/>
    <n v="81246"/>
    <s v="143651"/>
    <s v="ARESCOM"/>
    <s v="Q3"/>
    <e v="#REF!"/>
    <e v="#REF!"/>
    <e v="#REF!"/>
  </r>
  <r>
    <s v="445662"/>
    <x v="6"/>
    <s v="TVA - D_20"/>
    <s v="AC"/>
    <n v="360"/>
    <d v="2025-04-30T00:00:00"/>
    <s v="LIVRAISON ET INSTALLATION DE DEUX NOUVEAUX ALGECOS -_x0009_LOCATION DES 4 ALGECOS ACTUELS + 2 NOUVEAUX PENDANT 1 AN _x0009_DÉMONTAGE DES"/>
    <m/>
    <e v="#N/A"/>
    <e v="#N/A"/>
    <n v="71368"/>
    <s v="F2504/1780"/>
    <s v="COFICIEL"/>
    <s v="Q2"/>
    <e v="#REF!"/>
    <e v="#REF!"/>
    <e v="#REF!"/>
  </r>
  <r>
    <s v="445662"/>
    <x v="6"/>
    <s v="TVA - D_20"/>
    <s v="AC"/>
    <n v="360"/>
    <d v="2025-09-30T00:00:00"/>
    <s v="LOCATION ESSOREUSE LABORATOIRE PENDANT 2MOIS AVEC DEUX PANIERS (300ML ET 1,2L) POUR ESSAIS DE SCREENING DE SOLVANTS POUR FINISHI"/>
    <s v="Non"/>
    <e v="#N/A"/>
    <e v="#N/A"/>
    <n v="87441"/>
    <s v="FA006538"/>
    <s v="ROUSSELET CENTRIFUGATION"/>
    <s v="Q3"/>
    <e v="#REF!"/>
    <e v="#REF!"/>
    <e v="#REF!"/>
  </r>
  <r>
    <s v="445662"/>
    <x v="6"/>
    <s v="TVA - D_20"/>
    <s v="AC"/>
    <n v="360"/>
    <d v="2025-10-31T00:00:00"/>
    <s v="DÉPASSEMENT DU MONTANT DE LA COMMANDE CAR ALLONGEMENT DE LA DURÉE DE LOCATION  LOCATION ESSOREUSE LABORATOIRE PENDANT 2MOIS AVEC"/>
    <s v="Non"/>
    <e v="#N/A"/>
    <e v="#N/A"/>
    <n v="89899"/>
    <s v="FA006635"/>
    <s v="ROUSSELET CENTRIFUGATION"/>
    <s v="Q4"/>
    <e v="#REF!"/>
    <e v="#REF!"/>
    <e v="#REF!"/>
  </r>
  <r>
    <s v="445662"/>
    <x v="6"/>
    <s v="TVA - D_20"/>
    <s v="AC"/>
    <n v="365.2"/>
    <d v="2025-03-03T00:00:00"/>
    <s v="TECHPROTECT PANTALON GENOUILLERES TECHPROTECT VESTE-BLOUSON CHEMISE KENDAL"/>
    <m/>
    <e v="#N/A"/>
    <e v="#N/A"/>
    <n v="65978"/>
    <s v="F12114"/>
    <s v="LE CURIEUX PROMOTION"/>
    <s v="Q1"/>
    <e v="#REF!"/>
    <e v="#REF!"/>
    <e v="#REF!"/>
  </r>
  <r>
    <s v="445662"/>
    <x v="6"/>
    <s v="TVA - D_20"/>
    <s v="AC"/>
    <n v="368.07"/>
    <d v="2025-09-19T00:00:00"/>
    <s v="EXTENSION CHIC CANADA"/>
    <s v="Non"/>
    <s v="Oui"/>
    <e v="#N/A"/>
    <n v="82733"/>
    <s v="254270"/>
    <s v="BECKER"/>
    <s v="Q3"/>
    <e v="#REF!"/>
    <e v="#REF!"/>
    <e v="#REF!"/>
  </r>
  <r>
    <s v="445662"/>
    <x v="6"/>
    <s v="TVA - D_20"/>
    <s v="AC"/>
    <n v="369"/>
    <d v="2025-03-14T00:00:00"/>
    <s v="1 M3 D'ETHANOL"/>
    <m/>
    <e v="#N/A"/>
    <e v="#N/A"/>
    <n v="66141"/>
    <s v="52"/>
    <s v="ARCANE INDUSTRIE"/>
    <s v="Q1"/>
    <e v="#REF!"/>
    <e v="#REF!"/>
    <e v="#REF!"/>
  </r>
  <r>
    <s v="445662"/>
    <x v="6"/>
    <s v="TVA - D_20"/>
    <s v="AC"/>
    <n v="370"/>
    <d v="2025-07-17T00:00:00"/>
    <s v="RÉPARATION DOME REACTEUR VERRE + MANCHETTE TROU DE POING"/>
    <m/>
    <e v="#N/A"/>
    <e v="#N/A"/>
    <n v="78912"/>
    <s v="0017360"/>
    <s v="PIGNAT"/>
    <s v="Q3"/>
    <e v="#REF!"/>
    <e v="#REF!"/>
    <e v="#REF!"/>
  </r>
  <r>
    <s v="445662"/>
    <x v="6"/>
    <s v="TVA - D_20"/>
    <s v="AC"/>
    <n v="375"/>
    <d v="2025-06-13T00:00:00"/>
    <s v="PRESTATION CONSEIL DISTRIBUTION E. CHARRIERE"/>
    <s v="Non"/>
    <s v="Non"/>
    <e v="#N/A"/>
    <n v="76599"/>
    <s v="250644719"/>
    <s v="CHARRIERE Eugenie"/>
    <s v="Q2"/>
    <e v="#REF!"/>
    <e v="#REF!"/>
    <e v="#REF!"/>
  </r>
  <r>
    <s v="445662"/>
    <x v="6"/>
    <s v="TVA - D_20"/>
    <s v="AC"/>
    <n v="380"/>
    <d v="2025-03-10T00:00:00"/>
    <s v="LOCATION LOGEMENT SÉMINAIRE PILI 2025 ECHÉANCIER DES RÈGLEMENTS, PAR VIREMENTS BANCAIRES : • 984€ AVANT LE 17 MARS 2025 • 1640€"/>
    <m/>
    <e v="#N/A"/>
    <e v="#N/A"/>
    <n v="66055"/>
    <s v="3101-25"/>
    <s v="DOMAINE DE CHRISTIN SAS"/>
    <s v="Q1"/>
    <e v="#REF!"/>
    <e v="#REF!"/>
    <e v="#REF!"/>
  </r>
  <r>
    <s v="445662"/>
    <x v="6"/>
    <s v="TVA - D_20"/>
    <s v="AC"/>
    <n v="382.28"/>
    <d v="2025-09-01T00:00:00"/>
    <s v="DEMANDE PCT BREVET PALOMA BIO"/>
    <s v="Non"/>
    <s v="Oui"/>
    <e v="#N/A"/>
    <n v="82306"/>
    <s v="254045"/>
    <s v="BECKER"/>
    <s v="Q3"/>
    <e v="#REF!"/>
    <e v="#REF!"/>
    <e v="#REF!"/>
  </r>
  <r>
    <s v="445662"/>
    <x v="6"/>
    <s v="TVA - D_20"/>
    <s v="AC"/>
    <n v="384.73"/>
    <d v="2025-07-01T00:00:00"/>
    <s v="INTERVENTION SUR HPLC ROUSSILLON"/>
    <m/>
    <e v="#N/A"/>
    <e v="#N/A"/>
    <n v="77327"/>
    <s v="FACT-20250701-171"/>
    <s v="C.J. LAB"/>
    <s v="Q3"/>
    <e v="#REF!"/>
    <e v="#REF!"/>
    <e v="#REF!"/>
  </r>
  <r>
    <s v="445662"/>
    <x v="6"/>
    <s v="TVA - D_20"/>
    <s v="AC"/>
    <n v="387.7"/>
    <d v="2025-05-31T00:00:00"/>
    <s v="DEMO : SÉCURISATION ZONE DÉMONSTRATEUR : - FONDATION POTEAUX EXISTANTS - TERRASSEMENT"/>
    <m/>
    <e v="#N/A"/>
    <e v="#N/A"/>
    <n v="77263"/>
    <s v="00010449"/>
    <s v="RIBIERE"/>
    <s v="Q2"/>
    <e v="#REF!"/>
    <e v="#REF!"/>
    <e v="#REF!"/>
  </r>
  <r>
    <s v="445662"/>
    <x v="6"/>
    <s v="TVA - D_20"/>
    <s v="AC"/>
    <n v="388"/>
    <d v="2025-10-17T00:00:00"/>
    <s v="BUDGET SUPPLÉMENTAIRE POUR MODIFICATION DE PROJET"/>
    <m/>
    <e v="#N/A"/>
    <e v="#N/A"/>
    <n v="87444"/>
    <s v="2025/156"/>
    <s v="HIPOLITO"/>
    <s v="Q4"/>
    <e v="#REF!"/>
    <e v="#REF!"/>
    <e v="#REF!"/>
  </r>
  <r>
    <s v="445662"/>
    <x v="6"/>
    <s v="TVA - D_20"/>
    <s v="AC"/>
    <n v="389.19"/>
    <d v="2025-10-31T00:00:00"/>
    <s v="COMMANDE DE VERRERIE POUR LE LABORATOIRE DU KB"/>
    <m/>
    <e v="#N/A"/>
    <e v="#N/A"/>
    <n v="89893"/>
    <s v="0190171"/>
    <s v="CLOUP"/>
    <s v="Q4"/>
    <e v="#REF!"/>
    <e v="#REF!"/>
    <e v="#REF!"/>
  </r>
  <r>
    <s v="445662"/>
    <x v="6"/>
    <s v="TVA - D_20"/>
    <s v="AC"/>
    <n v="390"/>
    <d v="2025-01-18T00:00:00"/>
    <s v="DÉCLARATION D'EFFECTIF"/>
    <m/>
    <e v="#N/A"/>
    <e v="#N/A"/>
    <n v="61273"/>
    <s v="2512909"/>
    <s v="CIAMT"/>
    <s v="Q1"/>
    <e v="#REF!"/>
    <e v="#REF!"/>
    <e v="#REF!"/>
  </r>
  <r>
    <s v="445662"/>
    <x v="6"/>
    <s v="TVA - D_20"/>
    <s v="AC"/>
    <n v="395.9"/>
    <d v="2025-11-01T00:00:00"/>
    <s v="INSTALLATION RÉACTEURS PILOTE"/>
    <m/>
    <e v="#N/A"/>
    <e v="#N/A"/>
    <n v="91073"/>
    <s v="202201976"/>
    <s v="MANUTENTION LEVAGE"/>
    <s v="Q4"/>
    <e v="#REF!"/>
    <e v="#REF!"/>
    <e v="#REF!"/>
  </r>
  <r>
    <s v="445662"/>
    <x v="6"/>
    <s v="TVA - D_20"/>
    <s v="AC"/>
    <n v="399"/>
    <d v="2025-12-04T00:00:00"/>
    <s v="ACHAT BANQUE D'IMAGES"/>
    <m/>
    <e v="#N/A"/>
    <e v="#N/A"/>
    <n v="93600"/>
    <s v="2025 / 187"/>
    <s v="HIPOLITO"/>
    <s v="Q4"/>
    <e v="#REF!"/>
    <e v="#REF!"/>
    <e v="#REF!"/>
  </r>
  <r>
    <s v="445662"/>
    <x v="6"/>
    <s v="TVA - D_20"/>
    <s v="AC"/>
    <n v="400"/>
    <d v="2025-03-31T00:00:00"/>
    <s v="MISSION CIR"/>
    <s v="Non"/>
    <s v="Non"/>
    <e v="#N/A"/>
    <n v="67920"/>
    <s v="F-2025-4164"/>
    <s v="BUSINOVE"/>
    <s v="Q1"/>
    <e v="#REF!"/>
    <e v="#REF!"/>
    <e v="#REF!"/>
  </r>
  <r>
    <s v="445662"/>
    <x v="6"/>
    <s v="TVA - D_20"/>
    <s v="AC"/>
    <n v="400"/>
    <d v="2025-11-03T00:00:00"/>
    <s v="ACOMPTE MISSION CIR 2025"/>
    <s v="Non"/>
    <s v="Non"/>
    <e v="#N/A"/>
    <n v="92153"/>
    <s v="F-2025-4578"/>
    <s v="BUSINOVE"/>
    <s v="Q4"/>
    <e v="#REF!"/>
    <e v="#REF!"/>
    <e v="#REF!"/>
  </r>
  <r>
    <s v="445662"/>
    <x v="6"/>
    <s v="TVA - D_20"/>
    <s v="AC"/>
    <n v="426.68"/>
    <d v="2025-08-06T00:00:00"/>
    <s v="DÉTECTEUR DE GAZ DRÄGER"/>
    <m/>
    <e v="#N/A"/>
    <e v="#N/A"/>
    <n v="81911"/>
    <s v="922057887"/>
    <s v="DENIOS"/>
    <s v="Q3"/>
    <e v="#REF!"/>
    <e v="#REF!"/>
    <e v="#REF!"/>
  </r>
  <r>
    <s v="445662"/>
    <x v="6"/>
    <s v="TVA - D_20"/>
    <s v="AC"/>
    <n v="438"/>
    <d v="2025-02-14T00:00:00"/>
    <s v="FORMATION MAUD SANCHEZ  MANAGER UNE ÉQUIPE DU 12/02 AU 14/02 - 21H LYON"/>
    <m/>
    <s v="Non"/>
    <n v="0"/>
    <n v="64092"/>
    <s v="9000647819"/>
    <s v="CEGOS"/>
    <s v="Q1"/>
    <e v="#REF!"/>
    <e v="#REF!"/>
    <e v="#REF!"/>
  </r>
  <r>
    <s v="445662"/>
    <x v="6"/>
    <s v="TVA - D_20"/>
    <s v="AC"/>
    <n v="447.44"/>
    <d v="2025-07-31T00:00:00"/>
    <s v="VERRERIE POUR LABORATOIRE R. ET DIVERS PETIT MATÉRIEL POUR PILOT / KL"/>
    <m/>
    <e v="#N/A"/>
    <e v="#N/A"/>
    <n v="81768"/>
    <s v="0189108"/>
    <s v="CLOUP"/>
    <s v="Q3"/>
    <e v="#REF!"/>
    <e v="#REF!"/>
    <e v="#REF!"/>
  </r>
  <r>
    <s v="445662"/>
    <x v="6"/>
    <s v="TVA - D_20"/>
    <s v="AC"/>
    <n v="470.4"/>
    <d v="2025-07-28T00:00:00"/>
    <s v="ETUDE PI, FTO ET PRÉPARATION AU DÉPÔT D'EXTENSION PCT PALOMA CHIMIE"/>
    <s v="Non"/>
    <s v="Oui"/>
    <e v="#N/A"/>
    <n v="82278"/>
    <s v="253528"/>
    <s v="BECKER"/>
    <s v="Q3"/>
    <e v="#REF!"/>
    <e v="#REF!"/>
    <e v="#REF!"/>
  </r>
  <r>
    <s v="445662"/>
    <x v="6"/>
    <s v="TVA - D_20"/>
    <s v="AC"/>
    <n v="480"/>
    <d v="2025-06-30T00:00:00"/>
    <s v="DÉMONTAGE DÔME RÉACTEUR"/>
    <m/>
    <e v="#N/A"/>
    <e v="#N/A"/>
    <n v="77304"/>
    <s v="FACT1901"/>
    <s v="DMI"/>
    <s v="Q2"/>
    <e v="#REF!"/>
    <e v="#REF!"/>
    <e v="#REF!"/>
  </r>
  <r>
    <s v="445662"/>
    <x v="6"/>
    <s v="TVA - D_20"/>
    <s v="AC"/>
    <n v="481.04"/>
    <d v="2025-07-22T00:00:00"/>
    <s v="ETALONNAGE :  - BALANCE (4) - SONDE DE TEMPÉRATURE (7 - CAPTEURS DE PRESSION (5) - MANOMÈTRE (7)"/>
    <m/>
    <e v="#N/A"/>
    <e v="#N/A"/>
    <n v="78929"/>
    <s v="LSE-049745"/>
    <s v="LABSERVICES"/>
    <s v="Q3"/>
    <e v="#REF!"/>
    <e v="#REF!"/>
    <e v="#REF!"/>
  </r>
  <r>
    <s v="445662"/>
    <x v="6"/>
    <s v="TVA - D_20"/>
    <s v="AC"/>
    <n v="484"/>
    <d v="2025-04-01T00:00:00"/>
    <s v="RC1 ET DSC"/>
    <m/>
    <e v="#N/A"/>
    <e v="#N/A"/>
    <n v="69681"/>
    <s v="FAR-2025-000189"/>
    <s v="INSA ROUEN"/>
    <s v="Q2"/>
    <e v="#REF!"/>
    <e v="#REF!"/>
    <e v="#REF!"/>
  </r>
  <r>
    <s v="445662"/>
    <x v="6"/>
    <s v="TVA - D_20"/>
    <s v="AC"/>
    <n v="484"/>
    <d v="2025-07-07T00:00:00"/>
    <s v="RC1 - DSC KEEN Y STEP 2"/>
    <m/>
    <e v="#N/A"/>
    <e v="#N/A"/>
    <n v="81749"/>
    <s v="FAR-2025-000562"/>
    <s v="INSA ROUEN"/>
    <s v="Q3"/>
    <e v="#REF!"/>
    <e v="#REF!"/>
    <e v="#REF!"/>
  </r>
  <r>
    <s v="445662"/>
    <x v="6"/>
    <s v="TVA - D_20"/>
    <s v="AC"/>
    <n v="484"/>
    <d v="2025-10-13T00:00:00"/>
    <s v="DCS ET RC 1 KEEN Y STEP 3"/>
    <m/>
    <e v="#N/A"/>
    <e v="#N/A"/>
    <n v="87074"/>
    <s v="FAR-2025-000749"/>
    <s v="INSA ROUEN"/>
    <s v="Q4"/>
    <e v="#REF!"/>
    <e v="#REF!"/>
    <e v="#REF!"/>
  </r>
  <r>
    <s v="445662"/>
    <x v="6"/>
    <s v="TVA - D_20"/>
    <s v="AC"/>
    <n v="490"/>
    <d v="2025-11-25T00:00:00"/>
    <s v="CONVERSION DES OC PILI"/>
    <s v="Non"/>
    <s v="Non"/>
    <e v="#N/A"/>
    <n v="91965"/>
    <s v="F-2025111030"/>
    <s v="AETHER"/>
    <s v="Q4"/>
    <e v="#REF!"/>
    <e v="#REF!"/>
    <e v="#REF!"/>
  </r>
  <r>
    <s v="445662"/>
    <x v="6"/>
    <s v="TVA - D_20"/>
    <s v="AC"/>
    <n v="500"/>
    <d v="2025-01-31T00:00:00"/>
    <s v="PRESTATIONS JANVIER"/>
    <s v="Non"/>
    <s v="Non"/>
    <e v="#N/A"/>
    <n v="61364"/>
    <s v="BOLD-027295"/>
    <s v="WE ARE BOLD"/>
    <s v="Q1"/>
    <e v="#REF!"/>
    <e v="#REF!"/>
    <e v="#REF!"/>
  </r>
  <r>
    <s v="445662"/>
    <x v="6"/>
    <s v="TVA - D_20"/>
    <s v="AC"/>
    <n v="500"/>
    <d v="2025-02-28T00:00:00"/>
    <s v="PRESTATION FÉVRIER"/>
    <s v="Non"/>
    <s v="Non"/>
    <e v="#N/A"/>
    <n v="61564"/>
    <s v="BOLD-027553"/>
    <s v="WE ARE BOLD"/>
    <s v="Q1"/>
    <e v="#REF!"/>
    <e v="#REF!"/>
    <e v="#REF!"/>
  </r>
  <r>
    <s v="445662"/>
    <x v="6"/>
    <s v="TVA - D_20"/>
    <s v="AC"/>
    <n v="500"/>
    <d v="2025-03-31T00:00:00"/>
    <s v="HONORAIRES JURIDIQUES FORFAITISÉS"/>
    <s v="Non"/>
    <s v="Non"/>
    <e v="#N/A"/>
    <n v="67932"/>
    <s v="BOLD-028083"/>
    <s v="WE ARE BOLD"/>
    <s v="Q1"/>
    <e v="#REF!"/>
    <e v="#REF!"/>
    <e v="#REF!"/>
  </r>
  <r>
    <s v="445662"/>
    <x v="6"/>
    <s v="TVA - D_20"/>
    <s v="AC"/>
    <n v="500"/>
    <d v="2025-04-30T00:00:00"/>
    <s v="PRESTATION BOLD 2025_04"/>
    <s v="Non"/>
    <s v="Non"/>
    <e v="#N/A"/>
    <n v="72651"/>
    <s v="PLDJWFFPGHJYZZ"/>
    <s v="WE ARE BOLD"/>
    <s v="Q2"/>
    <e v="#REF!"/>
    <e v="#REF!"/>
    <e v="#REF!"/>
  </r>
  <r>
    <s v="445662"/>
    <x v="6"/>
    <s v="TVA - D_20"/>
    <s v="AC"/>
    <n v="500"/>
    <d v="2025-05-31T00:00:00"/>
    <s v="FORFAIT JURIDIQUE 2025_05"/>
    <s v="Non"/>
    <s v="Non"/>
    <e v="#N/A"/>
    <n v="75172"/>
    <s v="BOLD-029240"/>
    <s v="WE ARE BOLD"/>
    <s v="Q2"/>
    <e v="#REF!"/>
    <e v="#REF!"/>
    <e v="#REF!"/>
  </r>
  <r>
    <s v="445662"/>
    <x v="6"/>
    <s v="TVA - D_20"/>
    <s v="AC"/>
    <n v="500"/>
    <d v="2025-06-30T00:00:00"/>
    <s v="PRESTATION BOLD"/>
    <s v="Non"/>
    <s v="Non"/>
    <e v="#N/A"/>
    <n v="77318"/>
    <s v="BOLD-029728"/>
    <s v="WE ARE BOLD"/>
    <s v="Q2"/>
    <e v="#REF!"/>
    <e v="#REF!"/>
    <e v="#REF!"/>
  </r>
  <r>
    <s v="445662"/>
    <x v="6"/>
    <s v="TVA - D_20"/>
    <s v="AC"/>
    <n v="500"/>
    <d v="2025-07-31T00:00:00"/>
    <s v="FORFAIT JURIDIQUE"/>
    <s v="Non"/>
    <s v="Non"/>
    <e v="#N/A"/>
    <n v="81235"/>
    <s v="BOLD-030331"/>
    <s v="WE ARE BOLD"/>
    <s v="Q3"/>
    <e v="#REF!"/>
    <e v="#REF!"/>
    <e v="#REF!"/>
  </r>
  <r>
    <s v="445662"/>
    <x v="6"/>
    <s v="TVA - D_20"/>
    <s v="AC"/>
    <n v="500"/>
    <d v="2025-08-31T00:00:00"/>
    <s v="UNLIMITED EXPANSION"/>
    <s v="Non"/>
    <s v="Non"/>
    <e v="#N/A"/>
    <n v="81839"/>
    <s v="BOLD-030872"/>
    <s v="WE ARE BOLD"/>
    <s v="Q3"/>
    <e v="#REF!"/>
    <e v="#REF!"/>
    <e v="#REF!"/>
  </r>
  <r>
    <s v="445662"/>
    <x v="6"/>
    <s v="TVA - D_20"/>
    <s v="AC"/>
    <n v="500"/>
    <d v="2025-09-30T00:00:00"/>
    <s v="UNLIMITED EXPANSION"/>
    <s v="Non"/>
    <s v="Non"/>
    <e v="#N/A"/>
    <n v="82754"/>
    <s v="BOLD-031513"/>
    <s v="WE ARE BOLD"/>
    <s v="Q3"/>
    <e v="#REF!"/>
    <e v="#REF!"/>
    <e v="#REF!"/>
  </r>
  <r>
    <s v="445662"/>
    <x v="6"/>
    <s v="TVA - D_20"/>
    <s v="AC"/>
    <n v="500"/>
    <d v="2025-10-31T00:00:00"/>
    <s v="UNLIMITED EXPANSION"/>
    <s v="Non"/>
    <s v="Non"/>
    <e v="#N/A"/>
    <n v="89890"/>
    <s v="BOLD-031909"/>
    <s v="WE ARE BOLD"/>
    <s v="Q4"/>
    <e v="#REF!"/>
    <e v="#REF!"/>
    <e v="#REF!"/>
  </r>
  <r>
    <s v="445662"/>
    <x v="6"/>
    <s v="TVA - D_20"/>
    <s v="AC"/>
    <n v="500"/>
    <d v="2025-11-30T00:00:00"/>
    <s v="UNLIMITED EXPANSION"/>
    <s v="Non"/>
    <s v="Non"/>
    <e v="#N/A"/>
    <n v="91993"/>
    <s v="BOLD-032519"/>
    <s v="WE ARE BOLD"/>
    <s v="Q4"/>
    <e v="#REF!"/>
    <e v="#REF!"/>
    <e v="#REF!"/>
  </r>
  <r>
    <s v="445662"/>
    <x v="6"/>
    <s v="TVA - D_20"/>
    <s v="AC"/>
    <n v="500"/>
    <d v="2025-12-31T00:00:00"/>
    <s v="UNLIMITED EXPANSION"/>
    <s v="Non"/>
    <s v="Non"/>
    <e v="#N/A"/>
    <n v="94304"/>
    <s v="BOLD-033050"/>
    <s v="WE ARE BOLD"/>
    <s v="Q4"/>
    <e v="#REF!"/>
    <e v="#REF!"/>
    <e v="#REF!"/>
  </r>
  <r>
    <s v="445662"/>
    <x v="6"/>
    <s v="TVA - D_20"/>
    <s v="AC"/>
    <n v="520"/>
    <d v="2025-04-11T00:00:00"/>
    <s v="PACK EXPERT PLUSMP"/>
    <s v="Non"/>
    <s v="Non"/>
    <e v="#N/A"/>
    <n v="69778"/>
    <s v="INMI00008326"/>
    <s v="MICHAEL PAGE"/>
    <s v="Q2"/>
    <e v="#REF!"/>
    <e v="#REF!"/>
    <e v="#REF!"/>
  </r>
  <r>
    <s v="445662"/>
    <x v="6"/>
    <s v="TVA - D_20"/>
    <s v="AC"/>
    <n v="552.79999999999995"/>
    <d v="2025-01-31T00:00:00"/>
    <s v="Loyer Mensuel Actea"/>
    <m/>
    <e v="#N/A"/>
    <e v="#N/A"/>
    <n v="63946"/>
    <m/>
    <s v="ACTEA"/>
    <s v="Q1"/>
    <e v="#REF!"/>
    <e v="#REF!"/>
    <e v="#REF!"/>
  </r>
  <r>
    <s v="445662"/>
    <x v="6"/>
    <s v="TVA - D_20"/>
    <s v="AC"/>
    <n v="552.79999999999995"/>
    <d v="2025-02-28T00:00:00"/>
    <s v="Loyer Mensuel Actea"/>
    <m/>
    <e v="#N/A"/>
    <e v="#N/A"/>
    <n v="63950"/>
    <m/>
    <s v="ACTEA"/>
    <s v="Q1"/>
    <e v="#REF!"/>
    <e v="#REF!"/>
    <e v="#REF!"/>
  </r>
  <r>
    <s v="445662"/>
    <x v="6"/>
    <s v="TVA - D_20"/>
    <s v="AC"/>
    <n v="552.79999999999995"/>
    <d v="2025-03-31T00:00:00"/>
    <s v="Loyer Mensuel Actea"/>
    <m/>
    <e v="#N/A"/>
    <e v="#N/A"/>
    <n v="63954"/>
    <m/>
    <s v="ACTEA"/>
    <s v="Q1"/>
    <e v="#REF!"/>
    <e v="#REF!"/>
    <e v="#REF!"/>
  </r>
  <r>
    <s v="445662"/>
    <x v="6"/>
    <s v="TVA - D_20"/>
    <s v="AC"/>
    <n v="552.79999999999995"/>
    <d v="2025-04-30T00:00:00"/>
    <s v="Loyer Mensuel Actea"/>
    <m/>
    <e v="#N/A"/>
    <e v="#N/A"/>
    <n v="63958"/>
    <m/>
    <s v="ACTEA"/>
    <s v="Q2"/>
    <e v="#REF!"/>
    <e v="#REF!"/>
    <e v="#REF!"/>
  </r>
  <r>
    <s v="445662"/>
    <x v="6"/>
    <s v="TVA - D_20"/>
    <s v="AC"/>
    <n v="552.79999999999995"/>
    <d v="2025-05-31T00:00:00"/>
    <s v="Loyer Mensuel Actea"/>
    <m/>
    <e v="#N/A"/>
    <e v="#N/A"/>
    <n v="63962"/>
    <m/>
    <s v="ACTEA"/>
    <s v="Q2"/>
    <e v="#REF!"/>
    <e v="#REF!"/>
    <e v="#REF!"/>
  </r>
  <r>
    <s v="445662"/>
    <x v="6"/>
    <s v="TVA - D_20"/>
    <s v="AC"/>
    <n v="552.79999999999995"/>
    <d v="2025-06-30T00:00:00"/>
    <s v="Loyer Mensuel Actea"/>
    <m/>
    <e v="#N/A"/>
    <e v="#N/A"/>
    <n v="63966"/>
    <m/>
    <s v="ACTEA"/>
    <s v="Q2"/>
    <e v="#REF!"/>
    <e v="#REF!"/>
    <e v="#REF!"/>
  </r>
  <r>
    <s v="445662"/>
    <x v="6"/>
    <s v="TVA - D_20"/>
    <s v="AC"/>
    <n v="552.79999999999995"/>
    <d v="2025-07-01T00:00:00"/>
    <s v="Loyer Mensuel Actea"/>
    <m/>
    <e v="#N/A"/>
    <e v="#N/A"/>
    <n v="63970"/>
    <m/>
    <s v="ACTEA"/>
    <s v="Q3"/>
    <e v="#REF!"/>
    <e v="#REF!"/>
    <e v="#REF!"/>
  </r>
  <r>
    <s v="445662"/>
    <x v="6"/>
    <s v="TVA - D_20"/>
    <s v="AC"/>
    <n v="552.79999999999995"/>
    <d v="2025-08-01T00:00:00"/>
    <s v="Loyer Mensuel Actea"/>
    <m/>
    <e v="#N/A"/>
    <e v="#N/A"/>
    <n v="63974"/>
    <m/>
    <s v="ACTEA"/>
    <s v="Q3"/>
    <e v="#REF!"/>
    <e v="#REF!"/>
    <e v="#REF!"/>
  </r>
  <r>
    <s v="445662"/>
    <x v="6"/>
    <s v="TVA - D_20"/>
    <s v="AC"/>
    <n v="552.79999999999995"/>
    <d v="2025-09-01T00:00:00"/>
    <s v="Loyer Mensuel Actea"/>
    <m/>
    <e v="#N/A"/>
    <e v="#N/A"/>
    <n v="63978"/>
    <m/>
    <s v="ACTEA"/>
    <s v="Q3"/>
    <e v="#REF!"/>
    <e v="#REF!"/>
    <e v="#REF!"/>
  </r>
  <r>
    <s v="445662"/>
    <x v="6"/>
    <s v="TVA - D_20"/>
    <s v="AC"/>
    <n v="552.79999999999995"/>
    <d v="2025-10-01T00:00:00"/>
    <s v="Loyer Mensuel Actea"/>
    <m/>
    <e v="#N/A"/>
    <e v="#N/A"/>
    <n v="63982"/>
    <m/>
    <s v="ACTEA"/>
    <s v="Q4"/>
    <e v="#REF!"/>
    <e v="#REF!"/>
    <e v="#REF!"/>
  </r>
  <r>
    <s v="445662"/>
    <x v="6"/>
    <s v="TVA - D_20"/>
    <s v="AC"/>
    <n v="552.79999999999995"/>
    <d v="2025-11-01T00:00:00"/>
    <s v="Loyer Mensuel Actea"/>
    <m/>
    <e v="#N/A"/>
    <e v="#N/A"/>
    <n v="63986"/>
    <m/>
    <s v="ACTEA"/>
    <s v="Q4"/>
    <e v="#REF!"/>
    <e v="#REF!"/>
    <e v="#REF!"/>
  </r>
  <r>
    <s v="445662"/>
    <x v="6"/>
    <s v="TVA - D_20"/>
    <s v="AC"/>
    <n v="552.79999999999995"/>
    <d v="2025-12-01T00:00:00"/>
    <s v="Loyer Mensuel Actea"/>
    <m/>
    <e v="#N/A"/>
    <e v="#N/A"/>
    <n v="63990"/>
    <m/>
    <s v="ACTEA"/>
    <s v="Q4"/>
    <e v="#REF!"/>
    <e v="#REF!"/>
    <e v="#REF!"/>
  </r>
  <r>
    <s v="445662"/>
    <x v="6"/>
    <s v="TVA - D_20"/>
    <s v="AC"/>
    <n v="577.13"/>
    <d v="2025-02-25T00:00:00"/>
    <s v="PAIEMENT EN AVANCE 100% FORFAIT CAISSE AMERICAINE + DIBOND 2MM +"/>
    <m/>
    <e v="#N/A"/>
    <e v="#N/A"/>
    <n v="72536"/>
    <s v="FA608976"/>
    <s v="NEGATIF -"/>
    <s v="Q1"/>
    <e v="#REF!"/>
    <e v="#REF!"/>
    <e v="#REF!"/>
  </r>
  <r>
    <s v="445662"/>
    <x v="6"/>
    <s v="TVA - D_20"/>
    <s v="AC"/>
    <n v="583.20000000000005"/>
    <d v="2025-01-07T00:00:00"/>
    <s v="FACTURE ANNUELLE MAINTENANCE SITE WEB PILI 2025"/>
    <m/>
    <e v="#N/A"/>
    <e v="#N/A"/>
    <n v="59862"/>
    <s v="F255148"/>
    <s v="ADVERIS"/>
    <s v="Q1"/>
    <e v="#REF!"/>
    <e v="#REF!"/>
    <e v="#REF!"/>
  </r>
  <r>
    <s v="445662"/>
    <x v="6"/>
    <s v="TVA - D_20"/>
    <s v="AC"/>
    <n v="586.08000000000004"/>
    <d v="2025-03-13T00:00:00"/>
    <s v="TRAITEMENT DÉCHETS"/>
    <m/>
    <s v="Non"/>
    <n v="0"/>
    <n v="65983"/>
    <s v="F061345232"/>
    <s v="CHIMIREC CENTRE EST"/>
    <s v="Q1"/>
    <e v="#REF!"/>
    <e v="#REF!"/>
    <e v="#REF!"/>
  </r>
  <r>
    <s v="445662"/>
    <x v="6"/>
    <s v="TVA - D_20"/>
    <s v="AC"/>
    <n v="591.25"/>
    <d v="2025-02-10T00:00:00"/>
    <s v="CONSEIL ET ASSISTANCE PHASE B DE LA LETTRE DE MISSION DU 24 JANVIER 2025"/>
    <s v="Non"/>
    <s v="Non"/>
    <e v="#N/A"/>
    <n v="61450"/>
    <s v="C2025293"/>
    <s v="ALTAIR AVOCATS"/>
    <s v="Q1"/>
    <e v="#REF!"/>
    <e v="#REF!"/>
    <e v="#REF!"/>
  </r>
  <r>
    <s v="445662"/>
    <x v="6"/>
    <s v="TVA - D_20"/>
    <s v="AC"/>
    <n v="594.75"/>
    <d v="2025-09-16T00:00:00"/>
    <s v="ENLÈVEMENT DE DÉCHETS"/>
    <m/>
    <s v="Non"/>
    <n v="0"/>
    <n v="82726"/>
    <s v="F061358047"/>
    <s v="CHIMIREC CENTRE EST"/>
    <s v="Q3"/>
    <e v="#REF!"/>
    <e v="#REF!"/>
    <e v="#REF!"/>
  </r>
  <r>
    <s v="445662"/>
    <x v="6"/>
    <s v="TVA - D_20"/>
    <s v="AC"/>
    <n v="598"/>
    <d v="2025-03-24T00:00:00"/>
    <s v="PACK ON-LINE POSTE: RESPONSABLE ADMINSITRATIF ET FINANCIER H/F"/>
    <m/>
    <s v="Non"/>
    <e v="#N/A"/>
    <n v="67869"/>
    <s v="FH-0046379"/>
    <s v="HAYS"/>
    <s v="Q1"/>
    <e v="#REF!"/>
    <e v="#REF!"/>
    <e v="#REF!"/>
  </r>
  <r>
    <s v="445662"/>
    <x v="6"/>
    <s v="TVA - D_20"/>
    <s v="AC"/>
    <n v="600"/>
    <d v="2025-12-15T00:00:00"/>
    <s v="ADVISORY PILI#1"/>
    <s v="Non"/>
    <s v="Non"/>
    <e v="#N/A"/>
    <n v="92197"/>
    <s v="F-2025-12467"/>
    <s v="BEEMYDESK"/>
    <s v="Q4"/>
    <e v="#REF!"/>
    <e v="#REF!"/>
    <e v="#REF!"/>
  </r>
  <r>
    <s v="445662"/>
    <x v="6"/>
    <s v="TVA - D_20"/>
    <s v="AC"/>
    <n v="614"/>
    <d v="2025-08-29T00:00:00"/>
    <s v="LOCATION ESSOREUSE LABORATOIRE PENDANT 2MOIS AVEC DEUX PANIERS (300ML ET 1,2L) POUR ESSAIS DE SCREENING DE SOLVANTS POUR FINISHI"/>
    <s v="Non"/>
    <e v="#N/A"/>
    <e v="#N/A"/>
    <n v="82291"/>
    <s v="FA006465"/>
    <s v="ROUSSELET CENTRIFUGATION"/>
    <s v="Q3"/>
    <e v="#REF!"/>
    <e v="#REF!"/>
    <e v="#REF!"/>
  </r>
  <r>
    <s v="445662"/>
    <x v="6"/>
    <s v="TVA - D_20"/>
    <s v="AC"/>
    <n v="624"/>
    <d v="2025-11-28T00:00:00"/>
    <s v="DMSO SPEICHIM POUR PROD VEG EXTRA"/>
    <m/>
    <e v="#N/A"/>
    <e v="#N/A"/>
    <n v="92980"/>
    <s v="CD970003490"/>
    <s v="SPEICHIM PROCESSING"/>
    <s v="Q4"/>
    <e v="#REF!"/>
    <e v="#REF!"/>
    <e v="#REF!"/>
  </r>
  <r>
    <s v="445662"/>
    <x v="6"/>
    <s v="TVA - D_20"/>
    <s v="AC"/>
    <n v="631"/>
    <d v="2025-11-27T00:00:00"/>
    <s v="DÉPÔT PCT BREVET BIOPIGMENT"/>
    <s v="Non"/>
    <s v="Oui"/>
    <e v="#N/A"/>
    <n v="91971"/>
    <s v="255341"/>
    <s v="BECKER"/>
    <s v="Q4"/>
    <e v="#REF!"/>
    <e v="#REF!"/>
    <e v="#REF!"/>
  </r>
  <r>
    <s v="445662"/>
    <x v="6"/>
    <s v="TVA - D_20"/>
    <s v="AC"/>
    <n v="700"/>
    <d v="2025-10-23T00:00:00"/>
    <s v="PROJET VIDÉO PILI"/>
    <m/>
    <e v="#N/A"/>
    <e v="#N/A"/>
    <n v="87465"/>
    <s v="2025/161"/>
    <s v="HIPOLITO"/>
    <s v="Q4"/>
    <e v="#REF!"/>
    <e v="#REF!"/>
    <e v="#REF!"/>
  </r>
  <r>
    <s v="445662"/>
    <x v="6"/>
    <s v="TVA - D_20"/>
    <s v="AC"/>
    <n v="702.87"/>
    <d v="2025-05-14T00:00:00"/>
    <s v="AUDIT ERD BPI INOV"/>
    <s v="Non"/>
    <s v="Non"/>
    <e v="#N/A"/>
    <n v="72714"/>
    <s v="E002VPR-25-05-0721"/>
    <s v="FORVIS MAZARS"/>
    <s v="Q2"/>
    <e v="#REF!"/>
    <e v="#REF!"/>
    <e v="#REF!"/>
  </r>
  <r>
    <s v="445662"/>
    <x v="6"/>
    <s v="TVA - D_20"/>
    <s v="AC"/>
    <n v="710"/>
    <d v="2025-11-26T00:00:00"/>
    <s v="ASSEMBLAGE QUEUES DE LOTS INDIGO BROYÉ POUR 1 LOT 185KG"/>
    <m/>
    <e v="#N/A"/>
    <e v="#N/A"/>
    <n v="91824"/>
    <s v="F1125486"/>
    <s v="SD TECH"/>
    <s v="Q4"/>
    <e v="#REF!"/>
    <e v="#REF!"/>
    <e v="#REF!"/>
  </r>
  <r>
    <s v="445662"/>
    <x v="6"/>
    <s v="TVA - D_20"/>
    <s v="AC"/>
    <n v="745.26"/>
    <d v="2025-03-25T00:00:00"/>
    <s v="PROJET VIDÉO PILI"/>
    <m/>
    <e v="#N/A"/>
    <e v="#N/A"/>
    <n v="67881"/>
    <s v="2025 / 49"/>
    <s v="HIPOLITO"/>
    <s v="Q1"/>
    <e v="#REF!"/>
    <e v="#REF!"/>
    <e v="#REF!"/>
  </r>
  <r>
    <s v="445662"/>
    <x v="6"/>
    <s v="TVA - D_20"/>
    <s v="AC"/>
    <n v="745.26"/>
    <d v="2025-03-25T00:00:00"/>
    <s v="PROJET VIDÉO PILI"/>
    <m/>
    <e v="#N/A"/>
    <e v="#N/A"/>
    <n v="82265"/>
    <s v="2025 / 49 (v2)"/>
    <s v="HIPOLITO"/>
    <s v="Q1"/>
    <e v="#REF!"/>
    <e v="#REF!"/>
    <e v="#REF!"/>
  </r>
  <r>
    <s v="445662"/>
    <x v="6"/>
    <s v="TVA - D_20"/>
    <s v="AC"/>
    <n v="760"/>
    <d v="2025-02-10T00:00:00"/>
    <s v="FORFAIT POUR PAGES TÉLÉCHARGÉES"/>
    <m/>
    <e v="#N/A"/>
    <e v="#N/A"/>
    <n v="61447"/>
    <s v="1459019-FR"/>
    <s v="DROOMS"/>
    <s v="Q1"/>
    <e v="#REF!"/>
    <e v="#REF!"/>
    <e v="#REF!"/>
  </r>
  <r>
    <s v="445662"/>
    <x v="6"/>
    <s v="TVA - D_20"/>
    <s v="AC"/>
    <n v="772.1"/>
    <d v="2025-03-31T00:00:00"/>
    <s v="MISSION PILI CS"/>
    <s v="Non"/>
    <s v="Non"/>
    <e v="#N/A"/>
    <n v="67929"/>
    <s v="F2025-05-PILI"/>
    <s v="BIOADVICE"/>
    <s v="Q1"/>
    <e v="#REF!"/>
    <e v="#REF!"/>
    <e v="#REF!"/>
  </r>
  <r>
    <s v="445662"/>
    <x v="6"/>
    <s v="TVA - D_20"/>
    <s v="AC"/>
    <n v="800"/>
    <d v="2025-03-13T00:00:00"/>
    <s v="FRAIS DE GESTION WICAP - ATTENTE AVOIR 50%"/>
    <s v="Non"/>
    <s v="Non"/>
    <e v="#N/A"/>
    <n v="77257"/>
    <s v="FW-2025040"/>
    <s v="WiSEED"/>
    <s v="Q1"/>
    <e v="#REF!"/>
    <e v="#REF!"/>
    <e v="#REF!"/>
  </r>
  <r>
    <s v="445662"/>
    <x v="6"/>
    <s v="TVA - D_20"/>
    <s v="AC"/>
    <n v="821.88"/>
    <d v="2025-08-27T00:00:00"/>
    <s v="HOTLINE SUR LA PÉRIODE DU 1ER AU 31 JUILLET 2025"/>
    <s v="Non"/>
    <s v="Non"/>
    <e v="#N/A"/>
    <n v="81827"/>
    <s v="C2025797"/>
    <s v="ALTAIR AVOCATS"/>
    <s v="Q3"/>
    <e v="#REF!"/>
    <e v="#REF!"/>
    <e v="#REF!"/>
  </r>
  <r>
    <s v="445662"/>
    <x v="6"/>
    <s v="TVA - D_20"/>
    <s v="AC"/>
    <n v="829.96"/>
    <d v="2025-07-31T00:00:00"/>
    <s v="PRISES LABORATOIRE : 1775.13€ PRISES ATEX : 4130.91€ ALIMENTATION CLIM + AIR : 1501.94€ PLANS : 872.75€"/>
    <m/>
    <e v="#N/A"/>
    <e v="#N/A"/>
    <n v="81342"/>
    <s v="FCA21251507"/>
    <s v="COTE"/>
    <s v="Q3"/>
    <e v="#REF!"/>
    <e v="#REF!"/>
    <e v="#REF!"/>
  </r>
  <r>
    <s v="445662"/>
    <x v="6"/>
    <s v="TVA - D_20"/>
    <s v="AC"/>
    <n v="840"/>
    <d v="2025-07-02T00:00:00"/>
    <s v="REMONTAGE DÔME RÉACTEUR VERRE + TESTS ÉTANCHÉITÉ FOURNITURE JOINTS"/>
    <m/>
    <e v="#N/A"/>
    <e v="#N/A"/>
    <n v="78886"/>
    <s v="FACT1903"/>
    <s v="DMI"/>
    <s v="Q3"/>
    <e v="#REF!"/>
    <e v="#REF!"/>
    <e v="#REF!"/>
  </r>
  <r>
    <s v="445662"/>
    <x v="6"/>
    <s v="TVA - D_20"/>
    <s v="AC"/>
    <n v="841.67"/>
    <d v="2025-10-06T00:00:00"/>
    <s v="HOTLINE POUR LA PÉRIODE DU 1ER AU 30 SEPTEMBRE 2025"/>
    <s v="Non"/>
    <s v="Non"/>
    <e v="#N/A"/>
    <n v="84987"/>
    <s v="C2025905"/>
    <s v="ALTAIR AVOCATS"/>
    <s v="Q4"/>
    <e v="#REF!"/>
    <e v="#REF!"/>
    <e v="#REF!"/>
  </r>
  <r>
    <s v="445662"/>
    <x v="6"/>
    <s v="TVA - D_20"/>
    <s v="AC"/>
    <n v="900"/>
    <d v="2025-01-31T00:00:00"/>
    <s v="CONTRAT DE PRESTATIONS R&amp;D"/>
    <s v="Oui"/>
    <s v="Non"/>
    <e v="#N/A"/>
    <n v="64028"/>
    <s v="FAC0253"/>
    <s v="CONSEIL CPP"/>
    <s v="Q1"/>
    <e v="#REF!"/>
    <e v="#REF!"/>
    <e v="#REF!"/>
  </r>
  <r>
    <s v="445662"/>
    <x v="6"/>
    <s v="TVA - D_20"/>
    <s v="AC"/>
    <n v="902"/>
    <d v="2025-08-29T00:00:00"/>
    <s v="CHANGEMENT PORTE ATELIER"/>
    <m/>
    <e v="#N/A"/>
    <e v="#N/A"/>
    <n v="82288"/>
    <s v="FA25-08-15222"/>
    <s v="SCMI"/>
    <s v="Q3"/>
    <e v="#REF!"/>
    <e v="#REF!"/>
    <e v="#REF!"/>
  </r>
  <r>
    <s v="445662"/>
    <x v="6"/>
    <s v="TVA - D_20"/>
    <s v="AC"/>
    <n v="905.75"/>
    <d v="2025-11-24T00:00:00"/>
    <s v="BUDGET SUPPLÉMENTAIRE POUR MODIFICATION DE PROJET"/>
    <m/>
    <e v="#N/A"/>
    <e v="#N/A"/>
    <n v="91955"/>
    <s v="2025/178"/>
    <s v="HIPOLITO"/>
    <s v="Q4"/>
    <e v="#REF!"/>
    <e v="#REF!"/>
    <e v="#REF!"/>
  </r>
  <r>
    <s v="445662"/>
    <x v="6"/>
    <s v="TVA - D_20"/>
    <s v="AC"/>
    <n v="920.26"/>
    <d v="2025-02-18T00:00:00"/>
    <s v="DEMANDE ENTRÉE EN PHASE NATIONALE JAPON - BREVET PHOENIX"/>
    <s v="Non"/>
    <s v="Oui"/>
    <e v="#N/A"/>
    <n v="61522"/>
    <s v="250672"/>
    <s v="BECKER"/>
    <s v="Q1"/>
    <e v="#REF!"/>
    <e v="#REF!"/>
    <e v="#REF!"/>
  </r>
  <r>
    <s v="445662"/>
    <x v="6"/>
    <s v="TVA - D_20"/>
    <s v="AC"/>
    <n v="947.7"/>
    <d v="2025-10-16T00:00:00"/>
    <s v="MISSION PILI CS"/>
    <s v="Non"/>
    <s v="Non"/>
    <e v="#N/A"/>
    <n v="87087"/>
    <s v="F2025-013-PILI"/>
    <s v="BIOADVICE"/>
    <s v="Q4"/>
    <e v="#REF!"/>
    <e v="#REF!"/>
    <e v="#REF!"/>
  </r>
  <r>
    <s v="445662"/>
    <x v="6"/>
    <s v="TVA - D_20"/>
    <s v="AC"/>
    <n v="953.45"/>
    <d v="2025-06-30T00:00:00"/>
    <s v="ENLÈVEMENT DÉCHETS"/>
    <m/>
    <s v="Non"/>
    <n v="0"/>
    <n v="78378"/>
    <s v="F061352698"/>
    <s v="CHIMIREC CENTRE EST"/>
    <s v="Q2"/>
    <e v="#REF!"/>
    <e v="#REF!"/>
    <e v="#REF!"/>
  </r>
  <r>
    <s v="445662"/>
    <x v="6"/>
    <s v="TVA - D_20"/>
    <s v="AC"/>
    <n v="990"/>
    <d v="2025-03-05T00:00:00"/>
    <s v="SOIRÉE DES 10 ANS PILI"/>
    <m/>
    <e v="#N/A"/>
    <e v="#N/A"/>
    <n v="66149"/>
    <s v="FACT-20250305-21553"/>
    <s v="Kymono"/>
    <s v="Q1"/>
    <e v="#REF!"/>
    <e v="#REF!"/>
    <e v="#REF!"/>
  </r>
  <r>
    <s v="445662"/>
    <x v="6"/>
    <s v="TVA - D_20"/>
    <s v="AC"/>
    <n v="1026.97"/>
    <d v="2025-12-31T00:00:00"/>
    <s v="HONORAIRES POUR LA MISSION D'EXPERTISE SOCIALE Q4 2025"/>
    <s v="Non"/>
    <s v="Non"/>
    <e v="#N/A"/>
    <n v="95742"/>
    <s v="FC-290-26-12-00764"/>
    <s v="BDO EXPERTISE"/>
    <s v="Q4"/>
    <e v="#REF!"/>
    <e v="#REF!"/>
    <e v="#REF!"/>
  </r>
  <r>
    <s v="445662"/>
    <x v="6"/>
    <s v="TVA - D_20"/>
    <s v="AC"/>
    <n v="1078.83"/>
    <d v="2025-06-30T00:00:00"/>
    <s v="HONORAIRES POUR LA MISSION D'EXPERTISE SOCIALE Q2 2025"/>
    <s v="Non"/>
    <s v="Non"/>
    <e v="#N/A"/>
    <n v="78409"/>
    <s v="FC-290-25-06-00764"/>
    <s v="BDO EXPERTISE"/>
    <s v="Q2"/>
    <e v="#REF!"/>
    <e v="#REF!"/>
    <e v="#REF!"/>
  </r>
  <r>
    <s v="445662"/>
    <x v="6"/>
    <s v="TVA - D_20"/>
    <s v="AC"/>
    <n v="1103.92"/>
    <d v="2025-05-31T00:00:00"/>
    <s v="DIVERS OSIRIS"/>
    <s v="Non"/>
    <s v="Non"/>
    <e v="#N/A"/>
    <n v="75996"/>
    <s v="93813054"/>
    <s v="OSIRIS"/>
    <s v="Q2"/>
    <e v="#REF!"/>
    <e v="#REF!"/>
    <e v="#REF!"/>
  </r>
  <r>
    <s v="445662"/>
    <x v="6"/>
    <s v="TVA - D_20"/>
    <s v="AC"/>
    <n v="1188.18"/>
    <d v="2025-09-30T00:00:00"/>
    <s v="HONORAIRES BDO SOCIAL"/>
    <s v="Non"/>
    <s v="Non"/>
    <e v="#N/A"/>
    <n v="85144"/>
    <s v="FC-290-25-09-00710"/>
    <s v="BDO EXPERTISE"/>
    <s v="Q3"/>
    <e v="#REF!"/>
    <e v="#REF!"/>
    <e v="#REF!"/>
  </r>
  <r>
    <s v="445662"/>
    <x v="6"/>
    <s v="TVA - D_20"/>
    <s v="AC"/>
    <n v="1239.5999999999999"/>
    <d v="2025-03-01T00:00:00"/>
    <s v="CONTRAT DE MAINTENANCE N°CT0662 - PÉRIODE DU 01/03/2025 AU 28/02/2026"/>
    <m/>
    <e v="#N/A"/>
    <e v="#N/A"/>
    <n v="66110"/>
    <s v="FA005214"/>
    <s v="3BCLIM"/>
    <s v="Q1"/>
    <e v="#REF!"/>
    <e v="#REF!"/>
    <e v="#REF!"/>
  </r>
  <r>
    <s v="445662"/>
    <x v="6"/>
    <s v="TVA - D_20"/>
    <s v="AC"/>
    <n v="1296.9100000000001"/>
    <d v="2025-06-30T00:00:00"/>
    <s v="DIVERS OSIRIS : PRESTATIONS DE SERVICE, LABORATOIRE, STOCKAGE PALETTES"/>
    <s v="Non"/>
    <s v="Non"/>
    <e v="#N/A"/>
    <n v="78384"/>
    <s v="93813209"/>
    <s v="OSIRIS"/>
    <s v="Q2"/>
    <e v="#REF!"/>
    <e v="#REF!"/>
    <e v="#REF!"/>
  </r>
  <r>
    <s v="445662"/>
    <x v="6"/>
    <s v="TVA - D_20"/>
    <s v="AC"/>
    <n v="1300"/>
    <d v="2025-09-10T00:00:00"/>
    <s v="FORMATION PAULINE"/>
    <m/>
    <s v="Non"/>
    <e v="#N/A"/>
    <n v="82339"/>
    <s v="OP_202509_00068"/>
    <s v="OASYS PARIS"/>
    <s v="Q3"/>
    <e v="#REF!"/>
    <e v="#REF!"/>
    <e v="#REF!"/>
  </r>
  <r>
    <s v="445662"/>
    <x v="6"/>
    <s v="TVA - D_20"/>
    <s v="AC"/>
    <n v="1358"/>
    <d v="2025-04-03T00:00:00"/>
    <s v="MANAGER UNE ÉQUIPE NIVEAU 1"/>
    <m/>
    <s v="Non"/>
    <n v="0"/>
    <n v="71307"/>
    <s v="7000075208"/>
    <s v="CEGOS"/>
    <s v="Q2"/>
    <e v="#REF!"/>
    <e v="#REF!"/>
    <e v="#REF!"/>
  </r>
  <r>
    <s v="445662"/>
    <x v="6"/>
    <s v="TVA - D_20"/>
    <s v="AC"/>
    <n v="1454.94"/>
    <d v="2025-03-31T00:00:00"/>
    <s v="FACTURE OSIRIS MARS 25"/>
    <s v="Non"/>
    <s v="Non"/>
    <e v="#N/A"/>
    <n v="68994"/>
    <s v="93812623"/>
    <s v="OSIRIS"/>
    <s v="Q1"/>
    <e v="#REF!"/>
    <e v="#REF!"/>
    <e v="#REF!"/>
  </r>
  <r>
    <s v="445662"/>
    <x v="6"/>
    <s v="TVA - D_20"/>
    <s v="AC"/>
    <n v="1460.62"/>
    <d v="2025-06-10T00:00:00"/>
    <s v="SUITE ENTRÉE EN PHASE NATIONALE USA - BREVET PHOENIX"/>
    <s v="Non"/>
    <s v="Oui"/>
    <e v="#N/A"/>
    <n v="76116"/>
    <s v="252669"/>
    <s v="BECKER"/>
    <s v="Q2"/>
    <e v="#REF!"/>
    <e v="#REF!"/>
    <e v="#REF!"/>
  </r>
  <r>
    <s v="445662"/>
    <x v="6"/>
    <s v="TVA - D_20"/>
    <s v="AC"/>
    <n v="1500"/>
    <d v="2025-01-08T00:00:00"/>
    <s v="CONSEIL ET ASSISTANCE DANS LE CADRE DE LA MISSION 1 DE NOTRE  AVENANT DU 20 JANVIER 2021 À LA LETTRE DE MISSION."/>
    <s v="Non"/>
    <s v="Non"/>
    <e v="#N/A"/>
    <n v="59873"/>
    <s v="C2025106"/>
    <s v="ALTAIR AVOCATS"/>
    <s v="Q1"/>
    <e v="#REF!"/>
    <e v="#REF!"/>
    <e v="#REF!"/>
  </r>
  <r>
    <s v="445662"/>
    <x v="6"/>
    <s v="TVA - D_20"/>
    <s v="AC"/>
    <n v="1500"/>
    <d v="2025-05-07T00:00:00"/>
    <s v="CONTRAT DE COLLABORATION DE RECHERCHE"/>
    <m/>
    <e v="#N/A"/>
    <e v="#N/A"/>
    <n v="73771"/>
    <s v="2110000565"/>
    <s v="CNAM"/>
    <s v="Q2"/>
    <e v="#REF!"/>
    <e v="#REF!"/>
    <e v="#REF!"/>
  </r>
  <r>
    <s v="445662"/>
    <x v="6"/>
    <s v="TVA - D_20"/>
    <s v="AC"/>
    <n v="1557.55"/>
    <d v="2025-09-03T00:00:00"/>
    <s v="ETUDE ET DÉPÔT BREVET PHOENIX VBIO"/>
    <s v="Non"/>
    <s v="Oui"/>
    <e v="#N/A"/>
    <n v="82316"/>
    <s v="254096"/>
    <s v="BECKER"/>
    <s v="Q3"/>
    <e v="#REF!"/>
    <e v="#REF!"/>
    <e v="#REF!"/>
  </r>
  <r>
    <s v="445662"/>
    <x v="6"/>
    <s v="TVA - D_20"/>
    <s v="AC"/>
    <n v="1574.1"/>
    <d v="2025-04-30T00:00:00"/>
    <s v="FACTURE MENSUELLE OSIRIS"/>
    <s v="Non"/>
    <s v="Non"/>
    <e v="#N/A"/>
    <n v="73753"/>
    <s v="93812813"/>
    <s v="OSIRIS"/>
    <s v="Q2"/>
    <e v="#REF!"/>
    <e v="#REF!"/>
    <e v="#REF!"/>
  </r>
  <r>
    <s v="445662"/>
    <x v="6"/>
    <s v="TVA - D_20"/>
    <s v="AC"/>
    <n v="1575"/>
    <d v="2025-05-31T00:00:00"/>
    <s v="FACTURATION MAI RÉGIS - QWINCY"/>
    <s v="Non"/>
    <s v="Non"/>
    <e v="#N/A"/>
    <n v="75475"/>
    <s v="F2025050087"/>
    <s v="QWINCY"/>
    <s v="Q2"/>
    <e v="#REF!"/>
    <e v="#REF!"/>
    <e v="#REF!"/>
  </r>
  <r>
    <s v="445662"/>
    <x v="6"/>
    <s v="TVA - D_20"/>
    <s v="AC"/>
    <n v="1620"/>
    <d v="2025-05-06T00:00:00"/>
    <s v="ACTIVITÉ DE CONSEIL RÉALISÉE SOUS LA DIRECTION DE MONSIEUR GUILLAUME BOISSONNAT"/>
    <s v="Oui"/>
    <s v="Non"/>
    <e v="#N/A"/>
    <n v="73765"/>
    <s v="FAC0261"/>
    <s v="CONSEIL CPP"/>
    <s v="Q2"/>
    <e v="#REF!"/>
    <e v="#REF!"/>
    <e v="#REF!"/>
  </r>
  <r>
    <s v="445662"/>
    <x v="6"/>
    <s v="TVA - D_20"/>
    <s v="AC"/>
    <n v="1700"/>
    <d v="2025-01-20T00:00:00"/>
    <s v="ANALYSE MACHINE LEARNING DU STEP 1 DE PHOENIX V2020"/>
    <s v="Non"/>
    <e v="#N/A"/>
    <e v="#N/A"/>
    <n v="61287"/>
    <s v="F-2025-01-20-01"/>
    <s v="MAMA DATA"/>
    <s v="Q1"/>
    <e v="#REF!"/>
    <e v="#REF!"/>
    <e v="#REF!"/>
  </r>
  <r>
    <s v="445662"/>
    <x v="6"/>
    <s v="TVA - D_20"/>
    <s v="AC"/>
    <n v="1730"/>
    <d v="2025-11-03T00:00:00"/>
    <s v="SOIRÉE DES 10 ANS PILI"/>
    <m/>
    <e v="#N/A"/>
    <e v="#N/A"/>
    <n v="89918"/>
    <s v="FACT-20251103-23126"/>
    <s v="Kymono"/>
    <s v="Q4"/>
    <e v="#REF!"/>
    <e v="#REF!"/>
    <e v="#REF!"/>
  </r>
  <r>
    <s v="445662"/>
    <x v="6"/>
    <s v="TVA - D_20"/>
    <s v="AC"/>
    <n v="1753.14"/>
    <d v="2025-08-31T00:00:00"/>
    <s v="DIVERS OSIRIS AOUT"/>
    <s v="Non"/>
    <s v="Non"/>
    <e v="#N/A"/>
    <n v="81836"/>
    <s v="93813582"/>
    <s v="OSIRIS"/>
    <s v="Q3"/>
    <e v="#REF!"/>
    <e v="#REF!"/>
    <e v="#REF!"/>
  </r>
  <r>
    <s v="445662"/>
    <x v="6"/>
    <s v="TVA - D_20"/>
    <s v="AC"/>
    <n v="1779.6"/>
    <d v="2025-02-28T00:00:00"/>
    <s v="INDIGO STADE 2"/>
    <s v="Non"/>
    <e v="#N/A"/>
    <n v="0"/>
    <n v="67822"/>
    <s v="FC250032"/>
    <s v="INTEROR"/>
    <s v="Q1"/>
    <e v="#REF!"/>
    <e v="#REF!"/>
    <e v="#REF!"/>
  </r>
  <r>
    <s v="445662"/>
    <x v="6"/>
    <s v="TVA - D_20"/>
    <s v="AC"/>
    <n v="1810.22"/>
    <d v="2025-07-31T00:00:00"/>
    <s v="DIVERS OSIRIS JUILLET 25"/>
    <s v="Non"/>
    <s v="Non"/>
    <e v="#N/A"/>
    <n v="81765"/>
    <s v="93813439"/>
    <s v="OSIRIS"/>
    <s v="Q3"/>
    <e v="#REF!"/>
    <e v="#REF!"/>
    <e v="#REF!"/>
  </r>
  <r>
    <s v="445662"/>
    <x v="6"/>
    <s v="TVA - D_20"/>
    <s v="AC"/>
    <n v="1835.04"/>
    <d v="2025-12-31T00:00:00"/>
    <s v="DIVERS OSIRIS DÉCEMBRE 25"/>
    <s v="Non"/>
    <s v="Non"/>
    <e v="#N/A"/>
    <n v="96079"/>
    <s v="93814456"/>
    <s v="OSIRIS"/>
    <s v="Q4"/>
    <e v="#REF!"/>
    <e v="#REF!"/>
    <e v="#REF!"/>
  </r>
  <r>
    <s v="445662"/>
    <x v="6"/>
    <s v="TVA - D_20"/>
    <s v="AC"/>
    <n v="1856.78"/>
    <d v="2025-09-20T00:00:00"/>
    <s v="SIRH"/>
    <m/>
    <e v="#N/A"/>
    <e v="#N/A"/>
    <n v="82766"/>
    <s v="IN-20250920-010001-03806"/>
    <s v="EURECIA"/>
    <s v="Q3"/>
    <e v="#REF!"/>
    <e v="#REF!"/>
    <e v="#REF!"/>
  </r>
  <r>
    <s v="445662"/>
    <x v="6"/>
    <s v="TVA - D_20"/>
    <s v="AC"/>
    <n v="1925.75"/>
    <d v="2025-09-30T00:00:00"/>
    <s v="DIVERS OSIRIS FACTURE MENSUELLE"/>
    <s v="Non"/>
    <s v="Non"/>
    <e v="#N/A"/>
    <n v="85140"/>
    <s v="93813825"/>
    <s v="OSIRIS"/>
    <s v="Q3"/>
    <e v="#REF!"/>
    <e v="#REF!"/>
    <e v="#REF!"/>
  </r>
  <r>
    <s v="445662"/>
    <x v="6"/>
    <s v="TVA - D_20"/>
    <s v="AC"/>
    <n v="1980"/>
    <d v="2025-01-20T00:00:00"/>
    <s v="PAIEMENT ANTICIPÉ  MP POUR PRODUCTION CDMO BIOTECHNOLOGIE"/>
    <m/>
    <e v="#N/A"/>
    <e v="#N/A"/>
    <n v="61282"/>
    <s v="910001754"/>
    <s v="Eurolysine"/>
    <s v="Q1"/>
    <e v="#REF!"/>
    <e v="#REF!"/>
    <e v="#REF!"/>
  </r>
  <r>
    <s v="445662"/>
    <x v="6"/>
    <s v="TVA - D_20"/>
    <s v="AC"/>
    <n v="1981.45"/>
    <d v="2025-11-30T00:00:00"/>
    <s v="DIVERS OSIRIS"/>
    <s v="Non"/>
    <s v="Non"/>
    <e v="#N/A"/>
    <n v="92190"/>
    <s v="93814241"/>
    <s v="OSIRIS"/>
    <s v="Q4"/>
    <e v="#REF!"/>
    <e v="#REF!"/>
    <e v="#REF!"/>
  </r>
  <r>
    <s v="445662"/>
    <x v="6"/>
    <s v="TVA - D_20"/>
    <s v="AC"/>
    <n v="1990"/>
    <d v="2025-02-28T00:00:00"/>
    <s v="HÉBERGEMENT AXE CLOUD SERVEUR, LE MOIS ENGAGEMENT SUR 12 MOIS MINIMUM FRAIS DE MISE EN SERVICE MACHINE VIRTUELLE"/>
    <m/>
    <s v="Non"/>
    <e v="#N/A"/>
    <n v="66525"/>
    <s v="FAP10637"/>
    <s v="AXE GESCOM"/>
    <s v="Q1"/>
    <e v="#REF!"/>
    <e v="#REF!"/>
    <e v="#REF!"/>
  </r>
  <r>
    <s v="445662"/>
    <x v="6"/>
    <s v="TVA - D_20"/>
    <s v="AC"/>
    <n v="2000"/>
    <d v="2025-04-09T00:00:00"/>
    <s v="COMMISSARIAT AUX COMPTES AU TITRE DE L'EXERCICE CLOS LE 31 DÉCEMBRE 2024"/>
    <m/>
    <e v="#N/A"/>
    <e v="#N/A"/>
    <n v="69761"/>
    <s v="E002VPR-25-04-0564"/>
    <m/>
    <s v="Q2"/>
    <e v="#REF!"/>
    <e v="#REF!"/>
    <e v="#REF!"/>
  </r>
  <r>
    <s v="445662"/>
    <x v="6"/>
    <s v="TVA - D_20"/>
    <s v="AC"/>
    <n v="2021.57"/>
    <d v="2025-02-28T00:00:00"/>
    <s v="LABORATOIRE 02/2025 BTR 02/2025 FORFAIT 02/2025 SUITE SIGNATURE CONTRAT MOU"/>
    <s v="Non"/>
    <s v="Non"/>
    <e v="#N/A"/>
    <n v="64067"/>
    <s v="93812419"/>
    <s v="OSIRIS"/>
    <s v="Q1"/>
    <e v="#REF!"/>
    <e v="#REF!"/>
    <e v="#REF!"/>
  </r>
  <r>
    <s v="445662"/>
    <x v="6"/>
    <s v="TVA - D_20"/>
    <s v="AC"/>
    <n v="2151.6999999999998"/>
    <d v="2025-06-29T00:00:00"/>
    <s v="COMMISSARIAT AUX COMPTES AU TITRE DE L'EXERCICE CLOS LE 31 DÉCEMBRE 2024 - SOLDE"/>
    <m/>
    <e v="#N/A"/>
    <e v="#N/A"/>
    <n v="76754"/>
    <s v="E002VPR-25-06-2158"/>
    <m/>
    <s v="Q2"/>
    <e v="#REF!"/>
    <e v="#REF!"/>
    <e v="#REF!"/>
  </r>
  <r>
    <s v="445662"/>
    <x v="6"/>
    <s v="TVA - D_20"/>
    <s v="AC"/>
    <n v="2181.59"/>
    <d v="2025-10-31T00:00:00"/>
    <s v="DIVERS OSIRIS OCTOBRE 25"/>
    <s v="Non"/>
    <s v="Non"/>
    <e v="#N/A"/>
    <n v="89902"/>
    <s v="93814026"/>
    <s v="OSIRIS"/>
    <s v="Q4"/>
    <e v="#REF!"/>
    <e v="#REF!"/>
    <e v="#REF!"/>
  </r>
  <r>
    <s v="445662"/>
    <x v="6"/>
    <s v="TVA - D_20"/>
    <s v="AC"/>
    <n v="2250"/>
    <d v="2025-06-30T00:00:00"/>
    <s v="MISSION B. LAJUGIE - JUIN 2025"/>
    <s v="Non"/>
    <s v="Non"/>
    <e v="#N/A"/>
    <n v="77312"/>
    <s v="8743-1591-8"/>
    <s v="INSIDE MANAGEMENT"/>
    <s v="Q2"/>
    <e v="#REF!"/>
    <e v="#REF!"/>
    <e v="#REF!"/>
  </r>
  <r>
    <s v="445662"/>
    <x v="6"/>
    <s v="TVA - D_20"/>
    <s v="AC"/>
    <n v="2300"/>
    <d v="2025-07-09T00:00:00"/>
    <s v="MP POUR FERMENTATION VBIO"/>
    <m/>
    <e v="#N/A"/>
    <e v="#N/A"/>
    <n v="81321"/>
    <s v="910004128"/>
    <s v="Eurolysine"/>
    <s v="Q3"/>
    <e v="#REF!"/>
    <e v="#REF!"/>
    <e v="#REF!"/>
  </r>
  <r>
    <s v="445662"/>
    <x v="6"/>
    <s v="TVA - D_20"/>
    <s v="AC"/>
    <n v="2367.54"/>
    <d v="2025-05-05T00:00:00"/>
    <s v="MISSION CIR 2024"/>
    <s v="Non"/>
    <s v="Non"/>
    <e v="#N/A"/>
    <n v="75350"/>
    <s v="F-2025-4258"/>
    <s v="BUSINOVE"/>
    <s v="Q2"/>
    <e v="#REF!"/>
    <e v="#REF!"/>
    <e v="#REF!"/>
  </r>
  <r>
    <s v="445662"/>
    <x v="6"/>
    <s v="TVA - D_20"/>
    <s v="AC"/>
    <n v="2640"/>
    <d v="2025-08-29T00:00:00"/>
    <s v="DEMO : ÉCHANGEURS VAPEUR / FLUIDE THERMIQUE (SKIDS THERMIQUES RÉACTEURS) + CONDENSEURS  PAIEMENT : 30% À LA COMMANDE (SEPTEMBRE)"/>
    <s v="Non"/>
    <e v="#N/A"/>
    <e v="#N/A"/>
    <n v="81878"/>
    <s v="VE000170"/>
    <s v="KAPP"/>
    <s v="Q3"/>
    <e v="#REF!"/>
    <e v="#REF!"/>
    <e v="#REF!"/>
  </r>
  <r>
    <s v="445662"/>
    <x v="6"/>
    <s v="TVA - D_20"/>
    <s v="AC"/>
    <n v="2641.42"/>
    <d v="2025-02-28T00:00:00"/>
    <s v="BROYAGE  AMORTISSEUR DU BROYEUR"/>
    <s v="Non"/>
    <e v="#N/A"/>
    <n v="0"/>
    <n v="68968"/>
    <s v="FC250033"/>
    <s v="INTEROR"/>
    <s v="Q1"/>
    <e v="#REF!"/>
    <e v="#REF!"/>
    <e v="#REF!"/>
  </r>
  <r>
    <s v="445662"/>
    <x v="6"/>
    <s v="TVA - D_20"/>
    <s v="AC"/>
    <n v="3000"/>
    <d v="2025-12-22T00:00:00"/>
    <s v="FABRICATION LOTS PILOTES PHOENIX VBIO"/>
    <m/>
    <e v="#N/A"/>
    <e v="#N/A"/>
    <n v="93652"/>
    <s v="2512021"/>
    <s v="VEG'EXTRA"/>
    <s v="Q4"/>
    <e v="#REF!"/>
    <e v="#REF!"/>
    <e v="#REF!"/>
  </r>
  <r>
    <s v="445662"/>
    <x v="6"/>
    <s v="TVA - D_20"/>
    <s v="AC"/>
    <n v="3088.52"/>
    <d v="2025-06-03T00:00:00"/>
    <s v="LOYER KB (AVEC FRANCHISE)"/>
    <m/>
    <e v="#N/A"/>
    <e v="#N/A"/>
    <n v="77266"/>
    <s v="0049020250021"/>
    <s v="LIBERTY PM"/>
    <s v="Q2"/>
    <e v="#REF!"/>
    <e v="#REF!"/>
    <e v="#REF!"/>
  </r>
  <r>
    <s v="445662"/>
    <x v="6"/>
    <s v="TVA - D_20"/>
    <s v="AC"/>
    <n v="3450"/>
    <d v="2025-01-01T00:00:00"/>
    <s v="INSIDE DÉCEMBRE"/>
    <s v="Non"/>
    <s v="Non"/>
    <e v="#N/A"/>
    <n v="68951"/>
    <s v="8743-1513-2"/>
    <s v="INSIDE MANAGEMENT"/>
    <s v="Q1"/>
    <e v="#REF!"/>
    <e v="#REF!"/>
    <e v="#REF!"/>
  </r>
  <r>
    <s v="445662"/>
    <x v="6"/>
    <s v="TVA - D_20"/>
    <s v="AC"/>
    <n v="3675"/>
    <d v="2025-04-30T00:00:00"/>
    <s v="PRESTATION DE SERVICES, AVRIL 2025"/>
    <s v="Non"/>
    <s v="Non"/>
    <e v="#N/A"/>
    <n v="81312"/>
    <s v="F2025040078"/>
    <s v="QWINCY"/>
    <s v="Q2"/>
    <e v="#REF!"/>
    <e v="#REF!"/>
    <e v="#REF!"/>
  </r>
  <r>
    <s v="445662"/>
    <x v="6"/>
    <s v="TVA - D_20"/>
    <s v="AC"/>
    <n v="3900"/>
    <d v="2025-05-31T00:00:00"/>
    <s v="MISSION B. LAJUGIE - mai 2025"/>
    <s v="Non"/>
    <s v="Non"/>
    <e v="#N/A"/>
    <n v="75472"/>
    <s v="8743-1579-7"/>
    <s v="INSIDE MANAGEMENT"/>
    <s v="Q2"/>
    <e v="#REF!"/>
    <e v="#REF!"/>
    <e v="#REF!"/>
  </r>
  <r>
    <s v="445662"/>
    <x v="6"/>
    <s v="TVA - D_20"/>
    <s v="AC"/>
    <n v="4000"/>
    <d v="2025-08-12T00:00:00"/>
    <s v="POENIX V2020 - LOCATION FILTRE PRESSE 2024"/>
    <s v="Non"/>
    <e v="#N/A"/>
    <n v="0"/>
    <n v="81797"/>
    <s v="FC250147"/>
    <s v="INTEROR"/>
    <s v="Q3"/>
    <e v="#REF!"/>
    <e v="#REF!"/>
    <e v="#REF!"/>
  </r>
  <r>
    <s v="445662"/>
    <x v="6"/>
    <s v="TVA - D_20"/>
    <s v="AC"/>
    <n v="4093.81"/>
    <d v="2025-02-12T00:00:00"/>
    <s v="HONORAIRES DUS À LA REMISE DU MÉMORANDUM"/>
    <s v="Non"/>
    <s v="Non"/>
    <e v="#N/A"/>
    <n v="61467"/>
    <s v="2502-04"/>
    <s v="AURIGNAC FINANCE"/>
    <s v="Q1"/>
    <e v="#REF!"/>
    <e v="#REF!"/>
    <e v="#REF!"/>
  </r>
  <r>
    <s v="445662"/>
    <x v="6"/>
    <s v="TVA - D_20"/>
    <s v="AC"/>
    <n v="4128.78"/>
    <d v="2025-01-31T00:00:00"/>
    <s v="FACTURE OSIRIS JANVIER 25"/>
    <s v="Non"/>
    <s v="Non"/>
    <e v="#N/A"/>
    <n v="61370"/>
    <s v="93812200"/>
    <s v="OSIRIS"/>
    <s v="Q1"/>
    <e v="#REF!"/>
    <e v="#REF!"/>
    <e v="#REF!"/>
  </r>
  <r>
    <s v="445662"/>
    <x v="6"/>
    <s v="TVA - D_20"/>
    <s v="AC"/>
    <n v="4146"/>
    <d v="2025-05-26T00:00:00"/>
    <s v="COMMISSION D'ARRANGEMENT CIR 2024 + LEYTON FRAIS D'AUDIT CIR 2024"/>
    <s v="Non"/>
    <s v="Non"/>
    <e v="#N/A"/>
    <n v="87263"/>
    <s v="202505-4176"/>
    <s v="NEFTYS"/>
    <s v="Q2"/>
    <e v="#REF!"/>
    <e v="#REF!"/>
    <e v="#REF!"/>
  </r>
  <r>
    <s v="445662"/>
    <x v="6"/>
    <s v="TVA - D_20"/>
    <s v="AC"/>
    <n v="4699.8"/>
    <d v="2025-11-18T00:00:00"/>
    <s v="PRODUCTION CAMPAGNE 2025 - LOT RÉSIDUEL"/>
    <s v="Non"/>
    <e v="#N/A"/>
    <n v="0"/>
    <n v="94881"/>
    <s v="FC250231"/>
    <s v="INTEROR"/>
    <s v="Q4"/>
    <e v="#REF!"/>
    <e v="#REF!"/>
    <e v="#REF!"/>
  </r>
  <r>
    <s v="445662"/>
    <x v="6"/>
    <s v="TVA - D_20"/>
    <s v="AC"/>
    <n v="4870.67"/>
    <d v="2025-09-16T00:00:00"/>
    <s v="TAXE FONCIERE"/>
    <m/>
    <e v="#N/A"/>
    <e v="#N/A"/>
    <n v="82721"/>
    <s v="023692"/>
    <s v="LIBERTY PM"/>
    <s v="Q3"/>
    <e v="#REF!"/>
    <e v="#REF!"/>
    <e v="#REF!"/>
  </r>
  <r>
    <s v="445662"/>
    <x v="6"/>
    <s v="TVA - D_20"/>
    <s v="AC"/>
    <n v="5000"/>
    <d v="2025-01-01T00:00:00"/>
    <s v="PRESTATION CIFRE N° 2021/1540 CNAM P ZIMBERLIN 2024 #3/3"/>
    <m/>
    <e v="#N/A"/>
    <e v="#N/A"/>
    <n v="73608"/>
    <s v="240011005"/>
    <s v="CNAM"/>
    <s v="Q1"/>
    <e v="#REF!"/>
    <e v="#REF!"/>
    <e v="#REF!"/>
  </r>
  <r>
    <s v="445662"/>
    <x v="6"/>
    <s v="TVA - D_20"/>
    <s v="AC"/>
    <n v="5200"/>
    <d v="2025-07-17T00:00:00"/>
    <s v="CHAUFFAGE / CLIMATISATION LABORATOIRE + APPORT D'AIR LABORATOIRE"/>
    <s v="Non"/>
    <e v="#N/A"/>
    <e v="#N/A"/>
    <n v="81327"/>
    <s v="FC6781"/>
    <s v="LOPEZ PLOMBERIE ELECTRICITE"/>
    <s v="Q3"/>
    <e v="#REF!"/>
    <e v="#REF!"/>
    <e v="#REF!"/>
  </r>
  <r>
    <s v="445662"/>
    <x v="6"/>
    <s v="TVA - D_20"/>
    <s v="AC"/>
    <n v="6000"/>
    <d v="2025-01-31T00:00:00"/>
    <s v="MISSION B. LAJUGIE - JANVIER 2025"/>
    <s v="Non"/>
    <s v="Non"/>
    <e v="#N/A"/>
    <n v="61366"/>
    <s v="8743-1516-3"/>
    <s v="INSIDE MANAGEMENT"/>
    <s v="Q1"/>
    <e v="#REF!"/>
    <e v="#REF!"/>
    <e v="#REF!"/>
  </r>
  <r>
    <s v="445662"/>
    <x v="6"/>
    <s v="TVA - D_20"/>
    <s v="AC"/>
    <n v="6000"/>
    <d v="2025-02-28T00:00:00"/>
    <s v="MISSION B. LAJUGIE - FEVRIER 2025"/>
    <s v="Non"/>
    <s v="Non"/>
    <e v="#N/A"/>
    <n v="61566"/>
    <s v="8743-1534-4"/>
    <s v="INSIDE MANAGEMENT"/>
    <s v="Q1"/>
    <e v="#REF!"/>
    <e v="#REF!"/>
    <e v="#REF!"/>
  </r>
  <r>
    <s v="445662"/>
    <x v="6"/>
    <s v="TVA - D_20"/>
    <s v="AC"/>
    <n v="6000"/>
    <d v="2025-04-30T00:00:00"/>
    <s v="INSIDE AVRIL 2025"/>
    <s v="Non"/>
    <s v="Non"/>
    <e v="#N/A"/>
    <n v="73750"/>
    <s v="8743-1561-6"/>
    <s v="INSIDE MANAGEMENT"/>
    <s v="Q2"/>
    <e v="#REF!"/>
    <e v="#REF!"/>
    <e v="#REF!"/>
  </r>
  <r>
    <s v="445662"/>
    <x v="6"/>
    <s v="TVA - D_20"/>
    <s v="AC"/>
    <n v="6300"/>
    <d v="2025-03-31T00:00:00"/>
    <s v="MARS-25"/>
    <s v="Non"/>
    <s v="Non"/>
    <e v="#N/A"/>
    <n v="68991"/>
    <s v="8743-1545-5"/>
    <s v="INSIDE MANAGEMENT"/>
    <s v="Q1"/>
    <e v="#REF!"/>
    <e v="#REF!"/>
    <e v="#REF!"/>
  </r>
  <r>
    <s v="445662"/>
    <x v="6"/>
    <s v="TVA - D_20"/>
    <s v="AC"/>
    <n v="6524.56"/>
    <d v="2025-08-13T00:00:00"/>
    <s v="APUREMENT CHARGES 2024"/>
    <m/>
    <e v="#N/A"/>
    <e v="#N/A"/>
    <n v="81800"/>
    <s v="023381"/>
    <s v="LIBERTY PM"/>
    <s v="Q3"/>
    <e v="#REF!"/>
    <e v="#REF!"/>
    <e v="#REF!"/>
  </r>
  <r>
    <s v="445662"/>
    <x v="6"/>
    <s v="TVA - D_20"/>
    <s v="AC"/>
    <n v="36309"/>
    <d v="2025-04-29T00:00:00"/>
    <s v="AVENANT 11 AU CONTRAT DE RECHERCHE TWB SIGNÉ LE 30/01/2018 1ER VERSEMENT AU 01/05/2025"/>
    <m/>
    <s v="Non"/>
    <e v="#N/A"/>
    <n v="71362"/>
    <s v="2110002592"/>
    <s v="INRAE TOULOUSE"/>
    <s v="Q2"/>
    <e v="#REF!"/>
    <e v="#REF!"/>
    <e v="#REF!"/>
  </r>
  <r>
    <s v="445662"/>
    <x v="6"/>
    <s v="TVA - D_20"/>
    <s v="AC"/>
    <n v="72617.8"/>
    <d v="2025-12-03T00:00:00"/>
    <s v="AVENANT 11 CONTRAT RECHERCHE TWB - 2E ET 3E VERSEMENTS"/>
    <m/>
    <s v="Non"/>
    <e v="#N/A"/>
    <n v="91999"/>
    <s v="2110011866"/>
    <s v="INRAE TOULOUSE"/>
    <s v="Q4"/>
    <e v="#REF!"/>
    <e v="#REF!"/>
    <e v="#REF!"/>
  </r>
  <r>
    <s v="445662"/>
    <x v="6"/>
    <s v="TVA - D_20"/>
    <s v="AC"/>
    <n v="84000"/>
    <d v="2025-09-30T00:00:00"/>
    <s v=" Indigo (A00743) - 1t"/>
    <s v="Non"/>
    <e v="#N/A"/>
    <n v="0"/>
    <n v="87161"/>
    <s v="FC250191"/>
    <s v="INTEROR"/>
    <s v="Q3"/>
    <e v="#REF!"/>
    <e v="#REF!"/>
    <e v="#REF!"/>
  </r>
  <r>
    <s v="445662"/>
    <x v="6"/>
    <s v="TVA - D_20"/>
    <s v="AC"/>
    <n v="118393.60000000001"/>
    <d v="2025-02-06T00:00:00"/>
    <s v="COMMANDE 4-240154 DU 19/09/2024"/>
    <s v="Non"/>
    <e v="#N/A"/>
    <n v="0"/>
    <n v="66159"/>
    <s v="FC250025"/>
    <s v="INTEROR"/>
    <s v="Q1"/>
    <e v="#REF!"/>
    <e v="#REF!"/>
    <e v="#REF!"/>
  </r>
  <r>
    <s v="445662"/>
    <x v="6"/>
    <s v="TVA - D_20"/>
    <s v="AN"/>
    <n v="0"/>
    <d v="2025-01-01T00:00:00"/>
    <s v="Report à nouveau Exercice 2025"/>
    <m/>
    <e v="#N/A"/>
    <e v="#N/A"/>
    <n v="84826"/>
    <m/>
    <m/>
    <s v="Q1"/>
    <e v="#REF!"/>
    <e v="#REF!"/>
    <e v="#REF!"/>
  </r>
  <r>
    <s v="445662"/>
    <x v="6"/>
    <s v="TVA - D_20"/>
    <s v="AN"/>
    <n v="0"/>
    <d v="2025-01-01T00:00:00"/>
    <s v="Report à nouveau Exercice 2025"/>
    <m/>
    <e v="#N/A"/>
    <e v="#N/A"/>
    <n v="84870"/>
    <m/>
    <m/>
    <s v="Q1"/>
    <e v="#REF!"/>
    <e v="#REF!"/>
    <e v="#REF!"/>
  </r>
  <r>
    <s v="445662"/>
    <x v="6"/>
    <s v="TVA - D_20"/>
    <s v="AN"/>
    <n v="0"/>
    <d v="2025-01-01T00:00:00"/>
    <s v="Report à nouveau Exercice 2025"/>
    <m/>
    <e v="#N/A"/>
    <e v="#N/A"/>
    <n v="84970"/>
    <m/>
    <m/>
    <s v="Q1"/>
    <e v="#REF!"/>
    <e v="#REF!"/>
    <e v="#REF!"/>
  </r>
  <r>
    <s v="445662"/>
    <x v="6"/>
    <s v="TVA - D_20"/>
    <s v="AN"/>
    <n v="46727.3"/>
    <d v="2025-01-01T00:00:00"/>
    <s v="Report à nouveau Exercice 2025"/>
    <m/>
    <e v="#N/A"/>
    <e v="#N/A"/>
    <n v="84788"/>
    <m/>
    <m/>
    <s v="Q1"/>
    <e v="#REF!"/>
    <e v="#REF!"/>
    <e v="#REF!"/>
  </r>
  <r>
    <s v="445662"/>
    <x v="6"/>
    <s v="TVA - D_20"/>
    <s v="JC"/>
    <n v="-99.6"/>
    <d v="2025-01-01T00:00:00"/>
    <s v="Cadrage comptes audités 2024 - bilan"/>
    <m/>
    <e v="#N/A"/>
    <e v="#N/A"/>
    <n v="87165"/>
    <m/>
    <m/>
    <s v="Q1"/>
    <e v="#REF!"/>
    <e v="#REF!"/>
    <e v="#REF!"/>
  </r>
  <r>
    <s v="445662"/>
    <x v="6"/>
    <s v="TVA - D_20"/>
    <s v="NDF"/>
    <n v="0.03"/>
    <d v="2025-03-26T00:00:00"/>
    <s v="NOTE DE FRAIS"/>
    <m/>
    <e v="#N/A"/>
    <e v="#N/A"/>
    <n v="74209"/>
    <s v="25000091"/>
    <s v="Marjorie Denard"/>
    <s v="Q1"/>
    <e v="#REF!"/>
    <e v="#REF!"/>
    <e v="#REF!"/>
  </r>
  <r>
    <s v="445662"/>
    <x v="6"/>
    <s v="TVA - D_20"/>
    <s v="NDF"/>
    <n v="0.03"/>
    <d v="2025-03-28T00:00:00"/>
    <s v="NDF"/>
    <m/>
    <e v="#N/A"/>
    <e v="#N/A"/>
    <n v="75814"/>
    <s v="25000092"/>
    <s v="Marjorie Denard"/>
    <s v="Q1"/>
    <e v="#REF!"/>
    <e v="#REF!"/>
    <e v="#REF!"/>
  </r>
  <r>
    <s v="445662"/>
    <x v="6"/>
    <s v="TVA - D_20"/>
    <s v="NDF"/>
    <n v="0.03"/>
    <d v="2025-04-04T00:00:00"/>
    <s v="NDF"/>
    <m/>
    <e v="#N/A"/>
    <e v="#N/A"/>
    <n v="75465"/>
    <s v="25000105"/>
    <s v="Audrey Baylac"/>
    <s v="Q2"/>
    <e v="#REF!"/>
    <e v="#REF!"/>
    <e v="#REF!"/>
  </r>
  <r>
    <s v="445662"/>
    <x v="6"/>
    <s v="TVA - D_20"/>
    <s v="NDF"/>
    <n v="0.03"/>
    <d v="2025-04-10T00:00:00"/>
    <s v="NOTE DE FRAIS"/>
    <m/>
    <e v="#N/A"/>
    <e v="#N/A"/>
    <n v="74307"/>
    <s v="25000124"/>
    <s v="Vincent Blanchard"/>
    <s v="Q2"/>
    <e v="#REF!"/>
    <e v="#REF!"/>
    <e v="#REF!"/>
  </r>
  <r>
    <s v="445662"/>
    <x v="6"/>
    <s v="TVA - D_20"/>
    <s v="NDF"/>
    <n v="0.04"/>
    <d v="2025-03-04T00:00:00"/>
    <s v="NDF"/>
    <m/>
    <e v="#N/A"/>
    <e v="#N/A"/>
    <n v="75744"/>
    <s v="25000104"/>
    <s v="Kevin Cottet"/>
    <s v="Q1"/>
    <e v="#REF!"/>
    <e v="#REF!"/>
    <e v="#REF!"/>
  </r>
  <r>
    <s v="445662"/>
    <x v="6"/>
    <s v="TVA - D_20"/>
    <s v="NDF"/>
    <n v="0.04"/>
    <d v="2025-03-31T00:00:00"/>
    <s v="NDF"/>
    <m/>
    <e v="#N/A"/>
    <e v="#N/A"/>
    <n v="75826"/>
    <s v="25000097"/>
    <s v="Bob Fernandez"/>
    <s v="Q1"/>
    <e v="#REF!"/>
    <e v="#REF!"/>
    <e v="#REF!"/>
  </r>
  <r>
    <s v="445662"/>
    <x v="6"/>
    <s v="TVA - D_20"/>
    <s v="NDF"/>
    <n v="0.08"/>
    <d v="2025-09-19T00:00:00"/>
    <s v="PARKING - PARKING VOITURE SÉMINAIRE"/>
    <m/>
    <e v="#N/A"/>
    <e v="#N/A"/>
    <n v="88476"/>
    <s v="25000236"/>
    <s v="Nicolas Canu"/>
    <s v="Q3"/>
    <e v="#REF!"/>
    <e v="#REF!"/>
    <e v="#REF!"/>
  </r>
  <r>
    <s v="445662"/>
    <x v="6"/>
    <s v="TVA - D_20"/>
    <s v="NDF"/>
    <n v="0.22"/>
    <d v="2025-04-30T00:00:00"/>
    <s v="NOTE DE FRAIS"/>
    <m/>
    <e v="#N/A"/>
    <e v="#N/A"/>
    <n v="74397"/>
    <s v="25000119"/>
    <s v="Nicolas Canu"/>
    <s v="Q2"/>
    <e v="#REF!"/>
    <e v="#REF!"/>
    <e v="#REF!"/>
  </r>
  <r>
    <s v="445662"/>
    <x v="6"/>
    <s v="TVA - D_20"/>
    <s v="NDF"/>
    <n v="0.53"/>
    <d v="2025-07-17T00:00:00"/>
    <s v="DIVERS - SEL LAVE VAISSELLE ET LABO"/>
    <m/>
    <e v="#N/A"/>
    <e v="#N/A"/>
    <n v="88723"/>
    <s v="25000197"/>
    <s v="Filipe Gomes"/>
    <s v="Q3"/>
    <e v="#REF!"/>
    <e v="#REF!"/>
    <e v="#REF!"/>
  </r>
  <r>
    <s v="445662"/>
    <x v="6"/>
    <s v="TVA - D_20"/>
    <s v="NDF"/>
    <n v="0.7"/>
    <d v="2025-03-05T00:00:00"/>
    <s v="NDF"/>
    <m/>
    <e v="#N/A"/>
    <e v="#N/A"/>
    <n v="76480"/>
    <s v="N25000067"/>
    <s v="Jérémie Blache"/>
    <s v="Q1"/>
    <e v="#REF!"/>
    <e v="#REF!"/>
    <e v="#REF!"/>
  </r>
  <r>
    <s v="445662"/>
    <x v="6"/>
    <s v="TVA - D_20"/>
    <s v="NDF"/>
    <n v="0.74"/>
    <d v="2025-04-30T00:00:00"/>
    <s v="NOTE DE FRAIS"/>
    <m/>
    <e v="#N/A"/>
    <e v="#N/A"/>
    <n v="74391"/>
    <s v="25000135"/>
    <s v="Jérémie Blache"/>
    <s v="Q2"/>
    <e v="#REF!"/>
    <e v="#REF!"/>
    <e v="#REF!"/>
  </r>
  <r>
    <s v="445662"/>
    <x v="6"/>
    <s v="TVA - D_20"/>
    <s v="NDF"/>
    <n v="0.87"/>
    <d v="2025-04-29T00:00:00"/>
    <s v="NOTE DE FRAIS"/>
    <m/>
    <e v="#N/A"/>
    <e v="#N/A"/>
    <n v="74369"/>
    <s v="24000395"/>
    <s v="Marie-Sarah Adenis"/>
    <s v="Q2"/>
    <e v="#REF!"/>
    <e v="#REF!"/>
    <e v="#REF!"/>
  </r>
  <r>
    <s v="445662"/>
    <x v="6"/>
    <s v="TVA - D_20"/>
    <s v="NDF"/>
    <n v="1.04"/>
    <d v="2025-11-14T00:00:00"/>
    <s v="PÉAGE - PÉAGE PADOUE VENISE DÉPLACEMENT TRIALS BERTO"/>
    <m/>
    <e v="#N/A"/>
    <e v="#N/A"/>
    <n v="93419"/>
    <s v="25000314"/>
    <s v="Pierre-Yves Bolle"/>
    <s v="Q4"/>
    <e v="#REF!"/>
    <e v="#REF!"/>
    <e v="#REF!"/>
  </r>
  <r>
    <s v="445662"/>
    <x v="6"/>
    <s v="TVA - D_20"/>
    <s v="NDF"/>
    <n v="1.24"/>
    <d v="2025-09-17T00:00:00"/>
    <s v="PÉAGE - PÉAGE SÉMINAIRE"/>
    <m/>
    <e v="#N/A"/>
    <e v="#N/A"/>
    <n v="88976"/>
    <s v="25000257"/>
    <s v="Anne-Sophie Goutierre"/>
    <s v="Q3"/>
    <e v="#REF!"/>
    <e v="#REF!"/>
    <e v="#REF!"/>
  </r>
  <r>
    <s v="445662"/>
    <x v="6"/>
    <s v="TVA - D_20"/>
    <s v="NDF"/>
    <n v="1.68"/>
    <d v="2025-03-26T00:00:00"/>
    <s v="NDF"/>
    <m/>
    <e v="#N/A"/>
    <e v="#N/A"/>
    <n v="75800"/>
    <s v="25000052"/>
    <s v="Maud Sanchez"/>
    <s v="Q1"/>
    <e v="#REF!"/>
    <e v="#REF!"/>
    <e v="#REF!"/>
  </r>
  <r>
    <s v="445662"/>
    <x v="6"/>
    <s v="TVA - D_20"/>
    <s v="NDF"/>
    <n v="1.8"/>
    <d v="2025-07-21T00:00:00"/>
    <s v="PÉAGE - PÉAGE SLOVAQUIE"/>
    <m/>
    <e v="#N/A"/>
    <e v="#N/A"/>
    <n v="88840"/>
    <s v="25000194"/>
    <s v="Marie Rézeau"/>
    <s v="Q3"/>
    <e v="#REF!"/>
    <e v="#REF!"/>
    <e v="#REF!"/>
  </r>
  <r>
    <s v="445662"/>
    <x v="6"/>
    <s v="TVA - D_20"/>
    <s v="NDF"/>
    <n v="1.8"/>
    <d v="2025-11-24T00:00:00"/>
    <s v="DIVERS - BALAI BROSSE"/>
    <m/>
    <e v="#N/A"/>
    <e v="#N/A"/>
    <n v="90860"/>
    <s v="25000292"/>
    <s v="Clément Perrocheau"/>
    <s v="Q4"/>
    <e v="#REF!"/>
    <e v="#REF!"/>
    <e v="#REF!"/>
  </r>
  <r>
    <s v="445662"/>
    <x v="6"/>
    <s v="TVA - D_20"/>
    <s v="NDF"/>
    <n v="1.91"/>
    <d v="2025-06-10T00:00:00"/>
    <s v="NDF"/>
    <m/>
    <e v="#N/A"/>
    <e v="#N/A"/>
    <n v="76578"/>
    <s v="2025-0000171"/>
    <s v="Marie de Almeida"/>
    <s v="Q2"/>
    <e v="#REF!"/>
    <e v="#REF!"/>
    <e v="#REF!"/>
  </r>
  <r>
    <s v="445662"/>
    <x v="6"/>
    <s v="TVA - D_20"/>
    <s v="NDF"/>
    <n v="2"/>
    <d v="2025-01-18T00:00:00"/>
    <s v="NOTE DE FRAIS"/>
    <m/>
    <e v="#N/A"/>
    <e v="#N/A"/>
    <n v="73628"/>
    <s v="25000015"/>
    <s v="Nicolas Canu"/>
    <s v="Q1"/>
    <e v="#REF!"/>
    <e v="#REF!"/>
    <e v="#REF!"/>
  </r>
  <r>
    <s v="445662"/>
    <x v="6"/>
    <s v="TVA - D_20"/>
    <s v="NDF"/>
    <n v="2"/>
    <d v="2025-02-06T00:00:00"/>
    <s v="NDF"/>
    <m/>
    <e v="#N/A"/>
    <e v="#N/A"/>
    <n v="75708"/>
    <s v="25000037"/>
    <s v="Emilie Amillastré"/>
    <s v="Q1"/>
    <e v="#REF!"/>
    <e v="#REF!"/>
    <e v="#REF!"/>
  </r>
  <r>
    <s v="445662"/>
    <x v="6"/>
    <s v="TVA - D_20"/>
    <s v="NDF"/>
    <n v="2"/>
    <d v="2025-10-16T00:00:00"/>
    <s v="PETIT ÉQUIPEMENT / FOURNITURE - AUCHAN OKABE"/>
    <m/>
    <e v="#N/A"/>
    <e v="#N/A"/>
    <n v="88908"/>
    <s v="25000280"/>
    <s v="Vincent Blanchard"/>
    <s v="Q4"/>
    <e v="#REF!"/>
    <e v="#REF!"/>
    <e v="#REF!"/>
  </r>
  <r>
    <s v="445662"/>
    <x v="6"/>
    <s v="TVA - D_20"/>
    <s v="NDF"/>
    <n v="2.1"/>
    <d v="2025-04-24T00:00:00"/>
    <s v="NOTE DE FRAIS"/>
    <m/>
    <e v="#N/A"/>
    <e v="#N/A"/>
    <n v="74363"/>
    <s v="25000125"/>
    <s v="Filipe Gomes"/>
    <s v="Q2"/>
    <e v="#REF!"/>
    <e v="#REF!"/>
    <e v="#REF!"/>
  </r>
  <r>
    <s v="445662"/>
    <x v="6"/>
    <s v="TVA - D_20"/>
    <s v="NDF"/>
    <n v="2.15"/>
    <d v="2025-02-04T00:00:00"/>
    <s v="NDF"/>
    <m/>
    <e v="#N/A"/>
    <e v="#N/A"/>
    <n v="75702"/>
    <s v="25000070"/>
    <s v="Kevin Cottet"/>
    <s v="Q1"/>
    <e v="#REF!"/>
    <e v="#REF!"/>
    <e v="#REF!"/>
  </r>
  <r>
    <s v="445662"/>
    <x v="6"/>
    <s v="TVA - D_20"/>
    <s v="NDF"/>
    <n v="2.15"/>
    <d v="2025-10-16T00:00:00"/>
    <s v="DIVERS - MAINTENANCE CUTTER"/>
    <m/>
    <e v="#N/A"/>
    <e v="#N/A"/>
    <n v="88905"/>
    <s v="25000278"/>
    <s v="Clément Perrocheau"/>
    <s v="Q4"/>
    <e v="#REF!"/>
    <e v="#REF!"/>
    <e v="#REF!"/>
  </r>
  <r>
    <s v="445662"/>
    <x v="6"/>
    <s v="TVA - D_20"/>
    <s v="NDF"/>
    <n v="2.2200000000000002"/>
    <d v="2025-11-20T00:00:00"/>
    <s v="PÉAGE - PÉAGE JOURNÉE AXELERA"/>
    <m/>
    <e v="#N/A"/>
    <e v="#N/A"/>
    <n v="93369"/>
    <s v="25000315"/>
    <s v="Kevin Cottet"/>
    <s v="Q4"/>
    <e v="#REF!"/>
    <e v="#REF!"/>
    <e v="#REF!"/>
  </r>
  <r>
    <s v="445662"/>
    <x v="6"/>
    <s v="TVA - D_20"/>
    <s v="NDF"/>
    <n v="2.33"/>
    <d v="2025-06-23T00:00:00"/>
    <s v="PETIT ÉQUIPEMENT / FOURNITURE - CABLE USBC POUR SALLE DE RÉUNION ROUSSILLON"/>
    <m/>
    <e v="#N/A"/>
    <e v="#N/A"/>
    <n v="88781"/>
    <s v="25000200"/>
    <s v="Anne-Sophie Goutierre"/>
    <s v="Q2"/>
    <e v="#REF!"/>
    <e v="#REF!"/>
    <e v="#REF!"/>
  </r>
  <r>
    <s v="445662"/>
    <x v="6"/>
    <s v="TVA - D_20"/>
    <s v="NDF"/>
    <n v="2.4900000000000002"/>
    <d v="2025-01-01T00:00:00"/>
    <s v="NOTE DE FRAIS"/>
    <m/>
    <e v="#N/A"/>
    <e v="#N/A"/>
    <n v="74150"/>
    <s v="24000391"/>
    <s v="Vincent Blanchard"/>
    <s v="Q1"/>
    <e v="#REF!"/>
    <e v="#REF!"/>
    <e v="#REF!"/>
  </r>
  <r>
    <s v="445662"/>
    <x v="6"/>
    <s v="TVA - D_20"/>
    <s v="NDF"/>
    <n v="2.54"/>
    <d v="2025-12-15T00:00:00"/>
    <s v="PETIT ÉQUIPEMENT / FOURNITURE - CAFÉ ROUSSILLON"/>
    <m/>
    <e v="#N/A"/>
    <e v="#N/A"/>
    <n v="95770"/>
    <s v="25000325"/>
    <s v="Marie Rézeau"/>
    <s v="Q4"/>
    <e v="#REF!"/>
    <e v="#REF!"/>
    <e v="#REF!"/>
  </r>
  <r>
    <s v="445662"/>
    <x v="6"/>
    <s v="TVA - D_20"/>
    <s v="NDF"/>
    <n v="2.77"/>
    <d v="2025-04-14T00:00:00"/>
    <s v="NOTE DE FRAIS"/>
    <m/>
    <e v="#N/A"/>
    <e v="#N/A"/>
    <n v="74327"/>
    <s v="25000129"/>
    <s v="Loic masseboeuf"/>
    <s v="Q2"/>
    <e v="#REF!"/>
    <e v="#REF!"/>
    <e v="#REF!"/>
  </r>
  <r>
    <s v="445662"/>
    <x v="6"/>
    <s v="TVA - D_20"/>
    <s v="NDF"/>
    <n v="3.33"/>
    <d v="2025-02-07T00:00:00"/>
    <s v="NOTE DE FRAIS"/>
    <m/>
    <e v="#N/A"/>
    <e v="#N/A"/>
    <n v="73669"/>
    <s v="25000033"/>
    <s v="Vincent Blanchard"/>
    <s v="Q1"/>
    <e v="#REF!"/>
    <e v="#REF!"/>
    <e v="#REF!"/>
  </r>
  <r>
    <s v="445662"/>
    <x v="6"/>
    <s v="TVA - D_20"/>
    <s v="NDF"/>
    <n v="3.49"/>
    <d v="2025-12-01T00:00:00"/>
    <s v="PETIT ÉQUIPEMENT / FOURNITURE - AFFICHAGE POSTERS KB ET LYON"/>
    <m/>
    <e v="#N/A"/>
    <e v="#N/A"/>
    <n v="93349"/>
    <s v="25000304"/>
    <s v="Julie Lacondemine"/>
    <s v="Q4"/>
    <e v="#REF!"/>
    <e v="#REF!"/>
    <e v="#REF!"/>
  </r>
  <r>
    <s v="445662"/>
    <x v="6"/>
    <s v="TVA - D_20"/>
    <s v="NDF"/>
    <n v="3.71"/>
    <d v="2025-09-19T00:00:00"/>
    <s v="PÉAGE - PÉAGE RETOUR"/>
    <m/>
    <e v="#N/A"/>
    <e v="#N/A"/>
    <n v="88515"/>
    <s v="25000241"/>
    <s v="Filipe Gomes"/>
    <s v="Q3"/>
    <e v="#REF!"/>
    <e v="#REF!"/>
    <e v="#REF!"/>
  </r>
  <r>
    <s v="445662"/>
    <x v="6"/>
    <s v="TVA - D_20"/>
    <s v="NDF"/>
    <n v="3.75"/>
    <d v="2025-01-01T00:00:00"/>
    <s v="NDF"/>
    <m/>
    <e v="#N/A"/>
    <e v="#N/A"/>
    <n v="75434"/>
    <s v="24000113"/>
    <s v="Marie-Sarah Adenis"/>
    <s v="Q1"/>
    <e v="#REF!"/>
    <e v="#REF!"/>
    <e v="#REF!"/>
  </r>
  <r>
    <s v="445662"/>
    <x v="6"/>
    <s v="TVA - D_20"/>
    <s v="NDF"/>
    <n v="4"/>
    <d v="2025-10-03T00:00:00"/>
    <s v="PARKING - PARKING GARE VALENCE"/>
    <m/>
    <e v="#N/A"/>
    <e v="#N/A"/>
    <n v="88426"/>
    <s v="25000266"/>
    <s v="Maud Sanchez"/>
    <s v="Q4"/>
    <e v="#REF!"/>
    <e v="#REF!"/>
    <e v="#REF!"/>
  </r>
  <r>
    <s v="445662"/>
    <x v="6"/>
    <s v="TVA - D_20"/>
    <s v="NDF"/>
    <n v="4.17"/>
    <d v="2025-02-19T00:00:00"/>
    <s v="NDF"/>
    <m/>
    <e v="#N/A"/>
    <e v="#N/A"/>
    <n v="75732"/>
    <s v="25000057"/>
    <s v="Guillaume Boissonnat-Wu"/>
    <s v="Q1"/>
    <e v="#REF!"/>
    <e v="#REF!"/>
    <e v="#REF!"/>
  </r>
  <r>
    <s v="445662"/>
    <x v="6"/>
    <s v="TVA - D_20"/>
    <s v="NDF"/>
    <n v="4.22"/>
    <d v="2025-09-18T00:00:00"/>
    <s v="DIVERS - MATÉRIEL MAINTENANCE"/>
    <m/>
    <e v="#N/A"/>
    <e v="#N/A"/>
    <n v="88481"/>
    <s v="25000233"/>
    <s v="Clément Perrocheau"/>
    <s v="Q3"/>
    <e v="#REF!"/>
    <e v="#REF!"/>
    <e v="#REF!"/>
  </r>
  <r>
    <s v="445662"/>
    <x v="6"/>
    <s v="TVA - D_20"/>
    <s v="NDF"/>
    <n v="4.3499999999999996"/>
    <d v="2025-03-14T00:00:00"/>
    <s v="NDF"/>
    <m/>
    <e v="#N/A"/>
    <e v="#N/A"/>
    <n v="75772"/>
    <s v="25000074"/>
    <s v="Benjamin Barry"/>
    <s v="Q1"/>
    <e v="#REF!"/>
    <e v="#REF!"/>
    <e v="#REF!"/>
  </r>
  <r>
    <s v="445662"/>
    <x v="6"/>
    <s v="TVA - D_20"/>
    <s v="NDF"/>
    <n v="4.5"/>
    <d v="2025-03-03T00:00:00"/>
    <s v="NDF"/>
    <m/>
    <e v="#N/A"/>
    <e v="#N/A"/>
    <n v="76475"/>
    <s v="25000060"/>
    <s v="Jérémie Blache"/>
    <s v="Q1"/>
    <e v="#REF!"/>
    <e v="#REF!"/>
    <e v="#REF!"/>
  </r>
  <r>
    <s v="445662"/>
    <x v="6"/>
    <s v="TVA - D_20"/>
    <s v="NDF"/>
    <n v="4.9800000000000004"/>
    <d v="2025-04-14T00:00:00"/>
    <s v="NOTE DE FRAIS"/>
    <m/>
    <e v="#N/A"/>
    <e v="#N/A"/>
    <n v="74334"/>
    <s v="25000133"/>
    <s v="Thibault Dejardin"/>
    <s v="Q2"/>
    <e v="#REF!"/>
    <e v="#REF!"/>
    <e v="#REF!"/>
  </r>
  <r>
    <s v="445662"/>
    <x v="6"/>
    <s v="TVA - D_20"/>
    <s v="NDF"/>
    <n v="5"/>
    <d v="2025-11-24T00:00:00"/>
    <s v="PARKING - PARKING TOULOUSE"/>
    <m/>
    <e v="#N/A"/>
    <e v="#N/A"/>
    <n v="90857"/>
    <s v="25000298"/>
    <s v="Jérémie Blache"/>
    <s v="Q4"/>
    <e v="#REF!"/>
    <e v="#REF!"/>
    <e v="#REF!"/>
  </r>
  <r>
    <s v="445662"/>
    <x v="6"/>
    <s v="TVA - D_20"/>
    <s v="NDF"/>
    <n v="5.23"/>
    <d v="2025-10-02T00:00:00"/>
    <s v="PARKING - PARKING GARE TGV"/>
    <m/>
    <e v="#N/A"/>
    <e v="#N/A"/>
    <n v="88413"/>
    <s v="25000263"/>
    <s v="Yves Combret"/>
    <s v="Q4"/>
    <e v="#REF!"/>
    <e v="#REF!"/>
    <e v="#REF!"/>
  </r>
  <r>
    <s v="445662"/>
    <x v="6"/>
    <s v="TVA - D_20"/>
    <s v="NDF"/>
    <n v="5.34"/>
    <d v="2025-04-29T00:00:00"/>
    <s v="NOTE DE FRAIS"/>
    <m/>
    <e v="#N/A"/>
    <e v="#N/A"/>
    <n v="74375"/>
    <s v="25000134"/>
    <s v="Julie Lacondemine"/>
    <s v="Q2"/>
    <e v="#REF!"/>
    <e v="#REF!"/>
    <e v="#REF!"/>
  </r>
  <r>
    <s v="445662"/>
    <x v="6"/>
    <s v="TVA - D_20"/>
    <s v="NDF"/>
    <n v="5.67"/>
    <d v="2025-11-24T00:00:00"/>
    <s v="PARKING - PARKING GARE VALENCE"/>
    <m/>
    <e v="#N/A"/>
    <e v="#N/A"/>
    <n v="90886"/>
    <s v="25000301"/>
    <s v="Maud Sanchez"/>
    <s v="Q4"/>
    <e v="#REF!"/>
    <e v="#REF!"/>
    <e v="#REF!"/>
  </r>
  <r>
    <s v="445662"/>
    <x v="6"/>
    <s v="TVA - D_20"/>
    <s v="NDF"/>
    <n v="5.99"/>
    <d v="2025-06-13T00:00:00"/>
    <s v="PETIT ÉQUIPEMENT / FOURNITURE - INSERTS EN MOUSSE POUR RANGEMENT VERRERIE DANS TIROIRS LABO"/>
    <m/>
    <e v="#N/A"/>
    <e v="#N/A"/>
    <n v="88759"/>
    <s v="25000200"/>
    <s v="Anne-Sophie Goutierre"/>
    <s v="Q2"/>
    <e v="#REF!"/>
    <e v="#REF!"/>
    <e v="#REF!"/>
  </r>
  <r>
    <s v="445662"/>
    <x v="6"/>
    <s v="TVA - D_20"/>
    <s v="NDF"/>
    <n v="6.17"/>
    <d v="2025-06-13T00:00:00"/>
    <s v="PETIT ÉQUIPEMENT / FOURNITURE - 2 LIVRES SUR ÉCOLOGIE"/>
    <m/>
    <e v="#N/A"/>
    <e v="#N/A"/>
    <n v="88801"/>
    <s v="25000190"/>
    <s v="Marie-Sarah Adenis"/>
    <s v="Q2"/>
    <e v="#REF!"/>
    <e v="#REF!"/>
    <e v="#REF!"/>
  </r>
  <r>
    <s v="445662"/>
    <x v="6"/>
    <s v="TVA - D_20"/>
    <s v="NDF"/>
    <n v="6.26"/>
    <d v="2025-09-17T00:00:00"/>
    <s v="PÉAGE - PÉAGE SÉMINAIRE"/>
    <m/>
    <e v="#N/A"/>
    <e v="#N/A"/>
    <n v="88988"/>
    <s v="25000257"/>
    <s v="Anne-Sophie Goutierre"/>
    <s v="Q3"/>
    <e v="#REF!"/>
    <e v="#REF!"/>
    <e v="#REF!"/>
  </r>
  <r>
    <s v="445662"/>
    <x v="6"/>
    <s v="TVA - D_20"/>
    <s v="NDF"/>
    <n v="6.84"/>
    <d v="2025-04-24T00:00:00"/>
    <s v="NOTE DE FRAIS"/>
    <m/>
    <e v="#N/A"/>
    <e v="#N/A"/>
    <n v="74360"/>
    <s v="25000127"/>
    <s v="Jérémie Blache"/>
    <s v="Q2"/>
    <e v="#REF!"/>
    <e v="#REF!"/>
    <e v="#REF!"/>
  </r>
  <r>
    <s v="445662"/>
    <x v="6"/>
    <s v="TVA - D_20"/>
    <s v="NDF"/>
    <n v="7.06"/>
    <d v="2025-07-24T00:00:00"/>
    <s v="CARBURANT (GAZOLE) - ESSENCE + REPAS"/>
    <m/>
    <e v="#N/A"/>
    <e v="#N/A"/>
    <n v="88733"/>
    <s v="25000196"/>
    <s v="Benjamin Barry"/>
    <s v="Q3"/>
    <e v="#REF!"/>
    <e v="#REF!"/>
    <e v="#REF!"/>
  </r>
  <r>
    <s v="445662"/>
    <x v="6"/>
    <s v="TVA - D_20"/>
    <s v="NDF"/>
    <n v="7.25"/>
    <d v="2025-08-29T00:00:00"/>
    <s v="DIVERS - CHRONOPOST"/>
    <m/>
    <e v="#N/A"/>
    <e v="#N/A"/>
    <n v="88097"/>
    <s v="25000213"/>
    <s v="Vincent Blanchard"/>
    <s v="Q3"/>
    <e v="#REF!"/>
    <e v="#REF!"/>
    <e v="#REF!"/>
  </r>
  <r>
    <s v="445662"/>
    <x v="6"/>
    <s v="TVA - D_20"/>
    <s v="NDF"/>
    <n v="7.8"/>
    <d v="2025-09-04T00:00:00"/>
    <s v="CARBURANT (GAZOLE) - ESSENCE"/>
    <m/>
    <e v="#N/A"/>
    <e v="#N/A"/>
    <n v="88575"/>
    <s v="25000214"/>
    <s v="Emilie Amillastré"/>
    <s v="Q3"/>
    <e v="#REF!"/>
    <e v="#REF!"/>
    <e v="#REF!"/>
  </r>
  <r>
    <s v="445662"/>
    <x v="6"/>
    <s v="TVA - D_20"/>
    <s v="NDF"/>
    <n v="7.89"/>
    <d v="2025-09-17T00:00:00"/>
    <s v="PÉAGE - PEAGE"/>
    <m/>
    <e v="#N/A"/>
    <e v="#N/A"/>
    <n v="88486"/>
    <s v="25000234"/>
    <s v="Jérémie Blache"/>
    <s v="Q3"/>
    <e v="#REF!"/>
    <e v="#REF!"/>
    <e v="#REF!"/>
  </r>
  <r>
    <s v="445662"/>
    <x v="6"/>
    <s v="TVA - D_20"/>
    <s v="NDF"/>
    <n v="8.11"/>
    <d v="2025-09-24T00:00:00"/>
    <s v="PETIT ÉQUIPEMENT / FOURNITURE - REMPLACEMENT DE LA SOURIS"/>
    <m/>
    <e v="#N/A"/>
    <e v="#N/A"/>
    <n v="88997"/>
    <s v="25000270"/>
    <s v="Kevin Cottet"/>
    <s v="Q3"/>
    <e v="#REF!"/>
    <e v="#REF!"/>
    <e v="#REF!"/>
  </r>
  <r>
    <s v="445662"/>
    <x v="6"/>
    <s v="TVA - D_20"/>
    <s v="NDF"/>
    <n v="8.33"/>
    <d v="2025-01-01T00:00:00"/>
    <s v="NOTE DE FRAIS"/>
    <m/>
    <e v="#N/A"/>
    <e v="#N/A"/>
    <n v="73605"/>
    <s v="25000013"/>
    <s v="Jérémie Blache"/>
    <s v="Q1"/>
    <e v="#REF!"/>
    <e v="#REF!"/>
    <e v="#REF!"/>
  </r>
  <r>
    <s v="445662"/>
    <x v="6"/>
    <s v="TVA - D_20"/>
    <s v="NDF"/>
    <n v="8.33"/>
    <d v="2025-02-21T00:00:00"/>
    <s v="NOTE DE FRAIS"/>
    <m/>
    <e v="#N/A"/>
    <e v="#N/A"/>
    <n v="73697"/>
    <s v="25000049"/>
    <s v="Anne-Sophie Goutierre"/>
    <s v="Q1"/>
    <e v="#REF!"/>
    <e v="#REF!"/>
    <e v="#REF!"/>
  </r>
  <r>
    <s v="445662"/>
    <x v="6"/>
    <s v="TVA - D_20"/>
    <s v="NDF"/>
    <n v="8.33"/>
    <d v="2025-11-27T00:00:00"/>
    <s v="PETIT ÉQUIPEMENT / FOURNITURE - CONNECTIQUE POUR PICO PROJECTEUR"/>
    <m/>
    <e v="#N/A"/>
    <e v="#N/A"/>
    <n v="93337"/>
    <s v="25000304"/>
    <s v="Julie Lacondemine"/>
    <s v="Q4"/>
    <e v="#REF!"/>
    <e v="#REF!"/>
    <e v="#REF!"/>
  </r>
  <r>
    <s v="445662"/>
    <x v="6"/>
    <s v="TVA - D_20"/>
    <s v="NDF"/>
    <n v="8.4"/>
    <d v="2025-03-20T00:00:00"/>
    <s v="NOTE DE FRAIS"/>
    <m/>
    <e v="#N/A"/>
    <e v="#N/A"/>
    <n v="74202"/>
    <s v="25000077"/>
    <s v="Clément Perrocheau"/>
    <s v="Q1"/>
    <e v="#REF!"/>
    <e v="#REF!"/>
    <e v="#REF!"/>
  </r>
  <r>
    <s v="445662"/>
    <x v="6"/>
    <s v="TVA - D_20"/>
    <s v="NDF"/>
    <n v="8.7200000000000006"/>
    <d v="2025-01-01T00:00:00"/>
    <s v="NDF"/>
    <m/>
    <e v="#N/A"/>
    <e v="#N/A"/>
    <n v="75645"/>
    <s v="24000393"/>
    <s v="Kevin Cottet"/>
    <s v="Q1"/>
    <e v="#REF!"/>
    <e v="#REF!"/>
    <e v="#REF!"/>
  </r>
  <r>
    <s v="445662"/>
    <x v="6"/>
    <s v="TVA - D_20"/>
    <s v="NDF"/>
    <n v="8.83"/>
    <d v="2025-08-22T00:00:00"/>
    <s v="DIVERS - ACCESSOIRES BUREAU LYON"/>
    <m/>
    <e v="#N/A"/>
    <e v="#N/A"/>
    <n v="88082"/>
    <s v="25000211"/>
    <s v="Julie Lacondemine"/>
    <s v="Q3"/>
    <e v="#REF!"/>
    <e v="#REF!"/>
    <e v="#REF!"/>
  </r>
  <r>
    <s v="445662"/>
    <x v="6"/>
    <s v="TVA - D_20"/>
    <s v="NDF"/>
    <n v="9.83"/>
    <d v="2025-12-01T00:00:00"/>
    <s v="DIVERS - REMPLACEMENT CHARGEUR ORDINATEUR"/>
    <m/>
    <e v="#N/A"/>
    <e v="#N/A"/>
    <n v="95820"/>
    <s v="25000336"/>
    <s v="Guillaume Boissonnat-Wu"/>
    <s v="Q4"/>
    <e v="#REF!"/>
    <e v="#REF!"/>
    <e v="#REF!"/>
  </r>
  <r>
    <s v="445662"/>
    <x v="6"/>
    <s v="TVA - D_20"/>
    <s v="NDF"/>
    <n v="10.029999999999999"/>
    <d v="2025-01-07T00:00:00"/>
    <s v="NOTE DE FRAIS"/>
    <m/>
    <e v="#N/A"/>
    <e v="#N/A"/>
    <n v="74170"/>
    <s v="25000014"/>
    <s v="Anne-Sophie Goutierre"/>
    <s v="Q1"/>
    <e v="#REF!"/>
    <e v="#REF!"/>
    <e v="#REF!"/>
  </r>
  <r>
    <s v="445662"/>
    <x v="6"/>
    <s v="TVA - D_20"/>
    <s v="NDF"/>
    <n v="10.09"/>
    <d v="2025-10-03T00:00:00"/>
    <s v="PARKING - PARKING GARE PART DIEU PENDANT CS (ANNULATION TER CAR GRÈVE)"/>
    <m/>
    <e v="#N/A"/>
    <e v="#N/A"/>
    <n v="88985"/>
    <s v="25000257"/>
    <s v="Anne-Sophie Goutierre"/>
    <s v="Q4"/>
    <e v="#REF!"/>
    <e v="#REF!"/>
    <e v="#REF!"/>
  </r>
  <r>
    <s v="445662"/>
    <x v="6"/>
    <s v="TVA - D_20"/>
    <s v="NDF"/>
    <n v="10.89"/>
    <d v="2025-02-10T00:00:00"/>
    <s v="NDF"/>
    <m/>
    <e v="#N/A"/>
    <e v="#N/A"/>
    <n v="75724"/>
    <s v="25000034"/>
    <s v="Anne-Sophie Goutierre"/>
    <s v="Q1"/>
    <e v="#REF!"/>
    <e v="#REF!"/>
    <e v="#REF!"/>
  </r>
  <r>
    <s v="445662"/>
    <x v="6"/>
    <s v="TVA - D_20"/>
    <s v="NDF"/>
    <n v="10.98"/>
    <d v="2025-01-17T00:00:00"/>
    <s v="NOTE DE FRAIS"/>
    <m/>
    <e v="#N/A"/>
    <e v="#N/A"/>
    <n v="73625"/>
    <s v="25000017"/>
    <s v="Julie Lacondemine"/>
    <s v="Q1"/>
    <e v="#REF!"/>
    <e v="#REF!"/>
    <e v="#REF!"/>
  </r>
  <r>
    <s v="445662"/>
    <x v="6"/>
    <s v="TVA - D_20"/>
    <s v="NDF"/>
    <n v="11.02"/>
    <d v="2025-06-13T00:00:00"/>
    <s v="PETIT ÉQUIPEMENT / FOURNITURE - COURSES ROUSSILLON (CAFÉ, ÉPONGES, SACS POUBELLE,...)"/>
    <m/>
    <e v="#N/A"/>
    <e v="#N/A"/>
    <n v="88774"/>
    <s v="25000200"/>
    <s v="Anne-Sophie Goutierre"/>
    <s v="Q2"/>
    <e v="#REF!"/>
    <e v="#REF!"/>
    <e v="#REF!"/>
  </r>
  <r>
    <s v="445662"/>
    <x v="6"/>
    <s v="TVA - D_20"/>
    <s v="NDF"/>
    <n v="12.52"/>
    <d v="2025-03-14T00:00:00"/>
    <s v="NDF"/>
    <m/>
    <e v="#N/A"/>
    <e v="#N/A"/>
    <n v="75768"/>
    <s v="25000053"/>
    <s v="Maud Sanchez"/>
    <s v="Q1"/>
    <e v="#REF!"/>
    <e v="#REF!"/>
    <e v="#REF!"/>
  </r>
  <r>
    <s v="445662"/>
    <x v="6"/>
    <s v="TVA - D_20"/>
    <s v="NDF"/>
    <n v="13.05"/>
    <d v="2025-10-03T00:00:00"/>
    <s v="PARKING - PARKING INDIGO"/>
    <m/>
    <e v="#N/A"/>
    <e v="#N/A"/>
    <n v="88599"/>
    <s v="25000264"/>
    <s v="Gaëlle Buche"/>
    <s v="Q4"/>
    <e v="#REF!"/>
    <e v="#REF!"/>
    <e v="#REF!"/>
  </r>
  <r>
    <s v="445662"/>
    <x v="6"/>
    <s v="TVA - D_20"/>
    <s v="NDF"/>
    <n v="13.86"/>
    <d v="2025-03-11T00:00:00"/>
    <s v="NOTE DE FRAIS"/>
    <m/>
    <e v="#N/A"/>
    <e v="#N/A"/>
    <n v="74276"/>
    <s v="25000107"/>
    <s v="Anne-Sophie Goutierre"/>
    <s v="Q1"/>
    <e v="#REF!"/>
    <e v="#REF!"/>
    <e v="#REF!"/>
  </r>
  <r>
    <s v="445662"/>
    <x v="6"/>
    <s v="TVA - D_20"/>
    <s v="NDF"/>
    <n v="14.39"/>
    <d v="2025-07-08T00:00:00"/>
    <s v="PARKING - PARKING LYON PART DIEU"/>
    <m/>
    <e v="#N/A"/>
    <e v="#N/A"/>
    <n v="88764"/>
    <s v="25000200"/>
    <s v="Anne-Sophie Goutierre"/>
    <s v="Q3"/>
    <e v="#REF!"/>
    <e v="#REF!"/>
    <e v="#REF!"/>
  </r>
  <r>
    <s v="445662"/>
    <x v="6"/>
    <s v="TVA - D_20"/>
    <s v="NDF"/>
    <n v="14.62"/>
    <d v="2025-01-07T00:00:00"/>
    <s v="NDF"/>
    <m/>
    <e v="#N/A"/>
    <e v="#N/A"/>
    <n v="75675"/>
    <s v="3307202564"/>
    <s v="Pierre-Yves Bolle"/>
    <s v="Q1"/>
    <e v="#REF!"/>
    <e v="#REF!"/>
    <e v="#REF!"/>
  </r>
  <r>
    <s v="445662"/>
    <x v="6"/>
    <s v="TVA - D_20"/>
    <s v="NDF"/>
    <n v="15.17"/>
    <d v="2025-03-19T00:00:00"/>
    <s v="NOTE DE FRAIS"/>
    <m/>
    <e v="#N/A"/>
    <e v="#N/A"/>
    <n v="73724"/>
    <s v="25000076"/>
    <s v="Julie Lacondemine"/>
    <s v="Q1"/>
    <e v="#REF!"/>
    <e v="#REF!"/>
    <e v="#REF!"/>
  </r>
  <r>
    <s v="445662"/>
    <x v="6"/>
    <s v="TVA - D_20"/>
    <s v="NDF"/>
    <n v="15.74"/>
    <d v="2025-02-24T00:00:00"/>
    <s v="NDF"/>
    <m/>
    <e v="#N/A"/>
    <e v="#N/A"/>
    <n v="75445"/>
    <s v="25000085"/>
    <s v="Yves Combret"/>
    <s v="Q1"/>
    <e v="#REF!"/>
    <e v="#REF!"/>
    <e v="#REF!"/>
  </r>
  <r>
    <s v="445662"/>
    <x v="6"/>
    <s v="TVA - D_20"/>
    <s v="NDF"/>
    <n v="15.9"/>
    <d v="2025-04-05T00:00:00"/>
    <s v="NDF"/>
    <m/>
    <e v="#N/A"/>
    <e v="#N/A"/>
    <n v="75834"/>
    <s v="25000106"/>
    <s v="Yves Combret"/>
    <s v="Q2"/>
    <e v="#REF!"/>
    <e v="#REF!"/>
    <e v="#REF!"/>
  </r>
  <r>
    <s v="445662"/>
    <x v="6"/>
    <s v="TVA - D_20"/>
    <s v="NDF"/>
    <n v="16"/>
    <d v="2025-01-01T00:00:00"/>
    <s v="NDF"/>
    <m/>
    <e v="#N/A"/>
    <e v="#N/A"/>
    <n v="75665"/>
    <s v="25000009"/>
    <s v="Pauline Rullière"/>
    <s v="Q1"/>
    <e v="#REF!"/>
    <e v="#REF!"/>
    <e v="#REF!"/>
  </r>
  <r>
    <s v="445662"/>
    <x v="6"/>
    <s v="TVA - D_20"/>
    <s v="NDF"/>
    <n v="16.04"/>
    <d v="2025-11-24T00:00:00"/>
    <s v="PETIT ÉQUIPEMENT / FOURNITURE - DIVERS FOURNITURES BUREAU ROUSSILLON (CAFÉ,...)"/>
    <m/>
    <e v="#N/A"/>
    <e v="#N/A"/>
    <n v="90998"/>
    <s v="25000199"/>
    <s v="Anne-Sophie Goutierre"/>
    <s v="Q4"/>
    <e v="#REF!"/>
    <e v="#REF!"/>
    <e v="#REF!"/>
  </r>
  <r>
    <s v="445662"/>
    <x v="6"/>
    <s v="TVA - D_20"/>
    <s v="NDF"/>
    <n v="16.07"/>
    <d v="2025-01-14T00:00:00"/>
    <s v="NOTE DE FRAIS"/>
    <m/>
    <e v="#N/A"/>
    <e v="#N/A"/>
    <n v="73622"/>
    <s v="25000010"/>
    <s v="Clément Perrocheau"/>
    <s v="Q1"/>
    <e v="#REF!"/>
    <e v="#REF!"/>
    <e v="#REF!"/>
  </r>
  <r>
    <s v="445662"/>
    <x v="6"/>
    <s v="TVA - D_20"/>
    <s v="NDF"/>
    <n v="17.03"/>
    <d v="2025-07-01T00:00:00"/>
    <s v="PETIT ÉQUIPEMENT / FOURNITURE - ACHAT VENTILATEUR BUREAU LYON"/>
    <m/>
    <e v="#N/A"/>
    <e v="#N/A"/>
    <n v="88810"/>
    <s v="25000202"/>
    <s v="Pierre-Yves Bolle"/>
    <s v="Q3"/>
    <e v="#REF!"/>
    <e v="#REF!"/>
    <e v="#REF!"/>
  </r>
  <r>
    <s v="445662"/>
    <x v="6"/>
    <s v="TVA - D_20"/>
    <s v="NDF"/>
    <n v="17.03"/>
    <d v="2025-11-14T00:00:00"/>
    <s v="DIVERS - LOCATION DE VOITURE SIXT - DÉPLACEMENT TRIALS BERTO"/>
    <m/>
    <e v="#N/A"/>
    <e v="#N/A"/>
    <n v="93396"/>
    <s v="25000314"/>
    <s v="Pierre-Yves Bolle"/>
    <s v="Q4"/>
    <e v="#REF!"/>
    <e v="#REF!"/>
    <e v="#REF!"/>
  </r>
  <r>
    <s v="445662"/>
    <x v="6"/>
    <s v="TVA - D_20"/>
    <s v="NDF"/>
    <n v="17.14"/>
    <d v="2025-03-25T00:00:00"/>
    <s v="NDF"/>
    <m/>
    <e v="#N/A"/>
    <e v="#N/A"/>
    <n v="75788"/>
    <s v="25000108"/>
    <s v="Mylène Menanteau"/>
    <s v="Q1"/>
    <e v="#REF!"/>
    <e v="#REF!"/>
    <e v="#REF!"/>
  </r>
  <r>
    <s v="445662"/>
    <x v="6"/>
    <s v="TVA - D_20"/>
    <s v="NDF"/>
    <n v="17.739999999999998"/>
    <d v="2025-05-05T00:00:00"/>
    <s v="DIVERS - CODIR"/>
    <m/>
    <e v="#N/A"/>
    <e v="#N/A"/>
    <n v="89174"/>
    <s v="25000111"/>
    <s v="Pauline Rullière"/>
    <s v="Q2"/>
    <e v="#REF!"/>
    <e v="#REF!"/>
    <e v="#REF!"/>
  </r>
  <r>
    <s v="445662"/>
    <x v="6"/>
    <s v="TVA - D_20"/>
    <s v="NDF"/>
    <n v="19.22"/>
    <d v="2025-09-17T00:00:00"/>
    <s v="PÉAGE - PÉAGE ALLER SÉMINAIRE"/>
    <m/>
    <e v="#N/A"/>
    <e v="#N/A"/>
    <n v="88497"/>
    <s v="25000235"/>
    <s v="Nicolas Canu"/>
    <s v="Q3"/>
    <e v="#REF!"/>
    <e v="#REF!"/>
    <e v="#REF!"/>
  </r>
  <r>
    <s v="445662"/>
    <x v="6"/>
    <s v="TVA - D_20"/>
    <s v="NDF"/>
    <n v="20.16"/>
    <d v="2025-09-19T00:00:00"/>
    <s v="PÉAGE - PÉAGE 2"/>
    <m/>
    <e v="#N/A"/>
    <e v="#N/A"/>
    <n v="88504"/>
    <s v="25000237"/>
    <s v="Benjamin Barry"/>
    <s v="Q3"/>
    <e v="#REF!"/>
    <e v="#REF!"/>
    <e v="#REF!"/>
  </r>
  <r>
    <s v="445662"/>
    <x v="6"/>
    <s v="TVA - D_20"/>
    <s v="NDF"/>
    <n v="22.66"/>
    <d v="2025-11-24T00:00:00"/>
    <s v="DIVERS - ACHAT ÉCRAN BUREAU LYON"/>
    <m/>
    <e v="#N/A"/>
    <e v="#N/A"/>
    <n v="90896"/>
    <s v="25000293"/>
    <s v="Julie Lacondemine"/>
    <s v="Q4"/>
    <e v="#REF!"/>
    <e v="#REF!"/>
    <e v="#REF!"/>
  </r>
  <r>
    <s v="445662"/>
    <x v="6"/>
    <s v="TVA - D_20"/>
    <s v="NDF"/>
    <n v="24.6"/>
    <d v="2025-03-05T00:00:00"/>
    <s v="NDF"/>
    <m/>
    <e v="#N/A"/>
    <e v="#N/A"/>
    <n v="75752"/>
    <s v="25000065"/>
    <s v="Guillaume Boissonnat-Wu"/>
    <s v="Q1"/>
    <e v="#REF!"/>
    <e v="#REF!"/>
    <e v="#REF!"/>
  </r>
  <r>
    <s v="445662"/>
    <x v="6"/>
    <s v="TVA - D_20"/>
    <s v="NDF"/>
    <n v="24.7"/>
    <d v="2025-09-25T00:00:00"/>
    <s v="CARBURANT (GAZOLE) - ESSENCE SÉMINAIRE"/>
    <m/>
    <e v="#N/A"/>
    <e v="#N/A"/>
    <n v="88552"/>
    <s v="25000248"/>
    <s v="Pierre-Yves Bolle"/>
    <s v="Q3"/>
    <e v="#REF!"/>
    <e v="#REF!"/>
    <e v="#REF!"/>
  </r>
  <r>
    <s v="445662"/>
    <x v="6"/>
    <s v="TVA - D_20"/>
    <s v="NDF"/>
    <n v="24.95"/>
    <d v="2025-04-22T00:00:00"/>
    <s v="25000139"/>
    <m/>
    <e v="#N/A"/>
    <e v="#N/A"/>
    <n v="74351"/>
    <s v="25000139"/>
    <s v="Emilie Amillastré"/>
    <s v="Q2"/>
    <e v="#REF!"/>
    <e v="#REF!"/>
    <e v="#REF!"/>
  </r>
  <r>
    <s v="445662"/>
    <x v="6"/>
    <s v="TVA - D_20"/>
    <s v="NDF"/>
    <n v="25.03"/>
    <d v="2025-01-30T00:00:00"/>
    <s v="NDF"/>
    <m/>
    <e v="#N/A"/>
    <e v="#N/A"/>
    <n v="75694"/>
    <s v="25000023"/>
    <s v="Guillaume Boissonnat-Wu"/>
    <s v="Q1"/>
    <e v="#REF!"/>
    <e v="#REF!"/>
    <e v="#REF!"/>
  </r>
  <r>
    <s v="445662"/>
    <x v="6"/>
    <s v="TVA - D_20"/>
    <s v="NDF"/>
    <n v="25.03"/>
    <d v="2025-04-07T00:00:00"/>
    <s v="NOTE DE FRAIS"/>
    <m/>
    <e v="#N/A"/>
    <e v="#N/A"/>
    <n v="74296"/>
    <s v="25000109"/>
    <s v="Mylène Menanteau"/>
    <s v="Q2"/>
    <e v="#REF!"/>
    <e v="#REF!"/>
    <e v="#REF!"/>
  </r>
  <r>
    <s v="445662"/>
    <x v="6"/>
    <s v="TVA - D_20"/>
    <s v="NDF"/>
    <n v="26.63"/>
    <d v="2025-07-11T00:00:00"/>
    <s v="PETIT ÉQUIPEMENT / FOURNITURE - DIVERS TRAVAUX (RÉPARATION VITRES CASSÉES POUR ÉVITER LES PIGEONS)"/>
    <m/>
    <e v="#N/A"/>
    <e v="#N/A"/>
    <n v="88854"/>
    <s v="25000194"/>
    <s v="Marie Rézeau"/>
    <s v="Q3"/>
    <e v="#REF!"/>
    <e v="#REF!"/>
    <e v="#REF!"/>
  </r>
  <r>
    <s v="445662"/>
    <x v="6"/>
    <s v="TVA - D_20"/>
    <s v="NDF"/>
    <n v="29.05"/>
    <d v="2025-11-24T00:00:00"/>
    <s v="CARBURANT (GAZOLE) - ESSENCE TOULOUSE"/>
    <m/>
    <e v="#N/A"/>
    <e v="#N/A"/>
    <n v="90833"/>
    <s v="25000296"/>
    <s v="Jérémie Blache"/>
    <s v="Q4"/>
    <e v="#REF!"/>
    <e v="#REF!"/>
    <e v="#REF!"/>
  </r>
  <r>
    <s v="445662"/>
    <x v="6"/>
    <s v="TVA - D_20"/>
    <s v="NDF"/>
    <n v="30"/>
    <d v="2025-04-01T00:00:00"/>
    <s v="NDF"/>
    <m/>
    <e v="#N/A"/>
    <e v="#N/A"/>
    <n v="76499"/>
    <s v="25000100"/>
    <s v="Julie Lacondemine"/>
    <s v="Q2"/>
    <e v="#REF!"/>
    <e v="#REF!"/>
    <e v="#REF!"/>
  </r>
  <r>
    <s v="445662"/>
    <x v="6"/>
    <s v="TVA - D_20"/>
    <s v="NDF"/>
    <n v="30.51"/>
    <d v="2025-09-18T00:00:00"/>
    <s v="DIVERS - COURSES SÉMINAIRE"/>
    <m/>
    <e v="#N/A"/>
    <e v="#N/A"/>
    <n v="88545"/>
    <s v="25000220"/>
    <s v="Julie Lacondemine"/>
    <s v="Q3"/>
    <e v="#REF!"/>
    <e v="#REF!"/>
    <e v="#REF!"/>
  </r>
  <r>
    <s v="445662"/>
    <x v="6"/>
    <s v="TVA - D_20"/>
    <s v="NDF"/>
    <n v="32.67"/>
    <d v="2025-04-15T00:00:00"/>
    <s v="NOTE DE FRAIS"/>
    <m/>
    <e v="#N/A"/>
    <e v="#N/A"/>
    <n v="74337"/>
    <s v="25000115"/>
    <s v="Eugénie Terrangle"/>
    <s v="Q2"/>
    <e v="#REF!"/>
    <e v="#REF!"/>
    <e v="#REF!"/>
  </r>
  <r>
    <s v="445662"/>
    <x v="6"/>
    <s v="TVA - D_20"/>
    <s v="NDF"/>
    <n v="33"/>
    <d v="2025-11-24T00:00:00"/>
    <s v="TÉLÉPHONE PORTABLE - RÉPARATION ÉCRAN TÉLÉPHONE"/>
    <m/>
    <e v="#N/A"/>
    <e v="#N/A"/>
    <n v="90920"/>
    <s v="25000288"/>
    <s v="Guillaume Boissonnat-Wu"/>
    <s v="Q4"/>
    <e v="#REF!"/>
    <e v="#REF!"/>
    <e v="#REF!"/>
  </r>
  <r>
    <s v="445662"/>
    <x v="6"/>
    <s v="TVA - D_20"/>
    <s v="NDF"/>
    <n v="33.17"/>
    <d v="2025-09-01T00:00:00"/>
    <s v="DIVERS - CARTE ACCOR HOTEL"/>
    <m/>
    <e v="#N/A"/>
    <e v="#N/A"/>
    <n v="88094"/>
    <s v="25000215"/>
    <s v="Jérémie Blache"/>
    <s v="Q3"/>
    <e v="#REF!"/>
    <e v="#REF!"/>
    <e v="#REF!"/>
  </r>
  <r>
    <s v="445662"/>
    <x v="6"/>
    <s v="TVA - D_20"/>
    <s v="NDF"/>
    <n v="36.78"/>
    <d v="2025-01-01T00:00:00"/>
    <s v="NDF"/>
    <m/>
    <e v="#N/A"/>
    <e v="#N/A"/>
    <n v="75657"/>
    <s v="24000362"/>
    <s v="Marie Rézeau"/>
    <s v="Q1"/>
    <e v="#REF!"/>
    <e v="#REF!"/>
    <e v="#REF!"/>
  </r>
  <r>
    <s v="445662"/>
    <x v="6"/>
    <s v="TVA - D_20"/>
    <s v="NDF"/>
    <n v="39.83"/>
    <d v="2025-12-17T00:00:00"/>
    <s v="PÉAGE - PÉAGE RETOUR"/>
    <m/>
    <e v="#N/A"/>
    <e v="#N/A"/>
    <n v="95792"/>
    <s v="25000333"/>
    <s v="Clément Perrocheau"/>
    <s v="Q4"/>
    <e v="#REF!"/>
    <e v="#REF!"/>
    <e v="#REF!"/>
  </r>
  <r>
    <s v="445662"/>
    <x v="6"/>
    <s v="TVA - D_20"/>
    <s v="NDF"/>
    <n v="51.29"/>
    <d v="2025-04-10T00:00:00"/>
    <s v="NOTE DE FRAIS"/>
    <m/>
    <e v="#N/A"/>
    <e v="#N/A"/>
    <n v="74314"/>
    <s v="25000112"/>
    <s v="Marie Rézeau"/>
    <s v="Q2"/>
    <e v="#REF!"/>
    <e v="#REF!"/>
    <e v="#REF!"/>
  </r>
  <r>
    <s v="445662"/>
    <x v="6"/>
    <s v="TVA - D_20"/>
    <s v="NDF"/>
    <n v="74.98"/>
    <d v="2025-03-06T00:00:00"/>
    <s v="NDF"/>
    <m/>
    <e v="#N/A"/>
    <e v="#N/A"/>
    <n v="75758"/>
    <s v="25000062"/>
    <s v="Nicolas Canu"/>
    <s v="Q1"/>
    <e v="#REF!"/>
    <e v="#REF!"/>
    <e v="#REF!"/>
  </r>
  <r>
    <s v="445662"/>
    <x v="6"/>
    <s v="TVA - D_20"/>
    <s v="NDF"/>
    <n v="92.49"/>
    <d v="2025-11-24T00:00:00"/>
    <s v="CARBURANT (GAZOLE) - PLEIN ESSENCE AÉROPORT"/>
    <m/>
    <e v="#N/A"/>
    <e v="#N/A"/>
    <n v="90960"/>
    <s v="25000265"/>
    <s v="Marie Rézeau"/>
    <s v="Q4"/>
    <e v="#REF!"/>
    <e v="#REF!"/>
    <e v="#REF!"/>
  </r>
  <r>
    <s v="445662"/>
    <x v="6"/>
    <s v="TVA - D_20"/>
    <s v="NDF"/>
    <n v="101.24"/>
    <d v="2025-03-19T00:00:00"/>
    <s v="NDF"/>
    <m/>
    <e v="#N/A"/>
    <e v="#N/A"/>
    <n v="75780"/>
    <s v="250000021"/>
    <s v="Marie Rézeau"/>
    <s v="Q1"/>
    <e v="#REF!"/>
    <e v="#REF!"/>
    <e v="#REF!"/>
  </r>
  <r>
    <s v="445662"/>
    <x v="6"/>
    <s v="TVA - D_20"/>
    <s v="NDF"/>
    <n v="143.59"/>
    <d v="2025-03-26T00:00:00"/>
    <s v="NDF"/>
    <m/>
    <e v="#N/A"/>
    <e v="#N/A"/>
    <n v="75806"/>
    <s v="25000086"/>
    <s v="Pauline Rullière"/>
    <s v="Q1"/>
    <e v="#REF!"/>
    <e v="#REF!"/>
    <e v="#REF!"/>
  </r>
  <r>
    <s v="445662"/>
    <x v="6"/>
    <s v="TVA - D_20"/>
    <s v="OD"/>
    <n v="-124761.05"/>
    <d v="2025-03-31T00:00:00"/>
    <s v="Liaison inter-établissement vers TO "/>
    <m/>
    <e v="#N/A"/>
    <e v="#N/A"/>
    <n v="70270"/>
    <m/>
    <m/>
    <s v="Q1"/>
    <e v="#REF!"/>
    <e v="#REF!"/>
    <e v="#REF!"/>
  </r>
  <r>
    <s v="445662"/>
    <x v="6"/>
    <s v="TVA - D_20"/>
    <s v="OD"/>
    <n v="-49912.08"/>
    <d v="2025-12-31T00:00:00"/>
    <s v="Liaison inter-établissement vers TO "/>
    <m/>
    <e v="#N/A"/>
    <e v="#N/A"/>
    <n v="96168"/>
    <m/>
    <m/>
    <s v="Q4"/>
    <e v="#REF!"/>
    <e v="#REF!"/>
    <e v="#REF!"/>
  </r>
  <r>
    <s v="445662"/>
    <x v="6"/>
    <s v="TVA - D_20"/>
    <s v="OD"/>
    <n v="-29005.98"/>
    <d v="2025-09-30T00:00:00"/>
    <s v="Liaison inter-établissement vers TO "/>
    <m/>
    <e v="#N/A"/>
    <e v="#N/A"/>
    <n v="87215"/>
    <m/>
    <m/>
    <s v="Q3"/>
    <e v="#REF!"/>
    <e v="#REF!"/>
    <e v="#REF!"/>
  </r>
  <r>
    <s v="445662"/>
    <x v="6"/>
    <s v="TVA - D_20"/>
    <s v="OD"/>
    <n v="-28329.759999999998"/>
    <d v="2025-06-30T00:00:00"/>
    <s v="Liaison inter-établissement vers TO "/>
    <m/>
    <e v="#N/A"/>
    <e v="#N/A"/>
    <n v="78712"/>
    <m/>
    <m/>
    <s v="Q2"/>
    <e v="#REF!"/>
    <e v="#REF!"/>
    <e v="#REF!"/>
  </r>
  <r>
    <s v="445662"/>
    <x v="6"/>
    <s v="TVA - D_20"/>
    <s v="OD"/>
    <n v="-26583.5"/>
    <d v="2025-09-30T00:00:00"/>
    <s v="Liaison inter-établissement vers TO "/>
    <m/>
    <e v="#N/A"/>
    <e v="#N/A"/>
    <n v="87208"/>
    <m/>
    <m/>
    <s v="Q3"/>
    <e v="#REF!"/>
    <e v="#REF!"/>
    <e v="#REF!"/>
  </r>
  <r>
    <s v="445662"/>
    <x v="6"/>
    <s v="TVA - D_20"/>
    <s v="OD"/>
    <n v="-21272.06"/>
    <d v="2025-12-31T00:00:00"/>
    <s v="Liaison inter-établissement vers TO "/>
    <m/>
    <e v="#N/A"/>
    <e v="#N/A"/>
    <n v="96175"/>
    <m/>
    <m/>
    <s v="Q4"/>
    <e v="#REF!"/>
    <e v="#REF!"/>
    <e v="#REF!"/>
  </r>
  <r>
    <s v="445662"/>
    <x v="6"/>
    <s v="TVA - D_20"/>
    <s v="OD"/>
    <n v="-17218.97"/>
    <d v="2025-03-31T00:00:00"/>
    <s v="Liaison inter-établissement vers TO "/>
    <m/>
    <e v="#N/A"/>
    <e v="#N/A"/>
    <n v="70263"/>
    <m/>
    <m/>
    <s v="Q1"/>
    <e v="#REF!"/>
    <e v="#REF!"/>
    <e v="#REF!"/>
  </r>
  <r>
    <s v="445662"/>
    <x v="6"/>
    <s v="TVA - D_20"/>
    <s v="OD"/>
    <n v="-12655.81"/>
    <d v="2025-03-31T00:00:00"/>
    <s v="Liaison inter-établissement vers TO "/>
    <m/>
    <e v="#N/A"/>
    <e v="#N/A"/>
    <n v="70253"/>
    <m/>
    <m/>
    <s v="Q1"/>
    <e v="#REF!"/>
    <e v="#REF!"/>
    <e v="#REF!"/>
  </r>
  <r>
    <s v="445662"/>
    <x v="6"/>
    <s v="TVA - D_20"/>
    <s v="OD"/>
    <n v="-12441.21"/>
    <d v="2025-06-30T00:00:00"/>
    <s v="Liaison inter-établissement vers TO "/>
    <m/>
    <e v="#N/A"/>
    <e v="#N/A"/>
    <n v="78702"/>
    <m/>
    <m/>
    <s v="Q2"/>
    <e v="#REF!"/>
    <e v="#REF!"/>
    <e v="#REF!"/>
  </r>
  <r>
    <s v="445662"/>
    <x v="6"/>
    <s v="TVA - D_20"/>
    <s v="OD"/>
    <n v="-8792.08"/>
    <d v="2025-06-30T00:00:00"/>
    <s v="Liaison inter-établissement vers TO "/>
    <m/>
    <e v="#N/A"/>
    <e v="#N/A"/>
    <n v="78672"/>
    <m/>
    <m/>
    <s v="Q2"/>
    <e v="#REF!"/>
    <e v="#REF!"/>
    <e v="#REF!"/>
  </r>
  <r>
    <s v="445662"/>
    <x v="6"/>
    <s v="TVA - D_20"/>
    <s v="OD"/>
    <n v="-7326.34"/>
    <d v="2025-06-30T00:00:00"/>
    <s v="Liaison inter-établissement vers TO "/>
    <m/>
    <e v="#N/A"/>
    <e v="#N/A"/>
    <n v="78692"/>
    <m/>
    <m/>
    <s v="Q2"/>
    <e v="#REF!"/>
    <e v="#REF!"/>
    <e v="#REF!"/>
  </r>
  <r>
    <s v="445662"/>
    <x v="6"/>
    <s v="TVA - D_20"/>
    <s v="OD"/>
    <n v="-7014.63"/>
    <d v="2025-03-31T00:00:00"/>
    <s v="Liaison inter-établissement vers TO "/>
    <m/>
    <e v="#N/A"/>
    <e v="#N/A"/>
    <n v="70260"/>
    <m/>
    <m/>
    <s v="Q1"/>
    <e v="#REF!"/>
    <e v="#REF!"/>
    <e v="#REF!"/>
  </r>
  <r>
    <s v="445662"/>
    <x v="6"/>
    <s v="TVA - D_20"/>
    <s v="OD"/>
    <n v="-6806.45"/>
    <d v="2025-06-30T00:00:00"/>
    <s v="Liaison inter-établissement vers TO "/>
    <m/>
    <e v="#N/A"/>
    <e v="#N/A"/>
    <n v="78719"/>
    <m/>
    <m/>
    <s v="Q2"/>
    <e v="#REF!"/>
    <e v="#REF!"/>
    <e v="#REF!"/>
  </r>
  <r>
    <s v="445662"/>
    <x v="6"/>
    <s v="TVA - D_20"/>
    <s v="OD"/>
    <n v="-6141.33"/>
    <d v="2025-12-31T00:00:00"/>
    <s v="Liaison inter-établissement vers TO "/>
    <m/>
    <e v="#N/A"/>
    <e v="#N/A"/>
    <n v="96172"/>
    <m/>
    <m/>
    <s v="Q4"/>
    <e v="#REF!"/>
    <e v="#REF!"/>
    <e v="#REF!"/>
  </r>
  <r>
    <s v="445662"/>
    <x v="6"/>
    <s v="TVA - D_20"/>
    <s v="OD"/>
    <n v="-6024.43"/>
    <d v="2025-03-31T00:00:00"/>
    <s v="Liaison inter-établissement vers TO "/>
    <m/>
    <e v="#N/A"/>
    <e v="#N/A"/>
    <n v="70275"/>
    <m/>
    <m/>
    <s v="Q1"/>
    <e v="#REF!"/>
    <e v="#REF!"/>
    <e v="#REF!"/>
  </r>
  <r>
    <s v="445662"/>
    <x v="6"/>
    <s v="TVA - D_20"/>
    <s v="OD"/>
    <n v="-4234.1899999999996"/>
    <d v="2025-06-30T00:00:00"/>
    <s v="Liaison inter-établissement vers TO "/>
    <m/>
    <e v="#N/A"/>
    <e v="#N/A"/>
    <n v="78709"/>
    <m/>
    <m/>
    <s v="Q2"/>
    <e v="#REF!"/>
    <e v="#REF!"/>
    <e v="#REF!"/>
  </r>
  <r>
    <s v="445662"/>
    <x v="6"/>
    <s v="TVA - D_20"/>
    <s v="OD"/>
    <n v="-3041.31"/>
    <d v="2025-06-30T00:00:00"/>
    <s v="Liaison inter-établissement vers TO "/>
    <m/>
    <e v="#N/A"/>
    <e v="#N/A"/>
    <n v="78689"/>
    <m/>
    <m/>
    <s v="Q2"/>
    <e v="#REF!"/>
    <e v="#REF!"/>
    <e v="#REF!"/>
  </r>
  <r>
    <s v="445662"/>
    <x v="6"/>
    <s v="TVA - D_20"/>
    <s v="OD"/>
    <n v="-2341.81"/>
    <d v="2025-03-31T00:00:00"/>
    <s v="Liaison inter-établissement vers TO "/>
    <m/>
    <e v="#N/A"/>
    <e v="#N/A"/>
    <n v="70279"/>
    <m/>
    <m/>
    <s v="Q1"/>
    <e v="#REF!"/>
    <e v="#REF!"/>
    <e v="#REF!"/>
  </r>
  <r>
    <s v="445662"/>
    <x v="6"/>
    <s v="TVA - D_20"/>
    <s v="OD"/>
    <n v="-2297.17"/>
    <d v="2025-03-31T00:00:00"/>
    <s v="Liaison inter-établissement vers TO "/>
    <m/>
    <e v="#N/A"/>
    <e v="#N/A"/>
    <n v="70282"/>
    <m/>
    <m/>
    <s v="Q1"/>
    <e v="#REF!"/>
    <e v="#REF!"/>
    <e v="#REF!"/>
  </r>
  <r>
    <s v="445662"/>
    <x v="6"/>
    <s v="TVA - D_20"/>
    <s v="OD"/>
    <n v="-2133.25"/>
    <d v="2025-06-30T00:00:00"/>
    <s v="Liaison inter-établissement vers TO "/>
    <m/>
    <e v="#N/A"/>
    <e v="#N/A"/>
    <n v="78699"/>
    <m/>
    <m/>
    <s v="Q2"/>
    <e v="#REF!"/>
    <e v="#REF!"/>
    <e v="#REF!"/>
  </r>
  <r>
    <s v="445662"/>
    <x v="6"/>
    <s v="TVA - D_20"/>
    <s v="OD"/>
    <n v="-1328.01"/>
    <d v="2025-06-30T00:00:00"/>
    <s v="Liaison inter-établissement vers TO "/>
    <m/>
    <e v="#N/A"/>
    <e v="#N/A"/>
    <n v="78716"/>
    <m/>
    <m/>
    <s v="Q2"/>
    <e v="#REF!"/>
    <e v="#REF!"/>
    <e v="#REF!"/>
  </r>
  <r>
    <s v="445662"/>
    <x v="6"/>
    <s v="TVA - D_20"/>
    <s v="OD"/>
    <n v="-1148.67"/>
    <d v="2025-09-30T00:00:00"/>
    <s v="Liaison inter-établissement vers TO "/>
    <m/>
    <e v="#N/A"/>
    <e v="#N/A"/>
    <n v="87212"/>
    <m/>
    <m/>
    <s v="Q3"/>
    <e v="#REF!"/>
    <e v="#REF!"/>
    <e v="#REF!"/>
  </r>
  <r>
    <s v="445662"/>
    <x v="6"/>
    <s v="TVA - D_20"/>
    <s v="OD"/>
    <n v="-882.42"/>
    <d v="2025-06-30T00:00:00"/>
    <s v="Liaison inter-établissement vers TO "/>
    <m/>
    <e v="#N/A"/>
    <e v="#N/A"/>
    <n v="78682"/>
    <m/>
    <m/>
    <s v="Q2"/>
    <e v="#REF!"/>
    <e v="#REF!"/>
    <e v="#REF!"/>
  </r>
  <r>
    <s v="445662"/>
    <x v="6"/>
    <s v="TVA - D_20"/>
    <s v="OD"/>
    <n v="-594"/>
    <d v="2025-03-31T00:00:00"/>
    <s v="Liaison inter-établissement vers TO "/>
    <m/>
    <e v="#N/A"/>
    <e v="#N/A"/>
    <n v="70257"/>
    <m/>
    <m/>
    <s v="Q1"/>
    <e v="#REF!"/>
    <e v="#REF!"/>
    <e v="#REF!"/>
  </r>
  <r>
    <s v="445662"/>
    <x v="6"/>
    <s v="TVA - D_20"/>
    <s v="OD"/>
    <n v="-539.29"/>
    <d v="2025-06-30T00:00:00"/>
    <s v="Liaison inter-établissement vers TO "/>
    <m/>
    <e v="#N/A"/>
    <e v="#N/A"/>
    <n v="78679"/>
    <m/>
    <m/>
    <s v="Q2"/>
    <e v="#REF!"/>
    <e v="#REF!"/>
    <e v="#REF!"/>
  </r>
  <r>
    <s v="445662"/>
    <x v="6"/>
    <s v="TVA - D_20"/>
    <s v="OD"/>
    <n v="-223.46"/>
    <d v="2025-03-31T00:00:00"/>
    <s v="Liaison inter-établissement vers TO "/>
    <m/>
    <e v="#N/A"/>
    <e v="#N/A"/>
    <n v="70267"/>
    <m/>
    <m/>
    <s v="Q1"/>
    <e v="#REF!"/>
    <e v="#REF!"/>
    <e v="#REF!"/>
  </r>
  <r>
    <s v="445662"/>
    <x v="6"/>
    <s v="TVA - D_20"/>
    <s v="OD"/>
    <n v="-134.05000000000001"/>
    <d v="2025-06-30T00:00:00"/>
    <s v="Liaison inter-établissement vers TO "/>
    <m/>
    <e v="#N/A"/>
    <e v="#N/A"/>
    <n v="78706"/>
    <m/>
    <m/>
    <s v="Q2"/>
    <e v="#REF!"/>
    <e v="#REF!"/>
    <e v="#REF!"/>
  </r>
  <r>
    <s v="445662"/>
    <x v="6"/>
    <s v="TVA - D_20"/>
    <s v="OD"/>
    <n v="-95.05"/>
    <d v="2025-06-30T00:00:00"/>
    <s v="Liaison inter-établissement vers TO "/>
    <m/>
    <e v="#N/A"/>
    <e v="#N/A"/>
    <n v="78676"/>
    <m/>
    <m/>
    <s v="Q2"/>
    <e v="#REF!"/>
    <e v="#REF!"/>
    <e v="#REF!"/>
  </r>
  <r>
    <s v="445662"/>
    <x v="6"/>
    <s v="TVA - D_20"/>
    <s v="OD"/>
    <n v="-52.34"/>
    <d v="2025-06-30T00:00:00"/>
    <s v="Liaison inter-établissement vers TO "/>
    <m/>
    <e v="#N/A"/>
    <e v="#N/A"/>
    <n v="78696"/>
    <m/>
    <m/>
    <s v="Q2"/>
    <e v="#REF!"/>
    <e v="#REF!"/>
    <e v="#REF!"/>
  </r>
  <r>
    <s v="445662"/>
    <x v="6"/>
    <s v="TVA - D_20"/>
    <s v="OD"/>
    <n v="-35.11"/>
    <d v="2025-06-30T00:00:00"/>
    <s v="Liaison inter-établissement vers TO "/>
    <m/>
    <e v="#N/A"/>
    <e v="#N/A"/>
    <n v="78686"/>
    <m/>
    <m/>
    <s v="Q2"/>
    <e v="#REF!"/>
    <e v="#REF!"/>
    <e v="#REF!"/>
  </r>
  <r>
    <s v="445662"/>
    <x v="6"/>
    <s v="TVA - D_20"/>
    <s v="OD"/>
    <n v="3958.84"/>
    <d v="2025-06-30T00:00:00"/>
    <s v="Liaison inter-établissement"/>
    <m/>
    <e v="#N/A"/>
    <e v="#N/A"/>
    <n v="78683"/>
    <m/>
    <m/>
    <s v="Q2"/>
    <e v="#REF!"/>
    <e v="#REF!"/>
    <e v="#REF!"/>
  </r>
  <r>
    <s v="445662"/>
    <x v="6"/>
    <s v="TVA - D_20"/>
    <s v="OD"/>
    <n v="9426.42"/>
    <d v="2025-06-30T00:00:00"/>
    <s v="Liaison inter-établissement"/>
    <m/>
    <e v="#N/A"/>
    <e v="#N/A"/>
    <n v="78673"/>
    <m/>
    <m/>
    <s v="Q2"/>
    <e v="#REF!"/>
    <e v="#REF!"/>
    <e v="#REF!"/>
  </r>
  <r>
    <s v="445662"/>
    <x v="6"/>
    <s v="TVA - D_20"/>
    <s v="OD"/>
    <n v="9511.93"/>
    <d v="2025-06-30T00:00:00"/>
    <s v="Liaison inter-établissement"/>
    <m/>
    <e v="#N/A"/>
    <e v="#N/A"/>
    <n v="78693"/>
    <m/>
    <m/>
    <s v="Q2"/>
    <e v="#REF!"/>
    <e v="#REF!"/>
    <e v="#REF!"/>
  </r>
  <r>
    <s v="445662"/>
    <x v="6"/>
    <s v="TVA - D_20"/>
    <s v="OD"/>
    <n v="10663.41"/>
    <d v="2025-03-31T00:00:00"/>
    <s v="Liaison inter-établissement"/>
    <m/>
    <e v="#N/A"/>
    <e v="#N/A"/>
    <n v="70276"/>
    <m/>
    <m/>
    <s v="Q1"/>
    <e v="#REF!"/>
    <e v="#REF!"/>
    <e v="#REF!"/>
  </r>
  <r>
    <s v="445662"/>
    <x v="6"/>
    <s v="TVA - D_20"/>
    <s v="OD"/>
    <n v="16809.45"/>
    <d v="2025-06-30T00:00:00"/>
    <s v="Liaison inter-établissement"/>
    <m/>
    <e v="#N/A"/>
    <e v="#N/A"/>
    <n v="78703"/>
    <m/>
    <m/>
    <s v="Q2"/>
    <e v="#REF!"/>
    <e v="#REF!"/>
    <e v="#REF!"/>
  </r>
  <r>
    <s v="445662"/>
    <x v="6"/>
    <s v="TVA - D_20"/>
    <s v="OD"/>
    <n v="20264.439999999999"/>
    <d v="2025-03-31T00:00:00"/>
    <s v="Liaison inter-établissement"/>
    <m/>
    <e v="#N/A"/>
    <e v="#N/A"/>
    <n v="70254"/>
    <m/>
    <m/>
    <s v="Q1"/>
    <e v="#REF!"/>
    <e v="#REF!"/>
    <e v="#REF!"/>
  </r>
  <r>
    <s v="445662"/>
    <x v="6"/>
    <s v="TVA - D_20"/>
    <s v="OD"/>
    <n v="36464.22"/>
    <d v="2025-06-30T00:00:00"/>
    <s v="Liaison inter-établissement"/>
    <m/>
    <e v="#N/A"/>
    <e v="#N/A"/>
    <n v="78713"/>
    <m/>
    <m/>
    <s v="Q2"/>
    <e v="#REF!"/>
    <e v="#REF!"/>
    <e v="#REF!"/>
  </r>
  <r>
    <s v="445662"/>
    <x v="6"/>
    <s v="TVA - D_20"/>
    <s v="OD"/>
    <n v="56738.15"/>
    <d v="2025-09-30T00:00:00"/>
    <s v="Liaison inter-établissement"/>
    <m/>
    <e v="#N/A"/>
    <e v="#N/A"/>
    <n v="87209"/>
    <m/>
    <m/>
    <s v="Q3"/>
    <e v="#REF!"/>
    <e v="#REF!"/>
    <e v="#REF!"/>
  </r>
  <r>
    <s v="445662"/>
    <x v="6"/>
    <s v="TVA - D_20"/>
    <s v="OD"/>
    <n v="77325.47"/>
    <d v="2025-12-31T00:00:00"/>
    <s v="Liaison inter-établissement"/>
    <m/>
    <e v="#N/A"/>
    <e v="#N/A"/>
    <n v="96169"/>
    <m/>
    <m/>
    <s v="Q4"/>
    <e v="#REF!"/>
    <e v="#REF!"/>
    <e v="#REF!"/>
  </r>
  <r>
    <s v="445662"/>
    <x v="6"/>
    <s v="TVA - D_20"/>
    <s v="OD"/>
    <n v="142203.48000000001"/>
    <d v="2025-03-31T00:00:00"/>
    <s v="Liaison inter-établissement"/>
    <m/>
    <e v="#N/A"/>
    <e v="#N/A"/>
    <n v="70264"/>
    <m/>
    <m/>
    <s v="Q1"/>
    <e v="#REF!"/>
    <e v="#REF!"/>
    <e v="#REF!"/>
  </r>
  <r>
    <s v="445662"/>
    <x v="6"/>
    <s v="TVA - D_20"/>
    <s v="TVA"/>
    <n v="-143138.74"/>
    <d v="2025-03-31T00:00:00"/>
    <s v="Déclaration TVA Q1"/>
    <m/>
    <e v="#N/A"/>
    <e v="#N/A"/>
    <n v="70250"/>
    <m/>
    <m/>
    <s v="Q1"/>
    <e v="#REF!"/>
    <e v="#REF!"/>
    <e v="#REF!"/>
  </r>
  <r>
    <s v="445662"/>
    <x v="6"/>
    <s v="TVA - D_20"/>
    <s v="TVA"/>
    <n v="-142651.6"/>
    <d v="2025-09-30T00:00:00"/>
    <s v="Déclaration TVA Q3 2025"/>
    <m/>
    <e v="#N/A"/>
    <e v="#N/A"/>
    <n v="87191"/>
    <m/>
    <m/>
    <s v="Q3"/>
    <e v="#REF!"/>
    <e v="#REF!"/>
    <e v="#REF!"/>
  </r>
  <r>
    <s v="445662"/>
    <x v="6"/>
    <s v="TVA - D_20"/>
    <s v="TVA"/>
    <n v="-125631.76"/>
    <d v="2025-12-31T00:00:00"/>
    <s v="Déclaration TVA Q4 2025"/>
    <m/>
    <e v="#N/A"/>
    <e v="#N/A"/>
    <n v="96044"/>
    <m/>
    <m/>
    <s v="Q4"/>
    <e v="#REF!"/>
    <e v="#REF!"/>
    <e v="#REF!"/>
  </r>
  <r>
    <s v="445662"/>
    <x v="6"/>
    <s v="TVA - D_20"/>
    <s v="TVA"/>
    <n v="-117240.6"/>
    <d v="2025-06-30T00:00:00"/>
    <s v="Déclaration TVA Q2 2025"/>
    <m/>
    <e v="#N/A"/>
    <e v="#N/A"/>
    <n v="78451"/>
    <m/>
    <m/>
    <s v="Q2"/>
    <e v="#REF!"/>
    <e v="#REF!"/>
    <e v="#REF!"/>
  </r>
  <r>
    <s v="445662"/>
    <x v="6"/>
    <s v="TVA - D_20"/>
    <s v="TVA"/>
    <n v="-46627.7"/>
    <d v="2025-03-31T00:00:00"/>
    <s v="Déclaration TVA Q1"/>
    <m/>
    <e v="#N/A"/>
    <e v="#N/A"/>
    <n v="70237"/>
    <m/>
    <m/>
    <s v="Q1"/>
    <e v="#REF!"/>
    <e v="#REF!"/>
    <e v="#REF!"/>
  </r>
  <r>
    <s v="445662"/>
    <x v="6"/>
    <s v="TVA - D_20"/>
    <s v="TVA"/>
    <n v="-17169.98"/>
    <d v="2025-03-31T00:00:00"/>
    <s v="Déclaration TVA Q1"/>
    <m/>
    <e v="#N/A"/>
    <e v="#N/A"/>
    <n v="68477"/>
    <m/>
    <m/>
    <s v="Q1"/>
    <e v="#REF!"/>
    <e v="#REF!"/>
    <e v="#REF!"/>
  </r>
  <r>
    <s v="445662"/>
    <x v="6"/>
    <s v="TVA - D_20"/>
    <s v="TVA"/>
    <n v="-10749.11"/>
    <d v="2025-03-31T00:00:00"/>
    <s v="Déclaration TVA Q1"/>
    <m/>
    <e v="#N/A"/>
    <e v="#N/A"/>
    <n v="70251"/>
    <m/>
    <m/>
    <s v="Q1"/>
    <e v="#REF!"/>
    <e v="#REF!"/>
    <e v="#REF!"/>
  </r>
  <r>
    <s v="445662"/>
    <x v="6"/>
    <s v="TVA - D_20"/>
    <s v="TVA"/>
    <n v="5.57"/>
    <d v="2025-03-31T00:00:00"/>
    <s v="Déclaration TVA Q1"/>
    <m/>
    <e v="#N/A"/>
    <e v="#N/A"/>
    <n v="70272"/>
    <m/>
    <m/>
    <s v="Q1"/>
    <e v="#REF!"/>
    <e v="#REF!"/>
    <e v="#REF!"/>
  </r>
  <r>
    <s v="445663"/>
    <x v="6"/>
    <s v="TVA - D_20_ENCAISSEMENTS"/>
    <s v="AC"/>
    <n v="12"/>
    <d v="2025-03-31T00:00:00"/>
    <s v="DEMO : POSE ÉTAYAGE POUR SÉCURISATION POTEAUX  2900€HT  POSE / DÉPOSE 240€ : LOCATION 16 SEMAINES"/>
    <m/>
    <e v="#N/A"/>
    <e v="#N/A"/>
    <n v="67968"/>
    <s v="FC0022447"/>
    <s v="ECHAFAUDAGE"/>
    <s v="Q1"/>
    <e v="#REF!"/>
    <e v="#REF!"/>
    <e v="#REF!"/>
  </r>
  <r>
    <s v="445663"/>
    <x v="6"/>
    <s v="TVA - D_20_ENCAISSEMENTS"/>
    <s v="AC"/>
    <n v="40"/>
    <d v="2025-11-01T00:00:00"/>
    <s v="RÉDACTION FDS INDIGO EN FRANÇAIS ET ANGLAIS"/>
    <m/>
    <e v="#N/A"/>
    <e v="#N/A"/>
    <n v="91091"/>
    <s v="FA000262"/>
    <s v="LEGICHEM SERVICES"/>
    <s v="Q4"/>
    <e v="#REF!"/>
    <e v="#REF!"/>
    <e v="#REF!"/>
  </r>
  <r>
    <s v="445663"/>
    <x v="6"/>
    <s v="TVA - D_20_ENCAISSEMENTS"/>
    <s v="AC"/>
    <n v="62.2"/>
    <d v="2025-03-01T00:00:00"/>
    <s v="CONTRAT DE NETTOYAGE DES ALGECOS - ROUSSILLON"/>
    <m/>
    <e v="#N/A"/>
    <e v="#N/A"/>
    <n v="67970"/>
    <s v="251P0438"/>
    <s v="GSF"/>
    <s v="Q1"/>
    <e v="#REF!"/>
    <e v="#REF!"/>
    <e v="#REF!"/>
  </r>
  <r>
    <s v="445663"/>
    <x v="6"/>
    <s v="TVA - D_20_ENCAISSEMENTS"/>
    <s v="AC"/>
    <n v="67.67"/>
    <d v="2025-01-31T00:00:00"/>
    <s v="DÉBRANCHEMENT ET REBRANCHEMENT SONDES DE TEMPÉRATURE (1 SONDE R1000 ET 1 SONDE R2000)"/>
    <m/>
    <e v="#N/A"/>
    <e v="#N/A"/>
    <n v="67971"/>
    <s v="FCA21250182"/>
    <s v="COTE"/>
    <s v="Q1"/>
    <e v="#REF!"/>
    <e v="#REF!"/>
    <e v="#REF!"/>
  </r>
  <r>
    <s v="445663"/>
    <x v="6"/>
    <s v="TVA - D_20_ENCAISSEMENTS"/>
    <s v="AC"/>
    <n v="84"/>
    <d v="2025-11-01T00:00:00"/>
    <s v="ENTRETIEN ANNUEL POUR LA DÉTECTION DE GAZ AU LABO"/>
    <m/>
    <e v="#N/A"/>
    <e v="#N/A"/>
    <n v="91076"/>
    <s v="25-212"/>
    <s v="FMGE"/>
    <s v="Q4"/>
    <e v="#REF!"/>
    <e v="#REF!"/>
    <e v="#REF!"/>
  </r>
  <r>
    <s v="445663"/>
    <x v="6"/>
    <s v="TVA - D_20_ENCAISSEMENTS"/>
    <s v="AC"/>
    <n v="110.8"/>
    <d v="2025-02-28T00:00:00"/>
    <s v="CONTRAT DE NETTOYAGE DES ALGECOS - ROUSSILLON"/>
    <m/>
    <e v="#N/A"/>
    <e v="#N/A"/>
    <n v="67969"/>
    <s v="251P0144"/>
    <s v="GSF"/>
    <s v="Q1"/>
    <e v="#REF!"/>
    <e v="#REF!"/>
    <e v="#REF!"/>
  </r>
  <r>
    <s v="445663"/>
    <x v="6"/>
    <s v="TVA - D_20_ENCAISSEMENTS"/>
    <s v="AC"/>
    <n v="176"/>
    <d v="2025-03-31T00:00:00"/>
    <s v="DEMO : SUPPRESSION ÉTAYAGE   2900€HT  POSE / DÉPOSE 240€ : LOCATION 16 SEMAINES"/>
    <m/>
    <e v="#N/A"/>
    <e v="#N/A"/>
    <n v="71408"/>
    <s v="FC0022485"/>
    <s v="ECHAFAUDAGE"/>
    <s v="Q1"/>
    <e v="#REF!"/>
    <e v="#REF!"/>
    <e v="#REF!"/>
  </r>
  <r>
    <s v="445663"/>
    <x v="6"/>
    <s v="TVA - D_20_ENCAISSEMENTS"/>
    <s v="AC"/>
    <n v="225"/>
    <d v="2025-12-04T00:00:00"/>
    <s v="HOTLINE POUR LA PÉRIODE DU 1ER AU 30 NOVEMBRE 2025"/>
    <s v="Non"/>
    <s v="Non"/>
    <e v="#N/A"/>
    <n v="96220"/>
    <s v="C20251070"/>
    <s v="ALTAIR AVOCATS"/>
    <s v="Q4"/>
    <e v="#REF!"/>
    <e v="#REF!"/>
    <e v="#REF!"/>
  </r>
  <r>
    <s v="445663"/>
    <x v="6"/>
    <s v="TVA - D_20_ENCAISSEMENTS"/>
    <s v="AC"/>
    <n v="467.75"/>
    <d v="2025-01-31T00:00:00"/>
    <s v="SUIVI COMPTABLE ET FISCAL : DÉCEMBRE 2024 ARRÊTÉ ANNUEL DES COMPTES 2024 : ACOMPTE"/>
    <s v="Non"/>
    <s v="Non"/>
    <e v="#N/A"/>
    <n v="67974"/>
    <s v="EXP0007523"/>
    <s v="F2P AUDIT &amp; CONSEIL"/>
    <s v="Q1"/>
    <e v="#REF!"/>
    <e v="#REF!"/>
    <e v="#REF!"/>
  </r>
  <r>
    <s v="445663"/>
    <x v="6"/>
    <s v="TVA - D_20_ENCAISSEMENTS"/>
    <s v="AC"/>
    <n v="484.65"/>
    <d v="2025-02-28T00:00:00"/>
    <s v="ARRÊTÉ ANNUEL DES COMPTES 2024 : ACOMPTE  FORFAIT CONSULTATION FULLL FÉVRIER 2025"/>
    <s v="Non"/>
    <s v="Non"/>
    <e v="#N/A"/>
    <n v="67975"/>
    <s v="EXP0007594"/>
    <s v="F2P AUDIT &amp; CONSEIL"/>
    <s v="Q1"/>
    <e v="#REF!"/>
    <e v="#REF!"/>
    <e v="#REF!"/>
  </r>
  <r>
    <s v="445663"/>
    <x v="6"/>
    <s v="TVA - D_20_ENCAISSEMENTS"/>
    <s v="AC"/>
    <n v="504.65"/>
    <d v="2025-03-31T00:00:00"/>
    <s v="ARRÊTÉ ANNUEL DES COMPTES 2024 : ACOMPTE FORFAIT CONSULTATION FULLL MARS 2025"/>
    <s v="Non"/>
    <s v="Non"/>
    <e v="#N/A"/>
    <n v="67976"/>
    <s v="EXP0007618"/>
    <s v="F2P AUDIT &amp; CONSEIL"/>
    <s v="Q1"/>
    <e v="#REF!"/>
    <e v="#REF!"/>
    <e v="#REF!"/>
  </r>
  <r>
    <s v="445663"/>
    <x v="6"/>
    <s v="TVA - D_20_ENCAISSEMENTS"/>
    <s v="AC"/>
    <n v="983.47"/>
    <d v="2025-01-31T00:00:00"/>
    <s v="HONORAIRES POUR LA MISSION D'EXPERTISE SOCIALE 2024 BULLETIN DE PAIE POUR LE MOIS DE 10-11-12 2024"/>
    <s v="Non"/>
    <s v="Non"/>
    <e v="#N/A"/>
    <n v="67977"/>
    <s v="FC-290-25-01-00176"/>
    <s v="BDO EXPERTISE"/>
    <s v="Q1"/>
    <e v="#REF!"/>
    <e v="#REF!"/>
    <e v="#REF!"/>
  </r>
  <r>
    <s v="445663"/>
    <x v="6"/>
    <s v="TVA - D_20_ENCAISSEMENTS"/>
    <s v="AC"/>
    <n v="1020"/>
    <d v="2025-12-31T00:00:00"/>
    <s v="TEST HYDROGÉNATION AMINATION RÉDUCTRICE (V23) EN FLUX CONTINU AU CNAM"/>
    <m/>
    <e v="#N/A"/>
    <e v="#N/A"/>
    <n v="96591"/>
    <s v="240010195"/>
    <s v="CNAM"/>
    <s v="Q4"/>
    <e v="#REF!"/>
    <e v="#REF!"/>
    <e v="#REF!"/>
  </r>
  <r>
    <s v="445663"/>
    <x v="6"/>
    <s v="TVA - D_20_ENCAISSEMENTS"/>
    <s v="AC"/>
    <n v="1028.53"/>
    <d v="2025-03-31T00:00:00"/>
    <s v="HONORAIRES POUR LA MISSION D'EXPERTISE SOCIALE Q1 - 2025"/>
    <s v="Non"/>
    <s v="Non"/>
    <e v="#N/A"/>
    <n v="67978"/>
    <s v="FC-290-25-03-01022"/>
    <s v="BDO EXPERTISE"/>
    <s v="Q1"/>
    <e v="#REF!"/>
    <e v="#REF!"/>
    <e v="#REF!"/>
  </r>
  <r>
    <s v="445663"/>
    <x v="6"/>
    <s v="TVA - D_20_ENCAISSEMENTS"/>
    <s v="AC"/>
    <n v="1122.67"/>
    <d v="2025-10-06T00:00:00"/>
    <s v="CONSEIL ET ASSISTANCE CONFORMÉMENT À LA LETTRE DE MISSION POUR LA PÉRIODE DU 1ER AU 30 SEPTEMBRE 2025"/>
    <s v="Non"/>
    <s v="Non"/>
    <e v="#N/A"/>
    <n v="96221"/>
    <s v="C2025902"/>
    <s v="ALTAIR AVOCATS"/>
    <s v="Q4"/>
    <e v="#REF!"/>
    <e v="#REF!"/>
    <e v="#REF!"/>
  </r>
  <r>
    <s v="445663"/>
    <x v="6"/>
    <s v="TVA - D_20_ENCAISSEMENTS"/>
    <s v="AC"/>
    <n v="1332"/>
    <d v="2025-11-01T00:00:00"/>
    <s v="CONSEIL SCIENTIFIQUE CPP S.RATTON  CS#17"/>
    <s v="Oui"/>
    <s v="Non"/>
    <e v="#N/A"/>
    <n v="96216"/>
    <s v="FAC0283"/>
    <s v="CONSEIL CPP"/>
    <s v="Q4"/>
    <e v="#REF!"/>
    <e v="#REF!"/>
    <e v="#REF!"/>
  </r>
  <r>
    <s v="445663"/>
    <x v="6"/>
    <s v="TVA - D_20_ENCAISSEMENTS"/>
    <s v="AC"/>
    <n v="1876"/>
    <d v="2025-03-18T00:00:00"/>
    <s v="ETUDES R&amp;D FLUX CONTINU - PARTIE 2 - ACTIVATION (HORS TEST SUR 48H)"/>
    <m/>
    <e v="#N/A"/>
    <e v="#N/A"/>
    <n v="67973"/>
    <s v="25/03/124/143"/>
    <s v="ACTIVATION"/>
    <s v="Q1"/>
    <e v="#REF!"/>
    <e v="#REF!"/>
    <e v="#REF!"/>
  </r>
  <r>
    <s v="445663"/>
    <x v="6"/>
    <s v="TVA - D_20_ENCAISSEMENTS"/>
    <s v="AC"/>
    <n v="1908"/>
    <d v="2025-12-16T00:00:00"/>
    <s v="HÉBERGEMENT AXE CLOUD SERVEUR"/>
    <m/>
    <s v="Non"/>
    <e v="#N/A"/>
    <n v="96213"/>
    <s v="FAP11606"/>
    <s v="AXE GESCOM"/>
    <s v="Q4"/>
    <e v="#REF!"/>
    <e v="#REF!"/>
    <e v="#REF!"/>
  </r>
  <r>
    <s v="445663"/>
    <x v="6"/>
    <s v="TVA - D_20_ENCAISSEMENTS"/>
    <s v="AC"/>
    <n v="2804"/>
    <d v="2025-03-18T00:00:00"/>
    <s v="ETUDES R&amp;D FLUX CONTINU - PARTIE 1 - ACTIVATION"/>
    <m/>
    <e v="#N/A"/>
    <e v="#N/A"/>
    <n v="67972"/>
    <s v="25/03/123/142"/>
    <s v="ACTIVATION"/>
    <s v="Q1"/>
    <e v="#REF!"/>
    <e v="#REF!"/>
    <e v="#REF!"/>
  </r>
  <r>
    <s v="445663"/>
    <x v="6"/>
    <s v="TVA - D_20_ENCAISSEMENTS"/>
    <s v="AC"/>
    <n v="2988.46"/>
    <d v="2025-12-16T00:00:00"/>
    <s v="DROITS D'UTILISATION ANNUELS SAGE"/>
    <m/>
    <s v="Non"/>
    <e v="#N/A"/>
    <n v="96214"/>
    <s v="FAP11604"/>
    <s v="AXE GESCOM"/>
    <s v="Q4"/>
    <e v="#REF!"/>
    <e v="#REF!"/>
    <e v="#REF!"/>
  </r>
  <r>
    <s v="445663"/>
    <x v="6"/>
    <s v="TVA - D_20_ENCAISSEMENTS"/>
    <s v="AC"/>
    <n v="3000"/>
    <d v="2025-12-23T00:00:00"/>
    <s v="FRAIS DE MISE EN LIGNE"/>
    <s v="Non"/>
    <s v="Non"/>
    <e v="#N/A"/>
    <n v="96201"/>
    <s v="F-2025-445"/>
    <s v="SOWEFUND"/>
    <s v="Q4"/>
    <e v="#REF!"/>
    <e v="#REF!"/>
    <e v="#REF!"/>
  </r>
  <r>
    <s v="445663"/>
    <x v="6"/>
    <s v="TVA - D_20_ENCAISSEMENTS"/>
    <s v="AC"/>
    <n v="3144.24"/>
    <d v="2025-11-04T00:00:00"/>
    <s v="CONSEIL ET ASSISTANCE CONFORMÉMENT À LA LETTRE DE MISSION POUR LA PÉRIODE DU 1ER AU 31 OCTOBRE 2025"/>
    <s v="Non"/>
    <s v="Non"/>
    <e v="#N/A"/>
    <n v="96217"/>
    <s v="C20251003"/>
    <s v="ALTAIR AVOCATS"/>
    <s v="Q4"/>
    <e v="#REF!"/>
    <e v="#REF!"/>
    <e v="#REF!"/>
  </r>
  <r>
    <s v="445663"/>
    <x v="6"/>
    <s v="TVA - D_20_ENCAISSEMENTS"/>
    <s v="AC"/>
    <n v="6973.92"/>
    <d v="2025-09-01T00:00:00"/>
    <s v="LOYER Q4 2025"/>
    <m/>
    <e v="#N/A"/>
    <e v="#N/A"/>
    <n v="96208"/>
    <s v="0049020250041"/>
    <s v="LIBERTY PM"/>
    <s v="Q3"/>
    <e v="#REF!"/>
    <e v="#REF!"/>
    <e v="#REF!"/>
  </r>
  <r>
    <s v="445663"/>
    <x v="6"/>
    <s v="TVA - D_20_ENCAISSEMENTS"/>
    <s v="AC"/>
    <n v="10145.77"/>
    <d v="2025-12-05T00:00:00"/>
    <s v="LOYER Q1 2026 KB"/>
    <m/>
    <e v="#N/A"/>
    <e v="#N/A"/>
    <n v="96205"/>
    <s v="0049020260006"/>
    <s v="LIBERTY PM"/>
    <s v="Q4"/>
    <e v="#REF!"/>
    <e v="#REF!"/>
    <e v="#REF!"/>
  </r>
  <r>
    <s v="445663"/>
    <x v="6"/>
    <s v="TVA - D_20_ENCAISSEMENTS"/>
    <s v="AC"/>
    <n v="10786.75"/>
    <d v="2025-03-05T00:00:00"/>
    <s v="LOYER KB 2025_Q2"/>
    <m/>
    <e v="#N/A"/>
    <e v="#N/A"/>
    <n v="67967"/>
    <s v="49020250011"/>
    <s v="LIBERTY PM"/>
    <s v="Q1"/>
    <e v="#REF!"/>
    <e v="#REF!"/>
    <e v="#REF!"/>
  </r>
  <r>
    <s v="445663"/>
    <x v="6"/>
    <s v="TVA - D_20_ENCAISSEMENTS"/>
    <s v="AC"/>
    <n v="15216"/>
    <d v="2025-11-06T00:00:00"/>
    <s v="ETUDE DE FAISABILITÉ DE L’HYDROGÉNATION DU PABA EN TOLUIDINE"/>
    <m/>
    <e v="#N/A"/>
    <e v="#N/A"/>
    <n v="96197"/>
    <s v="25/11/070/581"/>
    <s v="ACTIVATION"/>
    <s v="Q4"/>
    <e v="#REF!"/>
    <e v="#REF!"/>
    <e v="#REF!"/>
  </r>
  <r>
    <s v="445663"/>
    <x v="6"/>
    <s v="TVA - D_20_ENCAISSEMENTS"/>
    <s v="OD"/>
    <n v="-12243.8"/>
    <d v="2025-03-31T00:00:00"/>
    <s v="Liaison inter-établissement vers TO "/>
    <m/>
    <e v="#N/A"/>
    <e v="#N/A"/>
    <n v="68521"/>
    <m/>
    <m/>
    <s v="Q1"/>
    <e v="#REF!"/>
    <e v="#REF!"/>
    <e v="#REF!"/>
  </r>
  <r>
    <s v="445663"/>
    <x v="6"/>
    <s v="TVA - D_20_ENCAISSEMENTS"/>
    <s v="OD"/>
    <n v="-5708.53"/>
    <d v="2025-06-30T00:00:00"/>
    <s v="Liaison inter-établissement vers TO "/>
    <m/>
    <e v="#N/A"/>
    <e v="#N/A"/>
    <n v="78517"/>
    <m/>
    <m/>
    <s v="Q2"/>
    <e v="#REF!"/>
    <e v="#REF!"/>
    <e v="#REF!"/>
  </r>
  <r>
    <s v="445663"/>
    <x v="6"/>
    <s v="TVA - D_20_ENCAISSEMENTS"/>
    <s v="OD"/>
    <n v="-240.67"/>
    <d v="2025-03-31T00:00:00"/>
    <s v="Liaison inter-établissement vers TO "/>
    <m/>
    <e v="#N/A"/>
    <e v="#N/A"/>
    <n v="68525"/>
    <m/>
    <m/>
    <s v="Q1"/>
    <e v="#REF!"/>
    <e v="#REF!"/>
    <e v="#REF!"/>
  </r>
  <r>
    <s v="445663"/>
    <x v="6"/>
    <s v="TVA - D_20_ENCAISSEMENTS"/>
    <s v="OD"/>
    <n v="-188"/>
    <d v="2025-06-30T00:00:00"/>
    <s v="Liaison inter-établissement vers TO "/>
    <m/>
    <e v="#N/A"/>
    <e v="#N/A"/>
    <n v="78521"/>
    <m/>
    <m/>
    <s v="Q2"/>
    <e v="#REF!"/>
    <e v="#REF!"/>
    <e v="#REF!"/>
  </r>
  <r>
    <s v="445663"/>
    <x v="6"/>
    <s v="TVA - D_20_ENCAISSEMENTS"/>
    <s v="OD"/>
    <n v="5896.53"/>
    <d v="2025-06-30T00:00:00"/>
    <s v="Liaison inter-établissement"/>
    <m/>
    <e v="#N/A"/>
    <e v="#N/A"/>
    <n v="78518"/>
    <m/>
    <m/>
    <s v="Q2"/>
    <e v="#REF!"/>
    <e v="#REF!"/>
    <e v="#REF!"/>
  </r>
  <r>
    <s v="445663"/>
    <x v="6"/>
    <s v="TVA - D_20_ENCAISSEMENTS"/>
    <s v="OD"/>
    <n v="12484.47"/>
    <d v="2025-03-31T00:00:00"/>
    <s v="Liaison inter-établissement"/>
    <m/>
    <e v="#N/A"/>
    <e v="#N/A"/>
    <n v="68522"/>
    <m/>
    <m/>
    <s v="Q1"/>
    <e v="#REF!"/>
    <e v="#REF!"/>
    <e v="#REF!"/>
  </r>
  <r>
    <s v="445663"/>
    <x v="6"/>
    <s v="TVA - D_20_ENCAISSEMENTS"/>
    <s v="TVA"/>
    <n v="-13467.94"/>
    <d v="2025-03-31T00:00:00"/>
    <s v="Déclaration TVA Q1"/>
    <m/>
    <e v="#N/A"/>
    <e v="#N/A"/>
    <n v="68473"/>
    <m/>
    <m/>
    <s v="Q1"/>
    <e v="#REF!"/>
    <e v="#REF!"/>
    <e v="#REF!"/>
  </r>
  <r>
    <s v="445663"/>
    <x v="6"/>
    <s v="TVA - D_20_ENCAISSEMENTS"/>
    <s v="TVA"/>
    <n v="-5896.53"/>
    <d v="2025-06-30T00:00:00"/>
    <s v="Déclaration TVA Q2 2025"/>
    <m/>
    <e v="#N/A"/>
    <e v="#N/A"/>
    <n v="78452"/>
    <m/>
    <m/>
    <s v="Q2"/>
    <e v="#REF!"/>
    <e v="#REF!"/>
    <e v="#REF!"/>
  </r>
  <r>
    <s v="445663"/>
    <x v="6"/>
    <s v="TVA - D_20_ENCAISSEMENTS"/>
    <s v="TVA"/>
    <n v="-4615.91"/>
    <d v="2025-12-31T00:00:00"/>
    <s v="Déclaration TVA Q4 2025"/>
    <m/>
    <e v="#N/A"/>
    <e v="#N/A"/>
    <n v="96051"/>
    <m/>
    <m/>
    <s v="Q4"/>
    <e v="#REF!"/>
    <e v="#REF!"/>
    <e v="#REF!"/>
  </r>
  <r>
    <s v="445665"/>
    <x v="6"/>
    <s v="TVA - D_5,5"/>
    <s v="AC"/>
    <n v="0.2"/>
    <d v="2025-09-01T00:00:00"/>
    <s v="ÉLECTRICITÉ KB"/>
    <m/>
    <e v="#N/A"/>
    <e v="#N/A"/>
    <n v="81890"/>
    <s v="120010018682"/>
    <s v="ENGIE"/>
    <s v="Q3"/>
    <e v="#REF!"/>
    <e v="#REF!"/>
    <e v="#REF!"/>
  </r>
  <r>
    <s v="445665"/>
    <x v="6"/>
    <s v="TVA - D_5,5"/>
    <s v="AC"/>
    <n v="0.3"/>
    <d v="2025-09-01T00:00:00"/>
    <s v="ÉLECTRICITÉ KB"/>
    <m/>
    <e v="#N/A"/>
    <e v="#N/A"/>
    <n v="81885"/>
    <s v="120010018681"/>
    <s v="ENGIE"/>
    <s v="Q3"/>
    <e v="#REF!"/>
    <e v="#REF!"/>
    <e v="#REF!"/>
  </r>
  <r>
    <s v="445665"/>
    <x v="6"/>
    <s v="TVA - D_5,5"/>
    <s v="AC"/>
    <n v="0.35"/>
    <d v="2025-06-13T00:00:00"/>
    <s v="CONSOMMABLE ET ENTRETIEN"/>
    <m/>
    <e v="#N/A"/>
    <e v="#N/A"/>
    <n v="78026"/>
    <s v="24"/>
    <s v="LA FOURCHE"/>
    <s v="Q2"/>
    <e v="#REF!"/>
    <e v="#REF!"/>
    <e v="#REF!"/>
  </r>
  <r>
    <s v="445665"/>
    <x v="6"/>
    <s v="TVA - D_5,5"/>
    <s v="AC"/>
    <n v="0.42"/>
    <d v="2025-08-21T00:00:00"/>
    <s v="GAZ LYON"/>
    <m/>
    <e v="#N/A"/>
    <e v="#N/A"/>
    <n v="87042"/>
    <s v="820000567975"/>
    <s v="ENGIE"/>
    <s v="Q3"/>
    <e v="#REF!"/>
    <e v="#REF!"/>
    <e v="#REF!"/>
  </r>
  <r>
    <s v="445665"/>
    <x v="6"/>
    <s v="TVA - D_5,5"/>
    <s v="AC"/>
    <n v="0.51"/>
    <d v="2025-05-30T00:00:00"/>
    <s v="CONSOMMABLE ET ENTRETIEN"/>
    <m/>
    <e v="#N/A"/>
    <e v="#N/A"/>
    <n v="77991"/>
    <s v="12"/>
    <s v="LA FOURCHE"/>
    <s v="Q2"/>
    <e v="#REF!"/>
    <e v="#REF!"/>
    <e v="#REF!"/>
  </r>
  <r>
    <s v="445665"/>
    <x v="6"/>
    <s v="TVA - D_5,5"/>
    <s v="AC"/>
    <n v="0.54"/>
    <d v="2025-08-23T00:00:00"/>
    <s v="ÉLECTRICITÉ LYON"/>
    <m/>
    <e v="#N/A"/>
    <e v="#N/A"/>
    <n v="81874"/>
    <s v="620000906597"/>
    <s v="ENGIE"/>
    <s v="Q3"/>
    <e v="#REF!"/>
    <e v="#REF!"/>
    <e v="#REF!"/>
  </r>
  <r>
    <s v="445665"/>
    <x v="6"/>
    <s v="TVA - D_5,5"/>
    <s v="AC"/>
    <n v="0.59"/>
    <d v="2025-05-02T00:00:00"/>
    <s v="CONSOMMABLE ET ENTRETIEN"/>
    <m/>
    <e v="#N/A"/>
    <e v="#N/A"/>
    <n v="72676"/>
    <s v="2025/05/001630880"/>
    <s v="LA FOURCHE"/>
    <s v="Q2"/>
    <e v="#REF!"/>
    <e v="#REF!"/>
    <e v="#REF!"/>
  </r>
  <r>
    <s v="445665"/>
    <x v="6"/>
    <s v="TVA - D_5,5"/>
    <s v="AC"/>
    <n v="0.68"/>
    <d v="2025-02-03T00:00:00"/>
    <s v="ELECTRICITÉ KB"/>
    <m/>
    <e v="#N/A"/>
    <e v="#N/A"/>
    <n v="73662"/>
    <s v="5,20E+11"/>
    <s v="ENGIE"/>
    <s v="Q1"/>
    <e v="#REF!"/>
    <e v="#REF!"/>
    <e v="#REF!"/>
  </r>
  <r>
    <s v="445665"/>
    <x v="6"/>
    <s v="TVA - D_5,5"/>
    <s v="AC"/>
    <n v="0.89"/>
    <d v="2025-03-21T00:00:00"/>
    <s v="ELECTRICITE LYON"/>
    <m/>
    <e v="#N/A"/>
    <e v="#N/A"/>
    <n v="72565"/>
    <s v="5,20E+11"/>
    <s v="ENGIE"/>
    <s v="Q1"/>
    <e v="#REF!"/>
    <e v="#REF!"/>
    <e v="#REF!"/>
  </r>
  <r>
    <s v="445665"/>
    <x v="6"/>
    <s v="TVA - D_5,5"/>
    <s v="AC"/>
    <n v="0.96"/>
    <d v="2025-04-21T00:00:00"/>
    <s v="GAZ LYON"/>
    <m/>
    <e v="#N/A"/>
    <e v="#N/A"/>
    <n v="78737"/>
    <s v="980005285371"/>
    <s v="ENGIE"/>
    <s v="Q2"/>
    <e v="#REF!"/>
    <e v="#REF!"/>
    <e v="#REF!"/>
  </r>
  <r>
    <s v="445665"/>
    <x v="6"/>
    <s v="TVA - D_5,5"/>
    <s v="AC"/>
    <n v="0.97"/>
    <d v="2025-07-21T00:00:00"/>
    <s v="GAZ LYON"/>
    <m/>
    <e v="#N/A"/>
    <e v="#N/A"/>
    <n v="87029"/>
    <s v="320008109274"/>
    <s v="ENGIE"/>
    <s v="Q3"/>
    <e v="#REF!"/>
    <e v="#REF!"/>
    <e v="#REF!"/>
  </r>
  <r>
    <s v="445665"/>
    <x v="6"/>
    <s v="TVA - D_5,5"/>
    <s v="AC"/>
    <n v="0.99"/>
    <d v="2025-01-20T00:00:00"/>
    <s v="ELECTRICITE LYON"/>
    <m/>
    <e v="#N/A"/>
    <e v="#N/A"/>
    <n v="72520"/>
    <s v="4,20E+11"/>
    <s v="ENGIE"/>
    <s v="Q1"/>
    <e v="#REF!"/>
    <e v="#REF!"/>
    <e v="#REF!"/>
  </r>
  <r>
    <s v="445665"/>
    <x v="6"/>
    <s v="TVA - D_5,5"/>
    <s v="AC"/>
    <n v="0.99"/>
    <d v="2025-02-21T00:00:00"/>
    <s v="ELECTRICITÉ LYON"/>
    <m/>
    <e v="#N/A"/>
    <e v="#N/A"/>
    <n v="73693"/>
    <s v="4,20E+11"/>
    <s v="ENGIE"/>
    <s v="Q1"/>
    <e v="#REF!"/>
    <e v="#REF!"/>
    <e v="#REF!"/>
  </r>
  <r>
    <s v="445665"/>
    <x v="6"/>
    <s v="TVA - D_5,5"/>
    <s v="AC"/>
    <n v="0.99"/>
    <d v="2025-05-21T00:00:00"/>
    <s v="GAZ LYON"/>
    <m/>
    <e v="#N/A"/>
    <e v="#N/A"/>
    <n v="78759"/>
    <s v="620000836126"/>
    <s v="ENGIE"/>
    <s v="Q2"/>
    <e v="#REF!"/>
    <e v="#REF!"/>
    <e v="#REF!"/>
  </r>
  <r>
    <s v="445665"/>
    <x v="6"/>
    <s v="TVA - D_5,5"/>
    <s v="AC"/>
    <n v="0.99"/>
    <d v="2025-06-21T00:00:00"/>
    <s v="GAZ LYON"/>
    <m/>
    <e v="#N/A"/>
    <e v="#N/A"/>
    <n v="78369"/>
    <s v="5"/>
    <s v="ENGIE"/>
    <s v="Q2"/>
    <e v="#REF!"/>
    <e v="#REF!"/>
    <e v="#REF!"/>
  </r>
  <r>
    <s v="445665"/>
    <x v="6"/>
    <s v="TVA - D_5,5"/>
    <s v="AC"/>
    <n v="1.03"/>
    <d v="2025-10-31T00:00:00"/>
    <s v="LIVRAISON EAU ROUSSILLON"/>
    <m/>
    <e v="#N/A"/>
    <e v="#N/A"/>
    <n v="90046"/>
    <s v="31/05713557"/>
    <s v="CHATEAUDEAU"/>
    <s v="Q4"/>
    <e v="#REF!"/>
    <e v="#REF!"/>
    <e v="#REF!"/>
  </r>
  <r>
    <s v="445665"/>
    <x v="6"/>
    <s v="TVA - D_5,5"/>
    <s v="AC"/>
    <n v="1.07"/>
    <d v="2025-07-31T00:00:00"/>
    <s v="FOURNITURES DE BUREAU ET PETIT CONSOMMABLE"/>
    <m/>
    <e v="#N/A"/>
    <e v="#N/A"/>
    <n v="82183"/>
    <s v="26.282.179"/>
    <s v="BRUNEAU"/>
    <s v="Q3"/>
    <e v="#REF!"/>
    <e v="#REF!"/>
    <e v="#REF!"/>
  </r>
  <r>
    <s v="445665"/>
    <x v="6"/>
    <s v="TVA - D_5,5"/>
    <s v="AC"/>
    <n v="1.1200000000000001"/>
    <d v="2025-11-28T00:00:00"/>
    <s v="CONSOMMABLE ET ENTRETIEN"/>
    <m/>
    <e v="#N/A"/>
    <e v="#N/A"/>
    <n v="91478"/>
    <s v="2025/11/002132104"/>
    <s v="LA FOURCHE"/>
    <s v="Q4"/>
    <e v="#REF!"/>
    <e v="#REF!"/>
    <e v="#REF!"/>
  </r>
  <r>
    <s v="445665"/>
    <x v="6"/>
    <s v="TVA - D_5,5"/>
    <s v="AC"/>
    <n v="1.1399999999999999"/>
    <d v="2025-03-31T00:00:00"/>
    <s v="ELECTRICITE KB"/>
    <m/>
    <e v="#N/A"/>
    <e v="#N/A"/>
    <n v="72594"/>
    <s v="4,20E+11"/>
    <s v="ENGIE"/>
    <s v="Q1"/>
    <e v="#REF!"/>
    <e v="#REF!"/>
    <e v="#REF!"/>
  </r>
  <r>
    <s v="445665"/>
    <x v="6"/>
    <s v="TVA - D_5,5"/>
    <s v="AC"/>
    <n v="1.21"/>
    <d v="2025-10-23T00:00:00"/>
    <s v="RÉAPPROVISIONNEMENT DES STOCKS DE PETIT CONSOMMABLE  GANTS DE MÉNAGE (POUR NOTRE TECHNICIEN ABEL) PRODUIT WC  RECHARGES SWIFFER"/>
    <m/>
    <e v="#N/A"/>
    <e v="#N/A"/>
    <n v="89639"/>
    <s v="30"/>
    <s v="BRUNEAU"/>
    <s v="Q4"/>
    <e v="#REF!"/>
    <e v="#REF!"/>
    <e v="#REF!"/>
  </r>
  <r>
    <s v="445665"/>
    <x v="6"/>
    <s v="TVA - D_5,5"/>
    <s v="AC"/>
    <n v="1.24"/>
    <d v="2025-02-03T00:00:00"/>
    <s v="ELECTRICITÉ KB - 7E"/>
    <m/>
    <e v="#N/A"/>
    <e v="#N/A"/>
    <n v="73657"/>
    <s v="5,20E+11"/>
    <s v="ENGIE"/>
    <s v="Q1"/>
    <e v="#REF!"/>
    <e v="#REF!"/>
    <e v="#REF!"/>
  </r>
  <r>
    <s v="445665"/>
    <x v="6"/>
    <s v="TVA - D_5,5"/>
    <s v="AC"/>
    <n v="1.25"/>
    <d v="2025-03-03T00:00:00"/>
    <s v="ELETRICITE KB"/>
    <m/>
    <e v="#N/A"/>
    <e v="#N/A"/>
    <n v="72550"/>
    <s v="40017294812"/>
    <s v="ENGIE"/>
    <s v="Q1"/>
    <e v="#REF!"/>
    <e v="#REF!"/>
    <e v="#REF!"/>
  </r>
  <r>
    <s v="445665"/>
    <x v="6"/>
    <s v="TVA - D_5,5"/>
    <s v="AC"/>
    <n v="1.35"/>
    <d v="2025-06-17T00:00:00"/>
    <s v="NACL POUR KEENY (SOLUTION BRINE POUR LES LAVAGES)"/>
    <m/>
    <e v="#N/A"/>
    <e v="#N/A"/>
    <n v="78042"/>
    <s v="29"/>
    <s v="MONDROGUISTE"/>
    <s v="Q2"/>
    <e v="#REF!"/>
    <e v="#REF!"/>
    <e v="#REF!"/>
  </r>
  <r>
    <s v="445665"/>
    <x v="6"/>
    <s v="TVA - D_5,5"/>
    <s v="AC"/>
    <n v="1.37"/>
    <d v="2025-03-24T00:00:00"/>
    <s v="ELECTRICITE LYON"/>
    <m/>
    <e v="#N/A"/>
    <e v="#N/A"/>
    <n v="72570"/>
    <s v="8,20E+11"/>
    <s v="ENGIE"/>
    <s v="Q1"/>
    <e v="#REF!"/>
    <e v="#REF!"/>
    <e v="#REF!"/>
  </r>
  <r>
    <s v="445665"/>
    <x v="6"/>
    <s v="TVA - D_5,5"/>
    <s v="AC"/>
    <n v="1.46"/>
    <d v="2025-01-01T00:00:00"/>
    <s v="EAU LYON 2024"/>
    <m/>
    <e v="#N/A"/>
    <e v="#N/A"/>
    <n v="71257"/>
    <s v="1008829596"/>
    <s v="EAU DU GRAND LYON"/>
    <s v="Q1"/>
    <e v="#REF!"/>
    <e v="#REF!"/>
    <e v="#REF!"/>
  </r>
  <r>
    <s v="445665"/>
    <x v="6"/>
    <s v="TVA - D_5,5"/>
    <s v="AC"/>
    <n v="1.46"/>
    <d v="2025-03-27T00:00:00"/>
    <s v="DOUBLON"/>
    <m/>
    <e v="#N/A"/>
    <e v="#N/A"/>
    <n v="67891"/>
    <s v="25.868.404"/>
    <s v="BRUNEAU"/>
    <s v="Q1"/>
    <e v="#REF!"/>
    <e v="#REF!"/>
    <e v="#REF!"/>
  </r>
  <r>
    <s v="445665"/>
    <x v="6"/>
    <s v="TVA - D_5,5"/>
    <s v="AC"/>
    <n v="1.46"/>
    <d v="2025-03-28T00:00:00"/>
    <s v="EPONGES VAISSELLE, ÉPONGES À RÉCURER, MOUCHOIRS, THÉ"/>
    <m/>
    <e v="#N/A"/>
    <e v="#N/A"/>
    <n v="67904"/>
    <s v="36"/>
    <s v="BRUNEAU"/>
    <s v="Q1"/>
    <e v="#REF!"/>
    <e v="#REF!"/>
    <e v="#REF!"/>
  </r>
  <r>
    <s v="445665"/>
    <x v="6"/>
    <s v="TVA - D_5,5"/>
    <s v="AC"/>
    <n v="1.47"/>
    <d v="2025-05-23T00:00:00"/>
    <s v="ELECTRICITÉ LYON"/>
    <m/>
    <e v="#N/A"/>
    <e v="#N/A"/>
    <n v="78764"/>
    <s v="850005168540"/>
    <s v="ENGIE"/>
    <s v="Q2"/>
    <e v="#REF!"/>
    <e v="#REF!"/>
    <e v="#REF!"/>
  </r>
  <r>
    <s v="445665"/>
    <x v="6"/>
    <s v="TVA - D_5,5"/>
    <s v="AC"/>
    <n v="1.47"/>
    <d v="2025-07-23T00:00:00"/>
    <s v="ELECTRICITÉ LYON"/>
    <m/>
    <e v="#N/A"/>
    <e v="#N/A"/>
    <n v="87034"/>
    <s v="420007162957"/>
    <s v="ENGIE"/>
    <s v="Q3"/>
    <e v="#REF!"/>
    <e v="#REF!"/>
    <e v="#REF!"/>
  </r>
  <r>
    <s v="445665"/>
    <x v="6"/>
    <s v="TVA - D_5,5"/>
    <s v="AC"/>
    <n v="1.48"/>
    <d v="2025-01-23T00:00:00"/>
    <s v="ELECTRICITÉ LYON 202501"/>
    <m/>
    <e v="#N/A"/>
    <e v="#N/A"/>
    <n v="73632"/>
    <s v="3,20E+11"/>
    <s v="ENGIE"/>
    <s v="Q1"/>
    <e v="#REF!"/>
    <e v="#REF!"/>
    <e v="#REF!"/>
  </r>
  <r>
    <s v="445665"/>
    <x v="6"/>
    <s v="TVA - D_5,5"/>
    <s v="AC"/>
    <n v="1.49"/>
    <d v="2025-05-16T00:00:00"/>
    <s v="EAU ET ASSAINISSEMENT"/>
    <m/>
    <e v="#N/A"/>
    <e v="#N/A"/>
    <n v="78357"/>
    <s v="2"/>
    <s v="EAU DU GRAND LYON"/>
    <s v="Q2"/>
    <e v="#REF!"/>
    <e v="#REF!"/>
    <e v="#REF!"/>
  </r>
  <r>
    <s v="445665"/>
    <x v="6"/>
    <s v="TVA - D_5,5"/>
    <s v="AC"/>
    <n v="1.5"/>
    <d v="2025-02-24T00:00:00"/>
    <s v="ELECTRICITÉ LYON"/>
    <m/>
    <e v="#N/A"/>
    <e v="#N/A"/>
    <n v="73701"/>
    <s v="9,80E+11"/>
    <s v="ENGIE"/>
    <s v="Q1"/>
    <e v="#REF!"/>
    <e v="#REF!"/>
    <e v="#REF!"/>
  </r>
  <r>
    <s v="445665"/>
    <x v="6"/>
    <s v="TVA - D_5,5"/>
    <s v="AC"/>
    <n v="1.51"/>
    <d v="2025-11-18T00:00:00"/>
    <s v="EAU COURANTE LYON"/>
    <m/>
    <e v="#N/A"/>
    <e v="#N/A"/>
    <n v="92951"/>
    <s v="1009543685"/>
    <s v="EAU DU GRAND LYON"/>
    <s v="Q4"/>
    <e v="#REF!"/>
    <e v="#REF!"/>
    <e v="#REF!"/>
  </r>
  <r>
    <s v="445665"/>
    <x v="6"/>
    <s v="TVA - D_5,5"/>
    <s v="AC"/>
    <n v="1.52"/>
    <d v="2025-04-23T00:00:00"/>
    <s v="ELECTRICITÉ LYON"/>
    <m/>
    <e v="#N/A"/>
    <e v="#N/A"/>
    <n v="78742"/>
    <s v="720000560953"/>
    <s v="ENGIE"/>
    <s v="Q2"/>
    <e v="#REF!"/>
    <e v="#REF!"/>
    <e v="#REF!"/>
  </r>
  <r>
    <s v="445665"/>
    <x v="6"/>
    <s v="TVA - D_5,5"/>
    <s v="AC"/>
    <n v="1.52"/>
    <d v="2025-06-23T00:00:00"/>
    <s v="ELECTRICITÉ LYON"/>
    <m/>
    <e v="#N/A"/>
    <e v="#N/A"/>
    <n v="78374"/>
    <s v="6"/>
    <s v="ENGIE"/>
    <s v="Q2"/>
    <e v="#REF!"/>
    <e v="#REF!"/>
    <e v="#REF!"/>
  </r>
  <r>
    <s v="445665"/>
    <x v="6"/>
    <s v="TVA - D_5,5"/>
    <s v="AC"/>
    <n v="1.69"/>
    <d v="2025-05-02T00:00:00"/>
    <s v="ELECTRICITÉ KB"/>
    <m/>
    <e v="#N/A"/>
    <e v="#N/A"/>
    <n v="78747"/>
    <s v="970005348107"/>
    <s v="ENGIE"/>
    <s v="Q2"/>
    <e v="#REF!"/>
    <e v="#REF!"/>
    <e v="#REF!"/>
  </r>
  <r>
    <s v="445665"/>
    <x v="6"/>
    <s v="TVA - D_5,5"/>
    <s v="AC"/>
    <n v="1.97"/>
    <d v="2025-05-31T00:00:00"/>
    <s v="ELECTRICITÉ KB"/>
    <m/>
    <e v="#N/A"/>
    <e v="#N/A"/>
    <n v="78774"/>
    <s v="520001657014"/>
    <s v="ENGIE"/>
    <s v="Q2"/>
    <e v="#REF!"/>
    <e v="#REF!"/>
    <e v="#REF!"/>
  </r>
  <r>
    <s v="445665"/>
    <x v="6"/>
    <s v="TVA - D_5,5"/>
    <s v="AC"/>
    <n v="1.97"/>
    <d v="2025-07-31T00:00:00"/>
    <s v="ÉLECTRICITÉ KB"/>
    <m/>
    <e v="#N/A"/>
    <e v="#N/A"/>
    <n v="81755"/>
    <s v="720000616366"/>
    <s v="ENGIE"/>
    <s v="Q3"/>
    <e v="#REF!"/>
    <e v="#REF!"/>
    <e v="#REF!"/>
  </r>
  <r>
    <s v="445665"/>
    <x v="6"/>
    <s v="TVA - D_5,5"/>
    <s v="AC"/>
    <n v="2.04"/>
    <d v="2025-07-01T00:00:00"/>
    <s v="ELECTRICITÉ"/>
    <m/>
    <e v="#N/A"/>
    <e v="#N/A"/>
    <n v="78782"/>
    <s v="420007146056"/>
    <s v="ENGIE"/>
    <s v="Q3"/>
    <e v="#REF!"/>
    <e v="#REF!"/>
    <e v="#REF!"/>
  </r>
  <r>
    <s v="445665"/>
    <x v="6"/>
    <s v="TVA - D_5,5"/>
    <s v="AC"/>
    <n v="2.0699999999999998"/>
    <d v="2025-03-31T00:00:00"/>
    <s v="ELECTRICITE KB"/>
    <m/>
    <e v="#N/A"/>
    <e v="#N/A"/>
    <n v="72577"/>
    <s v="4,20E+11"/>
    <s v="ENGIE"/>
    <s v="Q1"/>
    <e v="#REF!"/>
    <e v="#REF!"/>
    <e v="#REF!"/>
  </r>
  <r>
    <s v="445665"/>
    <x v="6"/>
    <s v="TVA - D_5,5"/>
    <s v="AC"/>
    <n v="2.2799999999999998"/>
    <d v="2025-03-03T00:00:00"/>
    <s v="ELECTRICITE"/>
    <m/>
    <e v="#N/A"/>
    <e v="#N/A"/>
    <n v="72555"/>
    <s v="40017294811"/>
    <s v="ENGIE"/>
    <s v="Q1"/>
    <e v="#REF!"/>
    <e v="#REF!"/>
    <e v="#REF!"/>
  </r>
  <r>
    <s v="445665"/>
    <x v="6"/>
    <s v="TVA - D_5,5"/>
    <s v="AC"/>
    <n v="2.57"/>
    <d v="2025-03-31T00:00:00"/>
    <s v="FONTAINES À EAU - ROUSSILLON"/>
    <m/>
    <e v="#N/A"/>
    <e v="#N/A"/>
    <n v="67948"/>
    <s v="31/05604529"/>
    <s v="CHATEAUDEAU"/>
    <s v="Q1"/>
    <e v="#REF!"/>
    <e v="#REF!"/>
    <e v="#REF!"/>
  </r>
  <r>
    <s v="445665"/>
    <x v="6"/>
    <s v="TVA - D_5,5"/>
    <s v="AC"/>
    <n v="2.57"/>
    <d v="2025-05-30T00:00:00"/>
    <s v="LIVRAISON EAU ROUSSILLON"/>
    <m/>
    <e v="#N/A"/>
    <e v="#N/A"/>
    <n v="75987"/>
    <s v="31/05634007"/>
    <s v="CHATEAUDEAU"/>
    <s v="Q2"/>
    <e v="#REF!"/>
    <e v="#REF!"/>
    <e v="#REF!"/>
  </r>
  <r>
    <s v="445665"/>
    <x v="6"/>
    <s v="TVA - D_5,5"/>
    <s v="AC"/>
    <n v="2.66"/>
    <d v="2025-03-31T00:00:00"/>
    <s v="CONSOMMABLE CAFÉ BONJOUR DRINK"/>
    <m/>
    <e v="#N/A"/>
    <e v="#N/A"/>
    <n v="67944"/>
    <s v="49"/>
    <s v="BONJOUR DRINK"/>
    <s v="Q1"/>
    <e v="#REF!"/>
    <e v="#REF!"/>
    <e v="#REF!"/>
  </r>
  <r>
    <s v="445665"/>
    <x v="6"/>
    <s v="TVA - D_5,5"/>
    <s v="AC"/>
    <n v="2.72"/>
    <d v="2025-05-02T00:00:00"/>
    <s v="ELECTRICITÉ KB"/>
    <m/>
    <e v="#N/A"/>
    <e v="#N/A"/>
    <n v="78752"/>
    <s v="970005348106"/>
    <s v="ENGIE"/>
    <s v="Q2"/>
    <e v="#REF!"/>
    <e v="#REF!"/>
    <e v="#REF!"/>
  </r>
  <r>
    <s v="445665"/>
    <x v="6"/>
    <s v="TVA - D_5,5"/>
    <s v="AC"/>
    <n v="2.97"/>
    <d v="2025-05-31T00:00:00"/>
    <s v="ELECTRICITÉ KB"/>
    <m/>
    <e v="#N/A"/>
    <e v="#N/A"/>
    <n v="78769"/>
    <s v="520001657013"/>
    <s v="ENGIE"/>
    <s v="Q2"/>
    <e v="#REF!"/>
    <e v="#REF!"/>
    <e v="#REF!"/>
  </r>
  <r>
    <s v="445665"/>
    <x v="6"/>
    <s v="TVA - D_5,5"/>
    <s v="AC"/>
    <n v="2.97"/>
    <d v="2025-07-31T00:00:00"/>
    <s v="ÉLECTRICITÉ KB"/>
    <m/>
    <e v="#N/A"/>
    <e v="#N/A"/>
    <n v="81772"/>
    <s v="720000616365"/>
    <s v="ENGIE"/>
    <s v="Q3"/>
    <e v="#REF!"/>
    <e v="#REF!"/>
    <e v="#REF!"/>
  </r>
  <r>
    <s v="445665"/>
    <x v="6"/>
    <s v="TVA - D_5,5"/>
    <s v="AC"/>
    <n v="3.07"/>
    <d v="2025-07-01T00:00:00"/>
    <s v="ELECTRICITÉ"/>
    <m/>
    <e v="#N/A"/>
    <e v="#N/A"/>
    <n v="78790"/>
    <s v="420007146055"/>
    <s v="ENGIE"/>
    <s v="Q3"/>
    <e v="#REF!"/>
    <e v="#REF!"/>
    <e v="#REF!"/>
  </r>
  <r>
    <s v="445665"/>
    <x v="6"/>
    <s v="TVA - D_5,5"/>
    <s v="AC"/>
    <n v="3.09"/>
    <d v="2025-08-29T00:00:00"/>
    <s v="LIVRAISON EAU ROUSSILLON"/>
    <m/>
    <e v="#N/A"/>
    <e v="#N/A"/>
    <n v="82717"/>
    <s v="3105680616"/>
    <s v="CHATEAUDEAU"/>
    <s v="Q3"/>
    <e v="#REF!"/>
    <e v="#REF!"/>
    <e v="#REF!"/>
  </r>
  <r>
    <s v="445665"/>
    <x v="6"/>
    <s v="TVA - D_5,5"/>
    <s v="AC"/>
    <n v="3.6"/>
    <d v="2025-06-30T00:00:00"/>
    <s v="PAIEMENT DE LA FACTURE DE JUIN (LIVRAISON FONTAINE À EAU)"/>
    <m/>
    <e v="#N/A"/>
    <e v="#N/A"/>
    <n v="82171"/>
    <s v="31/05651466"/>
    <s v="CHATEAUDEAU"/>
    <s v="Q2"/>
    <e v="#REF!"/>
    <e v="#REF!"/>
    <e v="#REF!"/>
  </r>
  <r>
    <s v="445665"/>
    <x v="6"/>
    <s v="TVA - D_5,5"/>
    <s v="AC"/>
    <n v="3.6"/>
    <d v="2025-09-30T00:00:00"/>
    <s v="LIVRAISON EAU SUR SITE ROUSSILLON"/>
    <m/>
    <e v="#N/A"/>
    <e v="#N/A"/>
    <n v="87064"/>
    <s v="31/05697643"/>
    <s v="CHATEAUDEAU"/>
    <s v="Q3"/>
    <e v="#REF!"/>
    <e v="#REF!"/>
    <e v="#REF!"/>
  </r>
  <r>
    <s v="445665"/>
    <x v="6"/>
    <s v="TVA - D_5,5"/>
    <s v="AC"/>
    <n v="4.1100000000000003"/>
    <d v="2025-02-28T00:00:00"/>
    <s v="D'EAU LOYER MIDEA"/>
    <m/>
    <e v="#N/A"/>
    <e v="#N/A"/>
    <n v="67814"/>
    <s v="31/05587274"/>
    <s v="CHATEAUDEAU"/>
    <s v="Q1"/>
    <e v="#REF!"/>
    <e v="#REF!"/>
    <e v="#REF!"/>
  </r>
  <r>
    <s v="445665"/>
    <x v="6"/>
    <s v="TVA - D_5,5"/>
    <s v="AC"/>
    <n v="9.24"/>
    <d v="2025-02-24T00:00:00"/>
    <s v="ABONNEMENT CAFÉ"/>
    <m/>
    <e v="#N/A"/>
    <e v="#N/A"/>
    <n v="68964"/>
    <s v="I0000575"/>
    <s v="CAWATOES"/>
    <s v="Q1"/>
    <e v="#REF!"/>
    <e v="#REF!"/>
    <e v="#REF!"/>
  </r>
  <r>
    <s v="445665"/>
    <x v="6"/>
    <s v="TVA - D_5,5"/>
    <s v="AC"/>
    <n v="9.75"/>
    <d v="2025-06-06T00:00:00"/>
    <s v="CONSOMMABLE ET ENTRETIEN"/>
    <m/>
    <e v="#N/A"/>
    <e v="#N/A"/>
    <n v="78006"/>
    <s v="17"/>
    <s v="LA FOURCHE"/>
    <s v="Q2"/>
    <e v="#REF!"/>
    <e v="#REF!"/>
    <e v="#REF!"/>
  </r>
  <r>
    <s v="445665"/>
    <x v="6"/>
    <s v="TVA - D_5,5"/>
    <s v="AC"/>
    <n v="9.83"/>
    <d v="2025-01-01T00:00:00"/>
    <s v="COMMANDE RÉCURRENTE CAFÉ"/>
    <m/>
    <e v="#N/A"/>
    <e v="#N/A"/>
    <n v="59834"/>
    <s v="I0000105"/>
    <s v="CAWATOES"/>
    <s v="Q1"/>
    <e v="#REF!"/>
    <e v="#REF!"/>
    <e v="#REF!"/>
  </r>
  <r>
    <s v="445665"/>
    <x v="6"/>
    <s v="TVA - D_5,5"/>
    <s v="AC"/>
    <n v="10.49"/>
    <d v="2025-01-29T00:00:00"/>
    <s v="COMMANDE AUTOMATIQUE CAFÉ ET ACCESSOIRES"/>
    <m/>
    <e v="#N/A"/>
    <e v="#N/A"/>
    <n v="61333"/>
    <s v="I0000418"/>
    <s v="CAWATOES"/>
    <s v="Q1"/>
    <e v="#REF!"/>
    <e v="#REF!"/>
    <e v="#REF!"/>
  </r>
  <r>
    <s v="445665"/>
    <x v="6"/>
    <s v="TVA - D_5,5"/>
    <s v="AC"/>
    <n v="11.24"/>
    <d v="2025-09-15T00:00:00"/>
    <s v="BOISSONS SÉMINAIRE"/>
    <m/>
    <e v="#N/A"/>
    <e v="#N/A"/>
    <n v="82995"/>
    <s v="945460859"/>
    <s v="INTERMARCHE"/>
    <s v="Q3"/>
    <e v="#REF!"/>
    <e v="#REF!"/>
    <e v="#REF!"/>
  </r>
  <r>
    <s v="445665"/>
    <x v="6"/>
    <s v="TVA - D_5,5"/>
    <s v="AC"/>
    <n v="23.1"/>
    <d v="2025-04-24T00:00:00"/>
    <s v="CAFÉ DES TERROIRS"/>
    <m/>
    <e v="#N/A"/>
    <e v="#N/A"/>
    <n v="71336"/>
    <s v="I0000859"/>
    <s v="CAWATOES"/>
    <s v="Q2"/>
    <e v="#REF!"/>
    <e v="#REF!"/>
    <e v="#REF!"/>
  </r>
  <r>
    <s v="445665"/>
    <x v="6"/>
    <s v="TVA - D_5,5"/>
    <s v="AC"/>
    <n v="205.41"/>
    <d v="2025-09-23T00:00:00"/>
    <s v="PRESTATION TRAITEUR SÉMINAIRE PILI"/>
    <m/>
    <e v="#N/A"/>
    <e v="#N/A"/>
    <n v="87050"/>
    <s v="TG34/3888"/>
    <s v="TRAITEUR GRAND"/>
    <s v="Q3"/>
    <e v="#REF!"/>
    <e v="#REF!"/>
    <e v="#REF!"/>
  </r>
  <r>
    <s v="445665"/>
    <x v="6"/>
    <s v="TVA - D_5,5"/>
    <s v="NDF"/>
    <n v="0.15"/>
    <d v="2025-03-26T00:00:00"/>
    <s v="NOTE DE FRAIS"/>
    <m/>
    <e v="#N/A"/>
    <e v="#N/A"/>
    <n v="74210"/>
    <s v="25000091"/>
    <s v="Marjorie Denard"/>
    <s v="Q1"/>
    <e v="#REF!"/>
    <e v="#REF!"/>
    <e v="#REF!"/>
  </r>
  <r>
    <s v="445665"/>
    <x v="6"/>
    <s v="TVA - D_5,5"/>
    <s v="NDF"/>
    <n v="0.15"/>
    <d v="2025-04-29T00:00:00"/>
    <s v="NOTE DE FRAIS"/>
    <m/>
    <e v="#N/A"/>
    <e v="#N/A"/>
    <n v="74382"/>
    <s v="25000132"/>
    <s v="Jérémie Blache"/>
    <s v="Q2"/>
    <e v="#REF!"/>
    <e v="#REF!"/>
    <e v="#REF!"/>
  </r>
  <r>
    <s v="445665"/>
    <x v="6"/>
    <s v="TVA - D_5,5"/>
    <s v="NDF"/>
    <n v="0.22"/>
    <d v="2025-04-21T00:00:00"/>
    <s v="NOTE DE FRAIS"/>
    <m/>
    <e v="#N/A"/>
    <e v="#N/A"/>
    <n v="74340"/>
    <s v="25000117"/>
    <s v="Jérémie Blache"/>
    <s v="Q2"/>
    <e v="#REF!"/>
    <e v="#REF!"/>
    <e v="#REF!"/>
  </r>
  <r>
    <s v="445665"/>
    <x v="6"/>
    <s v="TVA - D_5,5"/>
    <s v="NDF"/>
    <n v="0.26"/>
    <d v="2025-03-12T00:00:00"/>
    <s v="NDF"/>
    <m/>
    <e v="#N/A"/>
    <e v="#N/A"/>
    <n v="76488"/>
    <s v="25000071"/>
    <s v="Jérémie Blache"/>
    <s v="Q1"/>
    <e v="#REF!"/>
    <e v="#REF!"/>
    <e v="#REF!"/>
  </r>
  <r>
    <s v="445665"/>
    <x v="6"/>
    <s v="TVA - D_5,5"/>
    <s v="NDF"/>
    <n v="0.28000000000000003"/>
    <d v="2025-05-27T00:00:00"/>
    <s v="NDF"/>
    <m/>
    <e v="#N/A"/>
    <e v="#N/A"/>
    <n v="76530"/>
    <s v="25000156"/>
    <s v="Jérémie Blache"/>
    <s v="Q2"/>
    <e v="#REF!"/>
    <e v="#REF!"/>
    <e v="#REF!"/>
  </r>
  <r>
    <s v="445665"/>
    <x v="6"/>
    <s v="TVA - D_5,5"/>
    <s v="NDF"/>
    <n v="0.28999999999999998"/>
    <d v="2025-01-01T00:00:00"/>
    <s v="NDF"/>
    <m/>
    <e v="#N/A"/>
    <e v="#N/A"/>
    <n v="75651"/>
    <s v="24000356"/>
    <s v="Pauline Rullière"/>
    <s v="Q1"/>
    <e v="#REF!"/>
    <e v="#REF!"/>
    <e v="#REF!"/>
  </r>
  <r>
    <s v="445665"/>
    <x v="6"/>
    <s v="TVA - D_5,5"/>
    <s v="NDF"/>
    <n v="0.31"/>
    <d v="2025-03-19T00:00:00"/>
    <s v="NDF"/>
    <m/>
    <e v="#N/A"/>
    <e v="#N/A"/>
    <n v="75781"/>
    <s v="250000021"/>
    <s v="Marie Rézeau"/>
    <s v="Q1"/>
    <e v="#REF!"/>
    <e v="#REF!"/>
    <e v="#REF!"/>
  </r>
  <r>
    <s v="445665"/>
    <x v="6"/>
    <s v="TVA - D_5,5"/>
    <s v="NDF"/>
    <n v="0.34"/>
    <d v="2025-03-26T00:00:00"/>
    <s v="NDF"/>
    <m/>
    <e v="#N/A"/>
    <e v="#N/A"/>
    <n v="75451"/>
    <s v="25000090"/>
    <s v="Marine Bonnaud"/>
    <s v="Q1"/>
    <e v="#REF!"/>
    <e v="#REF!"/>
    <e v="#REF!"/>
  </r>
  <r>
    <s v="445665"/>
    <x v="6"/>
    <s v="TVA - D_5,5"/>
    <s v="NDF"/>
    <n v="0.35"/>
    <d v="2025-04-22T00:00:00"/>
    <s v="25000139"/>
    <m/>
    <e v="#N/A"/>
    <e v="#N/A"/>
    <n v="74352"/>
    <s v="25000139"/>
    <s v="Emilie Amillastré"/>
    <s v="Q2"/>
    <e v="#REF!"/>
    <e v="#REF!"/>
    <e v="#REF!"/>
  </r>
  <r>
    <s v="445665"/>
    <x v="6"/>
    <s v="TVA - D_5,5"/>
    <s v="NDF"/>
    <n v="0.36"/>
    <d v="2025-04-10T00:00:00"/>
    <s v="NOTE DE FRAIS"/>
    <m/>
    <e v="#N/A"/>
    <e v="#N/A"/>
    <n v="74315"/>
    <s v="25000112"/>
    <s v="Marie Rézeau"/>
    <s v="Q2"/>
    <e v="#REF!"/>
    <e v="#REF!"/>
    <e v="#REF!"/>
  </r>
  <r>
    <s v="445665"/>
    <x v="6"/>
    <s v="TVA - D_5,5"/>
    <s v="NDF"/>
    <n v="0.37"/>
    <d v="2025-04-10T00:00:00"/>
    <s v="NOTE DE FRAIS"/>
    <m/>
    <e v="#N/A"/>
    <e v="#N/A"/>
    <n v="74308"/>
    <s v="25000124"/>
    <s v="Vincent Blanchard"/>
    <s v="Q2"/>
    <e v="#REF!"/>
    <e v="#REF!"/>
    <e v="#REF!"/>
  </r>
  <r>
    <s v="445665"/>
    <x v="6"/>
    <s v="TVA - D_5,5"/>
    <s v="NDF"/>
    <n v="0.39"/>
    <d v="2025-04-02T00:00:00"/>
    <s v="NDF"/>
    <m/>
    <e v="#N/A"/>
    <e v="#N/A"/>
    <n v="75460"/>
    <s v="25000055"/>
    <s v="Lucie Crépin"/>
    <s v="Q2"/>
    <e v="#REF!"/>
    <e v="#REF!"/>
    <e v="#REF!"/>
  </r>
  <r>
    <s v="445665"/>
    <x v="6"/>
    <s v="TVA - D_5,5"/>
    <s v="NDF"/>
    <n v="0.46"/>
    <d v="2025-01-31T00:00:00"/>
    <s v="NOTE DE FRAIS"/>
    <m/>
    <e v="#N/A"/>
    <e v="#N/A"/>
    <n v="74176"/>
    <s v="25000001"/>
    <s v="Alain Pinchard"/>
    <s v="Q1"/>
    <e v="#REF!"/>
    <e v="#REF!"/>
    <e v="#REF!"/>
  </r>
  <r>
    <s v="445665"/>
    <x v="6"/>
    <s v="TVA - D_5,5"/>
    <s v="NDF"/>
    <n v="0.46"/>
    <d v="2025-02-01T00:00:00"/>
    <s v="NDF"/>
    <m/>
    <e v="#N/A"/>
    <e v="#N/A"/>
    <n v="76463"/>
    <s v="25000038"/>
    <s v="Jérémie Blache"/>
    <s v="Q1"/>
    <e v="#REF!"/>
    <e v="#REF!"/>
    <e v="#REF!"/>
  </r>
  <r>
    <s v="445665"/>
    <x v="6"/>
    <s v="TVA - D_5,5"/>
    <s v="NDF"/>
    <n v="0.47"/>
    <d v="2025-06-01T00:00:00"/>
    <s v="NDF"/>
    <m/>
    <e v="#N/A"/>
    <e v="#N/A"/>
    <n v="76545"/>
    <s v="25000166"/>
    <s v="Océane Chabret"/>
    <s v="Q2"/>
    <e v="#REF!"/>
    <e v="#REF!"/>
    <e v="#REF!"/>
  </r>
  <r>
    <s v="445665"/>
    <x v="6"/>
    <s v="TVA - D_5,5"/>
    <s v="NDF"/>
    <n v="0.48"/>
    <d v="2025-03-31T00:00:00"/>
    <s v="NDF"/>
    <m/>
    <e v="#N/A"/>
    <e v="#N/A"/>
    <n v="75821"/>
    <s v="25000098"/>
    <s v="Marie de Almeida"/>
    <s v="Q1"/>
    <e v="#REF!"/>
    <e v="#REF!"/>
    <e v="#REF!"/>
  </r>
  <r>
    <s v="445665"/>
    <x v="6"/>
    <s v="TVA - D_5,5"/>
    <s v="NDF"/>
    <n v="0.51"/>
    <d v="2025-01-22T00:00:00"/>
    <s v="NDF"/>
    <m/>
    <e v="#N/A"/>
    <e v="#N/A"/>
    <n v="76454"/>
    <s v="25000016"/>
    <s v="Jérémie Blache"/>
    <s v="Q1"/>
    <e v="#REF!"/>
    <e v="#REF!"/>
    <e v="#REF!"/>
  </r>
  <r>
    <s v="445665"/>
    <x v="6"/>
    <s v="TVA - D_5,5"/>
    <s v="NDF"/>
    <n v="0.51"/>
    <d v="2025-04-30T00:00:00"/>
    <s v="NOTE DE FRAIS"/>
    <m/>
    <e v="#N/A"/>
    <e v="#N/A"/>
    <n v="74398"/>
    <s v="25000119"/>
    <s v="Nicolas Canu"/>
    <s v="Q2"/>
    <e v="#REF!"/>
    <e v="#REF!"/>
    <e v="#REF!"/>
  </r>
  <r>
    <s v="445665"/>
    <x v="6"/>
    <s v="TVA - D_5,5"/>
    <s v="NDF"/>
    <n v="0.53"/>
    <d v="2025-03-26T00:00:00"/>
    <s v="NOTE DE FRAIS"/>
    <m/>
    <e v="#N/A"/>
    <e v="#N/A"/>
    <n v="74282"/>
    <s v="25000113"/>
    <s v="Lucie Crépin"/>
    <s v="Q1"/>
    <e v="#REF!"/>
    <e v="#REF!"/>
    <e v="#REF!"/>
  </r>
  <r>
    <s v="445665"/>
    <x v="6"/>
    <s v="TVA - D_5,5"/>
    <s v="NDF"/>
    <n v="0.6"/>
    <d v="2025-04-29T00:00:00"/>
    <s v="NDF"/>
    <m/>
    <e v="#N/A"/>
    <e v="#N/A"/>
    <n v="76504"/>
    <s v="25000152"/>
    <s v="Guillaume Boissonnat-Wu"/>
    <s v="Q2"/>
    <e v="#REF!"/>
    <e v="#REF!"/>
    <e v="#REF!"/>
  </r>
  <r>
    <s v="445665"/>
    <x v="6"/>
    <s v="TVA - D_5,5"/>
    <s v="NDF"/>
    <n v="0.62"/>
    <d v="2025-03-14T00:00:00"/>
    <s v="NDF"/>
    <m/>
    <e v="#N/A"/>
    <e v="#N/A"/>
    <n v="75773"/>
    <s v="25000074"/>
    <s v="Benjamin Barry"/>
    <s v="Q1"/>
    <e v="#REF!"/>
    <e v="#REF!"/>
    <e v="#REF!"/>
  </r>
  <r>
    <s v="445665"/>
    <x v="6"/>
    <s v="TVA - D_5,5"/>
    <s v="NDF"/>
    <n v="0.63"/>
    <d v="2025-03-05T00:00:00"/>
    <s v="NOTE DE FRAIS"/>
    <m/>
    <e v="#N/A"/>
    <e v="#N/A"/>
    <n v="73716"/>
    <s v="25000066"/>
    <s v="Jérémie Blache"/>
    <s v="Q1"/>
    <e v="#REF!"/>
    <e v="#REF!"/>
    <e v="#REF!"/>
  </r>
  <r>
    <s v="445665"/>
    <x v="6"/>
    <s v="TVA - D_5,5"/>
    <s v="NDF"/>
    <n v="0.68"/>
    <d v="2025-02-19T00:00:00"/>
    <s v="NOTE DE FRAIS"/>
    <m/>
    <e v="#N/A"/>
    <e v="#N/A"/>
    <n v="73684"/>
    <s v="25000046"/>
    <s v="Anthony Martinez"/>
    <s v="Q1"/>
    <e v="#REF!"/>
    <e v="#REF!"/>
    <e v="#REF!"/>
  </r>
  <r>
    <s v="445665"/>
    <x v="6"/>
    <s v="TVA - D_5,5"/>
    <s v="NDF"/>
    <n v="0.68"/>
    <d v="2025-03-26T00:00:00"/>
    <s v="NDF"/>
    <m/>
    <e v="#N/A"/>
    <e v="#N/A"/>
    <n v="75807"/>
    <s v="25000086"/>
    <s v="Pauline Rullière"/>
    <s v="Q1"/>
    <e v="#REF!"/>
    <e v="#REF!"/>
    <e v="#REF!"/>
  </r>
  <r>
    <s v="445665"/>
    <x v="6"/>
    <s v="TVA - D_5,5"/>
    <s v="NDF"/>
    <n v="0.72"/>
    <d v="2025-02-06T00:00:00"/>
    <s v="NDF"/>
    <m/>
    <e v="#N/A"/>
    <e v="#N/A"/>
    <n v="75709"/>
    <s v="25000037"/>
    <s v="Emilie Amillastré"/>
    <s v="Q1"/>
    <e v="#REF!"/>
    <e v="#REF!"/>
    <e v="#REF!"/>
  </r>
  <r>
    <s v="445665"/>
    <x v="6"/>
    <s v="TVA - D_5,5"/>
    <s v="NDF"/>
    <n v="0.73"/>
    <d v="2025-01-25T00:00:00"/>
    <s v="NOTE DE FRAIS"/>
    <m/>
    <e v="#N/A"/>
    <e v="#N/A"/>
    <n v="73636"/>
    <s v="25000018"/>
    <s v="Anthony Martinez"/>
    <s v="Q1"/>
    <e v="#REF!"/>
    <e v="#REF!"/>
    <e v="#REF!"/>
  </r>
  <r>
    <s v="445665"/>
    <x v="6"/>
    <s v="TVA - D_5,5"/>
    <s v="NDF"/>
    <n v="0.79"/>
    <d v="2025-01-01T00:00:00"/>
    <s v="NOTE DE FRAIS"/>
    <m/>
    <e v="#N/A"/>
    <e v="#N/A"/>
    <n v="74159"/>
    <s v="24000043"/>
    <s v="Alain Pinchard"/>
    <s v="Q1"/>
    <e v="#REF!"/>
    <e v="#REF!"/>
    <e v="#REF!"/>
  </r>
  <r>
    <s v="445665"/>
    <x v="6"/>
    <s v="TVA - D_5,5"/>
    <s v="NDF"/>
    <n v="0.95"/>
    <d v="2025-03-31T00:00:00"/>
    <s v="NDF"/>
    <m/>
    <e v="#N/A"/>
    <e v="#N/A"/>
    <n v="75827"/>
    <s v="25000097"/>
    <s v="Bob Fernandez"/>
    <s v="Q1"/>
    <e v="#REF!"/>
    <e v="#REF!"/>
    <e v="#REF!"/>
  </r>
  <r>
    <s v="445665"/>
    <x v="6"/>
    <s v="TVA - D_5,5"/>
    <s v="NDF"/>
    <n v="0.95"/>
    <d v="2025-04-04T00:00:00"/>
    <s v="NDF"/>
    <m/>
    <e v="#N/A"/>
    <e v="#N/A"/>
    <n v="75466"/>
    <s v="25000105"/>
    <s v="Audrey Baylac"/>
    <s v="Q2"/>
    <e v="#REF!"/>
    <e v="#REF!"/>
    <e v="#REF!"/>
  </r>
  <r>
    <s v="445665"/>
    <x v="6"/>
    <s v="TVA - D_5,5"/>
    <s v="NDF"/>
    <n v="0.96"/>
    <d v="2025-04-14T00:00:00"/>
    <s v="NOTE DE FRAIS"/>
    <m/>
    <e v="#N/A"/>
    <e v="#N/A"/>
    <n v="74328"/>
    <s v="25000129"/>
    <s v="Loic masseboeuf"/>
    <s v="Q2"/>
    <e v="#REF!"/>
    <e v="#REF!"/>
    <e v="#REF!"/>
  </r>
  <r>
    <s v="445665"/>
    <x v="6"/>
    <s v="TVA - D_5,5"/>
    <s v="NDF"/>
    <n v="0.99"/>
    <d v="2025-01-13T00:00:00"/>
    <s v="NDF"/>
    <m/>
    <e v="#N/A"/>
    <e v="#N/A"/>
    <n v="75683"/>
    <s v="25000011"/>
    <s v="Benjamin Barry"/>
    <s v="Q1"/>
    <e v="#REF!"/>
    <e v="#REF!"/>
    <e v="#REF!"/>
  </r>
  <r>
    <s v="445665"/>
    <x v="6"/>
    <s v="TVA - D_5,5"/>
    <s v="NDF"/>
    <n v="0.99"/>
    <d v="2025-01-30T00:00:00"/>
    <s v="NDF"/>
    <m/>
    <e v="#N/A"/>
    <e v="#N/A"/>
    <n v="75695"/>
    <s v="25000023"/>
    <s v="Guillaume Boissonnat-Wu"/>
    <s v="Q1"/>
    <e v="#REF!"/>
    <e v="#REF!"/>
    <e v="#REF!"/>
  </r>
  <r>
    <s v="445665"/>
    <x v="6"/>
    <s v="TVA - D_5,5"/>
    <s v="NDF"/>
    <n v="1.03"/>
    <d v="2025-04-01T00:00:00"/>
    <s v="NDF"/>
    <m/>
    <e v="#N/A"/>
    <e v="#N/A"/>
    <n v="75456"/>
    <s v="25000099"/>
    <s v="Emilie Amillastré"/>
    <s v="Q2"/>
    <e v="#REF!"/>
    <e v="#REF!"/>
    <e v="#REF!"/>
  </r>
  <r>
    <s v="445665"/>
    <x v="6"/>
    <s v="TVA - D_5,5"/>
    <s v="NDF"/>
    <n v="1.08"/>
    <d v="2025-04-29T00:00:00"/>
    <s v="NOTE DE FRAIS"/>
    <m/>
    <e v="#N/A"/>
    <e v="#N/A"/>
    <n v="74376"/>
    <s v="25000134"/>
    <s v="Julie Lacondemine"/>
    <s v="Q2"/>
    <e v="#REF!"/>
    <e v="#REF!"/>
    <e v="#REF!"/>
  </r>
  <r>
    <s v="445665"/>
    <x v="6"/>
    <s v="TVA - D_5,5"/>
    <s v="NDF"/>
    <n v="1.17"/>
    <d v="2025-05-27T00:00:00"/>
    <s v="NDF"/>
    <m/>
    <e v="#N/A"/>
    <e v="#N/A"/>
    <n v="76535"/>
    <s v="25000158"/>
    <s v="Jérémie Blache"/>
    <s v="Q2"/>
    <e v="#REF!"/>
    <e v="#REF!"/>
    <e v="#REF!"/>
  </r>
  <r>
    <s v="445665"/>
    <x v="6"/>
    <s v="TVA - D_5,5"/>
    <s v="NDF"/>
    <n v="1.19"/>
    <d v="2025-03-28T00:00:00"/>
    <s v="NDF"/>
    <m/>
    <e v="#N/A"/>
    <e v="#N/A"/>
    <n v="75815"/>
    <s v="25000092"/>
    <s v="Marjorie Denard"/>
    <s v="Q1"/>
    <e v="#REF!"/>
    <e v="#REF!"/>
    <e v="#REF!"/>
  </r>
  <r>
    <s v="445665"/>
    <x v="6"/>
    <s v="TVA - D_5,5"/>
    <s v="NDF"/>
    <n v="1.3"/>
    <d v="2025-03-04T00:00:00"/>
    <s v="NDF"/>
    <m/>
    <e v="#N/A"/>
    <e v="#N/A"/>
    <n v="75745"/>
    <s v="25000104"/>
    <s v="Kevin Cottet"/>
    <s v="Q1"/>
    <e v="#REF!"/>
    <e v="#REF!"/>
    <e v="#REF!"/>
  </r>
  <r>
    <s v="445665"/>
    <x v="6"/>
    <s v="TVA - D_5,5"/>
    <s v="NDF"/>
    <n v="1.36"/>
    <d v="2025-03-21T00:00:00"/>
    <s v="NDF"/>
    <m/>
    <e v="#N/A"/>
    <e v="#N/A"/>
    <n v="75448"/>
    <s v="25000081"/>
    <s v="Anthony Martinez"/>
    <s v="Q1"/>
    <e v="#REF!"/>
    <e v="#REF!"/>
    <e v="#REF!"/>
  </r>
  <r>
    <s v="445665"/>
    <x v="6"/>
    <s v="TVA - D_5,5"/>
    <s v="NDF"/>
    <n v="1.4"/>
    <d v="2025-01-07T00:00:00"/>
    <s v="NDF"/>
    <m/>
    <e v="#N/A"/>
    <e v="#N/A"/>
    <n v="75676"/>
    <s v="3307202564"/>
    <s v="Pierre-Yves Bolle"/>
    <s v="Q1"/>
    <e v="#REF!"/>
    <e v="#REF!"/>
    <e v="#REF!"/>
  </r>
  <r>
    <s v="445665"/>
    <x v="6"/>
    <s v="TVA - D_5,5"/>
    <s v="NDF"/>
    <n v="1.44"/>
    <d v="2025-06-07T00:00:00"/>
    <s v="NDF"/>
    <m/>
    <e v="#N/A"/>
    <e v="#N/A"/>
    <n v="76567"/>
    <s v="25000173"/>
    <s v="Anthony Martinez"/>
    <s v="Q2"/>
    <e v="#REF!"/>
    <e v="#REF!"/>
    <e v="#REF!"/>
  </r>
  <r>
    <s v="445665"/>
    <x v="6"/>
    <s v="TVA - D_5,5"/>
    <s v="NDF"/>
    <n v="1.47"/>
    <d v="2025-03-03T00:00:00"/>
    <s v="NDF"/>
    <m/>
    <e v="#N/A"/>
    <e v="#N/A"/>
    <n v="76476"/>
    <s v="25000060"/>
    <s v="Jérémie Blache"/>
    <s v="Q1"/>
    <e v="#REF!"/>
    <e v="#REF!"/>
    <e v="#REF!"/>
  </r>
  <r>
    <s v="445665"/>
    <x v="6"/>
    <s v="TVA - D_5,5"/>
    <s v="NDF"/>
    <n v="1.56"/>
    <d v="2025-01-08T00:00:00"/>
    <s v="NDF"/>
    <m/>
    <e v="#N/A"/>
    <e v="#N/A"/>
    <n v="75437"/>
    <s v="25000006"/>
    <s v="Marie-Sarah Adenis"/>
    <s v="Q1"/>
    <e v="#REF!"/>
    <e v="#REF!"/>
    <e v="#REF!"/>
  </r>
  <r>
    <s v="445665"/>
    <x v="6"/>
    <s v="TVA - D_5,5"/>
    <s v="NDF"/>
    <n v="1.59"/>
    <d v="2025-03-26T00:00:00"/>
    <s v="NDF"/>
    <m/>
    <e v="#N/A"/>
    <e v="#N/A"/>
    <n v="75794"/>
    <s v="25000087"/>
    <s v="Benjamin Barry"/>
    <s v="Q1"/>
    <e v="#REF!"/>
    <e v="#REF!"/>
    <e v="#REF!"/>
  </r>
  <r>
    <s v="445665"/>
    <x v="6"/>
    <s v="TVA - D_5,5"/>
    <s v="NDF"/>
    <n v="1.94"/>
    <d v="2025-03-02T00:00:00"/>
    <s v="NDF"/>
    <m/>
    <e v="#N/A"/>
    <e v="#N/A"/>
    <n v="75738"/>
    <s v="25000043"/>
    <s v="Pauline Rullière"/>
    <s v="Q1"/>
    <e v="#REF!"/>
    <e v="#REF!"/>
    <e v="#REF!"/>
  </r>
  <r>
    <s v="445665"/>
    <x v="6"/>
    <s v="TVA - D_5,5"/>
    <s v="NDF"/>
    <n v="1.98"/>
    <d v="2025-04-08T00:00:00"/>
    <s v="NOTE DE FRAIS"/>
    <m/>
    <e v="#N/A"/>
    <e v="#N/A"/>
    <n v="74300"/>
    <s v="25000110"/>
    <s v="Bob Fernandez"/>
    <s v="Q2"/>
    <e v="#REF!"/>
    <e v="#REF!"/>
    <e v="#REF!"/>
  </r>
  <r>
    <s v="445665"/>
    <x v="6"/>
    <s v="TVA - D_5,5"/>
    <s v="NDF"/>
    <n v="2.1"/>
    <d v="2025-01-01T00:00:00"/>
    <s v="NDF"/>
    <m/>
    <e v="#N/A"/>
    <e v="#N/A"/>
    <n v="75666"/>
    <s v="25000009"/>
    <s v="Pauline Rullière"/>
    <s v="Q1"/>
    <e v="#REF!"/>
    <e v="#REF!"/>
    <e v="#REF!"/>
  </r>
  <r>
    <s v="445665"/>
    <x v="6"/>
    <s v="TVA - D_5,5"/>
    <s v="NDF"/>
    <n v="2.15"/>
    <d v="2025-01-01T00:00:00"/>
    <s v="NDF"/>
    <m/>
    <e v="#N/A"/>
    <e v="#N/A"/>
    <n v="75658"/>
    <s v="24000362"/>
    <s v="Marie Rézeau"/>
    <s v="Q1"/>
    <e v="#REF!"/>
    <e v="#REF!"/>
    <e v="#REF!"/>
  </r>
  <r>
    <s v="445665"/>
    <x v="6"/>
    <s v="TVA - D_5,5"/>
    <s v="NDF"/>
    <n v="2.84"/>
    <d v="2025-04-14T00:00:00"/>
    <s v="NOTE DE FRAIS"/>
    <m/>
    <e v="#N/A"/>
    <e v="#N/A"/>
    <n v="74322"/>
    <s v="25000114"/>
    <s v="Océane Chabret"/>
    <s v="Q2"/>
    <e v="#REF!"/>
    <e v="#REF!"/>
    <e v="#REF!"/>
  </r>
  <r>
    <s v="445665"/>
    <x v="6"/>
    <s v="TVA - D_5,5"/>
    <s v="NDF"/>
    <n v="4.3099999999999996"/>
    <d v="2025-01-14T00:00:00"/>
    <s v="NDF"/>
    <m/>
    <e v="#N/A"/>
    <e v="#N/A"/>
    <n v="75688"/>
    <s v="25000025"/>
    <s v="Loic masseboeuf"/>
    <s v="Q1"/>
    <e v="#REF!"/>
    <e v="#REF!"/>
    <e v="#REF!"/>
  </r>
  <r>
    <s v="445665"/>
    <x v="6"/>
    <s v="TVA - D_5,5"/>
    <s v="OD"/>
    <n v="-224.99"/>
    <d v="2025-09-30T00:00:00"/>
    <s v="Liaison inter-établissement vers TO "/>
    <m/>
    <e v="#N/A"/>
    <e v="#N/A"/>
    <n v="87222"/>
    <m/>
    <m/>
    <s v="Q3"/>
    <e v="#REF!"/>
    <e v="#REF!"/>
    <e v="#REF!"/>
  </r>
  <r>
    <s v="445665"/>
    <x v="6"/>
    <s v="TVA - D_5,5"/>
    <s v="OD"/>
    <n v="-62.32"/>
    <d v="2025-06-30T00:00:00"/>
    <s v="Liaison inter-établissement vers TO "/>
    <m/>
    <e v="#N/A"/>
    <e v="#N/A"/>
    <n v="78524"/>
    <m/>
    <m/>
    <s v="Q2"/>
    <e v="#REF!"/>
    <e v="#REF!"/>
    <e v="#REF!"/>
  </r>
  <r>
    <s v="445665"/>
    <x v="6"/>
    <s v="TVA - D_5,5"/>
    <s v="OD"/>
    <n v="-25.9"/>
    <d v="2025-03-31T00:00:00"/>
    <s v="Liaison inter-établissement vers TO "/>
    <m/>
    <e v="#N/A"/>
    <e v="#N/A"/>
    <n v="68528"/>
    <m/>
    <m/>
    <s v="Q1"/>
    <e v="#REF!"/>
    <e v="#REF!"/>
    <e v="#REF!"/>
  </r>
  <r>
    <s v="445665"/>
    <x v="6"/>
    <s v="TVA - D_5,5"/>
    <s v="OD"/>
    <n v="-20.97"/>
    <d v="2025-09-30T00:00:00"/>
    <s v="Liaison inter-établissement vers TO "/>
    <m/>
    <e v="#N/A"/>
    <e v="#N/A"/>
    <n v="87218"/>
    <m/>
    <m/>
    <s v="Q3"/>
    <e v="#REF!"/>
    <e v="#REF!"/>
    <e v="#REF!"/>
  </r>
  <r>
    <s v="445665"/>
    <x v="6"/>
    <s v="TVA - D_5,5"/>
    <s v="OD"/>
    <n v="-16.72"/>
    <d v="2025-06-30T00:00:00"/>
    <s v="Liaison inter-établissement vers TO "/>
    <m/>
    <e v="#N/A"/>
    <e v="#N/A"/>
    <n v="78528"/>
    <m/>
    <m/>
    <s v="Q2"/>
    <e v="#REF!"/>
    <e v="#REF!"/>
    <e v="#REF!"/>
  </r>
  <r>
    <s v="445665"/>
    <x v="6"/>
    <s v="TVA - D_5,5"/>
    <s v="OD"/>
    <n v="-10.29"/>
    <d v="2025-09-30T00:00:00"/>
    <s v="Liaison inter-établissement vers TO "/>
    <m/>
    <e v="#N/A"/>
    <e v="#N/A"/>
    <n v="87225"/>
    <m/>
    <m/>
    <s v="Q3"/>
    <e v="#REF!"/>
    <e v="#REF!"/>
    <e v="#REF!"/>
  </r>
  <r>
    <s v="445665"/>
    <x v="6"/>
    <s v="TVA - D_5,5"/>
    <s v="OD"/>
    <n v="-6.68"/>
    <d v="2025-03-31T00:00:00"/>
    <s v="Liaison inter-établissement vers TO "/>
    <m/>
    <e v="#N/A"/>
    <e v="#N/A"/>
    <n v="68532"/>
    <m/>
    <m/>
    <s v="Q1"/>
    <e v="#REF!"/>
    <e v="#REF!"/>
    <e v="#REF!"/>
  </r>
  <r>
    <s v="445665"/>
    <x v="6"/>
    <s v="TVA - D_5,5"/>
    <s v="OD"/>
    <n v="-5.84"/>
    <d v="2025-06-30T00:00:00"/>
    <s v="Liaison inter-établissement vers TO "/>
    <m/>
    <e v="#N/A"/>
    <e v="#N/A"/>
    <n v="78531"/>
    <m/>
    <m/>
    <s v="Q2"/>
    <e v="#REF!"/>
    <e v="#REF!"/>
    <e v="#REF!"/>
  </r>
  <r>
    <s v="445665"/>
    <x v="6"/>
    <s v="TVA - D_5,5"/>
    <s v="OD"/>
    <n v="32.58"/>
    <d v="2025-03-31T00:00:00"/>
    <s v="Liaison inter-établissement"/>
    <m/>
    <e v="#N/A"/>
    <e v="#N/A"/>
    <n v="68529"/>
    <m/>
    <m/>
    <s v="Q1"/>
    <e v="#REF!"/>
    <e v="#REF!"/>
    <e v="#REF!"/>
  </r>
  <r>
    <s v="445665"/>
    <x v="6"/>
    <s v="TVA - D_5,5"/>
    <s v="OD"/>
    <n v="84.88"/>
    <d v="2025-06-30T00:00:00"/>
    <s v="Liaison inter-établissement"/>
    <m/>
    <e v="#N/A"/>
    <e v="#N/A"/>
    <n v="78525"/>
    <m/>
    <m/>
    <s v="Q2"/>
    <e v="#REF!"/>
    <e v="#REF!"/>
    <e v="#REF!"/>
  </r>
  <r>
    <s v="445665"/>
    <x v="6"/>
    <s v="TVA - D_5,5"/>
    <s v="OD"/>
    <n v="256.25"/>
    <d v="2025-09-30T00:00:00"/>
    <s v="Liaison inter-établissement"/>
    <m/>
    <e v="#N/A"/>
    <e v="#N/A"/>
    <n v="87219"/>
    <m/>
    <m/>
    <s v="Q3"/>
    <e v="#REF!"/>
    <e v="#REF!"/>
    <e v="#REF!"/>
  </r>
  <r>
    <s v="445665"/>
    <x v="6"/>
    <s v="TVA - D_5,5"/>
    <s v="TVA"/>
    <n v="-256.25"/>
    <d v="2025-09-30T00:00:00"/>
    <s v="Déclaration TVA Q3 2025"/>
    <m/>
    <e v="#N/A"/>
    <e v="#N/A"/>
    <n v="87192"/>
    <m/>
    <m/>
    <s v="Q3"/>
    <e v="#REF!"/>
    <e v="#REF!"/>
    <e v="#REF!"/>
  </r>
  <r>
    <s v="445665"/>
    <x v="6"/>
    <s v="TVA - D_5,5"/>
    <s v="TVA"/>
    <n v="-115.89"/>
    <d v="2025-06-30T00:00:00"/>
    <s v="Déclaration TVA Q2 2025"/>
    <m/>
    <e v="#N/A"/>
    <e v="#N/A"/>
    <n v="78453"/>
    <m/>
    <m/>
    <s v="Q2"/>
    <e v="#REF!"/>
    <e v="#REF!"/>
    <e v="#REF!"/>
  </r>
  <r>
    <s v="445665"/>
    <x v="6"/>
    <s v="TVA - D_5,5"/>
    <s v="TVA"/>
    <n v="-32.58"/>
    <d v="2025-03-31T00:00:00"/>
    <s v="Déclaration TVA Q1"/>
    <m/>
    <e v="#N/A"/>
    <e v="#N/A"/>
    <n v="68478"/>
    <m/>
    <m/>
    <s v="Q1"/>
    <e v="#REF!"/>
    <e v="#REF!"/>
    <e v="#REF!"/>
  </r>
  <r>
    <s v="445665"/>
    <x v="6"/>
    <s v="TVA - D_5,5"/>
    <s v="TVA"/>
    <n v="-4.87"/>
    <d v="2025-12-31T00:00:00"/>
    <s v="Déclaration TVA Q4 2025"/>
    <m/>
    <e v="#N/A"/>
    <e v="#N/A"/>
    <n v="96045"/>
    <m/>
    <m/>
    <s v="Q4"/>
    <e v="#REF!"/>
    <e v="#REF!"/>
    <e v="#REF!"/>
  </r>
  <r>
    <s v="445667"/>
    <x v="6"/>
    <s v="TVA - D_10"/>
    <s v="AC"/>
    <n v="0.28000000000000003"/>
    <d v="2025-05-16T00:00:00"/>
    <s v="EAU ET ASSAINISSEMENT"/>
    <m/>
    <e v="#N/A"/>
    <e v="#N/A"/>
    <n v="78358"/>
    <s v="2"/>
    <s v="EAU DU GRAND LYON"/>
    <s v="Q2"/>
    <e v="#REF!"/>
    <e v="#REF!"/>
    <e v="#REF!"/>
  </r>
  <r>
    <s v="445667"/>
    <x v="6"/>
    <s v="TVA - D_10"/>
    <s v="AC"/>
    <n v="0.28000000000000003"/>
    <d v="2025-11-18T00:00:00"/>
    <s v="EAU COURANTE LYON"/>
    <m/>
    <e v="#N/A"/>
    <e v="#N/A"/>
    <n v="92952"/>
    <s v="1009543685"/>
    <s v="EAU DU GRAND LYON"/>
    <s v="Q4"/>
    <e v="#REF!"/>
    <e v="#REF!"/>
    <e v="#REF!"/>
  </r>
  <r>
    <s v="445667"/>
    <x v="6"/>
    <s v="TVA - D_10"/>
    <s v="AC"/>
    <n v="0.28999999999999998"/>
    <d v="2025-01-01T00:00:00"/>
    <s v="EAU LYON 2024"/>
    <m/>
    <e v="#N/A"/>
    <e v="#N/A"/>
    <n v="71258"/>
    <s v="1008829596"/>
    <s v="EAU DU GRAND LYON"/>
    <s v="Q1"/>
    <e v="#REF!"/>
    <e v="#REF!"/>
    <e v="#REF!"/>
  </r>
  <r>
    <s v="445667"/>
    <x v="6"/>
    <s v="TVA - D_10"/>
    <s v="AC"/>
    <n v="2.5499999999999998"/>
    <d v="2025-11-12T00:00:00"/>
    <s v="AR AÉROPORT LYON"/>
    <m/>
    <s v="Non"/>
    <e v="#N/A"/>
    <n v="91433"/>
    <s v="W_4793216"/>
    <s v="DIVERS"/>
    <s v="Q4"/>
    <e v="#REF!"/>
    <e v="#REF!"/>
    <e v="#REF!"/>
  </r>
  <r>
    <s v="445667"/>
    <x v="6"/>
    <s v="TVA - D_10"/>
    <s v="AC"/>
    <n v="6"/>
    <d v="2025-04-10T00:00:00"/>
    <s v="ENTRETIEN RECRUTEMENT RAF - CB LOIMAS"/>
    <m/>
    <s v="Non"/>
    <e v="#N/A"/>
    <n v="72602"/>
    <s v="70"/>
    <s v="DIVERS"/>
    <s v="Q2"/>
    <e v="#REF!"/>
    <e v="#REF!"/>
    <e v="#REF!"/>
  </r>
  <r>
    <s v="445667"/>
    <x v="6"/>
    <s v="TVA - D_10"/>
    <s v="AC"/>
    <n v="10.02"/>
    <d v="2025-09-25T00:00:00"/>
    <s v="NUIT POST BUSINESS BOARD"/>
    <m/>
    <e v="#N/A"/>
    <e v="#N/A"/>
    <n v="89584"/>
    <s v="5"/>
    <s v="BOOKING"/>
    <s v="Q3"/>
    <e v="#REF!"/>
    <e v="#REF!"/>
    <e v="#REF!"/>
  </r>
  <r>
    <s v="445667"/>
    <x v="6"/>
    <s v="TVA - D_10"/>
    <s v="AC"/>
    <n v="10.86"/>
    <d v="2025-11-17T00:00:00"/>
    <s v="NUIT POST EVENT VROOM BXL"/>
    <m/>
    <e v="#N/A"/>
    <e v="#N/A"/>
    <n v="91450"/>
    <s v="32"/>
    <s v="BOOKING"/>
    <s v="Q4"/>
    <e v="#REF!"/>
    <e v="#REF!"/>
    <e v="#REF!"/>
  </r>
  <r>
    <s v="445667"/>
    <x v="6"/>
    <s v="TVA - D_10"/>
    <s v="AC"/>
    <n v="24.08"/>
    <d v="2025-11-05T00:00:00"/>
    <s v="NUITÉE HÔTEL SOIRÉE 10 ANS PILI X 2 PERSONNES (PYB ET JLA)"/>
    <m/>
    <e v="#N/A"/>
    <e v="#N/A"/>
    <n v="91426"/>
    <s v="22"/>
    <s v="HOTELS"/>
    <s v="Q4"/>
    <e v="#REF!"/>
    <e v="#REF!"/>
    <e v="#REF!"/>
  </r>
  <r>
    <s v="445667"/>
    <x v="6"/>
    <s v="TVA - D_10"/>
    <s v="AC"/>
    <n v="59.3"/>
    <d v="2025-04-05T00:00:00"/>
    <s v="TRAITEUR DÉJEUNER CS 27 MARS 2025"/>
    <m/>
    <e v="#N/A"/>
    <e v="#N/A"/>
    <n v="69719"/>
    <s v="F-0405-1426"/>
    <s v="LES BOUFFESQUETAIRES"/>
    <s v="Q2"/>
    <e v="#REF!"/>
    <e v="#REF!"/>
    <e v="#REF!"/>
  </r>
  <r>
    <s v="445667"/>
    <x v="6"/>
    <s v="TVA - D_10"/>
    <s v="AC"/>
    <n v="62.3"/>
    <d v="2025-10-13T00:00:00"/>
    <s v="TRAITEUR CS"/>
    <m/>
    <e v="#N/A"/>
    <e v="#N/A"/>
    <n v="87078"/>
    <s v="F-1013-1766"/>
    <s v="LES BOUFFESQUETAIRES"/>
    <s v="Q4"/>
    <e v="#REF!"/>
    <e v="#REF!"/>
    <e v="#REF!"/>
  </r>
  <r>
    <s v="445667"/>
    <x v="6"/>
    <s v="TVA - D_10"/>
    <s v="AC"/>
    <n v="87.45"/>
    <d v="2025-09-19T00:00:00"/>
    <s v="TRAITEUR SÉMINAIRE PILI (JEUDI 18 SEPT. SOIR)"/>
    <m/>
    <e v="#N/A"/>
    <e v="#N/A"/>
    <n v="82741"/>
    <s v="F-2025-1596"/>
    <s v="CANOVAS STEVE EI"/>
    <s v="Q3"/>
    <e v="#REF!"/>
    <e v="#REF!"/>
    <e v="#REF!"/>
  </r>
  <r>
    <s v="445667"/>
    <x v="6"/>
    <s v="TVA - D_10"/>
    <s v="AC"/>
    <n v="100"/>
    <d v="2025-03-10T00:00:00"/>
    <s v="LOGEMENT SÉMINAIRE PILI 2025 ECHÉANCIER DES RÈGLEMENTS, PAR VIREMENTS BANCAIRES : •1290€ AVANT LE 17 MARS 2025 •2150€ AVANT LE 1"/>
    <m/>
    <e v="#N/A"/>
    <e v="#N/A"/>
    <n v="66113"/>
    <s v="3101-25"/>
    <s v="LMDA"/>
    <s v="Q1"/>
    <e v="#REF!"/>
    <e v="#REF!"/>
    <e v="#REF!"/>
  </r>
  <r>
    <s v="445667"/>
    <x v="6"/>
    <s v="TVA - D_10"/>
    <s v="AC"/>
    <n v="124.28"/>
    <d v="2025-09-23T00:00:00"/>
    <s v="PRESTATION TRAITEUR SÉMINAIRE PILI"/>
    <m/>
    <e v="#N/A"/>
    <e v="#N/A"/>
    <n v="87051"/>
    <s v="TG34/3888"/>
    <s v="TRAITEUR GRAND"/>
    <s v="Q3"/>
    <e v="#REF!"/>
    <e v="#REF!"/>
    <e v="#REF!"/>
  </r>
  <r>
    <s v="445667"/>
    <x v="6"/>
    <s v="TVA - D_10"/>
    <s v="NDF"/>
    <n v="0.16"/>
    <d v="2025-02-10T00:00:00"/>
    <s v="NDF"/>
    <m/>
    <e v="#N/A"/>
    <e v="#N/A"/>
    <n v="75720"/>
    <s v="25000044"/>
    <s v="Audrey Baylac"/>
    <s v="Q1"/>
    <e v="#REF!"/>
    <e v="#REF!"/>
    <e v="#REF!"/>
  </r>
  <r>
    <s v="445667"/>
    <x v="6"/>
    <s v="TVA - D_10"/>
    <s v="NDF"/>
    <n v="0.18"/>
    <d v="2025-12-12T00:00:00"/>
    <s v="MÉTRO, BUS - TOULOUSE METRO"/>
    <m/>
    <e v="#N/A"/>
    <e v="#N/A"/>
    <n v="95845"/>
    <s v="25000338"/>
    <s v="Alain Pinchard"/>
    <s v="Q4"/>
    <e v="#REF!"/>
    <e v="#REF!"/>
    <e v="#REF!"/>
  </r>
  <r>
    <s v="445667"/>
    <x v="6"/>
    <s v="TVA - D_10"/>
    <s v="NDF"/>
    <n v="0.23"/>
    <d v="2025-12-02T00:00:00"/>
    <s v="MÉTRO, BUS - METRO"/>
    <m/>
    <e v="#N/A"/>
    <e v="#N/A"/>
    <n v="93389"/>
    <s v="25000315"/>
    <s v="Kevin Cottet"/>
    <s v="Q4"/>
    <e v="#REF!"/>
    <e v="#REF!"/>
    <e v="#REF!"/>
  </r>
  <r>
    <s v="445667"/>
    <x v="6"/>
    <s v="TVA - D_10"/>
    <s v="NDF"/>
    <n v="0.27"/>
    <d v="2025-05-27T00:00:00"/>
    <s v="NDF"/>
    <m/>
    <e v="#N/A"/>
    <e v="#N/A"/>
    <n v="76531"/>
    <s v="25000156"/>
    <s v="Jérémie Blache"/>
    <s v="Q2"/>
    <e v="#REF!"/>
    <e v="#REF!"/>
    <e v="#REF!"/>
  </r>
  <r>
    <s v="445667"/>
    <x v="6"/>
    <s v="TVA - D_10"/>
    <s v="NDF"/>
    <n v="0.33"/>
    <d v="2025-01-09T00:00:00"/>
    <s v="DIVERS - CAFÉ TRAIN"/>
    <m/>
    <e v="#N/A"/>
    <e v="#N/A"/>
    <n v="88088"/>
    <s v="25000215"/>
    <s v="Jérémie Blache"/>
    <s v="Q1"/>
    <e v="#REF!"/>
    <e v="#REF!"/>
    <e v="#REF!"/>
  </r>
  <r>
    <s v="445667"/>
    <x v="6"/>
    <s v="TVA - D_10"/>
    <s v="NDF"/>
    <n v="0.35"/>
    <d v="2025-09-09T00:00:00"/>
    <s v="DIVERS - ENCAS"/>
    <m/>
    <e v="#N/A"/>
    <e v="#N/A"/>
    <n v="88103"/>
    <s v="25000195"/>
    <s v="Pauline Rullière"/>
    <s v="Q3"/>
    <e v="#REF!"/>
    <e v="#REF!"/>
    <e v="#REF!"/>
  </r>
  <r>
    <s v="445667"/>
    <x v="6"/>
    <s v="TVA - D_10"/>
    <s v="NDF"/>
    <n v="0.36"/>
    <d v="2025-04-21T00:00:00"/>
    <s v="NOTE DE FRAIS"/>
    <m/>
    <e v="#N/A"/>
    <e v="#N/A"/>
    <n v="74341"/>
    <s v="25000117"/>
    <s v="Jérémie Blache"/>
    <s v="Q2"/>
    <e v="#REF!"/>
    <e v="#REF!"/>
    <e v="#REF!"/>
  </r>
  <r>
    <s v="445667"/>
    <x v="6"/>
    <s v="TVA - D_10"/>
    <s v="NDF"/>
    <n v="0.41"/>
    <d v="2025-04-01T00:00:00"/>
    <s v="NOTE DE FRAIS"/>
    <m/>
    <e v="#N/A"/>
    <e v="#N/A"/>
    <n v="74291"/>
    <s v="25000130"/>
    <s v="Jérémie Blache"/>
    <s v="Q2"/>
    <e v="#REF!"/>
    <e v="#REF!"/>
    <e v="#REF!"/>
  </r>
  <r>
    <s v="445667"/>
    <x v="6"/>
    <s v="TVA - D_10"/>
    <s v="NDF"/>
    <n v="0.45"/>
    <d v="2025-01-22T00:00:00"/>
    <s v="NDF"/>
    <m/>
    <e v="#N/A"/>
    <e v="#N/A"/>
    <n v="76455"/>
    <s v="25000016"/>
    <s v="Jérémie Blache"/>
    <s v="Q1"/>
    <e v="#REF!"/>
    <e v="#REF!"/>
    <e v="#REF!"/>
  </r>
  <r>
    <s v="445667"/>
    <x v="6"/>
    <s v="TVA - D_10"/>
    <s v="NDF"/>
    <n v="0.45"/>
    <d v="2025-11-24T00:00:00"/>
    <s v="DIVERS - CAFE TRAIN"/>
    <m/>
    <e v="#N/A"/>
    <e v="#N/A"/>
    <n v="91006"/>
    <s v="25000291"/>
    <s v="Jérémie Blache"/>
    <s v="Q4"/>
    <e v="#REF!"/>
    <e v="#REF!"/>
    <e v="#REF!"/>
  </r>
  <r>
    <s v="445667"/>
    <x v="6"/>
    <s v="TVA - D_10"/>
    <s v="NDF"/>
    <n v="0.48"/>
    <d v="2025-12-03T00:00:00"/>
    <s v="RESTAURANT MIDI - DÉJEUNER"/>
    <m/>
    <e v="#N/A"/>
    <e v="#N/A"/>
    <n v="93491"/>
    <s v="25000289"/>
    <s v="Pauline Rullière"/>
    <s v="Q4"/>
    <e v="#REF!"/>
    <e v="#REF!"/>
    <e v="#REF!"/>
  </r>
  <r>
    <s v="445667"/>
    <x v="6"/>
    <s v="TVA - D_10"/>
    <s v="NDF"/>
    <n v="0.52"/>
    <d v="2025-09-08T00:00:00"/>
    <s v="DIVERS - CAFE TRAIN"/>
    <m/>
    <e v="#N/A"/>
    <e v="#N/A"/>
    <n v="88085"/>
    <s v="25000218"/>
    <s v="Jérémie Blache"/>
    <s v="Q3"/>
    <e v="#REF!"/>
    <e v="#REF!"/>
    <e v="#REF!"/>
  </r>
  <r>
    <s v="445667"/>
    <x v="6"/>
    <s v="TVA - D_10"/>
    <s v="NDF"/>
    <n v="0.54"/>
    <d v="2025-03-12T00:00:00"/>
    <s v="NDF"/>
    <m/>
    <e v="#N/A"/>
    <e v="#N/A"/>
    <n v="76489"/>
    <s v="25000071"/>
    <s v="Jérémie Blache"/>
    <s v="Q1"/>
    <e v="#REF!"/>
    <e v="#REF!"/>
    <e v="#REF!"/>
  </r>
  <r>
    <s v="445667"/>
    <x v="6"/>
    <s v="TVA - D_10"/>
    <s v="NDF"/>
    <n v="0.54"/>
    <d v="2025-04-29T00:00:00"/>
    <s v="NOTE DE FRAIS"/>
    <m/>
    <e v="#N/A"/>
    <e v="#N/A"/>
    <n v="74383"/>
    <s v="25000132"/>
    <s v="Jérémie Blache"/>
    <s v="Q2"/>
    <e v="#REF!"/>
    <e v="#REF!"/>
    <e v="#REF!"/>
  </r>
  <r>
    <s v="445667"/>
    <x v="6"/>
    <s v="TVA - D_10"/>
    <s v="NDF"/>
    <n v="0.55000000000000004"/>
    <d v="2025-03-26T00:00:00"/>
    <s v="NDF"/>
    <m/>
    <e v="#N/A"/>
    <e v="#N/A"/>
    <n v="75452"/>
    <s v="25000090"/>
    <s v="Marine Bonnaud"/>
    <s v="Q1"/>
    <e v="#REF!"/>
    <e v="#REF!"/>
    <e v="#REF!"/>
  </r>
  <r>
    <s v="445667"/>
    <x v="6"/>
    <s v="TVA - D_10"/>
    <s v="NDF"/>
    <n v="0.55000000000000004"/>
    <d v="2025-09-01T00:00:00"/>
    <s v="DIVERS - CALL INVEST LYON"/>
    <m/>
    <e v="#N/A"/>
    <e v="#N/A"/>
    <n v="88091"/>
    <s v="25000225"/>
    <s v="Jérémie Blache"/>
    <s v="Q3"/>
    <e v="#REF!"/>
    <e v="#REF!"/>
    <e v="#REF!"/>
  </r>
  <r>
    <s v="445667"/>
    <x v="6"/>
    <s v="TVA - D_10"/>
    <s v="NDF"/>
    <n v="0.55000000000000004"/>
    <d v="2025-09-09T00:00:00"/>
    <s v="DIVERS - DINER BIS (RETARD TRAIN)"/>
    <m/>
    <e v="#N/A"/>
    <e v="#N/A"/>
    <n v="88624"/>
    <s v="25000222"/>
    <s v="Pauline Rullière"/>
    <s v="Q3"/>
    <e v="#REF!"/>
    <e v="#REF!"/>
    <e v="#REF!"/>
  </r>
  <r>
    <s v="445667"/>
    <x v="6"/>
    <s v="TVA - D_10"/>
    <s v="NDF"/>
    <n v="0.55000000000000004"/>
    <d v="2025-10-01T00:00:00"/>
    <s v="DIVERS - GOÛTER TRAIN"/>
    <m/>
    <e v="#N/A"/>
    <e v="#N/A"/>
    <n v="88926"/>
    <s v="25000277"/>
    <s v="Jérémie Blache"/>
    <s v="Q4"/>
    <e v="#REF!"/>
    <e v="#REF!"/>
    <e v="#REF!"/>
  </r>
  <r>
    <s v="445667"/>
    <x v="6"/>
    <s v="TVA - D_10"/>
    <s v="NDF"/>
    <n v="0.56999999999999995"/>
    <d v="2025-12-01T00:00:00"/>
    <s v="RESTAURANT MIDI - DEJ TRAIN"/>
    <m/>
    <e v="#N/A"/>
    <e v="#N/A"/>
    <n v="93331"/>
    <s v="25000306"/>
    <s v="Jérémie Blache"/>
    <s v="Q4"/>
    <e v="#REF!"/>
    <e v="#REF!"/>
    <e v="#REF!"/>
  </r>
  <r>
    <s v="445667"/>
    <x v="6"/>
    <s v="TVA - D_10"/>
    <s v="NDF"/>
    <n v="0.57999999999999996"/>
    <d v="2025-05-13T00:00:00"/>
    <s v="RESTAURANT MIDI - LUNCH AP"/>
    <m/>
    <e v="#N/A"/>
    <e v="#N/A"/>
    <n v="95908"/>
    <s v="25000338"/>
    <s v="Alain Pinchard"/>
    <s v="Q2"/>
    <e v="#REF!"/>
    <e v="#REF!"/>
    <e v="#REF!"/>
  </r>
  <r>
    <s v="445667"/>
    <x v="6"/>
    <s v="TVA - D_10"/>
    <s v="NDF"/>
    <n v="0.57999999999999996"/>
    <d v="2025-11-13T00:00:00"/>
    <s v="RESTAURANT MIDI - REPAS DEPLACEMENT PARIS"/>
    <m/>
    <e v="#N/A"/>
    <e v="#N/A"/>
    <n v="93378"/>
    <s v="25000315"/>
    <s v="Kevin Cottet"/>
    <s v="Q4"/>
    <e v="#REF!"/>
    <e v="#REF!"/>
    <e v="#REF!"/>
  </r>
  <r>
    <s v="445667"/>
    <x v="6"/>
    <s v="TVA - D_10"/>
    <s v="NDF"/>
    <n v="0.59"/>
    <d v="2025-10-06T00:00:00"/>
    <s v="RESTAURANT MIDI - DEJ TRAIN"/>
    <m/>
    <e v="#N/A"/>
    <e v="#N/A"/>
    <n v="88396"/>
    <s v="25000271"/>
    <s v="Jérémie Blache"/>
    <s v="Q4"/>
    <e v="#REF!"/>
    <e v="#REF!"/>
    <e v="#REF!"/>
  </r>
  <r>
    <s v="445667"/>
    <x v="6"/>
    <s v="TVA - D_10"/>
    <s v="NDF"/>
    <n v="0.59"/>
    <d v="2025-10-07T00:00:00"/>
    <s v="RESTAURANT MIDI - DÉJ MIDI KB"/>
    <m/>
    <e v="#N/A"/>
    <e v="#N/A"/>
    <n v="88391"/>
    <s v="25000272"/>
    <s v="Jérémie Blache"/>
    <s v="Q4"/>
    <e v="#REF!"/>
    <e v="#REF!"/>
    <e v="#REF!"/>
  </r>
  <r>
    <s v="445667"/>
    <x v="6"/>
    <s v="TVA - D_10"/>
    <s v="NDF"/>
    <n v="0.6"/>
    <d v="2025-07-02T00:00:00"/>
    <s v="RESTAURANT MIDI - DEJ LYON"/>
    <m/>
    <e v="#N/A"/>
    <e v="#N/A"/>
    <n v="88631"/>
    <s v="25000187"/>
    <s v="Jérémie Blache"/>
    <s v="Q3"/>
    <e v="#REF!"/>
    <e v="#REF!"/>
    <e v="#REF!"/>
  </r>
  <r>
    <s v="445667"/>
    <x v="6"/>
    <s v="TVA - D_10"/>
    <s v="NDF"/>
    <n v="0.62"/>
    <d v="2025-02-01T00:00:00"/>
    <s v="NDF"/>
    <m/>
    <e v="#N/A"/>
    <e v="#N/A"/>
    <n v="76464"/>
    <s v="25000038"/>
    <s v="Jérémie Blache"/>
    <s v="Q1"/>
    <e v="#REF!"/>
    <e v="#REF!"/>
    <e v="#REF!"/>
  </r>
  <r>
    <s v="445667"/>
    <x v="6"/>
    <s v="TVA - D_10"/>
    <s v="NDF"/>
    <n v="0.63"/>
    <d v="2025-06-03T00:00:00"/>
    <s v="RESTAURANT MIDI - CHEMSPEC - AP"/>
    <m/>
    <e v="#N/A"/>
    <e v="#N/A"/>
    <n v="95901"/>
    <s v="25000338"/>
    <s v="Alain Pinchard"/>
    <s v="Q2"/>
    <e v="#REF!"/>
    <e v="#REF!"/>
    <e v="#REF!"/>
  </r>
  <r>
    <s v="445667"/>
    <x v="6"/>
    <s v="TVA - D_10"/>
    <s v="NDF"/>
    <n v="0.63"/>
    <d v="2025-12-03T00:00:00"/>
    <s v="RESTAURANT MIDI - REPAS MIDI KB"/>
    <m/>
    <e v="#N/A"/>
    <e v="#N/A"/>
    <n v="93319"/>
    <s v="25000310"/>
    <s v="Jérémie Blache"/>
    <s v="Q4"/>
    <e v="#REF!"/>
    <e v="#REF!"/>
    <e v="#REF!"/>
  </r>
  <r>
    <s v="445667"/>
    <x v="6"/>
    <s v="TVA - D_10"/>
    <s v="NDF"/>
    <n v="0.66"/>
    <d v="2025-02-19T00:00:00"/>
    <s v="NOTE DE FRAIS"/>
    <m/>
    <e v="#N/A"/>
    <e v="#N/A"/>
    <n v="73685"/>
    <s v="25000046"/>
    <s v="Anthony Martinez"/>
    <s v="Q1"/>
    <e v="#REF!"/>
    <e v="#REF!"/>
    <e v="#REF!"/>
  </r>
  <r>
    <s v="445667"/>
    <x v="6"/>
    <s v="TVA - D_10"/>
    <s v="NDF"/>
    <n v="0.67"/>
    <d v="2025-10-13T00:00:00"/>
    <s v="RESTAURANT MIDI - DÉJ TRAIN"/>
    <m/>
    <e v="#N/A"/>
    <e v="#N/A"/>
    <n v="88911"/>
    <s v="25000273"/>
    <s v="Jérémie Blache"/>
    <s v="Q4"/>
    <e v="#REF!"/>
    <e v="#REF!"/>
    <e v="#REF!"/>
  </r>
  <r>
    <s v="445667"/>
    <x v="6"/>
    <s v="TVA - D_10"/>
    <s v="NDF"/>
    <n v="0.67"/>
    <d v="2025-12-08T00:00:00"/>
    <s v="RESTAURANT MIDI - DEJ TRAIN"/>
    <m/>
    <e v="#N/A"/>
    <e v="#N/A"/>
    <n v="93295"/>
    <s v="25000316"/>
    <s v="Jérémie Blache"/>
    <s v="Q4"/>
    <e v="#REF!"/>
    <e v="#REF!"/>
    <e v="#REF!"/>
  </r>
  <r>
    <s v="445667"/>
    <x v="6"/>
    <s v="TVA - D_10"/>
    <s v="NDF"/>
    <n v="0.72"/>
    <d v="2025-09-15T00:00:00"/>
    <s v="RESTAURANT MIDI - DEJ TRAIN"/>
    <m/>
    <e v="#N/A"/>
    <e v="#N/A"/>
    <n v="88530"/>
    <s v="25000229"/>
    <s v="Jérémie Blache"/>
    <s v="Q3"/>
    <e v="#REF!"/>
    <e v="#REF!"/>
    <e v="#REF!"/>
  </r>
  <r>
    <s v="445667"/>
    <x v="6"/>
    <s v="TVA - D_10"/>
    <s v="NDF"/>
    <n v="0.73"/>
    <d v="2025-07-01T00:00:00"/>
    <s v="RESTAURANT MIDI - REPAS MIDI"/>
    <m/>
    <e v="#N/A"/>
    <e v="#N/A"/>
    <n v="88786"/>
    <s v="25000190"/>
    <s v="Marie-Sarah Adenis"/>
    <s v="Q3"/>
    <e v="#REF!"/>
    <e v="#REF!"/>
    <e v="#REF!"/>
  </r>
  <r>
    <s v="445667"/>
    <x v="6"/>
    <s v="TVA - D_10"/>
    <s v="NDF"/>
    <n v="0.73"/>
    <d v="2025-12-03T00:00:00"/>
    <s v="RESTAURANT MIDI - DEJ 3 DÉCEMBRE"/>
    <m/>
    <e v="#N/A"/>
    <e v="#N/A"/>
    <n v="93344"/>
    <s v="25000304"/>
    <s v="Julie Lacondemine"/>
    <s v="Q4"/>
    <e v="#REF!"/>
    <e v="#REF!"/>
    <e v="#REF!"/>
  </r>
  <r>
    <s v="445667"/>
    <x v="6"/>
    <s v="TVA - D_10"/>
    <s v="NDF"/>
    <n v="0.75"/>
    <d v="2025-12-02T00:00:00"/>
    <s v="DIVERS - REPAS TRAIN SOIR"/>
    <m/>
    <e v="#N/A"/>
    <e v="#N/A"/>
    <n v="93334"/>
    <s v="25000319"/>
    <s v="Jérémie Blache"/>
    <s v="Q4"/>
    <e v="#REF!"/>
    <e v="#REF!"/>
    <e v="#REF!"/>
  </r>
  <r>
    <s v="445667"/>
    <x v="6"/>
    <s v="TVA - D_10"/>
    <s v="NDF"/>
    <n v="0.77"/>
    <d v="2025-09-10T00:00:00"/>
    <s v="RESTAURANT MIDI - DEJ LYON"/>
    <m/>
    <e v="#N/A"/>
    <e v="#N/A"/>
    <n v="88121"/>
    <s v="25000224"/>
    <s v="Jérémie Blache"/>
    <s v="Q3"/>
    <e v="#REF!"/>
    <e v="#REF!"/>
    <e v="#REF!"/>
  </r>
  <r>
    <s v="445667"/>
    <x v="6"/>
    <s v="TVA - D_10"/>
    <s v="NDF"/>
    <n v="0.78"/>
    <d v="2025-08-25T00:00:00"/>
    <s v="DIVERS - COURSES"/>
    <m/>
    <e v="#N/A"/>
    <e v="#N/A"/>
    <n v="88100"/>
    <s v="25000210"/>
    <s v="Bob Fernandez"/>
    <s v="Q3"/>
    <e v="#REF!"/>
    <e v="#REF!"/>
    <e v="#REF!"/>
  </r>
  <r>
    <s v="445667"/>
    <x v="6"/>
    <s v="TVA - D_10"/>
    <s v="NDF"/>
    <n v="0.79"/>
    <d v="2025-08-01T00:00:00"/>
    <s v="RESTAURANT MIDI - DÉPLACEMENT TOULOUSE-PARIS CHIMIE ANALYTIQUE"/>
    <m/>
    <e v="#N/A"/>
    <e v="#N/A"/>
    <n v="88717"/>
    <s v="25000204"/>
    <s v="Océane Chabret"/>
    <s v="Q3"/>
    <e v="#REF!"/>
    <e v="#REF!"/>
    <e v="#REF!"/>
  </r>
  <r>
    <s v="445667"/>
    <x v="6"/>
    <s v="TVA - D_10"/>
    <s v="NDF"/>
    <n v="0.82"/>
    <d v="2025-03-26T00:00:00"/>
    <s v="NOTE DE FRAIS"/>
    <m/>
    <e v="#N/A"/>
    <e v="#N/A"/>
    <n v="74211"/>
    <s v="25000091"/>
    <s v="Marjorie Denard"/>
    <s v="Q1"/>
    <e v="#REF!"/>
    <e v="#REF!"/>
    <e v="#REF!"/>
  </r>
  <r>
    <s v="445667"/>
    <x v="6"/>
    <s v="TVA - D_10"/>
    <s v="NDF"/>
    <n v="0.86"/>
    <d v="2025-12-12T00:00:00"/>
    <s v="DIVERS - CAFE"/>
    <m/>
    <e v="#N/A"/>
    <e v="#N/A"/>
    <n v="93255"/>
    <s v="25000323"/>
    <s v="Jérémie Blache"/>
    <s v="Q4"/>
    <e v="#REF!"/>
    <e v="#REF!"/>
    <e v="#REF!"/>
  </r>
  <r>
    <s v="445667"/>
    <x v="6"/>
    <s v="TVA - D_10"/>
    <s v="NDF"/>
    <n v="0.91"/>
    <d v="2025-07-01T00:00:00"/>
    <s v="RESTAURANT MIDI - DÉJ TRAIN"/>
    <m/>
    <e v="#N/A"/>
    <e v="#N/A"/>
    <n v="88651"/>
    <s v="25000181"/>
    <s v="Jérémie Blache"/>
    <s v="Q3"/>
    <e v="#REF!"/>
    <e v="#REF!"/>
    <e v="#REF!"/>
  </r>
  <r>
    <s v="445667"/>
    <x v="6"/>
    <s v="TVA - D_10"/>
    <s v="NDF"/>
    <n v="0.91"/>
    <d v="2025-10-02T00:00:00"/>
    <s v="MÉTRO, BUS - TICKETS METRO"/>
    <m/>
    <e v="#N/A"/>
    <e v="#N/A"/>
    <n v="88410"/>
    <s v="25000263"/>
    <s v="Yves Combret"/>
    <s v="Q4"/>
    <e v="#REF!"/>
    <e v="#REF!"/>
    <e v="#REF!"/>
  </r>
  <r>
    <s v="445667"/>
    <x v="6"/>
    <s v="TVA - D_10"/>
    <s v="NDF"/>
    <n v="0.92"/>
    <d v="2025-02-12T00:00:00"/>
    <s v="NOTE DE FRAIS"/>
    <m/>
    <e v="#N/A"/>
    <e v="#N/A"/>
    <n v="73675"/>
    <s v="25000036"/>
    <s v="Jérémie Blache"/>
    <s v="Q1"/>
    <e v="#REF!"/>
    <e v="#REF!"/>
    <e v="#REF!"/>
  </r>
  <r>
    <s v="445667"/>
    <x v="6"/>
    <s v="TVA - D_10"/>
    <s v="NDF"/>
    <n v="0.92"/>
    <d v="2025-12-12T00:00:00"/>
    <s v="RESTAURANT MIDI - REPAS VENDREDI MIDI"/>
    <m/>
    <e v="#N/A"/>
    <e v="#N/A"/>
    <n v="93264"/>
    <s v="25000326"/>
    <s v="Pierre Thomas"/>
    <s v="Q4"/>
    <e v="#REF!"/>
    <e v="#REF!"/>
    <e v="#REF!"/>
  </r>
  <r>
    <s v="445667"/>
    <x v="6"/>
    <s v="TVA - D_10"/>
    <s v="NDF"/>
    <n v="0.93"/>
    <d v="2025-03-28T00:00:00"/>
    <s v="NDF"/>
    <m/>
    <e v="#N/A"/>
    <e v="#N/A"/>
    <n v="75816"/>
    <s v="25000092"/>
    <s v="Marjorie Denard"/>
    <s v="Q1"/>
    <e v="#REF!"/>
    <e v="#REF!"/>
    <e v="#REF!"/>
  </r>
  <r>
    <s v="445667"/>
    <x v="6"/>
    <s v="TVA - D_10"/>
    <s v="NDF"/>
    <n v="1"/>
    <d v="2025-03-26T00:00:00"/>
    <s v="NOTE DE FRAIS"/>
    <m/>
    <e v="#N/A"/>
    <e v="#N/A"/>
    <n v="74283"/>
    <s v="25000113"/>
    <s v="Lucie Crépin"/>
    <s v="Q1"/>
    <e v="#REF!"/>
    <e v="#REF!"/>
    <e v="#REF!"/>
  </r>
  <r>
    <s v="445667"/>
    <x v="6"/>
    <s v="TVA - D_10"/>
    <s v="NDF"/>
    <n v="1"/>
    <d v="2025-10-03T00:00:00"/>
    <s v="RESTAURANT MIDI - BAGELSTEIN"/>
    <m/>
    <e v="#N/A"/>
    <e v="#N/A"/>
    <n v="88602"/>
    <s v="25000264"/>
    <s v="Gaëlle Buche"/>
    <s v="Q4"/>
    <e v="#REF!"/>
    <e v="#REF!"/>
    <e v="#REF!"/>
  </r>
  <r>
    <s v="445667"/>
    <x v="6"/>
    <s v="TVA - D_10"/>
    <s v="NDF"/>
    <n v="1"/>
    <d v="2025-11-24T00:00:00"/>
    <s v="RESTAURANT MIDI - DÉPLACEMENT PARIS"/>
    <m/>
    <e v="#N/A"/>
    <e v="#N/A"/>
    <n v="90863"/>
    <s v="25000290"/>
    <s v="Jérémie Blache"/>
    <s v="Q4"/>
    <e v="#REF!"/>
    <e v="#REF!"/>
    <e v="#REF!"/>
  </r>
  <r>
    <s v="445667"/>
    <x v="6"/>
    <s v="TVA - D_10"/>
    <s v="NDF"/>
    <n v="1.02"/>
    <d v="2025-12-02T00:00:00"/>
    <s v="MÉTRO, BUS - TICKETS MÉTRO"/>
    <m/>
    <e v="#N/A"/>
    <e v="#N/A"/>
    <n v="93479"/>
    <s v="25000289"/>
    <s v="Pauline Rullière"/>
    <s v="Q4"/>
    <e v="#REF!"/>
    <e v="#REF!"/>
    <e v="#REF!"/>
  </r>
  <r>
    <s v="445667"/>
    <x v="6"/>
    <s v="TVA - D_10"/>
    <s v="NDF"/>
    <n v="1.05"/>
    <d v="2025-04-10T00:00:00"/>
    <s v="NOTE DE FRAIS"/>
    <m/>
    <e v="#N/A"/>
    <e v="#N/A"/>
    <n v="74309"/>
    <s v="25000124"/>
    <s v="Vincent Blanchard"/>
    <s v="Q2"/>
    <e v="#REF!"/>
    <e v="#REF!"/>
    <e v="#REF!"/>
  </r>
  <r>
    <s v="445667"/>
    <x v="6"/>
    <s v="TVA - D_10"/>
    <s v="NDF"/>
    <n v="1.1100000000000001"/>
    <d v="2025-07-07T00:00:00"/>
    <s v="RESTAURANT MIDI - DÉJEUNER"/>
    <m/>
    <e v="#N/A"/>
    <e v="#N/A"/>
    <n v="89224"/>
    <s v="25000111"/>
    <s v="Pauline Rullière"/>
    <s v="Q3"/>
    <e v="#REF!"/>
    <e v="#REF!"/>
    <e v="#REF!"/>
  </r>
  <r>
    <s v="445667"/>
    <x v="6"/>
    <s v="TVA - D_10"/>
    <s v="NDF"/>
    <n v="1.1200000000000001"/>
    <d v="2025-10-01T00:00:00"/>
    <s v="RESTAURANT MIDI - DEJ PARIS JB + JLA"/>
    <m/>
    <e v="#N/A"/>
    <e v="#N/A"/>
    <n v="88931"/>
    <s v="25000275"/>
    <s v="Jérémie Blache"/>
    <s v="Q4"/>
    <e v="#REF!"/>
    <e v="#REF!"/>
    <e v="#REF!"/>
  </r>
  <r>
    <s v="445667"/>
    <x v="6"/>
    <s v="TVA - D_10"/>
    <s v="NDF"/>
    <n v="1.1299999999999999"/>
    <d v="2025-06-20T00:00:00"/>
    <s v="DIVERS - CAFÉ AVEC MARIE / THÈSE"/>
    <m/>
    <e v="#N/A"/>
    <e v="#N/A"/>
    <n v="88793"/>
    <s v="25000190"/>
    <s v="Marie-Sarah Adenis"/>
    <s v="Q2"/>
    <e v="#REF!"/>
    <e v="#REF!"/>
    <e v="#REF!"/>
  </r>
  <r>
    <s v="445667"/>
    <x v="6"/>
    <s v="TVA - D_10"/>
    <s v="NDF"/>
    <n v="1.1399999999999999"/>
    <d v="2025-07-08T00:00:00"/>
    <s v="MÉTRO, BUS - MÉTRO PARIS CARNET 10 TICKETS"/>
    <m/>
    <e v="#N/A"/>
    <e v="#N/A"/>
    <n v="88769"/>
    <s v="25000200"/>
    <s v="Anne-Sophie Goutierre"/>
    <s v="Q3"/>
    <e v="#REF!"/>
    <e v="#REF!"/>
    <e v="#REF!"/>
  </r>
  <r>
    <s v="445667"/>
    <x v="6"/>
    <s v="TVA - D_10"/>
    <s v="NDF"/>
    <n v="1.17"/>
    <d v="2025-04-25T00:00:00"/>
    <s v="NOTE DE FRAIS"/>
    <m/>
    <e v="#N/A"/>
    <e v="#N/A"/>
    <n v="74366"/>
    <s v="25000128"/>
    <s v="Jérémie Blache"/>
    <s v="Q2"/>
    <e v="#REF!"/>
    <e v="#REF!"/>
    <e v="#REF!"/>
  </r>
  <r>
    <s v="445667"/>
    <x v="6"/>
    <s v="TVA - D_10"/>
    <s v="NDF"/>
    <n v="1.22"/>
    <d v="2025-01-10T00:00:00"/>
    <s v="RESTAURANT MIDI - DÉJEUNER"/>
    <m/>
    <e v="#N/A"/>
    <e v="#N/A"/>
    <n v="88612"/>
    <s v="25000222"/>
    <s v="Pauline Rullière"/>
    <s v="Q1"/>
    <e v="#REF!"/>
    <e v="#REF!"/>
    <e v="#REF!"/>
  </r>
  <r>
    <s v="445667"/>
    <x v="6"/>
    <s v="TVA - D_10"/>
    <s v="NDF"/>
    <n v="1.22"/>
    <d v="2025-10-13T00:00:00"/>
    <s v="RESTAURANT MIDI - DEJ KB"/>
    <m/>
    <e v="#N/A"/>
    <e v="#N/A"/>
    <n v="88921"/>
    <s v="25000267"/>
    <s v="Julie Lacondemine"/>
    <s v="Q4"/>
    <e v="#REF!"/>
    <e v="#REF!"/>
    <e v="#REF!"/>
  </r>
  <r>
    <s v="445667"/>
    <x v="6"/>
    <s v="TVA - D_10"/>
    <s v="NDF"/>
    <n v="1.25"/>
    <d v="2025-07-02T00:00:00"/>
    <s v="RESTAURANT MIDI - REPAS MIDI RÉUNION MARKETING LYON"/>
    <m/>
    <e v="#N/A"/>
    <e v="#N/A"/>
    <n v="88798"/>
    <s v="25000190"/>
    <s v="Marie-Sarah Adenis"/>
    <s v="Q3"/>
    <e v="#REF!"/>
    <e v="#REF!"/>
    <e v="#REF!"/>
  </r>
  <r>
    <s v="445667"/>
    <x v="6"/>
    <s v="TVA - D_10"/>
    <s v="NDF"/>
    <n v="1.27"/>
    <d v="2025-10-02T00:00:00"/>
    <s v="DIVERS - MIGNARDISE PETIT DÉJEUNER CS"/>
    <m/>
    <e v="#N/A"/>
    <e v="#N/A"/>
    <n v="88617"/>
    <s v="25000222"/>
    <s v="Pauline Rullière"/>
    <s v="Q4"/>
    <e v="#REF!"/>
    <e v="#REF!"/>
    <e v="#REF!"/>
  </r>
  <r>
    <s v="445667"/>
    <x v="6"/>
    <s v="TVA - D_10"/>
    <s v="NDF"/>
    <n v="1.28"/>
    <d v="2025-08-27T00:00:00"/>
    <s v="RESTAURANT MIDI - REPAS MIDI"/>
    <m/>
    <e v="#N/A"/>
    <e v="#N/A"/>
    <n v="88127"/>
    <s v="25000210"/>
    <s v="Bob Fernandez"/>
    <s v="Q3"/>
    <e v="#REF!"/>
    <e v="#REF!"/>
    <e v="#REF!"/>
  </r>
  <r>
    <s v="445667"/>
    <x v="6"/>
    <s v="TVA - D_10"/>
    <s v="NDF"/>
    <n v="1.29"/>
    <d v="2025-11-03T00:00:00"/>
    <s v="RESTAURANT MIDI - DÉJEUNER"/>
    <m/>
    <e v="#N/A"/>
    <e v="#N/A"/>
    <n v="93488"/>
    <s v="25000289"/>
    <s v="Pauline Rullière"/>
    <s v="Q4"/>
    <e v="#REF!"/>
    <e v="#REF!"/>
    <e v="#REF!"/>
  </r>
  <r>
    <s v="445667"/>
    <x v="6"/>
    <s v="TVA - D_10"/>
    <s v="NDF"/>
    <n v="1.3"/>
    <d v="2025-09-23T00:00:00"/>
    <s v="RESTAURANT MIDI - DÉJEUNER"/>
    <m/>
    <e v="#N/A"/>
    <e v="#N/A"/>
    <n v="88609"/>
    <s v="25000222"/>
    <s v="Pauline Rullière"/>
    <s v="Q3"/>
    <e v="#REF!"/>
    <e v="#REF!"/>
    <e v="#REF!"/>
  </r>
  <r>
    <s v="445667"/>
    <x v="6"/>
    <s v="TVA - D_10"/>
    <s v="NDF"/>
    <n v="1.32"/>
    <d v="2025-09-16T00:00:00"/>
    <s v="RESTAURANT MIDI - 250916 REPAS DU MIDI"/>
    <m/>
    <e v="#N/A"/>
    <e v="#N/A"/>
    <n v="88533"/>
    <s v="25000242"/>
    <s v="Anthony Martinez"/>
    <s v="Q3"/>
    <e v="#REF!"/>
    <e v="#REF!"/>
    <e v="#REF!"/>
  </r>
  <r>
    <s v="445667"/>
    <x v="6"/>
    <s v="TVA - D_10"/>
    <s v="NDF"/>
    <n v="1.36"/>
    <d v="2025-09-29T00:00:00"/>
    <s v="MÉTRO, BUS - RAPTP-RER AÉROPORT"/>
    <m/>
    <e v="#N/A"/>
    <e v="#N/A"/>
    <n v="88954"/>
    <s v="25000255"/>
    <s v="Emilie Amillastré"/>
    <s v="Q3"/>
    <e v="#REF!"/>
    <e v="#REF!"/>
    <e v="#REF!"/>
  </r>
  <r>
    <s v="445667"/>
    <x v="6"/>
    <s v="TVA - D_10"/>
    <s v="NDF"/>
    <n v="1.36"/>
    <d v="2025-12-02T00:00:00"/>
    <s v="MÉTRO, BUS - MÉTRO PARIS DÉCEMBRE"/>
    <m/>
    <e v="#N/A"/>
    <e v="#N/A"/>
    <n v="93399"/>
    <s v="25000314"/>
    <s v="Pierre-Yves Bolle"/>
    <s v="Q4"/>
    <e v="#REF!"/>
    <e v="#REF!"/>
    <e v="#REF!"/>
  </r>
  <r>
    <s v="445667"/>
    <x v="6"/>
    <s v="TVA - D_10"/>
    <s v="NDF"/>
    <n v="1.38"/>
    <d v="2025-03-11T00:00:00"/>
    <s v="NOTE DE FRAIS"/>
    <m/>
    <e v="#N/A"/>
    <e v="#N/A"/>
    <n v="74277"/>
    <s v="25000107"/>
    <s v="Anne-Sophie Goutierre"/>
    <s v="Q1"/>
    <e v="#REF!"/>
    <e v="#REF!"/>
    <e v="#REF!"/>
  </r>
  <r>
    <s v="445667"/>
    <x v="6"/>
    <s v="TVA - D_10"/>
    <s v="NDF"/>
    <n v="1.39"/>
    <d v="2025-10-20T00:00:00"/>
    <s v="DIVERS - THÉ POUR TISANERIE 251020"/>
    <m/>
    <e v="#N/A"/>
    <e v="#N/A"/>
    <n v="88900"/>
    <s v="25000283"/>
    <s v="Anthony Martinez"/>
    <s v="Q4"/>
    <e v="#REF!"/>
    <e v="#REF!"/>
    <e v="#REF!"/>
  </r>
  <r>
    <s v="445667"/>
    <x v="6"/>
    <s v="TVA - D_10"/>
    <s v="NDF"/>
    <n v="1.43"/>
    <d v="2025-11-24T00:00:00"/>
    <s v="DIVERS - DEJ SUITE TRAIN"/>
    <m/>
    <e v="#N/A"/>
    <e v="#N/A"/>
    <n v="90822"/>
    <s v="25000302"/>
    <s v="Jérémie Blache"/>
    <s v="Q4"/>
    <e v="#REF!"/>
    <e v="#REF!"/>
    <e v="#REF!"/>
  </r>
  <r>
    <s v="445667"/>
    <x v="6"/>
    <s v="TVA - D_10"/>
    <s v="NDF"/>
    <n v="1.45"/>
    <d v="2025-05-16T00:00:00"/>
    <s v="NOTE DE FRAIS"/>
    <m/>
    <e v="#N/A"/>
    <e v="#N/A"/>
    <n v="74430"/>
    <s v="3898"/>
    <s v="Jérémie Blache"/>
    <s v="Q2"/>
    <e v="#REF!"/>
    <e v="#REF!"/>
    <e v="#REF!"/>
  </r>
  <r>
    <s v="445667"/>
    <x v="6"/>
    <s v="TVA - D_10"/>
    <s v="NDF"/>
    <n v="1.45"/>
    <d v="2025-11-24T00:00:00"/>
    <s v="MÉTRO, BUS - METRO TOULOUSE"/>
    <m/>
    <e v="#N/A"/>
    <e v="#N/A"/>
    <n v="90868"/>
    <s v="25000300"/>
    <s v="Jérémie Blache"/>
    <s v="Q4"/>
    <e v="#REF!"/>
    <e v="#REF!"/>
    <e v="#REF!"/>
  </r>
  <r>
    <s v="445667"/>
    <x v="6"/>
    <s v="TVA - D_10"/>
    <s v="NDF"/>
    <n v="1.5"/>
    <d v="2025-02-08T00:00:00"/>
    <s v="NDF"/>
    <m/>
    <e v="#N/A"/>
    <e v="#N/A"/>
    <n v="75716"/>
    <s v="25000030"/>
    <s v="Kevin Cottet"/>
    <s v="Q1"/>
    <e v="#REF!"/>
    <e v="#REF!"/>
    <e v="#REF!"/>
  </r>
  <r>
    <s v="445667"/>
    <x v="6"/>
    <s v="TVA - D_10"/>
    <s v="NDF"/>
    <n v="1.53"/>
    <d v="2025-10-01T00:00:00"/>
    <s v="RESTAURANT MIDI - DÉJEUNER"/>
    <m/>
    <e v="#N/A"/>
    <e v="#N/A"/>
    <n v="89237"/>
    <s v="25000260"/>
    <s v="Pauline Rullière"/>
    <s v="Q4"/>
    <e v="#REF!"/>
    <e v="#REF!"/>
    <e v="#REF!"/>
  </r>
  <r>
    <s v="445667"/>
    <x v="6"/>
    <s v="TVA - D_10"/>
    <s v="NDF"/>
    <n v="1.54"/>
    <d v="2025-11-20T00:00:00"/>
    <s v="RESTAURANT MIDI - DEJ"/>
    <m/>
    <e v="#N/A"/>
    <e v="#N/A"/>
    <n v="93440"/>
    <s v="25000305"/>
    <s v="Marie-Sarah Adenis"/>
    <s v="Q4"/>
    <e v="#REF!"/>
    <e v="#REF!"/>
    <e v="#REF!"/>
  </r>
  <r>
    <s v="445667"/>
    <x v="6"/>
    <s v="TVA - D_10"/>
    <s v="NDF"/>
    <n v="1.54"/>
    <d v="2025-11-24T00:00:00"/>
    <s v="RESTAURANT MIDI - SANDWICH AUTOROUTE"/>
    <m/>
    <e v="#N/A"/>
    <e v="#N/A"/>
    <n v="90838"/>
    <s v="25000296"/>
    <s v="Jérémie Blache"/>
    <s v="Q4"/>
    <e v="#REF!"/>
    <e v="#REF!"/>
    <e v="#REF!"/>
  </r>
  <r>
    <s v="445667"/>
    <x v="6"/>
    <s v="TVA - D_10"/>
    <s v="NDF"/>
    <n v="1.55"/>
    <d v="2025-12-04T00:00:00"/>
    <s v="RESTAURANT MIDI - DÉJ KB JB + PY"/>
    <m/>
    <e v="#N/A"/>
    <e v="#N/A"/>
    <n v="93314"/>
    <s v="25000313"/>
    <s v="Jérémie Blache"/>
    <s v="Q4"/>
    <e v="#REF!"/>
    <e v="#REF!"/>
    <e v="#REF!"/>
  </r>
  <r>
    <s v="445667"/>
    <x v="6"/>
    <s v="TVA - D_10"/>
    <s v="NDF"/>
    <n v="1.58"/>
    <d v="2025-01-01T00:00:00"/>
    <s v="NDF"/>
    <m/>
    <e v="#N/A"/>
    <e v="#N/A"/>
    <n v="75646"/>
    <s v="24000393"/>
    <s v="Kevin Cottet"/>
    <s v="Q1"/>
    <e v="#REF!"/>
    <e v="#REF!"/>
    <e v="#REF!"/>
  </r>
  <r>
    <s v="445667"/>
    <x v="6"/>
    <s v="TVA - D_10"/>
    <s v="NDF"/>
    <n v="1.59"/>
    <d v="2025-01-14T00:00:00"/>
    <s v="NDF"/>
    <m/>
    <e v="#N/A"/>
    <e v="#N/A"/>
    <n v="75689"/>
    <s v="25000025"/>
    <s v="Loic masseboeuf"/>
    <s v="Q1"/>
    <e v="#REF!"/>
    <e v="#REF!"/>
    <e v="#REF!"/>
  </r>
  <r>
    <s v="445667"/>
    <x v="6"/>
    <s v="TVA - D_10"/>
    <s v="NDF"/>
    <n v="1.6"/>
    <d v="2025-04-22T00:00:00"/>
    <s v="25000139"/>
    <m/>
    <e v="#N/A"/>
    <e v="#N/A"/>
    <n v="74353"/>
    <s v="25000139"/>
    <s v="Emilie Amillastré"/>
    <s v="Q2"/>
    <e v="#REF!"/>
    <e v="#REF!"/>
    <e v="#REF!"/>
  </r>
  <r>
    <s v="445667"/>
    <x v="6"/>
    <s v="TVA - D_10"/>
    <s v="NDF"/>
    <n v="1.65"/>
    <d v="2025-12-04T00:00:00"/>
    <s v="RESTAURANT MIDI - DÉJEUNER"/>
    <m/>
    <e v="#N/A"/>
    <e v="#N/A"/>
    <n v="93496"/>
    <s v="25000289"/>
    <s v="Pauline Rullière"/>
    <s v="Q4"/>
    <e v="#REF!"/>
    <e v="#REF!"/>
    <e v="#REF!"/>
  </r>
  <r>
    <s v="445667"/>
    <x v="6"/>
    <s v="TVA - D_10"/>
    <s v="NDF"/>
    <n v="1.66"/>
    <d v="2025-02-01T00:00:00"/>
    <s v="NDF"/>
    <m/>
    <e v="#N/A"/>
    <e v="#N/A"/>
    <n v="76468"/>
    <s v="25000039"/>
    <s v="Jérémie Blache"/>
    <s v="Q1"/>
    <e v="#REF!"/>
    <e v="#REF!"/>
    <e v="#REF!"/>
  </r>
  <r>
    <s v="445667"/>
    <x v="6"/>
    <s v="TVA - D_10"/>
    <s v="NDF"/>
    <n v="1.68"/>
    <d v="2025-01-01T00:00:00"/>
    <s v="NDF"/>
    <m/>
    <e v="#N/A"/>
    <e v="#N/A"/>
    <n v="75428"/>
    <s v="24000122"/>
    <s v="Marie-Sarah Adenis"/>
    <s v="Q1"/>
    <e v="#REF!"/>
    <e v="#REF!"/>
    <e v="#REF!"/>
  </r>
  <r>
    <s v="445667"/>
    <x v="6"/>
    <s v="TVA - D_10"/>
    <s v="NDF"/>
    <n v="1.69"/>
    <d v="2025-09-08T00:00:00"/>
    <s v="RESTAURANT MIDI - DÉJEUNER"/>
    <m/>
    <e v="#N/A"/>
    <e v="#N/A"/>
    <n v="88124"/>
    <s v="25000195"/>
    <s v="Pauline Rullière"/>
    <s v="Q3"/>
    <e v="#REF!"/>
    <e v="#REF!"/>
    <e v="#REF!"/>
  </r>
  <r>
    <s v="445667"/>
    <x v="6"/>
    <s v="TVA - D_10"/>
    <s v="NDF"/>
    <n v="1.76"/>
    <d v="2025-07-21T00:00:00"/>
    <s v="MÉTRO, BUS - NAVETTE AÉROPORT"/>
    <m/>
    <e v="#N/A"/>
    <e v="#N/A"/>
    <n v="88849"/>
    <s v="25000194"/>
    <s v="Marie Rézeau"/>
    <s v="Q3"/>
    <e v="#REF!"/>
    <e v="#REF!"/>
    <e v="#REF!"/>
  </r>
  <r>
    <s v="445667"/>
    <x v="6"/>
    <s v="TVA - D_10"/>
    <s v="NDF"/>
    <n v="1.79"/>
    <d v="2025-07-21T00:00:00"/>
    <s v="DIVERS - EN CAS AÉROPORT"/>
    <m/>
    <e v="#N/A"/>
    <e v="#N/A"/>
    <n v="88728"/>
    <s v="25000196"/>
    <s v="Benjamin Barry"/>
    <s v="Q3"/>
    <e v="#REF!"/>
    <e v="#REF!"/>
    <e v="#REF!"/>
  </r>
  <r>
    <s v="445667"/>
    <x v="6"/>
    <s v="TVA - D_10"/>
    <s v="NDF"/>
    <n v="1.84"/>
    <d v="2025-03-05T00:00:00"/>
    <s v="NDF"/>
    <m/>
    <e v="#N/A"/>
    <e v="#N/A"/>
    <n v="76481"/>
    <s v="N25000067"/>
    <s v="Jérémie Blache"/>
    <s v="Q1"/>
    <e v="#REF!"/>
    <e v="#REF!"/>
    <e v="#REF!"/>
  </r>
  <r>
    <s v="445667"/>
    <x v="6"/>
    <s v="TVA - D_10"/>
    <s v="NDF"/>
    <n v="1.86"/>
    <d v="2025-11-24T00:00:00"/>
    <s v="DIVERS - DEUX LIVRES POUR EXPO INDIGO"/>
    <m/>
    <e v="#N/A"/>
    <e v="#N/A"/>
    <n v="90991"/>
    <s v="25000297"/>
    <s v="Marie-Sarah Adenis"/>
    <s v="Q4"/>
    <e v="#REF!"/>
    <e v="#REF!"/>
    <e v="#REF!"/>
  </r>
  <r>
    <s v="445667"/>
    <x v="6"/>
    <s v="TVA - D_10"/>
    <s v="NDF"/>
    <n v="1.89"/>
    <d v="2025-12-12T00:00:00"/>
    <s v="RESTAURANT MIDI - REPAS MIDI PS DÉCEMBRE 2025"/>
    <m/>
    <e v="#N/A"/>
    <e v="#N/A"/>
    <n v="93267"/>
    <s v="25000322"/>
    <s v="Lucie Crépin"/>
    <s v="Q4"/>
    <e v="#REF!"/>
    <e v="#REF!"/>
    <e v="#REF!"/>
  </r>
  <r>
    <s v="445667"/>
    <x v="6"/>
    <s v="TVA - D_10"/>
    <s v="NDF"/>
    <n v="1.96"/>
    <d v="2025-12-12T00:00:00"/>
    <s v="RESTAURANT MIDI - DÉJEUNER CS"/>
    <m/>
    <e v="#N/A"/>
    <e v="#N/A"/>
    <n v="95815"/>
    <s v="25000335"/>
    <s v="Guillaume Boissonnat-Wu"/>
    <s v="Q4"/>
    <e v="#REF!"/>
    <e v="#REF!"/>
    <e v="#REF!"/>
  </r>
  <r>
    <s v="445667"/>
    <x v="6"/>
    <s v="TVA - D_10"/>
    <s v="NDF"/>
    <n v="1.97"/>
    <d v="2025-05-27T00:00:00"/>
    <s v="NDF"/>
    <m/>
    <e v="#N/A"/>
    <e v="#N/A"/>
    <n v="76536"/>
    <s v="25000158"/>
    <s v="Jérémie Blache"/>
    <s v="Q2"/>
    <e v="#REF!"/>
    <e v="#REF!"/>
    <e v="#REF!"/>
  </r>
  <r>
    <s v="445667"/>
    <x v="6"/>
    <s v="TVA - D_10"/>
    <s v="NDF"/>
    <n v="2.02"/>
    <d v="2025-07-02T00:00:00"/>
    <s v="DIVERS - PETIT DEJ"/>
    <m/>
    <e v="#N/A"/>
    <e v="#N/A"/>
    <n v="88636"/>
    <s v="25000180"/>
    <s v="Bob Fernandez"/>
    <s v="Q3"/>
    <e v="#REF!"/>
    <e v="#REF!"/>
    <e v="#REF!"/>
  </r>
  <r>
    <s v="445667"/>
    <x v="6"/>
    <s v="TVA - D_10"/>
    <s v="NDF"/>
    <n v="2.0499999999999998"/>
    <d v="2025-06-16T00:00:00"/>
    <s v="MÉTRO, BUS - METRO"/>
    <m/>
    <e v="#N/A"/>
    <e v="#N/A"/>
    <n v="88837"/>
    <s v="25000201"/>
    <s v="Kevin Cottet"/>
    <s v="Q2"/>
    <e v="#REF!"/>
    <e v="#REF!"/>
    <e v="#REF!"/>
  </r>
  <r>
    <s v="445667"/>
    <x v="6"/>
    <s v="TVA - D_10"/>
    <s v="NDF"/>
    <n v="2.0499999999999998"/>
    <d v="2025-07-22T00:00:00"/>
    <s v="MÉTRO, BUS - METRO"/>
    <m/>
    <e v="#N/A"/>
    <e v="#N/A"/>
    <n v="89078"/>
    <s v="25000206"/>
    <s v="Kevin Cottet"/>
    <s v="Q3"/>
    <e v="#REF!"/>
    <e v="#REF!"/>
    <e v="#REF!"/>
  </r>
  <r>
    <s v="445667"/>
    <x v="6"/>
    <s v="TVA - D_10"/>
    <s v="NDF"/>
    <n v="2.0499999999999998"/>
    <d v="2025-09-01T00:00:00"/>
    <s v="RESTAURANT MIDI - MIDI EMILIE"/>
    <m/>
    <e v="#N/A"/>
    <e v="#N/A"/>
    <n v="88580"/>
    <s v="25000214"/>
    <s v="Emilie Amillastré"/>
    <s v="Q3"/>
    <e v="#REF!"/>
    <e v="#REF!"/>
    <e v="#REF!"/>
  </r>
  <r>
    <s v="445667"/>
    <x v="6"/>
    <s v="TVA - D_10"/>
    <s v="NDF"/>
    <n v="2.0499999999999998"/>
    <d v="2025-10-07T00:00:00"/>
    <s v="MÉTRO, BUS - MÉTRO"/>
    <m/>
    <e v="#N/A"/>
    <e v="#N/A"/>
    <n v="89014"/>
    <s v="25000281"/>
    <s v="Kevin Cottet"/>
    <s v="Q4"/>
    <e v="#REF!"/>
    <e v="#REF!"/>
    <e v="#REF!"/>
  </r>
  <r>
    <s v="445667"/>
    <x v="6"/>
    <s v="TVA - D_10"/>
    <s v="NDF"/>
    <n v="2.0499999999999998"/>
    <d v="2025-12-03T00:00:00"/>
    <s v="MÉTRO, BUS - METRO"/>
    <m/>
    <e v="#N/A"/>
    <e v="#N/A"/>
    <n v="93322"/>
    <s v="25000311"/>
    <s v="Jérémie Blache"/>
    <s v="Q4"/>
    <e v="#REF!"/>
    <e v="#REF!"/>
    <e v="#REF!"/>
  </r>
  <r>
    <s v="445667"/>
    <x v="6"/>
    <s v="TVA - D_10"/>
    <s v="NDF"/>
    <n v="2.0699999999999998"/>
    <d v="2025-05-20T00:00:00"/>
    <s v="NDF"/>
    <m/>
    <e v="#N/A"/>
    <e v="#N/A"/>
    <n v="76519"/>
    <s v="25000154"/>
    <s v="Jérémie Blache"/>
    <s v="Q2"/>
    <e v="#REF!"/>
    <e v="#REF!"/>
    <e v="#REF!"/>
  </r>
  <r>
    <s v="445667"/>
    <x v="6"/>
    <s v="TVA - D_10"/>
    <s v="NDF"/>
    <n v="2.14"/>
    <d v="2025-05-12T00:00:00"/>
    <s v="NOTE DE FRAIS"/>
    <m/>
    <e v="#N/A"/>
    <e v="#N/A"/>
    <n v="74420"/>
    <s v="25000141"/>
    <s v="Jérémie Blache"/>
    <s v="Q2"/>
    <e v="#REF!"/>
    <e v="#REF!"/>
    <e v="#REF!"/>
  </r>
  <r>
    <s v="445667"/>
    <x v="6"/>
    <s v="TVA - D_10"/>
    <s v="NDF"/>
    <n v="2.16"/>
    <d v="2025-10-03T00:00:00"/>
    <s v="RESTAURANT MIDI - PETIT DÉJEUNER"/>
    <m/>
    <e v="#N/A"/>
    <e v="#N/A"/>
    <n v="88433"/>
    <s v="25000246"/>
    <s v="Maud Sanchez"/>
    <s v="Q4"/>
    <e v="#REF!"/>
    <e v="#REF!"/>
    <e v="#REF!"/>
  </r>
  <r>
    <s v="445667"/>
    <x v="6"/>
    <s v="TVA - D_10"/>
    <s v="NDF"/>
    <n v="2.1800000000000002"/>
    <d v="2025-05-12T00:00:00"/>
    <s v="RESTAURANT MIDI - DÉJEUNER AP"/>
    <m/>
    <e v="#N/A"/>
    <e v="#N/A"/>
    <n v="95838"/>
    <s v="25000338"/>
    <s v="Alain Pinchard"/>
    <s v="Q2"/>
    <e v="#REF!"/>
    <e v="#REF!"/>
    <e v="#REF!"/>
  </r>
  <r>
    <s v="445667"/>
    <x v="6"/>
    <s v="TVA - D_10"/>
    <s v="NDF"/>
    <n v="2.19"/>
    <d v="2025-10-16T00:00:00"/>
    <s v="DIVERS - CAFÉ PILI TOULOUSE"/>
    <m/>
    <e v="#N/A"/>
    <e v="#N/A"/>
    <n v="89021"/>
    <s v="24000086"/>
    <s v="Mylène Menanteau"/>
    <s v="Q4"/>
    <e v="#REF!"/>
    <e v="#REF!"/>
    <e v="#REF!"/>
  </r>
  <r>
    <s v="445667"/>
    <x v="6"/>
    <s v="TVA - D_10"/>
    <s v="NDF"/>
    <n v="2.23"/>
    <d v="2025-01-31T00:00:00"/>
    <s v="NOTE DE FRAIS"/>
    <m/>
    <e v="#N/A"/>
    <e v="#N/A"/>
    <n v="73651"/>
    <s v="25000022"/>
    <s v="Vincent Blanchard"/>
    <s v="Q1"/>
    <e v="#REF!"/>
    <e v="#REF!"/>
    <e v="#REF!"/>
  </r>
  <r>
    <s v="445667"/>
    <x v="6"/>
    <s v="TVA - D_10"/>
    <s v="NDF"/>
    <n v="2.23"/>
    <d v="2025-02-07T00:00:00"/>
    <s v="NDF"/>
    <m/>
    <e v="#N/A"/>
    <e v="#N/A"/>
    <n v="75442"/>
    <s v="25000029"/>
    <s v="Filipe Gomes"/>
    <s v="Q1"/>
    <e v="#REF!"/>
    <e v="#REF!"/>
    <e v="#REF!"/>
  </r>
  <r>
    <s v="445667"/>
    <x v="6"/>
    <s v="TVA - D_10"/>
    <s v="NDF"/>
    <n v="2.27"/>
    <d v="2025-09-09T00:00:00"/>
    <s v="MÉTRO, BUS - MÉTRO NAVIGO"/>
    <m/>
    <e v="#N/A"/>
    <e v="#N/A"/>
    <n v="88542"/>
    <s v="25000220"/>
    <s v="Julie Lacondemine"/>
    <s v="Q3"/>
    <e v="#REF!"/>
    <e v="#REF!"/>
    <e v="#REF!"/>
  </r>
  <r>
    <s v="445667"/>
    <x v="6"/>
    <s v="TVA - D_10"/>
    <s v="NDF"/>
    <n v="2.29"/>
    <d v="2025-07-29T00:00:00"/>
    <s v="RESTAURANT MIDI - DÉPLACEMENT TOULOUSE-PARIS CHIMIE ANALYTIQUE"/>
    <m/>
    <e v="#N/A"/>
    <e v="#N/A"/>
    <n v="88720"/>
    <s v="25000204"/>
    <s v="Océane Chabret"/>
    <s v="Q3"/>
    <e v="#REF!"/>
    <e v="#REF!"/>
    <e v="#REF!"/>
  </r>
  <r>
    <s v="445667"/>
    <x v="6"/>
    <s v="TVA - D_10"/>
    <s v="NDF"/>
    <n v="2.31"/>
    <d v="2025-10-03T00:00:00"/>
    <s v="RESTAURANT MIDI - REPAS RETOUR CS"/>
    <m/>
    <e v="#N/A"/>
    <e v="#N/A"/>
    <n v="88407"/>
    <s v="25000269"/>
    <s v="Nuria RAMOS"/>
    <s v="Q4"/>
    <e v="#REF!"/>
    <e v="#REF!"/>
    <e v="#REF!"/>
  </r>
  <r>
    <s v="445667"/>
    <x v="6"/>
    <s v="TVA - D_10"/>
    <s v="NDF"/>
    <n v="2.31"/>
    <d v="2025-11-24T00:00:00"/>
    <s v="RESTAURANT MIDI - REPAS ROUSSILLON"/>
    <m/>
    <e v="#N/A"/>
    <e v="#N/A"/>
    <n v="90915"/>
    <s v="25000279"/>
    <s v="Bob Fernandez"/>
    <s v="Q4"/>
    <e v="#REF!"/>
    <e v="#REF!"/>
    <e v="#REF!"/>
  </r>
  <r>
    <s v="445667"/>
    <x v="6"/>
    <s v="TVA - D_10"/>
    <s v="NDF"/>
    <n v="2.35"/>
    <d v="2025-01-01T00:00:00"/>
    <s v="NDF"/>
    <m/>
    <e v="#N/A"/>
    <e v="#N/A"/>
    <n v="75431"/>
    <s v="24000386"/>
    <s v="Marie-Sarah Adenis"/>
    <s v="Q1"/>
    <e v="#REF!"/>
    <e v="#REF!"/>
    <e v="#REF!"/>
  </r>
  <r>
    <s v="445667"/>
    <x v="6"/>
    <s v="TVA - D_10"/>
    <s v="NDF"/>
    <n v="2.44"/>
    <d v="2025-06-01T00:00:00"/>
    <s v="RESTAURANT MIDI - DÉJEUNER"/>
    <m/>
    <e v="#N/A"/>
    <e v="#N/A"/>
    <n v="89191"/>
    <s v="25000111"/>
    <s v="Pauline Rullière"/>
    <s v="Q2"/>
    <e v="#REF!"/>
    <e v="#REF!"/>
    <e v="#REF!"/>
  </r>
  <r>
    <s v="445667"/>
    <x v="6"/>
    <s v="TVA - D_10"/>
    <s v="NDF"/>
    <n v="2.4900000000000002"/>
    <d v="2025-11-24T00:00:00"/>
    <s v="RESTAURANT MIDI - REPAS MIDI"/>
    <m/>
    <e v="#N/A"/>
    <e v="#N/A"/>
    <n v="90875"/>
    <s v="25000301"/>
    <s v="Maud Sanchez"/>
    <s v="Q4"/>
    <e v="#REF!"/>
    <e v="#REF!"/>
    <e v="#REF!"/>
  </r>
  <r>
    <s v="445667"/>
    <x v="6"/>
    <s v="TVA - D_10"/>
    <s v="NDF"/>
    <n v="2.5"/>
    <d v="2025-03-04T00:00:00"/>
    <s v="NDF"/>
    <m/>
    <e v="#N/A"/>
    <e v="#N/A"/>
    <n v="75746"/>
    <s v="25000104"/>
    <s v="Kevin Cottet"/>
    <s v="Q1"/>
    <e v="#REF!"/>
    <e v="#REF!"/>
    <e v="#REF!"/>
  </r>
  <r>
    <s v="445667"/>
    <x v="6"/>
    <s v="TVA - D_10"/>
    <s v="NDF"/>
    <n v="2.54"/>
    <d v="2025-09-29T00:00:00"/>
    <s v="MÉTRO, BUS - REÇU 10 TICKETS - PARIS"/>
    <m/>
    <e v="#N/A"/>
    <e v="#N/A"/>
    <n v="89026"/>
    <s v="25000256"/>
    <s v="Benjamin Barry"/>
    <s v="Q3"/>
    <e v="#REF!"/>
    <e v="#REF!"/>
    <e v="#REF!"/>
  </r>
  <r>
    <s v="445667"/>
    <x v="6"/>
    <s v="TVA - D_10"/>
    <s v="NDF"/>
    <n v="2.6"/>
    <d v="2025-12-02T00:00:00"/>
    <s v="RESTAURANT MIDI - DÉJEUNER"/>
    <m/>
    <e v="#N/A"/>
    <e v="#N/A"/>
    <n v="93462"/>
    <s v="25000289"/>
    <s v="Pauline Rullière"/>
    <s v="Q4"/>
    <e v="#REF!"/>
    <e v="#REF!"/>
    <e v="#REF!"/>
  </r>
  <r>
    <s v="445667"/>
    <x v="6"/>
    <s v="TVA - D_10"/>
    <s v="NDF"/>
    <n v="2.66"/>
    <d v="2025-11-24T00:00:00"/>
    <s v="RESTAURANT MIDI - REPAS 18 SOIR, 19 MIDI, 19 SOIR"/>
    <m/>
    <e v="#N/A"/>
    <e v="#N/A"/>
    <n v="90889"/>
    <s v="25000293"/>
    <s v="Julie Lacondemine"/>
    <s v="Q4"/>
    <e v="#REF!"/>
    <e v="#REF!"/>
    <e v="#REF!"/>
  </r>
  <r>
    <s v="445667"/>
    <x v="6"/>
    <s v="TVA - D_10"/>
    <s v="NDF"/>
    <n v="2.78"/>
    <d v="2025-03-25T00:00:00"/>
    <s v="NDF"/>
    <m/>
    <e v="#N/A"/>
    <e v="#N/A"/>
    <n v="75789"/>
    <s v="25000108"/>
    <s v="Mylène Menanteau"/>
    <s v="Q1"/>
    <e v="#REF!"/>
    <e v="#REF!"/>
    <e v="#REF!"/>
  </r>
  <r>
    <s v="445667"/>
    <x v="6"/>
    <s v="TVA - D_10"/>
    <s v="NDF"/>
    <n v="2.8"/>
    <d v="2025-01-13T00:00:00"/>
    <s v="NDF"/>
    <m/>
    <e v="#N/A"/>
    <e v="#N/A"/>
    <n v="75684"/>
    <s v="25000011"/>
    <s v="Benjamin Barry"/>
    <s v="Q1"/>
    <e v="#REF!"/>
    <e v="#REF!"/>
    <e v="#REF!"/>
  </r>
  <r>
    <s v="445667"/>
    <x v="6"/>
    <s v="TVA - D_10"/>
    <s v="NDF"/>
    <n v="2.88"/>
    <d v="2025-04-22T00:00:00"/>
    <s v="NOTE DE FRAIS"/>
    <m/>
    <e v="#N/A"/>
    <e v="#N/A"/>
    <n v="74345"/>
    <s v="25000131"/>
    <s v="Kevin Cottet"/>
    <s v="Q2"/>
    <e v="#REF!"/>
    <e v="#REF!"/>
    <e v="#REF!"/>
  </r>
  <r>
    <s v="445667"/>
    <x v="6"/>
    <s v="TVA - D_10"/>
    <s v="NDF"/>
    <n v="3.11"/>
    <d v="2025-10-03T00:00:00"/>
    <s v="RESTAURANT MIDI - REPAS RETOUR CS"/>
    <m/>
    <e v="#N/A"/>
    <e v="#N/A"/>
    <n v="88440"/>
    <s v="25000254"/>
    <s v="Bob Fernandez"/>
    <s v="Q4"/>
    <e v="#REF!"/>
    <e v="#REF!"/>
    <e v="#REF!"/>
  </r>
  <r>
    <s v="445667"/>
    <x v="6"/>
    <s v="TVA - D_10"/>
    <s v="NDF"/>
    <n v="3.13"/>
    <d v="2025-04-29T00:00:00"/>
    <s v="NDF"/>
    <m/>
    <e v="#N/A"/>
    <e v="#N/A"/>
    <n v="76505"/>
    <s v="25000152"/>
    <s v="Guillaume Boissonnat-Wu"/>
    <s v="Q2"/>
    <e v="#REF!"/>
    <e v="#REF!"/>
    <e v="#REF!"/>
  </r>
  <r>
    <s v="445667"/>
    <x v="6"/>
    <s v="TVA - D_10"/>
    <s v="NDF"/>
    <n v="3.28"/>
    <d v="2025-10-01T00:00:00"/>
    <s v="RESTAURANT MIDI - DÉJEUNER CS"/>
    <m/>
    <e v="#N/A"/>
    <e v="#N/A"/>
    <n v="88963"/>
    <s v="25000282"/>
    <s v="Nicolas Canu"/>
    <s v="Q4"/>
    <e v="#REF!"/>
    <e v="#REF!"/>
    <e v="#REF!"/>
  </r>
  <r>
    <s v="445667"/>
    <x v="6"/>
    <s v="TVA - D_10"/>
    <s v="NDF"/>
    <n v="3.29"/>
    <d v="2025-03-26T00:00:00"/>
    <s v="NDF"/>
    <m/>
    <e v="#N/A"/>
    <e v="#N/A"/>
    <n v="75795"/>
    <s v="25000087"/>
    <s v="Benjamin Barry"/>
    <s v="Q1"/>
    <e v="#REF!"/>
    <e v="#REF!"/>
    <e v="#REF!"/>
  </r>
  <r>
    <s v="445667"/>
    <x v="6"/>
    <s v="TVA - D_10"/>
    <s v="NDF"/>
    <n v="3.37"/>
    <d v="2025-11-24T00:00:00"/>
    <s v="MÉTRO, BUS - RHONEXPRESS AÉROPORT (BIOTIKA)"/>
    <m/>
    <e v="#N/A"/>
    <e v="#N/A"/>
    <n v="90951"/>
    <s v="25000265"/>
    <s v="Marie Rézeau"/>
    <s v="Q4"/>
    <e v="#REF!"/>
    <e v="#REF!"/>
    <e v="#REF!"/>
  </r>
  <r>
    <s v="445667"/>
    <x v="6"/>
    <s v="TVA - D_10"/>
    <s v="NDF"/>
    <n v="3.49"/>
    <d v="2025-04-14T00:00:00"/>
    <s v="NOTE DE FRAIS"/>
    <m/>
    <e v="#N/A"/>
    <e v="#N/A"/>
    <n v="74323"/>
    <s v="25000114"/>
    <s v="Océane Chabret"/>
    <s v="Q2"/>
    <e v="#REF!"/>
    <e v="#REF!"/>
    <e v="#REF!"/>
  </r>
  <r>
    <s v="445667"/>
    <x v="6"/>
    <s v="TVA - D_10"/>
    <s v="NDF"/>
    <n v="3.66"/>
    <d v="2025-05-05T00:00:00"/>
    <s v="RESTAURANT MIDI - DÉJEUNER"/>
    <m/>
    <e v="#N/A"/>
    <e v="#N/A"/>
    <n v="89169"/>
    <s v="25000111"/>
    <s v="Pauline Rullière"/>
    <s v="Q2"/>
    <e v="#REF!"/>
    <e v="#REF!"/>
    <e v="#REF!"/>
  </r>
  <r>
    <s v="445667"/>
    <x v="6"/>
    <s v="TVA - D_10"/>
    <s v="NDF"/>
    <n v="3.82"/>
    <d v="2025-04-05T00:00:00"/>
    <s v="NDF"/>
    <m/>
    <e v="#N/A"/>
    <e v="#N/A"/>
    <n v="75835"/>
    <s v="25000106"/>
    <s v="Yves Combret"/>
    <s v="Q2"/>
    <e v="#REF!"/>
    <e v="#REF!"/>
    <e v="#REF!"/>
  </r>
  <r>
    <s v="445667"/>
    <x v="6"/>
    <s v="TVA - D_10"/>
    <s v="NDF"/>
    <n v="3.83"/>
    <d v="2025-06-25T00:00:00"/>
    <s v="RESTAURANT MIDI - REPAS MIDI"/>
    <m/>
    <e v="#N/A"/>
    <e v="#N/A"/>
    <n v="88654"/>
    <s v="25000178"/>
    <s v="Bob Fernandez"/>
    <s v="Q2"/>
    <e v="#REF!"/>
    <e v="#REF!"/>
    <e v="#REF!"/>
  </r>
  <r>
    <s v="445667"/>
    <x v="6"/>
    <s v="TVA - D_10"/>
    <s v="NDF"/>
    <n v="3.88"/>
    <d v="2025-04-04T00:00:00"/>
    <s v="NDF"/>
    <m/>
    <e v="#N/A"/>
    <e v="#N/A"/>
    <n v="75467"/>
    <s v="25000105"/>
    <s v="Audrey Baylac"/>
    <s v="Q2"/>
    <e v="#REF!"/>
    <e v="#REF!"/>
    <e v="#REF!"/>
  </r>
  <r>
    <s v="445667"/>
    <x v="6"/>
    <s v="TVA - D_10"/>
    <s v="NDF"/>
    <n v="4.09"/>
    <d v="2025-09-01T00:00:00"/>
    <s v="MÉTRO, BUS - METRO PARIS"/>
    <m/>
    <e v="#N/A"/>
    <e v="#N/A"/>
    <n v="88118"/>
    <s v="25000216"/>
    <s v="Jérémie Blache"/>
    <s v="Q3"/>
    <e v="#REF!"/>
    <e v="#REF!"/>
    <e v="#REF!"/>
  </r>
  <r>
    <s v="445667"/>
    <x v="6"/>
    <s v="TVA - D_10"/>
    <s v="NDF"/>
    <n v="4.09"/>
    <d v="2025-10-21T00:00:00"/>
    <s v="MÉTRO, BUS - METRO"/>
    <m/>
    <e v="#N/A"/>
    <e v="#N/A"/>
    <n v="88895"/>
    <s v="25000287"/>
    <s v="Jérémie Blache"/>
    <s v="Q4"/>
    <e v="#REF!"/>
    <e v="#REF!"/>
    <e v="#REF!"/>
  </r>
  <r>
    <s v="445667"/>
    <x v="6"/>
    <s v="TVA - D_10"/>
    <s v="NDF"/>
    <n v="4.26"/>
    <d v="2025-12-12T00:00:00"/>
    <s v="RESTAURANT MIDI - 251212 REPAS DU MIDI"/>
    <m/>
    <e v="#N/A"/>
    <e v="#N/A"/>
    <n v="93282"/>
    <s v="25000328"/>
    <s v="Anthony Martinez"/>
    <s v="Q4"/>
    <e v="#REF!"/>
    <e v="#REF!"/>
    <e v="#REF!"/>
  </r>
  <r>
    <s v="445667"/>
    <x v="6"/>
    <s v="TVA - D_10"/>
    <s v="NDF"/>
    <n v="4.3"/>
    <d v="2025-12-10T00:00:00"/>
    <s v="MÉTRO, BUS - METRO TOULOUSE"/>
    <m/>
    <e v="#N/A"/>
    <e v="#N/A"/>
    <n v="95775"/>
    <s v="25000325"/>
    <s v="Marie Rézeau"/>
    <s v="Q4"/>
    <e v="#REF!"/>
    <e v="#REF!"/>
    <e v="#REF!"/>
  </r>
  <r>
    <s v="445667"/>
    <x v="6"/>
    <s v="TVA - D_10"/>
    <s v="NDF"/>
    <n v="4.55"/>
    <d v="2025-01-28T00:00:00"/>
    <s v="NOTE DE FRAIS"/>
    <m/>
    <e v="#N/A"/>
    <e v="#N/A"/>
    <n v="73643"/>
    <s v="25000020"/>
    <s v="Jérémie Blache"/>
    <s v="Q1"/>
    <e v="#REF!"/>
    <e v="#REF!"/>
    <e v="#REF!"/>
  </r>
  <r>
    <s v="445667"/>
    <x v="6"/>
    <s v="TVA - D_10"/>
    <s v="NDF"/>
    <n v="4.55"/>
    <d v="2025-03-03T00:00:00"/>
    <s v="NOTE DE FRAIS"/>
    <m/>
    <e v="#N/A"/>
    <e v="#N/A"/>
    <n v="73711"/>
    <s v="25000056"/>
    <s v="Jérémie Blache"/>
    <s v="Q1"/>
    <e v="#REF!"/>
    <e v="#REF!"/>
    <e v="#REF!"/>
  </r>
  <r>
    <s v="445667"/>
    <x v="6"/>
    <s v="TVA - D_10"/>
    <s v="NDF"/>
    <n v="4.55"/>
    <d v="2025-03-21T00:00:00"/>
    <s v="NOTE DE FRAIS"/>
    <m/>
    <e v="#N/A"/>
    <e v="#N/A"/>
    <n v="73729"/>
    <s v="25000080"/>
    <s v="Jérémie Blache"/>
    <s v="Q1"/>
    <e v="#REF!"/>
    <e v="#REF!"/>
    <e v="#REF!"/>
  </r>
  <r>
    <s v="445667"/>
    <x v="6"/>
    <s v="TVA - D_10"/>
    <s v="NDF"/>
    <n v="4.55"/>
    <d v="2025-12-15T00:00:00"/>
    <s v="RESTAURANT MIDI - DEJ TRAIN"/>
    <m/>
    <e v="#N/A"/>
    <e v="#N/A"/>
    <n v="93248"/>
    <s v="25000327"/>
    <s v="Jérémie Blache"/>
    <s v="Q4"/>
    <e v="#REF!"/>
    <e v="#REF!"/>
    <e v="#REF!"/>
  </r>
  <r>
    <s v="445667"/>
    <x v="6"/>
    <s v="TVA - D_10"/>
    <s v="NDF"/>
    <n v="4.79"/>
    <d v="2025-03-31T00:00:00"/>
    <s v="NDF"/>
    <m/>
    <e v="#N/A"/>
    <e v="#N/A"/>
    <n v="75822"/>
    <s v="25000098"/>
    <s v="Marie de Almeida"/>
    <s v="Q1"/>
    <e v="#REF!"/>
    <e v="#REF!"/>
    <e v="#REF!"/>
  </r>
  <r>
    <s v="445667"/>
    <x v="6"/>
    <s v="TVA - D_10"/>
    <s v="NDF"/>
    <n v="4.8499999999999996"/>
    <d v="2025-06-01T00:00:00"/>
    <s v="NDF"/>
    <m/>
    <e v="#N/A"/>
    <e v="#N/A"/>
    <n v="76546"/>
    <s v="25000166"/>
    <s v="Océane Chabret"/>
    <s v="Q2"/>
    <e v="#REF!"/>
    <e v="#REF!"/>
    <e v="#REF!"/>
  </r>
  <r>
    <s v="445667"/>
    <x v="6"/>
    <s v="TVA - D_10"/>
    <s v="NDF"/>
    <n v="4.91"/>
    <d v="2025-06-11T00:00:00"/>
    <s v="NDF"/>
    <m/>
    <e v="#N/A"/>
    <e v="#N/A"/>
    <n v="76593"/>
    <s v="25000174"/>
    <s v="Jérémie Blache"/>
    <s v="Q2"/>
    <e v="#REF!"/>
    <e v="#REF!"/>
    <e v="#REF!"/>
  </r>
  <r>
    <s v="445667"/>
    <x v="6"/>
    <s v="TVA - D_10"/>
    <s v="NDF"/>
    <n v="5.16"/>
    <d v="2025-03-26T00:00:00"/>
    <s v="NDF"/>
    <m/>
    <e v="#N/A"/>
    <e v="#N/A"/>
    <n v="75801"/>
    <s v="25000052"/>
    <s v="Maud Sanchez"/>
    <s v="Q1"/>
    <e v="#REF!"/>
    <e v="#REF!"/>
    <e v="#REF!"/>
  </r>
  <r>
    <s v="445667"/>
    <x v="6"/>
    <s v="TVA - D_10"/>
    <s v="NDF"/>
    <n v="5.16"/>
    <d v="2025-08-28T00:00:00"/>
    <s v="RESTAURANT MIDI - REPAS DIR SITE"/>
    <m/>
    <e v="#N/A"/>
    <e v="#N/A"/>
    <n v="95898"/>
    <s v="25000338"/>
    <s v="Alain Pinchard"/>
    <s v="Q3"/>
    <e v="#REF!"/>
    <e v="#REF!"/>
    <e v="#REF!"/>
  </r>
  <r>
    <s v="445667"/>
    <x v="6"/>
    <s v="TVA - D_10"/>
    <s v="NDF"/>
    <n v="5.18"/>
    <d v="2025-02-10T00:00:00"/>
    <s v="NOTE DE FRAIS"/>
    <m/>
    <e v="#N/A"/>
    <e v="#N/A"/>
    <n v="73672"/>
    <s v="25000035"/>
    <s v="Jérémie Blache"/>
    <s v="Q1"/>
    <e v="#REF!"/>
    <e v="#REF!"/>
    <e v="#REF!"/>
  </r>
  <r>
    <s v="445667"/>
    <x v="6"/>
    <s v="TVA - D_10"/>
    <s v="NDF"/>
    <n v="5.6"/>
    <d v="2025-04-14T00:00:00"/>
    <s v="NOTE DE FRAIS"/>
    <m/>
    <e v="#N/A"/>
    <e v="#N/A"/>
    <n v="74329"/>
    <s v="25000129"/>
    <s v="Loic masseboeuf"/>
    <s v="Q2"/>
    <e v="#REF!"/>
    <e v="#REF!"/>
    <e v="#REF!"/>
  </r>
  <r>
    <s v="445667"/>
    <x v="6"/>
    <s v="TVA - D_10"/>
    <s v="NDF"/>
    <n v="6.07"/>
    <d v="2025-03-31T00:00:00"/>
    <s v="NDF"/>
    <m/>
    <e v="#N/A"/>
    <e v="#N/A"/>
    <n v="75828"/>
    <s v="25000097"/>
    <s v="Bob Fernandez"/>
    <s v="Q1"/>
    <e v="#REF!"/>
    <e v="#REF!"/>
    <e v="#REF!"/>
  </r>
  <r>
    <s v="445667"/>
    <x v="6"/>
    <s v="TVA - D_10"/>
    <s v="NDF"/>
    <n v="6.07"/>
    <d v="2025-12-11T00:00:00"/>
    <s v="RESTAURANT MIDI - AVANCE DÉJEUNER  VENDREDI MIDI CLÉMENT - LIONEL - SÉPHORA"/>
    <m/>
    <e v="#N/A"/>
    <e v="#N/A"/>
    <n v="95801"/>
    <s v="25000334"/>
    <s v="Maud Sanchez"/>
    <s v="Q4"/>
    <e v="#REF!"/>
    <e v="#REF!"/>
    <e v="#REF!"/>
  </r>
  <r>
    <s v="445667"/>
    <x v="6"/>
    <s v="TVA - D_10"/>
    <s v="NDF"/>
    <n v="6.1"/>
    <d v="2025-02-13T00:00:00"/>
    <s v="RESTAURANT MIDI - DÉJEUNER MIDI"/>
    <m/>
    <e v="#N/A"/>
    <e v="#N/A"/>
    <n v="95925"/>
    <s v="25000338"/>
    <s v="Alain Pinchard"/>
    <s v="Q1"/>
    <e v="#REF!"/>
    <e v="#REF!"/>
    <e v="#REF!"/>
  </r>
  <r>
    <s v="445667"/>
    <x v="6"/>
    <s v="TVA - D_10"/>
    <s v="NDF"/>
    <n v="6.14"/>
    <d v="2025-11-03T00:00:00"/>
    <s v="RESTAURANT MIDI - DÉJEUNER CODIR NOVEMBRE"/>
    <m/>
    <e v="#N/A"/>
    <e v="#N/A"/>
    <n v="93402"/>
    <s v="25000314"/>
    <s v="Pierre-Yves Bolle"/>
    <s v="Q4"/>
    <e v="#REF!"/>
    <e v="#REF!"/>
    <e v="#REF!"/>
  </r>
  <r>
    <s v="445667"/>
    <x v="6"/>
    <s v="TVA - D_10"/>
    <s v="NDF"/>
    <n v="6.34"/>
    <d v="2025-11-20T00:00:00"/>
    <s v="RESTAURANT MIDI - DÉJEUNER LUCIE PAULINE"/>
    <m/>
    <e v="#N/A"/>
    <e v="#N/A"/>
    <n v="95810"/>
    <s v="25000335"/>
    <s v="Guillaume Boissonnat-Wu"/>
    <s v="Q4"/>
    <e v="#REF!"/>
    <e v="#REF!"/>
    <e v="#REF!"/>
  </r>
  <r>
    <s v="445667"/>
    <x v="6"/>
    <s v="TVA - D_10"/>
    <s v="NDF"/>
    <n v="6.64"/>
    <d v="2025-11-24T00:00:00"/>
    <s v="RESTAURANT MIDI - DÉJEUNER ENTRETIEN SIMON T"/>
    <m/>
    <e v="#N/A"/>
    <e v="#N/A"/>
    <n v="90944"/>
    <s v="25000284"/>
    <s v="Pierre-Yves Bolle"/>
    <s v="Q4"/>
    <e v="#REF!"/>
    <e v="#REF!"/>
    <e v="#REF!"/>
  </r>
  <r>
    <s v="445667"/>
    <x v="6"/>
    <s v="TVA - D_10"/>
    <s v="NDF"/>
    <n v="6.69"/>
    <d v="2025-06-16T00:00:00"/>
    <s v="RESTAURANT MIDI - DÉJEUNER BRUNO PIASTRA EXPERT PIGMENT"/>
    <m/>
    <e v="#N/A"/>
    <e v="#N/A"/>
    <n v="88813"/>
    <s v="25000202"/>
    <s v="Pierre-Yves Bolle"/>
    <s v="Q2"/>
    <e v="#REF!"/>
    <e v="#REF!"/>
    <e v="#REF!"/>
  </r>
  <r>
    <s v="445667"/>
    <x v="6"/>
    <s v="TVA - D_10"/>
    <s v="NDF"/>
    <n v="6.89"/>
    <d v="2025-06-23T00:00:00"/>
    <s v="RESTAURANT MIDI - DEJ AVEC CYRIELLE GULACSY (BRAINSTORM EXPO INDIGO)"/>
    <m/>
    <e v="#N/A"/>
    <e v="#N/A"/>
    <n v="88756"/>
    <s v="25000191"/>
    <s v="Marie-Sarah Adenis"/>
    <s v="Q2"/>
    <e v="#REF!"/>
    <e v="#REF!"/>
    <e v="#REF!"/>
  </r>
  <r>
    <s v="445667"/>
    <x v="6"/>
    <s v="TVA - D_10"/>
    <s v="NDF"/>
    <n v="7.53"/>
    <d v="2025-10-03T00:00:00"/>
    <s v="RESTAURANT MIDI - CS OCTOBRE 2025"/>
    <m/>
    <e v="#N/A"/>
    <e v="#N/A"/>
    <n v="93455"/>
    <s v="25000318"/>
    <s v="Lucie Crépin"/>
    <s v="Q4"/>
    <e v="#REF!"/>
    <e v="#REF!"/>
    <e v="#REF!"/>
  </r>
  <r>
    <s v="445667"/>
    <x v="6"/>
    <s v="TVA - D_10"/>
    <s v="NDF"/>
    <n v="7.61"/>
    <d v="2025-05-21T00:00:00"/>
    <s v="NDF"/>
    <m/>
    <e v="#N/A"/>
    <e v="#N/A"/>
    <n v="76522"/>
    <s v="25000155"/>
    <s v="Jérémie Blache"/>
    <s v="Q2"/>
    <e v="#REF!"/>
    <e v="#REF!"/>
    <e v="#REF!"/>
  </r>
  <r>
    <s v="445667"/>
    <x v="6"/>
    <s v="TVA - D_10"/>
    <s v="NDF"/>
    <n v="9.43"/>
    <d v="2025-02-06T00:00:00"/>
    <s v="NDF"/>
    <m/>
    <e v="#N/A"/>
    <e v="#N/A"/>
    <n v="75710"/>
    <s v="25000037"/>
    <s v="Emilie Amillastré"/>
    <s v="Q1"/>
    <e v="#REF!"/>
    <e v="#REF!"/>
    <e v="#REF!"/>
  </r>
  <r>
    <s v="445667"/>
    <x v="6"/>
    <s v="TVA - D_10"/>
    <s v="NDF"/>
    <n v="9.48"/>
    <d v="2025-04-29T00:00:00"/>
    <s v="NOTE DE FRAIS"/>
    <m/>
    <e v="#N/A"/>
    <e v="#N/A"/>
    <n v="74370"/>
    <s v="24000395"/>
    <s v="Marie-Sarah Adenis"/>
    <s v="Q2"/>
    <e v="#REF!"/>
    <e v="#REF!"/>
    <e v="#REF!"/>
  </r>
  <r>
    <s v="445667"/>
    <x v="6"/>
    <s v="TVA - D_10"/>
    <s v="NDF"/>
    <n v="9.76"/>
    <d v="2025-03-07T00:00:00"/>
    <s v="NDF"/>
    <m/>
    <e v="#N/A"/>
    <e v="#N/A"/>
    <n v="76485"/>
    <s v="25000068"/>
    <s v="Jérémie Blache"/>
    <s v="Q1"/>
    <e v="#REF!"/>
    <e v="#REF!"/>
    <e v="#REF!"/>
  </r>
  <r>
    <s v="445667"/>
    <x v="6"/>
    <s v="TVA - D_10"/>
    <s v="NDF"/>
    <n v="9.93"/>
    <d v="2025-04-30T00:00:00"/>
    <s v="NOTE DE FRAIS"/>
    <m/>
    <e v="#N/A"/>
    <e v="#N/A"/>
    <n v="74399"/>
    <s v="25000119"/>
    <s v="Nicolas Canu"/>
    <s v="Q2"/>
    <e v="#REF!"/>
    <e v="#REF!"/>
    <e v="#REF!"/>
  </r>
  <r>
    <s v="445667"/>
    <x v="6"/>
    <s v="TVA - D_10"/>
    <s v="NDF"/>
    <n v="10.51"/>
    <d v="2025-01-01T00:00:00"/>
    <s v="NDF"/>
    <m/>
    <e v="#N/A"/>
    <e v="#N/A"/>
    <n v="75659"/>
    <s v="24000362"/>
    <s v="Marie Rézeau"/>
    <s v="Q1"/>
    <e v="#REF!"/>
    <e v="#REF!"/>
    <e v="#REF!"/>
  </r>
  <r>
    <s v="445667"/>
    <x v="6"/>
    <s v="TVA - D_10"/>
    <s v="NDF"/>
    <n v="10.77"/>
    <d v="2025-02-20T00:00:00"/>
    <s v="NOTE DE FRAIS"/>
    <m/>
    <e v="#N/A"/>
    <e v="#N/A"/>
    <n v="73689"/>
    <s v="250000047"/>
    <s v="Jérémie Blache"/>
    <s v="Q1"/>
    <e v="#REF!"/>
    <e v="#REF!"/>
    <e v="#REF!"/>
  </r>
  <r>
    <s v="445667"/>
    <x v="6"/>
    <s v="TVA - D_10"/>
    <s v="NDF"/>
    <n v="10.86"/>
    <d v="2025-03-05T00:00:00"/>
    <s v="NDF"/>
    <m/>
    <e v="#N/A"/>
    <e v="#N/A"/>
    <n v="75753"/>
    <s v="25000065"/>
    <s v="Guillaume Boissonnat-Wu"/>
    <s v="Q1"/>
    <e v="#REF!"/>
    <e v="#REF!"/>
    <e v="#REF!"/>
  </r>
  <r>
    <s v="445667"/>
    <x v="6"/>
    <s v="TVA - D_10"/>
    <s v="NDF"/>
    <n v="11.14"/>
    <d v="2025-11-24T00:00:00"/>
    <s v="RESTAURANT MIDI - RESTAURANT ÉQUIPE POUR L'ARRIVÉE DE SEPHORA"/>
    <m/>
    <e v="#N/A"/>
    <e v="#N/A"/>
    <n v="91003"/>
    <s v="25000199"/>
    <s v="Anne-Sophie Goutierre"/>
    <s v="Q4"/>
    <e v="#REF!"/>
    <e v="#REF!"/>
    <e v="#REF!"/>
  </r>
  <r>
    <s v="445667"/>
    <x v="6"/>
    <s v="TVA - D_10"/>
    <s v="NDF"/>
    <n v="11.19"/>
    <d v="2025-09-24T00:00:00"/>
    <s v="RESTAURANT MIDI - REPAS MERCREDI MIDI"/>
    <m/>
    <e v="#N/A"/>
    <e v="#N/A"/>
    <n v="88459"/>
    <s v="25000253"/>
    <s v="Bob Fernandez"/>
    <s v="Q3"/>
    <e v="#REF!"/>
    <e v="#REF!"/>
    <e v="#REF!"/>
  </r>
  <r>
    <s v="445667"/>
    <x v="6"/>
    <s v="TVA - D_10"/>
    <s v="NDF"/>
    <n v="11.32"/>
    <d v="2025-03-12T00:00:00"/>
    <s v="NDF"/>
    <m/>
    <e v="#N/A"/>
    <e v="#N/A"/>
    <n v="75764"/>
    <s v="25000075"/>
    <s v="Marie-Sarah Adenis"/>
    <s v="Q1"/>
    <e v="#REF!"/>
    <e v="#REF!"/>
    <e v="#REF!"/>
  </r>
  <r>
    <s v="445667"/>
    <x v="6"/>
    <s v="TVA - D_10"/>
    <s v="NDF"/>
    <n v="11.37"/>
    <d v="2025-02-04T00:00:00"/>
    <s v="NDF"/>
    <m/>
    <e v="#N/A"/>
    <e v="#N/A"/>
    <n v="75703"/>
    <s v="25000070"/>
    <s v="Kevin Cottet"/>
    <s v="Q1"/>
    <e v="#REF!"/>
    <e v="#REF!"/>
    <e v="#REF!"/>
  </r>
  <r>
    <s v="445667"/>
    <x v="6"/>
    <s v="TVA - D_10"/>
    <s v="NDF"/>
    <n v="11.5"/>
    <d v="2025-07-03T00:00:00"/>
    <s v="MÉTRO, BUS - ACHAT TICKET MÉTRO"/>
    <m/>
    <e v="#N/A"/>
    <e v="#N/A"/>
    <n v="88818"/>
    <s v="25000202"/>
    <s v="Pierre-Yves Bolle"/>
    <s v="Q3"/>
    <e v="#REF!"/>
    <e v="#REF!"/>
    <e v="#REF!"/>
  </r>
  <r>
    <s v="445667"/>
    <x v="6"/>
    <s v="TVA - D_10"/>
    <s v="NDF"/>
    <n v="11.64"/>
    <d v="2025-03-17T00:00:00"/>
    <s v="NOTE DE FRAIS"/>
    <m/>
    <e v="#N/A"/>
    <e v="#N/A"/>
    <n v="73721"/>
    <s v="25000079"/>
    <s v="Jérémie Blache"/>
    <s v="Q1"/>
    <e v="#REF!"/>
    <e v="#REF!"/>
    <e v="#REF!"/>
  </r>
  <r>
    <s v="445667"/>
    <x v="6"/>
    <s v="TVA - D_10"/>
    <s v="NDF"/>
    <n v="11.72"/>
    <d v="2025-07-08T00:00:00"/>
    <s v="RESTAURANT MIDI - 5 CVT - GT ERP"/>
    <m/>
    <e v="#N/A"/>
    <e v="#N/A"/>
    <n v="95930"/>
    <s v="25000338"/>
    <s v="Alain Pinchard"/>
    <s v="Q3"/>
    <e v="#REF!"/>
    <e v="#REF!"/>
    <e v="#REF!"/>
  </r>
  <r>
    <s v="445667"/>
    <x v="6"/>
    <s v="TVA - D_10"/>
    <s v="NDF"/>
    <n v="11.77"/>
    <d v="2025-11-25T00:00:00"/>
    <s v="RESTAURANT MIDI - DÉJEUNER ÉQUIPE DIRECTION"/>
    <m/>
    <e v="#N/A"/>
    <e v="#N/A"/>
    <n v="93352"/>
    <s v="25000303"/>
    <s v="Jérémie Blache"/>
    <s v="Q4"/>
    <e v="#REF!"/>
    <e v="#REF!"/>
    <e v="#REF!"/>
  </r>
  <r>
    <s v="445667"/>
    <x v="6"/>
    <s v="TVA - D_10"/>
    <s v="NDF"/>
    <n v="12.61"/>
    <d v="2025-11-24T00:00:00"/>
    <s v="RESTAURANT MIDI - DÉJEUNER TOULOUSE"/>
    <m/>
    <e v="#N/A"/>
    <e v="#N/A"/>
    <n v="90927"/>
    <s v="25000288"/>
    <s v="Guillaume Boissonnat-Wu"/>
    <s v="Q4"/>
    <e v="#REF!"/>
    <e v="#REF!"/>
    <e v="#REF!"/>
  </r>
  <r>
    <s v="445667"/>
    <x v="6"/>
    <s v="TVA - D_10"/>
    <s v="NDF"/>
    <n v="12.77"/>
    <d v="2025-03-14T00:00:00"/>
    <s v="NDF"/>
    <m/>
    <e v="#N/A"/>
    <e v="#N/A"/>
    <n v="75774"/>
    <s v="25000074"/>
    <s v="Benjamin Barry"/>
    <s v="Q1"/>
    <e v="#REF!"/>
    <e v="#REF!"/>
    <e v="#REF!"/>
  </r>
  <r>
    <s v="445667"/>
    <x v="6"/>
    <s v="TVA - D_10"/>
    <s v="NDF"/>
    <n v="14.13"/>
    <d v="2025-02-10T00:00:00"/>
    <s v="NDF"/>
    <m/>
    <e v="#N/A"/>
    <e v="#N/A"/>
    <n v="75725"/>
    <s v="25000034"/>
    <s v="Anne-Sophie Goutierre"/>
    <s v="Q1"/>
    <e v="#REF!"/>
    <e v="#REF!"/>
    <e v="#REF!"/>
  </r>
  <r>
    <s v="445667"/>
    <x v="6"/>
    <s v="TVA - D_10"/>
    <s v="NDF"/>
    <n v="14.2"/>
    <d v="2025-04-02T00:00:00"/>
    <s v="NDF"/>
    <m/>
    <e v="#N/A"/>
    <e v="#N/A"/>
    <n v="75461"/>
    <s v="25000055"/>
    <s v="Lucie Crépin"/>
    <s v="Q2"/>
    <e v="#REF!"/>
    <e v="#REF!"/>
    <e v="#REF!"/>
  </r>
  <r>
    <s v="445667"/>
    <x v="6"/>
    <s v="TVA - D_10"/>
    <s v="NDF"/>
    <n v="14.59"/>
    <d v="2025-01-07T00:00:00"/>
    <s v="NDF"/>
    <m/>
    <e v="#N/A"/>
    <e v="#N/A"/>
    <n v="75677"/>
    <s v="3307202564"/>
    <s v="Pierre-Yves Bolle"/>
    <s v="Q1"/>
    <e v="#REF!"/>
    <e v="#REF!"/>
    <e v="#REF!"/>
  </r>
  <r>
    <s v="445667"/>
    <x v="6"/>
    <s v="TVA - D_10"/>
    <s v="NDF"/>
    <n v="14.69"/>
    <d v="2025-01-01T00:00:00"/>
    <s v="NOTE DE FRAIS"/>
    <m/>
    <e v="#N/A"/>
    <e v="#N/A"/>
    <n v="74163"/>
    <s v="25000012"/>
    <s v="Alain Pinchard"/>
    <s v="Q1"/>
    <e v="#REF!"/>
    <e v="#REF!"/>
    <e v="#REF!"/>
  </r>
  <r>
    <s v="445667"/>
    <x v="6"/>
    <s v="TVA - D_10"/>
    <s v="NDF"/>
    <n v="15.14"/>
    <d v="2025-01-14T00:00:00"/>
    <s v="NOTE DE FRAIS"/>
    <m/>
    <e v="#N/A"/>
    <e v="#N/A"/>
    <n v="73618"/>
    <s v="25000024"/>
    <s v="Loic masseboeuf"/>
    <s v="Q1"/>
    <e v="#REF!"/>
    <e v="#REF!"/>
    <e v="#REF!"/>
  </r>
  <r>
    <s v="445667"/>
    <x v="6"/>
    <s v="TVA - D_10"/>
    <s v="NDF"/>
    <n v="15.91"/>
    <d v="2025-10-13T00:00:00"/>
    <s v="RESTAURANT MIDI - RESTAURANT ACCUEIL HAJAR"/>
    <m/>
    <e v="#N/A"/>
    <e v="#N/A"/>
    <n v="88914"/>
    <s v="25000274"/>
    <s v="Maud Sanchez"/>
    <s v="Q4"/>
    <e v="#REF!"/>
    <e v="#REF!"/>
    <e v="#REF!"/>
  </r>
  <r>
    <s v="445667"/>
    <x v="6"/>
    <s v="TVA - D_10"/>
    <s v="NDF"/>
    <n v="17.16"/>
    <d v="2025-03-02T00:00:00"/>
    <s v="NDF"/>
    <m/>
    <e v="#N/A"/>
    <e v="#N/A"/>
    <n v="75739"/>
    <s v="25000043"/>
    <s v="Pauline Rullière"/>
    <s v="Q1"/>
    <e v="#REF!"/>
    <e v="#REF!"/>
    <e v="#REF!"/>
  </r>
  <r>
    <s v="445667"/>
    <x v="6"/>
    <s v="TVA - D_10"/>
    <s v="NDF"/>
    <n v="17.440000000000001"/>
    <d v="2025-06-10T00:00:00"/>
    <s v="NDF"/>
    <m/>
    <e v="#N/A"/>
    <e v="#N/A"/>
    <n v="76587"/>
    <s v="250000170"/>
    <s v="Marie de Almeida"/>
    <s v="Q2"/>
    <e v="#REF!"/>
    <e v="#REF!"/>
    <e v="#REF!"/>
  </r>
  <r>
    <s v="445667"/>
    <x v="6"/>
    <s v="TVA - D_10"/>
    <s v="NDF"/>
    <n v="18.36"/>
    <d v="2025-02-19T00:00:00"/>
    <s v="NDF"/>
    <m/>
    <e v="#N/A"/>
    <e v="#N/A"/>
    <n v="75733"/>
    <s v="25000057"/>
    <s v="Guillaume Boissonnat-Wu"/>
    <s v="Q1"/>
    <e v="#REF!"/>
    <e v="#REF!"/>
    <e v="#REF!"/>
  </r>
  <r>
    <s v="445667"/>
    <x v="6"/>
    <s v="TVA - D_10"/>
    <s v="NDF"/>
    <n v="20.85"/>
    <d v="2025-04-29T00:00:00"/>
    <s v="NOTE DE FRAIS"/>
    <m/>
    <e v="#N/A"/>
    <e v="#N/A"/>
    <n v="74377"/>
    <s v="25000134"/>
    <s v="Julie Lacondemine"/>
    <s v="Q2"/>
    <e v="#REF!"/>
    <e v="#REF!"/>
    <e v="#REF!"/>
  </r>
  <r>
    <s v="445667"/>
    <x v="6"/>
    <s v="TVA - D_10"/>
    <s v="NDF"/>
    <n v="21.27"/>
    <d v="2025-05-12T00:00:00"/>
    <s v="NOTE DE FRAIS"/>
    <m/>
    <e v="#N/A"/>
    <e v="#N/A"/>
    <n v="74416"/>
    <s v="25000142"/>
    <s v="Océane Chabret"/>
    <s v="Q2"/>
    <e v="#REF!"/>
    <e v="#REF!"/>
    <e v="#REF!"/>
  </r>
  <r>
    <s v="445667"/>
    <x v="6"/>
    <s v="TVA - D_10"/>
    <s v="NDF"/>
    <n v="22.91"/>
    <d v="2025-01-30T00:00:00"/>
    <s v="NDF"/>
    <m/>
    <e v="#N/A"/>
    <e v="#N/A"/>
    <n v="75696"/>
    <s v="25000023"/>
    <s v="Guillaume Boissonnat-Wu"/>
    <s v="Q1"/>
    <e v="#REF!"/>
    <e v="#REF!"/>
    <e v="#REF!"/>
  </r>
  <r>
    <s v="445667"/>
    <x v="6"/>
    <s v="TVA - D_10"/>
    <s v="NDF"/>
    <n v="24.76"/>
    <d v="2025-01-01T00:00:00"/>
    <s v="NDF"/>
    <m/>
    <e v="#N/A"/>
    <e v="#N/A"/>
    <n v="75652"/>
    <s v="24000356"/>
    <s v="Pauline Rullière"/>
    <s v="Q1"/>
    <e v="#REF!"/>
    <e v="#REF!"/>
    <e v="#REF!"/>
  </r>
  <r>
    <s v="445667"/>
    <x v="6"/>
    <s v="TVA - D_10"/>
    <s v="NDF"/>
    <n v="24.87"/>
    <d v="2025-04-08T00:00:00"/>
    <s v="NOTE DE FRAIS"/>
    <m/>
    <e v="#N/A"/>
    <e v="#N/A"/>
    <n v="74301"/>
    <s v="25000110"/>
    <s v="Bob Fernandez"/>
    <s v="Q2"/>
    <e v="#REF!"/>
    <e v="#REF!"/>
    <e v="#REF!"/>
  </r>
  <r>
    <s v="445667"/>
    <x v="6"/>
    <s v="TVA - D_10"/>
    <s v="NDF"/>
    <n v="24.87"/>
    <d v="2025-05-09T00:00:00"/>
    <s v="NOTE DE FRAIS"/>
    <m/>
    <e v="#N/A"/>
    <e v="#N/A"/>
    <n v="74413"/>
    <s v="25000140"/>
    <s v="Thibault Dejardin"/>
    <s v="Q2"/>
    <e v="#REF!"/>
    <e v="#REF!"/>
    <e v="#REF!"/>
  </r>
  <r>
    <s v="445667"/>
    <x v="6"/>
    <s v="TVA - D_10"/>
    <s v="NDF"/>
    <n v="25.33"/>
    <d v="2025-03-06T00:00:00"/>
    <s v="RESTAURANT MIDI - DÉJEUNER EQUIPE ROUSSILLON"/>
    <m/>
    <e v="#N/A"/>
    <e v="#N/A"/>
    <n v="95945"/>
    <s v="25000338"/>
    <s v="Alain Pinchard"/>
    <s v="Q1"/>
    <e v="#REF!"/>
    <e v="#REF!"/>
    <e v="#REF!"/>
  </r>
  <r>
    <s v="445667"/>
    <x v="6"/>
    <s v="TVA - D_10"/>
    <s v="NDF"/>
    <n v="30"/>
    <d v="2025-01-01T00:00:00"/>
    <s v="NDF"/>
    <m/>
    <e v="#N/A"/>
    <e v="#N/A"/>
    <n v="75667"/>
    <s v="25000009"/>
    <s v="Pauline Rullière"/>
    <s v="Q1"/>
    <e v="#REF!"/>
    <e v="#REF!"/>
    <e v="#REF!"/>
  </r>
  <r>
    <s v="445667"/>
    <x v="6"/>
    <s v="TVA - D_10"/>
    <s v="NDF"/>
    <n v="33.04"/>
    <d v="2025-01-31T00:00:00"/>
    <s v="NOTE DE FRAIS"/>
    <m/>
    <e v="#N/A"/>
    <e v="#N/A"/>
    <n v="74177"/>
    <s v="25000001"/>
    <s v="Alain Pinchard"/>
    <s v="Q1"/>
    <e v="#REF!"/>
    <e v="#REF!"/>
    <e v="#REF!"/>
  </r>
  <r>
    <s v="445667"/>
    <x v="6"/>
    <s v="TVA - D_10"/>
    <s v="NDF"/>
    <n v="36.15"/>
    <d v="2025-03-26T00:00:00"/>
    <s v="NDF"/>
    <m/>
    <e v="#N/A"/>
    <e v="#N/A"/>
    <n v="75808"/>
    <s v="25000086"/>
    <s v="Pauline Rullière"/>
    <s v="Q1"/>
    <e v="#REF!"/>
    <e v="#REF!"/>
    <e v="#REF!"/>
  </r>
  <r>
    <s v="445667"/>
    <x v="6"/>
    <s v="TVA - D_10"/>
    <s v="NDF"/>
    <n v="42.47"/>
    <d v="2025-03-19T00:00:00"/>
    <s v="NDF"/>
    <m/>
    <e v="#N/A"/>
    <e v="#N/A"/>
    <n v="75782"/>
    <s v="250000021"/>
    <s v="Marie Rézeau"/>
    <s v="Q1"/>
    <e v="#REF!"/>
    <e v="#REF!"/>
    <e v="#REF!"/>
  </r>
  <r>
    <s v="445667"/>
    <x v="6"/>
    <s v="TVA - D_10"/>
    <s v="OD"/>
    <n v="-294.49"/>
    <d v="2025-06-30T00:00:00"/>
    <s v="Liaison inter-établissement vers TO "/>
    <m/>
    <e v="#N/A"/>
    <e v="#N/A"/>
    <n v="78534"/>
    <m/>
    <m/>
    <s v="Q2"/>
    <e v="#REF!"/>
    <e v="#REF!"/>
    <e v="#REF!"/>
  </r>
  <r>
    <s v="445667"/>
    <x v="6"/>
    <s v="TVA - D_10"/>
    <s v="OD"/>
    <n v="-211.73"/>
    <d v="2025-09-30T00:00:00"/>
    <s v="Liaison inter-établissement vers TO "/>
    <m/>
    <e v="#N/A"/>
    <e v="#N/A"/>
    <n v="87252"/>
    <m/>
    <m/>
    <s v="Q3"/>
    <e v="#REF!"/>
    <e v="#REF!"/>
    <e v="#REF!"/>
  </r>
  <r>
    <s v="445667"/>
    <x v="6"/>
    <s v="TVA - D_10"/>
    <s v="OD"/>
    <n v="-139.56"/>
    <d v="2025-06-30T00:00:00"/>
    <s v="Liaison inter-établissement vers TO "/>
    <m/>
    <e v="#N/A"/>
    <e v="#N/A"/>
    <n v="78541"/>
    <m/>
    <m/>
    <s v="Q2"/>
    <e v="#REF!"/>
    <e v="#REF!"/>
    <e v="#REF!"/>
  </r>
  <r>
    <s v="445667"/>
    <x v="6"/>
    <s v="TVA - D_10"/>
    <s v="OD"/>
    <n v="-40.04"/>
    <d v="2025-06-30T00:00:00"/>
    <s v="Liaison inter-établissement vers TO "/>
    <m/>
    <e v="#N/A"/>
    <e v="#N/A"/>
    <n v="78538"/>
    <m/>
    <m/>
    <s v="Q2"/>
    <e v="#REF!"/>
    <e v="#REF!"/>
    <e v="#REF!"/>
  </r>
  <r>
    <s v="445667"/>
    <x v="6"/>
    <s v="TVA - D_10"/>
    <s v="OD"/>
    <n v="211.73"/>
    <d v="2025-09-30T00:00:00"/>
    <s v="Liaison inter-établissement"/>
    <m/>
    <e v="#N/A"/>
    <e v="#N/A"/>
    <n v="87253"/>
    <m/>
    <m/>
    <s v="Q3"/>
    <e v="#REF!"/>
    <e v="#REF!"/>
    <e v="#REF!"/>
  </r>
  <r>
    <s v="445667"/>
    <x v="6"/>
    <s v="TVA - D_10"/>
    <s v="OD"/>
    <n v="474.09"/>
    <d v="2025-06-30T00:00:00"/>
    <s v="Liaison inter-établissement"/>
    <m/>
    <e v="#N/A"/>
    <e v="#N/A"/>
    <n v="78535"/>
    <m/>
    <m/>
    <s v="Q2"/>
    <e v="#REF!"/>
    <e v="#REF!"/>
    <e v="#REF!"/>
  </r>
  <r>
    <s v="445667"/>
    <x v="6"/>
    <s v="TVA - D_10"/>
    <s v="TVA"/>
    <n v="-714.72"/>
    <d v="2025-06-30T00:00:00"/>
    <s v="Déclaration TVA Q2 2025"/>
    <m/>
    <e v="#N/A"/>
    <e v="#N/A"/>
    <n v="78454"/>
    <m/>
    <m/>
    <s v="Q2"/>
    <e v="#REF!"/>
    <e v="#REF!"/>
    <e v="#REF!"/>
  </r>
  <r>
    <s v="445667"/>
    <x v="6"/>
    <s v="TVA - D_10"/>
    <s v="TVA"/>
    <n v="-420.66"/>
    <d v="2025-12-31T00:00:00"/>
    <s v="Déclaration TVA Q4 2025"/>
    <m/>
    <e v="#N/A"/>
    <e v="#N/A"/>
    <n v="96046"/>
    <m/>
    <m/>
    <s v="Q4"/>
    <e v="#REF!"/>
    <e v="#REF!"/>
    <e v="#REF!"/>
  </r>
  <r>
    <s v="445667"/>
    <x v="6"/>
    <s v="TVA - D_10"/>
    <s v="TVA"/>
    <n v="-211.73"/>
    <d v="2025-09-30T00:00:00"/>
    <s v="Déclaration TVA Q3 2025"/>
    <m/>
    <e v="#N/A"/>
    <e v="#N/A"/>
    <n v="87193"/>
    <m/>
    <m/>
    <s v="Q3"/>
    <e v="#REF!"/>
    <e v="#REF!"/>
    <e v="#REF!"/>
  </r>
  <r>
    <s v="445667"/>
    <x v="6"/>
    <s v="TVA - D_10"/>
    <s v="TVA"/>
    <n v="-100"/>
    <d v="2025-03-31T00:00:00"/>
    <s v="Déclaration TVA Q1"/>
    <m/>
    <e v="#N/A"/>
    <e v="#N/A"/>
    <n v="68479"/>
    <m/>
    <m/>
    <s v="Q1"/>
    <e v="#REF!"/>
    <e v="#REF!"/>
    <e v="#REF!"/>
  </r>
  <r>
    <s v="445669"/>
    <x v="6"/>
    <s v="TVA - D_2,1"/>
    <s v="AC"/>
    <n v="13.35"/>
    <d v="2025-04-01T00:00:00"/>
    <s v="INFO CHIMIE MAGASINE MARS 25 À FÉVRIER 26"/>
    <m/>
    <e v="#N/A"/>
    <e v="#N/A"/>
    <n v="71298"/>
    <s v="FA1145047"/>
    <s v="ETAI"/>
    <s v="Q2"/>
    <e v="#REF!"/>
    <e v="#REF!"/>
    <e v="#REF!"/>
  </r>
  <r>
    <s v="445669"/>
    <x v="6"/>
    <s v="TVA - D_2,1"/>
    <s v="OD"/>
    <n v="-13.35"/>
    <d v="2025-06-30T00:00:00"/>
    <s v="Liaison inter-établissement vers TO "/>
    <m/>
    <e v="#N/A"/>
    <e v="#N/A"/>
    <n v="78544"/>
    <m/>
    <m/>
    <s v="Q2"/>
    <e v="#REF!"/>
    <e v="#REF!"/>
    <e v="#REF!"/>
  </r>
  <r>
    <s v="445669"/>
    <x v="6"/>
    <s v="TVA - D_2,1"/>
    <s v="OD"/>
    <n v="13.35"/>
    <d v="2025-06-30T00:00:00"/>
    <s v="Liaison inter-établissement"/>
    <m/>
    <e v="#N/A"/>
    <e v="#N/A"/>
    <n v="78545"/>
    <m/>
    <m/>
    <s v="Q2"/>
    <e v="#REF!"/>
    <e v="#REF!"/>
    <e v="#REF!"/>
  </r>
  <r>
    <s v="445669"/>
    <x v="6"/>
    <s v="TVA - D_2,1"/>
    <s v="TVA"/>
    <n v="-13.35"/>
    <d v="2025-06-30T00:00:00"/>
    <s v="Déclaration TVA Q2 2025"/>
    <m/>
    <e v="#N/A"/>
    <e v="#N/A"/>
    <n v="78455"/>
    <m/>
    <m/>
    <s v="Q2"/>
    <e v="#REF!"/>
    <e v="#REF!"/>
    <e v="#REF!"/>
  </r>
  <r>
    <s v="445712"/>
    <x v="6"/>
    <s v="TVA - C_20"/>
    <s v="JC"/>
    <n v="-582"/>
    <d v="2025-01-01T00:00:00"/>
    <s v="Cadrage comptes audités 2024 - bilan"/>
    <m/>
    <e v="#N/A"/>
    <e v="#N/A"/>
    <n v="87166"/>
    <m/>
    <m/>
    <s v="Q1"/>
    <e v="#REF!"/>
    <e v="#REF!"/>
    <e v="#REF!"/>
  </r>
  <r>
    <s v="445712"/>
    <x v="6"/>
    <s v="TVA - C_20"/>
    <s v="OD"/>
    <n v="-282"/>
    <d v="2025-01-31T00:00:00"/>
    <s v="Perte sur TVA collectée OPCO"/>
    <m/>
    <e v="#N/A"/>
    <e v="#N/A"/>
    <n v="87255"/>
    <m/>
    <m/>
    <s v="Q1"/>
    <e v="#REF!"/>
    <e v="#REF!"/>
    <e v="#REF!"/>
  </r>
  <r>
    <s v="445712"/>
    <x v="6"/>
    <s v="TVA - C_20"/>
    <s v="TVA"/>
    <n v="52"/>
    <d v="2025-12-31T00:00:00"/>
    <s v="Déclaration TVA Q4 2025"/>
    <m/>
    <e v="#N/A"/>
    <e v="#N/A"/>
    <n v="96047"/>
    <m/>
    <m/>
    <s v="Q4"/>
    <e v="#REF!"/>
    <e v="#REF!"/>
    <e v="#REF!"/>
  </r>
  <r>
    <s v="445712"/>
    <x v="6"/>
    <s v="TVA - C_20"/>
    <s v="TVA"/>
    <n v="109.67"/>
    <d v="2025-09-30T00:00:00"/>
    <s v="Déclaration TVA Q3 2025"/>
    <m/>
    <e v="#N/A"/>
    <e v="#N/A"/>
    <n v="87195"/>
    <m/>
    <m/>
    <s v="Q3"/>
    <e v="#REF!"/>
    <e v="#REF!"/>
    <e v="#REF!"/>
  </r>
  <r>
    <s v="445712"/>
    <x v="6"/>
    <s v="TVA - C_20"/>
    <s v="TVA"/>
    <n v="146.66999999999999"/>
    <d v="2025-06-30T00:00:00"/>
    <s v="Déclaration TVA Q2 2025"/>
    <m/>
    <e v="#N/A"/>
    <e v="#N/A"/>
    <n v="78456"/>
    <m/>
    <m/>
    <s v="Q2"/>
    <e v="#REF!"/>
    <e v="#REF!"/>
    <e v="#REF!"/>
  </r>
  <r>
    <s v="445712"/>
    <x v="6"/>
    <s v="TVA - C_20"/>
    <s v="TVA"/>
    <n v="582"/>
    <d v="2025-03-31T00:00:00"/>
    <s v="Déclaration TVA Q1"/>
    <m/>
    <e v="#N/A"/>
    <e v="#N/A"/>
    <n v="68480"/>
    <m/>
    <m/>
    <s v="Q1"/>
    <e v="#REF!"/>
    <e v="#REF!"/>
    <e v="#REF!"/>
  </r>
  <r>
    <s v="445712"/>
    <x v="6"/>
    <s v="TVA - C_20"/>
    <s v="VT"/>
    <n v="-126"/>
    <d v="2025-01-31T00:00:00"/>
    <s v="Facture n° F241126-1 OPCO corrigée"/>
    <m/>
    <e v="#N/A"/>
    <e v="#N/A"/>
    <n v="80838"/>
    <m/>
    <s v="OPCO"/>
    <s v="Q1"/>
    <e v="#REF!"/>
    <e v="#REF!"/>
    <e v="#REF!"/>
  </r>
  <r>
    <s v="445712"/>
    <x v="6"/>
    <s v="TVA - C_20"/>
    <s v="VT"/>
    <n v="-84"/>
    <d v="2025-07-25T00:00:00"/>
    <s v="Facture OPCO F_TR20250725_1"/>
    <m/>
    <e v="#N/A"/>
    <e v="#N/A"/>
    <n v="80832"/>
    <m/>
    <s v="OPCO"/>
    <s v="Q3"/>
    <e v="#REF!"/>
    <e v="#REF!"/>
    <e v="#REF!"/>
  </r>
  <r>
    <s v="445712"/>
    <x v="6"/>
    <s v="TVA - C_20"/>
    <s v="VT"/>
    <n v="-73.33"/>
    <d v="2025-04-01T00:00:00"/>
    <s v="Vente GAM"/>
    <m/>
    <s v="Non"/>
    <e v="#N/A"/>
    <n v="71736"/>
    <m/>
    <s v="DIVERS"/>
    <s v="Q2"/>
    <e v="#REF!"/>
    <e v="#REF!"/>
    <e v="#REF!"/>
  </r>
  <r>
    <s v="445712"/>
    <x v="6"/>
    <s v="TVA - C_20"/>
    <s v="VT"/>
    <n v="-52"/>
    <d v="2025-11-26T00:00:00"/>
    <s v="COMMERCIAL INVOICE N° F251126_1"/>
    <m/>
    <e v="#N/A"/>
    <e v="#N/A"/>
    <n v="93904"/>
    <m/>
    <s v="TOTALENERGIES ONETECH"/>
    <s v="Q4"/>
    <e v="#REF!"/>
    <e v="#REF!"/>
    <e v="#REF!"/>
  </r>
  <r>
    <s v="445712"/>
    <x v="6"/>
    <s v="TVA - C_20"/>
    <s v="VT"/>
    <n v="-36.67"/>
    <d v="2025-05-27T00:00:00"/>
    <s v="Vente GAM"/>
    <m/>
    <s v="Non"/>
    <e v="#N/A"/>
    <n v="75550"/>
    <s v="1038"/>
    <s v="DIVERS"/>
    <s v="Q2"/>
    <e v="#REF!"/>
    <e v="#REF!"/>
    <e v="#REF!"/>
  </r>
  <r>
    <s v="445712"/>
    <x v="6"/>
    <s v="TVA - C_20"/>
    <s v="VT"/>
    <n v="-36.67"/>
    <d v="2025-06-07T00:00:00"/>
    <s v="Vente GAM"/>
    <m/>
    <s v="Non"/>
    <e v="#N/A"/>
    <n v="75911"/>
    <s v="1039"/>
    <s v="DIVERS"/>
    <s v="Q2"/>
    <e v="#REF!"/>
    <e v="#REF!"/>
    <e v="#REF!"/>
  </r>
  <r>
    <s v="445712"/>
    <x v="6"/>
    <s v="TVA - C_20"/>
    <s v="VT"/>
    <n v="-25.67"/>
    <d v="2025-07-03T00:00:00"/>
    <s v="Vente GAM"/>
    <m/>
    <s v="Non"/>
    <e v="#N/A"/>
    <n v="76990"/>
    <s v="1040"/>
    <s v="DIVERS"/>
    <s v="Q3"/>
    <e v="#REF!"/>
    <e v="#REF!"/>
    <e v="#REF!"/>
  </r>
  <r>
    <s v="445712"/>
    <x v="6"/>
    <s v="TVA - C_20"/>
    <s v="VT"/>
    <n v="408"/>
    <d v="2025-01-31T00:00:00"/>
    <s v="Facture n° F241108-1 OPCO annulée"/>
    <m/>
    <e v="#N/A"/>
    <e v="#N/A"/>
    <n v="80842"/>
    <m/>
    <s v="OPCO"/>
    <s v="Q1"/>
    <e v="#REF!"/>
    <e v="#REF!"/>
    <e v="#REF!"/>
  </r>
  <r>
    <s v="445830"/>
    <x v="6"/>
    <s v="TVA - REMBOURSEMENT DEMANDÉ"/>
    <s v="AN"/>
    <n v="314471"/>
    <d v="2025-01-01T00:00:00"/>
    <s v="Report à nouveau Exercice 2025"/>
    <m/>
    <e v="#N/A"/>
    <e v="#N/A"/>
    <n v="84789"/>
    <m/>
    <m/>
    <s v="Q1"/>
    <e v="#REF!"/>
    <e v="#REF!"/>
    <e v="#REF!"/>
  </r>
  <r>
    <s v="445830"/>
    <x v="6"/>
    <s v="TVA - REMBOURSEMENT DEMANDÉ"/>
    <s v="BPRI"/>
    <n v="-314472"/>
    <d v="2025-02-07T00:00:00"/>
    <s v="EVI SIE TOULOUSE RANGUEIL"/>
    <m/>
    <e v="#N/A"/>
    <e v="#N/A"/>
    <n v="21241"/>
    <s v="1PXR2UU"/>
    <m/>
    <s v="Q1"/>
    <e v="#REF!"/>
    <e v="#REF!"/>
    <e v="#REF!"/>
  </r>
  <r>
    <s v="445830"/>
    <x v="6"/>
    <s v="TVA - REMBOURSEMENT DEMANDÉ"/>
    <s v="BPRI"/>
    <n v="-255486"/>
    <d v="2025-08-11T00:00:00"/>
    <s v="Virement reçu TVA T1 2025"/>
    <m/>
    <e v="#N/A"/>
    <e v="#N/A"/>
    <n v="80794"/>
    <m/>
    <m/>
    <s v="Q3"/>
    <e v="#REF!"/>
    <e v="#REF!"/>
    <e v="#REF!"/>
  </r>
  <r>
    <s v="401000"/>
    <x v="6"/>
    <s v="FOURNISSEURS"/>
    <s v="BPRI"/>
    <n v="42.78"/>
    <d v="2025-11-07T00:00:00"/>
    <s v="/SQTP/RCUR/LIB/PRLV SEPA ENGIE/LIB/ENGIE/LIB/300003366729-320008164129/LIB/00PEG0418998"/>
    <m/>
    <e v="#N/A"/>
    <e v="#N/A"/>
    <n v="89527"/>
    <m/>
    <s v="ENGIE"/>
    <s v="Q4"/>
    <e v="#REF!"/>
    <e v="#REF!"/>
    <e v="#REF!"/>
  </r>
  <r>
    <s v="445830"/>
    <x v="6"/>
    <s v="TVA - REMBOURSEMENT DEMANDÉ"/>
    <s v="BPRI"/>
    <n v="-131578"/>
    <d v="2025-08-14T00:00:00"/>
    <s v="EVI SIE TOULOUSE RANGUEIL REMB. DGFiP - 811524545 - TVA Q2 2025"/>
    <m/>
    <e v="#N/A"/>
    <e v="#N/A"/>
    <n v="80825"/>
    <m/>
    <m/>
    <s v="Q3"/>
    <e v="#REF!"/>
    <e v="#REF!"/>
    <e v="#REF!"/>
  </r>
  <r>
    <s v="445830"/>
    <x v="6"/>
    <s v="TVA - REMBOURSEMENT DEMANDÉ"/>
    <s v="OD"/>
    <n v="-0.21"/>
    <d v="2025-10-21T00:00:00"/>
    <s v="Ecart de règlement"/>
    <m/>
    <e v="#N/A"/>
    <e v="#N/A"/>
    <n v="87199"/>
    <m/>
    <m/>
    <s v="Q4"/>
    <e v="#REF!"/>
    <e v="#REF!"/>
    <e v="#REF!"/>
  </r>
  <r>
    <s v="445830"/>
    <x v="6"/>
    <s v="TVA - REMBOURSEMENT DEMANDÉ"/>
    <s v="OD"/>
    <n v="1"/>
    <d v="2025-02-07T00:00:00"/>
    <s v="Ecart de règlement"/>
    <m/>
    <e v="#N/A"/>
    <e v="#N/A"/>
    <n v="66297"/>
    <m/>
    <m/>
    <s v="Q1"/>
    <e v="#REF!"/>
    <e v="#REF!"/>
    <e v="#REF!"/>
  </r>
  <r>
    <s v="445830"/>
    <x v="6"/>
    <s v="TVA - REMBOURSEMENT DEMANDÉ"/>
    <s v="TVA"/>
    <n v="130621"/>
    <d v="2025-12-31T00:00:00"/>
    <s v="Déclaration TVA Q4 2025"/>
    <m/>
    <e v="#N/A"/>
    <e v="#N/A"/>
    <n v="96048"/>
    <m/>
    <m/>
    <s v="Q4"/>
    <e v="#REF!"/>
    <e v="#REF!"/>
    <e v="#REF!"/>
  </r>
  <r>
    <s v="445830"/>
    <x v="6"/>
    <s v="TVA - REMBOURSEMENT DEMANDÉ"/>
    <s v="TVA"/>
    <n v="131578"/>
    <d v="2025-06-30T00:00:00"/>
    <s v="Déclaration TVA Q2 2025"/>
    <m/>
    <e v="#N/A"/>
    <e v="#N/A"/>
    <n v="78457"/>
    <m/>
    <m/>
    <s v="Q2"/>
    <e v="#REF!"/>
    <e v="#REF!"/>
    <e v="#REF!"/>
  </r>
  <r>
    <s v="445830"/>
    <x v="6"/>
    <s v="TVA - REMBOURSEMENT DEMANDÉ"/>
    <s v="TVA"/>
    <n v="145385.21"/>
    <d v="2025-09-30T00:00:00"/>
    <s v="Déclaration TVA Q3 2025"/>
    <m/>
    <e v="#N/A"/>
    <e v="#N/A"/>
    <n v="87196"/>
    <m/>
    <m/>
    <s v="Q3"/>
    <e v="#REF!"/>
    <e v="#REF!"/>
    <e v="#REF!"/>
  </r>
  <r>
    <s v="445830"/>
    <x v="6"/>
    <s v="TVA - REMBOURSEMENT DEMANDÉ"/>
    <s v="TVA"/>
    <n v="255486"/>
    <d v="2025-03-31T00:00:00"/>
    <s v="Déclaration TVA Q1"/>
    <m/>
    <e v="#N/A"/>
    <e v="#N/A"/>
    <n v="68481"/>
    <m/>
    <m/>
    <s v="Q1"/>
    <e v="#REF!"/>
    <e v="#REF!"/>
    <e v="#REF!"/>
  </r>
  <r>
    <s v="445840"/>
    <x v="6"/>
    <s v="TVA - À RÉGULARISER ACTIF"/>
    <s v="AC"/>
    <n v="-3000"/>
    <d v="2025-06-29T00:00:00"/>
    <s v="COMMISSARIAT AUX COMPTES AU TITRE DE L'EXERCICE CLOS LE 31 DÉCEMBRE 2024 - REPRISE FNP"/>
    <m/>
    <e v="#N/A"/>
    <e v="#N/A"/>
    <n v="77187"/>
    <s v="E002VPR-25-06-2158"/>
    <m/>
    <s v="Q2"/>
    <e v="#REF!"/>
    <e v="#REF!"/>
    <e v="#REF!"/>
  </r>
  <r>
    <s v="445840"/>
    <x v="6"/>
    <s v="TVA - À RÉGULARISER ACTIF"/>
    <s v="AC"/>
    <n v="-2400"/>
    <d v="2025-05-05T00:00:00"/>
    <s v="MISSION CIR 2024"/>
    <s v="Non"/>
    <s v="Non"/>
    <e v="#N/A"/>
    <n v="77568"/>
    <s v="F-2025-4258"/>
    <s v="BUSINOVE"/>
    <s v="Q2"/>
    <e v="#REF!"/>
    <e v="#REF!"/>
    <e v="#REF!"/>
  </r>
  <r>
    <s v="445840"/>
    <x v="6"/>
    <s v="TVA - À RÉGULARISER ACTIF"/>
    <s v="AC"/>
    <n v="-2000"/>
    <d v="2025-04-09T00:00:00"/>
    <s v="COMMISSARIAT AUX COMPTES AU TITRE DE L'EXERCICE CLOS LE 31 DÉCEMBRE 2024 - REPRISE FNP"/>
    <m/>
    <e v="#N/A"/>
    <e v="#N/A"/>
    <n v="77180"/>
    <s v="E002VPR-25-04-0564"/>
    <m/>
    <s v="Q2"/>
    <e v="#REF!"/>
    <e v="#REF!"/>
    <e v="#REF!"/>
  </r>
  <r>
    <s v="445840"/>
    <x v="6"/>
    <s v="TVA - À RÉGULARISER ACTIF"/>
    <s v="AN"/>
    <n v="9978.7000000000007"/>
    <d v="2025-01-01T00:00:00"/>
    <s v="Report à nouveau Exercice 2025"/>
    <m/>
    <e v="#N/A"/>
    <e v="#N/A"/>
    <n v="84790"/>
    <m/>
    <m/>
    <s v="Q1"/>
    <e v="#REF!"/>
    <e v="#REF!"/>
    <e v="#REF!"/>
  </r>
  <r>
    <s v="445840"/>
    <x v="6"/>
    <s v="TVA - À RÉGULARISER ACTIF"/>
    <s v="OD"/>
    <n v="-5000"/>
    <d v="2025-06-29T00:00:00"/>
    <s v="Liaison inter-établissement vers KB "/>
    <m/>
    <e v="#N/A"/>
    <e v="#N/A"/>
    <n v="77550"/>
    <m/>
    <m/>
    <s v="Q2"/>
    <e v="#REF!"/>
    <e v="#REF!"/>
    <e v="#REF!"/>
  </r>
  <r>
    <s v="445840"/>
    <x v="6"/>
    <s v="TVA - À RÉGULARISER ACTIF"/>
    <s v="OD"/>
    <n v="-2400"/>
    <d v="2025-05-05T00:00:00"/>
    <s v="Liaison inter-établissement vers KB "/>
    <m/>
    <e v="#N/A"/>
    <e v="#N/A"/>
    <n v="77575"/>
    <m/>
    <m/>
    <s v="Q2"/>
    <e v="#REF!"/>
    <e v="#REF!"/>
    <e v="#REF!"/>
  </r>
  <r>
    <s v="445840"/>
    <x v="6"/>
    <s v="TVA - À RÉGULARISER ACTIF"/>
    <s v="OD"/>
    <n v="-1594.7"/>
    <d v="2025-01-31T00:00:00"/>
    <s v="EXT - FNP de Cloture"/>
    <s v="Non"/>
    <s v="Non"/>
    <e v="#N/A"/>
    <n v="77548"/>
    <m/>
    <s v="F2P AUDIT &amp; CONSEIL"/>
    <s v="Q1"/>
    <e v="#REF!"/>
    <e v="#REF!"/>
    <e v="#REF!"/>
  </r>
  <r>
    <s v="445840"/>
    <x v="6"/>
    <s v="TVA - À RÉGULARISER ACTIF"/>
    <s v="OD"/>
    <n v="-984"/>
    <d v="2025-01-31T00:00:00"/>
    <s v="EXT - FNP de Cloture"/>
    <s v="Non"/>
    <s v="Non"/>
    <e v="#N/A"/>
    <n v="77563"/>
    <m/>
    <s v="BDO EXPERTISE"/>
    <s v="Q1"/>
    <e v="#REF!"/>
    <e v="#REF!"/>
    <e v="#REF!"/>
  </r>
  <r>
    <s v="445840"/>
    <x v="6"/>
    <s v="TVA - À RÉGULARISER ACTIF"/>
    <s v="OD"/>
    <n v="2400"/>
    <d v="2025-05-05T00:00:00"/>
    <s v="Liaison inter-établissement"/>
    <m/>
    <e v="#N/A"/>
    <e v="#N/A"/>
    <n v="77576"/>
    <m/>
    <m/>
    <s v="Q2"/>
    <e v="#REF!"/>
    <e v="#REF!"/>
    <e v="#REF!"/>
  </r>
  <r>
    <s v="445840"/>
    <x v="6"/>
    <s v="TVA - À RÉGULARISER ACTIF"/>
    <s v="OD"/>
    <n v="5000"/>
    <d v="2025-06-29T00:00:00"/>
    <s v="Liaison inter-établissement"/>
    <m/>
    <e v="#N/A"/>
    <e v="#N/A"/>
    <n v="77551"/>
    <m/>
    <m/>
    <s v="Q2"/>
    <e v="#REF!"/>
    <e v="#REF!"/>
    <e v="#REF!"/>
  </r>
  <r>
    <s v="445850"/>
    <x v="6"/>
    <s v="TVA - À RÉGULARISER PASSIF"/>
    <s v="AN"/>
    <n v="-582"/>
    <d v="2025-01-01T00:00:00"/>
    <s v="Report à nouveau Exercice 2025"/>
    <m/>
    <e v="#N/A"/>
    <e v="#N/A"/>
    <n v="84791"/>
    <m/>
    <m/>
    <s v="Q1"/>
    <e v="#REF!"/>
    <e v="#REF!"/>
    <e v="#REF!"/>
  </r>
  <r>
    <s v="445850"/>
    <x v="6"/>
    <s v="TVA - À RÉGULARISER PASSIF"/>
    <s v="JC"/>
    <n v="582"/>
    <d v="2025-01-01T00:00:00"/>
    <s v="Cadrage comptes audités 2024 - bilan"/>
    <m/>
    <e v="#N/A"/>
    <e v="#N/A"/>
    <n v="87167"/>
    <m/>
    <m/>
    <s v="Q1"/>
    <e v="#REF!"/>
    <e v="#REF!"/>
    <e v="#REF!"/>
  </r>
  <r>
    <s v="445850"/>
    <x v="6"/>
    <s v="TVA - À RÉGULARISER PASSIF"/>
    <s v="OD"/>
    <n v="-400"/>
    <d v="2025-10-31T00:00:00"/>
    <s v="Avoir WiSeed"/>
    <s v="Non"/>
    <s v="Non"/>
    <e v="#N/A"/>
    <n v="87493"/>
    <m/>
    <s v="WiSEED"/>
    <s v="Q4"/>
    <e v="#REF!"/>
    <e v="#REF!"/>
    <e v="#REF!"/>
  </r>
  <r>
    <s v="448700"/>
    <x v="6"/>
    <s v="ETAT PRODUITS A RECEVOIR"/>
    <s v="AN"/>
    <n v="3500"/>
    <d v="2025-01-01T00:00:00"/>
    <s v="Report à nouveau Exercice 2025"/>
    <m/>
    <e v="#N/A"/>
    <e v="#N/A"/>
    <n v="84871"/>
    <m/>
    <m/>
    <s v="Q1"/>
    <e v="#REF!"/>
    <e v="#REF!"/>
    <e v="#REF!"/>
  </r>
  <r>
    <s v="448700"/>
    <x v="6"/>
    <s v="ETAT PRODUITS A RECEVOIR"/>
    <s v="BPRI"/>
    <n v="-1000"/>
    <d v="2025-02-05T00:00:00"/>
    <s v="EVI DRFIP ILE DE FRANCE ET D"/>
    <m/>
    <e v="#N/A"/>
    <e v="#N/A"/>
    <n v="21217"/>
    <s v="1MMMTUB"/>
    <m/>
    <s v="Q1"/>
    <e v="#REF!"/>
    <e v="#REF!"/>
    <e v="#REF!"/>
  </r>
  <r>
    <s v="448700"/>
    <x v="6"/>
    <s v="ETAT PRODUITS A RECEVOIR"/>
    <s v="OD"/>
    <n v="-3500"/>
    <d v="2025-01-17T00:00:00"/>
    <s v="Liaison inter-établissement vers TO "/>
    <m/>
    <e v="#N/A"/>
    <e v="#N/A"/>
    <n v="87974"/>
    <m/>
    <m/>
    <s v="Q1"/>
    <e v="#REF!"/>
    <e v="#REF!"/>
    <e v="#REF!"/>
  </r>
  <r>
    <s v="448700"/>
    <x v="6"/>
    <s v="ETAT PRODUITS A RECEVOIR"/>
    <s v="OD"/>
    <n v="180"/>
    <d v="2025-12-01T00:00:00"/>
    <s v="Mainlevée de saisie administrative - LB"/>
    <m/>
    <e v="#N/A"/>
    <e v="#N/A"/>
    <n v="94227"/>
    <m/>
    <m/>
    <s v="Q4"/>
    <e v="#REF!"/>
    <e v="#REF!"/>
    <e v="#REF!"/>
  </r>
  <r>
    <s v="448700"/>
    <x v="6"/>
    <s v="ETAT PRODUITS A RECEVOIR"/>
    <s v="OD"/>
    <n v="3500"/>
    <d v="2025-01-17T00:00:00"/>
    <s v="Liaison inter-établissement"/>
    <m/>
    <e v="#N/A"/>
    <e v="#N/A"/>
    <n v="87975"/>
    <m/>
    <m/>
    <s v="Q1"/>
    <e v="#REF!"/>
    <e v="#REF!"/>
    <e v="#REF!"/>
  </r>
  <r>
    <s v="455100"/>
    <x v="6"/>
    <s v="ASSOCIÉS COMPTES COURANTS"/>
    <s v="AN"/>
    <n v="-825.57"/>
    <d v="2025-01-01T00:00:00"/>
    <s v="Report à nouveau Exercice 2025"/>
    <m/>
    <e v="#N/A"/>
    <e v="#N/A"/>
    <n v="84792"/>
    <m/>
    <m/>
    <s v="Q1"/>
    <e v="#REF!"/>
    <e v="#REF!"/>
    <e v="#REF!"/>
  </r>
  <r>
    <s v="455100"/>
    <x v="6"/>
    <s v="ASSOCIÉS COMPTES COURANTS"/>
    <s v="BPRI"/>
    <n v="2409.84"/>
    <d v="2025-09-08T00:00:00"/>
    <s v="INDIGO - MAZARS - E002VPR-25-07-1937"/>
    <m/>
    <e v="#N/A"/>
    <e v="#N/A"/>
    <n v="81739"/>
    <m/>
    <m/>
    <s v="Q3"/>
    <e v="#REF!"/>
    <e v="#REF!"/>
    <e v="#REF!"/>
  </r>
  <r>
    <s v="455100"/>
    <x v="6"/>
    <s v="ASSOCIÉS COMPTES COURANTS"/>
    <s v="OD"/>
    <n v="66.27"/>
    <d v="2025-11-24T00:00:00"/>
    <s v="INDIGO - ALTAIR - C2025803"/>
    <s v="Non"/>
    <s v="Non"/>
    <e v="#N/A"/>
    <n v="90578"/>
    <m/>
    <s v="ALTAIR AVOCATS"/>
    <s v="Q4"/>
    <e v="#REF!"/>
    <e v="#REF!"/>
    <e v="#REF!"/>
  </r>
  <r>
    <s v="455100"/>
    <x v="6"/>
    <s v="ASSOCIÉS COMPTES COURANTS"/>
    <s v="OD"/>
    <n v="245.53"/>
    <d v="2025-11-24T00:00:00"/>
    <s v="INDIGO - ALTAIR - C2025990 "/>
    <s v="Non"/>
    <s v="Non"/>
    <e v="#N/A"/>
    <n v="90576"/>
    <m/>
    <s v="ALTAIR AVOCATS"/>
    <s v="Q4"/>
    <e v="#REF!"/>
    <e v="#REF!"/>
    <e v="#REF!"/>
  </r>
  <r>
    <s v="467100"/>
    <x v="6"/>
    <s v="COMPTE PIVOT P2P"/>
    <s v="AN"/>
    <n v="0"/>
    <d v="2025-01-01T00:00:00"/>
    <s v="Report à nouveau Exercice 2025"/>
    <m/>
    <e v="#N/A"/>
    <e v="#N/A"/>
    <n v="84827"/>
    <m/>
    <m/>
    <s v="Q1"/>
    <e v="#REF!"/>
    <e v="#REF!"/>
    <e v="#REF!"/>
  </r>
  <r>
    <s v="467100"/>
    <x v="6"/>
    <s v="COMPTE PIVOT P2P"/>
    <s v="AN"/>
    <n v="0"/>
    <d v="2025-01-01T00:00:00"/>
    <s v="Report à nouveau Exercice 2025"/>
    <m/>
    <e v="#N/A"/>
    <e v="#N/A"/>
    <n v="84872"/>
    <m/>
    <m/>
    <s v="Q1"/>
    <e v="#REF!"/>
    <e v="#REF!"/>
    <e v="#REF!"/>
  </r>
  <r>
    <s v="467100"/>
    <x v="6"/>
    <s v="COMPTE PIVOT P2P"/>
    <s v="AN"/>
    <n v="0"/>
    <d v="2025-01-01T00:00:00"/>
    <s v="Report à nouveau Exercice 2025"/>
    <m/>
    <e v="#N/A"/>
    <e v="#N/A"/>
    <n v="84971"/>
    <m/>
    <m/>
    <s v="Q1"/>
    <e v="#REF!"/>
    <e v="#REF!"/>
    <e v="#REF!"/>
  </r>
  <r>
    <s v="467100"/>
    <x v="6"/>
    <s v="COMPTE PIVOT P2P"/>
    <s v="AN"/>
    <n v="17455.580000000002"/>
    <d v="2025-01-01T00:00:00"/>
    <s v="Report à nouveau Exercice 2025"/>
    <m/>
    <e v="#N/A"/>
    <e v="#N/A"/>
    <n v="84793"/>
    <m/>
    <m/>
    <s v="Q1"/>
    <e v="#REF!"/>
    <e v="#REF!"/>
    <e v="#REF!"/>
  </r>
  <r>
    <s v="467100"/>
    <x v="6"/>
    <s v="COMPTE PIVOT P2P"/>
    <s v="BPRI"/>
    <n v="10000"/>
    <d v="2025-11-17T00:00:00"/>
    <s v="APPROVISIONNEMENT COMPTE SPENDESK"/>
    <m/>
    <e v="#N/A"/>
    <e v="#N/A"/>
    <n v="90150"/>
    <m/>
    <m/>
    <s v="Q4"/>
    <e v="#REF!"/>
    <e v="#REF!"/>
    <e v="#REF!"/>
  </r>
  <r>
    <s v="467100"/>
    <x v="6"/>
    <s v="COMPTE PIVOT P2P"/>
    <s v="BPRI"/>
    <n v="20000"/>
    <d v="2025-01-20T00:00:00"/>
    <s v="EVI REMISE"/>
    <m/>
    <e v="#N/A"/>
    <e v="#N/A"/>
    <n v="21037"/>
    <s v="0GLDGJX"/>
    <m/>
    <s v="Q1"/>
    <e v="#REF!"/>
    <e v="#REF!"/>
    <e v="#REF!"/>
  </r>
  <r>
    <s v="467100"/>
    <x v="6"/>
    <s v="COMPTE PIVOT P2P"/>
    <s v="OD"/>
    <n v="-28400.58"/>
    <d v="2025-06-30T00:00:00"/>
    <s v="Solde Justifié au 30/06/2025"/>
    <m/>
    <e v="#N/A"/>
    <e v="#N/A"/>
    <n v="83367"/>
    <m/>
    <m/>
    <s v="Q2"/>
    <e v="#REF!"/>
    <e v="#REF!"/>
    <e v="#REF!"/>
  </r>
  <r>
    <s v="467100"/>
    <x v="6"/>
    <s v="COMPTE PIVOT P2P"/>
    <s v="OD"/>
    <n v="-21378.57"/>
    <d v="2025-08-31T00:00:00"/>
    <s v="Solde Justifié au 31/08/2025"/>
    <m/>
    <e v="#N/A"/>
    <e v="#N/A"/>
    <n v="83377"/>
    <m/>
    <m/>
    <s v="Q3"/>
    <e v="#REF!"/>
    <e v="#REF!"/>
    <e v="#REF!"/>
  </r>
  <r>
    <s v="467100"/>
    <x v="6"/>
    <s v="COMPTE PIVOT P2P"/>
    <s v="OD"/>
    <n v="-17224.95"/>
    <d v="2025-04-30T00:00:00"/>
    <s v="Solde Justifié"/>
    <m/>
    <e v="#N/A"/>
    <e v="#N/A"/>
    <n v="74731"/>
    <m/>
    <m/>
    <s v="Q2"/>
    <e v="#REF!"/>
    <e v="#REF!"/>
    <e v="#REF!"/>
  </r>
  <r>
    <s v="467100"/>
    <x v="6"/>
    <s v="COMPTE PIVOT P2P"/>
    <s v="OD"/>
    <n v="-16881.2"/>
    <d v="2025-11-30T00:00:00"/>
    <s v="Solde justifié au 30/11"/>
    <m/>
    <e v="#N/A"/>
    <e v="#N/A"/>
    <n v="91621"/>
    <m/>
    <m/>
    <s v="Q4"/>
    <e v="#REF!"/>
    <e v="#REF!"/>
    <e v="#REF!"/>
  </r>
  <r>
    <s v="467100"/>
    <x v="6"/>
    <s v="COMPTE PIVOT P2P"/>
    <s v="OD"/>
    <n v="-13119.41"/>
    <d v="2025-12-31T00:00:00"/>
    <s v="Spendesk - solde justifié au 31/12/2025"/>
    <m/>
    <e v="#N/A"/>
    <e v="#N/A"/>
    <n v="94155"/>
    <m/>
    <m/>
    <s v="Q4"/>
    <e v="#REF!"/>
    <e v="#REF!"/>
    <e v="#REF!"/>
  </r>
  <r>
    <s v="467100"/>
    <x v="6"/>
    <s v="COMPTE PIVOT P2P"/>
    <s v="OD"/>
    <n v="-11152.5"/>
    <d v="2025-09-30T00:00:00"/>
    <s v="Solde Justifié au 30/09/2025"/>
    <m/>
    <e v="#N/A"/>
    <e v="#N/A"/>
    <n v="83379"/>
    <m/>
    <m/>
    <s v="Q3"/>
    <e v="#REF!"/>
    <e v="#REF!"/>
    <e v="#REF!"/>
  </r>
  <r>
    <s v="467100"/>
    <x v="6"/>
    <s v="COMPTE PIVOT P2P"/>
    <s v="OD"/>
    <n v="-2851.46"/>
    <d v="2025-03-31T00:00:00"/>
    <s v="Lettrage Pivot Spendesk Devise"/>
    <m/>
    <e v="#N/A"/>
    <e v="#N/A"/>
    <n v="71886"/>
    <m/>
    <m/>
    <s v="Q1"/>
    <e v="#REF!"/>
    <e v="#REF!"/>
    <e v="#REF!"/>
  </r>
  <r>
    <s v="467100"/>
    <x v="6"/>
    <s v="COMPTE PIVOT P2P"/>
    <s v="OD"/>
    <n v="-174.99"/>
    <d v="2025-06-30T00:00:00"/>
    <s v="Lettrage USD"/>
    <m/>
    <e v="#N/A"/>
    <e v="#N/A"/>
    <n v="83359"/>
    <m/>
    <m/>
    <s v="Q2"/>
    <e v="#REF!"/>
    <e v="#REF!"/>
    <e v="#REF!"/>
  </r>
  <r>
    <s v="467100"/>
    <x v="6"/>
    <s v="COMPTE PIVOT P2P"/>
    <s v="OD"/>
    <n v="-5.26"/>
    <d v="2025-06-30T00:00:00"/>
    <s v="Lettrage USD"/>
    <m/>
    <e v="#N/A"/>
    <e v="#N/A"/>
    <n v="83365"/>
    <m/>
    <m/>
    <s v="Q2"/>
    <e v="#REF!"/>
    <e v="#REF!"/>
    <e v="#REF!"/>
  </r>
  <r>
    <s v="467100"/>
    <x v="6"/>
    <s v="COMPTE PIVOT P2P"/>
    <s v="OD"/>
    <n v="-1.74"/>
    <d v="2025-11-02T00:00:00"/>
    <s v="Lettrage EUR"/>
    <m/>
    <e v="#N/A"/>
    <e v="#N/A"/>
    <n v="91616"/>
    <m/>
    <m/>
    <s v="Q4"/>
    <e v="#REF!"/>
    <e v="#REF!"/>
    <e v="#REF!"/>
  </r>
  <r>
    <s v="467100"/>
    <x v="6"/>
    <s v="COMPTE PIVOT P2P"/>
    <s v="OD"/>
    <n v="-1"/>
    <d v="2025-02-28T00:00:00"/>
    <s v="Frais Spendesk"/>
    <m/>
    <e v="#N/A"/>
    <e v="#N/A"/>
    <n v="71454"/>
    <m/>
    <m/>
    <s v="Q1"/>
    <e v="#REF!"/>
    <e v="#REF!"/>
    <e v="#REF!"/>
  </r>
  <r>
    <s v="467100"/>
    <x v="6"/>
    <s v="COMPTE PIVOT P2P"/>
    <s v="OD"/>
    <n v="-0.96"/>
    <d v="2025-04-30T00:00:00"/>
    <s v="Solde Justifié"/>
    <m/>
    <e v="#N/A"/>
    <e v="#N/A"/>
    <n v="74729"/>
    <m/>
    <m/>
    <s v="Q2"/>
    <e v="#REF!"/>
    <e v="#REF!"/>
    <e v="#REF!"/>
  </r>
  <r>
    <s v="467100"/>
    <x v="6"/>
    <s v="COMPTE PIVOT P2P"/>
    <s v="OD"/>
    <n v="-0.89"/>
    <d v="2025-12-31T00:00:00"/>
    <s v="Lettrage devise - EUR"/>
    <m/>
    <e v="#N/A"/>
    <e v="#N/A"/>
    <n v="94159"/>
    <m/>
    <m/>
    <s v="Q4"/>
    <e v="#REF!"/>
    <e v="#REF!"/>
    <e v="#REF!"/>
  </r>
  <r>
    <s v="467100"/>
    <x v="6"/>
    <s v="COMPTE PIVOT P2P"/>
    <s v="OD"/>
    <n v="-0.88"/>
    <d v="2025-06-30T00:00:00"/>
    <s v="Lettrage USD"/>
    <m/>
    <e v="#N/A"/>
    <e v="#N/A"/>
    <n v="83363"/>
    <m/>
    <m/>
    <s v="Q2"/>
    <e v="#REF!"/>
    <e v="#REF!"/>
    <e v="#REF!"/>
  </r>
  <r>
    <s v="467100"/>
    <x v="6"/>
    <s v="COMPTE PIVOT P2P"/>
    <s v="OD"/>
    <n v="-0.88"/>
    <d v="2025-08-31T00:00:00"/>
    <s v="Lettrage Devise"/>
    <m/>
    <e v="#N/A"/>
    <e v="#N/A"/>
    <n v="83375"/>
    <m/>
    <m/>
    <s v="Q3"/>
    <e v="#REF!"/>
    <e v="#REF!"/>
    <e v="#REF!"/>
  </r>
  <r>
    <s v="467100"/>
    <x v="6"/>
    <s v="COMPTE PIVOT P2P"/>
    <s v="OD"/>
    <n v="-0.05"/>
    <d v="2025-10-02T00:00:00"/>
    <s v="Ecart de change"/>
    <m/>
    <e v="#N/A"/>
    <e v="#N/A"/>
    <n v="87715"/>
    <m/>
    <m/>
    <s v="Q4"/>
    <e v="#REF!"/>
    <e v="#REF!"/>
    <e v="#REF!"/>
  </r>
  <r>
    <s v="467100"/>
    <x v="6"/>
    <s v="COMPTE PIVOT P2P"/>
    <s v="OD"/>
    <n v="-0.05"/>
    <d v="2025-11-02T00:00:00"/>
    <s v="Lettrage EUR"/>
    <m/>
    <e v="#N/A"/>
    <e v="#N/A"/>
    <n v="91618"/>
    <m/>
    <m/>
    <s v="Q4"/>
    <e v="#REF!"/>
    <e v="#REF!"/>
    <e v="#REF!"/>
  </r>
  <r>
    <s v="467100"/>
    <x v="6"/>
    <s v="COMPTE PIVOT P2P"/>
    <s v="OD"/>
    <n v="-0.03"/>
    <d v="2025-08-18T00:00:00"/>
    <s v="Ecart de règlement"/>
    <m/>
    <e v="#N/A"/>
    <e v="#N/A"/>
    <n v="81102"/>
    <m/>
    <m/>
    <s v="Q3"/>
    <e v="#REF!"/>
    <e v="#REF!"/>
    <e v="#REF!"/>
  </r>
  <r>
    <s v="467100"/>
    <x v="6"/>
    <s v="COMPTE PIVOT P2P"/>
    <s v="OD"/>
    <n v="0.86"/>
    <d v="2025-12-31T00:00:00"/>
    <s v="Lettrage devise - USD"/>
    <m/>
    <e v="#N/A"/>
    <e v="#N/A"/>
    <n v="94157"/>
    <m/>
    <m/>
    <s v="Q4"/>
    <e v="#REF!"/>
    <e v="#REF!"/>
    <e v="#REF!"/>
  </r>
  <r>
    <s v="467100"/>
    <x v="6"/>
    <s v="COMPTE PIVOT P2P"/>
    <s v="OD"/>
    <n v="0.88"/>
    <d v="2025-06-30T00:00:00"/>
    <s v="Lettrage USD"/>
    <m/>
    <e v="#N/A"/>
    <e v="#N/A"/>
    <n v="83361"/>
    <m/>
    <m/>
    <s v="Q2"/>
    <e v="#REF!"/>
    <e v="#REF!"/>
    <e v="#REF!"/>
  </r>
  <r>
    <s v="467100"/>
    <x v="6"/>
    <s v="COMPTE PIVOT P2P"/>
    <s v="OD"/>
    <n v="0.88"/>
    <d v="2025-08-31T00:00:00"/>
    <s v="Lettrage Devise"/>
    <m/>
    <e v="#N/A"/>
    <e v="#N/A"/>
    <n v="83371"/>
    <m/>
    <m/>
    <s v="Q3"/>
    <e v="#REF!"/>
    <e v="#REF!"/>
    <e v="#REF!"/>
  </r>
  <r>
    <s v="467100"/>
    <x v="6"/>
    <s v="COMPTE PIVOT P2P"/>
    <s v="OD"/>
    <n v="0.96"/>
    <d v="2025-04-30T00:00:00"/>
    <s v="Lettrage devise 467100"/>
    <m/>
    <e v="#N/A"/>
    <e v="#N/A"/>
    <n v="74734"/>
    <m/>
    <m/>
    <s v="Q2"/>
    <e v="#REF!"/>
    <e v="#REF!"/>
    <e v="#REF!"/>
  </r>
  <r>
    <s v="467100"/>
    <x v="6"/>
    <s v="COMPTE PIVOT P2P"/>
    <s v="OD"/>
    <n v="0.97"/>
    <d v="2025-02-28T00:00:00"/>
    <s v="Lettrage US"/>
    <m/>
    <e v="#N/A"/>
    <e v="#N/A"/>
    <n v="71456"/>
    <m/>
    <m/>
    <s v="Q1"/>
    <e v="#REF!"/>
    <e v="#REF!"/>
    <e v="#REF!"/>
  </r>
  <r>
    <s v="467100"/>
    <x v="6"/>
    <s v="COMPTE PIVOT P2P"/>
    <s v="OD"/>
    <n v="1.74"/>
    <d v="2025-11-02T00:00:00"/>
    <s v="Lettrage USD"/>
    <m/>
    <e v="#N/A"/>
    <e v="#N/A"/>
    <n v="91615"/>
    <m/>
    <m/>
    <s v="Q4"/>
    <e v="#REF!"/>
    <e v="#REF!"/>
    <e v="#REF!"/>
  </r>
  <r>
    <s v="467100"/>
    <x v="6"/>
    <s v="COMPTE PIVOT P2P"/>
    <s v="OD"/>
    <n v="81.23"/>
    <d v="2025-03-31T00:00:00"/>
    <s v="Lettrage Pivot Spendesk Devise"/>
    <m/>
    <e v="#N/A"/>
    <e v="#N/A"/>
    <n v="71892"/>
    <m/>
    <m/>
    <s v="Q1"/>
    <e v="#REF!"/>
    <e v="#REF!"/>
    <e v="#REF!"/>
  </r>
  <r>
    <s v="467100"/>
    <x v="6"/>
    <s v="COMPTE PIVOT P2P"/>
    <s v="OD"/>
    <n v="174.99"/>
    <d v="2025-06-30T00:00:00"/>
    <s v="Lettrage USD"/>
    <m/>
    <e v="#N/A"/>
    <e v="#N/A"/>
    <n v="83357"/>
    <m/>
    <m/>
    <s v="Q2"/>
    <e v="#REF!"/>
    <e v="#REF!"/>
    <e v="#REF!"/>
  </r>
  <r>
    <s v="467100"/>
    <x v="6"/>
    <s v="COMPTE PIVOT P2P"/>
    <s v="OD"/>
    <n v="380.53"/>
    <d v="2025-03-31T00:00:00"/>
    <s v="Lettrage Pivot Spendesk Devise"/>
    <m/>
    <e v="#N/A"/>
    <e v="#N/A"/>
    <n v="71888"/>
    <m/>
    <m/>
    <s v="Q1"/>
    <e v="#REF!"/>
    <e v="#REF!"/>
    <e v="#REF!"/>
  </r>
  <r>
    <s v="467100"/>
    <x v="6"/>
    <s v="COMPTE PIVOT P2P"/>
    <s v="OD"/>
    <n v="2389.6999999999998"/>
    <d v="2025-03-31T00:00:00"/>
    <s v="Lettrage Pivot Spendesk Devise"/>
    <m/>
    <e v="#N/A"/>
    <e v="#N/A"/>
    <n v="71890"/>
    <m/>
    <m/>
    <s v="Q1"/>
    <e v="#REF!"/>
    <e v="#REF!"/>
    <e v="#REF!"/>
  </r>
  <r>
    <s v="467100"/>
    <x v="6"/>
    <s v="COMPTE PIVOT P2P"/>
    <s v="OD"/>
    <n v="10000"/>
    <d v="2025-10-20T00:00:00"/>
    <s v="Approvisionnement compte Spendesk"/>
    <m/>
    <e v="#N/A"/>
    <e v="#N/A"/>
    <n v="87337"/>
    <m/>
    <s v="SPENDESK"/>
    <s v="Q4"/>
    <e v="#REF!"/>
    <e v="#REF!"/>
    <e v="#REF!"/>
  </r>
  <r>
    <s v="467100"/>
    <x v="6"/>
    <s v="COMPTE PIVOT P2P"/>
    <s v="OD"/>
    <n v="11152.5"/>
    <d v="2025-09-30T00:00:00"/>
    <s v="Solde Justifié au 30/09/2025"/>
    <m/>
    <e v="#N/A"/>
    <e v="#N/A"/>
    <n v="83380"/>
    <m/>
    <m/>
    <s v="Q3"/>
    <e v="#REF!"/>
    <e v="#REF!"/>
    <e v="#REF!"/>
  </r>
  <r>
    <s v="467100"/>
    <x v="6"/>
    <s v="COMPTE PIVOT P2P"/>
    <s v="OD"/>
    <n v="13119.41"/>
    <d v="2025-12-31T00:00:00"/>
    <s v="Spendesk - solde justifié au 31/12/2025"/>
    <m/>
    <e v="#N/A"/>
    <e v="#N/A"/>
    <n v="94154"/>
    <m/>
    <m/>
    <s v="Q4"/>
    <e v="#REF!"/>
    <e v="#REF!"/>
    <e v="#REF!"/>
  </r>
  <r>
    <s v="467100"/>
    <x v="6"/>
    <s v="COMPTE PIVOT P2P"/>
    <s v="OD"/>
    <n v="16881.2"/>
    <d v="2025-11-30T00:00:00"/>
    <s v="Solde justifié au 30/11"/>
    <m/>
    <e v="#N/A"/>
    <e v="#N/A"/>
    <n v="91620"/>
    <m/>
    <m/>
    <s v="Q4"/>
    <e v="#REF!"/>
    <e v="#REF!"/>
    <e v="#REF!"/>
  </r>
  <r>
    <s v="467100"/>
    <x v="6"/>
    <s v="COMPTE PIVOT P2P"/>
    <s v="OD"/>
    <n v="17224.95"/>
    <d v="2025-04-30T00:00:00"/>
    <s v="Solde Justifié"/>
    <m/>
    <e v="#N/A"/>
    <e v="#N/A"/>
    <n v="74732"/>
    <m/>
    <m/>
    <s v="Q2"/>
    <e v="#REF!"/>
    <e v="#REF!"/>
    <e v="#REF!"/>
  </r>
  <r>
    <s v="467100"/>
    <x v="6"/>
    <s v="COMPTE PIVOT P2P"/>
    <s v="OD"/>
    <n v="21378.57"/>
    <d v="2025-08-31T00:00:00"/>
    <s v="Solde Justifié au 31/08/2025"/>
    <m/>
    <e v="#N/A"/>
    <e v="#N/A"/>
    <n v="83378"/>
    <m/>
    <m/>
    <s v="Q3"/>
    <e v="#REF!"/>
    <e v="#REF!"/>
    <e v="#REF!"/>
  </r>
  <r>
    <s v="467100"/>
    <x v="6"/>
    <s v="COMPTE PIVOT P2P"/>
    <s v="OD"/>
    <n v="28400.58"/>
    <d v="2025-06-30T00:00:00"/>
    <s v="Solde Justifié au 30/06/2025"/>
    <m/>
    <e v="#N/A"/>
    <e v="#N/A"/>
    <n v="83368"/>
    <m/>
    <m/>
    <s v="Q2"/>
    <e v="#REF!"/>
    <e v="#REF!"/>
    <e v="#REF!"/>
  </r>
  <r>
    <s v="467100"/>
    <x v="6"/>
    <s v="COMPTE PIVOT P2P"/>
    <s v="SP"/>
    <n v="-30353.86"/>
    <d v="2025-01-31T00:00:00"/>
    <s v="Solde Justifié fin de mois"/>
    <m/>
    <e v="#N/A"/>
    <e v="#N/A"/>
    <n v="61599"/>
    <m/>
    <m/>
    <s v="Q1"/>
    <e v="#REF!"/>
    <e v="#REF!"/>
    <e v="#REF!"/>
  </r>
  <r>
    <s v="467100"/>
    <x v="6"/>
    <s v="COMPTE PIVOT P2P"/>
    <s v="SP"/>
    <n v="-30353.86"/>
    <d v="2025-01-31T00:00:00"/>
    <s v="Solde justifié fin de mois"/>
    <m/>
    <e v="#N/A"/>
    <e v="#N/A"/>
    <n v="60033"/>
    <m/>
    <m/>
    <s v="Q1"/>
    <e v="#REF!"/>
    <e v="#REF!"/>
    <e v="#REF!"/>
  </r>
  <r>
    <s v="467100"/>
    <x v="6"/>
    <s v="COMPTE PIVOT P2P"/>
    <s v="SP"/>
    <n v="-25291.279999999999"/>
    <d v="2025-03-31T00:00:00"/>
    <s v="Solde Justifié"/>
    <m/>
    <e v="#N/A"/>
    <e v="#N/A"/>
    <n v="71748"/>
    <m/>
    <m/>
    <s v="Q1"/>
    <e v="#REF!"/>
    <e v="#REF!"/>
    <e v="#REF!"/>
  </r>
  <r>
    <s v="467100"/>
    <x v="6"/>
    <s v="COMPTE PIVOT P2P"/>
    <s v="SP"/>
    <n v="-24454.05"/>
    <d v="2025-07-31T00:00:00"/>
    <s v="Solde au 31/07/2025"/>
    <m/>
    <e v="#N/A"/>
    <e v="#N/A"/>
    <n v="81106"/>
    <m/>
    <m/>
    <s v="Q3"/>
    <e v="#REF!"/>
    <e v="#REF!"/>
    <e v="#REF!"/>
  </r>
  <r>
    <s v="467100"/>
    <x v="6"/>
    <s v="COMPTE PIVOT P2P"/>
    <s v="SP"/>
    <n v="-20105.310000000001"/>
    <d v="2025-02-28T00:00:00"/>
    <s v="Solde justifié"/>
    <m/>
    <e v="#N/A"/>
    <e v="#N/A"/>
    <n v="64238"/>
    <m/>
    <m/>
    <s v="Q1"/>
    <e v="#REF!"/>
    <e v="#REF!"/>
    <e v="#REF!"/>
  </r>
  <r>
    <s v="467100"/>
    <x v="6"/>
    <s v="COMPTE PIVOT P2P"/>
    <s v="SP"/>
    <n v="-14105.76"/>
    <d v="2025-10-31T00:00:00"/>
    <s v="Solde Justifié au 31/10/2025"/>
    <m/>
    <e v="#N/A"/>
    <e v="#N/A"/>
    <n v="87718"/>
    <m/>
    <m/>
    <s v="Q4"/>
    <e v="#REF!"/>
    <e v="#REF!"/>
    <e v="#REF!"/>
  </r>
  <r>
    <s v="467100"/>
    <x v="6"/>
    <s v="COMPTE PIVOT P2P"/>
    <s v="SP"/>
    <n v="-13694.23"/>
    <d v="2025-05-31T00:00:00"/>
    <s v="Solde Justifié"/>
    <m/>
    <e v="#N/A"/>
    <e v="#N/A"/>
    <n v="75029"/>
    <m/>
    <m/>
    <s v="Q2"/>
    <e v="#REF!"/>
    <e v="#REF!"/>
    <e v="#REF!"/>
  </r>
  <r>
    <s v="467100"/>
    <x v="6"/>
    <s v="COMPTE PIVOT P2P"/>
    <s v="SP"/>
    <n v="-2657.84"/>
    <d v="2025-02-15T00:00:00"/>
    <s v="RÈGLEMENT PAR CARTE SPENDESK"/>
    <m/>
    <s v="Non"/>
    <e v="#N/A"/>
    <n v="64213"/>
    <s v="e76492ed-9c30-551b-9da8-b886fcab2325"/>
    <s v="DIVERS"/>
    <s v="Q1"/>
    <e v="#REF!"/>
    <e v="#REF!"/>
    <e v="#REF!"/>
  </r>
  <r>
    <s v="467100"/>
    <x v="6"/>
    <s v="COMPTE PIVOT P2P"/>
    <s v="SP"/>
    <n v="-2214"/>
    <d v="2025-03-14T00:00:00"/>
    <s v="RÈGLEMENT PAR CARTE SPENDESK"/>
    <m/>
    <e v="#N/A"/>
    <e v="#N/A"/>
    <n v="66235"/>
    <s v="d7b5f5de-544c-53dd-a4cf-66c916d64233"/>
    <s v="ARCANE INDUSTRIE"/>
    <s v="Q1"/>
    <e v="#REF!"/>
    <e v="#REF!"/>
    <e v="#REF!"/>
  </r>
  <r>
    <s v="467100"/>
    <x v="6"/>
    <s v="COMPTE PIVOT P2P"/>
    <s v="SP"/>
    <n v="-1619.08"/>
    <d v="2025-03-21T00:00:00"/>
    <s v="RÈGLEMENT PAR CARTE SPENDESK"/>
    <m/>
    <e v="#N/A"/>
    <e v="#N/A"/>
    <n v="66257"/>
    <s v="AFFR0025307613"/>
    <s v="AIR FRANCE"/>
    <s v="Q1"/>
    <e v="#REF!"/>
    <e v="#REF!"/>
    <e v="#REF!"/>
  </r>
  <r>
    <s v="467100"/>
    <x v="6"/>
    <s v="COMPTE PIVOT P2P"/>
    <s v="SP"/>
    <n v="-1582.5"/>
    <d v="2025-06-15T00:00:00"/>
    <s v="RÈGLEMENT PAR CARTE SPENDESK"/>
    <m/>
    <e v="#N/A"/>
    <e v="#N/A"/>
    <n v="78094"/>
    <s v="31d3e048-479d-5b5e-bb30-b8858b9ad27c"/>
    <s v="GREENDELTA"/>
    <s v="Q2"/>
    <e v="#REF!"/>
    <e v="#REF!"/>
    <e v="#REF!"/>
  </r>
  <r>
    <s v="467100"/>
    <x v="6"/>
    <s v="COMPTE PIVOT P2P"/>
    <s v="SP"/>
    <n v="-1579.77"/>
    <d v="2025-04-11T00:00:00"/>
    <s v="RÈGLEMENT PAR CARTE SPENDESK"/>
    <m/>
    <e v="#N/A"/>
    <e v="#N/A"/>
    <n v="74690"/>
    <s v="44c03823-2083-5539-958d-9a5d9a6d5e93"/>
    <s v="AIR FRANCE"/>
    <s v="Q2"/>
    <e v="#REF!"/>
    <e v="#REF!"/>
    <e v="#REF!"/>
  </r>
  <r>
    <s v="467100"/>
    <x v="6"/>
    <s v="COMPTE PIVOT P2P"/>
    <s v="SP"/>
    <n v="-1548.62"/>
    <d v="2025-03-21T00:00:00"/>
    <s v="RÈGLEMENT PAR CARTE SPENDESK"/>
    <m/>
    <e v="#N/A"/>
    <e v="#N/A"/>
    <n v="66261"/>
    <s v="cc418b0c-3f0e-5f11-b09a-7f7e48ec8a39"/>
    <s v="AIR FRANCE"/>
    <s v="Q1"/>
    <e v="#REF!"/>
    <e v="#REF!"/>
    <e v="#REF!"/>
  </r>
  <r>
    <s v="467100"/>
    <x v="6"/>
    <s v="COMPTE PIVOT P2P"/>
    <s v="SP"/>
    <n v="-1356.48"/>
    <d v="2025-02-15T00:00:00"/>
    <s v="RÈGLEMENT PAR CARTE SPENDESK"/>
    <m/>
    <e v="#N/A"/>
    <e v="#N/A"/>
    <n v="64215"/>
    <s v="6c1c9d17-289b-501c-9e7d-a93fbfd95754"/>
    <s v="MANUTAN"/>
    <s v="Q1"/>
    <e v="#REF!"/>
    <e v="#REF!"/>
    <e v="#REF!"/>
  </r>
  <r>
    <s v="467100"/>
    <x v="6"/>
    <s v="COMPTE PIVOT P2P"/>
    <s v="SP"/>
    <n v="-1265.82"/>
    <d v="2025-03-13T00:00:00"/>
    <s v="RÈGLEMENT PAR CARTE SPENDESK"/>
    <m/>
    <s v="Non"/>
    <e v="#N/A"/>
    <n v="66231"/>
    <s v="7d20bb5a-73e2-5a4b-9003-3363381ee9e4"/>
    <s v="DIVERS"/>
    <s v="Q1"/>
    <e v="#REF!"/>
    <e v="#REF!"/>
    <e v="#REF!"/>
  </r>
  <r>
    <s v="467100"/>
    <x v="6"/>
    <s v="COMPTE PIVOT P2P"/>
    <s v="SP"/>
    <n v="-1243.02"/>
    <d v="2025-03-03T00:00:00"/>
    <s v="RÈGLEMENT PAR CARTE SPENDESK"/>
    <m/>
    <e v="#N/A"/>
    <e v="#N/A"/>
    <n v="66199"/>
    <s v="5c270067-8ad9-510b-a712-9318a205f219"/>
    <s v="AIR FRANCE"/>
    <s v="Q1"/>
    <e v="#REF!"/>
    <e v="#REF!"/>
    <e v="#REF!"/>
  </r>
  <r>
    <s v="467100"/>
    <x v="6"/>
    <s v="COMPTE PIVOT P2P"/>
    <s v="SP"/>
    <n v="-1044"/>
    <d v="2025-07-31T00:00:00"/>
    <s v="RÈGLEMENT PAR CARTE SPENDESK"/>
    <m/>
    <e v="#N/A"/>
    <e v="#N/A"/>
    <n v="80959"/>
    <s v="daf806d3-6415-5a68-96a1-87e3214357eb"/>
    <s v="SNCF"/>
    <s v="Q3"/>
    <e v="#REF!"/>
    <e v="#REF!"/>
    <e v="#REF!"/>
  </r>
  <r>
    <s v="467100"/>
    <x v="6"/>
    <s v="COMPTE PIVOT P2P"/>
    <s v="SP"/>
    <n v="-908.56"/>
    <d v="2025-09-26T00:00:00"/>
    <s v="RÈGLEMENT PAR CARTE SPENDESK"/>
    <m/>
    <e v="#N/A"/>
    <e v="#N/A"/>
    <n v="83128"/>
    <s v="1b2732dc-3abb-5b5a-a75e-b7c86eaef540"/>
    <s v="AIRLINES"/>
    <s v="Q3"/>
    <e v="#REF!"/>
    <e v="#REF!"/>
    <e v="#REF!"/>
  </r>
  <r>
    <s v="467100"/>
    <x v="6"/>
    <s v="COMPTE PIVOT P2P"/>
    <s v="SP"/>
    <n v="-859.07"/>
    <d v="2025-08-01T00:00:00"/>
    <s v="RÈGLEMENT PAR CARTE SPENDESK"/>
    <m/>
    <e v="#N/A"/>
    <e v="#N/A"/>
    <n v="83190"/>
    <s v="d41f740d-88da-5319-bc7c-98be296614df"/>
    <s v="MAXOUTILS"/>
    <s v="Q3"/>
    <e v="#REF!"/>
    <e v="#REF!"/>
    <e v="#REF!"/>
  </r>
  <r>
    <s v="467100"/>
    <x v="6"/>
    <s v="COMPTE PIVOT P2P"/>
    <s v="SP"/>
    <n v="-800.84"/>
    <d v="2025-01-25T00:00:00"/>
    <s v="RÈGLEMENT PAR CARTE SPENDESK"/>
    <m/>
    <e v="#N/A"/>
    <e v="#N/A"/>
    <n v="60018"/>
    <s v="61"/>
    <s v="AIR FRANCE"/>
    <s v="Q1"/>
    <e v="#REF!"/>
    <e v="#REF!"/>
    <e v="#REF!"/>
  </r>
  <r>
    <s v="467100"/>
    <x v="6"/>
    <s v="COMPTE PIVOT P2P"/>
    <s v="SP"/>
    <n v="-800.84"/>
    <d v="2025-01-25T00:00:00"/>
    <s v="RÈGLEMENT PAR CARTE SPENDESK"/>
    <m/>
    <e v="#N/A"/>
    <e v="#N/A"/>
    <n v="60020"/>
    <s v="62"/>
    <s v="AIR FRANCE"/>
    <s v="Q1"/>
    <e v="#REF!"/>
    <e v="#REF!"/>
    <e v="#REF!"/>
  </r>
  <r>
    <s v="467100"/>
    <x v="6"/>
    <s v="COMPTE PIVOT P2P"/>
    <s v="SP"/>
    <n v="-778.8"/>
    <d v="2025-01-02T00:00:00"/>
    <s v="RÈGLEMENT PAR CARTE SPENDESK"/>
    <m/>
    <e v="#N/A"/>
    <e v="#N/A"/>
    <n v="59962"/>
    <s v="e3fd495e-866a-5565-a78b-c18bec862be3"/>
    <s v="SPENDESK"/>
    <s v="Q1"/>
    <e v="#REF!"/>
    <e v="#REF!"/>
    <e v="#REF!"/>
  </r>
  <r>
    <s v="467100"/>
    <x v="6"/>
    <s v="COMPTE PIVOT P2P"/>
    <s v="SP"/>
    <n v="-778.8"/>
    <d v="2025-02-04T00:00:00"/>
    <s v="RÈGLEMENT PAR CARTE SPENDESK"/>
    <m/>
    <e v="#N/A"/>
    <e v="#N/A"/>
    <n v="64167"/>
    <s v="e95a43e0-12fe-5752-8cc7-5ee7f868efc6"/>
    <s v="SPENDESK"/>
    <s v="Q1"/>
    <e v="#REF!"/>
    <e v="#REF!"/>
    <e v="#REF!"/>
  </r>
  <r>
    <s v="467100"/>
    <x v="6"/>
    <s v="COMPTE PIVOT P2P"/>
    <s v="SP"/>
    <n v="-778.8"/>
    <d v="2025-03-04T00:00:00"/>
    <s v="RÈGLEMENT PAR CARTE SPENDESK"/>
    <m/>
    <e v="#N/A"/>
    <e v="#N/A"/>
    <n v="66205"/>
    <s v="4062108d-1f83-5fc3-ac9e-0c1fcf9e8f02"/>
    <s v="SPENDESK"/>
    <s v="Q1"/>
    <e v="#REF!"/>
    <e v="#REF!"/>
    <e v="#REF!"/>
  </r>
  <r>
    <s v="467100"/>
    <x v="6"/>
    <s v="COMPTE PIVOT P2P"/>
    <s v="SP"/>
    <n v="-778.8"/>
    <d v="2025-04-02T00:00:00"/>
    <s v="RÈGLEMENT PAR CARTE SPENDESK"/>
    <m/>
    <e v="#N/A"/>
    <e v="#N/A"/>
    <n v="74652"/>
    <s v="30b7ef54-b190-512c-82a9-28e87982c722"/>
    <s v="SPENDESK"/>
    <s v="Q2"/>
    <e v="#REF!"/>
    <e v="#REF!"/>
    <e v="#REF!"/>
  </r>
  <r>
    <s v="467100"/>
    <x v="6"/>
    <s v="COMPTE PIVOT P2P"/>
    <s v="SP"/>
    <n v="-778.8"/>
    <d v="2025-05-02T00:00:00"/>
    <s v="RÈGLEMENT PAR CARTE SPENDESK"/>
    <m/>
    <e v="#N/A"/>
    <e v="#N/A"/>
    <n v="75032"/>
    <s v="f151f2c7-ea86-56de-84b4-1487261b1cdf"/>
    <s v="SPENDESK"/>
    <s v="Q2"/>
    <e v="#REF!"/>
    <e v="#REF!"/>
    <e v="#REF!"/>
  </r>
  <r>
    <s v="467100"/>
    <x v="6"/>
    <s v="COMPTE PIVOT P2P"/>
    <s v="SP"/>
    <n v="-778.8"/>
    <d v="2025-06-05T00:00:00"/>
    <s v="RÈGLEMENT PAR CARTE SPENDESK"/>
    <m/>
    <e v="#N/A"/>
    <e v="#N/A"/>
    <n v="78076"/>
    <s v="49bdd097-18ee-53fc-88f7-b034b7061d4a"/>
    <s v="SPENDESK"/>
    <s v="Q2"/>
    <e v="#REF!"/>
    <e v="#REF!"/>
    <e v="#REF!"/>
  </r>
  <r>
    <s v="467100"/>
    <x v="6"/>
    <s v="COMPTE PIVOT P2P"/>
    <s v="SP"/>
    <n v="-778.8"/>
    <d v="2025-07-02T00:00:00"/>
    <s v="RÈGLEMENT PAR CARTE SPENDESK"/>
    <m/>
    <e v="#N/A"/>
    <e v="#N/A"/>
    <n v="80909"/>
    <s v="e1a95bc7-ab80-5b8f-a004-4ad6760b133f"/>
    <s v="SPENDESK"/>
    <s v="Q3"/>
    <e v="#REF!"/>
    <e v="#REF!"/>
    <e v="#REF!"/>
  </r>
  <r>
    <s v="467100"/>
    <x v="6"/>
    <s v="COMPTE PIVOT P2P"/>
    <s v="SP"/>
    <n v="-778.8"/>
    <d v="2025-08-05T00:00:00"/>
    <s v="RÈGLEMENT PAR CARTE SPENDESK"/>
    <m/>
    <e v="#N/A"/>
    <e v="#N/A"/>
    <n v="83204"/>
    <s v="86423e38-1363-5c52-9a72-96732e54dd12"/>
    <s v="SPENDESK"/>
    <s v="Q3"/>
    <e v="#REF!"/>
    <e v="#REF!"/>
    <e v="#REF!"/>
  </r>
  <r>
    <s v="467100"/>
    <x v="6"/>
    <s v="COMPTE PIVOT P2P"/>
    <s v="SP"/>
    <n v="-778.8"/>
    <d v="2025-09-02T00:00:00"/>
    <s v="RÈGLEMENT PAR CARTE SPENDESK"/>
    <m/>
    <e v="#N/A"/>
    <e v="#N/A"/>
    <n v="83046"/>
    <s v="d95d79d7-02da-5b89-9001-c7179a318a4e"/>
    <s v="SPENDESK"/>
    <s v="Q3"/>
    <e v="#REF!"/>
    <e v="#REF!"/>
    <e v="#REF!"/>
  </r>
  <r>
    <s v="467100"/>
    <x v="6"/>
    <s v="COMPTE PIVOT P2P"/>
    <s v="SP"/>
    <n v="-778.8"/>
    <d v="2025-10-02T00:00:00"/>
    <s v="RÈGLEMENT PAR CARTE SPENDESK"/>
    <m/>
    <e v="#N/A"/>
    <e v="#N/A"/>
    <n v="87621"/>
    <s v="6eb11db7-5c35-5961-9a15-e313cfec3617"/>
    <s v="SPENDESK"/>
    <s v="Q4"/>
    <e v="#REF!"/>
    <e v="#REF!"/>
    <e v="#REF!"/>
  </r>
  <r>
    <s v="467100"/>
    <x v="6"/>
    <s v="COMPTE PIVOT P2P"/>
    <s v="SP"/>
    <n v="-778.8"/>
    <d v="2025-11-04T00:00:00"/>
    <s v="RÈGLEMENT PAR CARTE SPENDESK"/>
    <m/>
    <e v="#N/A"/>
    <e v="#N/A"/>
    <n v="91502"/>
    <s v="fb623519-20b1-53ab-ae75-f44c5b37444c"/>
    <s v="SPENDESK"/>
    <s v="Q4"/>
    <e v="#REF!"/>
    <e v="#REF!"/>
    <e v="#REF!"/>
  </r>
  <r>
    <s v="467100"/>
    <x v="6"/>
    <s v="COMPTE PIVOT P2P"/>
    <s v="SP"/>
    <n v="-778.8"/>
    <d v="2025-12-02T00:00:00"/>
    <s v="RÈGLEMENT PAR CARTE SPENDESK"/>
    <m/>
    <e v="#N/A"/>
    <e v="#N/A"/>
    <n v="93986"/>
    <s v="31c0650d-4f10-5ff5-b7e5-6bff617ab514"/>
    <s v="SPENDESK"/>
    <s v="Q4"/>
    <e v="#REF!"/>
    <e v="#REF!"/>
    <e v="#REF!"/>
  </r>
  <r>
    <s v="467100"/>
    <x v="6"/>
    <s v="COMPTE PIVOT P2P"/>
    <s v="SP"/>
    <n v="-770.24"/>
    <d v="2025-09-03T00:00:00"/>
    <s v="RÈGLEMENT PAR CARTE SPENDESK"/>
    <m/>
    <e v="#N/A"/>
    <e v="#N/A"/>
    <n v="83052"/>
    <s v="f177f840-60c3-5276-ba1a-4430a0bbec15"/>
    <s v="AIR FRANCE"/>
    <s v="Q3"/>
    <e v="#REF!"/>
    <e v="#REF!"/>
    <e v="#REF!"/>
  </r>
  <r>
    <s v="467100"/>
    <x v="6"/>
    <s v="COMPTE PIVOT P2P"/>
    <s v="SP"/>
    <n v="-760.57"/>
    <d v="2025-03-04T00:00:00"/>
    <s v="RÈGLEMENT PAR CARTE SPENDESK"/>
    <m/>
    <s v="Non"/>
    <e v="#N/A"/>
    <n v="66201"/>
    <s v="0eb7d4ae-d718-5b46-b1ca-ff699ef7cd40"/>
    <s v="DIVERS"/>
    <s v="Q1"/>
    <e v="#REF!"/>
    <e v="#REF!"/>
    <e v="#REF!"/>
  </r>
  <r>
    <s v="467100"/>
    <x v="6"/>
    <s v="COMPTE PIVOT P2P"/>
    <s v="SP"/>
    <n v="-747.97"/>
    <d v="2025-01-23T00:00:00"/>
    <s v="RÈGLEMENT PAR CARTE SPENDESK"/>
    <m/>
    <s v="Non"/>
    <e v="#N/A"/>
    <n v="60006"/>
    <s v="9282"/>
    <s v="DIVERS"/>
    <s v="Q1"/>
    <e v="#REF!"/>
    <e v="#REF!"/>
    <e v="#REF!"/>
  </r>
  <r>
    <s v="467100"/>
    <x v="6"/>
    <s v="COMPTE PIVOT P2P"/>
    <s v="SP"/>
    <n v="-721"/>
    <d v="2025-04-25T00:00:00"/>
    <s v="RÈGLEMENT PAR CARTE SPENDESK"/>
    <m/>
    <e v="#N/A"/>
    <e v="#N/A"/>
    <n v="74714"/>
    <s v="7d4d14b1-d19b-5f2f-b42d-e0b2f02e27ea"/>
    <s v="SNCF"/>
    <s v="Q2"/>
    <e v="#REF!"/>
    <e v="#REF!"/>
    <e v="#REF!"/>
  </r>
  <r>
    <s v="467100"/>
    <x v="6"/>
    <s v="COMPTE PIVOT P2P"/>
    <s v="SP"/>
    <n v="-696.42"/>
    <d v="2025-03-12T00:00:00"/>
    <s v="RÈGLEMENT PAR CARTE SPENDESK"/>
    <m/>
    <s v="Non"/>
    <e v="#N/A"/>
    <n v="66227"/>
    <s v="47188329-0431-5a5f-949b-9d87729eea8c"/>
    <s v="DIVERS"/>
    <s v="Q1"/>
    <e v="#REF!"/>
    <e v="#REF!"/>
    <e v="#REF!"/>
  </r>
  <r>
    <s v="467100"/>
    <x v="6"/>
    <s v="COMPTE PIVOT P2P"/>
    <s v="SP"/>
    <n v="-660"/>
    <d v="2025-10-03T00:00:00"/>
    <s v="RÈGLEMENT PAR CARTE SPENDESK"/>
    <m/>
    <e v="#N/A"/>
    <e v="#N/A"/>
    <n v="87629"/>
    <s v="7"/>
    <s v="HOTELS"/>
    <s v="Q4"/>
    <e v="#REF!"/>
    <e v="#REF!"/>
    <e v="#REF!"/>
  </r>
  <r>
    <s v="467100"/>
    <x v="6"/>
    <s v="COMPTE PIVOT P2P"/>
    <s v="SP"/>
    <n v="-644.83000000000004"/>
    <d v="2025-01-09T00:00:00"/>
    <s v="RÈGLEMENT PAR CARTE SPENDESK"/>
    <m/>
    <e v="#N/A"/>
    <e v="#N/A"/>
    <n v="59984"/>
    <s v="bbbdff27-f4e2-5666-bf0c-a256e647bd7c"/>
    <s v="DENIOS"/>
    <s v="Q1"/>
    <e v="#REF!"/>
    <e v="#REF!"/>
    <e v="#REF!"/>
  </r>
  <r>
    <s v="467100"/>
    <x v="6"/>
    <s v="COMPTE PIVOT P2P"/>
    <s v="SP"/>
    <n v="-614.4"/>
    <d v="2025-02-08T00:00:00"/>
    <s v="RÈGLEMENT PAR CARTE SPENDESK"/>
    <m/>
    <e v="#N/A"/>
    <e v="#N/A"/>
    <n v="64189"/>
    <s v="9ce17bb2-251e-5dcf-b9e8-219749c41025"/>
    <s v="ARCANE INDUSTRIE"/>
    <s v="Q1"/>
    <e v="#REF!"/>
    <e v="#REF!"/>
    <e v="#REF!"/>
  </r>
  <r>
    <s v="467100"/>
    <x v="6"/>
    <s v="COMPTE PIVOT P2P"/>
    <s v="SP"/>
    <n v="-598.1"/>
    <d v="2025-04-11T00:00:00"/>
    <s v="RÈGLEMENT PAR CARTE SPENDESK"/>
    <m/>
    <e v="#N/A"/>
    <e v="#N/A"/>
    <n v="74686"/>
    <s v="25c75b32-42f6-5676-a719-2a647dba6f0c"/>
    <s v="LUFTHANSA"/>
    <s v="Q2"/>
    <e v="#REF!"/>
    <e v="#REF!"/>
    <e v="#REF!"/>
  </r>
  <r>
    <s v="467100"/>
    <x v="6"/>
    <s v="COMPTE PIVOT P2P"/>
    <s v="SP"/>
    <n v="-598.1"/>
    <d v="2025-04-11T00:00:00"/>
    <s v="RÈGLEMENT PAR CARTE SPENDESK"/>
    <m/>
    <e v="#N/A"/>
    <e v="#N/A"/>
    <n v="74692"/>
    <s v="4d263b52-7fac-5654-9143-bacdcd5d2089"/>
    <s v="LUFTHANSA"/>
    <s v="Q2"/>
    <e v="#REF!"/>
    <e v="#REF!"/>
    <e v="#REF!"/>
  </r>
  <r>
    <s v="467100"/>
    <x v="6"/>
    <s v="COMPTE PIVOT P2P"/>
    <s v="SP"/>
    <n v="-597.6"/>
    <d v="2025-09-12T00:00:00"/>
    <s v="RÈGLEMENT PAR CARTE SPENDESK"/>
    <m/>
    <e v="#N/A"/>
    <e v="#N/A"/>
    <n v="83094"/>
    <s v="44565257-4a4b-5610-862c-7fa569ac820d"/>
    <s v="ARCANE INDUSTRIE"/>
    <s v="Q3"/>
    <e v="#REF!"/>
    <e v="#REF!"/>
    <e v="#REF!"/>
  </r>
  <r>
    <s v="467100"/>
    <x v="6"/>
    <s v="COMPTE PIVOT P2P"/>
    <s v="SP"/>
    <n v="-579.08000000000004"/>
    <d v="2025-04-09T00:00:00"/>
    <s v="RÈGLEMENT PAR CARTE SPENDESK"/>
    <m/>
    <e v="#N/A"/>
    <e v="#N/A"/>
    <n v="74676"/>
    <s v="14d5b81b-f408-5ac4-8ba6-8582b1904526"/>
    <s v="MANUTAN"/>
    <s v="Q2"/>
    <e v="#REF!"/>
    <e v="#REF!"/>
    <e v="#REF!"/>
  </r>
  <r>
    <s v="467100"/>
    <x v="6"/>
    <s v="COMPTE PIVOT P2P"/>
    <s v="SP"/>
    <n v="-568.70000000000005"/>
    <d v="2025-01-16T00:00:00"/>
    <s v="RÈGLEMENT PAR CARTE SPENDESK"/>
    <m/>
    <s v="Non"/>
    <e v="#N/A"/>
    <n v="59990"/>
    <s v="34"/>
    <s v="DIVERS"/>
    <s v="Q1"/>
    <e v="#REF!"/>
    <e v="#REF!"/>
    <e v="#REF!"/>
  </r>
  <r>
    <s v="467100"/>
    <x v="6"/>
    <s v="COMPTE PIVOT P2P"/>
    <s v="SP"/>
    <n v="-567"/>
    <d v="2025-04-10T00:00:00"/>
    <s v="RÈGLEMENT PAR CARTE SPENDESK"/>
    <m/>
    <e v="#N/A"/>
    <e v="#N/A"/>
    <n v="74682"/>
    <s v="e3aec1c3-f9f9-5d64-9f33-c9088d01f4a9"/>
    <s v="BOOKING"/>
    <s v="Q2"/>
    <e v="#REF!"/>
    <e v="#REF!"/>
    <e v="#REF!"/>
  </r>
  <r>
    <s v="467100"/>
    <x v="6"/>
    <s v="COMPTE PIVOT P2P"/>
    <s v="SP"/>
    <n v="-566.26"/>
    <d v="2025-11-27T00:00:00"/>
    <s v="RÈGLEMENT PAR CARTE SPENDESK"/>
    <m/>
    <e v="#N/A"/>
    <e v="#N/A"/>
    <n v="91560"/>
    <s v="RC3Z9J494Z"/>
    <s v="AIRBNB"/>
    <s v="Q4"/>
    <e v="#REF!"/>
    <e v="#REF!"/>
    <e v="#REF!"/>
  </r>
  <r>
    <s v="467100"/>
    <x v="6"/>
    <s v="COMPTE PIVOT P2P"/>
    <s v="SP"/>
    <n v="-563.88"/>
    <d v="2025-06-28T00:00:00"/>
    <s v="RÈGLEMENT PAR CARTE SPENDESK"/>
    <m/>
    <e v="#N/A"/>
    <e v="#N/A"/>
    <n v="78124"/>
    <s v="c9ea72b8-0f48-5f03-8932-5fb74db20359"/>
    <s v="ARCANE INDUSTRIE"/>
    <s v="Q2"/>
    <e v="#REF!"/>
    <e v="#REF!"/>
    <e v="#REF!"/>
  </r>
  <r>
    <s v="467100"/>
    <x v="6"/>
    <s v="COMPTE PIVOT P2P"/>
    <s v="SP"/>
    <n v="-561.89"/>
    <d v="2025-02-22T00:00:00"/>
    <s v="RÈGLEMENT PAR CARTE SPENDESK"/>
    <m/>
    <e v="#N/A"/>
    <e v="#N/A"/>
    <n v="64231"/>
    <s v="5"/>
    <s v="MANUTAN"/>
    <s v="Q1"/>
    <e v="#REF!"/>
    <e v="#REF!"/>
    <e v="#REF!"/>
  </r>
  <r>
    <s v="467100"/>
    <x v="6"/>
    <s v="COMPTE PIVOT P2P"/>
    <s v="SP"/>
    <n v="-543"/>
    <d v="2025-11-06T00:00:00"/>
    <s v="RÈGLEMENT PAR CARTE SPENDESK"/>
    <m/>
    <e v="#N/A"/>
    <e v="#N/A"/>
    <n v="91510"/>
    <s v="33a6eba9-abba-57cb-a07f-9533ac167799"/>
    <s v="SNCF"/>
    <s v="Q4"/>
    <e v="#REF!"/>
    <e v="#REF!"/>
    <e v="#REF!"/>
  </r>
  <r>
    <s v="467100"/>
    <x v="6"/>
    <s v="COMPTE PIVOT P2P"/>
    <s v="SP"/>
    <n v="-530.49"/>
    <d v="2025-09-11T00:00:00"/>
    <s v="RÈGLEMENT PAR CARTE SPENDESK"/>
    <m/>
    <e v="#N/A"/>
    <e v="#N/A"/>
    <n v="83084"/>
    <s v="6fd13b02-82f2-5c33-9321-2132f92604fd"/>
    <s v="AIRBNB"/>
    <s v="Q3"/>
    <e v="#REF!"/>
    <e v="#REF!"/>
    <e v="#REF!"/>
  </r>
  <r>
    <s v="467100"/>
    <x v="6"/>
    <s v="COMPTE PIVOT P2P"/>
    <s v="SP"/>
    <n v="-509.43"/>
    <d v="2025-01-24T00:00:00"/>
    <s v="RÈGLEMENT PAR CARTE SPENDESK"/>
    <m/>
    <s v="Non"/>
    <e v="#N/A"/>
    <n v="60014"/>
    <s v="60"/>
    <s v="DIVERS"/>
    <s v="Q1"/>
    <e v="#REF!"/>
    <e v="#REF!"/>
    <e v="#REF!"/>
  </r>
  <r>
    <s v="467100"/>
    <x v="6"/>
    <s v="COMPTE PIVOT P2P"/>
    <s v="SP"/>
    <n v="-491.92"/>
    <d v="2025-09-18T00:00:00"/>
    <s v="RÈGLEMENT PAR CARTE SPENDESK"/>
    <m/>
    <e v="#N/A"/>
    <e v="#N/A"/>
    <n v="83106"/>
    <s v="5b886491-0d60-569d-b8c7-1c686ca52fa6"/>
    <s v="INTERMARCHE"/>
    <s v="Q3"/>
    <e v="#REF!"/>
    <e v="#REF!"/>
    <e v="#REF!"/>
  </r>
  <r>
    <s v="467100"/>
    <x v="6"/>
    <s v="COMPTE PIVOT P2P"/>
    <s v="SP"/>
    <n v="-483.95"/>
    <d v="2025-09-19T00:00:00"/>
    <s v="RÈGLEMENT PAR CARTE SPENDESK"/>
    <m/>
    <e v="#N/A"/>
    <e v="#N/A"/>
    <n v="83108"/>
    <s v="15d34d06-1da2-50bf-adcb-79d4affe16be"/>
    <s v="AIR FRANCE"/>
    <s v="Q3"/>
    <e v="#REF!"/>
    <e v="#REF!"/>
    <e v="#REF!"/>
  </r>
  <r>
    <s v="467100"/>
    <x v="6"/>
    <s v="COMPTE PIVOT P2P"/>
    <s v="SP"/>
    <n v="-474.75"/>
    <d v="2025-09-26T00:00:00"/>
    <s v="RÈGLEMENT PAR CARTE SPENDESK"/>
    <m/>
    <e v="#N/A"/>
    <e v="#N/A"/>
    <n v="83130"/>
    <s v="225004446141"/>
    <s v="AIRLINES"/>
    <s v="Q3"/>
    <e v="#REF!"/>
    <e v="#REF!"/>
    <e v="#REF!"/>
  </r>
  <r>
    <s v="467100"/>
    <x v="6"/>
    <s v="COMPTE PIVOT P2P"/>
    <s v="SP"/>
    <n v="-465.82"/>
    <d v="2025-11-06T00:00:00"/>
    <s v="RÈGLEMENT PAR CARTE SPENDESK"/>
    <m/>
    <e v="#N/A"/>
    <e v="#N/A"/>
    <n v="91514"/>
    <s v="ec60992e-d474-5d4c-8ea0-58901fbff27f"/>
    <s v="AIRBNB"/>
    <s v="Q4"/>
    <e v="#REF!"/>
    <e v="#REF!"/>
    <e v="#REF!"/>
  </r>
  <r>
    <s v="467100"/>
    <x v="6"/>
    <s v="COMPTE PIVOT P2P"/>
    <s v="SP"/>
    <n v="-447"/>
    <d v="2025-02-06T00:00:00"/>
    <s v="RÈGLEMENT PAR CARTE SPENDESK"/>
    <m/>
    <s v="Non"/>
    <e v="#N/A"/>
    <n v="64175"/>
    <s v="a7116b29-90ad-5842-ae2c-de357a42a495"/>
    <s v="DIVERS"/>
    <s v="Q1"/>
    <e v="#REF!"/>
    <e v="#REF!"/>
    <e v="#REF!"/>
  </r>
  <r>
    <s v="467100"/>
    <x v="6"/>
    <s v="COMPTE PIVOT P2P"/>
    <s v="SP"/>
    <n v="-430.7"/>
    <d v="2025-09-11T00:00:00"/>
    <s v="RÈGLEMENT PAR CARTE SPENDESK"/>
    <m/>
    <e v="#N/A"/>
    <e v="#N/A"/>
    <n v="83090"/>
    <s v="de22c0f2-e232-5075-a76a-eab752d9db8d"/>
    <s v="GETAROUND"/>
    <s v="Q3"/>
    <e v="#REF!"/>
    <e v="#REF!"/>
    <e v="#REF!"/>
  </r>
  <r>
    <s v="467100"/>
    <x v="6"/>
    <s v="COMPTE PIVOT P2P"/>
    <s v="SP"/>
    <n v="-418.37"/>
    <d v="2025-11-25T00:00:00"/>
    <s v="RÈGLEMENT PAR CARTE SPENDESK"/>
    <m/>
    <e v="#N/A"/>
    <e v="#N/A"/>
    <n v="91550"/>
    <s v="FA038569"/>
    <s v="ARCANE INDUSTRIE"/>
    <s v="Q4"/>
    <e v="#REF!"/>
    <e v="#REF!"/>
    <e v="#REF!"/>
  </r>
  <r>
    <s v="467100"/>
    <x v="6"/>
    <s v="COMPTE PIVOT P2P"/>
    <s v="SP"/>
    <n v="-418.37"/>
    <d v="2025-12-30T00:00:00"/>
    <s v="RÈGLEMENT PAR CARTE SPENDESK"/>
    <m/>
    <e v="#N/A"/>
    <e v="#N/A"/>
    <n v="94048"/>
    <s v="FA039092"/>
    <s v="ARCANE INDUSTRIE"/>
    <s v="Q4"/>
    <e v="#REF!"/>
    <e v="#REF!"/>
    <e v="#REF!"/>
  </r>
  <r>
    <s v="467100"/>
    <x v="6"/>
    <s v="COMPTE PIVOT P2P"/>
    <s v="SP"/>
    <n v="-404.49"/>
    <d v="2025-10-30T00:00:00"/>
    <s v="RÈGLEMENT PAR CARTE SPENDESK"/>
    <m/>
    <e v="#N/A"/>
    <e v="#N/A"/>
    <n v="87695"/>
    <s v="051908870"/>
    <s v="BACKMARKET"/>
    <s v="Q4"/>
    <e v="#REF!"/>
    <e v="#REF!"/>
    <e v="#REF!"/>
  </r>
  <r>
    <s v="467100"/>
    <x v="6"/>
    <s v="COMPTE PIVOT P2P"/>
    <s v="SP"/>
    <n v="-396.6"/>
    <d v="2025-03-28T00:00:00"/>
    <s v="RÈGLEMENT PAR CARTE SPENDESK"/>
    <m/>
    <e v="#N/A"/>
    <e v="#N/A"/>
    <n v="66273"/>
    <s v="76109f6d-e578-5474-be45-79c365f05768"/>
    <s v="RS COMPONENT"/>
    <s v="Q1"/>
    <e v="#REF!"/>
    <e v="#REF!"/>
    <e v="#REF!"/>
  </r>
  <r>
    <s v="467100"/>
    <x v="6"/>
    <s v="COMPTE PIVOT P2P"/>
    <s v="SP"/>
    <n v="-391.51"/>
    <d v="2025-10-30T00:00:00"/>
    <s v="RÈGLEMENT PAR CARTE SPENDESK"/>
    <m/>
    <e v="#N/A"/>
    <e v="#N/A"/>
    <n v="87697"/>
    <s v="681587"/>
    <s v="INFORMA MARKETS"/>
    <s v="Q4"/>
    <e v="#REF!"/>
    <e v="#REF!"/>
    <e v="#REF!"/>
  </r>
  <r>
    <s v="467100"/>
    <x v="6"/>
    <s v="COMPTE PIVOT P2P"/>
    <s v="SP"/>
    <n v="-380.53"/>
    <d v="2025-03-12T00:00:00"/>
    <s v="RÈGLEMENT PAR CARTE SPENDESK"/>
    <m/>
    <s v="Non"/>
    <e v="#N/A"/>
    <n v="66229"/>
    <s v="671d376b-e7ef-5eb9-92d4-043b6b22af9b"/>
    <s v="DIVERS"/>
    <s v="Q1"/>
    <e v="#REF!"/>
    <e v="#REF!"/>
    <e v="#REF!"/>
  </r>
  <r>
    <s v="467100"/>
    <x v="6"/>
    <s v="COMPTE PIVOT P2P"/>
    <s v="SP"/>
    <n v="-380"/>
    <d v="2025-09-26T00:00:00"/>
    <s v="RÈGLEMENT PAR CARTE SPENDESK"/>
    <m/>
    <e v="#N/A"/>
    <e v="#N/A"/>
    <n v="83124"/>
    <s v="4"/>
    <s v="SNCF"/>
    <s v="Q3"/>
    <e v="#REF!"/>
    <e v="#REF!"/>
    <e v="#REF!"/>
  </r>
  <r>
    <s v="467100"/>
    <x v="6"/>
    <s v="COMPTE PIVOT P2P"/>
    <s v="SP"/>
    <n v="-378"/>
    <d v="2025-09-25T00:00:00"/>
    <s v="RÈGLEMENT PAR CARTE SPENDESK"/>
    <m/>
    <e v="#N/A"/>
    <e v="#N/A"/>
    <n v="83120"/>
    <s v="d17b3700-cf16-569e-a0c5-1629769151de"/>
    <s v="HOTELS"/>
    <s v="Q3"/>
    <e v="#REF!"/>
    <e v="#REF!"/>
    <e v="#REF!"/>
  </r>
  <r>
    <s v="467100"/>
    <x v="6"/>
    <s v="COMPTE PIVOT P2P"/>
    <s v="SP"/>
    <n v="-376.96"/>
    <d v="2025-10-01T00:00:00"/>
    <s v="RÈGLEMENT PAR CARTE SPENDESK"/>
    <m/>
    <e v="#N/A"/>
    <e v="#N/A"/>
    <n v="87615"/>
    <s v="963486915"/>
    <s v="AVIS"/>
    <s v="Q4"/>
    <e v="#REF!"/>
    <e v="#REF!"/>
    <e v="#REF!"/>
  </r>
  <r>
    <s v="467100"/>
    <x v="6"/>
    <s v="COMPTE PIVOT P2P"/>
    <s v="SP"/>
    <n v="-362.31"/>
    <d v="2025-03-14T00:00:00"/>
    <s v="RÈGLEMENT PAR CARTE SPENDESK"/>
    <m/>
    <s v="Non"/>
    <e v="#N/A"/>
    <n v="66233"/>
    <s v="bfe5bab9-9491-5ebf-80bf-fa4e1bf6e613"/>
    <s v="DIVERS"/>
    <s v="Q1"/>
    <e v="#REF!"/>
    <e v="#REF!"/>
    <e v="#REF!"/>
  </r>
  <r>
    <s v="467100"/>
    <x v="6"/>
    <s v="COMPTE PIVOT P2P"/>
    <s v="SP"/>
    <n v="-360.46"/>
    <d v="2025-04-11T00:00:00"/>
    <s v="RÈGLEMENT PAR CARTE SPENDESK"/>
    <m/>
    <e v="#N/A"/>
    <e v="#N/A"/>
    <n v="74688"/>
    <s v="71b530af-0c0a-5420-9094-bc1ec5bb2d0c"/>
    <s v="AVIS"/>
    <s v="Q2"/>
    <e v="#REF!"/>
    <e v="#REF!"/>
    <e v="#REF!"/>
  </r>
  <r>
    <s v="467100"/>
    <x v="6"/>
    <s v="COMPTE PIVOT P2P"/>
    <s v="SP"/>
    <n v="-360"/>
    <d v="2025-06-17T00:00:00"/>
    <s v="RÈGLEMENT PAR CARTE SPENDESK"/>
    <m/>
    <s v="Non"/>
    <s v="Oui"/>
    <n v="78098"/>
    <s v="f5596441-84af-5fb9-8a04-00f44b8bf225"/>
    <s v="BIOECONOMY FOR CHANGE"/>
    <s v="Q2"/>
    <e v="#REF!"/>
    <e v="#REF!"/>
    <e v="#REF!"/>
  </r>
  <r>
    <s v="467100"/>
    <x v="6"/>
    <s v="COMPTE PIVOT P2P"/>
    <s v="SP"/>
    <n v="-360"/>
    <d v="2025-09-25T00:00:00"/>
    <s v="RÈGLEMENT PAR CARTE SPENDESK"/>
    <m/>
    <e v="#N/A"/>
    <e v="#N/A"/>
    <n v="83118"/>
    <s v="0648a750-5ac9-5766-8510-e31c81db58bc"/>
    <s v="BILLETWEB"/>
    <s v="Q3"/>
    <e v="#REF!"/>
    <e v="#REF!"/>
    <e v="#REF!"/>
  </r>
  <r>
    <s v="467100"/>
    <x v="6"/>
    <s v="COMPTE PIVOT P2P"/>
    <s v="SP"/>
    <n v="-360"/>
    <d v="2025-11-04T00:00:00"/>
    <s v="RÈGLEMENT PAR CARTE SPENDESK"/>
    <m/>
    <e v="#N/A"/>
    <e v="#N/A"/>
    <n v="91500"/>
    <s v="37ed279b-ca0d-562c-b617-95fd1e94902f"/>
    <s v="YOUSIGN"/>
    <s v="Q4"/>
    <e v="#REF!"/>
    <e v="#REF!"/>
    <e v="#REF!"/>
  </r>
  <r>
    <s v="467100"/>
    <x v="6"/>
    <s v="COMPTE PIVOT P2P"/>
    <s v="SP"/>
    <n v="-354.95"/>
    <d v="2025-03-07T00:00:00"/>
    <s v="RÈGLEMENT PAR CARTE SPENDESK"/>
    <m/>
    <e v="#N/A"/>
    <e v="#N/A"/>
    <n v="66215"/>
    <s v="b73beb1d-2292-5e97-84df-cb4a5c5a9213"/>
    <s v="BRUNEAU"/>
    <s v="Q1"/>
    <e v="#REF!"/>
    <e v="#REF!"/>
    <e v="#REF!"/>
  </r>
  <r>
    <s v="467100"/>
    <x v="6"/>
    <s v="COMPTE PIVOT P2P"/>
    <s v="SP"/>
    <n v="-351.7"/>
    <d v="2025-09-11T00:00:00"/>
    <s v="RÈGLEMENT PAR CARTE SPENDESK"/>
    <m/>
    <e v="#N/A"/>
    <e v="#N/A"/>
    <n v="83088"/>
    <s v="23953b35-df4b-5e49-84e0-c8e19b59a5e0"/>
    <s v="GETAROUND"/>
    <s v="Q3"/>
    <e v="#REF!"/>
    <e v="#REF!"/>
    <e v="#REF!"/>
  </r>
  <r>
    <s v="467100"/>
    <x v="6"/>
    <s v="COMPTE PIVOT P2P"/>
    <s v="SP"/>
    <n v="-350.44"/>
    <d v="2025-10-08T00:00:00"/>
    <s v="RÈGLEMENT PAR CARTE SPENDESK"/>
    <m/>
    <e v="#N/A"/>
    <e v="#N/A"/>
    <n v="87641"/>
    <s v="M010580398"/>
    <s v="MANUTAN"/>
    <s v="Q4"/>
    <e v="#REF!"/>
    <e v="#REF!"/>
    <e v="#REF!"/>
  </r>
  <r>
    <s v="467100"/>
    <x v="6"/>
    <s v="COMPTE PIVOT P2P"/>
    <s v="SP"/>
    <n v="-349"/>
    <d v="2025-05-29T00:00:00"/>
    <s v="RÈGLEMENT PAR CARTE SPENDESK"/>
    <m/>
    <e v="#N/A"/>
    <e v="#N/A"/>
    <n v="75078"/>
    <s v="CAYZLK"/>
    <s v="SNCF"/>
    <s v="Q2"/>
    <e v="#REF!"/>
    <e v="#REF!"/>
    <e v="#REF!"/>
  </r>
  <r>
    <s v="467100"/>
    <x v="6"/>
    <s v="COMPTE PIVOT P2P"/>
    <s v="SP"/>
    <n v="-349"/>
    <d v="2025-11-28T00:00:00"/>
    <s v="RÈGLEMENT PAR CARTE SPENDESK"/>
    <m/>
    <e v="#N/A"/>
    <e v="#N/A"/>
    <n v="91562"/>
    <s v="13f71443-6c53-5a8c-809f-b798d2d14da7"/>
    <s v="SNCF"/>
    <s v="Q4"/>
    <e v="#REF!"/>
    <e v="#REF!"/>
    <e v="#REF!"/>
  </r>
  <r>
    <s v="467100"/>
    <x v="6"/>
    <s v="COMPTE PIVOT P2P"/>
    <s v="SP"/>
    <n v="-349"/>
    <d v="2025-12-09T00:00:00"/>
    <s v="RÈGLEMENT PAR CARTE SPENDESK"/>
    <m/>
    <e v="#N/A"/>
    <e v="#N/A"/>
    <n v="94006"/>
    <s v="e572a8c4-7452-5103-8f98-5ab0688530c7"/>
    <s v="SNCF"/>
    <s v="Q4"/>
    <e v="#REF!"/>
    <e v="#REF!"/>
    <e v="#REF!"/>
  </r>
  <r>
    <s v="467100"/>
    <x v="6"/>
    <s v="COMPTE PIVOT P2P"/>
    <s v="SP"/>
    <n v="-343.5"/>
    <d v="2025-11-01T00:00:00"/>
    <s v="RÈGLEMENT PAR CARTE SPENDESK"/>
    <m/>
    <e v="#N/A"/>
    <e v="#N/A"/>
    <n v="91486"/>
    <s v="b6484150-b11b-5af4-9134-19d9694b4589"/>
    <s v="RS COMPONENT"/>
    <s v="Q4"/>
    <e v="#REF!"/>
    <e v="#REF!"/>
    <e v="#REF!"/>
  </r>
  <r>
    <s v="467100"/>
    <x v="6"/>
    <s v="COMPTE PIVOT P2P"/>
    <s v="SP"/>
    <n v="-330.2"/>
    <d v="2025-03-21T00:00:00"/>
    <s v="RÈGLEMENT PAR CARTE SPENDESK"/>
    <m/>
    <e v="#N/A"/>
    <e v="#N/A"/>
    <n v="66265"/>
    <s v="f3dc065c-869c-5863-ab84-45f0910a7c09"/>
    <s v="BRUNEAU"/>
    <s v="Q1"/>
    <e v="#REF!"/>
    <e v="#REF!"/>
    <e v="#REF!"/>
  </r>
  <r>
    <s v="467100"/>
    <x v="6"/>
    <s v="COMPTE PIVOT P2P"/>
    <s v="SP"/>
    <n v="-329.7"/>
    <d v="2025-09-11T00:00:00"/>
    <s v="RÈGLEMENT PAR CARTE SPENDESK"/>
    <m/>
    <e v="#N/A"/>
    <e v="#N/A"/>
    <n v="83092"/>
    <s v="1cac2f7f-2d74-55d7-8bf3-a70062554e01"/>
    <s v="GETAROUND"/>
    <s v="Q3"/>
    <e v="#REF!"/>
    <e v="#REF!"/>
    <e v="#REF!"/>
  </r>
  <r>
    <s v="467100"/>
    <x v="6"/>
    <s v="COMPTE PIVOT P2P"/>
    <s v="SP"/>
    <n v="-328.09"/>
    <d v="2025-08-21T00:00:00"/>
    <s v="RÈGLEMENT PAR CARTE SPENDESK"/>
    <m/>
    <e v="#N/A"/>
    <e v="#N/A"/>
    <n v="83220"/>
    <s v="6e9f9f45-8d37-5683-a0ab-123fb58f9c65"/>
    <s v="ARCANE INDUSTRIE"/>
    <s v="Q3"/>
    <e v="#REF!"/>
    <e v="#REF!"/>
    <e v="#REF!"/>
  </r>
  <r>
    <s v="467100"/>
    <x v="6"/>
    <s v="COMPTE PIVOT P2P"/>
    <s v="SP"/>
    <n v="-328.09"/>
    <d v="2025-11-05T00:00:00"/>
    <s v="RÈGLEMENT PAR CARTE SPENDESK"/>
    <m/>
    <e v="#N/A"/>
    <e v="#N/A"/>
    <n v="91506"/>
    <s v="df1fce7d-5959-5750-b7b2-520e30c2f0d5"/>
    <s v="ARCANE INDUSTRIE"/>
    <s v="Q4"/>
    <e v="#REF!"/>
    <e v="#REF!"/>
    <e v="#REF!"/>
  </r>
  <r>
    <s v="467100"/>
    <x v="6"/>
    <s v="COMPTE PIVOT P2P"/>
    <s v="SP"/>
    <n v="-316.7"/>
    <d v="2025-03-21T00:00:00"/>
    <s v="RÈGLEMENT PAR CARTE SPENDESK"/>
    <m/>
    <s v="Non"/>
    <e v="#N/A"/>
    <n v="66259"/>
    <s v="95f83cf3-2084-5fc2-9289-c1b4a8fcf964"/>
    <s v="DIVERS"/>
    <s v="Q1"/>
    <e v="#REF!"/>
    <e v="#REF!"/>
    <e v="#REF!"/>
  </r>
  <r>
    <s v="467100"/>
    <x v="6"/>
    <s v="COMPTE PIVOT P2P"/>
    <s v="SP"/>
    <n v="-304"/>
    <d v="2025-09-18T00:00:00"/>
    <s v="RÈGLEMENT PAR CARTE SPENDESK"/>
    <m/>
    <e v="#N/A"/>
    <e v="#N/A"/>
    <n v="83104"/>
    <s v="155cba78-56fe-55f0-8b50-9fc9f9e19887"/>
    <s v="SNCF"/>
    <s v="Q3"/>
    <e v="#REF!"/>
    <e v="#REF!"/>
    <e v="#REF!"/>
  </r>
  <r>
    <s v="467100"/>
    <x v="6"/>
    <s v="COMPTE PIVOT P2P"/>
    <s v="SP"/>
    <n v="-303.47000000000003"/>
    <d v="2025-12-09T00:00:00"/>
    <s v="RÈGLEMENT PAR CARTE SPENDESK"/>
    <m/>
    <e v="#N/A"/>
    <e v="#N/A"/>
    <n v="94012"/>
    <s v="RCRPE9842Z"/>
    <s v="AIRBNB"/>
    <s v="Q4"/>
    <e v="#REF!"/>
    <e v="#REF!"/>
    <e v="#REF!"/>
  </r>
  <r>
    <s v="467100"/>
    <x v="6"/>
    <s v="COMPTE PIVOT P2P"/>
    <s v="SP"/>
    <n v="-298"/>
    <d v="2025-02-06T00:00:00"/>
    <s v="RÈGLEMENT PAR CARTE SPENDESK"/>
    <m/>
    <s v="Non"/>
    <e v="#N/A"/>
    <n v="64179"/>
    <s v="8f760600-e323-5e12-86da-35601b0c7d15"/>
    <s v="DIVERS"/>
    <s v="Q1"/>
    <e v="#REF!"/>
    <e v="#REF!"/>
    <e v="#REF!"/>
  </r>
  <r>
    <s v="467100"/>
    <x v="6"/>
    <s v="COMPTE PIVOT P2P"/>
    <s v="SP"/>
    <n v="-294.95999999999998"/>
    <d v="2025-10-25T00:00:00"/>
    <s v="RÈGLEMENT PAR CARTE SPENDESK"/>
    <m/>
    <e v="#N/A"/>
    <e v="#N/A"/>
    <n v="87685"/>
    <s v="EJIN372492126"/>
    <s v="AIRLINES"/>
    <s v="Q4"/>
    <e v="#REF!"/>
    <e v="#REF!"/>
    <e v="#REF!"/>
  </r>
  <r>
    <s v="467100"/>
    <x v="6"/>
    <s v="COMPTE PIVOT P2P"/>
    <s v="SP"/>
    <n v="-290"/>
    <d v="2025-10-29T00:00:00"/>
    <s v="RÈGLEMENT PAR CARTE SPENDESK"/>
    <m/>
    <e v="#N/A"/>
    <e v="#N/A"/>
    <n v="87691"/>
    <s v="33"/>
    <s v="SNCF"/>
    <s v="Q4"/>
    <e v="#REF!"/>
    <e v="#REF!"/>
    <e v="#REF!"/>
  </r>
  <r>
    <s v="467100"/>
    <x v="6"/>
    <s v="COMPTE PIVOT P2P"/>
    <s v="SP"/>
    <n v="-288"/>
    <d v="2025-01-23T00:00:00"/>
    <s v="RÈGLEMENT PAR CARTE SPENDESK"/>
    <m/>
    <s v="Non"/>
    <e v="#N/A"/>
    <n v="60010"/>
    <s v="55"/>
    <s v="DIVERS"/>
    <s v="Q1"/>
    <e v="#REF!"/>
    <e v="#REF!"/>
    <e v="#REF!"/>
  </r>
  <r>
    <s v="467100"/>
    <x v="6"/>
    <s v="COMPTE PIVOT P2P"/>
    <s v="SP"/>
    <n v="-280.8"/>
    <d v="2025-09-03T00:00:00"/>
    <s v="RÈGLEMENT PAR CARTE SPENDESK"/>
    <m/>
    <e v="#N/A"/>
    <e v="#N/A"/>
    <n v="83050"/>
    <s v="0f434514-6d96-5013-9d4d-416f5fae64e2"/>
    <s v="HOTELS"/>
    <s v="Q3"/>
    <e v="#REF!"/>
    <e v="#REF!"/>
    <e v="#REF!"/>
  </r>
  <r>
    <s v="467100"/>
    <x v="6"/>
    <s v="COMPTE PIVOT P2P"/>
    <s v="SP"/>
    <n v="-279.01"/>
    <d v="2025-06-28T00:00:00"/>
    <s v="RÈGLEMENT PAR CARTE SPENDESK"/>
    <m/>
    <e v="#N/A"/>
    <e v="#N/A"/>
    <n v="78122"/>
    <s v="f6f82da0-4af1-5f6a-a6ac-4a312539396a"/>
    <s v="FNAC"/>
    <s v="Q2"/>
    <e v="#REF!"/>
    <e v="#REF!"/>
    <e v="#REF!"/>
  </r>
  <r>
    <s v="467100"/>
    <x v="6"/>
    <s v="COMPTE PIVOT P2P"/>
    <s v="SP"/>
    <n v="-271.43"/>
    <d v="2025-09-03T00:00:00"/>
    <s v="RÈGLEMENT PAR CARTE SPENDESK"/>
    <m/>
    <e v="#N/A"/>
    <e v="#N/A"/>
    <n v="83054"/>
    <s v="9c9be2d3-f37e-50f4-b7a6-85050acd90a3"/>
    <s v="AVIS"/>
    <s v="Q3"/>
    <e v="#REF!"/>
    <e v="#REF!"/>
    <e v="#REF!"/>
  </r>
  <r>
    <s v="467100"/>
    <x v="6"/>
    <s v="COMPTE PIVOT P2P"/>
    <s v="SP"/>
    <n v="-266.8"/>
    <d v="2025-11-09T00:00:00"/>
    <s v="RÈGLEMENT PAR CARTE SPENDESK"/>
    <m/>
    <e v="#N/A"/>
    <e v="#N/A"/>
    <n v="91518"/>
    <s v="508702dd-4e55-5de0-9f7b-ddf51ecf841d"/>
    <s v="BOOKING"/>
    <s v="Q4"/>
    <e v="#REF!"/>
    <e v="#REF!"/>
    <e v="#REF!"/>
  </r>
  <r>
    <s v="467100"/>
    <x v="6"/>
    <s v="COMPTE PIVOT P2P"/>
    <s v="SP"/>
    <n v="-264.89999999999998"/>
    <d v="2025-11-06T00:00:00"/>
    <s v="RÈGLEMENT PAR CARTE SPENDESK"/>
    <m/>
    <e v="#N/A"/>
    <e v="#N/A"/>
    <n v="91508"/>
    <s v="f297b876-42e8-53c3-a5ef-652e41463d60"/>
    <s v="HOTELS"/>
    <s v="Q4"/>
    <e v="#REF!"/>
    <e v="#REF!"/>
    <e v="#REF!"/>
  </r>
  <r>
    <s v="467100"/>
    <x v="6"/>
    <s v="COMPTE PIVOT P2P"/>
    <s v="SP"/>
    <n v="-258.27999999999997"/>
    <d v="2025-07-30T00:00:00"/>
    <s v="RÈGLEMENT PAR CARTE SPENDESK"/>
    <m/>
    <e v="#N/A"/>
    <e v="#N/A"/>
    <n v="80955"/>
    <s v="bab8c17f-049e-5a98-a099-7cd38c525dc9"/>
    <s v="PTFE TUBE SHOP"/>
    <s v="Q3"/>
    <e v="#REF!"/>
    <e v="#REF!"/>
    <e v="#REF!"/>
  </r>
  <r>
    <s v="467100"/>
    <x v="6"/>
    <s v="COMPTE PIVOT P2P"/>
    <s v="SP"/>
    <n v="-258"/>
    <d v="2025-09-10T00:00:00"/>
    <s v="RÈGLEMENT PAR CARTE SPENDESK"/>
    <m/>
    <e v="#N/A"/>
    <e v="#N/A"/>
    <n v="83074"/>
    <s v="d1eb44d5-d22c-5026-9546-3104d4063de2"/>
    <s v="SNCF"/>
    <s v="Q3"/>
    <e v="#REF!"/>
    <e v="#REF!"/>
    <e v="#REF!"/>
  </r>
  <r>
    <s v="467100"/>
    <x v="6"/>
    <s v="COMPTE PIVOT P2P"/>
    <s v="SP"/>
    <n v="-257.47000000000003"/>
    <d v="2025-05-01T00:00:00"/>
    <s v="RÈGLEMENT PAR CARTE SPENDESK"/>
    <m/>
    <e v="#N/A"/>
    <e v="#N/A"/>
    <n v="74728"/>
    <s v="a518dcf8-046c-50f2-9db5-d62f406c375a"/>
    <s v="MANUTAN"/>
    <s v="Q2"/>
    <e v="#REF!"/>
    <e v="#REF!"/>
    <e v="#REF!"/>
  </r>
  <r>
    <s v="467100"/>
    <x v="6"/>
    <s v="COMPTE PIVOT P2P"/>
    <s v="SP"/>
    <n v="-254.99"/>
    <d v="2025-02-20T00:00:00"/>
    <s v="RÈGLEMENT PAR CARTE SPENDESK"/>
    <m/>
    <s v="Non"/>
    <e v="#N/A"/>
    <n v="64227"/>
    <s v="d3848e18-e9c5-5cdc-a11c-fd3520f16434"/>
    <s v="DIVERS"/>
    <s v="Q1"/>
    <e v="#REF!"/>
    <e v="#REF!"/>
    <e v="#REF!"/>
  </r>
  <r>
    <s v="467100"/>
    <x v="6"/>
    <s v="COMPTE PIVOT P2P"/>
    <s v="SP"/>
    <n v="-250.63"/>
    <d v="2025-03-18T00:00:00"/>
    <s v="RÈGLEMENT PAR CARTE SPENDESK"/>
    <m/>
    <e v="#N/A"/>
    <e v="#N/A"/>
    <n v="66243"/>
    <s v="83458222"/>
    <s v="MANUTAN"/>
    <s v="Q1"/>
    <e v="#REF!"/>
    <e v="#REF!"/>
    <e v="#REF!"/>
  </r>
  <r>
    <s v="467100"/>
    <x v="6"/>
    <s v="COMPTE PIVOT P2P"/>
    <s v="SP"/>
    <n v="-250.63"/>
    <d v="2025-07-25T00:00:00"/>
    <s v="RÈGLEMENT PAR CARTE SPENDESK"/>
    <m/>
    <e v="#N/A"/>
    <e v="#N/A"/>
    <n v="80947"/>
    <s v="9a20d82d-915d-51fe-8738-3e7114e957de"/>
    <s v="MANUTAN"/>
    <s v="Q3"/>
    <e v="#REF!"/>
    <e v="#REF!"/>
    <e v="#REF!"/>
  </r>
  <r>
    <s v="467100"/>
    <x v="6"/>
    <s v="COMPTE PIVOT P2P"/>
    <s v="SP"/>
    <n v="-246"/>
    <d v="2025-10-24T00:00:00"/>
    <s v="RÈGLEMENT PAR CARTE SPENDESK"/>
    <m/>
    <e v="#N/A"/>
    <e v="#N/A"/>
    <n v="87681"/>
    <s v="U6D3UH"/>
    <s v="SNCF"/>
    <s v="Q4"/>
    <e v="#REF!"/>
    <e v="#REF!"/>
    <e v="#REF!"/>
  </r>
  <r>
    <s v="467100"/>
    <x v="6"/>
    <s v="COMPTE PIVOT P2P"/>
    <s v="SP"/>
    <n v="-244.12"/>
    <d v="2025-10-15T00:00:00"/>
    <s v="RÈGLEMENT PAR CARTE SPENDESK"/>
    <s v="Non"/>
    <s v="Non"/>
    <e v="#N/A"/>
    <n v="87657"/>
    <s v="7,81154E+11"/>
    <s v="LINKEDIN"/>
    <s v="Q4"/>
    <e v="#REF!"/>
    <e v="#REF!"/>
    <e v="#REF!"/>
  </r>
  <r>
    <s v="467100"/>
    <x v="6"/>
    <s v="COMPTE PIVOT P2P"/>
    <s v="SP"/>
    <n v="-243.98"/>
    <d v="2025-03-04T00:00:00"/>
    <s v="RÈGLEMENT PAR CARTE SPENDESK"/>
    <m/>
    <s v="Non"/>
    <e v="#N/A"/>
    <n v="66207"/>
    <s v="9a83905b-98a5-5e1a-bdec-3c86f36bf73b"/>
    <s v="DIVERS"/>
    <s v="Q1"/>
    <e v="#REF!"/>
    <e v="#REF!"/>
    <e v="#REF!"/>
  </r>
  <r>
    <s v="467100"/>
    <x v="6"/>
    <s v="COMPTE PIVOT P2P"/>
    <s v="SP"/>
    <n v="-242.14"/>
    <d v="2025-02-05T00:00:00"/>
    <s v="RÈGLEMENT PAR CARTE SPENDESK"/>
    <m/>
    <s v="Non"/>
    <e v="#N/A"/>
    <n v="64169"/>
    <s v="3"/>
    <s v="DIVERS"/>
    <s v="Q1"/>
    <e v="#REF!"/>
    <e v="#REF!"/>
    <e v="#REF!"/>
  </r>
  <r>
    <s v="467100"/>
    <x v="6"/>
    <s v="COMPTE PIVOT P2P"/>
    <s v="SP"/>
    <n v="-239.8"/>
    <d v="2025-02-05T00:00:00"/>
    <s v="RÈGLEMENT PAR CARTE SPENDESK"/>
    <m/>
    <e v="#N/A"/>
    <e v="#N/A"/>
    <n v="64173"/>
    <s v="abbdc824-106e-54f1-b7dc-c8092e216a99"/>
    <s v="SNCF"/>
    <s v="Q1"/>
    <e v="#REF!"/>
    <e v="#REF!"/>
    <e v="#REF!"/>
  </r>
  <r>
    <s v="467100"/>
    <x v="6"/>
    <s v="COMPTE PIVOT P2P"/>
    <s v="SP"/>
    <n v="-237.52"/>
    <d v="2025-02-01T00:00:00"/>
    <s v="RÈGLEMENT PAR CARTE SPENDESK"/>
    <m/>
    <e v="#N/A"/>
    <e v="#N/A"/>
    <n v="64153"/>
    <s v="f8ee060c-59e8-59fd-8ba1-50c3fb7efa32"/>
    <s v="DARTY"/>
    <s v="Q1"/>
    <e v="#REF!"/>
    <e v="#REF!"/>
    <e v="#REF!"/>
  </r>
  <r>
    <s v="467100"/>
    <x v="6"/>
    <s v="COMPTE PIVOT P2P"/>
    <s v="SP"/>
    <n v="-235"/>
    <d v="2025-02-06T00:00:00"/>
    <s v="RÈGLEMENT PAR CARTE SPENDESK"/>
    <m/>
    <s v="Non"/>
    <e v="#N/A"/>
    <n v="64185"/>
    <s v="d496a9ee-564b-53fc-9573-728c539c9136"/>
    <s v="DIVERS"/>
    <s v="Q1"/>
    <e v="#REF!"/>
    <e v="#REF!"/>
    <e v="#REF!"/>
  </r>
  <r>
    <s v="467100"/>
    <x v="6"/>
    <s v="COMPTE PIVOT P2P"/>
    <s v="SP"/>
    <n v="-233.68"/>
    <d v="2025-06-24T00:00:00"/>
    <s v="RÈGLEMENT PAR CARTE SPENDESK"/>
    <m/>
    <e v="#N/A"/>
    <e v="#N/A"/>
    <n v="78116"/>
    <s v="ab680233-e9dd-50a5-b34d-44795edbe927"/>
    <s v="BRUNEAU"/>
    <s v="Q2"/>
    <e v="#REF!"/>
    <e v="#REF!"/>
    <e v="#REF!"/>
  </r>
  <r>
    <s v="467100"/>
    <x v="6"/>
    <s v="COMPTE PIVOT P2P"/>
    <s v="SP"/>
    <n v="-233.11"/>
    <d v="2025-01-31T00:00:00"/>
    <s v="RÈGLEMENT PAR CARTE SPENDESK"/>
    <m/>
    <e v="#N/A"/>
    <e v="#N/A"/>
    <n v="60030"/>
    <s v="77"/>
    <s v="BRUNEAU"/>
    <s v="Q1"/>
    <e v="#REF!"/>
    <e v="#REF!"/>
    <e v="#REF!"/>
  </r>
  <r>
    <s v="467100"/>
    <x v="6"/>
    <s v="COMPTE PIVOT P2P"/>
    <s v="SP"/>
    <n v="-230.89"/>
    <d v="2025-07-13T00:00:00"/>
    <s v="RÈGLEMENT PAR CARTE SPENDESK"/>
    <m/>
    <e v="#N/A"/>
    <e v="#N/A"/>
    <n v="80939"/>
    <s v="017457a8-b4f1-5dce-bd56-3fb72df445f8"/>
    <s v="RS COMPONENT"/>
    <s v="Q3"/>
    <e v="#REF!"/>
    <e v="#REF!"/>
    <e v="#REF!"/>
  </r>
  <r>
    <s v="467100"/>
    <x v="6"/>
    <s v="COMPTE PIVOT P2P"/>
    <s v="SP"/>
    <n v="-230.49"/>
    <d v="2025-11-26T00:00:00"/>
    <s v="RÈGLEMENT PAR CARTE SPENDESK"/>
    <m/>
    <e v="#N/A"/>
    <e v="#N/A"/>
    <n v="91556"/>
    <s v="4b65e99d-1d76-5492-b898-a5f44f3d80aa"/>
    <s v="AIRBNB"/>
    <s v="Q4"/>
    <e v="#REF!"/>
    <e v="#REF!"/>
    <e v="#REF!"/>
  </r>
  <r>
    <s v="467100"/>
    <x v="6"/>
    <s v="COMPTE PIVOT P2P"/>
    <s v="SP"/>
    <n v="-224.4"/>
    <d v="2025-01-08T00:00:00"/>
    <s v="RÈGLEMENT PAR CARTE SPENDESK"/>
    <m/>
    <e v="#N/A"/>
    <e v="#N/A"/>
    <n v="59982"/>
    <s v="18"/>
    <s v="SNCF"/>
    <s v="Q1"/>
    <e v="#REF!"/>
    <e v="#REF!"/>
    <e v="#REF!"/>
  </r>
  <r>
    <s v="467100"/>
    <x v="6"/>
    <s v="COMPTE PIVOT P2P"/>
    <s v="SP"/>
    <n v="-223.02"/>
    <d v="2025-03-31T00:00:00"/>
    <s v="RÈGLEMENT PAR CARTE SPENDESK"/>
    <m/>
    <e v="#N/A"/>
    <e v="#N/A"/>
    <n v="66279"/>
    <s v="89596308"/>
    <s v="ORANGE"/>
    <s v="Q1"/>
    <e v="#REF!"/>
    <e v="#REF!"/>
    <e v="#REF!"/>
  </r>
  <r>
    <s v="467100"/>
    <x v="6"/>
    <s v="COMPTE PIVOT P2P"/>
    <s v="SP"/>
    <n v="-215.2"/>
    <d v="2025-03-18T00:00:00"/>
    <s v="RÈGLEMENT PAR CARTE SPENDESK"/>
    <m/>
    <e v="#N/A"/>
    <e v="#N/A"/>
    <n v="66239"/>
    <s v="1c639291-35d9-5df2-a134-936a2421ba2d"/>
    <s v="SNCF"/>
    <s v="Q1"/>
    <e v="#REF!"/>
    <e v="#REF!"/>
    <e v="#REF!"/>
  </r>
  <r>
    <s v="467100"/>
    <x v="6"/>
    <s v="COMPTE PIVOT P2P"/>
    <s v="SP"/>
    <n v="-214.03"/>
    <d v="2025-09-08T00:00:00"/>
    <s v="RÈGLEMENT PAR CARTE SPENDESK"/>
    <m/>
    <e v="#N/A"/>
    <e v="#N/A"/>
    <n v="83070"/>
    <s v="1187784"/>
    <s v="LITFAD"/>
    <s v="Q3"/>
    <e v="#REF!"/>
    <e v="#REF!"/>
    <e v="#REF!"/>
  </r>
  <r>
    <s v="467100"/>
    <x v="6"/>
    <s v="COMPTE PIVOT P2P"/>
    <s v="SP"/>
    <n v="-213.45"/>
    <d v="2025-07-03T00:00:00"/>
    <s v="RÈGLEMENT PAR CARTE SPENDESK"/>
    <m/>
    <e v="#N/A"/>
    <e v="#N/A"/>
    <n v="80917"/>
    <s v="79657fec-46cb-52f4-944e-8e6bd8a0395a"/>
    <s v="PTFE TUBE SHOP"/>
    <s v="Q3"/>
    <e v="#REF!"/>
    <e v="#REF!"/>
    <e v="#REF!"/>
  </r>
  <r>
    <s v="467100"/>
    <x v="6"/>
    <s v="COMPTE PIVOT P2P"/>
    <s v="SP"/>
    <n v="-212.8"/>
    <d v="2025-05-29T00:00:00"/>
    <s v="RÈGLEMENT PAR CARTE SPENDESK"/>
    <m/>
    <e v="#N/A"/>
    <e v="#N/A"/>
    <n v="75080"/>
    <s v="100235408986"/>
    <s v="EUROPCAR"/>
    <s v="Q2"/>
    <e v="#REF!"/>
    <e v="#REF!"/>
    <e v="#REF!"/>
  </r>
  <r>
    <s v="467100"/>
    <x v="6"/>
    <s v="COMPTE PIVOT P2P"/>
    <s v="SP"/>
    <n v="-211.5"/>
    <d v="2025-04-10T00:00:00"/>
    <s v="RÈGLEMENT PAR CARTE SPENDESK"/>
    <m/>
    <e v="#N/A"/>
    <e v="#N/A"/>
    <n v="74684"/>
    <s v="68c17aba-6312-5a9e-8795-9d951aa8b94d"/>
    <s v="SNCF"/>
    <s v="Q2"/>
    <e v="#REF!"/>
    <e v="#REF!"/>
    <e v="#REF!"/>
  </r>
  <r>
    <s v="467100"/>
    <x v="6"/>
    <s v="COMPTE PIVOT P2P"/>
    <s v="SP"/>
    <n v="-210.2"/>
    <d v="2025-12-14T00:00:00"/>
    <s v="RÈGLEMENT PAR CARTE SPENDESK"/>
    <m/>
    <e v="#N/A"/>
    <e v="#N/A"/>
    <n v="94034"/>
    <s v="997997bf-ceac-512a-a048-b58ffa51184e"/>
    <s v="BRADY GROUPE"/>
    <s v="Q4"/>
    <e v="#REF!"/>
    <e v="#REF!"/>
    <e v="#REF!"/>
  </r>
  <r>
    <s v="467100"/>
    <x v="6"/>
    <s v="COMPTE PIVOT P2P"/>
    <s v="SP"/>
    <n v="-209.16"/>
    <d v="2025-08-01T00:00:00"/>
    <s v="RÈGLEMENT PAR CARTE SPENDESK"/>
    <m/>
    <e v="#N/A"/>
    <e v="#N/A"/>
    <n v="83192"/>
    <s v="49a91752-87b0-50c8-80ff-aef2c17bafd3"/>
    <s v="BRUNEAU"/>
    <s v="Q3"/>
    <e v="#REF!"/>
    <e v="#REF!"/>
    <e v="#REF!"/>
  </r>
  <r>
    <s v="467100"/>
    <x v="6"/>
    <s v="COMPTE PIVOT P2P"/>
    <s v="SP"/>
    <n v="-204.67"/>
    <d v="2025-04-04T00:00:00"/>
    <s v="RÈGLEMENT PAR CARTE SPENDESK"/>
    <m/>
    <e v="#N/A"/>
    <e v="#N/A"/>
    <n v="74660"/>
    <s v="20349f9f-14b6-525c-af0f-c7a01956ce56"/>
    <s v="FISHER SCIENTIFIC"/>
    <s v="Q2"/>
    <e v="#REF!"/>
    <e v="#REF!"/>
    <e v="#REF!"/>
  </r>
  <r>
    <s v="467100"/>
    <x v="6"/>
    <s v="COMPTE PIVOT P2P"/>
    <s v="SP"/>
    <n v="-199.9"/>
    <d v="2025-09-27T00:00:00"/>
    <s v="RÈGLEMENT PAR CARTE SPENDESK"/>
    <m/>
    <e v="#N/A"/>
    <e v="#N/A"/>
    <n v="83132"/>
    <s v="2666d904-7397-5e56-919d-8a80dfa6cfad"/>
    <s v="SNCF"/>
    <s v="Q3"/>
    <e v="#REF!"/>
    <e v="#REF!"/>
    <e v="#REF!"/>
  </r>
  <r>
    <s v="467100"/>
    <x v="6"/>
    <s v="COMPTE PIVOT P2P"/>
    <s v="SP"/>
    <n v="-199.33"/>
    <d v="2025-02-14T00:00:00"/>
    <s v="RÈGLEMENT PAR CARTE SPENDESK"/>
    <m/>
    <e v="#N/A"/>
    <e v="#N/A"/>
    <n v="64207"/>
    <s v="e573cf4a-4aa0-57db-8d8c-106760c490a0"/>
    <s v="BRUNEAU"/>
    <s v="Q1"/>
    <e v="#REF!"/>
    <e v="#REF!"/>
    <e v="#REF!"/>
  </r>
  <r>
    <s v="467100"/>
    <x v="6"/>
    <s v="COMPTE PIVOT P2P"/>
    <s v="SP"/>
    <n v="-198"/>
    <d v="2025-02-21T00:00:00"/>
    <s v="RÈGLEMENT PAR CARTE SPENDESK"/>
    <m/>
    <s v="Non"/>
    <e v="#N/A"/>
    <n v="64229"/>
    <s v="144933"/>
    <s v="DIVERS"/>
    <s v="Q1"/>
    <e v="#REF!"/>
    <e v="#REF!"/>
    <e v="#REF!"/>
  </r>
  <r>
    <s v="467100"/>
    <x v="6"/>
    <s v="COMPTE PIVOT P2P"/>
    <s v="SP"/>
    <n v="-198"/>
    <d v="2025-07-30T00:00:00"/>
    <s v="RÈGLEMENT PAR CARTE SPENDESK"/>
    <m/>
    <e v="#N/A"/>
    <e v="#N/A"/>
    <n v="80957"/>
    <s v="b49079f1-da17-5a1b-a9c3-67fef5e4dc71"/>
    <s v="CHIMIE PROMOTION"/>
    <s v="Q3"/>
    <e v="#REF!"/>
    <e v="#REF!"/>
    <e v="#REF!"/>
  </r>
  <r>
    <s v="467100"/>
    <x v="6"/>
    <s v="COMPTE PIVOT P2P"/>
    <s v="SP"/>
    <n v="-195.54"/>
    <d v="2025-10-24T00:00:00"/>
    <s v="RÈGLEMENT PAR CARTE SPENDESK"/>
    <m/>
    <e v="#N/A"/>
    <e v="#N/A"/>
    <n v="87679"/>
    <s v="26.565.420"/>
    <s v="BRUNEAU"/>
    <s v="Q4"/>
    <e v="#REF!"/>
    <e v="#REF!"/>
    <e v="#REF!"/>
  </r>
  <r>
    <s v="467100"/>
    <x v="6"/>
    <s v="COMPTE PIVOT P2P"/>
    <s v="SP"/>
    <n v="-194.2"/>
    <d v="2025-06-17T00:00:00"/>
    <s v="RÈGLEMENT PAR CARTE SPENDESK"/>
    <m/>
    <e v="#N/A"/>
    <e v="#N/A"/>
    <n v="78102"/>
    <s v="2df8f013-d7e9-56c7-a0f7-b51fcd68c8a2"/>
    <s v="SNCF"/>
    <s v="Q2"/>
    <e v="#REF!"/>
    <e v="#REF!"/>
    <e v="#REF!"/>
  </r>
  <r>
    <s v="467100"/>
    <x v="6"/>
    <s v="COMPTE PIVOT P2P"/>
    <s v="SP"/>
    <n v="-194"/>
    <d v="2025-10-22T00:00:00"/>
    <s v="RÈGLEMENT PAR CARTE SPENDESK"/>
    <m/>
    <e v="#N/A"/>
    <e v="#N/A"/>
    <n v="87673"/>
    <s v="3K57KA"/>
    <s v="SNCF"/>
    <s v="Q4"/>
    <e v="#REF!"/>
    <e v="#REF!"/>
    <e v="#REF!"/>
  </r>
  <r>
    <s v="467100"/>
    <x v="6"/>
    <s v="COMPTE PIVOT P2P"/>
    <s v="SP"/>
    <n v="-191"/>
    <d v="2025-12-03T00:00:00"/>
    <s v="RÈGLEMENT PAR CARTE SPENDESK"/>
    <m/>
    <e v="#N/A"/>
    <e v="#N/A"/>
    <n v="93990"/>
    <s v="08675daa-cb8f-5072-af8b-d063efb9e352"/>
    <s v="SNCF"/>
    <s v="Q4"/>
    <e v="#REF!"/>
    <e v="#REF!"/>
    <e v="#REF!"/>
  </r>
  <r>
    <s v="467100"/>
    <x v="6"/>
    <s v="COMPTE PIVOT P2P"/>
    <s v="SP"/>
    <n v="-188"/>
    <d v="2025-11-15T00:00:00"/>
    <s v="RÈGLEMENT PAR CARTE SPENDESK"/>
    <m/>
    <e v="#N/A"/>
    <e v="#N/A"/>
    <n v="91528"/>
    <s v="13593035-35f9-5209-a8f6-8513e04af6fc"/>
    <s v="SNCF"/>
    <s v="Q4"/>
    <e v="#REF!"/>
    <e v="#REF!"/>
    <e v="#REF!"/>
  </r>
  <r>
    <s v="467100"/>
    <x v="6"/>
    <s v="COMPTE PIVOT P2P"/>
    <s v="SP"/>
    <n v="-187.65"/>
    <d v="2025-12-03T00:00:00"/>
    <s v="RÈGLEMENT PAR CARTE SPENDESK"/>
    <m/>
    <e v="#N/A"/>
    <e v="#N/A"/>
    <n v="93994"/>
    <s v="RCY2H8KTSM"/>
    <s v="AIRBNB"/>
    <s v="Q4"/>
    <e v="#REF!"/>
    <e v="#REF!"/>
    <e v="#REF!"/>
  </r>
  <r>
    <s v="467100"/>
    <x v="6"/>
    <s v="COMPTE PIVOT P2P"/>
    <s v="SP"/>
    <n v="-187.05"/>
    <d v="2025-06-07T00:00:00"/>
    <s v="RÈGLEMENT PAR CARTE SPENDESK"/>
    <m/>
    <e v="#N/A"/>
    <e v="#N/A"/>
    <n v="78080"/>
    <s v="39d53c1a-2723-5501-aeb1-b05c626fab39"/>
    <s v="LA FOURCHE"/>
    <s v="Q2"/>
    <e v="#REF!"/>
    <e v="#REF!"/>
    <e v="#REF!"/>
  </r>
  <r>
    <s v="467100"/>
    <x v="6"/>
    <s v="COMPTE PIVOT P2P"/>
    <s v="SP"/>
    <n v="-186.02"/>
    <d v="2025-10-15T00:00:00"/>
    <s v="RÈGLEMENT PAR CARTE SPENDESK"/>
    <m/>
    <e v="#N/A"/>
    <e v="#N/A"/>
    <n v="87661"/>
    <s v="487515511"/>
    <s v="RS COMPONENT"/>
    <s v="Q4"/>
    <e v="#REF!"/>
    <e v="#REF!"/>
    <e v="#REF!"/>
  </r>
  <r>
    <s v="467100"/>
    <x v="6"/>
    <s v="COMPTE PIVOT P2P"/>
    <s v="SP"/>
    <n v="-186"/>
    <d v="2025-05-18T00:00:00"/>
    <s v="RÈGLEMENT PAR CARTE SPENDESK"/>
    <m/>
    <e v="#N/A"/>
    <e v="#N/A"/>
    <n v="75062"/>
    <s v="6fa2a246-93b1-5bdc-bdd9-04a4268390c4"/>
    <s v="SNCF"/>
    <s v="Q2"/>
    <e v="#REF!"/>
    <e v="#REF!"/>
    <e v="#REF!"/>
  </r>
  <r>
    <s v="467100"/>
    <x v="6"/>
    <s v="COMPTE PIVOT P2P"/>
    <s v="SP"/>
    <n v="-182.93"/>
    <d v="2025-02-14T00:00:00"/>
    <s v="RÈGLEMENT PAR CARTE SPENDESK"/>
    <m/>
    <e v="#N/A"/>
    <e v="#N/A"/>
    <n v="64203"/>
    <s v=" RC2FST55ZQ"/>
    <s v="AIRBNB"/>
    <s v="Q1"/>
    <e v="#REF!"/>
    <e v="#REF!"/>
    <e v="#REF!"/>
  </r>
  <r>
    <s v="467100"/>
    <x v="6"/>
    <s v="COMPTE PIVOT P2P"/>
    <s v="SP"/>
    <n v="-182.39"/>
    <d v="2025-10-16T00:00:00"/>
    <s v="RÈGLEMENT PAR CARTE SPENDESK"/>
    <s v="Non"/>
    <s v="Non"/>
    <e v="#N/A"/>
    <n v="87665"/>
    <s v="7,81154E+11"/>
    <s v="LINKEDIN"/>
    <s v="Q4"/>
    <e v="#REF!"/>
    <e v="#REF!"/>
    <e v="#REF!"/>
  </r>
  <r>
    <s v="467100"/>
    <x v="6"/>
    <s v="COMPTE PIVOT P2P"/>
    <s v="SP"/>
    <n v="-181.54"/>
    <d v="2025-09-19T00:00:00"/>
    <s v="RÈGLEMENT PAR CARTE SPENDESK"/>
    <m/>
    <e v="#N/A"/>
    <e v="#N/A"/>
    <n v="83110"/>
    <s v="72ec65c6-2b8a-5aa3-b3c4-291bf2fc5861"/>
    <s v="AIRLINES"/>
    <s v="Q3"/>
    <e v="#REF!"/>
    <e v="#REF!"/>
    <e v="#REF!"/>
  </r>
  <r>
    <s v="467100"/>
    <x v="6"/>
    <s v="COMPTE PIVOT P2P"/>
    <s v="SP"/>
    <n v="-181.54"/>
    <d v="2025-09-19T00:00:00"/>
    <s v="RÈGLEMENT PAR CARTE SPENDESK"/>
    <m/>
    <s v="Non"/>
    <e v="#N/A"/>
    <n v="83112"/>
    <s v="5943d6e0-5e82-5287-9d93-6dd06d196f23"/>
    <s v="DIVERS"/>
    <s v="Q3"/>
    <e v="#REF!"/>
    <e v="#REF!"/>
    <e v="#REF!"/>
  </r>
  <r>
    <s v="467100"/>
    <x v="6"/>
    <s v="COMPTE PIVOT P2P"/>
    <s v="SP"/>
    <n v="-178.36"/>
    <d v="2025-07-12T00:00:00"/>
    <s v="RÈGLEMENT PAR CARTE SPENDESK"/>
    <m/>
    <e v="#N/A"/>
    <e v="#N/A"/>
    <n v="80933"/>
    <s v="85ebf491-ea7b-58cf-b206-672eef4c4114"/>
    <s v="RS COMPONENT"/>
    <s v="Q3"/>
    <e v="#REF!"/>
    <e v="#REF!"/>
    <e v="#REF!"/>
  </r>
  <r>
    <s v="467100"/>
    <x v="6"/>
    <s v="COMPTE PIVOT P2P"/>
    <s v="SP"/>
    <n v="-176"/>
    <d v="2025-01-23T00:00:00"/>
    <s v="RÈGLEMENT PAR CARTE SPENDESK"/>
    <m/>
    <e v="#N/A"/>
    <e v="#N/A"/>
    <n v="60008"/>
    <s v="56"/>
    <s v="SNCF"/>
    <s v="Q1"/>
    <e v="#REF!"/>
    <e v="#REF!"/>
    <e v="#REF!"/>
  </r>
  <r>
    <s v="467100"/>
    <x v="6"/>
    <s v="COMPTE PIVOT P2P"/>
    <s v="SP"/>
    <n v="-176"/>
    <d v="2025-02-12T00:00:00"/>
    <s v="RÈGLEMENT PAR CARTE SPENDESK"/>
    <m/>
    <e v="#N/A"/>
    <e v="#N/A"/>
    <n v="64197"/>
    <s v="cd3ce30d-c474-51b0-ac3d-7bd88efbfc4d"/>
    <s v="SNCF"/>
    <s v="Q1"/>
    <e v="#REF!"/>
    <e v="#REF!"/>
    <e v="#REF!"/>
  </r>
  <r>
    <s v="467100"/>
    <x v="6"/>
    <s v="COMPTE PIVOT P2P"/>
    <s v="SP"/>
    <n v="-176"/>
    <d v="2025-05-24T00:00:00"/>
    <s v="RÈGLEMENT PAR CARTE SPENDESK"/>
    <m/>
    <e v="#N/A"/>
    <e v="#N/A"/>
    <n v="75070"/>
    <s v="71ad2f83-ab07-5de8-a70f-d296b530049e"/>
    <s v="SNCF"/>
    <s v="Q2"/>
    <e v="#REF!"/>
    <e v="#REF!"/>
    <e v="#REF!"/>
  </r>
  <r>
    <s v="467100"/>
    <x v="6"/>
    <s v="COMPTE PIVOT P2P"/>
    <s v="SP"/>
    <n v="-176"/>
    <d v="2025-05-27T00:00:00"/>
    <s v="RÈGLEMENT PAR CARTE SPENDESK"/>
    <m/>
    <e v="#N/A"/>
    <e v="#N/A"/>
    <n v="75076"/>
    <s v="410390444"/>
    <s v="SNCF"/>
    <s v="Q2"/>
    <e v="#REF!"/>
    <e v="#REF!"/>
    <e v="#REF!"/>
  </r>
  <r>
    <s v="467100"/>
    <x v="6"/>
    <s v="COMPTE PIVOT P2P"/>
    <s v="SP"/>
    <n v="-176"/>
    <d v="2025-09-15T00:00:00"/>
    <s v="RÈGLEMENT PAR CARTE SPENDESK"/>
    <m/>
    <e v="#N/A"/>
    <e v="#N/A"/>
    <n v="83098"/>
    <s v="75dbca78-e2f5-520b-86f9-ed57b81ffe9c"/>
    <s v="SNCF"/>
    <s v="Q3"/>
    <e v="#REF!"/>
    <e v="#REF!"/>
    <e v="#REF!"/>
  </r>
  <r>
    <s v="467100"/>
    <x v="6"/>
    <s v="COMPTE PIVOT P2P"/>
    <s v="SP"/>
    <n v="-176"/>
    <d v="2025-10-21T00:00:00"/>
    <s v="RÈGLEMENT PAR CARTE SPENDESK"/>
    <m/>
    <e v="#N/A"/>
    <e v="#N/A"/>
    <n v="87669"/>
    <s v="4LJC74"/>
    <s v="SNCF"/>
    <s v="Q4"/>
    <e v="#REF!"/>
    <e v="#REF!"/>
    <e v="#REF!"/>
  </r>
  <r>
    <s v="467100"/>
    <x v="6"/>
    <s v="COMPTE PIVOT P2P"/>
    <s v="SP"/>
    <n v="-174.99"/>
    <d v="2025-06-12T00:00:00"/>
    <s v="RÈGLEMENT PAR CARTE SPENDESK"/>
    <m/>
    <e v="#N/A"/>
    <e v="#N/A"/>
    <n v="78084"/>
    <s v="ac2a8cee-fb13-52e8-9d60-7da8e8d0ffdd"/>
    <s v="AIChE"/>
    <s v="Q2"/>
    <e v="#REF!"/>
    <e v="#REF!"/>
    <e v="#REF!"/>
  </r>
  <r>
    <s v="467100"/>
    <x v="6"/>
    <s v="COMPTE PIVOT P2P"/>
    <s v="SP"/>
    <n v="-174.96"/>
    <d v="2025-02-15T00:00:00"/>
    <s v="RÈGLEMENT PAR CARTE SPENDESK"/>
    <m/>
    <e v="#N/A"/>
    <e v="#N/A"/>
    <n v="64217"/>
    <s v="2952af1a-3311-5ecc-80e9-46d181080205"/>
    <s v="PROLIANS"/>
    <s v="Q1"/>
    <e v="#REF!"/>
    <e v="#REF!"/>
    <e v="#REF!"/>
  </r>
  <r>
    <s v="467100"/>
    <x v="6"/>
    <s v="COMPTE PIVOT P2P"/>
    <s v="SP"/>
    <n v="-174"/>
    <d v="2025-01-08T00:00:00"/>
    <s v="RÈGLEMENT PAR CARTE SPENDESK"/>
    <m/>
    <e v="#N/A"/>
    <e v="#N/A"/>
    <n v="59980"/>
    <s v="30e2f434-4f8a-5f8b-8d5a-60246e8f91bc"/>
    <s v="SNCF"/>
    <s v="Q1"/>
    <e v="#REF!"/>
    <e v="#REF!"/>
    <e v="#REF!"/>
  </r>
  <r>
    <s v="467100"/>
    <x v="6"/>
    <s v="COMPTE PIVOT P2P"/>
    <s v="SP"/>
    <n v="-172.8"/>
    <d v="2025-07-05T00:00:00"/>
    <s v="RÈGLEMENT PAR CARTE SPENDESK"/>
    <m/>
    <e v="#N/A"/>
    <e v="#N/A"/>
    <n v="80923"/>
    <s v="M010257369"/>
    <s v="MANUTAN"/>
    <s v="Q3"/>
    <e v="#REF!"/>
    <e v="#REF!"/>
    <e v="#REF!"/>
  </r>
  <r>
    <s v="467100"/>
    <x v="6"/>
    <s v="COMPTE PIVOT P2P"/>
    <s v="SP"/>
    <n v="-172.78"/>
    <d v="2025-12-04T00:00:00"/>
    <s v="RÈGLEMENT PAR CARTE SPENDESK"/>
    <m/>
    <e v="#N/A"/>
    <e v="#N/A"/>
    <n v="93998"/>
    <s v="69753fd8-2d3e-5de1-9a68-a3bd620dcd5d"/>
    <s v="GANDI"/>
    <s v="Q4"/>
    <e v="#REF!"/>
    <e v="#REF!"/>
    <e v="#REF!"/>
  </r>
  <r>
    <s v="467100"/>
    <x v="6"/>
    <s v="COMPTE PIVOT P2P"/>
    <s v="SP"/>
    <n v="-172"/>
    <d v="2025-10-29T00:00:00"/>
    <s v="RÈGLEMENT PAR CARTE SPENDESK"/>
    <m/>
    <e v="#N/A"/>
    <e v="#N/A"/>
    <n v="87693"/>
    <s v="32"/>
    <s v="SNCF"/>
    <s v="Q4"/>
    <e v="#REF!"/>
    <e v="#REF!"/>
    <e v="#REF!"/>
  </r>
  <r>
    <s v="467100"/>
    <x v="6"/>
    <s v="COMPTE PIVOT P2P"/>
    <s v="SP"/>
    <n v="-171.22"/>
    <d v="2025-10-01T00:00:00"/>
    <s v="RÈGLEMENT PAR CARTE SPENDESK"/>
    <m/>
    <e v="#N/A"/>
    <e v="#N/A"/>
    <n v="87619"/>
    <s v="0ef7fab9-99f4-56d3-b3aa-b24ce7a08881"/>
    <s v="AIRLINES"/>
    <s v="Q4"/>
    <e v="#REF!"/>
    <e v="#REF!"/>
    <e v="#REF!"/>
  </r>
  <r>
    <s v="467100"/>
    <x v="6"/>
    <s v="COMPTE PIVOT P2P"/>
    <s v="SP"/>
    <n v="-168.59"/>
    <d v="2025-10-30T00:00:00"/>
    <s v="RÈGLEMENT PAR CARTE SPENDESK"/>
    <s v="Non"/>
    <s v="Non"/>
    <e v="#N/A"/>
    <n v="87703"/>
    <s v="781157960176"/>
    <s v="LINKEDIN"/>
    <s v="Q4"/>
    <e v="#REF!"/>
    <e v="#REF!"/>
    <e v="#REF!"/>
  </r>
  <r>
    <s v="467100"/>
    <x v="6"/>
    <s v="COMPTE PIVOT P2P"/>
    <s v="SP"/>
    <n v="-168.59"/>
    <d v="2025-11-27T00:00:00"/>
    <s v="RÈGLEMENT PAR CARTE SPENDESK"/>
    <s v="Non"/>
    <s v="Non"/>
    <e v="#N/A"/>
    <n v="91558"/>
    <s v="781177254465"/>
    <s v="LINKEDIN"/>
    <s v="Q4"/>
    <e v="#REF!"/>
    <e v="#REF!"/>
    <e v="#REF!"/>
  </r>
  <r>
    <s v="467100"/>
    <x v="6"/>
    <s v="COMPTE PIVOT P2P"/>
    <s v="SP"/>
    <n v="-168.59"/>
    <d v="2025-12-27T00:00:00"/>
    <s v="RÈGLEMENT PAR CARTE SPENDESK"/>
    <s v="Non"/>
    <s v="Non"/>
    <e v="#N/A"/>
    <n v="94046"/>
    <s v="781184744822"/>
    <s v="LINKEDIN"/>
    <s v="Q4"/>
    <e v="#REF!"/>
    <e v="#REF!"/>
    <e v="#REF!"/>
  </r>
  <r>
    <s v="467100"/>
    <x v="6"/>
    <s v="COMPTE PIVOT P2P"/>
    <s v="SP"/>
    <n v="-167.8"/>
    <d v="2025-06-20T00:00:00"/>
    <s v="RÈGLEMENT PAR CARTE SPENDESK"/>
    <m/>
    <e v="#N/A"/>
    <e v="#N/A"/>
    <n v="78106"/>
    <s v="9d20d197-be0a-5d8e-acde-8e1e9bb91085"/>
    <s v="NMMEDICAL"/>
    <s v="Q2"/>
    <e v="#REF!"/>
    <e v="#REF!"/>
    <e v="#REF!"/>
  </r>
  <r>
    <s v="467100"/>
    <x v="6"/>
    <s v="COMPTE PIVOT P2P"/>
    <s v="SP"/>
    <n v="-159.5"/>
    <d v="2025-05-01T00:00:00"/>
    <s v="RÈGLEMENT PAR CARTE SPENDESK"/>
    <m/>
    <s v="Non"/>
    <e v="#N/A"/>
    <n v="74726"/>
    <s v="b7bcfdd4-4627-5bc6-9f11-96c5baae2869"/>
    <s v="DIVERS"/>
    <s v="Q2"/>
    <e v="#REF!"/>
    <e v="#REF!"/>
    <e v="#REF!"/>
  </r>
  <r>
    <s v="467100"/>
    <x v="6"/>
    <s v="COMPTE PIVOT P2P"/>
    <s v="SP"/>
    <n v="-159"/>
    <d v="2025-02-14T00:00:00"/>
    <s v="RÈGLEMENT PAR CARTE SPENDESK"/>
    <m/>
    <e v="#N/A"/>
    <e v="#N/A"/>
    <n v="64211"/>
    <s v="2"/>
    <s v="SNCF"/>
    <s v="Q1"/>
    <e v="#REF!"/>
    <e v="#REF!"/>
    <e v="#REF!"/>
  </r>
  <r>
    <s v="467100"/>
    <x v="6"/>
    <s v="COMPTE PIVOT P2P"/>
    <s v="SP"/>
    <n v="-156"/>
    <d v="2025-02-18T00:00:00"/>
    <s v="RÈGLEMENT PAR CARTE SPENDESK"/>
    <m/>
    <e v="#N/A"/>
    <e v="#N/A"/>
    <n v="64223"/>
    <s v="986155"/>
    <s v="SNCF"/>
    <s v="Q1"/>
    <e v="#REF!"/>
    <e v="#REF!"/>
    <e v="#REF!"/>
  </r>
  <r>
    <s v="467100"/>
    <x v="6"/>
    <s v="COMPTE PIVOT P2P"/>
    <s v="SP"/>
    <n v="-154.97999999999999"/>
    <d v="2025-01-06T00:00:00"/>
    <s v="RÈGLEMENT PAR CARTE SPENDESK"/>
    <m/>
    <e v="#N/A"/>
    <e v="#N/A"/>
    <n v="59970"/>
    <s v="7936452b-7820-505d-80dd-336f67a0bed1"/>
    <s v="ADOBE"/>
    <s v="Q1"/>
    <e v="#REF!"/>
    <e v="#REF!"/>
    <e v="#REF!"/>
  </r>
  <r>
    <s v="467100"/>
    <x v="6"/>
    <s v="COMPTE PIVOT P2P"/>
    <s v="SP"/>
    <n v="-154.97999999999999"/>
    <d v="2025-02-06T00:00:00"/>
    <s v="RÈGLEMENT PAR CARTE SPENDESK"/>
    <m/>
    <e v="#N/A"/>
    <e v="#N/A"/>
    <n v="64177"/>
    <s v="fd350fca-f65d-5ca7-b6d8-db2a00e41b18"/>
    <s v="ADOBE"/>
    <s v="Q1"/>
    <e v="#REF!"/>
    <e v="#REF!"/>
    <e v="#REF!"/>
  </r>
  <r>
    <s v="467100"/>
    <x v="6"/>
    <s v="COMPTE PIVOT P2P"/>
    <s v="SP"/>
    <n v="-154.97999999999999"/>
    <d v="2025-03-06T00:00:00"/>
    <s v="RÈGLEMENT PAR CARTE SPENDESK"/>
    <m/>
    <e v="#N/A"/>
    <e v="#N/A"/>
    <n v="66211"/>
    <s v="75d7ec6c-188f-5c53-bda8-2338c5da8fe4"/>
    <s v="ADOBE"/>
    <s v="Q1"/>
    <e v="#REF!"/>
    <e v="#REF!"/>
    <e v="#REF!"/>
  </r>
  <r>
    <s v="467100"/>
    <x v="6"/>
    <s v="COMPTE PIVOT P2P"/>
    <s v="SP"/>
    <n v="-154.97999999999999"/>
    <d v="2025-04-06T00:00:00"/>
    <s v="RÈGLEMENT PAR CARTE SPENDESK"/>
    <m/>
    <e v="#N/A"/>
    <e v="#N/A"/>
    <n v="74672"/>
    <s v="8402a519-790c-5254-b78f-b9a56d546590"/>
    <s v="ADOBE"/>
    <s v="Q2"/>
    <e v="#REF!"/>
    <e v="#REF!"/>
    <e v="#REF!"/>
  </r>
  <r>
    <s v="467100"/>
    <x v="6"/>
    <s v="COMPTE PIVOT P2P"/>
    <s v="SP"/>
    <n v="-154.97999999999999"/>
    <d v="2025-05-06T00:00:00"/>
    <s v="RÈGLEMENT PAR CARTE SPENDESK"/>
    <m/>
    <e v="#N/A"/>
    <e v="#N/A"/>
    <n v="75042"/>
    <s v="2df33644-ad80-59df-9447-c8ed53b17751"/>
    <s v="ADOBE"/>
    <s v="Q2"/>
    <e v="#REF!"/>
    <e v="#REF!"/>
    <e v="#REF!"/>
  </r>
  <r>
    <s v="467100"/>
    <x v="6"/>
    <s v="COMPTE PIVOT P2P"/>
    <s v="SP"/>
    <n v="-154.97999999999999"/>
    <d v="2025-06-06T00:00:00"/>
    <s v="RÈGLEMENT PAR CARTE SPENDESK"/>
    <m/>
    <e v="#N/A"/>
    <e v="#N/A"/>
    <n v="78078"/>
    <s v="820f90eb-93ae-5f7e-b244-b4b17a89faef"/>
    <s v="ADOBE"/>
    <s v="Q2"/>
    <e v="#REF!"/>
    <e v="#REF!"/>
    <e v="#REF!"/>
  </r>
  <r>
    <s v="467100"/>
    <x v="6"/>
    <s v="COMPTE PIVOT P2P"/>
    <s v="SP"/>
    <n v="-154.97999999999999"/>
    <d v="2025-07-06T00:00:00"/>
    <s v="RÈGLEMENT PAR CARTE SPENDESK"/>
    <m/>
    <e v="#N/A"/>
    <e v="#N/A"/>
    <n v="80927"/>
    <s v="bb2c7f4b-0e3d-56bd-b877-eeeec3bd197b"/>
    <s v="ADOBE"/>
    <s v="Q3"/>
    <e v="#REF!"/>
    <e v="#REF!"/>
    <e v="#REF!"/>
  </r>
  <r>
    <s v="467100"/>
    <x v="6"/>
    <s v="COMPTE PIVOT P2P"/>
    <s v="SP"/>
    <n v="-154.97999999999999"/>
    <d v="2025-08-06T00:00:00"/>
    <s v="RÈGLEMENT PAR CARTE SPENDESK"/>
    <m/>
    <e v="#N/A"/>
    <e v="#N/A"/>
    <n v="83206"/>
    <s v="80ba2f36-7bea-59ef-89b6-22f03233da30"/>
    <s v="ADOBE"/>
    <s v="Q3"/>
    <e v="#REF!"/>
    <e v="#REF!"/>
    <e v="#REF!"/>
  </r>
  <r>
    <s v="467100"/>
    <x v="6"/>
    <s v="COMPTE PIVOT P2P"/>
    <s v="SP"/>
    <n v="-154.97999999999999"/>
    <d v="2025-09-06T00:00:00"/>
    <s v="RÈGLEMENT PAR CARTE SPENDESK"/>
    <m/>
    <e v="#N/A"/>
    <e v="#N/A"/>
    <n v="83066"/>
    <s v="3d2167af-f5c3-5adc-a277-44527fcdbeab"/>
    <s v="ADOBE"/>
    <s v="Q3"/>
    <e v="#REF!"/>
    <e v="#REF!"/>
    <e v="#REF!"/>
  </r>
  <r>
    <s v="467100"/>
    <x v="6"/>
    <s v="COMPTE PIVOT P2P"/>
    <s v="SP"/>
    <n v="-154.97999999999999"/>
    <d v="2025-10-06T00:00:00"/>
    <s v="RÈGLEMENT PAR CARTE SPENDESK"/>
    <m/>
    <e v="#N/A"/>
    <e v="#N/A"/>
    <n v="87635"/>
    <s v="IEE2025014888454"/>
    <s v="ADOBE"/>
    <s v="Q4"/>
    <e v="#REF!"/>
    <e v="#REF!"/>
    <e v="#REF!"/>
  </r>
  <r>
    <s v="467100"/>
    <x v="6"/>
    <s v="COMPTE PIVOT P2P"/>
    <s v="SP"/>
    <n v="-154.97999999999999"/>
    <d v="2025-11-06T00:00:00"/>
    <s v="RÈGLEMENT PAR CARTE SPENDESK"/>
    <m/>
    <e v="#N/A"/>
    <e v="#N/A"/>
    <n v="91512"/>
    <s v="e1bf9e45-8faf-54b5-87a2-c1280fe0786a"/>
    <s v="ADOBE"/>
    <s v="Q4"/>
    <e v="#REF!"/>
    <e v="#REF!"/>
    <e v="#REF!"/>
  </r>
  <r>
    <s v="467100"/>
    <x v="6"/>
    <s v="COMPTE PIVOT P2P"/>
    <s v="SP"/>
    <n v="-154.97999999999999"/>
    <d v="2025-12-06T00:00:00"/>
    <s v="RÈGLEMENT PAR CARTE SPENDESK"/>
    <m/>
    <e v="#N/A"/>
    <e v="#N/A"/>
    <n v="94004"/>
    <s v="8a6e25db-493c-5b60-a814-c640b27a1bf8"/>
    <s v="ADOBE"/>
    <s v="Q4"/>
    <e v="#REF!"/>
    <e v="#REF!"/>
    <e v="#REF!"/>
  </r>
  <r>
    <s v="467100"/>
    <x v="6"/>
    <s v="COMPTE PIVOT P2P"/>
    <s v="SP"/>
    <n v="-154.72"/>
    <d v="2025-04-04T00:00:00"/>
    <s v="RÈGLEMENT PAR CARTE SPENDESK"/>
    <m/>
    <e v="#N/A"/>
    <e v="#N/A"/>
    <n v="74666"/>
    <s v="826ab6d9-c4c0-5410-a425-a0058fb88b6d"/>
    <s v="BOHLENDER"/>
    <s v="Q2"/>
    <e v="#REF!"/>
    <e v="#REF!"/>
    <e v="#REF!"/>
  </r>
  <r>
    <s v="467100"/>
    <x v="6"/>
    <s v="COMPTE PIVOT P2P"/>
    <s v="SP"/>
    <n v="-154.59"/>
    <d v="2025-05-31T00:00:00"/>
    <s v="RÈGLEMENT PAR CARTE SPENDESK"/>
    <m/>
    <e v="#N/A"/>
    <e v="#N/A"/>
    <n v="75084"/>
    <s v="4901/563037"/>
    <s v="ROUGIER ET PIE"/>
    <s v="Q2"/>
    <e v="#REF!"/>
    <e v="#REF!"/>
    <e v="#REF!"/>
  </r>
  <r>
    <s v="467100"/>
    <x v="6"/>
    <s v="COMPTE PIVOT P2P"/>
    <s v="SP"/>
    <n v="-152.33000000000001"/>
    <d v="2025-02-11T00:00:00"/>
    <s v="RÈGLEMENT PAR CARTE SPENDESK"/>
    <m/>
    <e v="#N/A"/>
    <e v="#N/A"/>
    <n v="64193"/>
    <s v="bac1b296-16b8-5837-ba66-f23dfc4636ec"/>
    <s v="OFFICE DEPOT"/>
    <s v="Q1"/>
    <e v="#REF!"/>
    <e v="#REF!"/>
    <e v="#REF!"/>
  </r>
  <r>
    <s v="467100"/>
    <x v="6"/>
    <s v="COMPTE PIVOT P2P"/>
    <s v="SP"/>
    <n v="-152.15"/>
    <d v="2025-09-17T00:00:00"/>
    <s v="RÈGLEMENT PAR CARTE SPENDESK"/>
    <m/>
    <e v="#N/A"/>
    <e v="#N/A"/>
    <n v="83102"/>
    <s v="41a3aa49-4c70-5a8b-8016-12de9a5a04be"/>
    <s v="AIRBNB"/>
    <s v="Q3"/>
    <e v="#REF!"/>
    <e v="#REF!"/>
    <e v="#REF!"/>
  </r>
  <r>
    <s v="467100"/>
    <x v="6"/>
    <s v="COMPTE PIVOT P2P"/>
    <s v="SP"/>
    <n v="-149"/>
    <d v="2025-02-01T00:00:00"/>
    <s v="RÈGLEMENT PAR CARTE SPENDESK"/>
    <m/>
    <e v="#N/A"/>
    <e v="#N/A"/>
    <n v="64151"/>
    <s v="ea24b637-7f5f-5b7c-8a76-70efbd0220b0"/>
    <s v="SNCF"/>
    <s v="Q1"/>
    <e v="#REF!"/>
    <e v="#REF!"/>
    <e v="#REF!"/>
  </r>
  <r>
    <s v="467100"/>
    <x v="6"/>
    <s v="COMPTE PIVOT P2P"/>
    <s v="SP"/>
    <n v="-147.69"/>
    <d v="2025-10-30T00:00:00"/>
    <s v="RÈGLEMENT PAR CARTE SPENDESK"/>
    <m/>
    <e v="#N/A"/>
    <e v="#N/A"/>
    <n v="87701"/>
    <s v="RCDAAZDFBA"/>
    <s v="AIRBNB"/>
    <s v="Q4"/>
    <e v="#REF!"/>
    <e v="#REF!"/>
    <e v="#REF!"/>
  </r>
  <r>
    <s v="467100"/>
    <x v="6"/>
    <s v="COMPTE PIVOT P2P"/>
    <s v="SP"/>
    <n v="-147"/>
    <d v="2025-02-18T00:00:00"/>
    <s v="RÈGLEMENT PAR CARTE SPENDESK"/>
    <m/>
    <e v="#N/A"/>
    <e v="#N/A"/>
    <n v="64225"/>
    <s v="4"/>
    <s v="SNCF"/>
    <s v="Q1"/>
    <e v="#REF!"/>
    <e v="#REF!"/>
    <e v="#REF!"/>
  </r>
  <r>
    <s v="467100"/>
    <x v="6"/>
    <s v="COMPTE PIVOT P2P"/>
    <s v="SP"/>
    <n v="-146.1"/>
    <d v="2025-05-24T00:00:00"/>
    <s v="RÈGLEMENT PAR CARTE SPENDESK"/>
    <m/>
    <e v="#N/A"/>
    <e v="#N/A"/>
    <n v="75072"/>
    <s v="4332431491"/>
    <s v="WURTH FRANCE"/>
    <s v="Q2"/>
    <e v="#REF!"/>
    <e v="#REF!"/>
    <e v="#REF!"/>
  </r>
  <r>
    <s v="467100"/>
    <x v="6"/>
    <s v="COMPTE PIVOT P2P"/>
    <s v="SP"/>
    <n v="-145.19"/>
    <d v="2025-03-04T00:00:00"/>
    <s v="RÈGLEMENT PAR CARTE SPENDESK"/>
    <m/>
    <s v="Non"/>
    <e v="#N/A"/>
    <n v="66203"/>
    <s v="2a17e029-91bd-5132-bb74-c6af428d479c"/>
    <s v="DIVERS"/>
    <s v="Q1"/>
    <e v="#REF!"/>
    <e v="#REF!"/>
    <e v="#REF!"/>
  </r>
  <r>
    <s v="467100"/>
    <x v="6"/>
    <s v="COMPTE PIVOT P2P"/>
    <s v="SP"/>
    <n v="-144.30000000000001"/>
    <d v="2025-09-10T00:00:00"/>
    <s v="RÈGLEMENT PAR CARTE SPENDESK"/>
    <m/>
    <e v="#N/A"/>
    <e v="#N/A"/>
    <n v="83080"/>
    <s v="6cd1fe61-0ac7-5139-93f9-2d482f30737c"/>
    <s v="AIRBNB"/>
    <s v="Q3"/>
    <e v="#REF!"/>
    <e v="#REF!"/>
    <e v="#REF!"/>
  </r>
  <r>
    <s v="467100"/>
    <x v="6"/>
    <s v="COMPTE PIVOT P2P"/>
    <s v="SP"/>
    <n v="-142.86000000000001"/>
    <d v="2025-11-14T00:00:00"/>
    <s v="RÈGLEMENT PAR CARTE SPENDESK"/>
    <m/>
    <e v="#N/A"/>
    <e v="#N/A"/>
    <n v="91524"/>
    <s v="8c17f9ed-651c-5c74-a7e4-7ae7f006a708"/>
    <s v="BRUNEAU"/>
    <s v="Q4"/>
    <e v="#REF!"/>
    <e v="#REF!"/>
    <e v="#REF!"/>
  </r>
  <r>
    <s v="467100"/>
    <x v="6"/>
    <s v="COMPTE PIVOT P2P"/>
    <s v="SP"/>
    <n v="-140.74"/>
    <d v="2025-03-27T00:00:00"/>
    <s v="RÈGLEMENT PAR CARTE SPENDESK"/>
    <m/>
    <e v="#N/A"/>
    <e v="#N/A"/>
    <n v="66271"/>
    <s v="5ff7cbfe-a864-5161-9d38-2b5e6cb77cd2"/>
    <s v="FISHER SCIENTIFIC"/>
    <s v="Q1"/>
    <e v="#REF!"/>
    <e v="#REF!"/>
    <e v="#REF!"/>
  </r>
  <r>
    <s v="467100"/>
    <x v="6"/>
    <s v="COMPTE PIVOT P2P"/>
    <s v="SP"/>
    <n v="-134.30000000000001"/>
    <d v="2025-05-13T00:00:00"/>
    <s v="RÈGLEMENT PAR CARTE SPENDESK"/>
    <m/>
    <e v="#N/A"/>
    <e v="#N/A"/>
    <n v="75050"/>
    <s v="48108da9-a4a5-541d-87c6-f586773c71ca"/>
    <s v="GANDI"/>
    <s v="Q2"/>
    <e v="#REF!"/>
    <e v="#REF!"/>
    <e v="#REF!"/>
  </r>
  <r>
    <s v="467100"/>
    <x v="6"/>
    <s v="COMPTE PIVOT P2P"/>
    <s v="SP"/>
    <n v="-134"/>
    <d v="2025-04-10T00:00:00"/>
    <s v="RÈGLEMENT PAR CARTE SPENDESK"/>
    <m/>
    <e v="#N/A"/>
    <e v="#N/A"/>
    <n v="74680"/>
    <s v="1fa2b4cc-1093-50fa-bd09-58e4f854948c"/>
    <s v="SNCF"/>
    <s v="Q2"/>
    <e v="#REF!"/>
    <e v="#REF!"/>
    <e v="#REF!"/>
  </r>
  <r>
    <s v="467100"/>
    <x v="6"/>
    <s v="COMPTE PIVOT P2P"/>
    <s v="SP"/>
    <n v="-128.93"/>
    <d v="2025-10-25T00:00:00"/>
    <s v="RÈGLEMENT PAR CARTE SPENDESK"/>
    <m/>
    <e v="#N/A"/>
    <e v="#N/A"/>
    <n v="87687"/>
    <s v="2025/AES063627"/>
    <s v="AIRLINES"/>
    <s v="Q4"/>
    <e v="#REF!"/>
    <e v="#REF!"/>
    <e v="#REF!"/>
  </r>
  <r>
    <s v="467100"/>
    <x v="6"/>
    <s v="COMPTE PIVOT P2P"/>
    <s v="SP"/>
    <n v="-128"/>
    <d v="2025-09-05T00:00:00"/>
    <s v="RÈGLEMENT PAR CARTE SPENDESK"/>
    <m/>
    <e v="#N/A"/>
    <e v="#N/A"/>
    <n v="83060"/>
    <s v="1d74e2b8-92e8-5859-b37b-17a4c00d9c33"/>
    <s v="SNCF"/>
    <s v="Q3"/>
    <e v="#REF!"/>
    <e v="#REF!"/>
    <e v="#REF!"/>
  </r>
  <r>
    <s v="467100"/>
    <x v="6"/>
    <s v="COMPTE PIVOT P2P"/>
    <s v="SP"/>
    <n v="-128"/>
    <d v="2025-10-09T00:00:00"/>
    <s v="RÈGLEMENT PAR CARTE SPENDESK"/>
    <m/>
    <e v="#N/A"/>
    <e v="#N/A"/>
    <n v="87645"/>
    <s v="12"/>
    <s v="SNCF"/>
    <s v="Q4"/>
    <e v="#REF!"/>
    <e v="#REF!"/>
    <e v="#REF!"/>
  </r>
  <r>
    <s v="467100"/>
    <x v="6"/>
    <s v="COMPTE PIVOT P2P"/>
    <s v="SP"/>
    <n v="-128"/>
    <d v="2025-11-18T00:00:00"/>
    <s v="RÈGLEMENT PAR CARTE SPENDESK"/>
    <m/>
    <e v="#N/A"/>
    <e v="#N/A"/>
    <n v="91544"/>
    <s v="0b90d270-4091-5648-8ceb-24775547aa0a"/>
    <s v="SNCF"/>
    <s v="Q4"/>
    <e v="#REF!"/>
    <e v="#REF!"/>
    <e v="#REF!"/>
  </r>
  <r>
    <s v="467100"/>
    <x v="6"/>
    <s v="COMPTE PIVOT P2P"/>
    <s v="SP"/>
    <n v="-128"/>
    <d v="2025-11-25T00:00:00"/>
    <s v="RÈGLEMENT PAR CARTE SPENDESK"/>
    <m/>
    <e v="#N/A"/>
    <e v="#N/A"/>
    <n v="91554"/>
    <s v="a515b936-f8b2-5e7c-b775-d00c887fe909"/>
    <s v="SNCF"/>
    <s v="Q4"/>
    <e v="#REF!"/>
    <e v="#REF!"/>
    <e v="#REF!"/>
  </r>
  <r>
    <s v="467100"/>
    <x v="6"/>
    <s v="COMPTE PIVOT P2P"/>
    <s v="SP"/>
    <n v="-126.59"/>
    <d v="2025-01-26T00:00:00"/>
    <s v="RÈGLEMENT PAR CARTE SPENDESK"/>
    <m/>
    <e v="#N/A"/>
    <e v="#N/A"/>
    <n v="60022"/>
    <s v="64"/>
    <s v="RS COMPONENT"/>
    <s v="Q1"/>
    <e v="#REF!"/>
    <e v="#REF!"/>
    <e v="#REF!"/>
  </r>
  <r>
    <s v="467100"/>
    <x v="6"/>
    <s v="COMPTE PIVOT P2P"/>
    <s v="SP"/>
    <n v="-125.83"/>
    <d v="2025-10-14T00:00:00"/>
    <s v="RÈGLEMENT PAR CARTE SPENDESK"/>
    <s v="Non"/>
    <s v="Non"/>
    <e v="#N/A"/>
    <n v="87655"/>
    <s v="7,81153E+11"/>
    <s v="LINKEDIN"/>
    <s v="Q4"/>
    <e v="#REF!"/>
    <e v="#REF!"/>
    <e v="#REF!"/>
  </r>
  <r>
    <s v="467100"/>
    <x v="6"/>
    <s v="COMPTE PIVOT P2P"/>
    <s v="SP"/>
    <n v="-124"/>
    <d v="2025-12-09T00:00:00"/>
    <s v="RÈGLEMENT PAR CARTE SPENDESK"/>
    <m/>
    <e v="#N/A"/>
    <e v="#N/A"/>
    <n v="94010"/>
    <s v="b6643e22-cba9-5854-9f25-55e1d5c95b1c"/>
    <s v="SNCF"/>
    <s v="Q4"/>
    <e v="#REF!"/>
    <e v="#REF!"/>
    <e v="#REF!"/>
  </r>
  <r>
    <s v="467100"/>
    <x v="6"/>
    <s v="COMPTE PIVOT P2P"/>
    <s v="SP"/>
    <n v="-122.63"/>
    <d v="2025-01-08T00:00:00"/>
    <s v="RÈGLEMENT PAR CARTE SPENDESK"/>
    <m/>
    <e v="#N/A"/>
    <e v="#N/A"/>
    <n v="59976"/>
    <s v="19"/>
    <s v="AVIS"/>
    <s v="Q1"/>
    <e v="#REF!"/>
    <e v="#REF!"/>
    <e v="#REF!"/>
  </r>
  <r>
    <s v="467100"/>
    <x v="6"/>
    <s v="COMPTE PIVOT P2P"/>
    <s v="SP"/>
    <n v="-122"/>
    <d v="2025-04-04T00:00:00"/>
    <s v="RÈGLEMENT PAR CARTE SPENDESK"/>
    <m/>
    <e v="#N/A"/>
    <e v="#N/A"/>
    <n v="74664"/>
    <s v="de02ab6d-709a-5bd8-97ec-2ce1461e372f"/>
    <s v="SNCF"/>
    <s v="Q2"/>
    <e v="#REF!"/>
    <e v="#REF!"/>
    <e v="#REF!"/>
  </r>
  <r>
    <s v="467100"/>
    <x v="6"/>
    <s v="COMPTE PIVOT P2P"/>
    <s v="SP"/>
    <n v="-122"/>
    <d v="2025-09-03T00:00:00"/>
    <s v="RÈGLEMENT PAR CARTE SPENDESK"/>
    <m/>
    <e v="#N/A"/>
    <e v="#N/A"/>
    <n v="83056"/>
    <s v="45bfb4df-84d1-5810-8a21-3d0b85e7c816"/>
    <s v="SNCF"/>
    <s v="Q3"/>
    <e v="#REF!"/>
    <e v="#REF!"/>
    <e v="#REF!"/>
  </r>
  <r>
    <s v="467100"/>
    <x v="6"/>
    <s v="COMPTE PIVOT P2P"/>
    <s v="SP"/>
    <n v="-119.99"/>
    <d v="2025-02-09T00:00:00"/>
    <s v="RÈGLEMENT PAR CARTE SPENDESK"/>
    <m/>
    <e v="#N/A"/>
    <e v="#N/A"/>
    <n v="64191"/>
    <s v="faf85e71-54a5-5ce2-9a92-490cc36aa7ac"/>
    <s v="DARTY"/>
    <s v="Q1"/>
    <e v="#REF!"/>
    <e v="#REF!"/>
    <e v="#REF!"/>
  </r>
  <r>
    <s v="467100"/>
    <x v="6"/>
    <s v="COMPTE PIVOT P2P"/>
    <s v="SP"/>
    <n v="-119.41"/>
    <d v="2025-11-18T00:00:00"/>
    <s v="RÈGLEMENT PAR CARTE SPENDESK"/>
    <m/>
    <e v="#N/A"/>
    <e v="#N/A"/>
    <n v="91534"/>
    <s v="6fc7767c-a53b-5d97-826f-ba9359d1e2ce"/>
    <s v="BOOKING"/>
    <s v="Q4"/>
    <e v="#REF!"/>
    <e v="#REF!"/>
    <e v="#REF!"/>
  </r>
  <r>
    <s v="467100"/>
    <x v="6"/>
    <s v="COMPTE PIVOT P2P"/>
    <s v="SP"/>
    <n v="-119.4"/>
    <d v="2025-11-19T00:00:00"/>
    <s v="RÈGLEMENT PAR CARTE SPENDESK"/>
    <m/>
    <e v="#N/A"/>
    <e v="#N/A"/>
    <n v="91548"/>
    <s v="1100a2ef-6692-546f-9536-985afe3e027d"/>
    <s v="MONDROGUISTE"/>
    <s v="Q4"/>
    <e v="#REF!"/>
    <e v="#REF!"/>
    <e v="#REF!"/>
  </r>
  <r>
    <s v="467100"/>
    <x v="6"/>
    <s v="COMPTE PIVOT P2P"/>
    <s v="SP"/>
    <n v="-116.97"/>
    <d v="2025-04-15T00:00:00"/>
    <s v="RÈGLEMENT PAR CARTE SPENDESK"/>
    <m/>
    <e v="#N/A"/>
    <e v="#N/A"/>
    <n v="74700"/>
    <s v="a55bd391-2db5-5579-9ecf-98d558654b97"/>
    <s v="American Airlines"/>
    <s v="Q2"/>
    <e v="#REF!"/>
    <e v="#REF!"/>
    <e v="#REF!"/>
  </r>
  <r>
    <s v="467100"/>
    <x v="6"/>
    <s v="COMPTE PIVOT P2P"/>
    <s v="SP"/>
    <n v="-116.97"/>
    <d v="2025-04-15T00:00:00"/>
    <s v="RÈGLEMENT PAR CARTE SPENDESK"/>
    <m/>
    <e v="#N/A"/>
    <e v="#N/A"/>
    <n v="74702"/>
    <s v="9fce1994-f694-5ad1-be07-a343e1ded001"/>
    <s v="American Airlines"/>
    <s v="Q2"/>
    <e v="#REF!"/>
    <e v="#REF!"/>
    <e v="#REF!"/>
  </r>
  <r>
    <s v="467100"/>
    <x v="6"/>
    <s v="COMPTE PIVOT P2P"/>
    <s v="SP"/>
    <n v="-116.53"/>
    <d v="2025-09-19T00:00:00"/>
    <s v="RÈGLEMENT PAR CARTE SPENDESK"/>
    <m/>
    <e v="#N/A"/>
    <e v="#N/A"/>
    <n v="83114"/>
    <s v="6a94a54e-1db2-5170-9153-b467fa368bd4"/>
    <s v="BRUNEAU"/>
    <s v="Q3"/>
    <e v="#REF!"/>
    <e v="#REF!"/>
    <e v="#REF!"/>
  </r>
  <r>
    <s v="467100"/>
    <x v="6"/>
    <s v="COMPTE PIVOT P2P"/>
    <s v="SP"/>
    <n v="-116.5"/>
    <d v="2025-03-11T00:00:00"/>
    <s v="RÈGLEMENT PAR CARTE SPENDESK"/>
    <m/>
    <e v="#N/A"/>
    <e v="#N/A"/>
    <n v="66225"/>
    <s v="5JK76X"/>
    <s v="SNCF"/>
    <s v="Q1"/>
    <e v="#REF!"/>
    <e v="#REF!"/>
    <e v="#REF!"/>
  </r>
  <r>
    <s v="467100"/>
    <x v="6"/>
    <s v="COMPTE PIVOT P2P"/>
    <s v="SP"/>
    <n v="-116"/>
    <d v="2025-01-14T00:00:00"/>
    <s v="RÈGLEMENT PAR CARTE SPENDESK"/>
    <m/>
    <e v="#N/A"/>
    <e v="#N/A"/>
    <n v="59988"/>
    <s v="29"/>
    <s v="SNCF"/>
    <s v="Q1"/>
    <e v="#REF!"/>
    <e v="#REF!"/>
    <e v="#REF!"/>
  </r>
  <r>
    <s v="467100"/>
    <x v="6"/>
    <s v="COMPTE PIVOT P2P"/>
    <s v="SP"/>
    <n v="-116"/>
    <d v="2025-01-21T00:00:00"/>
    <s v="RÈGLEMENT PAR CARTE SPENDESK"/>
    <m/>
    <e v="#N/A"/>
    <e v="#N/A"/>
    <n v="60004"/>
    <s v="51"/>
    <s v="SNCF"/>
    <s v="Q1"/>
    <e v="#REF!"/>
    <e v="#REF!"/>
    <e v="#REF!"/>
  </r>
  <r>
    <s v="467100"/>
    <x v="6"/>
    <s v="COMPTE PIVOT P2P"/>
    <s v="SP"/>
    <n v="-116"/>
    <d v="2025-02-12T00:00:00"/>
    <s v="RÈGLEMENT PAR CARTE SPENDESK"/>
    <m/>
    <e v="#N/A"/>
    <e v="#N/A"/>
    <n v="64199"/>
    <s v="4dfb8566-ab10-5cf7-8450-32dc173ae8c8"/>
    <s v="SNCF"/>
    <s v="Q1"/>
    <e v="#REF!"/>
    <e v="#REF!"/>
    <e v="#REF!"/>
  </r>
  <r>
    <s v="467100"/>
    <x v="6"/>
    <s v="COMPTE PIVOT P2P"/>
    <s v="SP"/>
    <n v="-116"/>
    <d v="2025-05-13T00:00:00"/>
    <s v="RÈGLEMENT PAR CARTE SPENDESK"/>
    <m/>
    <e v="#N/A"/>
    <e v="#N/A"/>
    <n v="75052"/>
    <s v="906251381"/>
    <s v="SNCF"/>
    <s v="Q2"/>
    <e v="#REF!"/>
    <e v="#REF!"/>
    <e v="#REF!"/>
  </r>
  <r>
    <s v="467100"/>
    <x v="6"/>
    <s v="COMPTE PIVOT P2P"/>
    <s v="SP"/>
    <n v="-116"/>
    <d v="2025-10-06T00:00:00"/>
    <s v="RÈGLEMENT PAR CARTE SPENDESK"/>
    <m/>
    <e v="#N/A"/>
    <e v="#N/A"/>
    <n v="87637"/>
    <s v="6"/>
    <s v="SNCF"/>
    <s v="Q4"/>
    <e v="#REF!"/>
    <e v="#REF!"/>
    <e v="#REF!"/>
  </r>
  <r>
    <s v="467100"/>
    <x v="6"/>
    <s v="COMPTE PIVOT P2P"/>
    <s v="SP"/>
    <n v="-116"/>
    <d v="2025-10-11T00:00:00"/>
    <s v="RÈGLEMENT PAR CARTE SPENDESK"/>
    <m/>
    <e v="#N/A"/>
    <e v="#N/A"/>
    <n v="87649"/>
    <s v="15"/>
    <s v="SNCF"/>
    <s v="Q4"/>
    <e v="#REF!"/>
    <e v="#REF!"/>
    <e v="#REF!"/>
  </r>
  <r>
    <s v="467100"/>
    <x v="6"/>
    <s v="COMPTE PIVOT P2P"/>
    <s v="SP"/>
    <n v="-116"/>
    <d v="2025-10-30T00:00:00"/>
    <s v="RÈGLEMENT PAR CARTE SPENDESK"/>
    <m/>
    <e v="#N/A"/>
    <e v="#N/A"/>
    <n v="87699"/>
    <s v="9"/>
    <s v="SNCF"/>
    <s v="Q4"/>
    <e v="#REF!"/>
    <e v="#REF!"/>
    <e v="#REF!"/>
  </r>
  <r>
    <s v="467100"/>
    <x v="6"/>
    <s v="COMPTE PIVOT P2P"/>
    <s v="SP"/>
    <n v="-116"/>
    <d v="2025-11-02T00:00:00"/>
    <s v="RÈGLEMENT PAR CARTE SPENDESK"/>
    <m/>
    <e v="#N/A"/>
    <e v="#N/A"/>
    <n v="91492"/>
    <s v="39cc2a03-ad23-533a-934a-c68ede2ef8d2"/>
    <s v="SNCF"/>
    <s v="Q4"/>
    <e v="#REF!"/>
    <e v="#REF!"/>
    <e v="#REF!"/>
  </r>
  <r>
    <s v="467100"/>
    <x v="6"/>
    <s v="COMPTE PIVOT P2P"/>
    <s v="SP"/>
    <n v="-116"/>
    <d v="2025-11-29T00:00:00"/>
    <s v="RÈGLEMENT PAR CARTE SPENDESK"/>
    <m/>
    <e v="#N/A"/>
    <e v="#N/A"/>
    <n v="91568"/>
    <s v="a8495412-7436-58fe-ac3a-2b7d5e4bda2a"/>
    <s v="SNCF"/>
    <s v="Q4"/>
    <e v="#REF!"/>
    <e v="#REF!"/>
    <e v="#REF!"/>
  </r>
  <r>
    <s v="467100"/>
    <x v="6"/>
    <s v="COMPTE PIVOT P2P"/>
    <s v="SP"/>
    <n v="-116"/>
    <d v="2025-11-29T00:00:00"/>
    <s v="RÈGLEMENT PAR CARTE SPENDESK"/>
    <m/>
    <e v="#N/A"/>
    <e v="#N/A"/>
    <n v="91572"/>
    <s v="d95f2f71-55b6-5686-88e3-af925de5f82f"/>
    <s v="SNCF"/>
    <s v="Q4"/>
    <e v="#REF!"/>
    <e v="#REF!"/>
    <e v="#REF!"/>
  </r>
  <r>
    <s v="467100"/>
    <x v="6"/>
    <s v="COMPTE PIVOT P2P"/>
    <s v="SP"/>
    <n v="-115.61"/>
    <d v="2025-10-12T00:00:00"/>
    <s v="RÈGLEMENT PAR CARTE SPENDESK"/>
    <s v="Non"/>
    <s v="Non"/>
    <e v="#N/A"/>
    <n v="87651"/>
    <s v="7,81153E+11"/>
    <s v="LINKEDIN"/>
    <s v="Q4"/>
    <e v="#REF!"/>
    <e v="#REF!"/>
    <e v="#REF!"/>
  </r>
  <r>
    <s v="467100"/>
    <x v="6"/>
    <s v="COMPTE PIVOT P2P"/>
    <s v="SP"/>
    <n v="-115.21"/>
    <d v="2025-07-05T00:00:00"/>
    <s v="RÈGLEMENT PAR CARTE SPENDESK"/>
    <m/>
    <e v="#N/A"/>
    <e v="#N/A"/>
    <n v="80925"/>
    <s v="6"/>
    <s v="CASTORAMA"/>
    <s v="Q3"/>
    <e v="#REF!"/>
    <e v="#REF!"/>
    <e v="#REF!"/>
  </r>
  <r>
    <s v="467100"/>
    <x v="6"/>
    <s v="COMPTE PIVOT P2P"/>
    <s v="SP"/>
    <n v="-114.38"/>
    <d v="2025-03-25T00:00:00"/>
    <s v="RÈGLEMENT PAR CARTE SPENDESK"/>
    <m/>
    <e v="#N/A"/>
    <e v="#N/A"/>
    <n v="66269"/>
    <s v="b1cd670e-14b0-5460-827c-222ef9740717"/>
    <s v="MANUTAN"/>
    <s v="Q1"/>
    <e v="#REF!"/>
    <e v="#REF!"/>
    <e v="#REF!"/>
  </r>
  <r>
    <s v="467100"/>
    <x v="6"/>
    <s v="COMPTE PIVOT P2P"/>
    <s v="SP"/>
    <n v="-113"/>
    <d v="2025-04-28T00:00:00"/>
    <s v="RÈGLEMENT PAR CARTE SPENDESK"/>
    <m/>
    <e v="#N/A"/>
    <e v="#N/A"/>
    <n v="74722"/>
    <s v="ffd9860f-98af-5fd4-afac-9999792b1dcf"/>
    <s v="SNCF"/>
    <s v="Q2"/>
    <e v="#REF!"/>
    <e v="#REF!"/>
    <e v="#REF!"/>
  </r>
  <r>
    <s v="467100"/>
    <x v="6"/>
    <s v="COMPTE PIVOT P2P"/>
    <s v="SP"/>
    <n v="-111.83"/>
    <d v="2025-07-12T00:00:00"/>
    <s v="RÈGLEMENT PAR CARTE SPENDESK"/>
    <m/>
    <e v="#N/A"/>
    <e v="#N/A"/>
    <n v="80937"/>
    <s v="38b77f64-e19a-5d56-9dfb-a91ff1cdd703"/>
    <s v="RS COMPONENT"/>
    <s v="Q3"/>
    <e v="#REF!"/>
    <e v="#REF!"/>
    <e v="#REF!"/>
  </r>
  <r>
    <s v="467100"/>
    <x v="6"/>
    <s v="COMPTE PIVOT P2P"/>
    <s v="SP"/>
    <n v="-111.05"/>
    <d v="2025-02-22T00:00:00"/>
    <s v="RÈGLEMENT PAR CARTE SPENDESK"/>
    <m/>
    <e v="#N/A"/>
    <e v="#N/A"/>
    <n v="64235"/>
    <s v="d27e5ca6-4348-5f93-a0f1-f12e2f912ab8"/>
    <s v="CHATEAUDEAU"/>
    <s v="Q1"/>
    <e v="#REF!"/>
    <e v="#REF!"/>
    <e v="#REF!"/>
  </r>
  <r>
    <s v="467100"/>
    <x v="6"/>
    <s v="COMPTE PIVOT P2P"/>
    <s v="SP"/>
    <n v="-111"/>
    <d v="2025-04-09T00:00:00"/>
    <s v="RÈGLEMENT PAR CARTE SPENDESK"/>
    <m/>
    <e v="#N/A"/>
    <e v="#N/A"/>
    <n v="74678"/>
    <s v="40652dd0-0774-5411-8380-d80947034ae4"/>
    <s v="SNCF"/>
    <s v="Q2"/>
    <e v="#REF!"/>
    <e v="#REF!"/>
    <e v="#REF!"/>
  </r>
  <r>
    <s v="467100"/>
    <x v="6"/>
    <s v="COMPTE PIVOT P2P"/>
    <s v="SP"/>
    <n v="-110.17"/>
    <d v="2025-09-26T00:00:00"/>
    <s v="RÈGLEMENT PAR CARTE SPENDESK"/>
    <m/>
    <e v="#N/A"/>
    <e v="#N/A"/>
    <n v="83126"/>
    <s v="D4894"/>
    <s v="BOOKING"/>
    <s v="Q3"/>
    <e v="#REF!"/>
    <e v="#REF!"/>
    <e v="#REF!"/>
  </r>
  <r>
    <s v="467100"/>
    <x v="6"/>
    <s v="COMPTE PIVOT P2P"/>
    <s v="SP"/>
    <n v="-109"/>
    <d v="2025-03-19T00:00:00"/>
    <s v="RÈGLEMENT PAR CARTE SPENDESK"/>
    <m/>
    <e v="#N/A"/>
    <e v="#N/A"/>
    <n v="66245"/>
    <s v="XZCTRD"/>
    <s v="SNCF"/>
    <s v="Q1"/>
    <e v="#REF!"/>
    <e v="#REF!"/>
    <e v="#REF!"/>
  </r>
  <r>
    <s v="467100"/>
    <x v="6"/>
    <s v="COMPTE PIVOT P2P"/>
    <s v="SP"/>
    <n v="-109"/>
    <d v="2025-05-07T00:00:00"/>
    <s v="RÈGLEMENT PAR CARTE SPENDESK"/>
    <m/>
    <e v="#N/A"/>
    <e v="#N/A"/>
    <n v="75044"/>
    <s v="df57e81a-96c9-55c3-a74d-8ed0f2dffefe"/>
    <s v="SNCF"/>
    <s v="Q2"/>
    <e v="#REF!"/>
    <e v="#REF!"/>
    <e v="#REF!"/>
  </r>
  <r>
    <s v="467100"/>
    <x v="6"/>
    <s v="COMPTE PIVOT P2P"/>
    <s v="SP"/>
    <n v="-109"/>
    <d v="2025-05-13T00:00:00"/>
    <s v="RÈGLEMENT PAR CARTE SPENDESK"/>
    <m/>
    <e v="#N/A"/>
    <e v="#N/A"/>
    <n v="75056"/>
    <s v="a8af5c4b-1b7f-51b6-8419-d045b461b7e1"/>
    <s v="SNCF"/>
    <s v="Q2"/>
    <e v="#REF!"/>
    <e v="#REF!"/>
    <e v="#REF!"/>
  </r>
  <r>
    <s v="467100"/>
    <x v="6"/>
    <s v="COMPTE PIVOT P2P"/>
    <s v="SP"/>
    <n v="-109"/>
    <d v="2025-12-09T00:00:00"/>
    <s v="RÈGLEMENT PAR CARTE SPENDESK"/>
    <m/>
    <e v="#N/A"/>
    <e v="#N/A"/>
    <n v="94014"/>
    <s v="037c3ada-5e22-505a-829d-3fc95666edfc"/>
    <s v="SNCF"/>
    <s v="Q4"/>
    <e v="#REF!"/>
    <e v="#REF!"/>
    <e v="#REF!"/>
  </r>
  <r>
    <s v="467100"/>
    <x v="6"/>
    <s v="COMPTE PIVOT P2P"/>
    <s v="SP"/>
    <n v="-109"/>
    <d v="2025-12-11T00:00:00"/>
    <s v="RÈGLEMENT PAR CARTE SPENDESK"/>
    <m/>
    <e v="#N/A"/>
    <e v="#N/A"/>
    <n v="94022"/>
    <s v="a8aa1097-05a9-5be8-9e1e-fec619d8b5a1"/>
    <s v="SNCF"/>
    <s v="Q4"/>
    <e v="#REF!"/>
    <e v="#REF!"/>
    <e v="#REF!"/>
  </r>
  <r>
    <s v="467100"/>
    <x v="6"/>
    <s v="COMPTE PIVOT P2P"/>
    <s v="SP"/>
    <n v="-108.81"/>
    <d v="2025-08-22T00:00:00"/>
    <s v="RÈGLEMENT PAR CARTE SPENDESK"/>
    <m/>
    <e v="#N/A"/>
    <e v="#N/A"/>
    <n v="83226"/>
    <s v="75e478ae-cbf5-53ee-8f42-0bd294cf57b4"/>
    <s v="BRUNEAU"/>
    <s v="Q3"/>
    <e v="#REF!"/>
    <e v="#REF!"/>
    <e v="#REF!"/>
  </r>
  <r>
    <s v="467100"/>
    <x v="6"/>
    <s v="COMPTE PIVOT P2P"/>
    <s v="SP"/>
    <n v="-107.64"/>
    <d v="2025-04-28T00:00:00"/>
    <s v="RÈGLEMENT PAR CARTE SPENDESK"/>
    <m/>
    <e v="#N/A"/>
    <e v="#N/A"/>
    <n v="74724"/>
    <s v="dc7f3c12-13e6-5b71-81ab-4a766df37515"/>
    <s v="ARCANE INDUSTRIE"/>
    <s v="Q2"/>
    <e v="#REF!"/>
    <e v="#REF!"/>
    <e v="#REF!"/>
  </r>
  <r>
    <s v="467100"/>
    <x v="6"/>
    <s v="COMPTE PIVOT P2P"/>
    <s v="SP"/>
    <n v="-106.82"/>
    <d v="2025-12-12T00:00:00"/>
    <s v="RÈGLEMENT PAR CARTE SPENDESK"/>
    <m/>
    <e v="#N/A"/>
    <e v="#N/A"/>
    <n v="94026"/>
    <s v="0caa06a2-b7e4-55cf-b4a9-9f8329a34ffa"/>
    <s v="BRUNEAU"/>
    <s v="Q4"/>
    <e v="#REF!"/>
    <e v="#REF!"/>
    <e v="#REF!"/>
  </r>
  <r>
    <s v="467100"/>
    <x v="6"/>
    <s v="COMPTE PIVOT P2P"/>
    <s v="SP"/>
    <n v="-106.5"/>
    <d v="2025-03-19T00:00:00"/>
    <s v="RÈGLEMENT PAR CARTE SPENDESK"/>
    <m/>
    <e v="#N/A"/>
    <e v="#N/A"/>
    <n v="66249"/>
    <s v="724c0f2f-fdfd-5b02-ac81-ccf0b0e636d7"/>
    <s v="RS COMPONENT"/>
    <s v="Q1"/>
    <e v="#REF!"/>
    <e v="#REF!"/>
    <e v="#REF!"/>
  </r>
  <r>
    <s v="467100"/>
    <x v="6"/>
    <s v="COMPTE PIVOT P2P"/>
    <s v="SP"/>
    <n v="-106.39"/>
    <d v="2025-02-07T00:00:00"/>
    <s v="RÈGLEMENT PAR CARTE SPENDESK"/>
    <m/>
    <e v="#N/A"/>
    <e v="#N/A"/>
    <n v="64187"/>
    <s v="708506b6-0bc5-5e32-88ee-6e37949b3e1f"/>
    <s v="BOHLENDER"/>
    <s v="Q1"/>
    <e v="#REF!"/>
    <e v="#REF!"/>
    <e v="#REF!"/>
  </r>
  <r>
    <s v="467100"/>
    <x v="6"/>
    <s v="COMPTE PIVOT P2P"/>
    <s v="SP"/>
    <n v="-102.98"/>
    <d v="2025-06-25T00:00:00"/>
    <s v="RÈGLEMENT PAR CARTE SPENDESK"/>
    <m/>
    <e v="#N/A"/>
    <e v="#N/A"/>
    <n v="78118"/>
    <s v="26.161.939"/>
    <s v="BRUNEAU"/>
    <s v="Q2"/>
    <e v="#REF!"/>
    <e v="#REF!"/>
    <e v="#REF!"/>
  </r>
  <r>
    <s v="467100"/>
    <x v="6"/>
    <s v="COMPTE PIVOT P2P"/>
    <s v="SP"/>
    <n v="-102"/>
    <d v="2025-06-26T00:00:00"/>
    <s v="RÈGLEMENT PAR CARTE SPENDESK"/>
    <m/>
    <e v="#N/A"/>
    <e v="#N/A"/>
    <n v="78120"/>
    <s v="1cc1f915-ab6a-55a5-997a-03612425371c"/>
    <s v="SNCF"/>
    <s v="Q2"/>
    <e v="#REF!"/>
    <e v="#REF!"/>
    <e v="#REF!"/>
  </r>
  <r>
    <s v="467100"/>
    <x v="6"/>
    <s v="COMPTE PIVOT P2P"/>
    <s v="SP"/>
    <n v="-101.8"/>
    <d v="2025-12-02T00:00:00"/>
    <s v="RÈGLEMENT PAR CARTE SPENDESK"/>
    <m/>
    <e v="#N/A"/>
    <e v="#N/A"/>
    <n v="93984"/>
    <s v="4f773e89-6161-590b-82d3-c2e158b61d33"/>
    <s v="SNCF"/>
    <s v="Q4"/>
    <e v="#REF!"/>
    <e v="#REF!"/>
    <e v="#REF!"/>
  </r>
  <r>
    <s v="467100"/>
    <x v="6"/>
    <s v="COMPTE PIVOT P2P"/>
    <s v="SP"/>
    <n v="-101.16"/>
    <d v="2025-01-30T00:00:00"/>
    <s v="RÈGLEMENT PAR CARTE SPENDESK"/>
    <m/>
    <e v="#N/A"/>
    <e v="#N/A"/>
    <n v="60028"/>
    <s v="70"/>
    <s v="BOHLENDER"/>
    <s v="Q1"/>
    <e v="#REF!"/>
    <e v="#REF!"/>
    <e v="#REF!"/>
  </r>
  <r>
    <s v="467100"/>
    <x v="6"/>
    <s v="COMPTE PIVOT P2P"/>
    <s v="SP"/>
    <n v="-100.16"/>
    <d v="2025-01-07T00:00:00"/>
    <s v="RÈGLEMENT PAR CARTE SPENDESK"/>
    <m/>
    <e v="#N/A"/>
    <e v="#N/A"/>
    <n v="59972"/>
    <s v="01c70ccf-65f0-56f5-8c6b-c4eb7b706d05"/>
    <s v="AIRBNB"/>
    <s v="Q1"/>
    <e v="#REF!"/>
    <e v="#REF!"/>
    <e v="#REF!"/>
  </r>
  <r>
    <s v="467100"/>
    <x v="6"/>
    <s v="COMPTE PIVOT P2P"/>
    <s v="SP"/>
    <n v="-99.72"/>
    <d v="2025-09-11T00:00:00"/>
    <s v="RÈGLEMENT PAR CARTE SPENDESK"/>
    <m/>
    <e v="#N/A"/>
    <e v="#N/A"/>
    <n v="83086"/>
    <s v="8eed5877-093a-5f28-ac7c-951541cf397d"/>
    <s v="RAPTOR FRANCE"/>
    <s v="Q3"/>
    <e v="#REF!"/>
    <e v="#REF!"/>
    <e v="#REF!"/>
  </r>
  <r>
    <s v="467100"/>
    <x v="6"/>
    <s v="COMPTE PIVOT P2P"/>
    <s v="SP"/>
    <n v="-96"/>
    <d v="2025-11-01T00:00:00"/>
    <s v="RÈGLEMENT PAR CARTE SPENDESK"/>
    <m/>
    <s v="Non"/>
    <s v="Oui"/>
    <n v="91488"/>
    <s v="106f66d8-39ab-5c57-b8f7-333b473f6856"/>
    <s v="AXELERA"/>
    <s v="Q4"/>
    <e v="#REF!"/>
    <e v="#REF!"/>
    <e v="#REF!"/>
  </r>
  <r>
    <s v="467100"/>
    <x v="6"/>
    <s v="COMPTE PIVOT P2P"/>
    <s v="SP"/>
    <n v="-95"/>
    <d v="2025-02-01T00:00:00"/>
    <s v="RÈGLEMENT PAR CARTE SPENDESK"/>
    <m/>
    <e v="#N/A"/>
    <e v="#N/A"/>
    <n v="64149"/>
    <s v="d1939ba4-6d97-5b4e-ae85-4d7b3b62c90d"/>
    <s v="SNCF"/>
    <s v="Q1"/>
    <e v="#REF!"/>
    <e v="#REF!"/>
    <e v="#REF!"/>
  </r>
  <r>
    <s v="467100"/>
    <x v="6"/>
    <s v="COMPTE PIVOT P2P"/>
    <s v="SP"/>
    <n v="-95"/>
    <d v="2025-08-27T00:00:00"/>
    <s v="RÈGLEMENT PAR CARTE SPENDESK"/>
    <m/>
    <e v="#N/A"/>
    <e v="#N/A"/>
    <n v="83236"/>
    <s v="457862af-f8ab-5b55-bcef-37594c3d0c8d"/>
    <s v="SNCF"/>
    <s v="Q3"/>
    <e v="#REF!"/>
    <e v="#REF!"/>
    <e v="#REF!"/>
  </r>
  <r>
    <s v="467100"/>
    <x v="6"/>
    <s v="COMPTE PIVOT P2P"/>
    <s v="SP"/>
    <n v="-95"/>
    <d v="2025-09-27T00:00:00"/>
    <s v="RÈGLEMENT PAR CARTE SPENDESK"/>
    <m/>
    <e v="#N/A"/>
    <e v="#N/A"/>
    <n v="83134"/>
    <s v="c939b8b5-20a4-5d59-b28d-f165b4b07a43"/>
    <s v="SNCF"/>
    <s v="Q3"/>
    <e v="#REF!"/>
    <e v="#REF!"/>
    <e v="#REF!"/>
  </r>
  <r>
    <s v="467100"/>
    <x v="6"/>
    <s v="COMPTE PIVOT P2P"/>
    <s v="SP"/>
    <n v="-95"/>
    <d v="2025-10-31T00:00:00"/>
    <s v="RÈGLEMENT PAR CARTE SPENDESK"/>
    <m/>
    <e v="#N/A"/>
    <e v="#N/A"/>
    <n v="87707"/>
    <s v="36"/>
    <s v="SNCF"/>
    <s v="Q4"/>
    <e v="#REF!"/>
    <e v="#REF!"/>
    <e v="#REF!"/>
  </r>
  <r>
    <s v="467100"/>
    <x v="6"/>
    <s v="COMPTE PIVOT P2P"/>
    <s v="SP"/>
    <n v="-95"/>
    <d v="2025-11-18T00:00:00"/>
    <s v="RÈGLEMENT PAR CARTE SPENDESK"/>
    <m/>
    <e v="#N/A"/>
    <e v="#N/A"/>
    <n v="91546"/>
    <s v="c5c507d1-b4d4-540a-9b85-eb2f03fd9974"/>
    <s v="SNCF"/>
    <s v="Q4"/>
    <e v="#REF!"/>
    <e v="#REF!"/>
    <e v="#REF!"/>
  </r>
  <r>
    <s v="467100"/>
    <x v="6"/>
    <s v="COMPTE PIVOT P2P"/>
    <s v="SP"/>
    <n v="-94.78"/>
    <d v="2025-10-28T00:00:00"/>
    <s v="RÈGLEMENT PAR CARTE SPENDESK"/>
    <m/>
    <e v="#N/A"/>
    <e v="#N/A"/>
    <n v="87689"/>
    <s v="31/05668076"/>
    <s v="CHATEAUDEAU"/>
    <s v="Q4"/>
    <e v="#REF!"/>
    <e v="#REF!"/>
    <e v="#REF!"/>
  </r>
  <r>
    <s v="467100"/>
    <x v="6"/>
    <s v="COMPTE PIVOT P2P"/>
    <s v="SP"/>
    <n v="-94.12"/>
    <d v="2025-04-15T00:00:00"/>
    <s v="RÈGLEMENT PAR CARTE SPENDESK"/>
    <m/>
    <e v="#N/A"/>
    <e v="#N/A"/>
    <n v="74698"/>
    <s v="5b83487f-7658-5969-8015-3fe6323bd9ef"/>
    <s v="AIRBNB"/>
    <s v="Q2"/>
    <e v="#REF!"/>
    <e v="#REF!"/>
    <e v="#REF!"/>
  </r>
  <r>
    <s v="467100"/>
    <x v="6"/>
    <s v="COMPTE PIVOT P2P"/>
    <s v="SP"/>
    <n v="-92.67"/>
    <d v="2025-10-22T00:00:00"/>
    <s v="RÈGLEMENT PAR CARTE SPENDESK"/>
    <m/>
    <e v="#N/A"/>
    <e v="#N/A"/>
    <n v="87671"/>
    <s v="HMMEMYZWWS"/>
    <s v="AIRBNB"/>
    <s v="Q4"/>
    <e v="#REF!"/>
    <e v="#REF!"/>
    <e v="#REF!"/>
  </r>
  <r>
    <s v="467100"/>
    <x v="6"/>
    <s v="COMPTE PIVOT P2P"/>
    <s v="SP"/>
    <n v="-92.67"/>
    <d v="2025-11-15T00:00:00"/>
    <s v="RÈGLEMENT PAR CARTE SPENDESK"/>
    <m/>
    <e v="#N/A"/>
    <e v="#N/A"/>
    <n v="91526"/>
    <s v="RCJQNJ2Z3F"/>
    <s v="AIRBNB"/>
    <s v="Q4"/>
    <e v="#REF!"/>
    <e v="#REF!"/>
    <e v="#REF!"/>
  </r>
  <r>
    <s v="467100"/>
    <x v="6"/>
    <s v="COMPTE PIVOT P2P"/>
    <s v="SP"/>
    <n v="-91.08"/>
    <d v="2025-05-31T00:00:00"/>
    <s v="RÈGLEMENT PAR CARTE SPENDESK"/>
    <m/>
    <e v="#N/A"/>
    <e v="#N/A"/>
    <n v="75086"/>
    <s v="2025/05/001693789"/>
    <s v="LA FOURCHE"/>
    <s v="Q2"/>
    <e v="#REF!"/>
    <e v="#REF!"/>
    <e v="#REF!"/>
  </r>
  <r>
    <s v="467100"/>
    <x v="6"/>
    <s v="COMPTE PIVOT P2P"/>
    <s v="SP"/>
    <n v="-90.42"/>
    <d v="2025-03-20T00:00:00"/>
    <s v="RÈGLEMENT PAR CARTE SPENDESK"/>
    <m/>
    <e v="#N/A"/>
    <e v="#N/A"/>
    <n v="66255"/>
    <s v="4de98c54-5d92-55c7-ac76-19583d9e5fae"/>
    <s v="RS COMPONENT"/>
    <s v="Q1"/>
    <e v="#REF!"/>
    <e v="#REF!"/>
    <e v="#REF!"/>
  </r>
  <r>
    <s v="467100"/>
    <x v="6"/>
    <s v="COMPTE PIVOT P2P"/>
    <s v="SP"/>
    <n v="-90.2"/>
    <d v="2025-04-12T00:00:00"/>
    <s v="RÈGLEMENT PAR CARTE SPENDESK"/>
    <m/>
    <e v="#N/A"/>
    <e v="#N/A"/>
    <n v="74694"/>
    <s v="b2ec798a-25a1-533e-9103-7f7c8ebf1745"/>
    <s v="LEROY MERLIN"/>
    <s v="Q2"/>
    <e v="#REF!"/>
    <e v="#REF!"/>
    <e v="#REF!"/>
  </r>
  <r>
    <s v="467100"/>
    <x v="6"/>
    <s v="COMPTE PIVOT P2P"/>
    <s v="SP"/>
    <n v="-89.99"/>
    <d v="2025-03-11T00:00:00"/>
    <s v="RÈGLEMENT PAR CARTE SPENDESK"/>
    <m/>
    <e v="#N/A"/>
    <e v="#N/A"/>
    <n v="66217"/>
    <s v="2e3852c3-af2d-595e-9193-b2450a8d4984"/>
    <s v="DB"/>
    <s v="Q1"/>
    <e v="#REF!"/>
    <e v="#REF!"/>
    <e v="#REF!"/>
  </r>
  <r>
    <s v="467100"/>
    <x v="6"/>
    <s v="COMPTE PIVOT P2P"/>
    <s v="SP"/>
    <n v="-89.17"/>
    <d v="2025-05-07T00:00:00"/>
    <s v="RÈGLEMENT PAR CARTE SPENDESK"/>
    <m/>
    <e v="#N/A"/>
    <e v="#N/A"/>
    <n v="75046"/>
    <s v="6cca71c1-bac3-5f91-ad45-2fcace54b688"/>
    <s v="AIRBNB"/>
    <s v="Q2"/>
    <e v="#REF!"/>
    <e v="#REF!"/>
    <e v="#REF!"/>
  </r>
  <r>
    <s v="467100"/>
    <x v="6"/>
    <s v="COMPTE PIVOT P2P"/>
    <s v="SP"/>
    <n v="-88.12"/>
    <d v="2025-08-23T00:00:00"/>
    <s v="RÈGLEMENT PAR CARTE SPENDESK"/>
    <m/>
    <e v="#N/A"/>
    <e v="#N/A"/>
    <n v="83228"/>
    <s v="ae3149bf-22eb-5351-8d29-e1126dc46acb"/>
    <s v="CHATEAUDEAU"/>
    <s v="Q3"/>
    <e v="#REF!"/>
    <e v="#REF!"/>
    <e v="#REF!"/>
  </r>
  <r>
    <s v="467100"/>
    <x v="6"/>
    <s v="COMPTE PIVOT P2P"/>
    <s v="SP"/>
    <n v="-88"/>
    <d v="2025-01-24T00:00:00"/>
    <s v="RÈGLEMENT PAR CARTE SPENDESK"/>
    <m/>
    <e v="#N/A"/>
    <e v="#N/A"/>
    <n v="60012"/>
    <s v="57"/>
    <s v="SNCF"/>
    <s v="Q1"/>
    <e v="#REF!"/>
    <e v="#REF!"/>
    <e v="#REF!"/>
  </r>
  <r>
    <s v="467100"/>
    <x v="6"/>
    <s v="COMPTE PIVOT P2P"/>
    <s v="SP"/>
    <n v="-88"/>
    <d v="2025-02-14T00:00:00"/>
    <s v="RÈGLEMENT PAR CARTE SPENDESK"/>
    <m/>
    <e v="#N/A"/>
    <e v="#N/A"/>
    <n v="64205"/>
    <s v="3e69a21c-4121-571d-94aa-34e604a86b68"/>
    <s v="SNCF"/>
    <s v="Q1"/>
    <e v="#REF!"/>
    <e v="#REF!"/>
    <e v="#REF!"/>
  </r>
  <r>
    <s v="467100"/>
    <x v="6"/>
    <s v="COMPTE PIVOT P2P"/>
    <s v="SP"/>
    <n v="-88"/>
    <d v="2025-02-14T00:00:00"/>
    <s v="RÈGLEMENT PAR CARTE SPENDESK"/>
    <m/>
    <e v="#N/A"/>
    <e v="#N/A"/>
    <n v="64209"/>
    <s v="3a392ef8-1f0a-5703-b95c-aaa355dd48f8"/>
    <s v="SNCF"/>
    <s v="Q1"/>
    <e v="#REF!"/>
    <e v="#REF!"/>
    <e v="#REF!"/>
  </r>
  <r>
    <s v="467100"/>
    <x v="6"/>
    <s v="COMPTE PIVOT P2P"/>
    <s v="SP"/>
    <n v="-88"/>
    <d v="2025-04-04T00:00:00"/>
    <s v="RÈGLEMENT PAR CARTE SPENDESK"/>
    <m/>
    <e v="#N/A"/>
    <e v="#N/A"/>
    <n v="74662"/>
    <s v="218b9e50-f2fc-57e7-9b57-9f81060c1a7b"/>
    <s v="SNCF"/>
    <s v="Q2"/>
    <e v="#REF!"/>
    <e v="#REF!"/>
    <e v="#REF!"/>
  </r>
  <r>
    <s v="467100"/>
    <x v="6"/>
    <s v="COMPTE PIVOT P2P"/>
    <s v="SP"/>
    <n v="-88"/>
    <d v="2025-04-09T00:00:00"/>
    <s v="RÈGLEMENT PAR CARTE SPENDESK"/>
    <m/>
    <e v="#N/A"/>
    <e v="#N/A"/>
    <n v="74674"/>
    <s v="d6b8c797-cfa1-5ba3-bdc9-85bc421d4796"/>
    <s v="SNCF"/>
    <s v="Q2"/>
    <e v="#REF!"/>
    <e v="#REF!"/>
    <e v="#REF!"/>
  </r>
  <r>
    <s v="467100"/>
    <x v="6"/>
    <s v="COMPTE PIVOT P2P"/>
    <s v="SP"/>
    <n v="-88"/>
    <d v="2025-06-13T00:00:00"/>
    <s v="RÈGLEMENT PAR CARTE SPENDESK"/>
    <m/>
    <e v="#N/A"/>
    <e v="#N/A"/>
    <n v="78090"/>
    <s v="cbc5642b-25b1-51f9-8ba9-929fda4f405a"/>
    <s v="SNCF"/>
    <s v="Q2"/>
    <e v="#REF!"/>
    <e v="#REF!"/>
    <e v="#REF!"/>
  </r>
  <r>
    <s v="467100"/>
    <x v="6"/>
    <s v="COMPTE PIVOT P2P"/>
    <s v="SP"/>
    <n v="-88"/>
    <d v="2025-09-10T00:00:00"/>
    <s v="RÈGLEMENT PAR CARTE SPENDESK"/>
    <m/>
    <e v="#N/A"/>
    <e v="#N/A"/>
    <n v="83076"/>
    <s v="043cdee2-e328-5cb1-b661-01ef815e0bfd"/>
    <s v="SNCF"/>
    <s v="Q3"/>
    <e v="#REF!"/>
    <e v="#REF!"/>
    <e v="#REF!"/>
  </r>
  <r>
    <s v="467100"/>
    <x v="6"/>
    <s v="COMPTE PIVOT P2P"/>
    <s v="SP"/>
    <n v="-88"/>
    <d v="2025-09-10T00:00:00"/>
    <s v="RÈGLEMENT PAR CARTE SPENDESK"/>
    <m/>
    <e v="#N/A"/>
    <e v="#N/A"/>
    <n v="83082"/>
    <s v="6210bb41-9224-51ec-be31-18208e657db2"/>
    <s v="SNCF"/>
    <s v="Q3"/>
    <e v="#REF!"/>
    <e v="#REF!"/>
    <e v="#REF!"/>
  </r>
  <r>
    <s v="467100"/>
    <x v="6"/>
    <s v="COMPTE PIVOT P2P"/>
    <s v="SP"/>
    <n v="-88"/>
    <d v="2025-10-09T00:00:00"/>
    <s v="RÈGLEMENT PAR CARTE SPENDESK"/>
    <m/>
    <e v="#N/A"/>
    <e v="#N/A"/>
    <n v="87643"/>
    <s v="14"/>
    <s v="SNCF"/>
    <s v="Q4"/>
    <e v="#REF!"/>
    <e v="#REF!"/>
    <e v="#REF!"/>
  </r>
  <r>
    <s v="467100"/>
    <x v="6"/>
    <s v="COMPTE PIVOT P2P"/>
    <s v="SP"/>
    <n v="-88"/>
    <d v="2025-10-09T00:00:00"/>
    <s v="RÈGLEMENT PAR CARTE SPENDESK"/>
    <m/>
    <e v="#N/A"/>
    <e v="#N/A"/>
    <n v="87647"/>
    <s v="13"/>
    <s v="SNCF"/>
    <s v="Q4"/>
    <e v="#REF!"/>
    <e v="#REF!"/>
    <e v="#REF!"/>
  </r>
  <r>
    <s v="467100"/>
    <x v="6"/>
    <s v="COMPTE PIVOT P2P"/>
    <s v="SP"/>
    <n v="-88"/>
    <d v="2025-11-18T00:00:00"/>
    <s v="RÈGLEMENT PAR CARTE SPENDESK"/>
    <m/>
    <e v="#N/A"/>
    <e v="#N/A"/>
    <n v="91532"/>
    <s v="003f68e5-ba3b-5a5c-9d86-0d573bcf56f8"/>
    <s v="SNCF"/>
    <s v="Q4"/>
    <e v="#REF!"/>
    <e v="#REF!"/>
    <e v="#REF!"/>
  </r>
  <r>
    <s v="467100"/>
    <x v="6"/>
    <s v="COMPTE PIVOT P2P"/>
    <s v="SP"/>
    <n v="-84.62"/>
    <d v="2025-06-17T00:00:00"/>
    <s v="RÈGLEMENT PAR CARTE SPENDESK"/>
    <m/>
    <e v="#N/A"/>
    <e v="#N/A"/>
    <n v="78096"/>
    <s v="2de028cf-848f-5438-8270-4a23f7244d00"/>
    <s v="BOOKING"/>
    <s v="Q2"/>
    <e v="#REF!"/>
    <e v="#REF!"/>
    <e v="#REF!"/>
  </r>
  <r>
    <s v="467100"/>
    <x v="6"/>
    <s v="COMPTE PIVOT P2P"/>
    <s v="SP"/>
    <n v="-83.49"/>
    <d v="2025-11-29T00:00:00"/>
    <s v="RÈGLEMENT PAR CARTE SPENDESK"/>
    <m/>
    <e v="#N/A"/>
    <e v="#N/A"/>
    <n v="91570"/>
    <s v="2112a5e0-cbd1-5443-accc-bc99add003a8"/>
    <s v="LA FOURCHE"/>
    <s v="Q4"/>
    <e v="#REF!"/>
    <e v="#REF!"/>
    <e v="#REF!"/>
  </r>
  <r>
    <s v="467100"/>
    <x v="6"/>
    <s v="COMPTE PIVOT P2P"/>
    <s v="SP"/>
    <n v="-81.900000000000006"/>
    <d v="2025-09-17T00:00:00"/>
    <s v="RÈGLEMENT PAR CARTE SPENDESK"/>
    <m/>
    <e v="#N/A"/>
    <e v="#N/A"/>
    <n v="83100"/>
    <s v="3992fd7b-b11e-5e65-b857-80dd63505810"/>
    <s v="GETAROUND"/>
    <s v="Q3"/>
    <e v="#REF!"/>
    <e v="#REF!"/>
    <e v="#REF!"/>
  </r>
  <r>
    <s v="467100"/>
    <x v="6"/>
    <s v="COMPTE PIVOT P2P"/>
    <s v="SP"/>
    <n v="-81.900000000000006"/>
    <d v="2025-11-04T00:00:00"/>
    <s v="RÈGLEMENT PAR CARTE SPENDESK"/>
    <m/>
    <e v="#N/A"/>
    <e v="#N/A"/>
    <n v="91504"/>
    <s v="974fef20-88d8-560f-a5bc-39be7fa3df59"/>
    <s v="MONDROGUISTE"/>
    <s v="Q4"/>
    <e v="#REF!"/>
    <e v="#REF!"/>
    <e v="#REF!"/>
  </r>
  <r>
    <s v="467100"/>
    <x v="6"/>
    <s v="COMPTE PIVOT P2P"/>
    <s v="SP"/>
    <n v="-81.23"/>
    <d v="2025-03-06T00:00:00"/>
    <s v="RÈGLEMENT PAR CARTE SPENDESK"/>
    <m/>
    <s v="Non"/>
    <e v="#N/A"/>
    <n v="66213"/>
    <s v="7dffe967-9345-52e7-ba46-834874a1b967"/>
    <s v="DIVERS"/>
    <s v="Q1"/>
    <e v="#REF!"/>
    <e v="#REF!"/>
    <e v="#REF!"/>
  </r>
  <r>
    <s v="467100"/>
    <x v="6"/>
    <s v="COMPTE PIVOT P2P"/>
    <s v="SP"/>
    <n v="-80.2"/>
    <d v="2025-04-24T00:00:00"/>
    <s v="RÈGLEMENT PAR CARTE SPENDESK"/>
    <m/>
    <e v="#N/A"/>
    <e v="#N/A"/>
    <n v="74710"/>
    <s v="e5b50ab3-4182-5ff8-9cb5-abdc24eebcc9"/>
    <s v="MANUTAN"/>
    <s v="Q2"/>
    <e v="#REF!"/>
    <e v="#REF!"/>
    <e v="#REF!"/>
  </r>
  <r>
    <s v="467100"/>
    <x v="6"/>
    <s v="COMPTE PIVOT P2P"/>
    <s v="SP"/>
    <n v="-80"/>
    <d v="2025-11-18T00:00:00"/>
    <s v="RÈGLEMENT PAR CARTE SPENDESK"/>
    <m/>
    <e v="#N/A"/>
    <e v="#N/A"/>
    <n v="91538"/>
    <s v="e48a382e-47fa-5a82-ab5f-86a703132aee"/>
    <s v="SNCF"/>
    <s v="Q4"/>
    <e v="#REF!"/>
    <e v="#REF!"/>
    <e v="#REF!"/>
  </r>
  <r>
    <s v="467100"/>
    <x v="6"/>
    <s v="COMPTE PIVOT P2P"/>
    <s v="SP"/>
    <n v="-79.989999999999995"/>
    <d v="2025-05-13T00:00:00"/>
    <s v="RÈGLEMENT PAR CARTE SPENDESK"/>
    <m/>
    <e v="#N/A"/>
    <e v="#N/A"/>
    <n v="75054"/>
    <s v="cf78bdff-3272-54c3-a452-477dfe85b3a9"/>
    <s v="AIRBNB"/>
    <s v="Q2"/>
    <e v="#REF!"/>
    <e v="#REF!"/>
    <e v="#REF!"/>
  </r>
  <r>
    <s v="467100"/>
    <x v="6"/>
    <s v="COMPTE PIVOT P2P"/>
    <s v="SP"/>
    <n v="-79"/>
    <d v="2025-03-17T00:00:00"/>
    <s v="RÈGLEMENT PAR CARTE SPENDESK"/>
    <m/>
    <e v="#N/A"/>
    <e v="#N/A"/>
    <n v="66237"/>
    <s v="JFNRTB"/>
    <s v="SNCF"/>
    <s v="Q1"/>
    <e v="#REF!"/>
    <e v="#REF!"/>
    <e v="#REF!"/>
  </r>
  <r>
    <s v="467100"/>
    <x v="6"/>
    <s v="COMPTE PIVOT P2P"/>
    <s v="SP"/>
    <n v="-77.64"/>
    <d v="2025-12-14T00:00:00"/>
    <s v="RÈGLEMENT PAR CARTE SPENDESK"/>
    <m/>
    <e v="#N/A"/>
    <e v="#N/A"/>
    <n v="94036"/>
    <s v="0ab8e1be-26c0-51c5-9b6e-06fa9fbf6677"/>
    <s v="BRADY GROUPE"/>
    <s v="Q4"/>
    <e v="#REF!"/>
    <e v="#REF!"/>
    <e v="#REF!"/>
  </r>
  <r>
    <s v="467100"/>
    <x v="6"/>
    <s v="COMPTE PIVOT P2P"/>
    <s v="SP"/>
    <n v="-71.86"/>
    <d v="2025-06-11T00:00:00"/>
    <s v="RÈGLEMENT PAR CARTE SPENDESK"/>
    <m/>
    <e v="#N/A"/>
    <e v="#N/A"/>
    <n v="78082"/>
    <s v="6e744b22-7dfa-5eda-ac69-4718796eb955"/>
    <s v="GANDI"/>
    <s v="Q2"/>
    <e v="#REF!"/>
    <e v="#REF!"/>
    <e v="#REF!"/>
  </r>
  <r>
    <s v="467100"/>
    <x v="6"/>
    <s v="COMPTE PIVOT P2P"/>
    <s v="SP"/>
    <n v="-70"/>
    <d v="2025-10-01T00:00:00"/>
    <s v="RÈGLEMENT PAR CARTE SPENDESK"/>
    <m/>
    <e v="#N/A"/>
    <e v="#N/A"/>
    <n v="87617"/>
    <s v="1ac14193-bc30-5ebd-ba4b-d065c8bbb982"/>
    <s v="AIRLINES"/>
    <s v="Q4"/>
    <e v="#REF!"/>
    <e v="#REF!"/>
    <e v="#REF!"/>
  </r>
  <r>
    <s v="467100"/>
    <x v="6"/>
    <s v="COMPTE PIVOT P2P"/>
    <s v="SP"/>
    <n v="-69.900000000000006"/>
    <d v="2025-05-15T00:00:00"/>
    <s v="RÈGLEMENT PAR CARTE SPENDESK"/>
    <m/>
    <e v="#N/A"/>
    <e v="#N/A"/>
    <n v="75060"/>
    <s v="63402465-a808-5506-99df-4b69e79a8553"/>
    <s v="LEROY MERLIN"/>
    <s v="Q2"/>
    <e v="#REF!"/>
    <e v="#REF!"/>
    <e v="#REF!"/>
  </r>
  <r>
    <s v="467100"/>
    <x v="6"/>
    <s v="COMPTE PIVOT P2P"/>
    <s v="SP"/>
    <n v="-68.23"/>
    <d v="2025-06-14T00:00:00"/>
    <s v="RÈGLEMENT PAR CARTE SPENDESK"/>
    <m/>
    <e v="#N/A"/>
    <e v="#N/A"/>
    <n v="78092"/>
    <s v="602e5477-e403-512c-9fd9-6e6c2d4bbdf1"/>
    <s v="LA FOURCHE"/>
    <s v="Q2"/>
    <e v="#REF!"/>
    <e v="#REF!"/>
    <e v="#REF!"/>
  </r>
  <r>
    <s v="467100"/>
    <x v="6"/>
    <s v="COMPTE PIVOT P2P"/>
    <s v="SP"/>
    <n v="-66.959999999999994"/>
    <d v="2025-03-28T00:00:00"/>
    <s v="RÈGLEMENT PAR CARTE SPENDESK"/>
    <m/>
    <e v="#N/A"/>
    <e v="#N/A"/>
    <n v="66275"/>
    <s v="36"/>
    <s v="BRUNEAU"/>
    <s v="Q1"/>
    <e v="#REF!"/>
    <e v="#REF!"/>
    <e v="#REF!"/>
  </r>
  <r>
    <s v="467100"/>
    <x v="6"/>
    <s v="COMPTE PIVOT P2P"/>
    <s v="SP"/>
    <n v="-63.64"/>
    <d v="2025-04-05T00:00:00"/>
    <s v="RÈGLEMENT PAR CARTE SPENDESK"/>
    <m/>
    <e v="#N/A"/>
    <e v="#N/A"/>
    <n v="74670"/>
    <s v="30a9e63f-ba82-505f-a1ac-1dfe3b66be51"/>
    <s v="GROUPE LDLC"/>
    <s v="Q2"/>
    <e v="#REF!"/>
    <e v="#REF!"/>
    <e v="#REF!"/>
  </r>
  <r>
    <s v="467100"/>
    <x v="6"/>
    <s v="COMPTE PIVOT P2P"/>
    <s v="SP"/>
    <n v="-63"/>
    <d v="2025-12-09T00:00:00"/>
    <s v="RÈGLEMENT PAR CARTE SPENDESK"/>
    <m/>
    <e v="#N/A"/>
    <e v="#N/A"/>
    <n v="94008"/>
    <s v="7a3accdf-a2e6-59c9-b6dc-3bb64424b48a"/>
    <s v="SNCF"/>
    <s v="Q4"/>
    <e v="#REF!"/>
    <e v="#REF!"/>
    <e v="#REF!"/>
  </r>
  <r>
    <s v="467100"/>
    <x v="6"/>
    <s v="COMPTE PIVOT P2P"/>
    <s v="SP"/>
    <n v="-62.5"/>
    <d v="2025-01-03T00:00:00"/>
    <s v="RÈGLEMENT PAR CARTE SPENDESK"/>
    <m/>
    <e v="#N/A"/>
    <e v="#N/A"/>
    <n v="59968"/>
    <s v="9497986f-1ca3-5608-8b19-2fd65c1caba9"/>
    <s v="SNCF"/>
    <s v="Q1"/>
    <e v="#REF!"/>
    <e v="#REF!"/>
    <e v="#REF!"/>
  </r>
  <r>
    <s v="467100"/>
    <x v="6"/>
    <s v="COMPTE PIVOT P2P"/>
    <s v="SP"/>
    <n v="-60"/>
    <d v="2025-10-19T00:00:00"/>
    <s v="RÈGLEMENT PAR CARTE SPENDESK"/>
    <m/>
    <e v="#N/A"/>
    <e v="#N/A"/>
    <n v="87667"/>
    <s v="5900096"/>
    <s v="COOKIEBOT"/>
    <s v="Q4"/>
    <e v="#REF!"/>
    <e v="#REF!"/>
    <e v="#REF!"/>
  </r>
  <r>
    <s v="467100"/>
    <x v="6"/>
    <s v="COMPTE PIVOT P2P"/>
    <s v="SP"/>
    <n v="-59.54"/>
    <d v="2025-08-28T00:00:00"/>
    <s v="RÈGLEMENT PAR CARTE SPENDESK"/>
    <m/>
    <e v="#N/A"/>
    <e v="#N/A"/>
    <n v="83240"/>
    <s v="f1ba0f58-239b-58ec-a690-7fb8f7390b7d"/>
    <s v="RS COMPONENT"/>
    <s v="Q3"/>
    <e v="#REF!"/>
    <e v="#REF!"/>
    <e v="#REF!"/>
  </r>
  <r>
    <s v="467100"/>
    <x v="6"/>
    <s v="COMPTE PIVOT P2P"/>
    <s v="SP"/>
    <n v="-58.04"/>
    <d v="2025-06-12T00:00:00"/>
    <s v="RÈGLEMENT PAR CARTE SPENDESK"/>
    <m/>
    <e v="#N/A"/>
    <e v="#N/A"/>
    <n v="78086"/>
    <s v="a427179a-db4f-591f-942b-bcbb259c80d6"/>
    <s v="COURSIER"/>
    <s v="Q2"/>
    <e v="#REF!"/>
    <e v="#REF!"/>
    <e v="#REF!"/>
  </r>
  <r>
    <s v="467100"/>
    <x v="6"/>
    <s v="COMPTE PIVOT P2P"/>
    <s v="SP"/>
    <n v="-58"/>
    <d v="2025-02-04T00:00:00"/>
    <s v="RÈGLEMENT PAR CARTE SPENDESK"/>
    <m/>
    <e v="#N/A"/>
    <e v="#N/A"/>
    <n v="64161"/>
    <s v="9240dd71-4fcc-5b5f-bfc6-6d030940d8f1"/>
    <s v="SNCF"/>
    <s v="Q1"/>
    <e v="#REF!"/>
    <e v="#REF!"/>
    <e v="#REF!"/>
  </r>
  <r>
    <s v="467100"/>
    <x v="6"/>
    <s v="COMPTE PIVOT P2P"/>
    <s v="SP"/>
    <n v="-58"/>
    <d v="2025-02-04T00:00:00"/>
    <s v="RÈGLEMENT PAR CARTE SPENDESK"/>
    <m/>
    <e v="#N/A"/>
    <e v="#N/A"/>
    <n v="64163"/>
    <s v="3e6d038c-ba6e-572a-9464-3f855c127834"/>
    <s v="SNCF"/>
    <s v="Q1"/>
    <e v="#REF!"/>
    <e v="#REF!"/>
    <e v="#REF!"/>
  </r>
  <r>
    <s v="467100"/>
    <x v="6"/>
    <s v="COMPTE PIVOT P2P"/>
    <s v="SP"/>
    <n v="-58"/>
    <d v="2025-06-04T00:00:00"/>
    <s v="RÈGLEMENT PAR CARTE SPENDESK"/>
    <m/>
    <e v="#N/A"/>
    <e v="#N/A"/>
    <n v="78074"/>
    <s v="2b3b39b3-30da-51f2-9aa6-72a699233c4a"/>
    <s v="SNCF"/>
    <s v="Q2"/>
    <e v="#REF!"/>
    <e v="#REF!"/>
    <e v="#REF!"/>
  </r>
  <r>
    <s v="467100"/>
    <x v="6"/>
    <s v="COMPTE PIVOT P2P"/>
    <s v="SP"/>
    <n v="-58"/>
    <d v="2025-09-10T00:00:00"/>
    <s v="RÈGLEMENT PAR CARTE SPENDESK"/>
    <m/>
    <e v="#N/A"/>
    <e v="#N/A"/>
    <n v="83078"/>
    <s v="9a3265ab-221a-5407-bdc3-75d39f246d08"/>
    <s v="SNCF"/>
    <s v="Q3"/>
    <e v="#REF!"/>
    <e v="#REF!"/>
    <e v="#REF!"/>
  </r>
  <r>
    <s v="467100"/>
    <x v="6"/>
    <s v="COMPTE PIVOT P2P"/>
    <s v="SP"/>
    <n v="-58"/>
    <d v="2025-11-18T00:00:00"/>
    <s v="RÈGLEMENT PAR CARTE SPENDESK"/>
    <m/>
    <e v="#N/A"/>
    <e v="#N/A"/>
    <n v="91530"/>
    <s v="c9be4374-37b1-5f11-af7c-cb5342c73897"/>
    <s v="SNCF"/>
    <s v="Q4"/>
    <e v="#REF!"/>
    <e v="#REF!"/>
    <e v="#REF!"/>
  </r>
  <r>
    <s v="467100"/>
    <x v="6"/>
    <s v="COMPTE PIVOT P2P"/>
    <s v="SP"/>
    <n v="-58"/>
    <d v="2025-11-18T00:00:00"/>
    <s v="RÈGLEMENT PAR CARTE SPENDESK"/>
    <m/>
    <e v="#N/A"/>
    <e v="#N/A"/>
    <n v="91540"/>
    <s v="95786106-0b87-5389-afe2-87847f6bb1ff"/>
    <s v="SNCF"/>
    <s v="Q4"/>
    <e v="#REF!"/>
    <e v="#REF!"/>
    <e v="#REF!"/>
  </r>
  <r>
    <s v="467100"/>
    <x v="6"/>
    <s v="COMPTE PIVOT P2P"/>
    <s v="SP"/>
    <n v="-58"/>
    <d v="2025-12-04T00:00:00"/>
    <s v="RÈGLEMENT PAR CARTE SPENDESK"/>
    <m/>
    <e v="#N/A"/>
    <e v="#N/A"/>
    <n v="94000"/>
    <s v="8d97d884-150b-5911-8d23-7b5af971894c"/>
    <s v="SNCF"/>
    <s v="Q4"/>
    <e v="#REF!"/>
    <e v="#REF!"/>
    <e v="#REF!"/>
  </r>
  <r>
    <s v="467100"/>
    <x v="6"/>
    <s v="COMPTE PIVOT P2P"/>
    <s v="SP"/>
    <n v="-57"/>
    <d v="2025-08-27T00:00:00"/>
    <s v="RÈGLEMENT PAR CARTE SPENDESK"/>
    <m/>
    <e v="#N/A"/>
    <e v="#N/A"/>
    <n v="83232"/>
    <s v="c3d4d5f5-4c81-5ce6-8e8f-0a32042efb1c"/>
    <s v="SNCF"/>
    <s v="Q3"/>
    <e v="#REF!"/>
    <e v="#REF!"/>
    <e v="#REF!"/>
  </r>
  <r>
    <s v="467100"/>
    <x v="6"/>
    <s v="COMPTE PIVOT P2P"/>
    <s v="SP"/>
    <n v="-56.99"/>
    <d v="2025-03-11T00:00:00"/>
    <s v="RÈGLEMENT PAR CARTE SPENDESK"/>
    <m/>
    <e v="#N/A"/>
    <e v="#N/A"/>
    <n v="66223"/>
    <s v="cd5b3b99-a428-5d7b-b803-ed71f29ca8c5"/>
    <s v="SNCF"/>
    <s v="Q1"/>
    <e v="#REF!"/>
    <e v="#REF!"/>
    <e v="#REF!"/>
  </r>
  <r>
    <s v="467100"/>
    <x v="6"/>
    <s v="COMPTE PIVOT P2P"/>
    <s v="SP"/>
    <n v="-55.87"/>
    <d v="2025-05-30T00:00:00"/>
    <s v="RÈGLEMENT PAR CARTE SPENDESK"/>
    <m/>
    <e v="#N/A"/>
    <e v="#N/A"/>
    <n v="75082"/>
    <s v="486802403"/>
    <s v="RS COMPONENT"/>
    <s v="Q2"/>
    <e v="#REF!"/>
    <e v="#REF!"/>
    <e v="#REF!"/>
  </r>
  <r>
    <s v="467100"/>
    <x v="6"/>
    <s v="COMPTE PIVOT P2P"/>
    <s v="SP"/>
    <n v="-52.5"/>
    <d v="2025-08-27T00:00:00"/>
    <s v="RÈGLEMENT PAR CARTE SPENDESK"/>
    <m/>
    <e v="#N/A"/>
    <e v="#N/A"/>
    <n v="83234"/>
    <s v="662c3f2b-c689-5f33-b9ca-44527dfc3a5a"/>
    <s v="SNCF"/>
    <s v="Q3"/>
    <e v="#REF!"/>
    <e v="#REF!"/>
    <e v="#REF!"/>
  </r>
  <r>
    <s v="467100"/>
    <x v="6"/>
    <s v="COMPTE PIVOT P2P"/>
    <s v="SP"/>
    <n v="-51"/>
    <d v="2025-03-31T00:00:00"/>
    <s v="RÈGLEMENT PAR CARTE SPENDESK"/>
    <m/>
    <e v="#N/A"/>
    <e v="#N/A"/>
    <n v="66281"/>
    <s v="#111886"/>
    <s v="BONJOUR DRINK"/>
    <s v="Q1"/>
    <e v="#REF!"/>
    <e v="#REF!"/>
    <e v="#REF!"/>
  </r>
  <r>
    <s v="467100"/>
    <x v="6"/>
    <s v="COMPTE PIVOT P2P"/>
    <s v="SP"/>
    <n v="-47.86"/>
    <d v="2025-01-25T00:00:00"/>
    <s v="RÈGLEMENT PAR CARTE SPENDESK"/>
    <m/>
    <e v="#N/A"/>
    <e v="#N/A"/>
    <n v="60016"/>
    <s v="63"/>
    <s v="AUCHAN"/>
    <s v="Q1"/>
    <e v="#REF!"/>
    <e v="#REF!"/>
    <e v="#REF!"/>
  </r>
  <r>
    <s v="467100"/>
    <x v="6"/>
    <s v="COMPTE PIVOT P2P"/>
    <s v="SP"/>
    <n v="-47.54"/>
    <d v="2025-03-21T00:00:00"/>
    <s v="RÈGLEMENT PAR CARTE SPENDESK"/>
    <m/>
    <e v="#N/A"/>
    <e v="#N/A"/>
    <n v="66263"/>
    <s v="d456b4ba-e951-5394-ab70-681c15ad2001"/>
    <s v="BRUNEAU"/>
    <s v="Q1"/>
    <e v="#REF!"/>
    <e v="#REF!"/>
    <e v="#REF!"/>
  </r>
  <r>
    <s v="467100"/>
    <x v="6"/>
    <s v="COMPTE PIVOT P2P"/>
    <s v="SP"/>
    <n v="-45.99"/>
    <d v="2025-08-21T00:00:00"/>
    <s v="RÈGLEMENT PAR CARTE SPENDESK"/>
    <m/>
    <e v="#N/A"/>
    <e v="#N/A"/>
    <n v="83222"/>
    <s v="24ac0726-a78d-58d1-b2fe-b83701e0e2f1"/>
    <s v="AUER"/>
    <s v="Q3"/>
    <e v="#REF!"/>
    <e v="#REF!"/>
    <e v="#REF!"/>
  </r>
  <r>
    <s v="467100"/>
    <x v="6"/>
    <s v="COMPTE PIVOT P2P"/>
    <s v="SP"/>
    <n v="-45.48"/>
    <d v="2025-09-30T00:00:00"/>
    <s v="RÈGLEMENT PAR CARTE SPENDESK"/>
    <m/>
    <e v="#N/A"/>
    <e v="#N/A"/>
    <n v="83136"/>
    <s v="6137b9f1-5775-54b5-af84-8444ed09732a"/>
    <s v="SENDCLOUD"/>
    <s v="Q3"/>
    <e v="#REF!"/>
    <e v="#REF!"/>
    <e v="#REF!"/>
  </r>
  <r>
    <s v="467100"/>
    <x v="6"/>
    <s v="COMPTE PIVOT P2P"/>
    <s v="SP"/>
    <n v="-45"/>
    <d v="2025-01-19T00:00:00"/>
    <s v="RÈGLEMENT PAR CARTE SPENDESK"/>
    <m/>
    <e v="#N/A"/>
    <e v="#N/A"/>
    <n v="60002"/>
    <s v="45"/>
    <s v="BOULANGER"/>
    <s v="Q1"/>
    <e v="#REF!"/>
    <e v="#REF!"/>
    <e v="#REF!"/>
  </r>
  <r>
    <s v="467100"/>
    <x v="6"/>
    <s v="COMPTE PIVOT P2P"/>
    <s v="SP"/>
    <n v="-45"/>
    <d v="2025-08-02T00:00:00"/>
    <s v="RÈGLEMENT PAR CARTE SPENDESK"/>
    <m/>
    <e v="#N/A"/>
    <e v="#N/A"/>
    <n v="83196"/>
    <s v="c96ff6e2-310a-598c-ac40-fe31e36a4385"/>
    <s v="ANTAI.GOUV.FR"/>
    <s v="Q3"/>
    <e v="#REF!"/>
    <e v="#REF!"/>
    <e v="#REF!"/>
  </r>
  <r>
    <s v="467100"/>
    <x v="6"/>
    <s v="COMPTE PIVOT P2P"/>
    <s v="SP"/>
    <n v="-44.86"/>
    <d v="2025-02-17T00:00:00"/>
    <s v="RÈGLEMENT PAR CARTE SPENDESK"/>
    <m/>
    <e v="#N/A"/>
    <e v="#N/A"/>
    <n v="64221"/>
    <s v="2bbe4067-9d28-533a-8c9f-747b4b07eb98"/>
    <s v="SHOPIFY"/>
    <s v="Q1"/>
    <e v="#REF!"/>
    <e v="#REF!"/>
    <e v="#REF!"/>
  </r>
  <r>
    <s v="467100"/>
    <x v="6"/>
    <s v="COMPTE PIVOT P2P"/>
    <s v="SP"/>
    <n v="-44.69"/>
    <d v="2025-03-19T00:00:00"/>
    <s v="RÈGLEMENT PAR CARTE SPENDESK"/>
    <m/>
    <e v="#N/A"/>
    <e v="#N/A"/>
    <n v="66251"/>
    <s v="f28589b2-78e1-53ba-ac20-a8b37cfaaf38"/>
    <s v="SHOPIFY"/>
    <s v="Q1"/>
    <e v="#REF!"/>
    <e v="#REF!"/>
    <e v="#REF!"/>
  </r>
  <r>
    <s v="467100"/>
    <x v="6"/>
    <s v="COMPTE PIVOT P2P"/>
    <s v="SP"/>
    <n v="-44.68"/>
    <d v="2025-01-18T00:00:00"/>
    <s v="RÈGLEMENT PAR CARTE SPENDESK"/>
    <m/>
    <e v="#N/A"/>
    <e v="#N/A"/>
    <n v="59994"/>
    <s v="779cb509-1a1f-56c1-82ee-6a3e84b278de"/>
    <s v="SANITY"/>
    <s v="Q1"/>
    <e v="#REF!"/>
    <e v="#REF!"/>
    <e v="#REF!"/>
  </r>
  <r>
    <s v="467100"/>
    <x v="6"/>
    <s v="COMPTE PIVOT P2P"/>
    <s v="SP"/>
    <n v="-44.39"/>
    <d v="2025-04-18T00:00:00"/>
    <s v="RÈGLEMENT PAR CARTE SPENDESK"/>
    <m/>
    <e v="#N/A"/>
    <e v="#N/A"/>
    <n v="74708"/>
    <s v="3830070c-bb28-58b1-a5f4-4ca0fe45df23"/>
    <s v="SHOPIFY"/>
    <s v="Q2"/>
    <e v="#REF!"/>
    <e v="#REF!"/>
    <e v="#REF!"/>
  </r>
  <r>
    <s v="467100"/>
    <x v="6"/>
    <s v="COMPTE PIVOT P2P"/>
    <s v="SP"/>
    <n v="-44.15"/>
    <d v="2025-06-17T00:00:00"/>
    <s v="RÈGLEMENT PAR CARTE SPENDESK"/>
    <m/>
    <e v="#N/A"/>
    <e v="#N/A"/>
    <n v="78100"/>
    <s v="83ab5c7b-b417-5e06-b5b9-f3b4ecccf538"/>
    <s v="SHOPIFY"/>
    <s v="Q2"/>
    <e v="#REF!"/>
    <e v="#REF!"/>
    <e v="#REF!"/>
  </r>
  <r>
    <s v="467100"/>
    <x v="6"/>
    <s v="COMPTE PIVOT P2P"/>
    <s v="SP"/>
    <n v="-44.08"/>
    <d v="2025-05-18T00:00:00"/>
    <s v="RÈGLEMENT PAR CARTE SPENDESK"/>
    <m/>
    <e v="#N/A"/>
    <e v="#N/A"/>
    <n v="75064"/>
    <s v="4f79b5ff-d108-553f-837e-79f8f226ff70"/>
    <s v="SHOPIFY"/>
    <s v="Q2"/>
    <e v="#REF!"/>
    <e v="#REF!"/>
    <e v="#REF!"/>
  </r>
  <r>
    <s v="467100"/>
    <x v="6"/>
    <s v="COMPTE PIVOT P2P"/>
    <s v="SP"/>
    <n v="-44"/>
    <d v="2025-05-03T00:00:00"/>
    <s v="RÈGLEMENT PAR CARTE SPENDESK"/>
    <m/>
    <e v="#N/A"/>
    <e v="#N/A"/>
    <n v="75040"/>
    <s v="a53dd4c5-78d7-596f-8fe4-ab6d63cb3a6c"/>
    <s v="LA FOURCHE"/>
    <s v="Q2"/>
    <e v="#REF!"/>
    <e v="#REF!"/>
    <e v="#REF!"/>
  </r>
  <r>
    <s v="467100"/>
    <x v="6"/>
    <s v="COMPTE PIVOT P2P"/>
    <s v="SP"/>
    <n v="-43.9"/>
    <d v="2025-07-17T00:00:00"/>
    <s v="RÈGLEMENT PAR CARTE SPENDESK"/>
    <m/>
    <e v="#N/A"/>
    <e v="#N/A"/>
    <n v="80941"/>
    <s v="bacad622-3154-5d5c-83da-8e2cd0188f24"/>
    <s v="SHOPIFY"/>
    <s v="Q3"/>
    <e v="#REF!"/>
    <e v="#REF!"/>
    <e v="#REF!"/>
  </r>
  <r>
    <s v="467100"/>
    <x v="6"/>
    <s v="COMPTE PIVOT P2P"/>
    <s v="SP"/>
    <n v="-43.88"/>
    <d v="2025-12-14T00:00:00"/>
    <s v="RÈGLEMENT PAR CARTE SPENDESK"/>
    <m/>
    <e v="#N/A"/>
    <e v="#N/A"/>
    <n v="94032"/>
    <s v="80eafeff-8164-5f06-a6ba-c5ca1e6dbef4"/>
    <s v="SHOPIFY"/>
    <s v="Q4"/>
    <e v="#REF!"/>
    <e v="#REF!"/>
    <e v="#REF!"/>
  </r>
  <r>
    <s v="467100"/>
    <x v="6"/>
    <s v="COMPTE PIVOT P2P"/>
    <s v="SP"/>
    <n v="-43.86"/>
    <d v="2025-11-14T00:00:00"/>
    <s v="RÈGLEMENT PAR CARTE SPENDESK"/>
    <m/>
    <e v="#N/A"/>
    <e v="#N/A"/>
    <n v="91522"/>
    <s v="4b8f423a-e052-5ced-ab06-ba8c60cf0237"/>
    <s v="SHOPIFY"/>
    <s v="Q4"/>
    <e v="#REF!"/>
    <e v="#REF!"/>
    <e v="#REF!"/>
  </r>
  <r>
    <s v="467100"/>
    <x v="6"/>
    <s v="COMPTE PIVOT P2P"/>
    <s v="SP"/>
    <n v="-43.82"/>
    <d v="2025-08-16T00:00:00"/>
    <s v="RÈGLEMENT PAR CARTE SPENDESK"/>
    <m/>
    <e v="#N/A"/>
    <e v="#N/A"/>
    <n v="83218"/>
    <s v="be837ed7-17e6-5711-bb77-037dd9abfc09"/>
    <s v="SHOPIFY"/>
    <s v="Q3"/>
    <e v="#REF!"/>
    <e v="#REF!"/>
    <e v="#REF!"/>
  </r>
  <r>
    <s v="467100"/>
    <x v="6"/>
    <s v="COMPTE PIVOT P2P"/>
    <s v="SP"/>
    <n v="-43.79"/>
    <d v="2025-09-15T00:00:00"/>
    <s v="RÈGLEMENT PAR CARTE SPENDESK"/>
    <m/>
    <e v="#N/A"/>
    <e v="#N/A"/>
    <n v="83096"/>
    <s v="8220cfe4-212a-5d59-a5c7-c8483f4c4264"/>
    <s v="SHOPIFY"/>
    <s v="Q3"/>
    <e v="#REF!"/>
    <e v="#REF!"/>
    <e v="#REF!"/>
  </r>
  <r>
    <s v="467100"/>
    <x v="6"/>
    <s v="COMPTE PIVOT P2P"/>
    <s v="SP"/>
    <n v="-43.78"/>
    <d v="2025-10-15T00:00:00"/>
    <s v="RÈGLEMENT PAR CARTE SPENDESK"/>
    <m/>
    <e v="#N/A"/>
    <e v="#N/A"/>
    <n v="87659"/>
    <s v="430820179"/>
    <s v="SHOPIFY"/>
    <s v="Q4"/>
    <e v="#REF!"/>
    <e v="#REF!"/>
    <e v="#REF!"/>
  </r>
  <r>
    <s v="467100"/>
    <x v="6"/>
    <s v="COMPTE PIVOT P2P"/>
    <s v="SP"/>
    <n v="-43.56"/>
    <d v="2025-03-22T00:00:00"/>
    <s v="RÈGLEMENT PAR CARTE SPENDESK"/>
    <m/>
    <s v="Non"/>
    <e v="#N/A"/>
    <n v="66267"/>
    <s v="I01590100023708"/>
    <s v="DIVERS"/>
    <s v="Q1"/>
    <e v="#REF!"/>
    <e v="#REF!"/>
    <e v="#REF!"/>
  </r>
  <r>
    <s v="467100"/>
    <x v="6"/>
    <s v="COMPTE PIVOT P2P"/>
    <s v="SP"/>
    <n v="-40.840000000000003"/>
    <d v="2025-08-11T00:00:00"/>
    <s v="RÈGLEMENT PAR CARTE SPENDESK"/>
    <m/>
    <e v="#N/A"/>
    <e v="#N/A"/>
    <n v="83208"/>
    <s v="5dadbd72-e91c-5e2c-825d-044c2c113a33"/>
    <s v="ORANGE"/>
    <s v="Q3"/>
    <e v="#REF!"/>
    <e v="#REF!"/>
    <e v="#REF!"/>
  </r>
  <r>
    <s v="467100"/>
    <x v="6"/>
    <s v="COMPTE PIVOT P2P"/>
    <s v="SP"/>
    <n v="-40.26"/>
    <d v="2025-10-02T00:00:00"/>
    <s v="RÈGLEMENT PAR CARTE SPENDESK"/>
    <m/>
    <e v="#N/A"/>
    <e v="#N/A"/>
    <n v="87627"/>
    <s v="25f74979-c5c7-505a-9170-42c7f5d64e65"/>
    <s v="SENDCLOUD"/>
    <s v="Q4"/>
    <e v="#REF!"/>
    <e v="#REF!"/>
    <e v="#REF!"/>
  </r>
  <r>
    <s v="467100"/>
    <x v="6"/>
    <s v="COMPTE PIVOT P2P"/>
    <s v="SP"/>
    <n v="-40"/>
    <d v="2025-08-11T00:00:00"/>
    <s v="RÈGLEMENT PAR CARTE SPENDESK"/>
    <m/>
    <e v="#N/A"/>
    <e v="#N/A"/>
    <n v="83210"/>
    <s v="27b8e432-e618-5d37-bbea-f4bf251d3480"/>
    <s v="ORANGE"/>
    <s v="Q3"/>
    <e v="#REF!"/>
    <e v="#REF!"/>
    <e v="#REF!"/>
  </r>
  <r>
    <s v="467100"/>
    <x v="6"/>
    <s v="COMPTE PIVOT P2P"/>
    <s v="SP"/>
    <n v="-39.9"/>
    <d v="2025-05-12T00:00:00"/>
    <s v="RÈGLEMENT PAR CARTE SPENDESK"/>
    <m/>
    <e v="#N/A"/>
    <e v="#N/A"/>
    <n v="75048"/>
    <s v="1012106f-dc96-5d2c-bb57-916b1832977c"/>
    <s v="LA FOURCHE"/>
    <s v="Q2"/>
    <e v="#REF!"/>
    <e v="#REF!"/>
    <e v="#REF!"/>
  </r>
  <r>
    <s v="467100"/>
    <x v="6"/>
    <s v="COMPTE PIVOT P2P"/>
    <s v="SP"/>
    <n v="-39.75"/>
    <d v="2025-01-18T00:00:00"/>
    <s v="RÈGLEMENT PAR CARTE SPENDESK"/>
    <m/>
    <e v="#N/A"/>
    <e v="#N/A"/>
    <n v="59998"/>
    <s v="43"/>
    <s v="TRUFFAUT"/>
    <s v="Q1"/>
    <e v="#REF!"/>
    <e v="#REF!"/>
    <e v="#REF!"/>
  </r>
  <r>
    <s v="467100"/>
    <x v="6"/>
    <s v="COMPTE PIVOT P2P"/>
    <s v="SP"/>
    <n v="-39.6"/>
    <d v="2025-09-02T00:00:00"/>
    <s v="RÈGLEMENT PAR CARTE SPENDESK"/>
    <m/>
    <e v="#N/A"/>
    <e v="#N/A"/>
    <n v="83044"/>
    <s v="2004137f-3f11-5b43-ba12-0b2e13bd90f9"/>
    <s v="SENDCLOUD"/>
    <s v="Q3"/>
    <e v="#REF!"/>
    <e v="#REF!"/>
    <e v="#REF!"/>
  </r>
  <r>
    <s v="467100"/>
    <x v="6"/>
    <s v="COMPTE PIVOT P2P"/>
    <s v="SP"/>
    <n v="-39.6"/>
    <d v="2025-12-02T00:00:00"/>
    <s v="RÈGLEMENT PAR CARTE SPENDESK"/>
    <m/>
    <e v="#N/A"/>
    <e v="#N/A"/>
    <n v="93982"/>
    <s v="6be8f00f-b55c-565b-b978-476912e41afe"/>
    <s v="SENDCLOUD"/>
    <s v="Q4"/>
    <e v="#REF!"/>
    <e v="#REF!"/>
    <e v="#REF!"/>
  </r>
  <r>
    <s v="467100"/>
    <x v="6"/>
    <s v="COMPTE PIVOT P2P"/>
    <s v="SP"/>
    <n v="-39"/>
    <d v="2025-01-07T00:00:00"/>
    <s v="RÈGLEMENT PAR CARTE SPENDESK"/>
    <m/>
    <e v="#N/A"/>
    <e v="#N/A"/>
    <n v="59974"/>
    <s v="7269b43a-cd74-55ea-a368-bade819e9a63"/>
    <s v="SNCF"/>
    <s v="Q1"/>
    <e v="#REF!"/>
    <e v="#REF!"/>
    <e v="#REF!"/>
  </r>
  <r>
    <s v="467100"/>
    <x v="6"/>
    <s v="COMPTE PIVOT P2P"/>
    <s v="SP"/>
    <n v="-39"/>
    <d v="2025-02-06T00:00:00"/>
    <s v="RÈGLEMENT PAR CARTE SPENDESK"/>
    <m/>
    <s v="Non"/>
    <e v="#N/A"/>
    <n v="64181"/>
    <s v="ab051b74-dd00-5db7-9367-7b3b514b6310"/>
    <s v="DIVERS"/>
    <s v="Q1"/>
    <e v="#REF!"/>
    <e v="#REF!"/>
    <e v="#REF!"/>
  </r>
  <r>
    <s v="467100"/>
    <x v="6"/>
    <s v="COMPTE PIVOT P2P"/>
    <s v="SP"/>
    <n v="-39"/>
    <d v="2025-03-04T00:00:00"/>
    <s v="RÈGLEMENT PAR CARTE SPENDESK"/>
    <m/>
    <e v="#N/A"/>
    <e v="#N/A"/>
    <n v="66209"/>
    <s v="c618ab1f-f9d7-51d5-a584-5dd48681796d"/>
    <s v="SNCF"/>
    <s v="Q1"/>
    <e v="#REF!"/>
    <e v="#REF!"/>
    <e v="#REF!"/>
  </r>
  <r>
    <s v="467100"/>
    <x v="6"/>
    <s v="COMPTE PIVOT P2P"/>
    <s v="SP"/>
    <n v="-39"/>
    <d v="2025-03-11T00:00:00"/>
    <s v="RÈGLEMENT PAR CARTE SPENDESK"/>
    <m/>
    <e v="#N/A"/>
    <e v="#N/A"/>
    <n v="66219"/>
    <s v="SYNME5"/>
    <s v="SNCF"/>
    <s v="Q1"/>
    <e v="#REF!"/>
    <e v="#REF!"/>
    <e v="#REF!"/>
  </r>
  <r>
    <s v="467100"/>
    <x v="6"/>
    <s v="COMPTE PIVOT P2P"/>
    <s v="SP"/>
    <n v="-38.28"/>
    <d v="2025-01-01T00:00:00"/>
    <s v="RÈGLEMENT PAR CARTE SPENDESK"/>
    <m/>
    <e v="#N/A"/>
    <e v="#N/A"/>
    <n v="59960"/>
    <s v="f43f5ab6-1f2a-5245-90e8-f71ecd124185"/>
    <s v="BRUNEAU"/>
    <s v="Q1"/>
    <e v="#REF!"/>
    <e v="#REF!"/>
    <e v="#REF!"/>
  </r>
  <r>
    <s v="467100"/>
    <x v="6"/>
    <s v="COMPTE PIVOT P2P"/>
    <s v="SP"/>
    <n v="-36.200000000000003"/>
    <d v="2025-01-16T00:00:00"/>
    <s v="RÈGLEMENT PAR CARTE SPENDESK"/>
    <m/>
    <s v="Non"/>
    <e v="#N/A"/>
    <n v="59992"/>
    <s v="510db68c-443c-5263-94e5-27c0d2437b0d"/>
    <s v="DIVERS"/>
    <s v="Q1"/>
    <e v="#REF!"/>
    <e v="#REF!"/>
    <e v="#REF!"/>
  </r>
  <r>
    <s v="467100"/>
    <x v="6"/>
    <s v="COMPTE PIVOT P2P"/>
    <s v="SP"/>
    <n v="-36.06"/>
    <d v="2025-01-18T00:00:00"/>
    <s v="RÈGLEMENT PAR CARTE SPENDESK"/>
    <m/>
    <s v="Non"/>
    <e v="#N/A"/>
    <n v="60000"/>
    <s v="710e0b74-1d8a-516e-a74d-e270b7026ed4"/>
    <s v="DIVERS"/>
    <s v="Q1"/>
    <e v="#REF!"/>
    <e v="#REF!"/>
    <e v="#REF!"/>
  </r>
  <r>
    <s v="467100"/>
    <x v="6"/>
    <s v="COMPTE PIVOT P2P"/>
    <s v="SP"/>
    <n v="-36"/>
    <d v="2025-04-04T00:00:00"/>
    <s v="RÈGLEMENT PAR CARTE SPENDESK"/>
    <m/>
    <s v="Non"/>
    <s v="Oui"/>
    <n v="74658"/>
    <s v="30de78f2-4abd-5aea-afe4-b5d7b4f948ac"/>
    <s v="AXELERA"/>
    <s v="Q2"/>
    <e v="#REF!"/>
    <e v="#REF!"/>
    <e v="#REF!"/>
  </r>
  <r>
    <s v="467100"/>
    <x v="6"/>
    <s v="COMPTE PIVOT P2P"/>
    <s v="SP"/>
    <n v="-35.04"/>
    <d v="2025-04-02T00:00:00"/>
    <s v="RÈGLEMENT PAR CARTE SPENDESK"/>
    <m/>
    <e v="#N/A"/>
    <e v="#N/A"/>
    <n v="74650"/>
    <s v="ac3bf5e4-d29a-51d0-afb8-052445dd78a4"/>
    <s v="SENDCLOUD"/>
    <s v="Q2"/>
    <e v="#REF!"/>
    <e v="#REF!"/>
    <e v="#REF!"/>
  </r>
  <r>
    <s v="467100"/>
    <x v="6"/>
    <s v="COMPTE PIVOT P2P"/>
    <s v="SP"/>
    <n v="-35.04"/>
    <d v="2025-07-02T00:00:00"/>
    <s v="RÈGLEMENT PAR CARTE SPENDESK"/>
    <m/>
    <e v="#N/A"/>
    <e v="#N/A"/>
    <n v="80913"/>
    <s v="838bbe1f-2a45-5794-91df-1821b6bbf9e3"/>
    <s v="SENDCLOUD"/>
    <s v="Q3"/>
    <e v="#REF!"/>
    <e v="#REF!"/>
    <e v="#REF!"/>
  </r>
  <r>
    <s v="467100"/>
    <x v="6"/>
    <s v="COMPTE PIVOT P2P"/>
    <s v="SP"/>
    <n v="-34.799999999999997"/>
    <d v="2025-01-02T00:00:00"/>
    <s v="RÈGLEMENT PAR CARTE SPENDESK"/>
    <m/>
    <e v="#N/A"/>
    <e v="#N/A"/>
    <n v="59964"/>
    <s v="381b6413-40c3-5588-823c-b46321163e34"/>
    <s v="SENDCLOUD"/>
    <s v="Q1"/>
    <e v="#REF!"/>
    <e v="#REF!"/>
    <e v="#REF!"/>
  </r>
  <r>
    <s v="467100"/>
    <x v="6"/>
    <s v="COMPTE PIVOT P2P"/>
    <s v="SP"/>
    <n v="-34.799999999999997"/>
    <d v="2025-02-02T00:00:00"/>
    <s v="RÈGLEMENT PAR CARTE SPENDESK"/>
    <m/>
    <e v="#N/A"/>
    <e v="#N/A"/>
    <n v="64157"/>
    <s v="0beb14c1-6acc-5196-834e-84071a6a52ec"/>
    <s v="SENDCLOUD"/>
    <s v="Q1"/>
    <e v="#REF!"/>
    <e v="#REF!"/>
    <e v="#REF!"/>
  </r>
  <r>
    <s v="467100"/>
    <x v="6"/>
    <s v="COMPTE PIVOT P2P"/>
    <s v="SP"/>
    <n v="-34.799999999999997"/>
    <d v="2025-03-02T00:00:00"/>
    <s v="RÈGLEMENT PAR CARTE SPENDESK"/>
    <m/>
    <e v="#N/A"/>
    <e v="#N/A"/>
    <n v="66193"/>
    <s v="3d9b5f6e-e92e-5a51-8fd9-65725ea817e4"/>
    <s v="SENDCLOUD"/>
    <s v="Q1"/>
    <e v="#REF!"/>
    <e v="#REF!"/>
    <e v="#REF!"/>
  </r>
  <r>
    <s v="467100"/>
    <x v="6"/>
    <s v="COMPTE PIVOT P2P"/>
    <s v="SP"/>
    <n v="-34.799999999999997"/>
    <d v="2025-05-02T00:00:00"/>
    <s v="RÈGLEMENT PAR CARTE SPENDESK"/>
    <m/>
    <e v="#N/A"/>
    <e v="#N/A"/>
    <n v="75036"/>
    <s v="faf8c3bf-887b-5a29-995f-cc93329029cd"/>
    <s v="SENDCLOUD"/>
    <s v="Q2"/>
    <e v="#REF!"/>
    <e v="#REF!"/>
    <e v="#REF!"/>
  </r>
  <r>
    <s v="467100"/>
    <x v="6"/>
    <s v="COMPTE PIVOT P2P"/>
    <s v="SP"/>
    <n v="-34.799999999999997"/>
    <d v="2025-06-02T00:00:00"/>
    <s v="RÈGLEMENT PAR CARTE SPENDESK"/>
    <m/>
    <e v="#N/A"/>
    <e v="#N/A"/>
    <n v="78070"/>
    <s v="e1677e42-da40-588a-9be0-6112889976ec"/>
    <s v="SENDCLOUD"/>
    <s v="Q2"/>
    <e v="#REF!"/>
    <e v="#REF!"/>
    <e v="#REF!"/>
  </r>
  <r>
    <s v="467100"/>
    <x v="6"/>
    <s v="COMPTE PIVOT P2P"/>
    <s v="SP"/>
    <n v="-34.799999999999997"/>
    <d v="2025-08-02T00:00:00"/>
    <s v="RÈGLEMENT PAR CARTE SPENDESK"/>
    <m/>
    <e v="#N/A"/>
    <e v="#N/A"/>
    <n v="83194"/>
    <s v="561daab4-cd93-5c7d-bd17-b93e520c204e"/>
    <s v="SENDCLOUD"/>
    <s v="Q3"/>
    <e v="#REF!"/>
    <e v="#REF!"/>
    <e v="#REF!"/>
  </r>
  <r>
    <s v="467100"/>
    <x v="6"/>
    <s v="COMPTE PIVOT P2P"/>
    <s v="SP"/>
    <n v="-34.799999999999997"/>
    <d v="2025-12-24T00:00:00"/>
    <s v="RÈGLEMENT PAR CARTE SPENDESK"/>
    <m/>
    <e v="#N/A"/>
    <e v="#N/A"/>
    <n v="94042"/>
    <s v="f59564a4-861d-5a89-8554-db9c046def2e"/>
    <s v="LPI CONSEIL"/>
    <s v="Q4"/>
    <e v="#REF!"/>
    <e v="#REF!"/>
    <e v="#REF!"/>
  </r>
  <r>
    <s v="467100"/>
    <x v="6"/>
    <s v="COMPTE PIVOT P2P"/>
    <s v="SP"/>
    <n v="-33.590000000000003"/>
    <d v="2025-10-22T00:00:00"/>
    <s v="RÈGLEMENT PAR CARTE SPENDESK"/>
    <m/>
    <e v="#N/A"/>
    <e v="#N/A"/>
    <n v="87675"/>
    <s v="26.560.029"/>
    <s v="BRUNEAU"/>
    <s v="Q4"/>
    <e v="#REF!"/>
    <e v="#REF!"/>
    <e v="#REF!"/>
  </r>
  <r>
    <s v="467100"/>
    <x v="6"/>
    <s v="COMPTE PIVOT P2P"/>
    <s v="SP"/>
    <n v="-33.42"/>
    <d v="2025-03-01T00:00:00"/>
    <s v="RÈGLEMENT PAR CARTE SPENDESK"/>
    <m/>
    <e v="#N/A"/>
    <e v="#N/A"/>
    <n v="66191"/>
    <s v="524982d8-1ec8-5eb6-a0ba-f36625be7c1a"/>
    <s v="MANUTAN"/>
    <s v="Q1"/>
    <e v="#REF!"/>
    <e v="#REF!"/>
    <e v="#REF!"/>
  </r>
  <r>
    <s v="467100"/>
    <x v="6"/>
    <s v="COMPTE PIVOT P2P"/>
    <s v="SP"/>
    <n v="-32.85"/>
    <d v="2025-06-18T00:00:00"/>
    <s v="RÈGLEMENT PAR CARTE SPENDESK"/>
    <m/>
    <e v="#N/A"/>
    <e v="#N/A"/>
    <n v="78104"/>
    <s v="48fddd85-cd46-507c-80fe-17116cc99601"/>
    <s v="MONDROGUISTE"/>
    <s v="Q2"/>
    <e v="#REF!"/>
    <e v="#REF!"/>
    <e v="#REF!"/>
  </r>
  <r>
    <s v="467100"/>
    <x v="6"/>
    <s v="COMPTE PIVOT P2P"/>
    <s v="SP"/>
    <n v="-31.79"/>
    <d v="2025-01-18T00:00:00"/>
    <s v="RÈGLEMENT PAR CARTE SPENDESK"/>
    <m/>
    <s v="Non"/>
    <e v="#N/A"/>
    <n v="59996"/>
    <s v="ab43fd85-904c-5f3e-bdb5-7b4460662121"/>
    <s v="DIVERS"/>
    <s v="Q1"/>
    <e v="#REF!"/>
    <e v="#REF!"/>
    <e v="#REF!"/>
  </r>
  <r>
    <s v="467100"/>
    <x v="6"/>
    <s v="COMPTE PIVOT P2P"/>
    <s v="SP"/>
    <n v="-30"/>
    <d v="2025-08-25T00:00:00"/>
    <s v="RÈGLEMENT PAR CARTE SPENDESK"/>
    <m/>
    <e v="#N/A"/>
    <e v="#N/A"/>
    <n v="83230"/>
    <s v="b3b9eec1-f0d5-58ae-8965-b15c504d4ec8"/>
    <s v="MAILJET"/>
    <s v="Q3"/>
    <e v="#REF!"/>
    <e v="#REF!"/>
    <e v="#REF!"/>
  </r>
  <r>
    <s v="467100"/>
    <x v="6"/>
    <s v="COMPTE PIVOT P2P"/>
    <s v="SP"/>
    <n v="-30"/>
    <d v="2025-09-25T00:00:00"/>
    <s v="RÈGLEMENT PAR CARTE SPENDESK"/>
    <m/>
    <e v="#N/A"/>
    <e v="#N/A"/>
    <n v="83122"/>
    <s v="42108703-71f3-5289-8068-47d099c4e502"/>
    <s v="MAILJET"/>
    <s v="Q3"/>
    <e v="#REF!"/>
    <e v="#REF!"/>
    <e v="#REF!"/>
  </r>
  <r>
    <s v="467100"/>
    <x v="6"/>
    <s v="COMPTE PIVOT P2P"/>
    <s v="SP"/>
    <n v="-30"/>
    <d v="2025-10-25T00:00:00"/>
    <s v="RÈGLEMENT PAR CARTE SPENDESK"/>
    <m/>
    <e v="#N/A"/>
    <e v="#N/A"/>
    <n v="87683"/>
    <s v="9578930"/>
    <s v="MAILJET"/>
    <s v="Q4"/>
    <e v="#REF!"/>
    <e v="#REF!"/>
    <e v="#REF!"/>
  </r>
  <r>
    <s v="467100"/>
    <x v="6"/>
    <s v="COMPTE PIVOT P2P"/>
    <s v="SP"/>
    <n v="-30"/>
    <d v="2025-11-03T00:00:00"/>
    <s v="RÈGLEMENT PAR CARTE SPENDESK"/>
    <m/>
    <e v="#N/A"/>
    <e v="#N/A"/>
    <n v="91496"/>
    <s v="dce2b5e3-0f37-5d40-8a2f-831deee7bfdf"/>
    <s v="COOKIEBOT"/>
    <s v="Q4"/>
    <e v="#REF!"/>
    <e v="#REF!"/>
    <e v="#REF!"/>
  </r>
  <r>
    <s v="467100"/>
    <x v="6"/>
    <s v="COMPTE PIVOT P2P"/>
    <s v="SP"/>
    <n v="-30"/>
    <d v="2025-11-25T00:00:00"/>
    <s v="RÈGLEMENT PAR CARTE SPENDESK"/>
    <m/>
    <e v="#N/A"/>
    <e v="#N/A"/>
    <n v="91552"/>
    <s v="f8a29038-791a-5af2-836a-f23ff8d88ec3"/>
    <s v="MAILJET"/>
    <s v="Q4"/>
    <e v="#REF!"/>
    <e v="#REF!"/>
    <e v="#REF!"/>
  </r>
  <r>
    <s v="467100"/>
    <x v="6"/>
    <s v="COMPTE PIVOT P2P"/>
    <s v="SP"/>
    <n v="-30"/>
    <d v="2025-12-03T00:00:00"/>
    <s v="RÈGLEMENT PAR CARTE SPENDESK"/>
    <m/>
    <e v="#N/A"/>
    <e v="#N/A"/>
    <n v="93992"/>
    <s v="2bab8837-564c-5e7a-a032-6b655a705f8c"/>
    <s v="COOKIEBOT"/>
    <s v="Q4"/>
    <e v="#REF!"/>
    <e v="#REF!"/>
    <e v="#REF!"/>
  </r>
  <r>
    <s v="467100"/>
    <x v="6"/>
    <s v="COMPTE PIVOT P2P"/>
    <s v="SP"/>
    <n v="-30"/>
    <d v="2025-12-25T00:00:00"/>
    <s v="RÈGLEMENT PAR CARTE SPENDESK"/>
    <m/>
    <e v="#N/A"/>
    <e v="#N/A"/>
    <n v="94044"/>
    <s v="ada95248-64b3-5f27-a9fa-04a700f5e5a9"/>
    <s v="MAILJET"/>
    <s v="Q4"/>
    <e v="#REF!"/>
    <e v="#REF!"/>
    <e v="#REF!"/>
  </r>
  <r>
    <s v="467100"/>
    <x v="6"/>
    <s v="COMPTE PIVOT P2P"/>
    <s v="SP"/>
    <n v="-29.95"/>
    <d v="2025-07-25T00:00:00"/>
    <s v="RÈGLEMENT PAR CARTE SPENDESK"/>
    <m/>
    <e v="#N/A"/>
    <e v="#N/A"/>
    <n v="80949"/>
    <s v="c12bc7e7-b419-5f9d-a3b2-02add35e9b12"/>
    <s v="MAILJET"/>
    <s v="Q3"/>
    <e v="#REF!"/>
    <e v="#REF!"/>
    <e v="#REF!"/>
  </r>
  <r>
    <s v="467100"/>
    <x v="6"/>
    <s v="COMPTE PIVOT P2P"/>
    <s v="SP"/>
    <n v="-28"/>
    <d v="2025-11-13T00:00:00"/>
    <s v="RÈGLEMENT PAR CARTE SPENDESK"/>
    <m/>
    <s v="Non"/>
    <e v="#N/A"/>
    <n v="91520"/>
    <s v="f781a802-2410-5120-b8ab-20149bde03bb"/>
    <s v="DIVERS"/>
    <s v="Q4"/>
    <e v="#REF!"/>
    <e v="#REF!"/>
    <e v="#REF!"/>
  </r>
  <r>
    <s v="467100"/>
    <x v="6"/>
    <s v="COMPTE PIVOT P2P"/>
    <s v="SP"/>
    <n v="-27.68"/>
    <d v="2025-07-12T00:00:00"/>
    <s v="RÈGLEMENT PAR CARTE SPENDESK"/>
    <m/>
    <e v="#N/A"/>
    <e v="#N/A"/>
    <n v="80935"/>
    <s v="796708db-d5eb-5008-bde4-abcb59e1e6e8"/>
    <s v="RS COMPONENT"/>
    <s v="Q3"/>
    <e v="#REF!"/>
    <e v="#REF!"/>
    <e v="#REF!"/>
  </r>
  <r>
    <s v="467100"/>
    <x v="6"/>
    <s v="COMPTE PIVOT P2P"/>
    <s v="SP"/>
    <n v="-27.6"/>
    <d v="2025-02-23T00:00:00"/>
    <s v="RÈGLEMENT PAR CARTE SPENDESK"/>
    <m/>
    <s v="Non"/>
    <e v="#N/A"/>
    <n v="64237"/>
    <s v="e11f0d59-efba-5501-b202-acbb24bc6b32"/>
    <s v="DIVERS"/>
    <s v="Q1"/>
    <e v="#REF!"/>
    <e v="#REF!"/>
    <e v="#REF!"/>
  </r>
  <r>
    <s v="467100"/>
    <x v="6"/>
    <s v="COMPTE PIVOT P2P"/>
    <s v="SP"/>
    <n v="-24.99"/>
    <d v="2025-08-14T00:00:00"/>
    <s v="RÈGLEMENT PAR CARTE SPENDESK"/>
    <m/>
    <e v="#N/A"/>
    <e v="#N/A"/>
    <n v="83214"/>
    <s v="3087c302-e76e-50d5-aeee-41931d432b12"/>
    <s v="FNAC"/>
    <s v="Q3"/>
    <e v="#REF!"/>
    <e v="#REF!"/>
    <e v="#REF!"/>
  </r>
  <r>
    <s v="467100"/>
    <x v="6"/>
    <s v="COMPTE PIVOT P2P"/>
    <s v="SP"/>
    <n v="-23.72"/>
    <d v="2025-01-30T00:00:00"/>
    <s v="RÈGLEMENT PAR CARTE SPENDESK"/>
    <m/>
    <e v="#N/A"/>
    <e v="#N/A"/>
    <n v="60026"/>
    <s v="72"/>
    <s v="BRUNEAU"/>
    <s v="Q1"/>
    <e v="#REF!"/>
    <e v="#REF!"/>
    <e v="#REF!"/>
  </r>
  <r>
    <s v="467100"/>
    <x v="6"/>
    <s v="COMPTE PIVOT P2P"/>
    <s v="SP"/>
    <n v="-22.96"/>
    <d v="2025-10-02T00:00:00"/>
    <s v="RÈGLEMENT PAR CARTE SPENDESK"/>
    <m/>
    <e v="#N/A"/>
    <e v="#N/A"/>
    <n v="87625"/>
    <s v="08314649-c2d1-58e2-aa0c-2693db9946a9"/>
    <s v="LA POSTE"/>
    <s v="Q4"/>
    <e v="#REF!"/>
    <e v="#REF!"/>
    <e v="#REF!"/>
  </r>
  <r>
    <s v="467100"/>
    <x v="6"/>
    <s v="COMPTE PIVOT P2P"/>
    <s v="SP"/>
    <n v="-22.45"/>
    <d v="2025-02-12T00:00:00"/>
    <s v="RÈGLEMENT PAR CARTE SPENDESK"/>
    <m/>
    <e v="#N/A"/>
    <e v="#N/A"/>
    <n v="64195"/>
    <s v="6828fdaa-c939-532c-9365-5a2784f1bcc1"/>
    <s v="BRUNEAU"/>
    <s v="Q1"/>
    <e v="#REF!"/>
    <e v="#REF!"/>
    <e v="#REF!"/>
  </r>
  <r>
    <s v="467100"/>
    <x v="6"/>
    <s v="COMPTE PIVOT P2P"/>
    <s v="SP"/>
    <n v="-21.99"/>
    <d v="2025-08-14T00:00:00"/>
    <s v="RÈGLEMENT PAR CARTE SPENDESK"/>
    <m/>
    <e v="#N/A"/>
    <e v="#N/A"/>
    <n v="83212"/>
    <s v="f1b998ac-c71c-5f38-8eed-962b8d93bf27"/>
    <s v="FNAC"/>
    <s v="Q3"/>
    <e v="#REF!"/>
    <e v="#REF!"/>
    <e v="#REF!"/>
  </r>
  <r>
    <s v="467100"/>
    <x v="6"/>
    <s v="COMPTE PIVOT P2P"/>
    <s v="SP"/>
    <n v="-21.35"/>
    <d v="2025-07-04T00:00:00"/>
    <s v="RÈGLEMENT PAR CARTE SPENDESK"/>
    <m/>
    <e v="#N/A"/>
    <e v="#N/A"/>
    <n v="80921"/>
    <s v="15ad2445-802b-534c-953e-f2b375e666e1"/>
    <s v="LA POSTE"/>
    <s v="Q3"/>
    <e v="#REF!"/>
    <e v="#REF!"/>
    <e v="#REF!"/>
  </r>
  <r>
    <s v="467100"/>
    <x v="6"/>
    <s v="COMPTE PIVOT P2P"/>
    <s v="SP"/>
    <n v="-20.89"/>
    <d v="2025-04-25T00:00:00"/>
    <s v="RÈGLEMENT PAR CARTE SPENDESK"/>
    <m/>
    <e v="#N/A"/>
    <e v="#N/A"/>
    <n v="74716"/>
    <s v="e660390f-9f94-5771-afca-4d544c5494b9"/>
    <s v="LEROY MERLIN"/>
    <s v="Q2"/>
    <e v="#REF!"/>
    <e v="#REF!"/>
    <e v="#REF!"/>
  </r>
  <r>
    <s v="467100"/>
    <x v="6"/>
    <s v="COMPTE PIVOT P2P"/>
    <s v="SP"/>
    <n v="-19.989999999999998"/>
    <d v="2025-08-14T00:00:00"/>
    <s v="RÈGLEMENT PAR CARTE SPENDESK"/>
    <m/>
    <e v="#N/A"/>
    <e v="#N/A"/>
    <n v="83216"/>
    <s v="61bd2f7e-062c-5110-b7fe-ae57cce270c1"/>
    <s v="FNAC"/>
    <s v="Q3"/>
    <e v="#REF!"/>
    <e v="#REF!"/>
    <e v="#REF!"/>
  </r>
  <r>
    <s v="467100"/>
    <x v="6"/>
    <s v="COMPTE PIVOT P2P"/>
    <s v="SP"/>
    <n v="-19.75"/>
    <d v="2025-06-13T00:00:00"/>
    <s v="RÈGLEMENT PAR CARTE SPENDESK"/>
    <m/>
    <e v="#N/A"/>
    <e v="#N/A"/>
    <n v="78088"/>
    <s v="a2a4b150-a5e8-5827-b290-9a8d3f084163"/>
    <s v="GOV.UK"/>
    <s v="Q2"/>
    <e v="#REF!"/>
    <e v="#REF!"/>
    <e v="#REF!"/>
  </r>
  <r>
    <s v="467100"/>
    <x v="6"/>
    <s v="COMPTE PIVOT P2P"/>
    <s v="SP"/>
    <n v="-19"/>
    <d v="2025-07-29T00:00:00"/>
    <s v="RÈGLEMENT PAR CARTE SPENDESK"/>
    <m/>
    <e v="#N/A"/>
    <e v="#N/A"/>
    <n v="80953"/>
    <s v="18bd783e-8a4f-5b1a-9989-bd185adefa6e"/>
    <s v="SNCF"/>
    <s v="Q3"/>
    <e v="#REF!"/>
    <e v="#REF!"/>
    <e v="#REF!"/>
  </r>
  <r>
    <s v="467100"/>
    <x v="6"/>
    <s v="COMPTE PIVOT P2P"/>
    <s v="SP"/>
    <n v="-18.84"/>
    <d v="2025-03-28T00:00:00"/>
    <s v="RÈGLEMENT PAR CARTE SPENDESK"/>
    <m/>
    <e v="#N/A"/>
    <e v="#N/A"/>
    <n v="66277"/>
    <s v="10"/>
    <s v="LEROY MERLIN"/>
    <s v="Q1"/>
    <e v="#REF!"/>
    <e v="#REF!"/>
    <e v="#REF!"/>
  </r>
  <r>
    <s v="467100"/>
    <x v="6"/>
    <s v="COMPTE PIVOT P2P"/>
    <s v="SP"/>
    <n v="-18.84"/>
    <d v="2025-04-12T00:00:00"/>
    <s v="RÈGLEMENT PAR CARTE SPENDESK"/>
    <m/>
    <e v="#N/A"/>
    <e v="#N/A"/>
    <n v="74696"/>
    <s v="07a662f5-e6c1-569b-a6f8-326511ced8ea"/>
    <s v="MANUTAN"/>
    <s v="Q2"/>
    <e v="#REF!"/>
    <e v="#REF!"/>
    <e v="#REF!"/>
  </r>
  <r>
    <s v="467100"/>
    <x v="6"/>
    <s v="COMPTE PIVOT P2P"/>
    <s v="SP"/>
    <n v="-18.55"/>
    <d v="2025-12-10T00:00:00"/>
    <s v="RÈGLEMENT PAR CARTE SPENDESK"/>
    <m/>
    <e v="#N/A"/>
    <e v="#N/A"/>
    <n v="94016"/>
    <s v="ccda2297-c5ad-5c79-ae78-0d34597feef5"/>
    <s v="BRUNEAU"/>
    <s v="Q4"/>
    <e v="#REF!"/>
    <e v="#REF!"/>
    <e v="#REF!"/>
  </r>
  <r>
    <s v="467100"/>
    <x v="6"/>
    <s v="COMPTE PIVOT P2P"/>
    <s v="SP"/>
    <n v="-17.52"/>
    <d v="2025-03-19T00:00:00"/>
    <s v="RÈGLEMENT PAR CARTE SPENDESK"/>
    <m/>
    <e v="#N/A"/>
    <e v="#N/A"/>
    <n v="66247"/>
    <s v="35327508-d540-5e91-bc87-41b443fcbe72"/>
    <s v="RS COMPONENT"/>
    <s v="Q1"/>
    <e v="#REF!"/>
    <e v="#REF!"/>
    <e v="#REF!"/>
  </r>
  <r>
    <s v="467100"/>
    <x v="6"/>
    <s v="COMPTE PIVOT P2P"/>
    <s v="SP"/>
    <n v="-16.850000000000001"/>
    <d v="2025-02-05T00:00:00"/>
    <s v="RÈGLEMENT PAR CARTE SPENDESK"/>
    <m/>
    <e v="#N/A"/>
    <e v="#N/A"/>
    <n v="64171"/>
    <s v="8fb4927b-2318-5aa3-8955-b7c8a4cd1b38"/>
    <s v="LA POSTE"/>
    <s v="Q1"/>
    <e v="#REF!"/>
    <e v="#REF!"/>
    <e v="#REF!"/>
  </r>
  <r>
    <s v="467100"/>
    <x v="6"/>
    <s v="COMPTE PIVOT P2P"/>
    <s v="SP"/>
    <n v="-16.079999999999998"/>
    <d v="2025-03-20T00:00:00"/>
    <s v="RÈGLEMENT PAR CARTE SPENDESK"/>
    <m/>
    <e v="#N/A"/>
    <e v="#N/A"/>
    <n v="66253"/>
    <s v="24963c84-9b8f-516f-9248-92733b79b397"/>
    <s v="RS COMPONENT"/>
    <s v="Q1"/>
    <e v="#REF!"/>
    <e v="#REF!"/>
    <e v="#REF!"/>
  </r>
  <r>
    <s v="467100"/>
    <x v="6"/>
    <s v="COMPTE PIVOT P2P"/>
    <s v="SP"/>
    <n v="-15.85"/>
    <d v="2025-11-08T00:00:00"/>
    <s v="RÈGLEMENT PAR CARTE SPENDESK"/>
    <m/>
    <e v="#N/A"/>
    <e v="#N/A"/>
    <n v="91516"/>
    <s v="4d770bb0-3739-54ea-9bc5-aa296fddf4c3"/>
    <s v="LA POSTE"/>
    <s v="Q4"/>
    <e v="#REF!"/>
    <e v="#REF!"/>
    <e v="#REF!"/>
  </r>
  <r>
    <s v="467100"/>
    <x v="6"/>
    <s v="COMPTE PIVOT P2P"/>
    <s v="SP"/>
    <n v="-15"/>
    <d v="2025-01-13T00:00:00"/>
    <s v="RÈGLEMENT PAR CARTE SPENDESK"/>
    <m/>
    <e v="#N/A"/>
    <e v="#N/A"/>
    <n v="59986"/>
    <s v="06165983-539e-5b88-b54b-77f6d4205b66"/>
    <s v="COOKIEBOT"/>
    <s v="Q1"/>
    <e v="#REF!"/>
    <e v="#REF!"/>
    <e v="#REF!"/>
  </r>
  <r>
    <s v="467100"/>
    <x v="6"/>
    <s v="COMPTE PIVOT P2P"/>
    <s v="SP"/>
    <n v="-15"/>
    <d v="2025-02-03T00:00:00"/>
    <s v="RÈGLEMENT PAR CARTE SPENDESK"/>
    <m/>
    <e v="#N/A"/>
    <e v="#N/A"/>
    <n v="64159"/>
    <s v="eb500665-20a7-50c3-a62f-a2d8ece75a06"/>
    <s v="COOKIEBOT"/>
    <s v="Q1"/>
    <e v="#REF!"/>
    <e v="#REF!"/>
    <e v="#REF!"/>
  </r>
  <r>
    <s v="467100"/>
    <x v="6"/>
    <s v="COMPTE PIVOT P2P"/>
    <s v="SP"/>
    <n v="-15"/>
    <d v="2025-03-03T00:00:00"/>
    <s v="RÈGLEMENT PAR CARTE SPENDESK"/>
    <m/>
    <e v="#N/A"/>
    <e v="#N/A"/>
    <n v="66197"/>
    <s v="1548c517-4040-55da-8a15-7db8b9ff4274"/>
    <s v="COOKIEBOT"/>
    <s v="Q1"/>
    <e v="#REF!"/>
    <e v="#REF!"/>
    <e v="#REF!"/>
  </r>
  <r>
    <s v="467100"/>
    <x v="6"/>
    <s v="COMPTE PIVOT P2P"/>
    <s v="SP"/>
    <n v="-15"/>
    <d v="2025-04-03T00:00:00"/>
    <s v="RÈGLEMENT PAR CARTE SPENDESK"/>
    <m/>
    <e v="#N/A"/>
    <e v="#N/A"/>
    <n v="74656"/>
    <s v="5f2d76fe-7927-5b2a-b650-46bcb25b58e8"/>
    <s v="COOKIEBOT"/>
    <s v="Q2"/>
    <e v="#REF!"/>
    <e v="#REF!"/>
    <e v="#REF!"/>
  </r>
  <r>
    <s v="467100"/>
    <x v="6"/>
    <s v="COMPTE PIVOT P2P"/>
    <s v="SP"/>
    <n v="-15"/>
    <d v="2025-05-03T00:00:00"/>
    <s v="RÈGLEMENT PAR CARTE SPENDESK"/>
    <m/>
    <e v="#N/A"/>
    <e v="#N/A"/>
    <n v="75038"/>
    <s v="3a9aedbb-b79c-50ae-8dbe-237cb7b3d1b4"/>
    <s v="COOKIEBOT"/>
    <s v="Q2"/>
    <e v="#REF!"/>
    <e v="#REF!"/>
    <e v="#REF!"/>
  </r>
  <r>
    <s v="467100"/>
    <x v="6"/>
    <s v="COMPTE PIVOT P2P"/>
    <s v="SP"/>
    <n v="-15"/>
    <d v="2025-06-04T00:00:00"/>
    <s v="RÈGLEMENT PAR CARTE SPENDESK"/>
    <m/>
    <e v="#N/A"/>
    <e v="#N/A"/>
    <n v="78072"/>
    <s v="267d6ad2-349a-503c-883b-1a3591e86735"/>
    <s v="COOKIEBOT"/>
    <s v="Q2"/>
    <e v="#REF!"/>
    <e v="#REF!"/>
    <e v="#REF!"/>
  </r>
  <r>
    <s v="467100"/>
    <x v="6"/>
    <s v="COMPTE PIVOT P2P"/>
    <s v="SP"/>
    <n v="-15"/>
    <d v="2025-07-04T00:00:00"/>
    <s v="RÈGLEMENT PAR CARTE SPENDESK"/>
    <m/>
    <e v="#N/A"/>
    <e v="#N/A"/>
    <n v="80919"/>
    <s v="ce1bc62e-90ee-5b4f-806f-bff2c41cf912"/>
    <s v="COOKIEBOT"/>
    <s v="Q3"/>
    <e v="#REF!"/>
    <e v="#REF!"/>
    <e v="#REF!"/>
  </r>
  <r>
    <s v="467100"/>
    <x v="6"/>
    <s v="COMPTE PIVOT P2P"/>
    <s v="SP"/>
    <n v="-15"/>
    <d v="2025-08-03T00:00:00"/>
    <s v="RÈGLEMENT PAR CARTE SPENDESK"/>
    <m/>
    <e v="#N/A"/>
    <e v="#N/A"/>
    <n v="83198"/>
    <s v="d7683ef3-2a4a-5389-a12a-c3f0cad81666"/>
    <s v="COOKIEBOT"/>
    <s v="Q3"/>
    <e v="#REF!"/>
    <e v="#REF!"/>
    <e v="#REF!"/>
  </r>
  <r>
    <s v="467100"/>
    <x v="6"/>
    <s v="COMPTE PIVOT P2P"/>
    <s v="SP"/>
    <n v="-14.89"/>
    <d v="2025-11-18T00:00:00"/>
    <s v="RÈGLEMENT PAR CARTE SPENDESK"/>
    <m/>
    <e v="#N/A"/>
    <e v="#N/A"/>
    <n v="91542"/>
    <s v="89155c9e-f4d2-5fb5-8b4a-1516ff218600"/>
    <s v="LEROY MERLIN"/>
    <s v="Q4"/>
    <e v="#REF!"/>
    <e v="#REF!"/>
    <e v="#REF!"/>
  </r>
  <r>
    <s v="467100"/>
    <x v="6"/>
    <s v="COMPTE PIVOT P2P"/>
    <s v="SP"/>
    <n v="-14.62"/>
    <d v="2025-02-06T00:00:00"/>
    <s v="RÈGLEMENT PAR CARTE SPENDESK"/>
    <m/>
    <e v="#N/A"/>
    <e v="#N/A"/>
    <n v="64183"/>
    <s v="87c2d974-0e01-535c-8171-7aeea5bccec3"/>
    <s v="LA POSTE"/>
    <s v="Q1"/>
    <e v="#REF!"/>
    <e v="#REF!"/>
    <e v="#REF!"/>
  </r>
  <r>
    <s v="467100"/>
    <x v="6"/>
    <s v="COMPTE PIVOT P2P"/>
    <s v="SP"/>
    <n v="-14.2"/>
    <d v="2025-08-21T00:00:00"/>
    <s v="RÈGLEMENT PAR CARTE SPENDESK"/>
    <m/>
    <e v="#N/A"/>
    <e v="#N/A"/>
    <n v="83224"/>
    <s v="80f1aabe-64e8-5cbc-9e92-683e45f48443"/>
    <s v="BRUNEAU"/>
    <s v="Q3"/>
    <e v="#REF!"/>
    <e v="#REF!"/>
    <e v="#REF!"/>
  </r>
  <r>
    <s v="467100"/>
    <x v="6"/>
    <s v="COMPTE PIVOT P2P"/>
    <s v="SP"/>
    <n v="-13.94"/>
    <d v="2025-04-25T00:00:00"/>
    <s v="RÈGLEMENT PAR CARTE SPENDESK"/>
    <m/>
    <e v="#N/A"/>
    <e v="#N/A"/>
    <n v="74712"/>
    <s v="3bbbd5a9-175e-5fe4-8e2f-989317dcc4bb"/>
    <s v="LEROY MERLIN"/>
    <s v="Q2"/>
    <e v="#REF!"/>
    <e v="#REF!"/>
    <e v="#REF!"/>
  </r>
  <r>
    <s v="467100"/>
    <x v="6"/>
    <s v="COMPTE PIVOT P2P"/>
    <s v="SP"/>
    <n v="-13.07"/>
    <d v="2025-02-22T00:00:00"/>
    <s v="RÈGLEMENT PAR CARTE SPENDESK"/>
    <m/>
    <e v="#N/A"/>
    <e v="#N/A"/>
    <n v="64233"/>
    <s v="97e9e6de-9faf-52de-9662-16c80dc60164"/>
    <s v="CHATEAUDEAU"/>
    <s v="Q1"/>
    <e v="#REF!"/>
    <e v="#REF!"/>
    <e v="#REF!"/>
  </r>
  <r>
    <s v="467100"/>
    <x v="6"/>
    <s v="COMPTE PIVOT P2P"/>
    <s v="SP"/>
    <n v="-12.6"/>
    <d v="2025-12-06T00:00:00"/>
    <s v="RÈGLEMENT PAR CARTE SPENDESK"/>
    <m/>
    <e v="#N/A"/>
    <e v="#N/A"/>
    <n v="94002"/>
    <s v="bda3b8f1-6cc2-588b-a7f1-e85400017072"/>
    <s v="SNCF"/>
    <s v="Q4"/>
    <e v="#REF!"/>
    <e v="#REF!"/>
    <e v="#REF!"/>
  </r>
  <r>
    <s v="467100"/>
    <x v="6"/>
    <s v="COMPTE PIVOT P2P"/>
    <s v="SP"/>
    <n v="-12.58"/>
    <d v="2025-03-18T00:00:00"/>
    <s v="RÈGLEMENT PAR CARTE SPENDESK"/>
    <m/>
    <e v="#N/A"/>
    <e v="#N/A"/>
    <n v="66241"/>
    <s v="be3066ee-2b26-5904-88df-cf521099c316"/>
    <s v="SENDCLOUD"/>
    <s v="Q1"/>
    <e v="#REF!"/>
    <e v="#REF!"/>
    <e v="#REF!"/>
  </r>
  <r>
    <s v="467100"/>
    <x v="6"/>
    <s v="COMPTE PIVOT P2P"/>
    <s v="SP"/>
    <n v="-10.49"/>
    <d v="2025-12-12T00:00:00"/>
    <s v="RÈGLEMENT PAR CARTE SPENDESK"/>
    <m/>
    <e v="#N/A"/>
    <e v="#N/A"/>
    <n v="94030"/>
    <s v="54956cc4-ac39-573d-9993-3cb23a479f31"/>
    <s v="LA POSTE"/>
    <s v="Q4"/>
    <e v="#REF!"/>
    <e v="#REF!"/>
    <e v="#REF!"/>
  </r>
  <r>
    <s v="467100"/>
    <x v="6"/>
    <s v="COMPTE PIVOT P2P"/>
    <s v="SP"/>
    <n v="-10"/>
    <d v="2025-01-28T00:00:00"/>
    <s v="RÈGLEMENT PAR CARTE SPENDESK"/>
    <m/>
    <e v="#N/A"/>
    <e v="#N/A"/>
    <n v="60024"/>
    <s v="66"/>
    <s v="ORSON.IO"/>
    <s v="Q1"/>
    <e v="#REF!"/>
    <e v="#REF!"/>
    <e v="#REF!"/>
  </r>
  <r>
    <s v="467100"/>
    <x v="6"/>
    <s v="COMPTE PIVOT P2P"/>
    <s v="SP"/>
    <n v="-9.9499999999999993"/>
    <d v="2025-05-23T00:00:00"/>
    <s v="RÈGLEMENT PAR CARTE SPENDESK"/>
    <m/>
    <e v="#N/A"/>
    <e v="#N/A"/>
    <n v="75068"/>
    <s v="4e66edf9-f0f5-52b2-a95a-146b01f09ca2"/>
    <s v="LA POSTE"/>
    <s v="Q2"/>
    <e v="#REF!"/>
    <e v="#REF!"/>
    <e v="#REF!"/>
  </r>
  <r>
    <s v="467100"/>
    <x v="6"/>
    <s v="COMPTE PIVOT P2P"/>
    <s v="SP"/>
    <n v="-9.18"/>
    <d v="2025-04-15T00:00:00"/>
    <s v="RÈGLEMENT PAR CARTE SPENDESK"/>
    <m/>
    <e v="#N/A"/>
    <e v="#N/A"/>
    <n v="74706"/>
    <s v="c0a010e1-a54c-5c7f-a6d5-934e961ec14b"/>
    <s v="SENDCLOUD"/>
    <s v="Q2"/>
    <e v="#REF!"/>
    <e v="#REF!"/>
    <e v="#REF!"/>
  </r>
  <r>
    <s v="467100"/>
    <x v="6"/>
    <s v="COMPTE PIVOT P2P"/>
    <s v="SP"/>
    <n v="-9.18"/>
    <d v="2025-10-14T00:00:00"/>
    <s v="RÈGLEMENT PAR CARTE SPENDESK"/>
    <m/>
    <e v="#N/A"/>
    <e v="#N/A"/>
    <n v="87653"/>
    <s v="3-25-FR0061974"/>
    <s v="SENDCLOUD"/>
    <s v="Q4"/>
    <e v="#REF!"/>
    <e v="#REF!"/>
    <e v="#REF!"/>
  </r>
  <r>
    <s v="467100"/>
    <x v="6"/>
    <s v="COMPTE PIVOT P2P"/>
    <s v="SP"/>
    <n v="-8.65"/>
    <d v="2025-12-17T00:00:00"/>
    <s v="RÈGLEMENT PAR CARTE SPENDESK"/>
    <m/>
    <e v="#N/A"/>
    <e v="#N/A"/>
    <n v="94038"/>
    <s v="33c4044c-3e0d-5195-883b-b8531a3939a3"/>
    <s v="LA POSTE"/>
    <s v="Q4"/>
    <e v="#REF!"/>
    <e v="#REF!"/>
    <e v="#REF!"/>
  </r>
  <r>
    <s v="467100"/>
    <x v="6"/>
    <s v="COMPTE PIVOT P2P"/>
    <s v="SP"/>
    <n v="-8.59"/>
    <d v="2025-04-01T00:00:00"/>
    <s v="RÈGLEMENT PAR CARTE SPENDESK"/>
    <m/>
    <e v="#N/A"/>
    <e v="#N/A"/>
    <n v="74648"/>
    <s v="e04b8323-f8eb-55e8-ae66-6eaf6ca159b4"/>
    <s v="SENDCLOUD"/>
    <s v="Q2"/>
    <e v="#REF!"/>
    <e v="#REF!"/>
    <e v="#REF!"/>
  </r>
  <r>
    <s v="467100"/>
    <x v="6"/>
    <s v="COMPTE PIVOT P2P"/>
    <s v="SP"/>
    <n v="-8.59"/>
    <d v="2025-07-08T00:00:00"/>
    <s v="RÈGLEMENT PAR CARTE SPENDESK"/>
    <m/>
    <e v="#N/A"/>
    <e v="#N/A"/>
    <n v="80929"/>
    <s v="0650f9c3-4500-5b8c-9016-9907581c6ec6"/>
    <s v="SENDCLOUD"/>
    <s v="Q3"/>
    <e v="#REF!"/>
    <e v="#REF!"/>
    <e v="#REF!"/>
  </r>
  <r>
    <s v="467100"/>
    <x v="6"/>
    <s v="COMPTE PIVOT P2P"/>
    <s v="SP"/>
    <n v="-8.49"/>
    <d v="2025-04-25T00:00:00"/>
    <s v="RÈGLEMENT PAR CARTE SPENDESK"/>
    <m/>
    <e v="#N/A"/>
    <e v="#N/A"/>
    <n v="74720"/>
    <s v="661ac4e4-26d8-56e0-add9-7734e98eca01"/>
    <s v="LEROY MERLIN"/>
    <s v="Q2"/>
    <e v="#REF!"/>
    <e v="#REF!"/>
    <e v="#REF!"/>
  </r>
  <r>
    <s v="467100"/>
    <x v="6"/>
    <s v="COMPTE PIVOT P2P"/>
    <s v="SP"/>
    <n v="-8.35"/>
    <d v="2025-04-25T00:00:00"/>
    <s v="RÈGLEMENT PAR CARTE SPENDESK"/>
    <m/>
    <e v="#N/A"/>
    <e v="#N/A"/>
    <n v="74718"/>
    <s v="fe657599-d64d-59a5-b37e-9bb67a65fffe"/>
    <s v="LA POSTE"/>
    <s v="Q2"/>
    <e v="#REF!"/>
    <e v="#REF!"/>
    <e v="#REF!"/>
  </r>
  <r>
    <s v="467100"/>
    <x v="6"/>
    <s v="COMPTE PIVOT P2P"/>
    <s v="SP"/>
    <n v="-8.26"/>
    <d v="2025-11-02T00:00:00"/>
    <s v="RÈGLEMENT PAR CARTE SPENDESK"/>
    <m/>
    <e v="#N/A"/>
    <e v="#N/A"/>
    <n v="91490"/>
    <s v="64d795f2-cfdc-5251-a475-b733edba6035"/>
    <s v="SENDCLOUD"/>
    <s v="Q4"/>
    <e v="#REF!"/>
    <e v="#REF!"/>
    <e v="#REF!"/>
  </r>
  <r>
    <s v="467100"/>
    <x v="6"/>
    <s v="COMPTE PIVOT P2P"/>
    <s v="SP"/>
    <n v="-8.23"/>
    <d v="2025-07-03T00:00:00"/>
    <s v="RÈGLEMENT PAR CARTE SPENDESK"/>
    <m/>
    <e v="#N/A"/>
    <e v="#N/A"/>
    <n v="80915"/>
    <s v="82368fe3-1e15-5e20-a43e-277c377ff263"/>
    <s v="LA POSTE"/>
    <s v="Q3"/>
    <e v="#REF!"/>
    <e v="#REF!"/>
    <e v="#REF!"/>
  </r>
  <r>
    <s v="467100"/>
    <x v="6"/>
    <s v="COMPTE PIVOT P2P"/>
    <s v="SP"/>
    <n v="-8.23"/>
    <d v="2025-07-26T00:00:00"/>
    <s v="RÈGLEMENT PAR CARTE SPENDESK"/>
    <m/>
    <e v="#N/A"/>
    <e v="#N/A"/>
    <n v="80951"/>
    <s v="54b778fc-8842-5ebf-8d11-c6e4bdaded1b"/>
    <s v="LA POSTE"/>
    <s v="Q3"/>
    <e v="#REF!"/>
    <e v="#REF!"/>
    <e v="#REF!"/>
  </r>
  <r>
    <s v="467100"/>
    <x v="6"/>
    <s v="COMPTE PIVOT P2P"/>
    <s v="SP"/>
    <n v="-8.23"/>
    <d v="2025-10-04T00:00:00"/>
    <s v="RÈGLEMENT PAR CARTE SPENDESK"/>
    <m/>
    <e v="#N/A"/>
    <e v="#N/A"/>
    <n v="87633"/>
    <s v="805bfd0c-02c9-5993-9d5c-39c72a732291"/>
    <s v="LA POSTE"/>
    <s v="Q4"/>
    <e v="#REF!"/>
    <e v="#REF!"/>
    <e v="#REF!"/>
  </r>
  <r>
    <s v="467100"/>
    <x v="6"/>
    <s v="COMPTE PIVOT P2P"/>
    <s v="SP"/>
    <n v="-8.23"/>
    <d v="2025-12-19T00:00:00"/>
    <s v="RÈGLEMENT PAR CARTE SPENDESK"/>
    <m/>
    <e v="#N/A"/>
    <e v="#N/A"/>
    <n v="94040"/>
    <s v="4cf852a8-73e3-5e4a-884e-0fbbc031d88e"/>
    <s v="LA POSTE"/>
    <s v="Q4"/>
    <e v="#REF!"/>
    <e v="#REF!"/>
    <e v="#REF!"/>
  </r>
  <r>
    <s v="467100"/>
    <x v="6"/>
    <s v="COMPTE PIVOT P2P"/>
    <s v="SP"/>
    <n v="-8.0399999999999991"/>
    <d v="2025-07-22T00:00:00"/>
    <s v="RÈGLEMENT PAR CARTE SPENDESK"/>
    <m/>
    <e v="#N/A"/>
    <e v="#N/A"/>
    <n v="80945"/>
    <s v="3e096242-0dfb-558e-8299-2eb38e6a6f62"/>
    <s v="SENDCLOUD"/>
    <s v="Q3"/>
    <e v="#REF!"/>
    <e v="#REF!"/>
    <e v="#REF!"/>
  </r>
  <r>
    <s v="467100"/>
    <x v="6"/>
    <s v="COMPTE PIVOT P2P"/>
    <s v="SP"/>
    <n v="-8.0399999999999991"/>
    <d v="2025-09-02T00:00:00"/>
    <s v="RÈGLEMENT PAR CARTE SPENDESK"/>
    <m/>
    <e v="#N/A"/>
    <e v="#N/A"/>
    <n v="83048"/>
    <s v="4070117f-42a6-59cb-8d70-1027b4791e0e"/>
    <s v="SENDCLOUD"/>
    <s v="Q3"/>
    <e v="#REF!"/>
    <e v="#REF!"/>
    <e v="#REF!"/>
  </r>
  <r>
    <s v="467100"/>
    <x v="6"/>
    <s v="COMPTE PIVOT P2P"/>
    <s v="SP"/>
    <n v="-7.49"/>
    <d v="2025-04-15T00:00:00"/>
    <s v="RÈGLEMENT PAR CARTE SPENDESK"/>
    <m/>
    <e v="#N/A"/>
    <e v="#N/A"/>
    <n v="74704"/>
    <s v="07616dc4-96e4-529e-a829-321e8390a75b"/>
    <s v="LEROY MERLIN"/>
    <s v="Q2"/>
    <e v="#REF!"/>
    <e v="#REF!"/>
    <e v="#REF!"/>
  </r>
  <r>
    <s v="467100"/>
    <x v="6"/>
    <s v="COMPTE PIVOT P2P"/>
    <s v="SP"/>
    <n v="-7.35"/>
    <d v="2025-11-28T00:00:00"/>
    <s v="RÈGLEMENT PAR CARTE SPENDESK"/>
    <m/>
    <e v="#N/A"/>
    <e v="#N/A"/>
    <n v="91564"/>
    <s v="6784f53f-619d-550b-8e78-bdba96abeaac"/>
    <s v="LA POSTE"/>
    <s v="Q4"/>
    <e v="#REF!"/>
    <e v="#REF!"/>
    <e v="#REF!"/>
  </r>
  <r>
    <s v="467100"/>
    <x v="6"/>
    <s v="COMPTE PIVOT P2P"/>
    <s v="SP"/>
    <n v="-6.54"/>
    <d v="2025-06-24T00:00:00"/>
    <s v="RÈGLEMENT PAR CARTE SPENDESK"/>
    <m/>
    <e v="#N/A"/>
    <e v="#N/A"/>
    <n v="78114"/>
    <s v="2209bf1f-f958-54f9-af1d-7cfecee5bcb2"/>
    <s v="SENDCLOUD"/>
    <s v="Q2"/>
    <e v="#REF!"/>
    <e v="#REF!"/>
    <e v="#REF!"/>
  </r>
  <r>
    <s v="467100"/>
    <x v="6"/>
    <s v="COMPTE PIVOT P2P"/>
    <s v="SP"/>
    <n v="-6.41"/>
    <d v="2025-07-22T00:00:00"/>
    <s v="RÈGLEMENT PAR CARTE SPENDESK"/>
    <s v="Non"/>
    <s v="Non"/>
    <e v="#N/A"/>
    <n v="80943"/>
    <s v="873e93cd-400b-5310-a5e1-43bb7a4a5c78"/>
    <s v="INFOGREFFE"/>
    <s v="Q3"/>
    <e v="#REF!"/>
    <e v="#REF!"/>
    <e v="#REF!"/>
  </r>
  <r>
    <s v="467100"/>
    <x v="6"/>
    <s v="COMPTE PIVOT P2P"/>
    <s v="SP"/>
    <n v="-5.25"/>
    <d v="2025-04-05T00:00:00"/>
    <s v="RÈGLEMENT PAR CARTE SPENDESK"/>
    <m/>
    <e v="#N/A"/>
    <e v="#N/A"/>
    <n v="74668"/>
    <s v="f25c31a9-9f12-5373-8671-13b721aeb9d9"/>
    <s v="LA POSTE"/>
    <s v="Q2"/>
    <e v="#REF!"/>
    <e v="#REF!"/>
    <e v="#REF!"/>
  </r>
  <r>
    <s v="467100"/>
    <x v="6"/>
    <s v="COMPTE PIVOT P2P"/>
    <s v="SP"/>
    <n v="-5.25"/>
    <d v="2025-07-11T00:00:00"/>
    <s v="RÈGLEMENT PAR CARTE SPENDESK"/>
    <m/>
    <e v="#N/A"/>
    <e v="#N/A"/>
    <n v="80931"/>
    <s v="68769131-c47f-5f2d-a765-b861a3b48474"/>
    <s v="LA POSTE"/>
    <s v="Q3"/>
    <e v="#REF!"/>
    <e v="#REF!"/>
    <e v="#REF!"/>
  </r>
  <r>
    <s v="467100"/>
    <x v="6"/>
    <s v="COMPTE PIVOT P2P"/>
    <s v="SP"/>
    <n v="-5.25"/>
    <d v="2025-09-04T00:00:00"/>
    <s v="RÈGLEMENT PAR CARTE SPENDESK"/>
    <m/>
    <e v="#N/A"/>
    <e v="#N/A"/>
    <n v="83058"/>
    <s v="8df9db19-b3ec-5e9b-a544-e0f62536a7e2"/>
    <s v="LA POSTE"/>
    <s v="Q3"/>
    <e v="#REF!"/>
    <e v="#REF!"/>
    <e v="#REF!"/>
  </r>
  <r>
    <s v="467100"/>
    <x v="6"/>
    <s v="COMPTE PIVOT P2P"/>
    <s v="SP"/>
    <n v="-5.25"/>
    <d v="2025-10-04T00:00:00"/>
    <s v="RÈGLEMENT PAR CARTE SPENDESK"/>
    <m/>
    <e v="#N/A"/>
    <e v="#N/A"/>
    <n v="87631"/>
    <s v="L000000137269986"/>
    <s v="LA POSTE"/>
    <s v="Q4"/>
    <e v="#REF!"/>
    <e v="#REF!"/>
    <e v="#REF!"/>
  </r>
  <r>
    <s v="467100"/>
    <x v="6"/>
    <s v="COMPTE PIVOT P2P"/>
    <s v="SP"/>
    <n v="-5.23"/>
    <d v="2025-11-28T00:00:00"/>
    <s v="RÈGLEMENT PAR CARTE SPENDESK"/>
    <m/>
    <e v="#N/A"/>
    <e v="#N/A"/>
    <n v="91566"/>
    <s v="2fd2e97a-da0f-541f-af03-60e052987bfb"/>
    <s v="LA POSTE"/>
    <s v="Q4"/>
    <e v="#REF!"/>
    <e v="#REF!"/>
    <e v="#REF!"/>
  </r>
  <r>
    <s v="467100"/>
    <x v="6"/>
    <s v="COMPTE PIVOT P2P"/>
    <s v="SP"/>
    <n v="-3.2"/>
    <d v="2025-10-22T00:00:00"/>
    <s v="RÈGLEMENT PAR CARTE SPENDESK"/>
    <s v="Non"/>
    <s v="Non"/>
    <e v="#N/A"/>
    <n v="87677"/>
    <s v="51021-UZSBA"/>
    <s v="INFOGREFFE"/>
    <s v="Q4"/>
    <e v="#REF!"/>
    <e v="#REF!"/>
    <e v="#REF!"/>
  </r>
  <r>
    <s v="467100"/>
    <x v="6"/>
    <s v="COMPTE PIVOT P2P"/>
    <s v="SP"/>
    <n v="-2.5499999999999998"/>
    <d v="2025-07-02T00:00:00"/>
    <s v="RÈGLEMENT PAR CARTE SPENDESK"/>
    <m/>
    <e v="#N/A"/>
    <e v="#N/A"/>
    <n v="80911"/>
    <s v="59244056-6756-52d4-a642-85f94eccd142"/>
    <s v="SANITY"/>
    <s v="Q3"/>
    <e v="#REF!"/>
    <e v="#REF!"/>
    <e v="#REF!"/>
  </r>
  <r>
    <s v="467100"/>
    <x v="6"/>
    <s v="COMPTE PIVOT P2P"/>
    <s v="SP"/>
    <n v="-2.5499999999999998"/>
    <d v="2025-07-31T00:00:00"/>
    <s v="Lettrage USD"/>
    <m/>
    <e v="#N/A"/>
    <e v="#N/A"/>
    <n v="81094"/>
    <m/>
    <m/>
    <s v="Q3"/>
    <e v="#REF!"/>
    <e v="#REF!"/>
    <e v="#REF!"/>
  </r>
  <r>
    <s v="467100"/>
    <x v="6"/>
    <s v="COMPTE PIVOT P2P"/>
    <s v="SP"/>
    <n v="-1.88"/>
    <d v="2025-08-04T00:00:00"/>
    <s v="RÈGLEMENT PAR CARTE SPENDESK"/>
    <m/>
    <e v="#N/A"/>
    <e v="#N/A"/>
    <n v="83202"/>
    <s v="f827038f-4273-5d5c-8d9c-b615c476b8b6"/>
    <s v="ORANGE"/>
    <s v="Q3"/>
    <e v="#REF!"/>
    <e v="#REF!"/>
    <e v="#REF!"/>
  </r>
  <r>
    <s v="467100"/>
    <x v="6"/>
    <s v="COMPTE PIVOT P2P"/>
    <s v="SP"/>
    <n v="-1.76"/>
    <d v="2025-10-31T00:00:00"/>
    <s v="Lettrage USD"/>
    <m/>
    <e v="#N/A"/>
    <e v="#N/A"/>
    <n v="87711"/>
    <m/>
    <m/>
    <s v="Q4"/>
    <e v="#REF!"/>
    <e v="#REF!"/>
    <e v="#REF!"/>
  </r>
  <r>
    <s v="467100"/>
    <x v="6"/>
    <s v="COMPTE PIVOT P2P"/>
    <s v="SP"/>
    <n v="-1.74"/>
    <d v="2025-11-03T00:00:00"/>
    <s v="RÈGLEMENT PAR CARTE SPENDESK"/>
    <m/>
    <e v="#N/A"/>
    <e v="#N/A"/>
    <n v="91498"/>
    <s v="86b67f7c-514f-50f2-8d52-07befb3ae2de"/>
    <s v="SANITY"/>
    <s v="Q4"/>
    <e v="#REF!"/>
    <e v="#REF!"/>
    <e v="#REF!"/>
  </r>
  <r>
    <s v="467100"/>
    <x v="6"/>
    <s v="COMPTE PIVOT P2P"/>
    <s v="SP"/>
    <n v="-1.71"/>
    <d v="2025-10-02T00:00:00"/>
    <s v="RÈGLEMENT PAR CARTE SPENDESK"/>
    <m/>
    <e v="#N/A"/>
    <e v="#N/A"/>
    <n v="87623"/>
    <s v="287f7148-88ec-5d32-9fd0-3ba8e46b82d4"/>
    <s v="SANITY"/>
    <s v="Q4"/>
    <e v="#REF!"/>
    <e v="#REF!"/>
    <e v="#REF!"/>
  </r>
  <r>
    <s v="467100"/>
    <x v="6"/>
    <s v="COMPTE PIVOT P2P"/>
    <s v="SP"/>
    <n v="-1.18"/>
    <d v="2025-12-12T00:00:00"/>
    <s v="RÈGLEMENT PAR CARTE SPENDESK"/>
    <m/>
    <e v="#N/A"/>
    <e v="#N/A"/>
    <n v="94028"/>
    <s v="7f85e24f-5127-592d-88a0-330b860c20c5"/>
    <s v="AIRBNB"/>
    <s v="Q4"/>
    <e v="#REF!"/>
    <e v="#REF!"/>
    <e v="#REF!"/>
  </r>
  <r>
    <s v="467100"/>
    <x v="6"/>
    <s v="COMPTE PIVOT P2P"/>
    <s v="SP"/>
    <n v="-1"/>
    <d v="2025-01-02T00:00:00"/>
    <m/>
    <m/>
    <e v="#N/A"/>
    <e v="#N/A"/>
    <n v="61601"/>
    <m/>
    <s v="SANITY"/>
    <s v="Q1"/>
    <e v="#REF!"/>
    <e v="#REF!"/>
    <e v="#REF!"/>
  </r>
  <r>
    <s v="467100"/>
    <x v="6"/>
    <s v="COMPTE PIVOT P2P"/>
    <s v="SP"/>
    <n v="-1"/>
    <d v="2025-03-02T00:00:00"/>
    <s v="RÈGLEMENT PAR CARTE SPENDESK"/>
    <m/>
    <e v="#N/A"/>
    <e v="#N/A"/>
    <n v="66195"/>
    <s v="5b134cd3-a12e-588d-bc64-f0452ab3fcac"/>
    <s v="SANITY"/>
    <s v="Q1"/>
    <e v="#REF!"/>
    <e v="#REF!"/>
    <e v="#REF!"/>
  </r>
  <r>
    <s v="467100"/>
    <x v="6"/>
    <s v="COMPTE PIVOT P2P"/>
    <s v="SP"/>
    <n v="-0.97"/>
    <d v="2025-02-02T00:00:00"/>
    <s v="RÈGLEMENT PAR CARTE SPENDESK"/>
    <m/>
    <e v="#N/A"/>
    <e v="#N/A"/>
    <n v="64155"/>
    <s v="37ac82f2-1b0c-57e8-ab0d-fa61850d06a4"/>
    <s v="SANITY"/>
    <s v="Q1"/>
    <e v="#REF!"/>
    <e v="#REF!"/>
    <e v="#REF!"/>
  </r>
  <r>
    <s v="467100"/>
    <x v="6"/>
    <s v="COMPTE PIVOT P2P"/>
    <s v="SP"/>
    <n v="-0.96"/>
    <d v="2025-04-02T00:00:00"/>
    <s v="RÈGLEMENT PAR CARTE SPENDESK"/>
    <m/>
    <e v="#N/A"/>
    <e v="#N/A"/>
    <n v="74654"/>
    <s v="3b9d7eae-d0f8-5879-bacd-7f79db693de8"/>
    <s v="SHOPIFY"/>
    <s v="Q2"/>
    <e v="#REF!"/>
    <e v="#REF!"/>
    <e v="#REF!"/>
  </r>
  <r>
    <s v="467100"/>
    <x v="6"/>
    <s v="COMPTE PIVOT P2P"/>
    <s v="SP"/>
    <n v="-0.92"/>
    <d v="2025-05-02T00:00:00"/>
    <s v="RÈGLEMENT PAR CARTE SPENDESK"/>
    <m/>
    <e v="#N/A"/>
    <e v="#N/A"/>
    <n v="75034"/>
    <s v="a5e414b0-d203-5dc2-9182-a4c8a666d73c"/>
    <s v="SANITY"/>
    <s v="Q2"/>
    <e v="#REF!"/>
    <e v="#REF!"/>
    <e v="#REF!"/>
  </r>
  <r>
    <s v="467100"/>
    <x v="6"/>
    <s v="COMPTE PIVOT P2P"/>
    <s v="SP"/>
    <n v="-0.92"/>
    <d v="2025-05-31T00:00:00"/>
    <s v="Lettrage Euro"/>
    <m/>
    <e v="#N/A"/>
    <e v="#N/A"/>
    <n v="75091"/>
    <m/>
    <m/>
    <s v="Q2"/>
    <e v="#REF!"/>
    <e v="#REF!"/>
    <e v="#REF!"/>
  </r>
  <r>
    <s v="467100"/>
    <x v="6"/>
    <s v="COMPTE PIVOT P2P"/>
    <s v="SP"/>
    <n v="-0.88"/>
    <d v="2025-06-02T00:00:00"/>
    <s v="RÈGLEMENT PAR CARTE SPENDESK"/>
    <m/>
    <e v="#N/A"/>
    <e v="#N/A"/>
    <n v="78068"/>
    <s v="ab7d28b4-2e8c-5021-b6ee-6b572e247f94"/>
    <s v="SHOPIFY"/>
    <s v="Q2"/>
    <e v="#REF!"/>
    <e v="#REF!"/>
    <e v="#REF!"/>
  </r>
  <r>
    <s v="467100"/>
    <x v="6"/>
    <s v="COMPTE PIVOT P2P"/>
    <s v="SP"/>
    <n v="-0.88"/>
    <d v="2025-08-03T00:00:00"/>
    <s v="RÈGLEMENT PAR CARTE SPENDESK"/>
    <m/>
    <e v="#N/A"/>
    <e v="#N/A"/>
    <n v="83200"/>
    <s v="373a1f7c-c4a1-5db5-868c-de1ee4bf234e"/>
    <s v="SANITY"/>
    <s v="Q3"/>
    <e v="#REF!"/>
    <e v="#REF!"/>
    <e v="#REF!"/>
  </r>
  <r>
    <s v="467100"/>
    <x v="6"/>
    <s v="COMPTE PIVOT P2P"/>
    <s v="SP"/>
    <n v="-0.86"/>
    <d v="2025-12-02T00:00:00"/>
    <s v="RÈGLEMENT PAR CARTE SPENDESK"/>
    <m/>
    <e v="#N/A"/>
    <e v="#N/A"/>
    <n v="93988"/>
    <s v="dc9382c6-85fb-54be-81ed-db73f1488230"/>
    <s v="SANITY"/>
    <s v="Q4"/>
    <e v="#REF!"/>
    <e v="#REF!"/>
    <e v="#REF!"/>
  </r>
  <r>
    <s v="467100"/>
    <x v="6"/>
    <s v="COMPTE PIVOT P2P"/>
    <s v="SP"/>
    <n v="-0.08"/>
    <d v="2025-07-31T00:00:00"/>
    <s v="Lettrage USD"/>
    <m/>
    <e v="#N/A"/>
    <e v="#N/A"/>
    <n v="83369"/>
    <m/>
    <m/>
    <s v="Q3"/>
    <e v="#REF!"/>
    <e v="#REF!"/>
    <e v="#REF!"/>
  </r>
  <r>
    <s v="467100"/>
    <x v="6"/>
    <s v="COMPTE PIVOT P2P"/>
    <s v="SP"/>
    <n v="0.92"/>
    <d v="2025-05-31T00:00:00"/>
    <s v="Lettrage Euro"/>
    <m/>
    <e v="#N/A"/>
    <e v="#N/A"/>
    <n v="75094"/>
    <m/>
    <m/>
    <s v="Q2"/>
    <e v="#REF!"/>
    <e v="#REF!"/>
    <e v="#REF!"/>
  </r>
  <r>
    <s v="467100"/>
    <x v="6"/>
    <s v="COMPTE PIVOT P2P"/>
    <s v="SP"/>
    <n v="1.18"/>
    <d v="2025-12-03T00:00:00"/>
    <s v="RÈGLEMENT PAR CARTE SPENDESK"/>
    <m/>
    <e v="#N/A"/>
    <e v="#N/A"/>
    <n v="93996"/>
    <s v="92896433-3dd2-529d-b7d6-9b35494d718a"/>
    <s v="AIRBNB"/>
    <s v="Q4"/>
    <e v="#REF!"/>
    <e v="#REF!"/>
    <e v="#REF!"/>
  </r>
  <r>
    <s v="467100"/>
    <x v="6"/>
    <s v="COMPTE PIVOT P2P"/>
    <s v="SP"/>
    <n v="1.76"/>
    <d v="2025-10-02T00:00:00"/>
    <s v="RÈGLEMENT PAR CARTE SPENDESK"/>
    <m/>
    <e v="#N/A"/>
    <e v="#N/A"/>
    <n v="87709"/>
    <s v="287f7148-88ec-5d32-9fd0-3ba8e46b82d4"/>
    <s v="SANITY"/>
    <s v="Q4"/>
    <e v="#REF!"/>
    <e v="#REF!"/>
    <e v="#REF!"/>
  </r>
  <r>
    <s v="467100"/>
    <x v="6"/>
    <s v="COMPTE PIVOT P2P"/>
    <s v="SP"/>
    <n v="2.5499999999999998"/>
    <d v="2025-07-31T00:00:00"/>
    <s v="Lettrage USD"/>
    <m/>
    <e v="#N/A"/>
    <e v="#N/A"/>
    <n v="81093"/>
    <m/>
    <m/>
    <s v="Q3"/>
    <e v="#REF!"/>
    <e v="#REF!"/>
    <e v="#REF!"/>
  </r>
  <r>
    <s v="467100"/>
    <x v="6"/>
    <s v="COMPTE PIVOT P2P"/>
    <s v="SP"/>
    <n v="3"/>
    <d v="2025-09-24T00:00:00"/>
    <s v="RÈGLEMENT PAR CARTE SPENDESK"/>
    <m/>
    <e v="#N/A"/>
    <e v="#N/A"/>
    <n v="83116"/>
    <s v="764101bb-c120-59ae-a736-413ba6b48c1b"/>
    <s v="SNCF"/>
    <s v="Q3"/>
    <e v="#REF!"/>
    <e v="#REF!"/>
    <e v="#REF!"/>
  </r>
  <r>
    <s v="467100"/>
    <x v="6"/>
    <s v="COMPTE PIVOT P2P"/>
    <s v="SP"/>
    <n v="12.6"/>
    <d v="2025-06-21T00:00:00"/>
    <s v="RÈGLEMENT PAR CARTE SPENDESK"/>
    <m/>
    <e v="#N/A"/>
    <e v="#N/A"/>
    <n v="78112"/>
    <s v="5d59cee1-050e-5a13-ad0f-80d541015e9e"/>
    <s v="SNCF"/>
    <s v="Q2"/>
    <e v="#REF!"/>
    <e v="#REF!"/>
    <e v="#REF!"/>
  </r>
  <r>
    <s v="467100"/>
    <x v="6"/>
    <s v="COMPTE PIVOT P2P"/>
    <s v="SP"/>
    <n v="18"/>
    <d v="2025-11-03T00:00:00"/>
    <s v="RÈGLEMENT PAR CARTE SPENDESK"/>
    <m/>
    <e v="#N/A"/>
    <e v="#N/A"/>
    <n v="91494"/>
    <s v="de356779-6af3-51a8-bc79-2c1a3ff02239"/>
    <s v="SNCF"/>
    <s v="Q4"/>
    <e v="#REF!"/>
    <e v="#REF!"/>
    <e v="#REF!"/>
  </r>
  <r>
    <s v="467100"/>
    <x v="6"/>
    <s v="COMPTE PIVOT P2P"/>
    <s v="SP"/>
    <n v="23"/>
    <d v="2025-12-10T00:00:00"/>
    <s v="RÈGLEMENT PAR CARTE SPENDESK"/>
    <m/>
    <e v="#N/A"/>
    <e v="#N/A"/>
    <n v="94020"/>
    <s v="07b74734-e6f3-5655-befa-16b706602ac4"/>
    <s v="SNCF"/>
    <s v="Q4"/>
    <e v="#REF!"/>
    <e v="#REF!"/>
    <e v="#REF!"/>
  </r>
  <r>
    <s v="467100"/>
    <x v="6"/>
    <s v="COMPTE PIVOT P2P"/>
    <s v="SP"/>
    <n v="32.6"/>
    <d v="2025-06-21T00:00:00"/>
    <s v="RÈGLEMENT PAR CARTE SPENDESK"/>
    <m/>
    <e v="#N/A"/>
    <e v="#N/A"/>
    <n v="78108"/>
    <s v="454ba692-e507-503f-aa35-547615efb7c3"/>
    <s v="BOOKING"/>
    <s v="Q2"/>
    <e v="#REF!"/>
    <e v="#REF!"/>
    <e v="#REF!"/>
  </r>
  <r>
    <s v="467100"/>
    <x v="6"/>
    <s v="COMPTE PIVOT P2P"/>
    <s v="SP"/>
    <n v="44"/>
    <d v="2025-12-11T00:00:00"/>
    <s v="RÈGLEMENT PAR CARTE SPENDESK"/>
    <m/>
    <e v="#N/A"/>
    <e v="#N/A"/>
    <n v="94024"/>
    <s v="e29b8a52-b5e6-5de8-8076-9ace50cefee5"/>
    <s v="SNCF"/>
    <s v="Q4"/>
    <e v="#REF!"/>
    <e v="#REF!"/>
    <e v="#REF!"/>
  </r>
  <r>
    <s v="467100"/>
    <x v="6"/>
    <s v="COMPTE PIVOT P2P"/>
    <s v="SP"/>
    <n v="51.96"/>
    <d v="2025-01-01T00:00:00"/>
    <s v="RÈGLEMENT PAR CARTE SPENDESK"/>
    <m/>
    <e v="#N/A"/>
    <e v="#N/A"/>
    <n v="59958"/>
    <s v="213ea301-2fd8-5b32-ae72-d3fffb64cd8b"/>
    <m/>
    <s v="Q1"/>
    <e v="#REF!"/>
    <e v="#REF!"/>
    <e v="#REF!"/>
  </r>
  <r>
    <s v="467100"/>
    <x v="6"/>
    <s v="COMPTE PIVOT P2P"/>
    <s v="SP"/>
    <n v="55"/>
    <d v="2025-09-09T00:00:00"/>
    <s v="RÈGLEMENT PAR CARTE SPENDESK"/>
    <m/>
    <e v="#N/A"/>
    <e v="#N/A"/>
    <n v="83072"/>
    <s v="7ed92c81-7285-5b9b-9941-b7821b47dde3"/>
    <s v="SNCF"/>
    <s v="Q3"/>
    <e v="#REF!"/>
    <e v="#REF!"/>
    <e v="#REF!"/>
  </r>
  <r>
    <s v="467100"/>
    <x v="6"/>
    <s v="COMPTE PIVOT P2P"/>
    <s v="SP"/>
    <n v="58"/>
    <d v="2025-10-31T00:00:00"/>
    <s v="RÈGLEMENT PAR CARTE SPENDESK"/>
    <m/>
    <e v="#N/A"/>
    <e v="#N/A"/>
    <n v="87705"/>
    <s v="188dbbb6-17ab-5146-bc1d-e71e11e9cb80"/>
    <s v="SNCF"/>
    <s v="Q4"/>
    <e v="#REF!"/>
    <e v="#REF!"/>
    <e v="#REF!"/>
  </r>
  <r>
    <s v="467100"/>
    <x v="6"/>
    <s v="COMPTE PIVOT P2P"/>
    <s v="SP"/>
    <n v="67.48"/>
    <d v="2025-05-14T00:00:00"/>
    <s v="RÈGLEMENT PAR CARTE SPENDESK"/>
    <m/>
    <e v="#N/A"/>
    <e v="#N/A"/>
    <n v="75058"/>
    <s v="78013eb8-85c8-5b4d-9684-445536ae0fe9"/>
    <s v="AIRBNB"/>
    <s v="Q2"/>
    <e v="#REF!"/>
    <e v="#REF!"/>
    <e v="#REF!"/>
  </r>
  <r>
    <s v="467100"/>
    <x v="6"/>
    <s v="COMPTE PIVOT P2P"/>
    <s v="SP"/>
    <n v="88"/>
    <d v="2025-02-12T00:00:00"/>
    <s v="Annul - Règlement"/>
    <m/>
    <e v="#N/A"/>
    <e v="#N/A"/>
    <n v="64201"/>
    <s v="5027e044-f1a5-55a1-887b-2454645bd943"/>
    <m/>
    <s v="Q1"/>
    <e v="#REF!"/>
    <e v="#REF!"/>
    <e v="#REF!"/>
  </r>
  <r>
    <s v="467100"/>
    <x v="6"/>
    <s v="COMPTE PIVOT P2P"/>
    <s v="SP"/>
    <n v="88"/>
    <d v="2025-05-24T00:00:00"/>
    <s v="RÈGLEMENT PAR CARTE SPENDESK"/>
    <m/>
    <e v="#N/A"/>
    <e v="#N/A"/>
    <n v="75074"/>
    <s v="d1eadbea-6869-5dfc-b9ef-fa9b1795f890"/>
    <s v="SNCF"/>
    <s v="Q2"/>
    <e v="#REF!"/>
    <e v="#REF!"/>
    <e v="#REF!"/>
  </r>
  <r>
    <s v="467100"/>
    <x v="6"/>
    <s v="COMPTE PIVOT P2P"/>
    <s v="SP"/>
    <n v="88"/>
    <d v="2025-11-18T00:00:00"/>
    <s v="RÈGLEMENT PAR CARTE SPENDESK"/>
    <m/>
    <e v="#N/A"/>
    <e v="#N/A"/>
    <n v="91536"/>
    <s v="ecc785bc-3968-542b-8af5-26b359c541c9"/>
    <s v="SNCF"/>
    <s v="Q4"/>
    <e v="#REF!"/>
    <e v="#REF!"/>
    <e v="#REF!"/>
  </r>
  <r>
    <s v="467100"/>
    <x v="6"/>
    <s v="COMPTE PIVOT P2P"/>
    <s v="SP"/>
    <n v="93"/>
    <d v="2025-12-10T00:00:00"/>
    <s v="RÈGLEMENT PAR CARTE SPENDESK"/>
    <m/>
    <e v="#N/A"/>
    <e v="#N/A"/>
    <n v="94018"/>
    <s v="818c5781-8e4a-5435-875b-7d5b5679bf03"/>
    <s v="SNCF"/>
    <s v="Q4"/>
    <e v="#REF!"/>
    <e v="#REF!"/>
    <e v="#REF!"/>
  </r>
  <r>
    <s v="467100"/>
    <x v="6"/>
    <s v="COMPTE PIVOT P2P"/>
    <s v="SP"/>
    <n v="95"/>
    <d v="2025-02-01T00:00:00"/>
    <s v="RÈGLEMENT PAR CARTE SPENDESK"/>
    <m/>
    <e v="#N/A"/>
    <e v="#N/A"/>
    <n v="64147"/>
    <s v="e2fc6aca-5b80-57ff-bf66-7a012c16ad28"/>
    <s v="SNCF"/>
    <s v="Q1"/>
    <e v="#REF!"/>
    <e v="#REF!"/>
    <e v="#REF!"/>
  </r>
  <r>
    <s v="467100"/>
    <x v="6"/>
    <s v="COMPTE PIVOT P2P"/>
    <s v="SP"/>
    <n v="95"/>
    <d v="2025-08-28T00:00:00"/>
    <s v="RÈGLEMENT PAR CARTE SPENDESK"/>
    <m/>
    <e v="#N/A"/>
    <e v="#N/A"/>
    <n v="83238"/>
    <s v="dd180acd-4806-523e-807a-f71ff37d40d8"/>
    <s v="SNCF"/>
    <s v="Q3"/>
    <e v="#REF!"/>
    <e v="#REF!"/>
    <e v="#REF!"/>
  </r>
  <r>
    <s v="467100"/>
    <x v="6"/>
    <s v="COMPTE PIVOT P2P"/>
    <s v="SP"/>
    <n v="108"/>
    <d v="2025-05-21T00:00:00"/>
    <s v="RÈGLEMENT PAR CARTE SPENDESK"/>
    <m/>
    <e v="#N/A"/>
    <e v="#N/A"/>
    <n v="75066"/>
    <s v="6c7db8c5-a4fa-5a78-af41-a22401d6777a"/>
    <s v="SNCF"/>
    <s v="Q2"/>
    <e v="#REF!"/>
    <e v="#REF!"/>
    <e v="#REF!"/>
  </r>
  <r>
    <s v="467100"/>
    <x v="6"/>
    <s v="COMPTE PIVOT P2P"/>
    <s v="SP"/>
    <n v="108.26"/>
    <d v="2025-09-06T00:00:00"/>
    <s v="RÈGLEMENT PAR CARTE SPENDESK"/>
    <m/>
    <e v="#N/A"/>
    <e v="#N/A"/>
    <n v="83068"/>
    <s v="17f8dfed-5212-5407-912b-094965d73a82"/>
    <s v="AIR FRANCE"/>
    <s v="Q3"/>
    <e v="#REF!"/>
    <e v="#REF!"/>
    <e v="#REF!"/>
  </r>
  <r>
    <s v="467100"/>
    <x v="6"/>
    <s v="COMPTE PIVOT P2P"/>
    <s v="SP"/>
    <n v="116"/>
    <d v="2025-10-07T00:00:00"/>
    <s v="RÈGLEMENT PAR CARTE SPENDESK"/>
    <m/>
    <e v="#N/A"/>
    <e v="#N/A"/>
    <n v="87639"/>
    <s v="45fc9343-7f80-509c-9b2f-2647b8b14373"/>
    <s v="SNCF"/>
    <s v="Q4"/>
    <e v="#REF!"/>
    <e v="#REF!"/>
    <e v="#REF!"/>
  </r>
  <r>
    <s v="467100"/>
    <x v="6"/>
    <s v="COMPTE PIVOT P2P"/>
    <s v="SP"/>
    <n v="131"/>
    <d v="2025-06-21T00:00:00"/>
    <s v="RÈGLEMENT PAR CARTE SPENDESK"/>
    <m/>
    <e v="#N/A"/>
    <e v="#N/A"/>
    <n v="78110"/>
    <s v="33a7c28d-5736-51f9-a6a0-1e448d70e092"/>
    <s v="SNCF"/>
    <s v="Q2"/>
    <e v="#REF!"/>
    <e v="#REF!"/>
    <e v="#REF!"/>
  </r>
  <r>
    <s v="467100"/>
    <x v="6"/>
    <s v="COMPTE PIVOT P2P"/>
    <s v="SP"/>
    <n v="152.33000000000001"/>
    <d v="2025-03-11T00:00:00"/>
    <s v="RÈGLEMENT PAR CARTE SPENDESK"/>
    <m/>
    <e v="#N/A"/>
    <e v="#N/A"/>
    <n v="66221"/>
    <s v="8a3f9731-f19c-565d-9674-5f1a99d4ae74"/>
    <s v="OFFICE DEPOT"/>
    <s v="Q1"/>
    <e v="#REF!"/>
    <e v="#REF!"/>
    <e v="#REF!"/>
  </r>
  <r>
    <s v="467100"/>
    <x v="6"/>
    <s v="COMPTE PIVOT P2P"/>
    <s v="SP"/>
    <n v="174"/>
    <d v="2025-02-16T00:00:00"/>
    <s v="Annul - Règlement"/>
    <m/>
    <e v="#N/A"/>
    <e v="#N/A"/>
    <n v="64219"/>
    <s v="5b70eeba-5790-544c-8f85-aa168773edb4"/>
    <m/>
    <s v="Q1"/>
    <e v="#REF!"/>
    <e v="#REF!"/>
    <e v="#REF!"/>
  </r>
  <r>
    <s v="467100"/>
    <x v="6"/>
    <s v="COMPTE PIVOT P2P"/>
    <s v="SP"/>
    <n v="198"/>
    <d v="2025-10-16T00:00:00"/>
    <s v="RÈGLEMENT PAR CARTE SPENDESK"/>
    <m/>
    <e v="#N/A"/>
    <e v="#N/A"/>
    <n v="87663"/>
    <s v="90435b8f-a000-5cec-a57f-b9a0bd575221"/>
    <s v="CHIMIE PROMOTION"/>
    <s v="Q4"/>
    <e v="#REF!"/>
    <e v="#REF!"/>
    <e v="#REF!"/>
  </r>
  <r>
    <s v="467100"/>
    <x v="6"/>
    <s v="COMPTE PIVOT P2P"/>
    <s v="SP"/>
    <n v="224.4"/>
    <d v="2025-01-08T00:00:00"/>
    <s v="RÈGLEMENT PAR CARTE SPENDESK"/>
    <m/>
    <e v="#N/A"/>
    <e v="#N/A"/>
    <n v="59978"/>
    <s v="c78ba5f8-c9cd-5f14-bb05-91c543998902"/>
    <s v="SNCF"/>
    <s v="Q1"/>
    <e v="#REF!"/>
    <e v="#REF!"/>
    <e v="#REF!"/>
  </r>
  <r>
    <s v="467100"/>
    <x v="6"/>
    <s v="COMPTE PIVOT P2P"/>
    <s v="SP"/>
    <n v="237.52"/>
    <d v="2025-02-04T00:00:00"/>
    <s v="RÈGLEMENT PAR CARTE SPENDESK"/>
    <m/>
    <e v="#N/A"/>
    <e v="#N/A"/>
    <n v="64165"/>
    <s v="8c1d91c1-723a-5a08-b45d-0bf00bcc4e41"/>
    <s v="DARTY"/>
    <s v="Q1"/>
    <e v="#REF!"/>
    <e v="#REF!"/>
    <e v="#REF!"/>
  </r>
  <r>
    <s v="467100"/>
    <x v="6"/>
    <s v="COMPTE PIVOT P2P"/>
    <s v="SP"/>
    <n v="271.43"/>
    <d v="2025-09-06T00:00:00"/>
    <s v="RÈGLEMENT PAR CARTE SPENDESK"/>
    <m/>
    <e v="#N/A"/>
    <e v="#N/A"/>
    <n v="83064"/>
    <s v="dcd8804f-0403-5444-9281-1618f31cf608"/>
    <s v="AVIS"/>
    <s v="Q3"/>
    <e v="#REF!"/>
    <e v="#REF!"/>
    <e v="#REF!"/>
  </r>
  <r>
    <s v="467100"/>
    <x v="6"/>
    <s v="COMPTE PIVOT P2P"/>
    <s v="SP"/>
    <n v="280.8"/>
    <d v="2025-09-05T00:00:00"/>
    <s v="RÈGLEMENT PAR CARTE SPENDESK"/>
    <m/>
    <e v="#N/A"/>
    <e v="#N/A"/>
    <n v="83062"/>
    <s v="4b5d69d3-3134-5de9-a957-aa8f36abb6ec"/>
    <s v="HOTELS"/>
    <s v="Q3"/>
    <e v="#REF!"/>
    <e v="#REF!"/>
    <e v="#REF!"/>
  </r>
  <r>
    <s v="467100"/>
    <x v="6"/>
    <s v="COMPTE PIVOT P2P"/>
    <s v="SP"/>
    <n v="13694.23"/>
    <d v="2025-05-31T00:00:00"/>
    <s v="Solde Justifié"/>
    <m/>
    <e v="#N/A"/>
    <e v="#N/A"/>
    <n v="75030"/>
    <m/>
    <m/>
    <s v="Q2"/>
    <e v="#REF!"/>
    <e v="#REF!"/>
    <e v="#REF!"/>
  </r>
  <r>
    <s v="467100"/>
    <x v="6"/>
    <s v="COMPTE PIVOT P2P"/>
    <s v="SP"/>
    <n v="14105.76"/>
    <d v="2025-10-31T00:00:00"/>
    <s v="Solde Justifié au 31/10/2025"/>
    <m/>
    <e v="#N/A"/>
    <e v="#N/A"/>
    <n v="87717"/>
    <m/>
    <m/>
    <s v="Q4"/>
    <e v="#REF!"/>
    <e v="#REF!"/>
    <e v="#REF!"/>
  </r>
  <r>
    <s v="467100"/>
    <x v="6"/>
    <s v="COMPTE PIVOT P2P"/>
    <s v="SP"/>
    <n v="20000"/>
    <d v="2025-03-10T00:00:00"/>
    <s v="Apport Spendesk"/>
    <m/>
    <e v="#N/A"/>
    <e v="#N/A"/>
    <n v="60054"/>
    <m/>
    <s v="SPENDESK"/>
    <s v="Q1"/>
    <e v="#REF!"/>
    <e v="#REF!"/>
    <e v="#REF!"/>
  </r>
  <r>
    <s v="467100"/>
    <x v="6"/>
    <s v="COMPTE PIVOT P2P"/>
    <s v="SP"/>
    <n v="20000"/>
    <d v="2025-06-10T00:00:00"/>
    <s v="Apport Spendesk"/>
    <m/>
    <e v="#N/A"/>
    <e v="#N/A"/>
    <n v="75915"/>
    <m/>
    <s v="SPENDESK"/>
    <s v="Q2"/>
    <e v="#REF!"/>
    <e v="#REF!"/>
    <e v="#REF!"/>
  </r>
  <r>
    <s v="467100"/>
    <x v="6"/>
    <s v="COMPTE PIVOT P2P"/>
    <s v="SP"/>
    <n v="20105.310000000001"/>
    <d v="2025-02-28T00:00:00"/>
    <s v="Solde justifié"/>
    <m/>
    <e v="#N/A"/>
    <e v="#N/A"/>
    <n v="64239"/>
    <m/>
    <m/>
    <s v="Q1"/>
    <e v="#REF!"/>
    <e v="#REF!"/>
    <e v="#REF!"/>
  </r>
  <r>
    <s v="467100"/>
    <x v="6"/>
    <s v="COMPTE PIVOT P2P"/>
    <s v="SP"/>
    <n v="24454.05"/>
    <d v="2025-07-31T00:00:00"/>
    <s v="Solde au 31/07/2025"/>
    <m/>
    <e v="#N/A"/>
    <e v="#N/A"/>
    <n v="81107"/>
    <m/>
    <m/>
    <s v="Q3"/>
    <e v="#REF!"/>
    <e v="#REF!"/>
    <e v="#REF!"/>
  </r>
  <r>
    <s v="467100"/>
    <x v="6"/>
    <s v="COMPTE PIVOT P2P"/>
    <s v="SP"/>
    <n v="25291.279999999999"/>
    <d v="2025-03-31T00:00:00"/>
    <s v="Solde Justifié"/>
    <m/>
    <e v="#N/A"/>
    <e v="#N/A"/>
    <n v="71747"/>
    <m/>
    <m/>
    <s v="Q1"/>
    <e v="#REF!"/>
    <e v="#REF!"/>
    <e v="#REF!"/>
  </r>
  <r>
    <s v="467100"/>
    <x v="6"/>
    <s v="COMPTE PIVOT P2P"/>
    <s v="SP"/>
    <n v="30353.86"/>
    <d v="2025-01-31T00:00:00"/>
    <s v="Solde Justifié fin de mois"/>
    <m/>
    <e v="#N/A"/>
    <e v="#N/A"/>
    <n v="61600"/>
    <m/>
    <m/>
    <s v="Q1"/>
    <e v="#REF!"/>
    <e v="#REF!"/>
    <e v="#REF!"/>
  </r>
  <r>
    <s v="467100"/>
    <x v="6"/>
    <s v="COMPTE PIVOT P2P"/>
    <s v="SP"/>
    <n v="30353.86"/>
    <d v="2025-01-31T00:00:00"/>
    <s v="Solde justifié fin de mois"/>
    <m/>
    <e v="#N/A"/>
    <e v="#N/A"/>
    <n v="60034"/>
    <m/>
    <m/>
    <s v="Q1"/>
    <e v="#REF!"/>
    <e v="#REF!"/>
    <e v="#REF!"/>
  </r>
  <r>
    <s v="467200"/>
    <x v="6"/>
    <s v="CREANCES SUR PREFINANCEMENT CIR"/>
    <s v="BPRI"/>
    <n v="-613000"/>
    <d v="2025-06-02T00:00:00"/>
    <s v="Encaissement partiel CIR 2024 Neftys"/>
    <m/>
    <e v="#N/A"/>
    <e v="#N/A"/>
    <n v="75207"/>
    <m/>
    <m/>
    <s v="Q2"/>
    <e v="#REF!"/>
    <e v="#REF!"/>
    <e v="#REF!"/>
  </r>
  <r>
    <s v="512100"/>
    <x v="6"/>
    <s v="BANQUE POPULAIRE RIVE DE PARIS"/>
    <s v="BPRI"/>
    <n v="-42.78"/>
    <d v="2025-11-07T00:00:00"/>
    <s v="/SQTP/RCUR/LIB/PRLV SEPA ENGIE/LIB/ENGIE/LIB/300003366729-320008164129/LIB/00PEG0418998"/>
    <m/>
    <e v="#N/A"/>
    <e v="#N/A"/>
    <n v="89526"/>
    <m/>
    <s v="ENGIE"/>
    <s v="Q4"/>
    <e v="#REF!"/>
    <e v="#REF!"/>
    <e v="#REF!"/>
  </r>
  <r>
    <s v="467200"/>
    <x v="6"/>
    <s v="CREANCES SUR PREFINANCEMENT CIR"/>
    <s v="OD"/>
    <n v="102.49"/>
    <d v="2025-06-02T00:00:00"/>
    <s v="Préfinancement CIR 2024 - Neftys - Part Plafonnée"/>
    <m/>
    <e v="#N/A"/>
    <e v="#N/A"/>
    <n v="87313"/>
    <m/>
    <m/>
    <s v="Q2"/>
    <e v="#REF!"/>
    <e v="#REF!"/>
    <e v="#REF!"/>
  </r>
  <r>
    <s v="467200"/>
    <x v="6"/>
    <s v="CREANCES SUR PREFINANCEMENT CIR"/>
    <s v="OD"/>
    <n v="20411.78"/>
    <d v="2025-06-02T00:00:00"/>
    <s v="Préfinancement CIR 2024 - Neftys - Retenue Collective"/>
    <m/>
    <e v="#N/A"/>
    <e v="#N/A"/>
    <n v="87309"/>
    <m/>
    <m/>
    <s v="Q2"/>
    <e v="#REF!"/>
    <e v="#REF!"/>
    <e v="#REF!"/>
  </r>
  <r>
    <s v="467200"/>
    <x v="6"/>
    <s v="CREANCES SUR PREFINANCEMENT CIR"/>
    <s v="OD"/>
    <n v="34391.75"/>
    <d v="2025-06-02T00:00:00"/>
    <s v="Préfinancement CIR 2024 - Neftys - Retenue Individuelle"/>
    <m/>
    <e v="#N/A"/>
    <e v="#N/A"/>
    <n v="87310"/>
    <m/>
    <m/>
    <s v="Q2"/>
    <e v="#REF!"/>
    <e v="#REF!"/>
    <e v="#REF!"/>
  </r>
  <r>
    <s v="467200"/>
    <x v="6"/>
    <s v="CREANCES SUR PREFINANCEMENT CIR"/>
    <s v="OD"/>
    <n v="128636"/>
    <d v="2025-06-02T00:00:00"/>
    <s v="Préfinancement CIR 2024 - Neftys - Part Non Financée"/>
    <m/>
    <e v="#N/A"/>
    <e v="#N/A"/>
    <n v="87311"/>
    <m/>
    <m/>
    <s v="Q2"/>
    <e v="#REF!"/>
    <e v="#REF!"/>
    <e v="#REF!"/>
  </r>
  <r>
    <s v="467200"/>
    <x v="6"/>
    <s v="CREANCES SUR PREFINANCEMENT CIR"/>
    <s v="OD"/>
    <n v="613000"/>
    <d v="2025-06-02T00:00:00"/>
    <s v="Préfinancement CIR 2024 - Neftys - Prix de Cession"/>
    <m/>
    <e v="#N/A"/>
    <e v="#N/A"/>
    <n v="87312"/>
    <m/>
    <m/>
    <s v="Q2"/>
    <e v="#REF!"/>
    <e v="#REF!"/>
    <e v="#REF!"/>
  </r>
  <r>
    <s v="471000"/>
    <x v="6"/>
    <s v="COMPTE D'ATTENTE"/>
    <s v="AN"/>
    <n v="0"/>
    <d v="2025-01-01T00:00:00"/>
    <s v="Report à nouveau Exercice 2025"/>
    <m/>
    <e v="#N/A"/>
    <e v="#N/A"/>
    <n v="84794"/>
    <m/>
    <m/>
    <s v="Q1"/>
    <e v="#REF!"/>
    <e v="#REF!"/>
    <e v="#REF!"/>
  </r>
  <r>
    <s v="471000"/>
    <x v="6"/>
    <s v="COMPTE D'ATTENTE"/>
    <s v="AN"/>
    <n v="0"/>
    <d v="2025-01-01T00:00:00"/>
    <s v="Report à nouveau Exercice 2025"/>
    <m/>
    <e v="#N/A"/>
    <e v="#N/A"/>
    <n v="84828"/>
    <m/>
    <m/>
    <s v="Q1"/>
    <e v="#REF!"/>
    <e v="#REF!"/>
    <e v="#REF!"/>
  </r>
  <r>
    <s v="471000"/>
    <x v="6"/>
    <s v="COMPTE D'ATTENTE"/>
    <s v="AN"/>
    <n v="0"/>
    <d v="2025-01-01T00:00:00"/>
    <s v="Report à nouveau Exercice 2025"/>
    <m/>
    <e v="#N/A"/>
    <e v="#N/A"/>
    <n v="84873"/>
    <m/>
    <m/>
    <s v="Q1"/>
    <e v="#REF!"/>
    <e v="#REF!"/>
    <e v="#REF!"/>
  </r>
  <r>
    <s v="486100"/>
    <x v="6"/>
    <s v="CHARGES CONSTATÉES D'AVANCE"/>
    <s v="AN"/>
    <n v="14567"/>
    <d v="2025-01-01T00:00:00"/>
    <s v="Report à nouveau Exercice 2025"/>
    <m/>
    <e v="#N/A"/>
    <e v="#N/A"/>
    <n v="84795"/>
    <m/>
    <m/>
    <s v="Q1"/>
    <e v="#REF!"/>
    <e v="#REF!"/>
    <e v="#REF!"/>
  </r>
  <r>
    <s v="486100"/>
    <x v="6"/>
    <s v="CHARGES CONSTATÉES D'AVANCE"/>
    <s v="AN"/>
    <n v="45600"/>
    <d v="2025-01-01T00:00:00"/>
    <s v="Report à nouveau Exercice 2025"/>
    <m/>
    <e v="#N/A"/>
    <e v="#N/A"/>
    <n v="84829"/>
    <m/>
    <m/>
    <s v="Q1"/>
    <e v="#REF!"/>
    <e v="#REF!"/>
    <e v="#REF!"/>
  </r>
  <r>
    <s v="486100"/>
    <x v="6"/>
    <s v="CHARGES CONSTATÉES D'AVANCE"/>
    <s v="AN"/>
    <n v="46968"/>
    <d v="2025-01-01T00:00:00"/>
    <s v="Report à nouveau Exercice 2025"/>
    <m/>
    <e v="#N/A"/>
    <e v="#N/A"/>
    <n v="84874"/>
    <m/>
    <m/>
    <s v="Q1"/>
    <e v="#REF!"/>
    <e v="#REF!"/>
    <e v="#REF!"/>
  </r>
  <r>
    <s v="486100"/>
    <x v="6"/>
    <s v="CHARGES CONSTATÉES D'AVANCE"/>
    <s v="JC"/>
    <n v="-46968"/>
    <d v="2025-01-01T00:00:00"/>
    <s v="CCA LOYERS KB - Q1 2025"/>
    <m/>
    <e v="#N/A"/>
    <e v="#N/A"/>
    <n v="86493"/>
    <m/>
    <s v="LIBERTY PM"/>
    <s v="Q1"/>
    <e v="#REF!"/>
    <e v="#REF!"/>
    <e v="#REF!"/>
  </r>
  <r>
    <s v="486100"/>
    <x v="6"/>
    <s v="CHARGES CONSTATÉES D'AVANCE"/>
    <s v="JC"/>
    <n v="-16499"/>
    <d v="2025-01-01T00:00:00"/>
    <s v="CCA 2024-2025 - DOTMATICS"/>
    <s v="Non"/>
    <e v="#N/A"/>
    <e v="#N/A"/>
    <n v="86504"/>
    <m/>
    <s v="DOTMATICS LIMITED"/>
    <s v="Q1"/>
    <e v="#REF!"/>
    <e v="#REF!"/>
    <e v="#REF!"/>
  </r>
  <r>
    <s v="486100"/>
    <x v="6"/>
    <s v="CHARGES CONSTATÉES D'AVANCE"/>
    <s v="JC"/>
    <n v="-11427"/>
    <d v="2025-01-01T00:00:00"/>
    <s v="CCA ASCONA DOMMAGES CHANTIER"/>
    <m/>
    <e v="#N/A"/>
    <e v="#N/A"/>
    <n v="86495"/>
    <s v="POLICE DOMMAGES CHANTIER"/>
    <s v="ASCONA"/>
    <s v="Q1"/>
    <e v="#REF!"/>
    <e v="#REF!"/>
    <e v="#REF!"/>
  </r>
  <r>
    <s v="486100"/>
    <x v="6"/>
    <s v="CHARGES CONSTATÉES D'AVANCE"/>
    <s v="JC"/>
    <n v="-6210"/>
    <d v="2025-01-01T00:00:00"/>
    <s v="CCA RITME LICENCES CHEMDRAW"/>
    <m/>
    <e v="#N/A"/>
    <e v="#N/A"/>
    <n v="86612"/>
    <m/>
    <s v="RITME"/>
    <s v="Q1"/>
    <e v="#REF!"/>
    <e v="#REF!"/>
    <e v="#REF!"/>
  </r>
  <r>
    <s v="486100"/>
    <x v="6"/>
    <s v="CHARGES CONSTATÉES D'AVANCE"/>
    <s v="JC"/>
    <n v="-6075"/>
    <d v="2025-01-01T00:00:00"/>
    <s v="CCA EURECIA"/>
    <m/>
    <e v="#N/A"/>
    <e v="#N/A"/>
    <n v="86568"/>
    <m/>
    <s v="EURECIA"/>
    <s v="Q1"/>
    <e v="#REF!"/>
    <e v="#REF!"/>
    <e v="#REF!"/>
  </r>
  <r>
    <s v="486100"/>
    <x v="6"/>
    <s v="CHARGES CONSTATÉES D'AVANCE"/>
    <s v="JC"/>
    <n v="-2638"/>
    <d v="2025-01-01T00:00:00"/>
    <s v="CCA ASCONA - MRP RO"/>
    <m/>
    <e v="#N/A"/>
    <e v="#N/A"/>
    <n v="86538"/>
    <m/>
    <s v="ASCONA"/>
    <s v="Q1"/>
    <e v="#REF!"/>
    <e v="#REF!"/>
    <e v="#REF!"/>
  </r>
  <r>
    <s v="486100"/>
    <x v="6"/>
    <s v="CHARGES CONSTATÉES D'AVANCE"/>
    <s v="JC"/>
    <n v="-2150"/>
    <d v="2025-01-01T00:00:00"/>
    <s v="CCA EUROPEAN COATING SHOW"/>
    <m/>
    <e v="#N/A"/>
    <e v="#N/A"/>
    <n v="86518"/>
    <m/>
    <s v="NURNBERG"/>
    <s v="Q1"/>
    <e v="#REF!"/>
    <e v="#REF!"/>
    <e v="#REF!"/>
  </r>
  <r>
    <s v="486100"/>
    <x v="6"/>
    <s v="CHARGES CONSTATÉES D'AVANCE"/>
    <s v="JC"/>
    <n v="-1632"/>
    <d v="2025-01-01T00:00:00"/>
    <s v="CCA START INDUSTRIE"/>
    <m/>
    <e v="#N/A"/>
    <e v="#N/A"/>
    <n v="86596"/>
    <m/>
    <s v="STARTINDUSTRIE"/>
    <s v="Q1"/>
    <e v="#REF!"/>
    <e v="#REF!"/>
    <e v="#REF!"/>
  </r>
  <r>
    <s v="486100"/>
    <x v="6"/>
    <s v="CHARGES CONSTATÉES D'AVANCE"/>
    <s v="JC"/>
    <n v="-1557"/>
    <d v="2025-01-01T00:00:00"/>
    <s v="CCA - IR&amp;P - RC DIRIGEANTS"/>
    <m/>
    <e v="#N/A"/>
    <e v="#N/A"/>
    <n v="86670"/>
    <m/>
    <s v="INITIATIVE &amp; RISK PARTNERS"/>
    <s v="Q1"/>
    <e v="#REF!"/>
    <e v="#REF!"/>
    <e v="#REF!"/>
  </r>
  <r>
    <s v="486100"/>
    <x v="6"/>
    <s v="CHARGES CONSTATÉES D'AVANCE"/>
    <s v="JC"/>
    <n v="-1113"/>
    <d v="2025-01-01T00:00:00"/>
    <s v="CCA LOYER LYON"/>
    <m/>
    <e v="#N/A"/>
    <e v="#N/A"/>
    <n v="86510"/>
    <m/>
    <s v="REGIE CONSEIL"/>
    <s v="Q1"/>
    <e v="#REF!"/>
    <e v="#REF!"/>
    <e v="#REF!"/>
  </r>
  <r>
    <s v="486100"/>
    <x v="6"/>
    <s v="CHARGES CONSTATÉES D'AVANCE"/>
    <s v="JC"/>
    <n v="-1056"/>
    <d v="2025-01-01T00:00:00"/>
    <s v="CCA INITIATIVE RCE"/>
    <m/>
    <e v="#N/A"/>
    <e v="#N/A"/>
    <n v="86636"/>
    <m/>
    <s v="INITIATIVE &amp; RISK PARTNERS"/>
    <s v="Q1"/>
    <e v="#REF!"/>
    <e v="#REF!"/>
    <e v="#REF!"/>
  </r>
  <r>
    <s v="486100"/>
    <x v="6"/>
    <s v="CHARGES CONSTATÉES D'AVANCE"/>
    <s v="JC"/>
    <n v="-738"/>
    <d v="2025-01-01T00:00:00"/>
    <s v="CCA - IR&amp;P - MRP KB"/>
    <m/>
    <e v="#N/A"/>
    <e v="#N/A"/>
    <n v="86741"/>
    <m/>
    <s v="INITIATIVE &amp; RISK PARTNERS"/>
    <s v="Q1"/>
    <e v="#REF!"/>
    <e v="#REF!"/>
    <e v="#REF!"/>
  </r>
  <r>
    <s v="486100"/>
    <x v="6"/>
    <s v="CHARGES CONSTATÉES D'AVANCE"/>
    <s v="JC"/>
    <n v="-271"/>
    <d v="2025-01-01T00:00:00"/>
    <s v="CCA - IR&amp;P - MRP LYON"/>
    <m/>
    <e v="#N/A"/>
    <e v="#N/A"/>
    <n v="86711"/>
    <m/>
    <s v="INITIATIVE &amp; RISK PARTNERS"/>
    <s v="Q1"/>
    <e v="#REF!"/>
    <e v="#REF!"/>
    <e v="#REF!"/>
  </r>
  <r>
    <s v="486100"/>
    <x v="6"/>
    <s v="CHARGES CONSTATÉES D'AVANCE"/>
    <s v="JC"/>
    <n v="-217"/>
    <d v="2025-01-01T00:00:00"/>
    <s v="CCA AXE"/>
    <m/>
    <s v="Non"/>
    <e v="#N/A"/>
    <n v="86531"/>
    <m/>
    <s v="AXE GESCOM"/>
    <s v="Q1"/>
    <e v="#REF!"/>
    <e v="#REF!"/>
    <e v="#REF!"/>
  </r>
  <r>
    <s v="486100"/>
    <x v="6"/>
    <s v="CHARGES CONSTATÉES D'AVANCE"/>
    <s v="JC"/>
    <n v="-92"/>
    <d v="2025-01-01T00:00:00"/>
    <s v="CCA ETAI INFO CHIMIE MAGAZINE"/>
    <m/>
    <e v="#N/A"/>
    <e v="#N/A"/>
    <n v="86626"/>
    <m/>
    <s v="ETAI"/>
    <s v="Q1"/>
    <e v="#REF!"/>
    <e v="#REF!"/>
    <e v="#REF!"/>
  </r>
  <r>
    <s v="486100"/>
    <x v="6"/>
    <s v="CHARGES CONSTATÉES D'AVANCE"/>
    <s v="OD"/>
    <n v="-102307.5"/>
    <d v="2025-09-30T00:00:00"/>
    <s v="BPIFRANCE REMBOURSMENT CMI BLUE II + EFFET ACTUALISATION"/>
    <m/>
    <e v="#N/A"/>
    <e v="#N/A"/>
    <n v="86870"/>
    <m/>
    <m/>
    <s v="Q3"/>
    <e v="#REF!"/>
    <e v="#REF!"/>
    <e v="#REF!"/>
  </r>
  <r>
    <s v="486100"/>
    <x v="6"/>
    <s v="CHARGES CONSTATÉES D'AVANCE"/>
    <s v="OD"/>
    <n v="-46968"/>
    <d v="2025-01-01T00:00:00"/>
    <s v="Liaison inter-établissement vers TO "/>
    <m/>
    <e v="#N/A"/>
    <e v="#N/A"/>
    <n v="86490"/>
    <m/>
    <m/>
    <s v="Q1"/>
    <e v="#REF!"/>
    <e v="#REF!"/>
    <e v="#REF!"/>
  </r>
  <r>
    <s v="486100"/>
    <x v="6"/>
    <s v="CHARGES CONSTATÉES D'AVANCE"/>
    <s v="OD"/>
    <n v="-33953.9"/>
    <d v="2025-09-01T00:00:00"/>
    <s v="Liaison inter-établissement"/>
    <m/>
    <e v="#N/A"/>
    <e v="#N/A"/>
    <n v="86693"/>
    <m/>
    <m/>
    <s v="Q3"/>
    <e v="#REF!"/>
    <e v="#REF!"/>
    <e v="#REF!"/>
  </r>
  <r>
    <s v="486100"/>
    <x v="6"/>
    <s v="CHARGES CONSTATÉES D'AVANCE"/>
    <s v="OD"/>
    <n v="-33953.9"/>
    <d v="2025-09-01T00:00:00"/>
    <s v="Liaison inter-établissement vers TO "/>
    <m/>
    <e v="#N/A"/>
    <e v="#N/A"/>
    <n v="86315"/>
    <m/>
    <m/>
    <s v="Q3"/>
    <e v="#REF!"/>
    <e v="#REF!"/>
    <e v="#REF!"/>
  </r>
  <r>
    <s v="486100"/>
    <x v="6"/>
    <s v="CHARGES CONSTATÉES D'AVANCE"/>
    <s v="OD"/>
    <n v="-16499"/>
    <d v="2025-01-01T00:00:00"/>
    <s v="Liaison inter-établissement vers TO "/>
    <m/>
    <e v="#N/A"/>
    <e v="#N/A"/>
    <n v="86527"/>
    <m/>
    <m/>
    <s v="Q1"/>
    <e v="#REF!"/>
    <e v="#REF!"/>
    <e v="#REF!"/>
  </r>
  <r>
    <s v="486100"/>
    <x v="6"/>
    <s v="CHARGES CONSTATÉES D'AVANCE"/>
    <s v="OD"/>
    <n v="-11427"/>
    <d v="2025-01-01T00:00:00"/>
    <s v="Liaison inter-établissement vers TO "/>
    <m/>
    <e v="#N/A"/>
    <e v="#N/A"/>
    <n v="86486"/>
    <m/>
    <m/>
    <s v="Q1"/>
    <e v="#REF!"/>
    <e v="#REF!"/>
    <e v="#REF!"/>
  </r>
  <r>
    <s v="486100"/>
    <x v="6"/>
    <s v="CHARGES CONSTATÉES D'AVANCE"/>
    <s v="OD"/>
    <n v="-6210"/>
    <d v="2025-01-01T00:00:00"/>
    <s v="Liaison inter-établissement vers TO "/>
    <m/>
    <e v="#N/A"/>
    <e v="#N/A"/>
    <n v="86623"/>
    <m/>
    <m/>
    <s v="Q1"/>
    <e v="#REF!"/>
    <e v="#REF!"/>
    <e v="#REF!"/>
  </r>
  <r>
    <s v="486100"/>
    <x v="6"/>
    <s v="CHARGES CONSTATÉES D'AVANCE"/>
    <s v="OD"/>
    <n v="-2638"/>
    <d v="2025-01-01T00:00:00"/>
    <s v="Liaison inter-établissement vers TO "/>
    <m/>
    <e v="#N/A"/>
    <e v="#N/A"/>
    <n v="86543"/>
    <m/>
    <m/>
    <s v="Q1"/>
    <e v="#REF!"/>
    <e v="#REF!"/>
    <e v="#REF!"/>
  </r>
  <r>
    <s v="486100"/>
    <x v="6"/>
    <s v="CHARGES CONSTATÉES D'AVANCE"/>
    <s v="OD"/>
    <n v="-2150"/>
    <d v="2025-01-01T00:00:00"/>
    <s v="Liaison inter-établissement vers TO "/>
    <m/>
    <e v="#N/A"/>
    <e v="#N/A"/>
    <n v="86523"/>
    <m/>
    <m/>
    <s v="Q1"/>
    <e v="#REF!"/>
    <e v="#REF!"/>
    <e v="#REF!"/>
  </r>
  <r>
    <s v="486100"/>
    <x v="6"/>
    <s v="CHARGES CONSTATÉES D'AVANCE"/>
    <s v="OD"/>
    <n v="-1632"/>
    <d v="2025-01-01T00:00:00"/>
    <s v="Liaison inter-établissement vers TO "/>
    <m/>
    <e v="#N/A"/>
    <e v="#N/A"/>
    <n v="86601"/>
    <m/>
    <m/>
    <s v="Q1"/>
    <e v="#REF!"/>
    <e v="#REF!"/>
    <e v="#REF!"/>
  </r>
  <r>
    <s v="486100"/>
    <x v="6"/>
    <s v="CHARGES CONSTATÉES D'AVANCE"/>
    <s v="OD"/>
    <n v="-1557"/>
    <d v="2025-01-01T00:00:00"/>
    <s v="Liaison inter-établissement vers TO "/>
    <m/>
    <e v="#N/A"/>
    <e v="#N/A"/>
    <n v="86688"/>
    <m/>
    <m/>
    <s v="Q1"/>
    <e v="#REF!"/>
    <e v="#REF!"/>
    <e v="#REF!"/>
  </r>
  <r>
    <s v="486100"/>
    <x v="6"/>
    <s v="CHARGES CONSTATÉES D'AVANCE"/>
    <s v="OD"/>
    <n v="-1113"/>
    <d v="2025-01-01T00:00:00"/>
    <s v="Liaison inter-établissement vers TO "/>
    <m/>
    <e v="#N/A"/>
    <e v="#N/A"/>
    <n v="86515"/>
    <m/>
    <m/>
    <s v="Q1"/>
    <e v="#REF!"/>
    <e v="#REF!"/>
    <e v="#REF!"/>
  </r>
  <r>
    <s v="486100"/>
    <x v="6"/>
    <s v="CHARGES CONSTATÉES D'AVANCE"/>
    <s v="OD"/>
    <n v="-1056"/>
    <d v="2025-01-01T00:00:00"/>
    <s v="Liaison inter-établissement vers TO "/>
    <m/>
    <e v="#N/A"/>
    <e v="#N/A"/>
    <n v="86641"/>
    <m/>
    <m/>
    <s v="Q1"/>
    <e v="#REF!"/>
    <e v="#REF!"/>
    <e v="#REF!"/>
  </r>
  <r>
    <s v="486100"/>
    <x v="6"/>
    <s v="CHARGES CONSTATÉES D'AVANCE"/>
    <s v="OD"/>
    <n v="-738"/>
    <d v="2025-01-01T00:00:00"/>
    <s v="Liaison inter-établissement vers TO "/>
    <m/>
    <e v="#N/A"/>
    <e v="#N/A"/>
    <n v="86744"/>
    <m/>
    <m/>
    <s v="Q1"/>
    <e v="#REF!"/>
    <e v="#REF!"/>
    <e v="#REF!"/>
  </r>
  <r>
    <s v="486100"/>
    <x v="6"/>
    <s v="CHARGES CONSTATÉES D'AVANCE"/>
    <s v="OD"/>
    <n v="-271"/>
    <d v="2025-01-01T00:00:00"/>
    <s v="Liaison inter-établissement vers TO "/>
    <m/>
    <e v="#N/A"/>
    <e v="#N/A"/>
    <n v="86714"/>
    <m/>
    <m/>
    <s v="Q1"/>
    <e v="#REF!"/>
    <e v="#REF!"/>
    <e v="#REF!"/>
  </r>
  <r>
    <s v="486100"/>
    <x v="6"/>
    <s v="CHARGES CONSTATÉES D'AVANCE"/>
    <s v="OD"/>
    <n v="-217"/>
    <d v="2025-01-01T00:00:00"/>
    <s v="Liaison inter-établissement vers TO "/>
    <m/>
    <e v="#N/A"/>
    <e v="#N/A"/>
    <n v="86535"/>
    <m/>
    <m/>
    <s v="Q1"/>
    <e v="#REF!"/>
    <e v="#REF!"/>
    <e v="#REF!"/>
  </r>
  <r>
    <s v="486100"/>
    <x v="6"/>
    <s v="CHARGES CONSTATÉES D'AVANCE"/>
    <s v="OD"/>
    <n v="-123.1"/>
    <d v="2025-10-01T00:00:00"/>
    <s v="Liaison inter-établissement"/>
    <m/>
    <e v="#N/A"/>
    <e v="#N/A"/>
    <n v="86697"/>
    <m/>
    <m/>
    <s v="Q4"/>
    <e v="#REF!"/>
    <e v="#REF!"/>
    <e v="#REF!"/>
  </r>
  <r>
    <s v="486100"/>
    <x v="6"/>
    <s v="CHARGES CONSTATÉES D'AVANCE"/>
    <s v="OD"/>
    <n v="-123.1"/>
    <d v="2025-10-01T00:00:00"/>
    <s v="Liaison inter-établissement vers TO "/>
    <m/>
    <e v="#N/A"/>
    <e v="#N/A"/>
    <n v="86319"/>
    <m/>
    <m/>
    <s v="Q4"/>
    <e v="#REF!"/>
    <e v="#REF!"/>
    <e v="#REF!"/>
  </r>
  <r>
    <s v="486100"/>
    <x v="6"/>
    <s v="CHARGES CONSTATÉES D'AVANCE"/>
    <s v="OD"/>
    <n v="-92"/>
    <d v="2025-01-01T00:00:00"/>
    <s v="Liaison inter-établissement vers TO "/>
    <m/>
    <e v="#N/A"/>
    <e v="#N/A"/>
    <n v="86633"/>
    <m/>
    <m/>
    <s v="Q1"/>
    <e v="#REF!"/>
    <e v="#REF!"/>
    <e v="#REF!"/>
  </r>
  <r>
    <s v="486100"/>
    <x v="6"/>
    <s v="CHARGES CONSTATÉES D'AVANCE"/>
    <s v="OD"/>
    <n v="92"/>
    <d v="2025-01-01T00:00:00"/>
    <s v="Liaison inter-établissement"/>
    <m/>
    <e v="#N/A"/>
    <e v="#N/A"/>
    <n v="86634"/>
    <m/>
    <m/>
    <s v="Q1"/>
    <e v="#REF!"/>
    <e v="#REF!"/>
    <e v="#REF!"/>
  </r>
  <r>
    <s v="486100"/>
    <x v="6"/>
    <s v="CHARGES CONSTATÉES D'AVANCE"/>
    <s v="OD"/>
    <n v="123.1"/>
    <d v="2025-10-01T00:00:00"/>
    <s v="Liaison inter-établissement"/>
    <m/>
    <e v="#N/A"/>
    <e v="#N/A"/>
    <n v="86320"/>
    <m/>
    <m/>
    <s v="Q4"/>
    <e v="#REF!"/>
    <e v="#REF!"/>
    <e v="#REF!"/>
  </r>
  <r>
    <s v="486100"/>
    <x v="6"/>
    <s v="CHARGES CONSTATÉES D'AVANCE"/>
    <s v="OD"/>
    <n v="123.1"/>
    <d v="2025-10-01T00:00:00"/>
    <s v="Liaison inter-établissement vers TO "/>
    <m/>
    <e v="#N/A"/>
    <e v="#N/A"/>
    <n v="86696"/>
    <m/>
    <m/>
    <s v="Q4"/>
    <e v="#REF!"/>
    <e v="#REF!"/>
    <e v="#REF!"/>
  </r>
  <r>
    <s v="486100"/>
    <x v="6"/>
    <s v="CHARGES CONSTATÉES D'AVANCE"/>
    <s v="OD"/>
    <n v="217"/>
    <d v="2025-01-01T00:00:00"/>
    <s v="Liaison inter-établissement"/>
    <m/>
    <e v="#N/A"/>
    <e v="#N/A"/>
    <n v="86536"/>
    <m/>
    <m/>
    <s v="Q1"/>
    <e v="#REF!"/>
    <e v="#REF!"/>
    <e v="#REF!"/>
  </r>
  <r>
    <s v="486100"/>
    <x v="6"/>
    <s v="CHARGES CONSTATÉES D'AVANCE"/>
    <s v="OD"/>
    <n v="271"/>
    <d v="2025-01-01T00:00:00"/>
    <s v="Liaison inter-établissement"/>
    <m/>
    <e v="#N/A"/>
    <e v="#N/A"/>
    <n v="86715"/>
    <m/>
    <m/>
    <s v="Q1"/>
    <e v="#REF!"/>
    <e v="#REF!"/>
    <e v="#REF!"/>
  </r>
  <r>
    <s v="486100"/>
    <x v="6"/>
    <s v="CHARGES CONSTATÉES D'AVANCE"/>
    <s v="OD"/>
    <n v="738"/>
    <d v="2025-01-01T00:00:00"/>
    <s v="Liaison inter-établissement"/>
    <m/>
    <e v="#N/A"/>
    <e v="#N/A"/>
    <n v="86745"/>
    <m/>
    <m/>
    <s v="Q1"/>
    <e v="#REF!"/>
    <e v="#REF!"/>
    <e v="#REF!"/>
  </r>
  <r>
    <s v="486100"/>
    <x v="6"/>
    <s v="CHARGES CONSTATÉES D'AVANCE"/>
    <s v="OD"/>
    <n v="1056"/>
    <d v="2025-01-01T00:00:00"/>
    <s v="Liaison inter-établissement"/>
    <m/>
    <e v="#N/A"/>
    <e v="#N/A"/>
    <n v="86642"/>
    <m/>
    <m/>
    <s v="Q1"/>
    <e v="#REF!"/>
    <e v="#REF!"/>
    <e v="#REF!"/>
  </r>
  <r>
    <s v="486100"/>
    <x v="6"/>
    <s v="CHARGES CONSTATÉES D'AVANCE"/>
    <s v="OD"/>
    <n v="1113"/>
    <d v="2025-01-01T00:00:00"/>
    <s v="Liaison inter-établissement"/>
    <m/>
    <e v="#N/A"/>
    <e v="#N/A"/>
    <n v="86516"/>
    <m/>
    <m/>
    <s v="Q1"/>
    <e v="#REF!"/>
    <e v="#REF!"/>
    <e v="#REF!"/>
  </r>
  <r>
    <s v="486100"/>
    <x v="6"/>
    <s v="CHARGES CONSTATÉES D'AVANCE"/>
    <s v="OD"/>
    <n v="1557"/>
    <d v="2025-01-01T00:00:00"/>
    <s v="Liaison inter-établissement"/>
    <m/>
    <e v="#N/A"/>
    <e v="#N/A"/>
    <n v="86689"/>
    <m/>
    <m/>
    <s v="Q1"/>
    <e v="#REF!"/>
    <e v="#REF!"/>
    <e v="#REF!"/>
  </r>
  <r>
    <s v="486100"/>
    <x v="6"/>
    <s v="CHARGES CONSTATÉES D'AVANCE"/>
    <s v="OD"/>
    <n v="1632"/>
    <d v="2025-01-01T00:00:00"/>
    <s v="Liaison inter-établissement"/>
    <m/>
    <e v="#N/A"/>
    <e v="#N/A"/>
    <n v="86602"/>
    <m/>
    <m/>
    <s v="Q1"/>
    <e v="#REF!"/>
    <e v="#REF!"/>
    <e v="#REF!"/>
  </r>
  <r>
    <s v="486100"/>
    <x v="6"/>
    <s v="CHARGES CONSTATÉES D'AVANCE"/>
    <s v="OD"/>
    <n v="2150"/>
    <d v="2025-01-01T00:00:00"/>
    <s v="Liaison inter-établissement"/>
    <m/>
    <e v="#N/A"/>
    <e v="#N/A"/>
    <n v="86524"/>
    <m/>
    <m/>
    <s v="Q1"/>
    <e v="#REF!"/>
    <e v="#REF!"/>
    <e v="#REF!"/>
  </r>
  <r>
    <s v="486100"/>
    <x v="6"/>
    <s v="CHARGES CONSTATÉES D'AVANCE"/>
    <s v="OD"/>
    <n v="2638"/>
    <d v="2025-01-01T00:00:00"/>
    <s v="Liaison inter-établissement"/>
    <m/>
    <e v="#N/A"/>
    <e v="#N/A"/>
    <n v="86544"/>
    <m/>
    <m/>
    <s v="Q1"/>
    <e v="#REF!"/>
    <e v="#REF!"/>
    <e v="#REF!"/>
  </r>
  <r>
    <s v="486100"/>
    <x v="6"/>
    <s v="CHARGES CONSTATÉES D'AVANCE"/>
    <s v="OD"/>
    <n v="6210"/>
    <d v="2025-01-01T00:00:00"/>
    <s v="Liaison inter-établissement"/>
    <m/>
    <e v="#N/A"/>
    <e v="#N/A"/>
    <n v="86624"/>
    <m/>
    <m/>
    <s v="Q1"/>
    <e v="#REF!"/>
    <e v="#REF!"/>
    <e v="#REF!"/>
  </r>
  <r>
    <s v="486100"/>
    <x v="6"/>
    <s v="CHARGES CONSTATÉES D'AVANCE"/>
    <s v="OD"/>
    <n v="11427"/>
    <d v="2025-01-01T00:00:00"/>
    <s v="Liaison inter-établissement"/>
    <m/>
    <e v="#N/A"/>
    <e v="#N/A"/>
    <n v="86487"/>
    <m/>
    <m/>
    <s v="Q1"/>
    <e v="#REF!"/>
    <e v="#REF!"/>
    <e v="#REF!"/>
  </r>
  <r>
    <s v="486100"/>
    <x v="6"/>
    <s v="CHARGES CONSTATÉES D'AVANCE"/>
    <s v="OD"/>
    <n v="16499"/>
    <d v="2025-01-01T00:00:00"/>
    <s v="Liaison inter-établissement"/>
    <m/>
    <e v="#N/A"/>
    <e v="#N/A"/>
    <n v="86528"/>
    <m/>
    <m/>
    <s v="Q1"/>
    <e v="#REF!"/>
    <e v="#REF!"/>
    <e v="#REF!"/>
  </r>
  <r>
    <s v="486100"/>
    <x v="6"/>
    <s v="CHARGES CONSTATÉES D'AVANCE"/>
    <s v="OD"/>
    <n v="33953.9"/>
    <d v="2025-09-01T00:00:00"/>
    <s v="Liaison inter-établissement"/>
    <m/>
    <e v="#N/A"/>
    <e v="#N/A"/>
    <n v="86316"/>
    <m/>
    <m/>
    <s v="Q3"/>
    <e v="#REF!"/>
    <e v="#REF!"/>
    <e v="#REF!"/>
  </r>
  <r>
    <s v="486100"/>
    <x v="6"/>
    <s v="CHARGES CONSTATÉES D'AVANCE"/>
    <s v="OD"/>
    <n v="33953.9"/>
    <d v="2025-09-01T00:00:00"/>
    <s v="Liaison inter-établissement vers TO "/>
    <m/>
    <e v="#N/A"/>
    <e v="#N/A"/>
    <n v="86692"/>
    <m/>
    <m/>
    <s v="Q3"/>
    <e v="#REF!"/>
    <e v="#REF!"/>
    <e v="#REF!"/>
  </r>
  <r>
    <s v="486100"/>
    <x v="6"/>
    <s v="CHARGES CONSTATÉES D'AVANCE"/>
    <s v="OD"/>
    <n v="46968"/>
    <d v="2025-01-01T00:00:00"/>
    <s v="Liaison inter-établissement"/>
    <m/>
    <e v="#N/A"/>
    <e v="#N/A"/>
    <n v="86491"/>
    <m/>
    <m/>
    <s v="Q1"/>
    <e v="#REF!"/>
    <e v="#REF!"/>
    <e v="#REF!"/>
  </r>
  <r>
    <s v="486200"/>
    <x v="6"/>
    <s v="CHARGES CONSTATEES D'AVANCE - TIERS"/>
    <s v="AC"/>
    <n v="360.2"/>
    <d v="2025-09-16T00:00:00"/>
    <s v="COUVERTURE MULTIRISQUE PROFESSIONNELLE AV DE SULLY LYON"/>
    <m/>
    <e v="#N/A"/>
    <e v="#N/A"/>
    <n v="82724"/>
    <s v="2025-Q100485"/>
    <s v="INITIATIVE &amp; RISK PARTNERS"/>
    <s v="Q3"/>
    <e v="#REF!"/>
    <e v="#REF!"/>
    <e v="#REF!"/>
  </r>
  <r>
    <s v="486200"/>
    <x v="6"/>
    <s v="CHARGES CONSTATEES D'AVANCE - TIERS"/>
    <s v="AC"/>
    <n v="1249.19"/>
    <d v="2025-10-14T00:00:00"/>
    <s v="COUVERTURE RESPONSABILITÉ CIVILE GÉNÉRALE"/>
    <m/>
    <e v="#N/A"/>
    <e v="#N/A"/>
    <n v="87085"/>
    <s v="2025-Q100527"/>
    <s v="INITIATIVE &amp; RISK PARTNERS"/>
    <s v="Q4"/>
    <e v="#REF!"/>
    <e v="#REF!"/>
    <e v="#REF!"/>
  </r>
  <r>
    <s v="486200"/>
    <x v="6"/>
    <s v="CHARGES CONSTATEES D'AVANCE - TIERS"/>
    <s v="AC"/>
    <n v="1500"/>
    <d v="2025-05-15T00:00:00"/>
    <s v="START INDUSTRIE – COTISATION MEMBRE ACTIF 2025/2026"/>
    <m/>
    <e v="#N/A"/>
    <e v="#N/A"/>
    <n v="75591"/>
    <s v="34-2025"/>
    <s v="STARTINDUSTRIE"/>
    <s v="Q2"/>
    <e v="#REF!"/>
    <e v="#REF!"/>
    <e v="#REF!"/>
  </r>
  <r>
    <s v="486200"/>
    <x v="6"/>
    <s v="CHARGES CONSTATEES D'AVANCE - TIERS"/>
    <s v="AC"/>
    <n v="1946.6"/>
    <d v="2025-05-16T00:00:00"/>
    <s v="AXA (BRANCHE RISQUES FINANCIERS) POLICE N°21656350604 PÉRIODE D'ASSURANCE DU 01/06/2025 AU 31/05/2026"/>
    <m/>
    <e v="#N/A"/>
    <e v="#N/A"/>
    <n v="73789"/>
    <s v="2025-Q100272"/>
    <s v="INITIATIVE &amp; RISK PARTNERS"/>
    <s v="Q2"/>
    <e v="#REF!"/>
    <e v="#REF!"/>
    <e v="#REF!"/>
  </r>
  <r>
    <s v="486200"/>
    <x v="6"/>
    <s v="CHARGES CONSTATEES D'AVANCE - TIERS"/>
    <s v="AC"/>
    <n v="2320"/>
    <d v="2025-05-31T00:00:00"/>
    <s v="LICENCES DOTMATICS 2026 - 2 ADDITIONAL CHEMISTRY"/>
    <s v="Non"/>
    <e v="#N/A"/>
    <e v="#N/A"/>
    <n v="77383"/>
    <s v="INV24949"/>
    <s v="DOTMATICS LIMITED"/>
    <s v="Q2"/>
    <e v="#REF!"/>
    <e v="#REF!"/>
    <e v="#REF!"/>
  </r>
  <r>
    <s v="486200"/>
    <x v="6"/>
    <s v="CHARGES CONSTATEES D'AVANCE - TIERS"/>
    <s v="AC"/>
    <n v="2725"/>
    <d v="2025-08-21T00:00:00"/>
    <s v="COUVERTURE RESPONSABILITÉ DES DIRIGEANTS"/>
    <m/>
    <e v="#N/A"/>
    <e v="#N/A"/>
    <n v="82243"/>
    <s v="2025-Q100406"/>
    <s v="INITIATIVE &amp; RISK PARTNERS"/>
    <s v="Q3"/>
    <e v="#REF!"/>
    <e v="#REF!"/>
    <e v="#REF!"/>
  </r>
  <r>
    <s v="486200"/>
    <x v="6"/>
    <s v="CHARGES CONSTATEES D'AVANCE - TIERS"/>
    <s v="AC"/>
    <n v="6198"/>
    <d v="2025-03-01T00:00:00"/>
    <s v="CONTRAT DE MAINTENANCE N°CT0662 - PÉRIODE DU 01/03/2025 AU 28/02/2026"/>
    <m/>
    <e v="#N/A"/>
    <e v="#N/A"/>
    <n v="77419"/>
    <s v="FA005214"/>
    <s v="3BCLIM"/>
    <s v="Q1"/>
    <e v="#REF!"/>
    <e v="#REF!"/>
    <e v="#REF!"/>
  </r>
  <r>
    <s v="486200"/>
    <x v="6"/>
    <s v="CHARGES CONSTATEES D'AVANCE - TIERS"/>
    <s v="AC"/>
    <n v="6610"/>
    <d v="2025-05-31T00:00:00"/>
    <s v="LICENCES DOTMATICS 2025_06 À 2026_05 - 1 READ ONLY - 5 ADDITIONAL CHEMISTRY"/>
    <s v="Non"/>
    <e v="#N/A"/>
    <e v="#N/A"/>
    <n v="77386"/>
    <s v="INV24947"/>
    <s v="DOTMATICS LIMITED"/>
    <s v="Q2"/>
    <e v="#REF!"/>
    <e v="#REF!"/>
    <e v="#REF!"/>
  </r>
  <r>
    <s v="486200"/>
    <x v="6"/>
    <s v="CHARGES CONSTATEES D'AVANCE - TIERS"/>
    <s v="AC"/>
    <n v="9000"/>
    <d v="2025-02-28T00:00:00"/>
    <s v="HÉBERGEMENT AXE CLOUD SERVEUR, LE MOIS ENGAGEMENT SUR 12 MOIS MINIMUM FRAIS DE MISE EN SERVICE MACHINE VIRTUELLE"/>
    <m/>
    <s v="Non"/>
    <e v="#N/A"/>
    <n v="89307"/>
    <s v="FAP10637"/>
    <s v="AXE GESCOM"/>
    <s v="Q1"/>
    <e v="#REF!"/>
    <e v="#REF!"/>
    <e v="#REF!"/>
  </r>
  <r>
    <s v="486200"/>
    <x v="6"/>
    <s v="CHARGES CONSTATEES D'AVANCE - TIERS"/>
    <s v="AC"/>
    <n v="9283.92"/>
    <d v="2025-09-20T00:00:00"/>
    <s v="SIRH"/>
    <m/>
    <e v="#N/A"/>
    <e v="#N/A"/>
    <n v="86589"/>
    <s v="IN-20250920-010001-03806"/>
    <s v="EURECIA"/>
    <s v="Q3"/>
    <e v="#REF!"/>
    <e v="#REF!"/>
    <e v="#REF!"/>
  </r>
  <r>
    <s v="486200"/>
    <x v="6"/>
    <s v="CHARGES CONSTATEES D'AVANCE - TIERS"/>
    <s v="AC"/>
    <n v="15442.59"/>
    <d v="2025-06-03T00:00:00"/>
    <s v="LOYER KB (AVEC FRANCHISE)"/>
    <m/>
    <e v="#N/A"/>
    <e v="#N/A"/>
    <n v="86441"/>
    <s v="0049020250021"/>
    <s v="LIBERTY PM"/>
    <s v="Q2"/>
    <e v="#REF!"/>
    <e v="#REF!"/>
    <e v="#REF!"/>
  </r>
  <r>
    <s v="486200"/>
    <x v="6"/>
    <s v="CHARGES CONSTATEES D'AVANCE - TIERS"/>
    <s v="AC"/>
    <n v="24000"/>
    <d v="2025-09-16T00:00:00"/>
    <s v="TAXE FONCIERE"/>
    <m/>
    <e v="#N/A"/>
    <e v="#N/A"/>
    <n v="86435"/>
    <s v="023692"/>
    <s v="LIBERTY PM"/>
    <s v="Q3"/>
    <e v="#REF!"/>
    <e v="#REF!"/>
    <e v="#REF!"/>
  </r>
  <r>
    <s v="486200"/>
    <x v="6"/>
    <s v="CHARGES CONSTATEES D'AVANCE - TIERS"/>
    <s v="AC"/>
    <n v="27782.3"/>
    <d v="2025-07-10T00:00:00"/>
    <s v="LICENCES SCIFINDER"/>
    <m/>
    <e v="#N/A"/>
    <e v="#N/A"/>
    <n v="81211"/>
    <s v="91148976"/>
    <s v="AMERICAN CHEMICAL SOCIETY"/>
    <s v="Q3"/>
    <e v="#REF!"/>
    <e v="#REF!"/>
    <e v="#REF!"/>
  </r>
  <r>
    <s v="486200"/>
    <x v="6"/>
    <s v="CHARGES CONSTATEES D'AVANCE - TIERS"/>
    <s v="AC"/>
    <n v="30840"/>
    <d v="2025-05-31T00:00:00"/>
    <s v="LICENCES DOTMATICS 2026 - 1 READ ONLY - 21 CHEMISTRY - 7 BIOREGISTER"/>
    <s v="Non"/>
    <e v="#N/A"/>
    <e v="#N/A"/>
    <n v="77389"/>
    <s v="INV24946"/>
    <s v="DOTMATICS LIMITED"/>
    <s v="Q2"/>
    <e v="#REF!"/>
    <e v="#REF!"/>
    <e v="#REF!"/>
  </r>
  <r>
    <s v="486200"/>
    <x v="6"/>
    <s v="CHARGES CONSTATEES D'AVANCE - TIERS"/>
    <s v="BPRI"/>
    <n v="426.72"/>
    <d v="2025-01-06T00:00:00"/>
    <s v="435074 0043599 APRIL - ASSURANCE HC BLACHE"/>
    <m/>
    <e v="#N/A"/>
    <e v="#N/A"/>
    <n v="20891"/>
    <s v="06Y8Z5K"/>
    <s v="INITIATIVE &amp; RISK PARTNERS"/>
    <s v="Q1"/>
    <e v="#REF!"/>
    <e v="#REF!"/>
    <e v="#REF!"/>
  </r>
  <r>
    <s v="486200"/>
    <x v="6"/>
    <s v="CHARGES CONSTATEES D'AVANCE - TIERS"/>
    <s v="BPRI"/>
    <n v="485.4"/>
    <d v="2025-01-06T00:00:00"/>
    <s v="435074 0043600 APRIL - ASSURANCE HC - BOISSONNAT"/>
    <m/>
    <e v="#N/A"/>
    <e v="#N/A"/>
    <n v="20889"/>
    <s v="06Y81UC"/>
    <s v="INITIATIVE &amp; RISK PARTNERS"/>
    <s v="Q1"/>
    <e v="#REF!"/>
    <e v="#REF!"/>
    <e v="#REF!"/>
  </r>
  <r>
    <s v="486200"/>
    <x v="6"/>
    <s v="CHARGES CONSTATEES D'AVANCE - TIERS"/>
    <s v="BPRI"/>
    <n v="4362.03"/>
    <d v="2025-02-21T00:00:00"/>
    <s v="PRLV SEPA GAN ASSURANCE"/>
    <m/>
    <e v="#N/A"/>
    <e v="#N/A"/>
    <n v="21386"/>
    <s v="07CCLGV"/>
    <s v="Gan Assurance"/>
    <s v="Q1"/>
    <e v="#REF!"/>
    <e v="#REF!"/>
    <e v="#REF!"/>
  </r>
  <r>
    <s v="486200"/>
    <x v="6"/>
    <s v="CHARGES CONSTATEES D'AVANCE - TIERS"/>
    <s v="BPRI"/>
    <n v="5841"/>
    <d v="2025-09-08T00:00:00"/>
    <s v="APPEL PRIME CMMA 2025.061"/>
    <m/>
    <e v="#N/A"/>
    <e v="#N/A"/>
    <n v="81726"/>
    <s v="APPEL PRIME CMMA 2025.061"/>
    <s v="ASCONA"/>
    <s v="Q3"/>
    <e v="#REF!"/>
    <e v="#REF!"/>
    <e v="#REF!"/>
  </r>
  <r>
    <s v="486200"/>
    <x v="6"/>
    <s v="CHARGES CONSTATEES D'AVANCE - TIERS"/>
    <s v="JC"/>
    <n v="-15773"/>
    <d v="2025-10-01T00:00:00"/>
    <s v="CCA LOYERS KB"/>
    <m/>
    <e v="#N/A"/>
    <e v="#N/A"/>
    <n v="86422"/>
    <m/>
    <s v="LIBERTY PM"/>
    <s v="Q4"/>
    <e v="#REF!"/>
    <e v="#REF!"/>
    <e v="#REF!"/>
  </r>
  <r>
    <s v="486200"/>
    <x v="6"/>
    <s v="CHARGES CONSTATEES D'AVANCE - TIERS"/>
    <s v="JC"/>
    <n v="-15773"/>
    <d v="2025-11-01T00:00:00"/>
    <s v="CCA LOYERS KB"/>
    <m/>
    <e v="#N/A"/>
    <e v="#N/A"/>
    <n v="86426"/>
    <m/>
    <s v="LIBERTY PM"/>
    <s v="Q4"/>
    <e v="#REF!"/>
    <e v="#REF!"/>
    <e v="#REF!"/>
  </r>
  <r>
    <s v="486200"/>
    <x v="6"/>
    <s v="CHARGES CONSTATEES D'AVANCE - TIERS"/>
    <s v="JC"/>
    <n v="-15773"/>
    <d v="2025-12-01T00:00:00"/>
    <s v="CCA LOYERS KB"/>
    <m/>
    <e v="#N/A"/>
    <e v="#N/A"/>
    <n v="86430"/>
    <m/>
    <s v="LIBERTY PM"/>
    <s v="Q4"/>
    <e v="#REF!"/>
    <e v="#REF!"/>
    <e v="#REF!"/>
  </r>
  <r>
    <s v="486200"/>
    <x v="6"/>
    <s v="CHARGES CONSTATEES D'AVANCE - TIERS"/>
    <s v="JC"/>
    <n v="-13773"/>
    <d v="2025-01-01T00:00:00"/>
    <s v="CCA LOYERS KB"/>
    <m/>
    <e v="#N/A"/>
    <e v="#N/A"/>
    <n v="86402"/>
    <m/>
    <s v="LIBERTY PM"/>
    <s v="Q1"/>
    <e v="#REF!"/>
    <e v="#REF!"/>
    <e v="#REF!"/>
  </r>
  <r>
    <s v="486200"/>
    <x v="6"/>
    <s v="CHARGES CONSTATEES D'AVANCE - TIERS"/>
    <s v="JC"/>
    <n v="-13773"/>
    <d v="2025-02-01T00:00:00"/>
    <s v="CCA LOYERS KB"/>
    <m/>
    <e v="#N/A"/>
    <e v="#N/A"/>
    <n v="86378"/>
    <m/>
    <s v="LIBERTY PM"/>
    <s v="Q1"/>
    <e v="#REF!"/>
    <e v="#REF!"/>
    <e v="#REF!"/>
  </r>
  <r>
    <s v="486200"/>
    <x v="6"/>
    <s v="CHARGES CONSTATEES D'AVANCE - TIERS"/>
    <s v="JC"/>
    <n v="-13773"/>
    <d v="2025-03-01T00:00:00"/>
    <s v="CCA LOYERS KB"/>
    <m/>
    <e v="#N/A"/>
    <e v="#N/A"/>
    <n v="86382"/>
    <m/>
    <s v="LIBERTY PM"/>
    <s v="Q1"/>
    <e v="#REF!"/>
    <e v="#REF!"/>
    <e v="#REF!"/>
  </r>
  <r>
    <s v="486200"/>
    <x v="6"/>
    <s v="CHARGES CONSTATEES D'AVANCE - TIERS"/>
    <s v="JC"/>
    <n v="-13773"/>
    <d v="2025-04-01T00:00:00"/>
    <s v="CCA LOYERS KB"/>
    <m/>
    <e v="#N/A"/>
    <e v="#N/A"/>
    <n v="86386"/>
    <m/>
    <s v="LIBERTY PM"/>
    <s v="Q2"/>
    <e v="#REF!"/>
    <e v="#REF!"/>
    <e v="#REF!"/>
  </r>
  <r>
    <s v="486200"/>
    <x v="6"/>
    <s v="CHARGES CONSTATEES D'AVANCE - TIERS"/>
    <s v="JC"/>
    <n v="-13773"/>
    <d v="2025-05-01T00:00:00"/>
    <s v="CCA LOYERS KB"/>
    <m/>
    <e v="#N/A"/>
    <e v="#N/A"/>
    <n v="86398"/>
    <m/>
    <s v="LIBERTY PM"/>
    <s v="Q2"/>
    <e v="#REF!"/>
    <e v="#REF!"/>
    <e v="#REF!"/>
  </r>
  <r>
    <s v="486200"/>
    <x v="6"/>
    <s v="CHARGES CONSTATEES D'AVANCE - TIERS"/>
    <s v="JC"/>
    <n v="-13773"/>
    <d v="2025-06-01T00:00:00"/>
    <s v="CCA LOYERS KB"/>
    <m/>
    <e v="#N/A"/>
    <e v="#N/A"/>
    <n v="86406"/>
    <m/>
    <s v="LIBERTY PM"/>
    <s v="Q2"/>
    <e v="#REF!"/>
    <e v="#REF!"/>
    <e v="#REF!"/>
  </r>
  <r>
    <s v="486200"/>
    <x v="6"/>
    <s v="CHARGES CONSTATEES D'AVANCE - TIERS"/>
    <s v="JC"/>
    <n v="-13773"/>
    <d v="2025-07-01T00:00:00"/>
    <s v="CCA LOYERS KB"/>
    <m/>
    <e v="#N/A"/>
    <e v="#N/A"/>
    <n v="86410"/>
    <m/>
    <s v="LIBERTY PM"/>
    <s v="Q3"/>
    <e v="#REF!"/>
    <e v="#REF!"/>
    <e v="#REF!"/>
  </r>
  <r>
    <s v="486200"/>
    <x v="6"/>
    <s v="CHARGES CONSTATEES D'AVANCE - TIERS"/>
    <s v="JC"/>
    <n v="-13773"/>
    <d v="2025-08-01T00:00:00"/>
    <s v="CCA LOYERS KB"/>
    <m/>
    <e v="#N/A"/>
    <e v="#N/A"/>
    <n v="86414"/>
    <m/>
    <s v="LIBERTY PM"/>
    <s v="Q3"/>
    <e v="#REF!"/>
    <e v="#REF!"/>
    <e v="#REF!"/>
  </r>
  <r>
    <s v="486200"/>
    <x v="6"/>
    <s v="CHARGES CONSTATEES D'AVANCE - TIERS"/>
    <s v="JC"/>
    <n v="-13773"/>
    <d v="2025-09-01T00:00:00"/>
    <s v="CCA LOYERS KB"/>
    <m/>
    <e v="#N/A"/>
    <e v="#N/A"/>
    <n v="86418"/>
    <m/>
    <s v="LIBERTY PM"/>
    <s v="Q3"/>
    <e v="#REF!"/>
    <e v="#REF!"/>
    <e v="#REF!"/>
  </r>
  <r>
    <s v="486200"/>
    <x v="6"/>
    <s v="CHARGES CONSTATEES D'AVANCE - TIERS"/>
    <s v="JC"/>
    <n v="-3299.8"/>
    <d v="2025-01-01T00:00:00"/>
    <s v="CCA 2024-2025 - DOTMATICS"/>
    <s v="Non"/>
    <e v="#N/A"/>
    <e v="#N/A"/>
    <n v="86500"/>
    <m/>
    <s v="DOTMATICS LIMITED"/>
    <s v="Q1"/>
    <e v="#REF!"/>
    <e v="#REF!"/>
    <e v="#REF!"/>
  </r>
  <r>
    <s v="486200"/>
    <x v="6"/>
    <s v="CHARGES CONSTATEES D'AVANCE - TIERS"/>
    <s v="JC"/>
    <n v="-3299.8"/>
    <d v="2025-02-01T00:00:00"/>
    <s v="CCA 2024-2025 - DOTMATICS"/>
    <s v="Non"/>
    <e v="#N/A"/>
    <e v="#N/A"/>
    <n v="86189"/>
    <m/>
    <s v="DOTMATICS LIMITED"/>
    <s v="Q1"/>
    <e v="#REF!"/>
    <e v="#REF!"/>
    <e v="#REF!"/>
  </r>
  <r>
    <s v="486200"/>
    <x v="6"/>
    <s v="CHARGES CONSTATEES D'AVANCE - TIERS"/>
    <s v="JC"/>
    <n v="-3299.8"/>
    <d v="2025-03-01T00:00:00"/>
    <s v="CCA 2024-2025 - DOTMATICS"/>
    <s v="Non"/>
    <e v="#N/A"/>
    <e v="#N/A"/>
    <n v="86502"/>
    <m/>
    <s v="DOTMATICS LIMITED"/>
    <s v="Q1"/>
    <e v="#REF!"/>
    <e v="#REF!"/>
    <e v="#REF!"/>
  </r>
  <r>
    <s v="486200"/>
    <x v="6"/>
    <s v="CHARGES CONSTATEES D'AVANCE - TIERS"/>
    <s v="JC"/>
    <n v="-3299.8"/>
    <d v="2025-04-01T00:00:00"/>
    <s v="CCA 2024-2025 - DOTMATICS"/>
    <s v="Non"/>
    <e v="#N/A"/>
    <e v="#N/A"/>
    <n v="86506"/>
    <m/>
    <s v="DOTMATICS LIMITED"/>
    <s v="Q2"/>
    <e v="#REF!"/>
    <e v="#REF!"/>
    <e v="#REF!"/>
  </r>
  <r>
    <s v="486200"/>
    <x v="6"/>
    <s v="CHARGES CONSTATEES D'AVANCE - TIERS"/>
    <s v="JC"/>
    <n v="-3299.8"/>
    <d v="2025-05-01T00:00:00"/>
    <s v="CCA 2024-2025 - DOTMATICS"/>
    <s v="Non"/>
    <e v="#N/A"/>
    <e v="#N/A"/>
    <n v="86508"/>
    <m/>
    <s v="DOTMATICS LIMITED"/>
    <s v="Q2"/>
    <e v="#REF!"/>
    <e v="#REF!"/>
    <e v="#REF!"/>
  </r>
  <r>
    <s v="486200"/>
    <x v="6"/>
    <s v="CHARGES CONSTATEES D'AVANCE - TIERS"/>
    <s v="JC"/>
    <n v="-2484"/>
    <d v="2025-01-01T00:00:00"/>
    <s v="CCA RITME LICENCES CHEMDRAW"/>
    <m/>
    <e v="#N/A"/>
    <e v="#N/A"/>
    <n v="86614"/>
    <m/>
    <s v="RITME"/>
    <s v="Q1"/>
    <e v="#REF!"/>
    <e v="#REF!"/>
    <e v="#REF!"/>
  </r>
  <r>
    <s v="486200"/>
    <x v="6"/>
    <s v="CHARGES CONSTATEES D'AVANCE - TIERS"/>
    <s v="JC"/>
    <n v="-2484"/>
    <d v="2025-02-01T00:00:00"/>
    <s v="CCA RITME LICENCES CHEMDRAW"/>
    <m/>
    <e v="#N/A"/>
    <e v="#N/A"/>
    <n v="86617"/>
    <m/>
    <s v="RITME"/>
    <s v="Q1"/>
    <e v="#REF!"/>
    <e v="#REF!"/>
    <e v="#REF!"/>
  </r>
  <r>
    <s v="486200"/>
    <x v="6"/>
    <s v="CHARGES CONSTATEES D'AVANCE - TIERS"/>
    <s v="JC"/>
    <n v="-2315.19"/>
    <d v="2025-07-01T00:00:00"/>
    <s v="PREPAID EXPENSE - AMERICAN CHEMICAL SOCIETY - LICENCES SCIFINDER"/>
    <m/>
    <e v="#N/A"/>
    <e v="#N/A"/>
    <n v="94585"/>
    <s v="91148976"/>
    <s v="AMERICAN CHEMICAL SOCIETY"/>
    <s v="Q3"/>
    <e v="#REF!"/>
    <e v="#REF!"/>
    <e v="#REF!"/>
  </r>
  <r>
    <s v="486200"/>
    <x v="6"/>
    <s v="CHARGES CONSTATEES D'AVANCE - TIERS"/>
    <s v="JC"/>
    <n v="-2315.19"/>
    <d v="2025-08-01T00:00:00"/>
    <s v="PREPAID EXPENSE - AMERICAN CHEMICAL SOCIETY - LICENCES SCIFINDER"/>
    <m/>
    <e v="#N/A"/>
    <e v="#N/A"/>
    <n v="94587"/>
    <s v="91148976"/>
    <s v="AMERICAN CHEMICAL SOCIETY"/>
    <s v="Q3"/>
    <e v="#REF!"/>
    <e v="#REF!"/>
    <e v="#REF!"/>
  </r>
  <r>
    <s v="486200"/>
    <x v="6"/>
    <s v="CHARGES CONSTATEES D'AVANCE - TIERS"/>
    <s v="JC"/>
    <n v="-2315.19"/>
    <d v="2025-09-01T00:00:00"/>
    <s v="PREPAID EXPENSE - AMERICAN CHEMICAL SOCIETY - LICENCES SCIFINDER"/>
    <m/>
    <e v="#N/A"/>
    <e v="#N/A"/>
    <n v="94589"/>
    <s v="91148976"/>
    <s v="AMERICAN CHEMICAL SOCIETY"/>
    <s v="Q3"/>
    <e v="#REF!"/>
    <e v="#REF!"/>
    <e v="#REF!"/>
  </r>
  <r>
    <s v="486200"/>
    <x v="6"/>
    <s v="CHARGES CONSTATEES D'AVANCE - TIERS"/>
    <s v="JC"/>
    <n v="-2315.19"/>
    <d v="2025-10-01T00:00:00"/>
    <s v="PREPAID EXPENSE - AMERICAN CHEMICAL SOCIETY - LICENCES SCIFINDER"/>
    <m/>
    <e v="#N/A"/>
    <e v="#N/A"/>
    <n v="94591"/>
    <s v="91148976"/>
    <s v="AMERICAN CHEMICAL SOCIETY"/>
    <s v="Q4"/>
    <e v="#REF!"/>
    <e v="#REF!"/>
    <e v="#REF!"/>
  </r>
  <r>
    <s v="486200"/>
    <x v="6"/>
    <s v="CHARGES CONSTATEES D'AVANCE - TIERS"/>
    <s v="JC"/>
    <n v="-2315.19"/>
    <d v="2025-11-01T00:00:00"/>
    <s v="PREPAID EXPENSE - AMERICAN CHEMICAL SOCIETY - LICENCES SCIFINDER"/>
    <m/>
    <e v="#N/A"/>
    <e v="#N/A"/>
    <n v="94593"/>
    <s v="91148976"/>
    <s v="AMERICAN CHEMICAL SOCIETY"/>
    <s v="Q4"/>
    <e v="#REF!"/>
    <e v="#REF!"/>
    <e v="#REF!"/>
  </r>
  <r>
    <s v="486200"/>
    <x v="6"/>
    <s v="CHARGES CONSTATEES D'AVANCE - TIERS"/>
    <s v="JC"/>
    <n v="-2315.19"/>
    <d v="2025-12-01T00:00:00"/>
    <s v="PREPAID EXPENSE - AMERICAN CHEMICAL SOCIETY - LICENCES SCIFINDER"/>
    <m/>
    <e v="#N/A"/>
    <e v="#N/A"/>
    <n v="94595"/>
    <s v="91148976"/>
    <s v="AMERICAN CHEMICAL SOCIETY"/>
    <s v="Q4"/>
    <e v="#REF!"/>
    <e v="#REF!"/>
    <e v="#REF!"/>
  </r>
  <r>
    <s v="486200"/>
    <x v="6"/>
    <s v="CHARGES CONSTATEES D'AVANCE - TIERS"/>
    <s v="JC"/>
    <n v="-2150"/>
    <d v="2025-03-01T00:00:00"/>
    <s v="CCA EUROPEAN COATING SHOW"/>
    <m/>
    <e v="#N/A"/>
    <e v="#N/A"/>
    <n v="86520"/>
    <m/>
    <s v="NURNBERG"/>
    <s v="Q1"/>
    <e v="#REF!"/>
    <e v="#REF!"/>
    <e v="#REF!"/>
  </r>
  <r>
    <s v="486200"/>
    <x v="6"/>
    <s v="CHARGES CONSTATEES D'AVANCE - TIERS"/>
    <s v="JC"/>
    <n v="-1242"/>
    <d v="2025-03-01T00:00:00"/>
    <s v="CCA RITME LICENCES CHEMDRAW"/>
    <m/>
    <e v="#N/A"/>
    <e v="#N/A"/>
    <n v="86620"/>
    <m/>
    <s v="RITME"/>
    <s v="Q1"/>
    <e v="#REF!"/>
    <e v="#REF!"/>
    <e v="#REF!"/>
  </r>
  <r>
    <s v="486200"/>
    <x v="6"/>
    <s v="CHARGES CONSTATEES D'AVANCE - TIERS"/>
    <s v="JC"/>
    <n v="-1113"/>
    <d v="2025-01-01T00:00:00"/>
    <s v="CCA LOYER LYON"/>
    <m/>
    <e v="#N/A"/>
    <e v="#N/A"/>
    <n v="86512"/>
    <m/>
    <s v="REGIE CONSEIL"/>
    <s v="Q1"/>
    <e v="#REF!"/>
    <e v="#REF!"/>
    <e v="#REF!"/>
  </r>
  <r>
    <s v="486200"/>
    <x v="6"/>
    <s v="CHARGES CONSTATEES D'AVANCE - TIERS"/>
    <s v="JC"/>
    <n v="-773.66"/>
    <d v="2025-10-01T00:00:00"/>
    <s v="CCA EURECIA - 2025 2026"/>
    <m/>
    <e v="#N/A"/>
    <e v="#N/A"/>
    <n v="86590"/>
    <s v="IN-20250920-010001-03806"/>
    <s v="EURECIA"/>
    <s v="Q4"/>
    <e v="#REF!"/>
    <e v="#REF!"/>
    <e v="#REF!"/>
  </r>
  <r>
    <s v="486200"/>
    <x v="6"/>
    <s v="CHARGES CONSTATEES D'AVANCE - TIERS"/>
    <s v="JC"/>
    <n v="-773.66"/>
    <d v="2025-11-01T00:00:00"/>
    <s v="CCA EURECIA - 2025 2026"/>
    <m/>
    <e v="#N/A"/>
    <e v="#N/A"/>
    <n v="86595"/>
    <s v="IN-20250920-010001-03806"/>
    <s v="EURECIA"/>
    <s v="Q4"/>
    <e v="#REF!"/>
    <e v="#REF!"/>
    <e v="#REF!"/>
  </r>
  <r>
    <s v="486200"/>
    <x v="6"/>
    <s v="CHARGES CONSTATEES D'AVANCE - TIERS"/>
    <s v="JC"/>
    <n v="-773.66"/>
    <d v="2025-12-01T00:00:00"/>
    <s v="CCA EURECIA - 2025 2026"/>
    <m/>
    <e v="#N/A"/>
    <e v="#N/A"/>
    <n v="86593"/>
    <s v="IN-20250920-010001-03806"/>
    <s v="EURECIA"/>
    <s v="Q4"/>
    <e v="#REF!"/>
    <e v="#REF!"/>
    <e v="#REF!"/>
  </r>
  <r>
    <s v="486200"/>
    <x v="6"/>
    <s v="CHARGES CONSTATEES D'AVANCE - TIERS"/>
    <s v="JC"/>
    <n v="-750"/>
    <d v="2025-02-01T00:00:00"/>
    <s v="CCA - AXEINFO - SAGE FRP1000"/>
    <m/>
    <s v="Non"/>
    <e v="#N/A"/>
    <n v="89309"/>
    <m/>
    <s v="AXE GESCOM"/>
    <s v="Q1"/>
    <e v="#REF!"/>
    <e v="#REF!"/>
    <e v="#REF!"/>
  </r>
  <r>
    <s v="486200"/>
    <x v="6"/>
    <s v="CHARGES CONSTATEES D'AVANCE - TIERS"/>
    <s v="JC"/>
    <n v="-750"/>
    <d v="2025-03-01T00:00:00"/>
    <s v="CCA - AXEINFO - SAGE FRP1000"/>
    <m/>
    <s v="Non"/>
    <e v="#N/A"/>
    <n v="89311"/>
    <m/>
    <s v="AXE GESCOM"/>
    <s v="Q1"/>
    <e v="#REF!"/>
    <e v="#REF!"/>
    <e v="#REF!"/>
  </r>
  <r>
    <s v="486200"/>
    <x v="6"/>
    <s v="CHARGES CONSTATEES D'AVANCE - TIERS"/>
    <s v="JC"/>
    <n v="-750"/>
    <d v="2025-04-01T00:00:00"/>
    <s v="CCA - AXEINFO - SAGE FRP1000"/>
    <m/>
    <s v="Non"/>
    <e v="#N/A"/>
    <n v="89313"/>
    <m/>
    <s v="AXE GESCOM"/>
    <s v="Q2"/>
    <e v="#REF!"/>
    <e v="#REF!"/>
    <e v="#REF!"/>
  </r>
  <r>
    <s v="486200"/>
    <x v="6"/>
    <s v="CHARGES CONSTATEES D'AVANCE - TIERS"/>
    <s v="JC"/>
    <n v="-750"/>
    <d v="2025-05-01T00:00:00"/>
    <s v="CCA - AXEINFO - SAGE FRP1000"/>
    <m/>
    <s v="Non"/>
    <e v="#N/A"/>
    <n v="89315"/>
    <m/>
    <s v="AXE GESCOM"/>
    <s v="Q2"/>
    <e v="#REF!"/>
    <e v="#REF!"/>
    <e v="#REF!"/>
  </r>
  <r>
    <s v="486200"/>
    <x v="6"/>
    <s v="CHARGES CONSTATEES D'AVANCE - TIERS"/>
    <s v="JC"/>
    <n v="-750"/>
    <d v="2025-06-01T00:00:00"/>
    <s v="CCA - AXEINFO - SAGE FRP1000"/>
    <m/>
    <s v="Non"/>
    <e v="#N/A"/>
    <n v="89317"/>
    <m/>
    <s v="AXE GESCOM"/>
    <s v="Q2"/>
    <e v="#REF!"/>
    <e v="#REF!"/>
    <e v="#REF!"/>
  </r>
  <r>
    <s v="486200"/>
    <x v="6"/>
    <s v="CHARGES CONSTATEES D'AVANCE - TIERS"/>
    <s v="JC"/>
    <n v="-750"/>
    <d v="2025-07-01T00:00:00"/>
    <s v="CCA - AXEINFO - SAGE FRP1000"/>
    <m/>
    <s v="Non"/>
    <e v="#N/A"/>
    <n v="89319"/>
    <m/>
    <s v="AXE GESCOM"/>
    <s v="Q3"/>
    <e v="#REF!"/>
    <e v="#REF!"/>
    <e v="#REF!"/>
  </r>
  <r>
    <s v="486200"/>
    <x v="6"/>
    <s v="CHARGES CONSTATEES D'AVANCE - TIERS"/>
    <s v="JC"/>
    <n v="-750"/>
    <d v="2025-08-01T00:00:00"/>
    <s v="CCA - AXEINFO - SAGE FRP1000"/>
    <m/>
    <s v="Non"/>
    <e v="#N/A"/>
    <n v="89321"/>
    <m/>
    <s v="AXE GESCOM"/>
    <s v="Q3"/>
    <e v="#REF!"/>
    <e v="#REF!"/>
    <e v="#REF!"/>
  </r>
  <r>
    <s v="486200"/>
    <x v="6"/>
    <s v="CHARGES CONSTATEES D'AVANCE - TIERS"/>
    <s v="JC"/>
    <n v="-750"/>
    <d v="2025-09-01T00:00:00"/>
    <s v="CCA - AXEINFO - SAGE FRP1000"/>
    <m/>
    <s v="Non"/>
    <e v="#N/A"/>
    <n v="89323"/>
    <m/>
    <s v="AXE GESCOM"/>
    <s v="Q3"/>
    <e v="#REF!"/>
    <e v="#REF!"/>
    <e v="#REF!"/>
  </r>
  <r>
    <s v="486200"/>
    <x v="6"/>
    <s v="CHARGES CONSTATEES D'AVANCE - TIERS"/>
    <s v="JC"/>
    <n v="-750"/>
    <d v="2025-10-01T00:00:00"/>
    <s v="CCA - AXEINFO - SAGE FRP1000"/>
    <m/>
    <s v="Non"/>
    <e v="#N/A"/>
    <n v="89325"/>
    <m/>
    <s v="AXE GESCOM"/>
    <s v="Q4"/>
    <e v="#REF!"/>
    <e v="#REF!"/>
    <e v="#REF!"/>
  </r>
  <r>
    <s v="486200"/>
    <x v="6"/>
    <s v="CHARGES CONSTATEES D'AVANCE - TIERS"/>
    <s v="JC"/>
    <n v="-750"/>
    <d v="2025-11-01T00:00:00"/>
    <s v="CCA - AXEINFO - SAGE FRP1000"/>
    <m/>
    <s v="Non"/>
    <e v="#N/A"/>
    <n v="89327"/>
    <m/>
    <s v="AXE GESCOM"/>
    <s v="Q4"/>
    <e v="#REF!"/>
    <e v="#REF!"/>
    <e v="#REF!"/>
  </r>
  <r>
    <s v="486200"/>
    <x v="6"/>
    <s v="CHARGES CONSTATEES D'AVANCE - TIERS"/>
    <s v="JC"/>
    <n v="-750"/>
    <d v="2025-12-01T00:00:00"/>
    <s v="CCA - AXEINFO - SAGE FRP1000"/>
    <m/>
    <s v="Non"/>
    <e v="#N/A"/>
    <n v="89329"/>
    <m/>
    <s v="AXE GESCOM"/>
    <s v="Q4"/>
    <e v="#REF!"/>
    <e v="#REF!"/>
    <e v="#REF!"/>
  </r>
  <r>
    <s v="486200"/>
    <x v="6"/>
    <s v="CHARGES CONSTATEES D'AVANCE - TIERS"/>
    <s v="JC"/>
    <n v="-675"/>
    <d v="2025-01-01T00:00:00"/>
    <s v="CCA EURECIA"/>
    <m/>
    <e v="#N/A"/>
    <e v="#N/A"/>
    <n v="86570"/>
    <m/>
    <s v="EURECIA"/>
    <s v="Q1"/>
    <e v="#REF!"/>
    <e v="#REF!"/>
    <e v="#REF!"/>
  </r>
  <r>
    <s v="486200"/>
    <x v="6"/>
    <s v="CHARGES CONSTATEES D'AVANCE - TIERS"/>
    <s v="JC"/>
    <n v="-675"/>
    <d v="2025-02-01T00:00:00"/>
    <s v="CCA EURECIA"/>
    <m/>
    <e v="#N/A"/>
    <e v="#N/A"/>
    <n v="86573"/>
    <m/>
    <s v="EURECIA"/>
    <s v="Q1"/>
    <e v="#REF!"/>
    <e v="#REF!"/>
    <e v="#REF!"/>
  </r>
  <r>
    <s v="486200"/>
    <x v="6"/>
    <s v="CHARGES CONSTATEES D'AVANCE - TIERS"/>
    <s v="JC"/>
    <n v="-675"/>
    <d v="2025-03-01T00:00:00"/>
    <s v="CCA EURECIA"/>
    <m/>
    <e v="#N/A"/>
    <e v="#N/A"/>
    <n v="86574"/>
    <m/>
    <s v="EURECIA"/>
    <s v="Q1"/>
    <e v="#REF!"/>
    <e v="#REF!"/>
    <e v="#REF!"/>
  </r>
  <r>
    <s v="486200"/>
    <x v="6"/>
    <s v="CHARGES CONSTATEES D'AVANCE - TIERS"/>
    <s v="JC"/>
    <n v="-675"/>
    <d v="2025-04-01T00:00:00"/>
    <s v="CCA EURECIA"/>
    <m/>
    <e v="#N/A"/>
    <e v="#N/A"/>
    <n v="86576"/>
    <m/>
    <s v="EURECIA"/>
    <s v="Q2"/>
    <e v="#REF!"/>
    <e v="#REF!"/>
    <e v="#REF!"/>
  </r>
  <r>
    <s v="486200"/>
    <x v="6"/>
    <s v="CHARGES CONSTATEES D'AVANCE - TIERS"/>
    <s v="JC"/>
    <n v="-675"/>
    <d v="2025-05-01T00:00:00"/>
    <s v="CCA EURECIA"/>
    <m/>
    <e v="#N/A"/>
    <e v="#N/A"/>
    <n v="86578"/>
    <m/>
    <s v="EURECIA"/>
    <s v="Q2"/>
    <e v="#REF!"/>
    <e v="#REF!"/>
    <e v="#REF!"/>
  </r>
  <r>
    <s v="486200"/>
    <x v="6"/>
    <s v="CHARGES CONSTATEES D'AVANCE - TIERS"/>
    <s v="JC"/>
    <n v="-675"/>
    <d v="2025-06-01T00:00:00"/>
    <s v="CCA EURECIA"/>
    <m/>
    <e v="#N/A"/>
    <e v="#N/A"/>
    <n v="86580"/>
    <m/>
    <s v="EURECIA"/>
    <s v="Q2"/>
    <e v="#REF!"/>
    <e v="#REF!"/>
    <e v="#REF!"/>
  </r>
  <r>
    <s v="486200"/>
    <x v="6"/>
    <s v="CHARGES CONSTATEES D'AVANCE - TIERS"/>
    <s v="JC"/>
    <n v="-675"/>
    <d v="2025-07-01T00:00:00"/>
    <s v="CCA EURECIA"/>
    <m/>
    <e v="#N/A"/>
    <e v="#N/A"/>
    <n v="86582"/>
    <m/>
    <s v="EURECIA"/>
    <s v="Q3"/>
    <e v="#REF!"/>
    <e v="#REF!"/>
    <e v="#REF!"/>
  </r>
  <r>
    <s v="486200"/>
    <x v="6"/>
    <s v="CHARGES CONSTATEES D'AVANCE - TIERS"/>
    <s v="JC"/>
    <n v="-675"/>
    <d v="2025-08-01T00:00:00"/>
    <s v="CCA EURECIA"/>
    <m/>
    <e v="#N/A"/>
    <e v="#N/A"/>
    <n v="86584"/>
    <m/>
    <s v="EURECIA"/>
    <s v="Q3"/>
    <e v="#REF!"/>
    <e v="#REF!"/>
    <e v="#REF!"/>
  </r>
  <r>
    <s v="486200"/>
    <x v="6"/>
    <s v="CHARGES CONSTATEES D'AVANCE - TIERS"/>
    <s v="JC"/>
    <n v="-675"/>
    <d v="2025-09-01T00:00:00"/>
    <s v="CCA EURECIA"/>
    <m/>
    <e v="#N/A"/>
    <e v="#N/A"/>
    <n v="86586"/>
    <m/>
    <s v="EURECIA"/>
    <s v="Q3"/>
    <e v="#REF!"/>
    <e v="#REF!"/>
    <e v="#REF!"/>
  </r>
  <r>
    <s v="486200"/>
    <x v="6"/>
    <s v="CHARGES CONSTATEES D'AVANCE - TIERS"/>
    <s v="JC"/>
    <n v="-486.75"/>
    <d v="2025-07-01T00:00:00"/>
    <s v="CCA ASCONA - MRP RO - 2025 2026"/>
    <m/>
    <e v="#N/A"/>
    <e v="#N/A"/>
    <n v="86556"/>
    <s v="APPEL PRIME CMMA 2025.061"/>
    <s v="ASCONA"/>
    <s v="Q3"/>
    <e v="#REF!"/>
    <e v="#REF!"/>
    <e v="#REF!"/>
  </r>
  <r>
    <s v="486200"/>
    <x v="6"/>
    <s v="CHARGES CONSTATEES D'AVANCE - TIERS"/>
    <s v="JC"/>
    <n v="-486.75"/>
    <d v="2025-08-01T00:00:00"/>
    <s v="CCA ASCONA - MRP RO - 2025 2026"/>
    <m/>
    <e v="#N/A"/>
    <e v="#N/A"/>
    <n v="86558"/>
    <s v="APPEL PRIME CMMA 2025.061"/>
    <s v="ASCONA"/>
    <s v="Q3"/>
    <e v="#REF!"/>
    <e v="#REF!"/>
    <e v="#REF!"/>
  </r>
  <r>
    <s v="486200"/>
    <x v="6"/>
    <s v="CHARGES CONSTATEES D'AVANCE - TIERS"/>
    <s v="JC"/>
    <n v="-486.75"/>
    <d v="2025-09-01T00:00:00"/>
    <s v="CCA ASCONA - MRP RO - 2025 2026"/>
    <m/>
    <e v="#N/A"/>
    <e v="#N/A"/>
    <n v="86560"/>
    <s v="APPEL PRIME CMMA 2025.061"/>
    <s v="ASCONA"/>
    <s v="Q3"/>
    <e v="#REF!"/>
    <e v="#REF!"/>
    <e v="#REF!"/>
  </r>
  <r>
    <s v="486200"/>
    <x v="6"/>
    <s v="CHARGES CONSTATEES D'AVANCE - TIERS"/>
    <s v="JC"/>
    <n v="-486.75"/>
    <d v="2025-10-01T00:00:00"/>
    <s v="CCA ASCONA - MRP RO - 2025 2026"/>
    <m/>
    <e v="#N/A"/>
    <e v="#N/A"/>
    <n v="86562"/>
    <s v="APPEL PRIME CMMA 2025.061"/>
    <s v="ASCONA"/>
    <s v="Q4"/>
    <e v="#REF!"/>
    <e v="#REF!"/>
    <e v="#REF!"/>
  </r>
  <r>
    <s v="486200"/>
    <x v="6"/>
    <s v="CHARGES CONSTATEES D'AVANCE - TIERS"/>
    <s v="JC"/>
    <n v="-486.75"/>
    <d v="2025-11-01T00:00:00"/>
    <s v="CCA ASCONA - MRP RO - 2025 2026"/>
    <m/>
    <e v="#N/A"/>
    <e v="#N/A"/>
    <n v="86564"/>
    <s v="APPEL PRIME CMMA 2025.061"/>
    <s v="ASCONA"/>
    <s v="Q4"/>
    <e v="#REF!"/>
    <e v="#REF!"/>
    <e v="#REF!"/>
  </r>
  <r>
    <s v="486200"/>
    <x v="6"/>
    <s v="CHARGES CONSTATEES D'AVANCE - TIERS"/>
    <s v="JC"/>
    <n v="-486.75"/>
    <d v="2025-12-01T00:00:00"/>
    <s v="CCA ASCONA - MRP RO - 2025 2026"/>
    <m/>
    <e v="#N/A"/>
    <e v="#N/A"/>
    <n v="86566"/>
    <s v="APPEL PRIME CMMA 2025.061"/>
    <s v="ASCONA"/>
    <s v="Q4"/>
    <e v="#REF!"/>
    <e v="#REF!"/>
    <e v="#REF!"/>
  </r>
  <r>
    <s v="486200"/>
    <x v="6"/>
    <s v="CHARGES CONSTATEES D'AVANCE - TIERS"/>
    <s v="JC"/>
    <n v="-439.67"/>
    <d v="2025-01-01T00:00:00"/>
    <s v="CCA ASCONA - MRP RO"/>
    <m/>
    <e v="#N/A"/>
    <e v="#N/A"/>
    <n v="86540"/>
    <m/>
    <s v="ASCONA"/>
    <s v="Q1"/>
    <e v="#REF!"/>
    <e v="#REF!"/>
    <e v="#REF!"/>
  </r>
  <r>
    <s v="486200"/>
    <x v="6"/>
    <s v="CHARGES CONSTATEES D'AVANCE - TIERS"/>
    <s v="JC"/>
    <n v="-439.67"/>
    <d v="2025-02-01T00:00:00"/>
    <s v="CCA ASCONA - MRP RO"/>
    <m/>
    <e v="#N/A"/>
    <e v="#N/A"/>
    <n v="86546"/>
    <m/>
    <s v="ASCONA"/>
    <s v="Q1"/>
    <e v="#REF!"/>
    <e v="#REF!"/>
    <e v="#REF!"/>
  </r>
  <r>
    <s v="486200"/>
    <x v="6"/>
    <s v="CHARGES CONSTATEES D'AVANCE - TIERS"/>
    <s v="JC"/>
    <n v="-439.67"/>
    <d v="2025-03-01T00:00:00"/>
    <s v="CCA ASCONA - MRP RO"/>
    <m/>
    <e v="#N/A"/>
    <e v="#N/A"/>
    <n v="86549"/>
    <m/>
    <s v="ASCONA"/>
    <s v="Q1"/>
    <e v="#REF!"/>
    <e v="#REF!"/>
    <e v="#REF!"/>
  </r>
  <r>
    <s v="486200"/>
    <x v="6"/>
    <s v="CHARGES CONSTATEES D'AVANCE - TIERS"/>
    <s v="JC"/>
    <n v="-439.67"/>
    <d v="2025-04-01T00:00:00"/>
    <s v="CCA ASCONA - MRP RO"/>
    <m/>
    <e v="#N/A"/>
    <e v="#N/A"/>
    <n v="86550"/>
    <m/>
    <s v="ASCONA"/>
    <s v="Q2"/>
    <e v="#REF!"/>
    <e v="#REF!"/>
    <e v="#REF!"/>
  </r>
  <r>
    <s v="486200"/>
    <x v="6"/>
    <s v="CHARGES CONSTATEES D'AVANCE - TIERS"/>
    <s v="JC"/>
    <n v="-439.67"/>
    <d v="2025-05-01T00:00:00"/>
    <s v="CCA ASCONA - MRP RO"/>
    <m/>
    <e v="#N/A"/>
    <e v="#N/A"/>
    <n v="86552"/>
    <m/>
    <s v="ASCONA"/>
    <s v="Q2"/>
    <e v="#REF!"/>
    <e v="#REF!"/>
    <e v="#REF!"/>
  </r>
  <r>
    <s v="486200"/>
    <x v="6"/>
    <s v="CHARGES CONSTATEES D'AVANCE - TIERS"/>
    <s v="JC"/>
    <n v="-439.65"/>
    <d v="2025-06-01T00:00:00"/>
    <s v="CCA ASCONA - MRP RO"/>
    <m/>
    <e v="#N/A"/>
    <e v="#N/A"/>
    <n v="86554"/>
    <m/>
    <s v="ASCONA"/>
    <s v="Q2"/>
    <e v="#REF!"/>
    <e v="#REF!"/>
    <e v="#REF!"/>
  </r>
  <r>
    <s v="486200"/>
    <x v="6"/>
    <s v="CHARGES CONSTATEES D'AVANCE - TIERS"/>
    <s v="JC"/>
    <n v="-363.53"/>
    <d v="2025-12-01T00:00:00"/>
    <s v="CCA - GAN / GSC 2025"/>
    <m/>
    <e v="#N/A"/>
    <e v="#N/A"/>
    <n v="86797"/>
    <m/>
    <s v="Gan Assurance"/>
    <s v="Q4"/>
    <e v="#REF!"/>
    <e v="#REF!"/>
    <e v="#REF!"/>
  </r>
  <r>
    <s v="486200"/>
    <x v="6"/>
    <s v="CHARGES CONSTATEES D'AVANCE - TIERS"/>
    <s v="JC"/>
    <n v="-363.5"/>
    <d v="2025-01-01T00:00:00"/>
    <s v="CCA - GAN / GSC 2025"/>
    <m/>
    <e v="#N/A"/>
    <e v="#N/A"/>
    <n v="86771"/>
    <m/>
    <s v="Gan Assurance"/>
    <s v="Q1"/>
    <e v="#REF!"/>
    <e v="#REF!"/>
    <e v="#REF!"/>
  </r>
  <r>
    <s v="486200"/>
    <x v="6"/>
    <s v="CHARGES CONSTATEES D'AVANCE - TIERS"/>
    <s v="JC"/>
    <n v="-363.5"/>
    <d v="2025-02-01T00:00:00"/>
    <s v="CCA - GAN / GSC 2025"/>
    <m/>
    <e v="#N/A"/>
    <e v="#N/A"/>
    <n v="86774"/>
    <m/>
    <s v="Gan Assurance"/>
    <s v="Q1"/>
    <e v="#REF!"/>
    <e v="#REF!"/>
    <e v="#REF!"/>
  </r>
  <r>
    <s v="486200"/>
    <x v="6"/>
    <s v="CHARGES CONSTATEES D'AVANCE - TIERS"/>
    <s v="JC"/>
    <n v="-363.5"/>
    <d v="2025-03-01T00:00:00"/>
    <s v="CCA - GAN / GSC 2025"/>
    <m/>
    <e v="#N/A"/>
    <e v="#N/A"/>
    <n v="86776"/>
    <m/>
    <s v="Gan Assurance"/>
    <s v="Q1"/>
    <e v="#REF!"/>
    <e v="#REF!"/>
    <e v="#REF!"/>
  </r>
  <r>
    <s v="486200"/>
    <x v="6"/>
    <s v="CHARGES CONSTATEES D'AVANCE - TIERS"/>
    <s v="JC"/>
    <n v="-363.5"/>
    <d v="2025-04-01T00:00:00"/>
    <s v="CCA - GAN / GSC 2025"/>
    <m/>
    <e v="#N/A"/>
    <e v="#N/A"/>
    <n v="86777"/>
    <m/>
    <s v="Gan Assurance"/>
    <s v="Q2"/>
    <e v="#REF!"/>
    <e v="#REF!"/>
    <e v="#REF!"/>
  </r>
  <r>
    <s v="486200"/>
    <x v="6"/>
    <s v="CHARGES CONSTATEES D'AVANCE - TIERS"/>
    <s v="JC"/>
    <n v="-363.5"/>
    <d v="2025-05-01T00:00:00"/>
    <s v="CCA - GAN / GSC 2025"/>
    <m/>
    <e v="#N/A"/>
    <e v="#N/A"/>
    <n v="86780"/>
    <m/>
    <s v="Gan Assurance"/>
    <s v="Q2"/>
    <e v="#REF!"/>
    <e v="#REF!"/>
    <e v="#REF!"/>
  </r>
  <r>
    <s v="486200"/>
    <x v="6"/>
    <s v="CHARGES CONSTATEES D'AVANCE - TIERS"/>
    <s v="JC"/>
    <n v="-363.5"/>
    <d v="2025-06-01T00:00:00"/>
    <s v="CCA - GAN / GSC 2025"/>
    <m/>
    <e v="#N/A"/>
    <e v="#N/A"/>
    <n v="86782"/>
    <m/>
    <s v="Gan Assurance"/>
    <s v="Q2"/>
    <e v="#REF!"/>
    <e v="#REF!"/>
    <e v="#REF!"/>
  </r>
  <r>
    <s v="486200"/>
    <x v="6"/>
    <s v="CHARGES CONSTATEES D'AVANCE - TIERS"/>
    <s v="JC"/>
    <n v="-363.5"/>
    <d v="2025-07-01T00:00:00"/>
    <s v="CCA - GAN / GSC 2025"/>
    <m/>
    <e v="#N/A"/>
    <e v="#N/A"/>
    <n v="86784"/>
    <m/>
    <s v="Gan Assurance"/>
    <s v="Q3"/>
    <e v="#REF!"/>
    <e v="#REF!"/>
    <e v="#REF!"/>
  </r>
  <r>
    <s v="486200"/>
    <x v="6"/>
    <s v="CHARGES CONSTATEES D'AVANCE - TIERS"/>
    <s v="JC"/>
    <n v="-363.5"/>
    <d v="2025-08-01T00:00:00"/>
    <s v="CCA - GAN / GSC 2025"/>
    <m/>
    <e v="#N/A"/>
    <e v="#N/A"/>
    <n v="86786"/>
    <m/>
    <s v="Gan Assurance"/>
    <s v="Q3"/>
    <e v="#REF!"/>
    <e v="#REF!"/>
    <e v="#REF!"/>
  </r>
  <r>
    <s v="486200"/>
    <x v="6"/>
    <s v="CHARGES CONSTATEES D'AVANCE - TIERS"/>
    <s v="JC"/>
    <n v="-363.5"/>
    <d v="2025-09-01T00:00:00"/>
    <s v="CCA - GAN / GSC 2025"/>
    <m/>
    <e v="#N/A"/>
    <e v="#N/A"/>
    <n v="86788"/>
    <m/>
    <s v="Gan Assurance"/>
    <s v="Q3"/>
    <e v="#REF!"/>
    <e v="#REF!"/>
    <e v="#REF!"/>
  </r>
  <r>
    <s v="486200"/>
    <x v="6"/>
    <s v="CHARGES CONSTATEES D'AVANCE - TIERS"/>
    <s v="JC"/>
    <n v="-363.5"/>
    <d v="2025-10-01T00:00:00"/>
    <s v="CCA - GAN / GSC 2025"/>
    <m/>
    <e v="#N/A"/>
    <e v="#N/A"/>
    <n v="86790"/>
    <m/>
    <s v="Gan Assurance"/>
    <s v="Q4"/>
    <e v="#REF!"/>
    <e v="#REF!"/>
    <e v="#REF!"/>
  </r>
  <r>
    <s v="486200"/>
    <x v="6"/>
    <s v="CHARGES CONSTATEES D'AVANCE - TIERS"/>
    <s v="JC"/>
    <n v="-363.5"/>
    <d v="2025-11-01T00:00:00"/>
    <s v="CCA - GAN / GSC 2025"/>
    <m/>
    <e v="#N/A"/>
    <e v="#N/A"/>
    <n v="86792"/>
    <m/>
    <s v="Gan Assurance"/>
    <s v="Q4"/>
    <e v="#REF!"/>
    <e v="#REF!"/>
    <e v="#REF!"/>
  </r>
  <r>
    <s v="486200"/>
    <x v="6"/>
    <s v="CHARGES CONSTATEES D'AVANCE - TIERS"/>
    <s v="JC"/>
    <n v="-326.39999999999998"/>
    <d v="2025-01-01T00:00:00"/>
    <s v="CCA START INDUSTRIE"/>
    <m/>
    <e v="#N/A"/>
    <e v="#N/A"/>
    <n v="86598"/>
    <m/>
    <s v="STARTINDUSTRIE"/>
    <s v="Q1"/>
    <e v="#REF!"/>
    <e v="#REF!"/>
    <e v="#REF!"/>
  </r>
  <r>
    <s v="486200"/>
    <x v="6"/>
    <s v="CHARGES CONSTATEES D'AVANCE - TIERS"/>
    <s v="JC"/>
    <n v="-326.39999999999998"/>
    <d v="2025-02-01T00:00:00"/>
    <s v="CCA START INDUSTRIE"/>
    <m/>
    <e v="#N/A"/>
    <e v="#N/A"/>
    <n v="86605"/>
    <m/>
    <s v="STARTINDUSTRIE"/>
    <s v="Q1"/>
    <e v="#REF!"/>
    <e v="#REF!"/>
    <e v="#REF!"/>
  </r>
  <r>
    <s v="486200"/>
    <x v="6"/>
    <s v="CHARGES CONSTATEES D'AVANCE - TIERS"/>
    <s v="JC"/>
    <n v="-326.39999999999998"/>
    <d v="2025-03-01T00:00:00"/>
    <s v="CCA START INDUSTRIE"/>
    <m/>
    <e v="#N/A"/>
    <e v="#N/A"/>
    <n v="86606"/>
    <m/>
    <s v="STARTINDUSTRIE"/>
    <s v="Q1"/>
    <e v="#REF!"/>
    <e v="#REF!"/>
    <e v="#REF!"/>
  </r>
  <r>
    <s v="486200"/>
    <x v="6"/>
    <s v="CHARGES CONSTATEES D'AVANCE - TIERS"/>
    <s v="JC"/>
    <n v="-326.39999999999998"/>
    <d v="2025-04-01T00:00:00"/>
    <s v="CCA START INDUSTRIE"/>
    <m/>
    <e v="#N/A"/>
    <e v="#N/A"/>
    <n v="86608"/>
    <m/>
    <s v="STARTINDUSTRIE"/>
    <s v="Q2"/>
    <e v="#REF!"/>
    <e v="#REF!"/>
    <e v="#REF!"/>
  </r>
  <r>
    <s v="486200"/>
    <x v="6"/>
    <s v="CHARGES CONSTATEES D'AVANCE - TIERS"/>
    <s v="JC"/>
    <n v="-326.39999999999998"/>
    <d v="2025-05-01T00:00:00"/>
    <s v="CCA START INDUSTRIE"/>
    <m/>
    <e v="#N/A"/>
    <e v="#N/A"/>
    <n v="86610"/>
    <m/>
    <s v="STARTINDUSTRIE"/>
    <s v="Q2"/>
    <e v="#REF!"/>
    <e v="#REF!"/>
    <e v="#REF!"/>
  </r>
  <r>
    <s v="486200"/>
    <x v="6"/>
    <s v="CHARGES CONSTATEES D'AVANCE - TIERS"/>
    <s v="JC"/>
    <n v="-227.08"/>
    <d v="2025-08-01T00:00:00"/>
    <s v="PREPAID EXPENSE - INITIATIVE - RC DIRIGEANTS 2025-2026"/>
    <m/>
    <e v="#N/A"/>
    <e v="#N/A"/>
    <n v="94679"/>
    <s v="2025-Q100406"/>
    <s v="INITIATIVE &amp; RISK PARTNERS"/>
    <s v="Q3"/>
    <e v="#REF!"/>
    <e v="#REF!"/>
    <e v="#REF!"/>
  </r>
  <r>
    <s v="486200"/>
    <x v="6"/>
    <s v="CHARGES CONSTATEES D'AVANCE - TIERS"/>
    <s v="JC"/>
    <n v="-227.08"/>
    <d v="2025-09-01T00:00:00"/>
    <s v="PREPAID EXPENSE - INITIATIVE - RC DIRIGEANTS 2025-2026"/>
    <m/>
    <e v="#N/A"/>
    <e v="#N/A"/>
    <n v="94681"/>
    <s v="2025-Q100406"/>
    <s v="INITIATIVE &amp; RISK PARTNERS"/>
    <s v="Q3"/>
    <e v="#REF!"/>
    <e v="#REF!"/>
    <e v="#REF!"/>
  </r>
  <r>
    <s v="486200"/>
    <x v="6"/>
    <s v="CHARGES CONSTATEES D'AVANCE - TIERS"/>
    <s v="JC"/>
    <n v="-227.08"/>
    <d v="2025-10-01T00:00:00"/>
    <s v="PREPAID EXPENSE - INITIATIVE - RC DIRIGEANTS 2025-2026"/>
    <m/>
    <e v="#N/A"/>
    <e v="#N/A"/>
    <n v="94683"/>
    <s v="2025-Q100406"/>
    <s v="INITIATIVE &amp; RISK PARTNERS"/>
    <s v="Q4"/>
    <e v="#REF!"/>
    <e v="#REF!"/>
    <e v="#REF!"/>
  </r>
  <r>
    <s v="486200"/>
    <x v="6"/>
    <s v="CHARGES CONSTATEES D'AVANCE - TIERS"/>
    <s v="JC"/>
    <n v="-227.08"/>
    <d v="2025-11-01T00:00:00"/>
    <s v="PREPAID EXPENSE - INITIATIVE - RC DIRIGEANTS 2025-2026"/>
    <m/>
    <e v="#N/A"/>
    <e v="#N/A"/>
    <n v="94685"/>
    <s v="2025-Q100406"/>
    <s v="INITIATIVE &amp; RISK PARTNERS"/>
    <s v="Q4"/>
    <e v="#REF!"/>
    <e v="#REF!"/>
    <e v="#REF!"/>
  </r>
  <r>
    <s v="486200"/>
    <x v="6"/>
    <s v="CHARGES CONSTATEES D'AVANCE - TIERS"/>
    <s v="JC"/>
    <n v="-227.08"/>
    <d v="2025-12-01T00:00:00"/>
    <s v="PREPAID EXPENSE - INITIATIVE - RC DIRIGEANTS 2025-2026"/>
    <m/>
    <e v="#N/A"/>
    <e v="#N/A"/>
    <n v="94687"/>
    <s v="2025-Q100406"/>
    <s v="INITIATIVE &amp; RISK PARTNERS"/>
    <s v="Q4"/>
    <e v="#REF!"/>
    <e v="#REF!"/>
    <e v="#REF!"/>
  </r>
  <r>
    <s v="486200"/>
    <x v="6"/>
    <s v="CHARGES CONSTATEES D'AVANCE - TIERS"/>
    <s v="JC"/>
    <n v="-222.43"/>
    <d v="2025-01-01T00:00:00"/>
    <s v="CCA - IR&amp;P - RC DIRIGEANTS"/>
    <m/>
    <e v="#N/A"/>
    <e v="#N/A"/>
    <n v="86672"/>
    <m/>
    <s v="INITIATIVE &amp; RISK PARTNERS"/>
    <s v="Q1"/>
    <e v="#REF!"/>
    <e v="#REF!"/>
    <e v="#REF!"/>
  </r>
  <r>
    <s v="486200"/>
    <x v="6"/>
    <s v="CHARGES CONSTATEES D'AVANCE - TIERS"/>
    <s v="JC"/>
    <n v="-222.43"/>
    <d v="2025-02-01T00:00:00"/>
    <s v="CCA - IR&amp;P - RC DIRIGEANTS"/>
    <m/>
    <e v="#N/A"/>
    <e v="#N/A"/>
    <n v="86676"/>
    <m/>
    <s v="INITIATIVE &amp; RISK PARTNERS"/>
    <s v="Q1"/>
    <e v="#REF!"/>
    <e v="#REF!"/>
    <e v="#REF!"/>
  </r>
  <r>
    <s v="486200"/>
    <x v="6"/>
    <s v="CHARGES CONSTATEES D'AVANCE - TIERS"/>
    <s v="JC"/>
    <n v="-222.43"/>
    <d v="2025-03-01T00:00:00"/>
    <s v="CCA - IR&amp;P - RC DIRIGEANTS"/>
    <m/>
    <e v="#N/A"/>
    <e v="#N/A"/>
    <n v="86677"/>
    <m/>
    <s v="INITIATIVE &amp; RISK PARTNERS"/>
    <s v="Q1"/>
    <e v="#REF!"/>
    <e v="#REF!"/>
    <e v="#REF!"/>
  </r>
  <r>
    <s v="486200"/>
    <x v="6"/>
    <s v="CHARGES CONSTATEES D'AVANCE - TIERS"/>
    <s v="JC"/>
    <n v="-222.43"/>
    <d v="2025-04-01T00:00:00"/>
    <s v="CCA - IR&amp;P - RC DIRIGEANTS"/>
    <m/>
    <e v="#N/A"/>
    <e v="#N/A"/>
    <n v="86679"/>
    <m/>
    <s v="INITIATIVE &amp; RISK PARTNERS"/>
    <s v="Q2"/>
    <e v="#REF!"/>
    <e v="#REF!"/>
    <e v="#REF!"/>
  </r>
  <r>
    <s v="486200"/>
    <x v="6"/>
    <s v="CHARGES CONSTATEES D'AVANCE - TIERS"/>
    <s v="JC"/>
    <n v="-222.43"/>
    <d v="2025-05-01T00:00:00"/>
    <s v="CCA - IR&amp;P - RC DIRIGEANTS"/>
    <m/>
    <e v="#N/A"/>
    <e v="#N/A"/>
    <n v="86681"/>
    <m/>
    <s v="INITIATIVE &amp; RISK PARTNERS"/>
    <s v="Q2"/>
    <e v="#REF!"/>
    <e v="#REF!"/>
    <e v="#REF!"/>
  </r>
  <r>
    <s v="486200"/>
    <x v="6"/>
    <s v="CHARGES CONSTATEES D'AVANCE - TIERS"/>
    <s v="JC"/>
    <n v="-222.43"/>
    <d v="2025-06-01T00:00:00"/>
    <s v="CCA - IR&amp;P - RC DIRIGEANTS"/>
    <m/>
    <e v="#N/A"/>
    <e v="#N/A"/>
    <n v="86683"/>
    <m/>
    <s v="INITIATIVE &amp; RISK PARTNERS"/>
    <s v="Q2"/>
    <e v="#REF!"/>
    <e v="#REF!"/>
    <e v="#REF!"/>
  </r>
  <r>
    <s v="486200"/>
    <x v="6"/>
    <s v="CHARGES CONSTATEES D'AVANCE - TIERS"/>
    <s v="JC"/>
    <n v="-222.42"/>
    <d v="2025-07-01T00:00:00"/>
    <s v="CCA - IR&amp;P - RC DIRIGEANTS"/>
    <m/>
    <e v="#N/A"/>
    <e v="#N/A"/>
    <n v="86685"/>
    <m/>
    <s v="INITIATIVE &amp; RISK PARTNERS"/>
    <s v="Q3"/>
    <e v="#REF!"/>
    <e v="#REF!"/>
    <e v="#REF!"/>
  </r>
  <r>
    <s v="486200"/>
    <x v="6"/>
    <s v="CHARGES CONSTATEES D'AVANCE - TIERS"/>
    <s v="JC"/>
    <n v="-217"/>
    <d v="2025-01-01T00:00:00"/>
    <s v="CCA AXE"/>
    <m/>
    <s v="Non"/>
    <e v="#N/A"/>
    <n v="86533"/>
    <m/>
    <s v="AXE GESCOM"/>
    <s v="Q1"/>
    <e v="#REF!"/>
    <e v="#REF!"/>
    <e v="#REF!"/>
  </r>
  <r>
    <s v="486200"/>
    <x v="6"/>
    <s v="CHARGES CONSTATEES D'AVANCE - TIERS"/>
    <s v="JC"/>
    <n v="-162.22"/>
    <d v="2025-06-01T00:00:00"/>
    <s v="PREPAID EXPENSE - INITIATIVE - MRP KB 2025-2026"/>
    <m/>
    <e v="#N/A"/>
    <e v="#N/A"/>
    <n v="94703"/>
    <s v="2025-Q100272"/>
    <s v="INITIATIVE &amp; RISK PARTNERS"/>
    <s v="Q2"/>
    <e v="#REF!"/>
    <e v="#REF!"/>
    <e v="#REF!"/>
  </r>
  <r>
    <s v="486200"/>
    <x v="6"/>
    <s v="CHARGES CONSTATEES D'AVANCE - TIERS"/>
    <s v="JC"/>
    <n v="-162.22"/>
    <d v="2025-07-01T00:00:00"/>
    <s v="PREPAID EXPENSE - INITIATIVE - MRP KB 2025-2026"/>
    <m/>
    <e v="#N/A"/>
    <e v="#N/A"/>
    <n v="94705"/>
    <s v="2025-Q100272"/>
    <s v="INITIATIVE &amp; RISK PARTNERS"/>
    <s v="Q3"/>
    <e v="#REF!"/>
    <e v="#REF!"/>
    <e v="#REF!"/>
  </r>
  <r>
    <s v="486200"/>
    <x v="6"/>
    <s v="CHARGES CONSTATEES D'AVANCE - TIERS"/>
    <s v="JC"/>
    <n v="-162.22"/>
    <d v="2025-08-01T00:00:00"/>
    <s v="PREPAID EXPENSE - INITIATIVE - MRP KB 2025-2026"/>
    <m/>
    <e v="#N/A"/>
    <e v="#N/A"/>
    <n v="94707"/>
    <s v="2025-Q100272"/>
    <s v="INITIATIVE &amp; RISK PARTNERS"/>
    <s v="Q3"/>
    <e v="#REF!"/>
    <e v="#REF!"/>
    <e v="#REF!"/>
  </r>
  <r>
    <s v="486200"/>
    <x v="6"/>
    <s v="CHARGES CONSTATEES D'AVANCE - TIERS"/>
    <s v="JC"/>
    <n v="-162.22"/>
    <d v="2025-09-01T00:00:00"/>
    <s v="PREPAID EXPENSE - INITIATIVE - MRP KB 2025-2026"/>
    <m/>
    <e v="#N/A"/>
    <e v="#N/A"/>
    <n v="94709"/>
    <s v="2025-Q100272"/>
    <s v="INITIATIVE &amp; RISK PARTNERS"/>
    <s v="Q3"/>
    <e v="#REF!"/>
    <e v="#REF!"/>
    <e v="#REF!"/>
  </r>
  <r>
    <s v="486200"/>
    <x v="6"/>
    <s v="CHARGES CONSTATEES D'AVANCE - TIERS"/>
    <s v="JC"/>
    <n v="-162.22"/>
    <d v="2025-10-01T00:00:00"/>
    <s v="PREPAID EXPENSE - INITIATIVE - MRP KB 2025-2026"/>
    <m/>
    <e v="#N/A"/>
    <e v="#N/A"/>
    <n v="94711"/>
    <s v="2025-Q100272"/>
    <s v="INITIATIVE &amp; RISK PARTNERS"/>
    <s v="Q4"/>
    <e v="#REF!"/>
    <e v="#REF!"/>
    <e v="#REF!"/>
  </r>
  <r>
    <s v="486200"/>
    <x v="6"/>
    <s v="CHARGES CONSTATEES D'AVANCE - TIERS"/>
    <s v="JC"/>
    <n v="-162.22"/>
    <d v="2025-11-01T00:00:00"/>
    <s v="PREPAID EXPENSE - INITIATIVE - MRP KB 2025-2026"/>
    <m/>
    <e v="#N/A"/>
    <e v="#N/A"/>
    <n v="94713"/>
    <s v="2025-Q100272"/>
    <s v="INITIATIVE &amp; RISK PARTNERS"/>
    <s v="Q4"/>
    <e v="#REF!"/>
    <e v="#REF!"/>
    <e v="#REF!"/>
  </r>
  <r>
    <s v="486200"/>
    <x v="6"/>
    <s v="CHARGES CONSTATEES D'AVANCE - TIERS"/>
    <s v="JC"/>
    <n v="-162.22"/>
    <d v="2025-12-01T00:00:00"/>
    <s v="PREPAID EXPENSE - INITIATIVE - MRP KB 2025-2026"/>
    <m/>
    <e v="#N/A"/>
    <e v="#N/A"/>
    <n v="94715"/>
    <s v="2025-Q100272"/>
    <s v="INITIATIVE &amp; RISK PARTNERS"/>
    <s v="Q4"/>
    <e v="#REF!"/>
    <e v="#REF!"/>
    <e v="#REF!"/>
  </r>
  <r>
    <s v="486200"/>
    <x v="6"/>
    <s v="CHARGES CONSTATEES D'AVANCE - TIERS"/>
    <s v="JC"/>
    <n v="-147.6"/>
    <d v="2025-01-01T00:00:00"/>
    <s v="CCA - IR&amp;P - MRP KB"/>
    <m/>
    <e v="#N/A"/>
    <e v="#N/A"/>
    <n v="86747"/>
    <m/>
    <s v="INITIATIVE &amp; RISK PARTNERS"/>
    <s v="Q1"/>
    <e v="#REF!"/>
    <e v="#REF!"/>
    <e v="#REF!"/>
  </r>
  <r>
    <s v="486200"/>
    <x v="6"/>
    <s v="CHARGES CONSTATEES D'AVANCE - TIERS"/>
    <s v="JC"/>
    <n v="-147.6"/>
    <d v="2025-02-01T00:00:00"/>
    <s v="CCA - IR&amp;P - MRP KB"/>
    <m/>
    <e v="#N/A"/>
    <e v="#N/A"/>
    <n v="86750"/>
    <m/>
    <s v="INITIATIVE &amp; RISK PARTNERS"/>
    <s v="Q1"/>
    <e v="#REF!"/>
    <e v="#REF!"/>
    <e v="#REF!"/>
  </r>
  <r>
    <s v="486200"/>
    <x v="6"/>
    <s v="CHARGES CONSTATEES D'AVANCE - TIERS"/>
    <s v="JC"/>
    <n v="-147.6"/>
    <d v="2025-03-01T00:00:00"/>
    <s v="CCA - IR&amp;P - MRP KB"/>
    <m/>
    <e v="#N/A"/>
    <e v="#N/A"/>
    <n v="86751"/>
    <m/>
    <s v="INITIATIVE &amp; RISK PARTNERS"/>
    <s v="Q1"/>
    <e v="#REF!"/>
    <e v="#REF!"/>
    <e v="#REF!"/>
  </r>
  <r>
    <s v="486200"/>
    <x v="6"/>
    <s v="CHARGES CONSTATEES D'AVANCE - TIERS"/>
    <s v="JC"/>
    <n v="-147.6"/>
    <d v="2025-04-01T00:00:00"/>
    <s v="CCA - IR&amp;P - MRP KB"/>
    <m/>
    <e v="#N/A"/>
    <e v="#N/A"/>
    <n v="86753"/>
    <m/>
    <s v="INITIATIVE &amp; RISK PARTNERS"/>
    <s v="Q2"/>
    <e v="#REF!"/>
    <e v="#REF!"/>
    <e v="#REF!"/>
  </r>
  <r>
    <s v="486200"/>
    <x v="6"/>
    <s v="CHARGES CONSTATEES D'AVANCE - TIERS"/>
    <s v="JC"/>
    <n v="-147.6"/>
    <d v="2025-05-01T00:00:00"/>
    <s v="CCA - IR&amp;P - MRP KB"/>
    <m/>
    <e v="#N/A"/>
    <e v="#N/A"/>
    <n v="86755"/>
    <m/>
    <s v="INITIATIVE &amp; RISK PARTNERS"/>
    <s v="Q2"/>
    <e v="#REF!"/>
    <e v="#REF!"/>
    <e v="#REF!"/>
  </r>
  <r>
    <s v="486200"/>
    <x v="6"/>
    <s v="CHARGES CONSTATEES D'AVANCE - TIERS"/>
    <s v="JC"/>
    <n v="-125"/>
    <d v="2025-06-01T00:00:00"/>
    <s v="CCA START INDUSTRIE"/>
    <m/>
    <e v="#N/A"/>
    <e v="#N/A"/>
    <n v="86460"/>
    <s v="34-2025"/>
    <s v="STARTINDUSTRIE"/>
    <s v="Q2"/>
    <e v="#REF!"/>
    <e v="#REF!"/>
    <e v="#REF!"/>
  </r>
  <r>
    <s v="486200"/>
    <x v="6"/>
    <s v="CHARGES CONSTATEES D'AVANCE - TIERS"/>
    <s v="JC"/>
    <n v="-125"/>
    <d v="2025-07-01T00:00:00"/>
    <s v="CCA START INDUSTRIE"/>
    <m/>
    <e v="#N/A"/>
    <e v="#N/A"/>
    <n v="86470"/>
    <s v="34-2025"/>
    <s v="STARTINDUSTRIE"/>
    <s v="Q3"/>
    <e v="#REF!"/>
    <e v="#REF!"/>
    <e v="#REF!"/>
  </r>
  <r>
    <s v="486200"/>
    <x v="6"/>
    <s v="CHARGES CONSTATEES D'AVANCE - TIERS"/>
    <s v="JC"/>
    <n v="-125"/>
    <d v="2025-08-01T00:00:00"/>
    <s v="CCA START INDUSTRIE"/>
    <m/>
    <e v="#N/A"/>
    <e v="#N/A"/>
    <n v="86464"/>
    <s v="34-2025"/>
    <s v="STARTINDUSTRIE"/>
    <s v="Q3"/>
    <e v="#REF!"/>
    <e v="#REF!"/>
    <e v="#REF!"/>
  </r>
  <r>
    <s v="486200"/>
    <x v="6"/>
    <s v="CHARGES CONSTATEES D'AVANCE - TIERS"/>
    <s v="JC"/>
    <n v="-125"/>
    <d v="2025-09-01T00:00:00"/>
    <s v="CCA START INDUSTRIE"/>
    <m/>
    <e v="#N/A"/>
    <e v="#N/A"/>
    <n v="86466"/>
    <s v="34-2025"/>
    <s v="STARTINDUSTRIE"/>
    <s v="Q3"/>
    <e v="#REF!"/>
    <e v="#REF!"/>
    <e v="#REF!"/>
  </r>
  <r>
    <s v="486200"/>
    <x v="6"/>
    <s v="CHARGES CONSTATEES D'AVANCE - TIERS"/>
    <s v="JC"/>
    <n v="-125"/>
    <d v="2025-10-01T00:00:00"/>
    <s v="CCA START INDUSTRIE"/>
    <m/>
    <e v="#N/A"/>
    <e v="#N/A"/>
    <n v="86463"/>
    <s v="34-2025"/>
    <s v="STARTINDUSTRIE"/>
    <s v="Q4"/>
    <e v="#REF!"/>
    <e v="#REF!"/>
    <e v="#REF!"/>
  </r>
  <r>
    <s v="486200"/>
    <x v="6"/>
    <s v="CHARGES CONSTATEES D'AVANCE - TIERS"/>
    <s v="JC"/>
    <n v="-125"/>
    <d v="2025-11-01T00:00:00"/>
    <s v="CCA START INDUSTRIE"/>
    <m/>
    <e v="#N/A"/>
    <e v="#N/A"/>
    <n v="86468"/>
    <s v="34-2025"/>
    <s v="STARTINDUSTRIE"/>
    <s v="Q4"/>
    <e v="#REF!"/>
    <e v="#REF!"/>
    <e v="#REF!"/>
  </r>
  <r>
    <s v="486200"/>
    <x v="6"/>
    <s v="CHARGES CONSTATEES D'AVANCE - TIERS"/>
    <s v="JC"/>
    <n v="-125"/>
    <d v="2025-12-01T00:00:00"/>
    <s v="CCA START INDUSTRIE"/>
    <m/>
    <e v="#N/A"/>
    <e v="#N/A"/>
    <n v="86472"/>
    <s v="34-2025"/>
    <s v="STARTINDUSTRIE"/>
    <s v="Q4"/>
    <e v="#REF!"/>
    <e v="#REF!"/>
    <e v="#REF!"/>
  </r>
  <r>
    <s v="486200"/>
    <x v="6"/>
    <s v="CHARGES CONSTATEES D'AVANCE - TIERS"/>
    <s v="JC"/>
    <n v="-107.25"/>
    <d v="2025-01-01T00:00:00"/>
    <s v="CCA 2025 ASCONA DOMMAGES CHANTIER"/>
    <m/>
    <e v="#N/A"/>
    <e v="#N/A"/>
    <n v="86336"/>
    <s v="POLICE DOMMAGES CHANTIER"/>
    <s v="ASCONA"/>
    <s v="Q1"/>
    <e v="#REF!"/>
    <e v="#REF!"/>
    <e v="#REF!"/>
  </r>
  <r>
    <s v="486200"/>
    <x v="6"/>
    <s v="CHARGES CONSTATEES D'AVANCE - TIERS"/>
    <s v="JC"/>
    <n v="-107.25"/>
    <d v="2025-02-01T00:00:00"/>
    <s v="CCA 2025 ASCONA DOMMAGES CHANTIER"/>
    <m/>
    <e v="#N/A"/>
    <e v="#N/A"/>
    <n v="86334"/>
    <s v="POLICE DOMMAGES CHANTIER"/>
    <s v="ASCONA"/>
    <s v="Q1"/>
    <e v="#REF!"/>
    <e v="#REF!"/>
    <e v="#REF!"/>
  </r>
  <r>
    <s v="486200"/>
    <x v="6"/>
    <s v="CHARGES CONSTATEES D'AVANCE - TIERS"/>
    <s v="JC"/>
    <n v="-107.25"/>
    <d v="2025-03-01T00:00:00"/>
    <s v="CCA 2025 ASCONA DOMMAGES CHANTIER"/>
    <m/>
    <e v="#N/A"/>
    <e v="#N/A"/>
    <n v="86338"/>
    <s v="POLICE DOMMAGES CHANTIER"/>
    <s v="ASCONA"/>
    <s v="Q1"/>
    <e v="#REF!"/>
    <e v="#REF!"/>
    <e v="#REF!"/>
  </r>
  <r>
    <s v="486200"/>
    <x v="6"/>
    <s v="CHARGES CONSTATEES D'AVANCE - TIERS"/>
    <s v="JC"/>
    <n v="-107.25"/>
    <d v="2025-04-01T00:00:00"/>
    <s v="CCA 2025 ASCONA DOMMAGES CHANTIER"/>
    <m/>
    <e v="#N/A"/>
    <e v="#N/A"/>
    <n v="86340"/>
    <s v="POLICE DOMMAGES CHANTIER"/>
    <s v="ASCONA"/>
    <s v="Q2"/>
    <e v="#REF!"/>
    <e v="#REF!"/>
    <e v="#REF!"/>
  </r>
  <r>
    <s v="486200"/>
    <x v="6"/>
    <s v="CHARGES CONSTATEES D'AVANCE - TIERS"/>
    <s v="JC"/>
    <n v="-107.25"/>
    <d v="2025-05-01T00:00:00"/>
    <s v="CCA 2025 ASCONA DOMMAGES CHANTIER"/>
    <m/>
    <e v="#N/A"/>
    <e v="#N/A"/>
    <n v="86342"/>
    <s v="POLICE DOMMAGES CHANTIER"/>
    <s v="ASCONA"/>
    <s v="Q2"/>
    <e v="#REF!"/>
    <e v="#REF!"/>
    <e v="#REF!"/>
  </r>
  <r>
    <s v="486200"/>
    <x v="6"/>
    <s v="CHARGES CONSTATEES D'AVANCE - TIERS"/>
    <s v="JC"/>
    <n v="-107.25"/>
    <d v="2025-06-01T00:00:00"/>
    <s v="CCA 2025 ASCONA DOMMAGES CHANTIER"/>
    <m/>
    <e v="#N/A"/>
    <e v="#N/A"/>
    <n v="86344"/>
    <s v="POLICE DOMMAGES CHANTIER"/>
    <s v="ASCONA"/>
    <s v="Q2"/>
    <e v="#REF!"/>
    <e v="#REF!"/>
    <e v="#REF!"/>
  </r>
  <r>
    <s v="486200"/>
    <x v="6"/>
    <s v="CHARGES CONSTATEES D'AVANCE - TIERS"/>
    <s v="JC"/>
    <n v="-107.25"/>
    <d v="2025-07-01T00:00:00"/>
    <s v="CCA 2025 ASCONA DOMMAGES CHANTIER"/>
    <m/>
    <e v="#N/A"/>
    <e v="#N/A"/>
    <n v="86346"/>
    <s v="POLICE DOMMAGES CHANTIER"/>
    <s v="ASCONA"/>
    <s v="Q3"/>
    <e v="#REF!"/>
    <e v="#REF!"/>
    <e v="#REF!"/>
  </r>
  <r>
    <s v="486200"/>
    <x v="6"/>
    <s v="CHARGES CONSTATEES D'AVANCE - TIERS"/>
    <s v="JC"/>
    <n v="-107.25"/>
    <d v="2025-08-01T00:00:00"/>
    <s v="CCA 2025 ASCONA DOMMAGES CHANTIER"/>
    <m/>
    <e v="#N/A"/>
    <e v="#N/A"/>
    <n v="86348"/>
    <s v="POLICE DOMMAGES CHANTIER"/>
    <s v="ASCONA"/>
    <s v="Q3"/>
    <e v="#REF!"/>
    <e v="#REF!"/>
    <e v="#REF!"/>
  </r>
  <r>
    <s v="486200"/>
    <x v="6"/>
    <s v="CHARGES CONSTATEES D'AVANCE - TIERS"/>
    <s v="JC"/>
    <n v="-107.25"/>
    <d v="2025-09-01T00:00:00"/>
    <s v="CCA 2025 ASCONA DOMMAGES CHANTIER"/>
    <m/>
    <e v="#N/A"/>
    <e v="#N/A"/>
    <n v="86350"/>
    <s v="POLICE DOMMAGES CHANTIER"/>
    <s v="ASCONA"/>
    <s v="Q3"/>
    <e v="#REF!"/>
    <e v="#REF!"/>
    <e v="#REF!"/>
  </r>
  <r>
    <s v="486200"/>
    <x v="6"/>
    <s v="CHARGES CONSTATEES D'AVANCE - TIERS"/>
    <s v="JC"/>
    <n v="-107.25"/>
    <d v="2025-10-01T00:00:00"/>
    <s v="CCA 2025 ASCONA DOMMAGES CHANTIER"/>
    <m/>
    <e v="#N/A"/>
    <e v="#N/A"/>
    <n v="86352"/>
    <s v="POLICE DOMMAGES CHANTIER"/>
    <s v="ASCONA"/>
    <s v="Q4"/>
    <e v="#REF!"/>
    <e v="#REF!"/>
    <e v="#REF!"/>
  </r>
  <r>
    <s v="486200"/>
    <x v="6"/>
    <s v="CHARGES CONSTATEES D'AVANCE - TIERS"/>
    <s v="JC"/>
    <n v="-107.25"/>
    <d v="2025-11-01T00:00:00"/>
    <s v="CCA 2025 ASCONA DOMMAGES CHANTIER"/>
    <m/>
    <e v="#N/A"/>
    <e v="#N/A"/>
    <n v="86354"/>
    <s v="POLICE DOMMAGES CHANTIER"/>
    <s v="ASCONA"/>
    <s v="Q4"/>
    <e v="#REF!"/>
    <e v="#REF!"/>
    <e v="#REF!"/>
  </r>
  <r>
    <s v="486200"/>
    <x v="6"/>
    <s v="CHARGES CONSTATEES D'AVANCE - TIERS"/>
    <s v="JC"/>
    <n v="-107.25"/>
    <d v="2025-12-01T00:00:00"/>
    <s v="CCA 2025 ASCONA DOMMAGES CHANTIER"/>
    <m/>
    <e v="#N/A"/>
    <e v="#N/A"/>
    <n v="86356"/>
    <s v="POLICE DOMMAGES CHANTIER"/>
    <s v="ASCONA"/>
    <s v="Q4"/>
    <e v="#REF!"/>
    <e v="#REF!"/>
    <e v="#REF!"/>
  </r>
  <r>
    <s v="486200"/>
    <x v="6"/>
    <s v="CHARGES CONSTATEES D'AVANCE - TIERS"/>
    <s v="JC"/>
    <n v="-104.1"/>
    <d v="2025-12-01T00:00:00"/>
    <s v="PREPAID EXPENSE - IR&amp;P - RCE 2025-2026"/>
    <m/>
    <e v="#N/A"/>
    <e v="#N/A"/>
    <n v="94409"/>
    <s v="2025-Q100527"/>
    <s v="INITIATIVE &amp; RISK PARTNERS"/>
    <s v="Q4"/>
    <e v="#REF!"/>
    <e v="#REF!"/>
    <e v="#REF!"/>
  </r>
  <r>
    <s v="486200"/>
    <x v="6"/>
    <s v="CHARGES CONSTATEES D'AVANCE - TIERS"/>
    <s v="JC"/>
    <n v="-96"/>
    <d v="2025-01-01T00:00:00"/>
    <s v="CCA IR&amp;P - RCE"/>
    <m/>
    <e v="#N/A"/>
    <e v="#N/A"/>
    <n v="86662"/>
    <m/>
    <s v="INITIATIVE &amp; RISK PARTNERS"/>
    <s v="Q1"/>
    <e v="#REF!"/>
    <e v="#REF!"/>
    <e v="#REF!"/>
  </r>
  <r>
    <s v="486200"/>
    <x v="6"/>
    <s v="CHARGES CONSTATEES D'AVANCE - TIERS"/>
    <s v="JC"/>
    <n v="-96"/>
    <d v="2025-02-01T00:00:00"/>
    <s v="CCA IR&amp;P - RCE"/>
    <m/>
    <e v="#N/A"/>
    <e v="#N/A"/>
    <n v="86646"/>
    <m/>
    <s v="INITIATIVE &amp; RISK PARTNERS"/>
    <s v="Q1"/>
    <e v="#REF!"/>
    <e v="#REF!"/>
    <e v="#REF!"/>
  </r>
  <r>
    <s v="486200"/>
    <x v="6"/>
    <s v="CHARGES CONSTATEES D'AVANCE - TIERS"/>
    <s v="JC"/>
    <n v="-96"/>
    <d v="2025-03-01T00:00:00"/>
    <s v="CCA IR&amp;P - RCE"/>
    <m/>
    <e v="#N/A"/>
    <e v="#N/A"/>
    <n v="86648"/>
    <m/>
    <s v="INITIATIVE &amp; RISK PARTNERS"/>
    <s v="Q1"/>
    <e v="#REF!"/>
    <e v="#REF!"/>
    <e v="#REF!"/>
  </r>
  <r>
    <s v="486200"/>
    <x v="6"/>
    <s v="CHARGES CONSTATEES D'AVANCE - TIERS"/>
    <s v="JC"/>
    <n v="-96"/>
    <d v="2025-04-01T00:00:00"/>
    <s v="CCA IR&amp;P - RCE"/>
    <m/>
    <e v="#N/A"/>
    <e v="#N/A"/>
    <n v="86650"/>
    <m/>
    <s v="INITIATIVE &amp; RISK PARTNERS"/>
    <s v="Q2"/>
    <e v="#REF!"/>
    <e v="#REF!"/>
    <e v="#REF!"/>
  </r>
  <r>
    <s v="486200"/>
    <x v="6"/>
    <s v="CHARGES CONSTATEES D'AVANCE - TIERS"/>
    <s v="JC"/>
    <n v="-96"/>
    <d v="2025-05-01T00:00:00"/>
    <s v="CCA IR&amp;P - RCE"/>
    <m/>
    <e v="#N/A"/>
    <e v="#N/A"/>
    <n v="86652"/>
    <m/>
    <s v="INITIATIVE &amp; RISK PARTNERS"/>
    <s v="Q2"/>
    <e v="#REF!"/>
    <e v="#REF!"/>
    <e v="#REF!"/>
  </r>
  <r>
    <s v="486200"/>
    <x v="6"/>
    <s v="CHARGES CONSTATEES D'AVANCE - TIERS"/>
    <s v="JC"/>
    <n v="-96"/>
    <d v="2025-06-01T00:00:00"/>
    <s v="CCA IR&amp;P - RCE"/>
    <m/>
    <e v="#N/A"/>
    <e v="#N/A"/>
    <n v="86654"/>
    <m/>
    <s v="INITIATIVE &amp; RISK PARTNERS"/>
    <s v="Q2"/>
    <e v="#REF!"/>
    <e v="#REF!"/>
    <e v="#REF!"/>
  </r>
  <r>
    <s v="486200"/>
    <x v="6"/>
    <s v="CHARGES CONSTATEES D'AVANCE - TIERS"/>
    <s v="JC"/>
    <n v="-96"/>
    <d v="2025-07-01T00:00:00"/>
    <s v="CCA IR&amp;P - RCE"/>
    <m/>
    <e v="#N/A"/>
    <e v="#N/A"/>
    <n v="86656"/>
    <m/>
    <s v="INITIATIVE &amp; RISK PARTNERS"/>
    <s v="Q3"/>
    <e v="#REF!"/>
    <e v="#REF!"/>
    <e v="#REF!"/>
  </r>
  <r>
    <s v="486200"/>
    <x v="6"/>
    <s v="CHARGES CONSTATEES D'AVANCE - TIERS"/>
    <s v="JC"/>
    <n v="-96"/>
    <d v="2025-08-01T00:00:00"/>
    <s v="CCA IR&amp;P - RCE"/>
    <m/>
    <e v="#N/A"/>
    <e v="#N/A"/>
    <n v="86658"/>
    <m/>
    <s v="INITIATIVE &amp; RISK PARTNERS"/>
    <s v="Q3"/>
    <e v="#REF!"/>
    <e v="#REF!"/>
    <e v="#REF!"/>
  </r>
  <r>
    <s v="486200"/>
    <x v="6"/>
    <s v="CHARGES CONSTATEES D'AVANCE - TIERS"/>
    <s v="JC"/>
    <n v="-96"/>
    <d v="2025-09-01T00:00:00"/>
    <s v="CCA IR&amp;P - RCE"/>
    <m/>
    <e v="#N/A"/>
    <e v="#N/A"/>
    <n v="86660"/>
    <m/>
    <s v="INITIATIVE &amp; RISK PARTNERS"/>
    <s v="Q3"/>
    <e v="#REF!"/>
    <e v="#REF!"/>
    <e v="#REF!"/>
  </r>
  <r>
    <s v="486200"/>
    <x v="6"/>
    <s v="CHARGES CONSTATEES D'AVANCE - TIERS"/>
    <s v="JC"/>
    <n v="-96"/>
    <d v="2025-10-01T00:00:00"/>
    <s v="CCA IR&amp;P - RCE"/>
    <m/>
    <e v="#N/A"/>
    <e v="#N/A"/>
    <n v="86644"/>
    <m/>
    <s v="INITIATIVE &amp; RISK PARTNERS"/>
    <s v="Q4"/>
    <e v="#REF!"/>
    <e v="#REF!"/>
    <e v="#REF!"/>
  </r>
  <r>
    <s v="486200"/>
    <x v="6"/>
    <s v="CHARGES CONSTATEES D'AVANCE - TIERS"/>
    <s v="JC"/>
    <n v="-96"/>
    <d v="2025-11-01T00:00:00"/>
    <s v="CCA IR&amp;P - RCE"/>
    <m/>
    <e v="#N/A"/>
    <e v="#N/A"/>
    <n v="86664"/>
    <m/>
    <s v="INITIATIVE &amp; RISK PARTNERS"/>
    <s v="Q4"/>
    <e v="#REF!"/>
    <e v="#REF!"/>
    <e v="#REF!"/>
  </r>
  <r>
    <s v="486200"/>
    <x v="6"/>
    <s v="CHARGES CONSTATEES D'AVANCE - TIERS"/>
    <s v="JC"/>
    <n v="-76.010000000000005"/>
    <d v="2025-01-01T00:00:00"/>
    <s v="CCA - IR&amp;P - APRIL - ASSURANCE HC 2025 (BLACHE ET BOISSONNAT)"/>
    <m/>
    <e v="#N/A"/>
    <e v="#N/A"/>
    <n v="86798"/>
    <m/>
    <s v="INITIATIVE &amp; RISK PARTNERS"/>
    <s v="Q1"/>
    <e v="#REF!"/>
    <e v="#REF!"/>
    <e v="#REF!"/>
  </r>
  <r>
    <s v="486200"/>
    <x v="6"/>
    <s v="CHARGES CONSTATEES D'AVANCE - TIERS"/>
    <s v="JC"/>
    <n v="-76.010000000000005"/>
    <d v="2025-02-01T00:00:00"/>
    <s v="CCA - IR&amp;P - APRIL - ASSURANCE HC 2025 (BLACHE ET BOISSONNAT)"/>
    <m/>
    <e v="#N/A"/>
    <e v="#N/A"/>
    <n v="86801"/>
    <m/>
    <s v="INITIATIVE &amp; RISK PARTNERS"/>
    <s v="Q1"/>
    <e v="#REF!"/>
    <e v="#REF!"/>
    <e v="#REF!"/>
  </r>
  <r>
    <s v="486200"/>
    <x v="6"/>
    <s v="CHARGES CONSTATEES D'AVANCE - TIERS"/>
    <s v="JC"/>
    <n v="-76.010000000000005"/>
    <d v="2025-03-01T00:00:00"/>
    <s v="CCA - IR&amp;P - APRIL - ASSURANCE HC 2025 (BLACHE ET BOISSONNAT)"/>
    <m/>
    <e v="#N/A"/>
    <e v="#N/A"/>
    <n v="86802"/>
    <m/>
    <s v="INITIATIVE &amp; RISK PARTNERS"/>
    <s v="Q1"/>
    <e v="#REF!"/>
    <e v="#REF!"/>
    <e v="#REF!"/>
  </r>
  <r>
    <s v="486200"/>
    <x v="6"/>
    <s v="CHARGES CONSTATEES D'AVANCE - TIERS"/>
    <s v="JC"/>
    <n v="-76.010000000000005"/>
    <d v="2025-04-01T00:00:00"/>
    <s v="CCA - IR&amp;P - APRIL - ASSURANCE HC 2025 (BLACHE ET BOISSONNAT)"/>
    <m/>
    <e v="#N/A"/>
    <e v="#N/A"/>
    <n v="86804"/>
    <m/>
    <s v="INITIATIVE &amp; RISK PARTNERS"/>
    <s v="Q2"/>
    <e v="#REF!"/>
    <e v="#REF!"/>
    <e v="#REF!"/>
  </r>
  <r>
    <s v="486200"/>
    <x v="6"/>
    <s v="CHARGES CONSTATEES D'AVANCE - TIERS"/>
    <s v="JC"/>
    <n v="-76.010000000000005"/>
    <d v="2025-05-01T00:00:00"/>
    <s v="CCA - IR&amp;P - APRIL - ASSURANCE HC 2025 (BLACHE ET BOISSONNAT)"/>
    <m/>
    <e v="#N/A"/>
    <e v="#N/A"/>
    <n v="86806"/>
    <m/>
    <s v="INITIATIVE &amp; RISK PARTNERS"/>
    <s v="Q2"/>
    <e v="#REF!"/>
    <e v="#REF!"/>
    <e v="#REF!"/>
  </r>
  <r>
    <s v="486200"/>
    <x v="6"/>
    <s v="CHARGES CONSTATEES D'AVANCE - TIERS"/>
    <s v="JC"/>
    <n v="-76.010000000000005"/>
    <d v="2025-06-01T00:00:00"/>
    <s v="CCA - IR&amp;P - APRIL - ASSURANCE HC 2025 (BLACHE ET BOISSONNAT)"/>
    <m/>
    <e v="#N/A"/>
    <e v="#N/A"/>
    <n v="86808"/>
    <m/>
    <s v="INITIATIVE &amp; RISK PARTNERS"/>
    <s v="Q2"/>
    <e v="#REF!"/>
    <e v="#REF!"/>
    <e v="#REF!"/>
  </r>
  <r>
    <s v="486200"/>
    <x v="6"/>
    <s v="CHARGES CONSTATEES D'AVANCE - TIERS"/>
    <s v="JC"/>
    <n v="-76.010000000000005"/>
    <d v="2025-07-01T00:00:00"/>
    <s v="CCA - IR&amp;P - APRIL - ASSURANCE HC 2025 (BLACHE ET BOISSONNAT)"/>
    <m/>
    <e v="#N/A"/>
    <e v="#N/A"/>
    <n v="86810"/>
    <m/>
    <s v="INITIATIVE &amp; RISK PARTNERS"/>
    <s v="Q3"/>
    <e v="#REF!"/>
    <e v="#REF!"/>
    <e v="#REF!"/>
  </r>
  <r>
    <s v="486200"/>
    <x v="6"/>
    <s v="CHARGES CONSTATEES D'AVANCE - TIERS"/>
    <s v="JC"/>
    <n v="-76.010000000000005"/>
    <d v="2025-08-01T00:00:00"/>
    <s v="CCA - IR&amp;P - APRIL - ASSURANCE HC 2025 (BLACHE ET BOISSONNAT)"/>
    <m/>
    <e v="#N/A"/>
    <e v="#N/A"/>
    <n v="86812"/>
    <m/>
    <s v="INITIATIVE &amp; RISK PARTNERS"/>
    <s v="Q3"/>
    <e v="#REF!"/>
    <e v="#REF!"/>
    <e v="#REF!"/>
  </r>
  <r>
    <s v="486200"/>
    <x v="6"/>
    <s v="CHARGES CONSTATEES D'AVANCE - TIERS"/>
    <s v="JC"/>
    <n v="-76.010000000000005"/>
    <d v="2025-09-01T00:00:00"/>
    <s v="CCA - IR&amp;P - APRIL - ASSURANCE HC 2025 (BLACHE ET BOISSONNAT)"/>
    <m/>
    <e v="#N/A"/>
    <e v="#N/A"/>
    <n v="86814"/>
    <m/>
    <s v="INITIATIVE &amp; RISK PARTNERS"/>
    <s v="Q3"/>
    <e v="#REF!"/>
    <e v="#REF!"/>
    <e v="#REF!"/>
  </r>
  <r>
    <s v="486200"/>
    <x v="6"/>
    <s v="CHARGES CONSTATEES D'AVANCE - TIERS"/>
    <s v="JC"/>
    <n v="-76.010000000000005"/>
    <d v="2025-10-01T00:00:00"/>
    <s v="CCA - IR&amp;P - APRIL - ASSURANCE HC 2025 (BLACHE ET BOISSONNAT)"/>
    <m/>
    <e v="#N/A"/>
    <e v="#N/A"/>
    <n v="86816"/>
    <m/>
    <s v="INITIATIVE &amp; RISK PARTNERS"/>
    <s v="Q4"/>
    <e v="#REF!"/>
    <e v="#REF!"/>
    <e v="#REF!"/>
  </r>
  <r>
    <s v="486200"/>
    <x v="6"/>
    <s v="CHARGES CONSTATEES D'AVANCE - TIERS"/>
    <s v="JC"/>
    <n v="-76.010000000000005"/>
    <d v="2025-11-01T00:00:00"/>
    <s v="CCA - IR&amp;P - APRIL - ASSURANCE HC 2025 (BLACHE ET BOISSONNAT)"/>
    <m/>
    <e v="#N/A"/>
    <e v="#N/A"/>
    <n v="86818"/>
    <m/>
    <s v="INITIATIVE &amp; RISK PARTNERS"/>
    <s v="Q4"/>
    <e v="#REF!"/>
    <e v="#REF!"/>
    <e v="#REF!"/>
  </r>
  <r>
    <s v="486200"/>
    <x v="6"/>
    <s v="CHARGES CONSTATEES D'AVANCE - TIERS"/>
    <s v="JC"/>
    <n v="-76.010000000000005"/>
    <d v="2025-12-01T00:00:00"/>
    <s v="CCA - IR&amp;P - APRIL - ASSURANCE HC 2025 (BLACHE ET BOISSONNAT)"/>
    <m/>
    <e v="#N/A"/>
    <e v="#N/A"/>
    <n v="86820"/>
    <m/>
    <s v="INITIATIVE &amp; RISK PARTNERS"/>
    <s v="Q4"/>
    <e v="#REF!"/>
    <e v="#REF!"/>
    <e v="#REF!"/>
  </r>
  <r>
    <s v="486200"/>
    <x v="6"/>
    <s v="CHARGES CONSTATEES D'AVANCE - TIERS"/>
    <s v="JC"/>
    <n v="-46"/>
    <d v="2025-01-01T00:00:00"/>
    <s v="CCA ETAI INFO CHIMIE MAGAZINE"/>
    <m/>
    <e v="#N/A"/>
    <e v="#N/A"/>
    <n v="86628"/>
    <m/>
    <s v="ETAI"/>
    <s v="Q1"/>
    <e v="#REF!"/>
    <e v="#REF!"/>
    <e v="#REF!"/>
  </r>
  <r>
    <s v="486200"/>
    <x v="6"/>
    <s v="CHARGES CONSTATEES D'AVANCE - TIERS"/>
    <s v="JC"/>
    <n v="-46"/>
    <d v="2025-02-01T00:00:00"/>
    <s v="CCA ETAI INFO CHIMIE MAGAZINE"/>
    <m/>
    <e v="#N/A"/>
    <e v="#N/A"/>
    <n v="86631"/>
    <m/>
    <s v="ETAI"/>
    <s v="Q1"/>
    <e v="#REF!"/>
    <e v="#REF!"/>
    <e v="#REF!"/>
  </r>
  <r>
    <s v="486200"/>
    <x v="6"/>
    <s v="CHARGES CONSTATEES D'AVANCE - TIERS"/>
    <s v="JC"/>
    <n v="-30.02"/>
    <d v="2025-11-01T00:00:00"/>
    <s v="PREPAID EXPENSE - INITIATIVE - MRP LYON 2025-2026"/>
    <m/>
    <e v="#N/A"/>
    <e v="#N/A"/>
    <n v="94655"/>
    <s v="2025-Q100485"/>
    <s v="INITIATIVE &amp; RISK PARTNERS"/>
    <s v="Q4"/>
    <e v="#REF!"/>
    <e v="#REF!"/>
    <e v="#REF!"/>
  </r>
  <r>
    <s v="486200"/>
    <x v="6"/>
    <s v="CHARGES CONSTATEES D'AVANCE - TIERS"/>
    <s v="JC"/>
    <n v="-30.02"/>
    <d v="2025-12-01T00:00:00"/>
    <s v="PREPAID EXPENSE - INITIATIVE - MRP LYON 2025-2026"/>
    <m/>
    <e v="#N/A"/>
    <e v="#N/A"/>
    <n v="94657"/>
    <s v="2025-Q100485"/>
    <s v="INITIATIVE &amp; RISK PARTNERS"/>
    <s v="Q4"/>
    <e v="#REF!"/>
    <e v="#REF!"/>
    <e v="#REF!"/>
  </r>
  <r>
    <s v="486200"/>
    <x v="6"/>
    <s v="CHARGES CONSTATEES D'AVANCE - TIERS"/>
    <s v="JC"/>
    <n v="-27.1"/>
    <d v="2025-01-01T00:00:00"/>
    <s v="CCA - IR&amp;P - MRP LYON"/>
    <m/>
    <e v="#N/A"/>
    <e v="#N/A"/>
    <n v="86718"/>
    <m/>
    <s v="INITIATIVE &amp; RISK PARTNERS"/>
    <s v="Q1"/>
    <e v="#REF!"/>
    <e v="#REF!"/>
    <e v="#REF!"/>
  </r>
  <r>
    <s v="486200"/>
    <x v="6"/>
    <s v="CHARGES CONSTATEES D'AVANCE - TIERS"/>
    <s v="JC"/>
    <n v="-27.1"/>
    <d v="2025-02-01T00:00:00"/>
    <s v="CCA - IR&amp;P - MRP LYON"/>
    <m/>
    <e v="#N/A"/>
    <e v="#N/A"/>
    <n v="86719"/>
    <m/>
    <s v="INITIATIVE &amp; RISK PARTNERS"/>
    <s v="Q1"/>
    <e v="#REF!"/>
    <e v="#REF!"/>
    <e v="#REF!"/>
  </r>
  <r>
    <s v="486200"/>
    <x v="6"/>
    <s v="CHARGES CONSTATEES D'AVANCE - TIERS"/>
    <s v="JC"/>
    <n v="-27.1"/>
    <d v="2025-03-01T00:00:00"/>
    <s v="CCA - IR&amp;P - MRP LYON"/>
    <m/>
    <e v="#N/A"/>
    <e v="#N/A"/>
    <n v="86722"/>
    <m/>
    <s v="INITIATIVE &amp; RISK PARTNERS"/>
    <s v="Q1"/>
    <e v="#REF!"/>
    <e v="#REF!"/>
    <e v="#REF!"/>
  </r>
  <r>
    <s v="486200"/>
    <x v="6"/>
    <s v="CHARGES CONSTATEES D'AVANCE - TIERS"/>
    <s v="JC"/>
    <n v="-27.1"/>
    <d v="2025-04-01T00:00:00"/>
    <s v="CCA - IR&amp;P - MRP LYON"/>
    <m/>
    <e v="#N/A"/>
    <e v="#N/A"/>
    <n v="86723"/>
    <m/>
    <s v="INITIATIVE &amp; RISK PARTNERS"/>
    <s v="Q2"/>
    <e v="#REF!"/>
    <e v="#REF!"/>
    <e v="#REF!"/>
  </r>
  <r>
    <s v="486200"/>
    <x v="6"/>
    <s v="CHARGES CONSTATEES D'AVANCE - TIERS"/>
    <s v="JC"/>
    <n v="-27.1"/>
    <d v="2025-05-01T00:00:00"/>
    <s v="CCA - IR&amp;P - MRP LYON"/>
    <m/>
    <e v="#N/A"/>
    <e v="#N/A"/>
    <n v="86725"/>
    <m/>
    <s v="INITIATIVE &amp; RISK PARTNERS"/>
    <s v="Q2"/>
    <e v="#REF!"/>
    <e v="#REF!"/>
    <e v="#REF!"/>
  </r>
  <r>
    <s v="486200"/>
    <x v="6"/>
    <s v="CHARGES CONSTATEES D'AVANCE - TIERS"/>
    <s v="JC"/>
    <n v="-27.1"/>
    <d v="2025-06-01T00:00:00"/>
    <s v="CCA - IR&amp;P - MRP LYON"/>
    <m/>
    <e v="#N/A"/>
    <e v="#N/A"/>
    <n v="86727"/>
    <m/>
    <s v="INITIATIVE &amp; RISK PARTNERS"/>
    <s v="Q2"/>
    <e v="#REF!"/>
    <e v="#REF!"/>
    <e v="#REF!"/>
  </r>
  <r>
    <s v="486200"/>
    <x v="6"/>
    <s v="CHARGES CONSTATEES D'AVANCE - TIERS"/>
    <s v="JC"/>
    <n v="-27.1"/>
    <d v="2025-07-01T00:00:00"/>
    <s v="CCA - IR&amp;P - MRP LYON"/>
    <m/>
    <e v="#N/A"/>
    <e v="#N/A"/>
    <n v="86729"/>
    <m/>
    <s v="INITIATIVE &amp; RISK PARTNERS"/>
    <s v="Q3"/>
    <e v="#REF!"/>
    <e v="#REF!"/>
    <e v="#REF!"/>
  </r>
  <r>
    <s v="486200"/>
    <x v="6"/>
    <s v="CHARGES CONSTATEES D'AVANCE - TIERS"/>
    <s v="JC"/>
    <n v="-27.1"/>
    <d v="2025-08-01T00:00:00"/>
    <s v="CCA - IR&amp;P - MRP LYON"/>
    <m/>
    <e v="#N/A"/>
    <e v="#N/A"/>
    <n v="86731"/>
    <m/>
    <s v="INITIATIVE &amp; RISK PARTNERS"/>
    <s v="Q3"/>
    <e v="#REF!"/>
    <e v="#REF!"/>
    <e v="#REF!"/>
  </r>
  <r>
    <s v="486200"/>
    <x v="6"/>
    <s v="CHARGES CONSTATEES D'AVANCE - TIERS"/>
    <s v="JC"/>
    <n v="-27.1"/>
    <d v="2025-09-01T00:00:00"/>
    <s v="CCA - IR&amp;P - MRP LYON"/>
    <m/>
    <e v="#N/A"/>
    <e v="#N/A"/>
    <n v="86733"/>
    <m/>
    <s v="INITIATIVE &amp; RISK PARTNERS"/>
    <s v="Q3"/>
    <e v="#REF!"/>
    <e v="#REF!"/>
    <e v="#REF!"/>
  </r>
  <r>
    <s v="486200"/>
    <x v="6"/>
    <s v="CHARGES CONSTATEES D'AVANCE - TIERS"/>
    <s v="JC"/>
    <n v="-27.1"/>
    <d v="2025-10-01T00:00:00"/>
    <s v="CCA - IR&amp;P - MRP LYON"/>
    <m/>
    <e v="#N/A"/>
    <e v="#N/A"/>
    <n v="86735"/>
    <m/>
    <s v="INITIATIVE &amp; RISK PARTNERS"/>
    <s v="Q4"/>
    <e v="#REF!"/>
    <e v="#REF!"/>
    <e v="#REF!"/>
  </r>
  <r>
    <s v="486200"/>
    <x v="6"/>
    <s v="CHARGES CONSTATEES D'AVANCE - TIERS"/>
    <s v="JC"/>
    <n v="92"/>
    <d v="2025-01-01T00:00:00"/>
    <s v="CCA ETAI INFO CHIMIE MAGAZINE"/>
    <m/>
    <e v="#N/A"/>
    <e v="#N/A"/>
    <n v="86627"/>
    <m/>
    <s v="ETAI"/>
    <s v="Q1"/>
    <e v="#REF!"/>
    <e v="#REF!"/>
    <e v="#REF!"/>
  </r>
  <r>
    <s v="486200"/>
    <x v="6"/>
    <s v="CHARGES CONSTATEES D'AVANCE - TIERS"/>
    <s v="JC"/>
    <n v="217"/>
    <d v="2025-01-01T00:00:00"/>
    <s v="CCA AXE"/>
    <m/>
    <s v="Non"/>
    <e v="#N/A"/>
    <n v="86530"/>
    <m/>
    <s v="AXE GESCOM"/>
    <s v="Q1"/>
    <e v="#REF!"/>
    <e v="#REF!"/>
    <e v="#REF!"/>
  </r>
  <r>
    <s v="486200"/>
    <x v="6"/>
    <s v="CHARGES CONSTATEES D'AVANCE - TIERS"/>
    <s v="JC"/>
    <n v="271"/>
    <d v="2025-01-01T00:00:00"/>
    <s v="CCA - IR&amp;P - MRP LYON"/>
    <m/>
    <e v="#N/A"/>
    <e v="#N/A"/>
    <n v="86712"/>
    <m/>
    <s v="INITIATIVE &amp; RISK PARTNERS"/>
    <s v="Q1"/>
    <e v="#REF!"/>
    <e v="#REF!"/>
    <e v="#REF!"/>
  </r>
  <r>
    <s v="486200"/>
    <x v="6"/>
    <s v="CHARGES CONSTATEES D'AVANCE - TIERS"/>
    <s v="JC"/>
    <n v="279.41000000000003"/>
    <d v="2025-12-01T00:00:00"/>
    <s v="CCA LOYERS KB"/>
    <m/>
    <e v="#N/A"/>
    <e v="#N/A"/>
    <n v="90180"/>
    <m/>
    <s v="LIBERTY PM"/>
    <s v="Q4"/>
    <e v="#REF!"/>
    <e v="#REF!"/>
    <e v="#REF!"/>
  </r>
  <r>
    <s v="486200"/>
    <x v="6"/>
    <s v="CHARGES CONSTATEES D'AVANCE - TIERS"/>
    <s v="JC"/>
    <n v="738"/>
    <d v="2025-01-01T00:00:00"/>
    <s v="CCA - IR&amp;P - MRP KB"/>
    <m/>
    <e v="#N/A"/>
    <e v="#N/A"/>
    <n v="86742"/>
    <m/>
    <s v="INITIATIVE &amp; RISK PARTNERS"/>
    <s v="Q1"/>
    <e v="#REF!"/>
    <e v="#REF!"/>
    <e v="#REF!"/>
  </r>
  <r>
    <s v="486200"/>
    <x v="6"/>
    <s v="CHARGES CONSTATEES D'AVANCE - TIERS"/>
    <s v="JC"/>
    <n v="1056"/>
    <d v="2025-01-01T00:00:00"/>
    <s v="CCA INITIATIVE RCE"/>
    <m/>
    <e v="#N/A"/>
    <e v="#N/A"/>
    <n v="86637"/>
    <m/>
    <s v="INITIATIVE &amp; RISK PARTNERS"/>
    <s v="Q1"/>
    <e v="#REF!"/>
    <e v="#REF!"/>
    <e v="#REF!"/>
  </r>
  <r>
    <s v="486200"/>
    <x v="6"/>
    <s v="CHARGES CONSTATEES D'AVANCE - TIERS"/>
    <s v="JC"/>
    <n v="1113"/>
    <d v="2025-01-01T00:00:00"/>
    <s v="CCA LOYER LYON"/>
    <m/>
    <e v="#N/A"/>
    <e v="#N/A"/>
    <n v="86511"/>
    <m/>
    <s v="REGIE CONSEIL"/>
    <s v="Q1"/>
    <e v="#REF!"/>
    <e v="#REF!"/>
    <e v="#REF!"/>
  </r>
  <r>
    <s v="486200"/>
    <x v="6"/>
    <s v="CHARGES CONSTATEES D'AVANCE - TIERS"/>
    <s v="JC"/>
    <n v="1294.8"/>
    <d v="2025-12-31T00:00:00"/>
    <s v="Prepaid Expenses - REGIE CONSEIL - loyer Décembre 2025 Lyon "/>
    <m/>
    <e v="#N/A"/>
    <e v="#N/A"/>
    <n v="94922"/>
    <m/>
    <s v="REGIE CONSEIL"/>
    <s v="Q4"/>
    <e v="#REF!"/>
    <e v="#REF!"/>
    <e v="#REF!"/>
  </r>
  <r>
    <s v="486200"/>
    <x v="6"/>
    <s v="CHARGES CONSTATEES D'AVANCE - TIERS"/>
    <s v="JC"/>
    <n v="1557"/>
    <d v="2025-01-01T00:00:00"/>
    <s v="CCA - IR&amp;P - RC DIRIGEANTS"/>
    <m/>
    <e v="#N/A"/>
    <e v="#N/A"/>
    <n v="86671"/>
    <m/>
    <s v="INITIATIVE &amp; RISK PARTNERS"/>
    <s v="Q1"/>
    <e v="#REF!"/>
    <e v="#REF!"/>
    <e v="#REF!"/>
  </r>
  <r>
    <s v="486200"/>
    <x v="6"/>
    <s v="CHARGES CONSTATEES D'AVANCE - TIERS"/>
    <s v="JC"/>
    <n v="1632"/>
    <d v="2025-01-01T00:00:00"/>
    <s v="CCA START INDUSTRIE"/>
    <m/>
    <e v="#N/A"/>
    <e v="#N/A"/>
    <n v="86597"/>
    <m/>
    <s v="STARTINDUSTRIE"/>
    <s v="Q1"/>
    <e v="#REF!"/>
    <e v="#REF!"/>
    <e v="#REF!"/>
  </r>
  <r>
    <s v="486200"/>
    <x v="6"/>
    <s v="CHARGES CONSTATEES D'AVANCE - TIERS"/>
    <s v="JC"/>
    <n v="2150"/>
    <d v="2025-01-01T00:00:00"/>
    <s v="CCA EUROPEAN COATING SHOW"/>
    <m/>
    <e v="#N/A"/>
    <e v="#N/A"/>
    <n v="86519"/>
    <m/>
    <s v="NURNBERG"/>
    <s v="Q1"/>
    <e v="#REF!"/>
    <e v="#REF!"/>
    <e v="#REF!"/>
  </r>
  <r>
    <s v="486200"/>
    <x v="6"/>
    <s v="CHARGES CONSTATEES D'AVANCE - TIERS"/>
    <s v="JC"/>
    <n v="2638"/>
    <d v="2025-01-01T00:00:00"/>
    <s v="CCA ASCONA - MRP RO"/>
    <m/>
    <e v="#N/A"/>
    <e v="#N/A"/>
    <n v="86539"/>
    <m/>
    <s v="ASCONA"/>
    <s v="Q1"/>
    <e v="#REF!"/>
    <e v="#REF!"/>
    <e v="#REF!"/>
  </r>
  <r>
    <s v="486200"/>
    <x v="6"/>
    <s v="CHARGES CONSTATEES D'AVANCE - TIERS"/>
    <s v="JC"/>
    <n v="6075"/>
    <d v="2025-01-01T00:00:00"/>
    <s v="CCA EURECIA"/>
    <m/>
    <e v="#N/A"/>
    <e v="#N/A"/>
    <n v="86569"/>
    <m/>
    <s v="EURECIA"/>
    <s v="Q1"/>
    <e v="#REF!"/>
    <e v="#REF!"/>
    <e v="#REF!"/>
  </r>
  <r>
    <s v="486200"/>
    <x v="6"/>
    <s v="CHARGES CONSTATEES D'AVANCE - TIERS"/>
    <s v="JC"/>
    <n v="6210"/>
    <d v="2025-01-01T00:00:00"/>
    <s v="CCA RITME LICENCES CHEMDRAW"/>
    <m/>
    <e v="#N/A"/>
    <e v="#N/A"/>
    <n v="86613"/>
    <m/>
    <s v="RITME"/>
    <s v="Q1"/>
    <e v="#REF!"/>
    <e v="#REF!"/>
    <e v="#REF!"/>
  </r>
  <r>
    <s v="486200"/>
    <x v="6"/>
    <s v="CHARGES CONSTATEES D'AVANCE - TIERS"/>
    <s v="JC"/>
    <n v="11427"/>
    <d v="2025-01-01T00:00:00"/>
    <s v="CCA ASCONA DOMMAGES CHANTIER"/>
    <m/>
    <e v="#N/A"/>
    <e v="#N/A"/>
    <n v="86496"/>
    <s v="POLICE DOMMAGES CHANTIER"/>
    <s v="ASCONA"/>
    <s v="Q1"/>
    <e v="#REF!"/>
    <e v="#REF!"/>
    <e v="#REF!"/>
  </r>
  <r>
    <s v="486200"/>
    <x v="6"/>
    <s v="CHARGES CONSTATEES D'AVANCE - TIERS"/>
    <s v="JC"/>
    <n v="16499"/>
    <d v="2025-01-01T00:00:00"/>
    <s v="CCA 2024-2025 - DOTMATICS"/>
    <s v="Non"/>
    <e v="#N/A"/>
    <e v="#N/A"/>
    <n v="86505"/>
    <m/>
    <s v="DOTMATICS LIMITED"/>
    <s v="Q1"/>
    <e v="#REF!"/>
    <e v="#REF!"/>
    <e v="#REF!"/>
  </r>
  <r>
    <s v="486200"/>
    <x v="6"/>
    <s v="CHARGES CONSTATEES D'AVANCE - TIERS"/>
    <s v="JC"/>
    <n v="46968"/>
    <d v="2025-01-01T00:00:00"/>
    <s v="CCA LOYERS KB - Q1 2025"/>
    <m/>
    <e v="#N/A"/>
    <e v="#N/A"/>
    <n v="86494"/>
    <m/>
    <s v="LIBERTY PM"/>
    <s v="Q1"/>
    <e v="#REF!"/>
    <e v="#REF!"/>
    <e v="#REF!"/>
  </r>
  <r>
    <s v="486200"/>
    <x v="6"/>
    <s v="CHARGES CONSTATEES D'AVANCE - TIERS"/>
    <s v="OD"/>
    <n v="-46968"/>
    <d v="2025-12-01T00:00:00"/>
    <s v="Liaison inter-établissement vers KB "/>
    <m/>
    <e v="#N/A"/>
    <e v="#N/A"/>
    <n v="94509"/>
    <m/>
    <s v="LIBERTY PM"/>
    <s v="Q4"/>
    <e v="#REF!"/>
    <e v="#REF!"/>
    <e v="#REF!"/>
  </r>
  <r>
    <s v="486200"/>
    <x v="6"/>
    <s v="CHARGES CONSTATEES D'AVANCE - TIERS"/>
    <s v="OD"/>
    <n v="-5095.8900000000003"/>
    <d v="2025-01-31T00:00:00"/>
    <s v="OPTIMUS - VANNE DE FOND HWS TYPE  T ARBRE D'AGITATION INOX/PTFE ADAPTATEUR DN15/M1"/>
    <m/>
    <e v="#N/A"/>
    <e v="#N/A"/>
    <n v="90534"/>
    <m/>
    <s v="OPTIMUS"/>
    <s v="Q1"/>
    <e v="#REF!"/>
    <e v="#REF!"/>
    <e v="#REF!"/>
  </r>
  <r>
    <s v="486200"/>
    <x v="6"/>
    <s v="CHARGES CONSTATEES D'AVANCE - TIERS"/>
    <s v="OD"/>
    <n v="-3960"/>
    <d v="2025-01-31T00:00:00"/>
    <s v="CHILWORTH FRANCE SAS - ANALYSES TEMPÉRATURE MINIMALE D'INFLAMMATION (INDIGO + AA)"/>
    <m/>
    <e v="#N/A"/>
    <e v="#N/A"/>
    <n v="90514"/>
    <m/>
    <s v="CHILWORTH FRANCE SAS"/>
    <s v="Q1"/>
    <e v="#REF!"/>
    <e v="#REF!"/>
    <e v="#REF!"/>
  </r>
  <r>
    <s v="486200"/>
    <x v="6"/>
    <s v="CHARGES CONSTATEES D'AVANCE - TIERS"/>
    <s v="OD"/>
    <n v="-3314.17"/>
    <d v="2025-06-01T00:00:00"/>
    <s v="DOTMATICS CHEMISTRY"/>
    <s v="Non"/>
    <e v="#N/A"/>
    <e v="#N/A"/>
    <n v="77393"/>
    <s v="LicencesDotmatics25-26"/>
    <s v="DOTMATICS LIMITED"/>
    <s v="Q2"/>
    <e v="#REF!"/>
    <e v="#REF!"/>
    <e v="#REF!"/>
  </r>
  <r>
    <s v="486200"/>
    <x v="6"/>
    <s v="CHARGES CONSTATEES D'AVANCE - TIERS"/>
    <s v="OD"/>
    <n v="-3314.17"/>
    <d v="2025-07-01T00:00:00"/>
    <s v="DOTMATICS CHEMISTRY"/>
    <s v="Non"/>
    <e v="#N/A"/>
    <e v="#N/A"/>
    <n v="77395"/>
    <s v="LicencesDotmatics25-26"/>
    <s v="DOTMATICS LIMITED"/>
    <s v="Q3"/>
    <e v="#REF!"/>
    <e v="#REF!"/>
    <e v="#REF!"/>
  </r>
  <r>
    <s v="486200"/>
    <x v="6"/>
    <s v="CHARGES CONSTATEES D'AVANCE - TIERS"/>
    <s v="OD"/>
    <n v="-3314.17"/>
    <d v="2025-08-01T00:00:00"/>
    <s v="DOTMATICS CHEMISTRY"/>
    <s v="Non"/>
    <e v="#N/A"/>
    <e v="#N/A"/>
    <n v="77397"/>
    <s v="LicencesDotmatics25-26"/>
    <s v="DOTMATICS LIMITED"/>
    <s v="Q3"/>
    <e v="#REF!"/>
    <e v="#REF!"/>
    <e v="#REF!"/>
  </r>
  <r>
    <s v="486200"/>
    <x v="6"/>
    <s v="CHARGES CONSTATEES D'AVANCE - TIERS"/>
    <s v="OD"/>
    <n v="-3314.17"/>
    <d v="2025-09-01T00:00:00"/>
    <s v="DOTMATICS CHEMISTRY"/>
    <s v="Non"/>
    <e v="#N/A"/>
    <e v="#N/A"/>
    <n v="77399"/>
    <s v="LicencesDotmatics25-26"/>
    <s v="DOTMATICS LIMITED"/>
    <s v="Q3"/>
    <e v="#REF!"/>
    <e v="#REF!"/>
    <e v="#REF!"/>
  </r>
  <r>
    <s v="486200"/>
    <x v="6"/>
    <s v="CHARGES CONSTATEES D'AVANCE - TIERS"/>
    <s v="OD"/>
    <n v="-3314.17"/>
    <d v="2025-10-01T00:00:00"/>
    <s v="DOTMATICS CHEMISTRY"/>
    <s v="Non"/>
    <e v="#N/A"/>
    <e v="#N/A"/>
    <n v="77401"/>
    <s v="LicencesDotmatics25-26"/>
    <s v="DOTMATICS LIMITED"/>
    <s v="Q4"/>
    <e v="#REF!"/>
    <e v="#REF!"/>
    <e v="#REF!"/>
  </r>
  <r>
    <s v="486200"/>
    <x v="6"/>
    <s v="CHARGES CONSTATEES D'AVANCE - TIERS"/>
    <s v="OD"/>
    <n v="-3314.17"/>
    <d v="2025-11-01T00:00:00"/>
    <s v="DOTMATICS CHEMISTRY"/>
    <s v="Non"/>
    <e v="#N/A"/>
    <e v="#N/A"/>
    <n v="77403"/>
    <s v="LicencesDotmatics25-26"/>
    <s v="DOTMATICS LIMITED"/>
    <s v="Q4"/>
    <e v="#REF!"/>
    <e v="#REF!"/>
    <e v="#REF!"/>
  </r>
  <r>
    <s v="486200"/>
    <x v="6"/>
    <s v="CHARGES CONSTATEES D'AVANCE - TIERS"/>
    <s v="OD"/>
    <n v="-3314.17"/>
    <d v="2025-12-01T00:00:00"/>
    <s v="DOTMATICS CHEMISTRY"/>
    <s v="Non"/>
    <e v="#N/A"/>
    <e v="#N/A"/>
    <n v="77405"/>
    <s v="LicencesDotmatics25-26"/>
    <s v="DOTMATICS LIMITED"/>
    <s v="Q4"/>
    <e v="#REF!"/>
    <e v="#REF!"/>
    <e v="#REF!"/>
  </r>
  <r>
    <s v="486200"/>
    <x v="6"/>
    <s v="CHARGES CONSTATEES D'AVANCE - TIERS"/>
    <s v="OD"/>
    <n v="-2850"/>
    <d v="2025-01-31T00:00:00"/>
    <s v="CHILWORTH FRANCE SAS - ANALYSES ÉNERGIE MINIMALE D'INFLAMMATION (AA + INDIGO)"/>
    <m/>
    <e v="#N/A"/>
    <e v="#N/A"/>
    <n v="90510"/>
    <m/>
    <s v="CHILWORTH FRANCE SAS"/>
    <s v="Q1"/>
    <e v="#REF!"/>
    <e v="#REF!"/>
    <e v="#REF!"/>
  </r>
  <r>
    <s v="486200"/>
    <x v="6"/>
    <s v="CHARGES CONSTATEES D'AVANCE - TIERS"/>
    <s v="OD"/>
    <n v="-2638"/>
    <d v="2025-06-01T00:00:00"/>
    <s v="Liaison inter-établissement vers RO "/>
    <m/>
    <e v="#N/A"/>
    <e v="#N/A"/>
    <n v="89380"/>
    <m/>
    <s v="ASCONA"/>
    <s v="Q2"/>
    <e v="#REF!"/>
    <e v="#REF!"/>
    <e v="#REF!"/>
  </r>
  <r>
    <s v="486200"/>
    <x v="6"/>
    <s v="CHARGES CONSTATEES D'AVANCE - TIERS"/>
    <s v="OD"/>
    <n v="-1800"/>
    <d v="2025-01-31T00:00:00"/>
    <s v="FREWITT - ESSAIS BROYAGE À SEC"/>
    <m/>
    <e v="#N/A"/>
    <e v="#N/A"/>
    <n v="90530"/>
    <m/>
    <s v="FREWITT"/>
    <s v="Q1"/>
    <e v="#REF!"/>
    <e v="#REF!"/>
    <e v="#REF!"/>
  </r>
  <r>
    <s v="486200"/>
    <x v="6"/>
    <s v="CHARGES CONSTATEES D'AVANCE - TIERS"/>
    <s v="OD"/>
    <n v="-1271.1600000000001"/>
    <d v="2025-01-31T00:00:00"/>
    <s v="COTE - TRAVAUX D'ÉLECTRICITÉ DANS LE LABO + RACCORDEMENT AÉROTHERME"/>
    <m/>
    <e v="#N/A"/>
    <e v="#N/A"/>
    <n v="90506"/>
    <m/>
    <s v="COTE"/>
    <s v="Q1"/>
    <e v="#REF!"/>
    <e v="#REF!"/>
    <e v="#REF!"/>
  </r>
  <r>
    <s v="486200"/>
    <x v="6"/>
    <s v="CHARGES CONSTATEES D'AVANCE - TIERS"/>
    <s v="OD"/>
    <n v="-1113"/>
    <d v="2025-01-01T00:00:00"/>
    <s v="Liaison inter-établissement vers LY "/>
    <m/>
    <e v="#N/A"/>
    <e v="#N/A"/>
    <n v="89840"/>
    <m/>
    <s v="REGIE CONSEIL"/>
    <s v="Q1"/>
    <e v="#REF!"/>
    <e v="#REF!"/>
    <e v="#REF!"/>
  </r>
  <r>
    <s v="486200"/>
    <x v="6"/>
    <s v="CHARGES CONSTATEES D'AVANCE - TIERS"/>
    <s v="OD"/>
    <n v="-803"/>
    <d v="2025-01-31T00:00:00"/>
    <s v="ACI SOMAGEP - VANNE DE FOND QUART DE TOUR R1000 - VARIANTE 2 - PLATEFORME CHIMIQUE DE ROUSSILLON"/>
    <m/>
    <e v="#N/A"/>
    <e v="#N/A"/>
    <n v="90518"/>
    <m/>
    <s v="ACI"/>
    <s v="Q1"/>
    <e v="#REF!"/>
    <e v="#REF!"/>
    <e v="#REF!"/>
  </r>
  <r>
    <s v="486200"/>
    <x v="6"/>
    <s v="CHARGES CONSTATEES D'AVANCE - TIERS"/>
    <s v="OD"/>
    <n v="-516.5"/>
    <d v="2025-03-01T00:00:00"/>
    <s v="CONTRAT MAINTENANCE CLIM LABO"/>
    <m/>
    <e v="#N/A"/>
    <e v="#N/A"/>
    <n v="77421"/>
    <s v="FA005214"/>
    <s v="3BCLIM"/>
    <s v="Q1"/>
    <e v="#REF!"/>
    <e v="#REF!"/>
    <e v="#REF!"/>
  </r>
  <r>
    <s v="486200"/>
    <x v="6"/>
    <s v="CHARGES CONSTATEES D'AVANCE - TIERS"/>
    <s v="OD"/>
    <n v="-516.5"/>
    <d v="2025-04-01T00:00:00"/>
    <s v="CONTRAT MAINTENANCE CLIM LABO"/>
    <m/>
    <e v="#N/A"/>
    <e v="#N/A"/>
    <n v="77423"/>
    <s v="FA005214"/>
    <s v="3BCLIM"/>
    <s v="Q2"/>
    <e v="#REF!"/>
    <e v="#REF!"/>
    <e v="#REF!"/>
  </r>
  <r>
    <s v="486200"/>
    <x v="6"/>
    <s v="CHARGES CONSTATEES D'AVANCE - TIERS"/>
    <s v="OD"/>
    <n v="-516.5"/>
    <d v="2025-05-01T00:00:00"/>
    <s v="CONTRAT MAINTENANCE CLIM LABO"/>
    <m/>
    <e v="#N/A"/>
    <e v="#N/A"/>
    <n v="77425"/>
    <s v="FA005214"/>
    <s v="3BCLIM"/>
    <s v="Q2"/>
    <e v="#REF!"/>
    <e v="#REF!"/>
    <e v="#REF!"/>
  </r>
  <r>
    <s v="486200"/>
    <x v="6"/>
    <s v="CHARGES CONSTATEES D'AVANCE - TIERS"/>
    <s v="OD"/>
    <n v="-516.5"/>
    <d v="2025-06-01T00:00:00"/>
    <s v="CONTRAT MAINTENANCE CLIM LABO"/>
    <m/>
    <e v="#N/A"/>
    <e v="#N/A"/>
    <n v="77427"/>
    <s v="FA005214"/>
    <s v="3BCLIM"/>
    <s v="Q2"/>
    <e v="#REF!"/>
    <e v="#REF!"/>
    <e v="#REF!"/>
  </r>
  <r>
    <s v="486200"/>
    <x v="6"/>
    <s v="CHARGES CONSTATEES D'AVANCE - TIERS"/>
    <s v="OD"/>
    <n v="-516.5"/>
    <d v="2025-07-01T00:00:00"/>
    <s v="CONTRAT MAINTENANCE CLIM LABO"/>
    <m/>
    <e v="#N/A"/>
    <e v="#N/A"/>
    <n v="77429"/>
    <s v="FA005214"/>
    <s v="3BCLIM"/>
    <s v="Q3"/>
    <e v="#REF!"/>
    <e v="#REF!"/>
    <e v="#REF!"/>
  </r>
  <r>
    <s v="486200"/>
    <x v="6"/>
    <s v="CHARGES CONSTATEES D'AVANCE - TIERS"/>
    <s v="OD"/>
    <n v="-516.5"/>
    <d v="2025-08-01T00:00:00"/>
    <s v="CONTRAT MAINTENANCE CLIM LABO"/>
    <m/>
    <e v="#N/A"/>
    <e v="#N/A"/>
    <n v="77431"/>
    <s v="FA005214"/>
    <s v="3BCLIM"/>
    <s v="Q3"/>
    <e v="#REF!"/>
    <e v="#REF!"/>
    <e v="#REF!"/>
  </r>
  <r>
    <s v="486200"/>
    <x v="6"/>
    <s v="CHARGES CONSTATEES D'AVANCE - TIERS"/>
    <s v="OD"/>
    <n v="-516.5"/>
    <d v="2025-09-01T00:00:00"/>
    <s v="CONTRAT MAINTENANCE CLIM LABO"/>
    <m/>
    <e v="#N/A"/>
    <e v="#N/A"/>
    <n v="77433"/>
    <s v="FA005214"/>
    <s v="3BCLIM"/>
    <s v="Q3"/>
    <e v="#REF!"/>
    <e v="#REF!"/>
    <e v="#REF!"/>
  </r>
  <r>
    <s v="486200"/>
    <x v="6"/>
    <s v="CHARGES CONSTATEES D'AVANCE - TIERS"/>
    <s v="OD"/>
    <n v="-516.5"/>
    <d v="2025-10-01T00:00:00"/>
    <s v="CONTRAT MAINTENANCE CLIM LABO"/>
    <m/>
    <e v="#N/A"/>
    <e v="#N/A"/>
    <n v="77435"/>
    <s v="FA005214"/>
    <s v="3BCLIM"/>
    <s v="Q4"/>
    <e v="#REF!"/>
    <e v="#REF!"/>
    <e v="#REF!"/>
  </r>
  <r>
    <s v="486200"/>
    <x v="6"/>
    <s v="CHARGES CONSTATEES D'AVANCE - TIERS"/>
    <s v="OD"/>
    <n v="-516.5"/>
    <d v="2025-11-01T00:00:00"/>
    <s v="CONTRAT MAINTENANCE CLIM LABO"/>
    <m/>
    <e v="#N/A"/>
    <e v="#N/A"/>
    <n v="77437"/>
    <s v="FA005214"/>
    <s v="3BCLIM"/>
    <s v="Q4"/>
    <e v="#REF!"/>
    <e v="#REF!"/>
    <e v="#REF!"/>
  </r>
  <r>
    <s v="486200"/>
    <x v="6"/>
    <s v="CHARGES CONSTATEES D'AVANCE - TIERS"/>
    <s v="OD"/>
    <n v="-516.5"/>
    <d v="2025-12-01T00:00:00"/>
    <s v="CONTRAT MAINTENANCE CLIM LABO"/>
    <m/>
    <e v="#N/A"/>
    <e v="#N/A"/>
    <n v="77439"/>
    <s v="FA005214"/>
    <s v="3BCLIM"/>
    <s v="Q4"/>
    <e v="#REF!"/>
    <e v="#REF!"/>
    <e v="#REF!"/>
  </r>
  <r>
    <s v="486200"/>
    <x v="6"/>
    <s v="CHARGES CONSTATEES D'AVANCE - TIERS"/>
    <s v="OD"/>
    <n v="-217"/>
    <d v="2025-01-01T00:00:00"/>
    <s v="Liaison inter-établissement vers KB "/>
    <m/>
    <s v="Non"/>
    <e v="#N/A"/>
    <n v="89332"/>
    <m/>
    <s v="AXE GESCOM"/>
    <s v="Q1"/>
    <e v="#REF!"/>
    <e v="#REF!"/>
    <e v="#REF!"/>
  </r>
  <r>
    <s v="486200"/>
    <x v="6"/>
    <s v="CHARGES CONSTATEES D'AVANCE - TIERS"/>
    <s v="OD"/>
    <n v="-0.01"/>
    <d v="2025-09-01T00:00:00"/>
    <s v="Ecart de change"/>
    <m/>
    <e v="#N/A"/>
    <e v="#N/A"/>
    <n v="94621"/>
    <m/>
    <s v="AMERICAN CHEMICAL SOCIETY"/>
    <s v="Q3"/>
    <e v="#REF!"/>
    <e v="#REF!"/>
    <e v="#REF!"/>
  </r>
  <r>
    <s v="486200"/>
    <x v="6"/>
    <s v="CHARGES CONSTATEES D'AVANCE - TIERS"/>
    <s v="OD"/>
    <n v="-0.01"/>
    <d v="2025-12-01T00:00:00"/>
    <s v="Ecart de change"/>
    <m/>
    <e v="#N/A"/>
    <e v="#N/A"/>
    <n v="94623"/>
    <m/>
    <s v="AMERICAN CHEMICAL SOCIETY"/>
    <s v="Q4"/>
    <e v="#REF!"/>
    <e v="#REF!"/>
    <e v="#REF!"/>
  </r>
  <r>
    <s v="486200"/>
    <x v="6"/>
    <s v="CHARGES CONSTATEES D'AVANCE - TIERS"/>
    <s v="OD"/>
    <n v="217"/>
    <d v="2025-01-01T00:00:00"/>
    <s v="Liaison inter-établissement"/>
    <m/>
    <s v="Non"/>
    <e v="#N/A"/>
    <n v="89333"/>
    <m/>
    <s v="AXE GESCOM"/>
    <s v="Q1"/>
    <e v="#REF!"/>
    <e v="#REF!"/>
    <e v="#REF!"/>
  </r>
  <r>
    <s v="486200"/>
    <x v="6"/>
    <s v="CHARGES CONSTATEES D'AVANCE - TIERS"/>
    <s v="OD"/>
    <n v="803"/>
    <d v="2025-01-31T00:00:00"/>
    <s v="ACI SOMAGEP - VANNE DE FOND QUART DE TOUR R1000 - VARIANTE 2 - PLATEFORME CHIMIQUE DE ROUSSILLON"/>
    <m/>
    <e v="#N/A"/>
    <e v="#N/A"/>
    <n v="90517"/>
    <m/>
    <s v="ACI"/>
    <s v="Q1"/>
    <e v="#REF!"/>
    <e v="#REF!"/>
    <e v="#REF!"/>
  </r>
  <r>
    <s v="486200"/>
    <x v="6"/>
    <s v="CHARGES CONSTATEES D'AVANCE - TIERS"/>
    <s v="OD"/>
    <n v="1113"/>
    <d v="2025-01-01T00:00:00"/>
    <s v="Liaison inter-établissement"/>
    <m/>
    <e v="#N/A"/>
    <e v="#N/A"/>
    <n v="89841"/>
    <m/>
    <s v="REGIE CONSEIL"/>
    <s v="Q1"/>
    <e v="#REF!"/>
    <e v="#REF!"/>
    <e v="#REF!"/>
  </r>
  <r>
    <s v="486200"/>
    <x v="6"/>
    <s v="CHARGES CONSTATEES D'AVANCE - TIERS"/>
    <s v="OD"/>
    <n v="1271.1600000000001"/>
    <d v="2025-01-31T00:00:00"/>
    <s v="COTE - TRAVAUX D'ÉLECTRICITÉ DANS LE LABO + RACCORDEMENT AÉROTHERME"/>
    <m/>
    <e v="#N/A"/>
    <e v="#N/A"/>
    <n v="90505"/>
    <m/>
    <s v="COTE"/>
    <s v="Q1"/>
    <e v="#REF!"/>
    <e v="#REF!"/>
    <e v="#REF!"/>
  </r>
  <r>
    <s v="486200"/>
    <x v="6"/>
    <s v="CHARGES CONSTATEES D'AVANCE - TIERS"/>
    <s v="OD"/>
    <n v="1800"/>
    <d v="2025-01-31T00:00:00"/>
    <s v="FREWITT - ESSAIS BROYAGE À SEC"/>
    <m/>
    <e v="#N/A"/>
    <e v="#N/A"/>
    <n v="90529"/>
    <m/>
    <s v="FREWITT"/>
    <s v="Q1"/>
    <e v="#REF!"/>
    <e v="#REF!"/>
    <e v="#REF!"/>
  </r>
  <r>
    <s v="486200"/>
    <x v="6"/>
    <s v="CHARGES CONSTATEES D'AVANCE - TIERS"/>
    <s v="OD"/>
    <n v="2638"/>
    <d v="2025-06-01T00:00:00"/>
    <s v="Liaison inter-établissement"/>
    <m/>
    <e v="#N/A"/>
    <e v="#N/A"/>
    <n v="89381"/>
    <m/>
    <s v="ASCONA"/>
    <s v="Q2"/>
    <e v="#REF!"/>
    <e v="#REF!"/>
    <e v="#REF!"/>
  </r>
  <r>
    <s v="486200"/>
    <x v="6"/>
    <s v="CHARGES CONSTATEES D'AVANCE - TIERS"/>
    <s v="OD"/>
    <n v="2850"/>
    <d v="2025-01-31T00:00:00"/>
    <s v="CHILWORTH FRANCE SAS - ANALYSES ÉNERGIE MINIMALE D'INFLAMMATION (AA + INDIGO)"/>
    <m/>
    <e v="#N/A"/>
    <e v="#N/A"/>
    <n v="90509"/>
    <m/>
    <s v="CHILWORTH FRANCE SAS"/>
    <s v="Q1"/>
    <e v="#REF!"/>
    <e v="#REF!"/>
    <e v="#REF!"/>
  </r>
  <r>
    <s v="486200"/>
    <x v="6"/>
    <s v="CHARGES CONSTATEES D'AVANCE - TIERS"/>
    <s v="OD"/>
    <n v="3960"/>
    <d v="2025-01-31T00:00:00"/>
    <s v="CHILWORTH FRANCE SAS - ANALYSES TEMPÉRATURE MINIMALE D'INFLAMMATION (INDIGO + AA)"/>
    <m/>
    <e v="#N/A"/>
    <e v="#N/A"/>
    <n v="90513"/>
    <m/>
    <s v="CHILWORTH FRANCE SAS"/>
    <s v="Q1"/>
    <e v="#REF!"/>
    <e v="#REF!"/>
    <e v="#REF!"/>
  </r>
  <r>
    <s v="486200"/>
    <x v="6"/>
    <s v="CHARGES CONSTATEES D'AVANCE - TIERS"/>
    <s v="OD"/>
    <n v="5095.8900000000003"/>
    <d v="2025-01-31T00:00:00"/>
    <s v="OPTIMUS - VANNE DE FOND HWS TYPE  T ARBRE D'AGITATION INOX/PTFE ADAPTATEUR DN15/M1"/>
    <m/>
    <e v="#N/A"/>
    <e v="#N/A"/>
    <n v="90533"/>
    <m/>
    <s v="OPTIMUS"/>
    <s v="Q1"/>
    <e v="#REF!"/>
    <e v="#REF!"/>
    <e v="#REF!"/>
  </r>
  <r>
    <s v="486200"/>
    <x v="6"/>
    <s v="CHARGES CONSTATEES D'AVANCE - TIERS"/>
    <s v="OD"/>
    <n v="9540"/>
    <d v="2025-12-16T00:00:00"/>
    <s v="HÉBERGEMENT AXE CLOUD SERVEUR"/>
    <m/>
    <s v="Non"/>
    <e v="#N/A"/>
    <n v="96211"/>
    <s v="FAP11606"/>
    <s v="AXE GESCOM"/>
    <s v="Q4"/>
    <e v="#REF!"/>
    <e v="#REF!"/>
    <e v="#REF!"/>
  </r>
  <r>
    <s v="486200"/>
    <x v="6"/>
    <s v="CHARGES CONSTATEES D'AVANCE - TIERS"/>
    <s v="OD"/>
    <n v="14942.28"/>
    <d v="2025-12-16T00:00:00"/>
    <s v="DROITS D'UTILISATION ANNUELS SAGE"/>
    <m/>
    <s v="Non"/>
    <e v="#N/A"/>
    <n v="96209"/>
    <s v="FAP11604"/>
    <s v="AXE GESCOM"/>
    <s v="Q4"/>
    <e v="#REF!"/>
    <e v="#REF!"/>
    <e v="#REF!"/>
  </r>
  <r>
    <s v="486200"/>
    <x v="6"/>
    <s v="CHARGES CONSTATEES D'AVANCE - TIERS"/>
    <s v="OD"/>
    <n v="34869.589999999997"/>
    <d v="2025-09-01T00:00:00"/>
    <s v="LOYER Q4 2025"/>
    <m/>
    <e v="#N/A"/>
    <e v="#N/A"/>
    <n v="96206"/>
    <s v="0049020250041"/>
    <s v="LIBERTY PM"/>
    <s v="Q3"/>
    <e v="#REF!"/>
    <e v="#REF!"/>
    <e v="#REF!"/>
  </r>
  <r>
    <s v="486200"/>
    <x v="6"/>
    <s v="CHARGES CONSTATEES D'AVANCE - TIERS"/>
    <s v="OD"/>
    <n v="46968"/>
    <d v="2025-12-01T00:00:00"/>
    <s v="Liaison inter-établissement"/>
    <m/>
    <e v="#N/A"/>
    <e v="#N/A"/>
    <n v="94510"/>
    <m/>
    <s v="LIBERTY PM"/>
    <s v="Q4"/>
    <e v="#REF!"/>
    <e v="#REF!"/>
    <e v="#REF!"/>
  </r>
  <r>
    <s v="486200"/>
    <x v="6"/>
    <s v="CHARGES CONSTATEES D'AVANCE - TIERS"/>
    <s v="OD"/>
    <n v="49716.41"/>
    <d v="2025-03-05T00:00:00"/>
    <s v="CCA LOYERS KB FACTURE Q2 2025"/>
    <m/>
    <e v="#N/A"/>
    <e v="#N/A"/>
    <n v="86478"/>
    <m/>
    <s v="LIBERTY PM"/>
    <s v="Q1"/>
    <e v="#REF!"/>
    <e v="#REF!"/>
    <e v="#REF!"/>
  </r>
  <r>
    <s v="486200"/>
    <x v="6"/>
    <s v="CHARGES CONSTATEES D'AVANCE - TIERS"/>
    <s v="OD"/>
    <n v="50728.83"/>
    <d v="2025-12-05T00:00:00"/>
    <s v="LOYER Q1 2026 KB"/>
    <m/>
    <e v="#N/A"/>
    <e v="#N/A"/>
    <n v="96202"/>
    <s v="0049020260006"/>
    <s v="LIBERTY PM"/>
    <s v="Q4"/>
    <e v="#REF!"/>
    <e v="#REF!"/>
    <e v="#REF!"/>
  </r>
  <r>
    <s v="486200"/>
    <x v="6"/>
    <s v="CHARGES CONSTATEES D'AVANCE - TIERS"/>
    <s v="OD"/>
    <n v="116480"/>
    <d v="2025-02-28T00:00:00"/>
    <s v="CCA - Indigo 280kg à 416€"/>
    <s v="Non"/>
    <e v="#N/A"/>
    <n v="0"/>
    <n v="90475"/>
    <m/>
    <s v="INTEROR"/>
    <s v="Q1"/>
    <e v="#REF!"/>
    <e v="#REF!"/>
    <e v="#REF!"/>
  </r>
  <r>
    <s v="487100"/>
    <x v="6"/>
    <s v="PRODUITS CONSTATÉS D'AVANCE SUR DOSSIERS RECHERCHE"/>
    <s v="JC"/>
    <n v="60550"/>
    <d v="2025-12-31T00:00:00"/>
    <s v="PRODUITS À RECEVOIR SUR M36 - WOODVALOR"/>
    <m/>
    <e v="#N/A"/>
    <e v="#N/A"/>
    <n v="76264"/>
    <s v="Produits à recevoir sur M36 - WoodValor"/>
    <m/>
    <s v="Q4"/>
    <e v="#REF!"/>
    <e v="#REF!"/>
    <e v="#REF!"/>
  </r>
  <r>
    <s v="512100"/>
    <x v="6"/>
    <s v="BANQUE POPULAIRE RIVE DE PARIS"/>
    <s v="AN"/>
    <n v="-9588.7099999999991"/>
    <d v="2025-01-01T00:00:00"/>
    <s v="Report à nouveau Exercice 2025"/>
    <m/>
    <e v="#N/A"/>
    <e v="#N/A"/>
    <n v="84875"/>
    <m/>
    <m/>
    <s v="Q1"/>
    <e v="#REF!"/>
    <e v="#REF!"/>
    <e v="#REF!"/>
  </r>
  <r>
    <s v="512100"/>
    <x v="6"/>
    <s v="BANQUE POPULAIRE RIVE DE PARIS"/>
    <s v="AN"/>
    <n v="-198.43"/>
    <d v="2025-01-01T00:00:00"/>
    <s v="Report à nouveau Exercice 2025"/>
    <m/>
    <e v="#N/A"/>
    <e v="#N/A"/>
    <n v="84830"/>
    <m/>
    <m/>
    <s v="Q1"/>
    <e v="#REF!"/>
    <e v="#REF!"/>
    <e v="#REF!"/>
  </r>
  <r>
    <s v="512100"/>
    <x v="6"/>
    <s v="BANQUE POPULAIRE RIVE DE PARIS"/>
    <s v="AN"/>
    <n v="3567381.1"/>
    <d v="2025-01-01T00:00:00"/>
    <s v="Report à nouveau Exercice 2025"/>
    <m/>
    <e v="#N/A"/>
    <e v="#N/A"/>
    <n v="84796"/>
    <m/>
    <m/>
    <s v="Q1"/>
    <e v="#REF!"/>
    <e v="#REF!"/>
    <e v="#REF!"/>
  </r>
  <r>
    <s v="512100"/>
    <x v="6"/>
    <s v="BANQUE POPULAIRE RIVE DE PARIS"/>
    <s v="BPRI"/>
    <n v="-271634.38"/>
    <d v="2025-02-25T00:00:00"/>
    <s v="EVI REMISE"/>
    <m/>
    <e v="#N/A"/>
    <e v="#N/A"/>
    <n v="21420"/>
    <s v="0GLLOPL"/>
    <m/>
    <s v="Q1"/>
    <e v="#REF!"/>
    <e v="#REF!"/>
    <e v="#REF!"/>
  </r>
  <r>
    <s v="512100"/>
    <x v="6"/>
    <s v="BANQUE POPULAIRE RIVE DE PARIS"/>
    <s v="BPRI"/>
    <n v="-240000"/>
    <d v="2025-10-01T00:00:00"/>
    <s v="Comptabilisation du bordereau nr. 299"/>
    <s v="Non"/>
    <e v="#N/A"/>
    <n v="0"/>
    <n v="82541"/>
    <m/>
    <s v="INTEROR"/>
    <s v="Q4"/>
    <e v="#REF!"/>
    <e v="#REF!"/>
    <e v="#REF!"/>
  </r>
  <r>
    <s v="512100"/>
    <x v="6"/>
    <s v="BANQUE POPULAIRE RIVE DE PARIS"/>
    <s v="BPRI"/>
    <n v="-238718.78"/>
    <d v="2025-06-30T00:00:00"/>
    <s v="Comptabilisation du bordereau nr. 196"/>
    <m/>
    <e v="#N/A"/>
    <e v="#N/A"/>
    <n v="76843"/>
    <m/>
    <m/>
    <s v="Q2"/>
    <e v="#REF!"/>
    <e v="#REF!"/>
    <e v="#REF!"/>
  </r>
  <r>
    <s v="512100"/>
    <x v="6"/>
    <s v="BANQUE POPULAIRE RIVE DE PARIS"/>
    <s v="BPRI"/>
    <n v="-209184.72"/>
    <d v="2025-07-31T00:00:00"/>
    <s v="Comptabilisation du bordereau nr. 240"/>
    <m/>
    <e v="#N/A"/>
    <e v="#N/A"/>
    <n v="79237"/>
    <m/>
    <m/>
    <s v="Q3"/>
    <e v="#REF!"/>
    <e v="#REF!"/>
    <e v="#REF!"/>
  </r>
  <r>
    <s v="512100"/>
    <x v="6"/>
    <s v="BANQUE POPULAIRE RIVE DE PARIS"/>
    <s v="BPRI"/>
    <n v="-194000"/>
    <d v="2025-02-05T00:00:00"/>
    <s v="EVI REMISE"/>
    <m/>
    <e v="#N/A"/>
    <e v="#N/A"/>
    <n v="21211"/>
    <s v="0GLHQA1"/>
    <s v="GL FILTRATION"/>
    <s v="Q1"/>
    <e v="#REF!"/>
    <e v="#REF!"/>
    <e v="#REF!"/>
  </r>
  <r>
    <s v="512100"/>
    <x v="6"/>
    <s v="BANQUE POPULAIRE RIVE DE PARIS"/>
    <s v="BPRI"/>
    <n v="-177590.39999999999"/>
    <d v="2025-08-21T00:00:00"/>
    <s v="Comptabilisation du bordereau nr. 262"/>
    <s v="Non"/>
    <e v="#N/A"/>
    <n v="0"/>
    <n v="81470"/>
    <m/>
    <s v="INTEROR"/>
    <s v="Q3"/>
    <e v="#REF!"/>
    <e v="#REF!"/>
    <e v="#REF!"/>
  </r>
  <r>
    <s v="512100"/>
    <x v="6"/>
    <s v="BANQUE POPULAIRE RIVE DE PARIS"/>
    <s v="BPRI"/>
    <n v="-177590.39999999999"/>
    <d v="2025-09-26T00:00:00"/>
    <s v="Comptabilisation du bordereau nr. 288"/>
    <s v="Non"/>
    <e v="#N/A"/>
    <n v="0"/>
    <n v="82539"/>
    <m/>
    <s v="INTEROR"/>
    <s v="Q3"/>
    <e v="#REF!"/>
    <e v="#REF!"/>
    <e v="#REF!"/>
  </r>
  <r>
    <s v="512100"/>
    <x v="6"/>
    <s v="BANQUE POPULAIRE RIVE DE PARIS"/>
    <s v="BPRI"/>
    <n v="-133307.65"/>
    <d v="2025-03-25T00:00:00"/>
    <s v="Virement salaires"/>
    <m/>
    <e v="#N/A"/>
    <e v="#N/A"/>
    <n v="64525"/>
    <m/>
    <m/>
    <s v="Q1"/>
    <e v="#REF!"/>
    <e v="#REF!"/>
    <e v="#REF!"/>
  </r>
  <r>
    <s v="512100"/>
    <x v="6"/>
    <s v="BANQUE POPULAIRE RIVE DE PARIS"/>
    <s v="BPRI"/>
    <n v="-132945.54"/>
    <d v="2025-07-25T00:00:00"/>
    <s v="REMISE SALAIRES JUILLET 2025"/>
    <m/>
    <e v="#N/A"/>
    <e v="#N/A"/>
    <n v="78966"/>
    <m/>
    <m/>
    <s v="Q3"/>
    <e v="#REF!"/>
    <e v="#REF!"/>
    <e v="#REF!"/>
  </r>
  <r>
    <s v="512100"/>
    <x v="6"/>
    <s v="BANQUE POPULAIRE RIVE DE PARIS"/>
    <s v="BPRI"/>
    <n v="-132551.6"/>
    <d v="2025-09-25T00:00:00"/>
    <s v="REMISE SALAIRE"/>
    <m/>
    <e v="#N/A"/>
    <e v="#N/A"/>
    <n v="82612"/>
    <m/>
    <m/>
    <s v="Q3"/>
    <e v="#REF!"/>
    <e v="#REF!"/>
    <e v="#REF!"/>
  </r>
  <r>
    <s v="512100"/>
    <x v="6"/>
    <s v="BANQUE POPULAIRE RIVE DE PARIS"/>
    <s v="BPRI"/>
    <n v="-132313.84"/>
    <d v="2025-06-26T00:00:00"/>
    <s v="Remise SEPA Salaires juin 2025"/>
    <m/>
    <e v="#N/A"/>
    <e v="#N/A"/>
    <n v="76289"/>
    <m/>
    <m/>
    <s v="Q2"/>
    <e v="#REF!"/>
    <e v="#REF!"/>
    <e v="#REF!"/>
  </r>
  <r>
    <s v="512100"/>
    <x v="6"/>
    <s v="BANQUE POPULAIRE RIVE DE PARIS"/>
    <s v="BPRI"/>
    <n v="-132064.99"/>
    <d v="2025-05-28T00:00:00"/>
    <s v="Virement Salaire"/>
    <m/>
    <e v="#N/A"/>
    <e v="#N/A"/>
    <n v="74113"/>
    <m/>
    <m/>
    <s v="Q2"/>
    <e v="#REF!"/>
    <e v="#REF!"/>
    <e v="#REF!"/>
  </r>
  <r>
    <s v="512100"/>
    <x v="6"/>
    <s v="BANQUE POPULAIRE RIVE DE PARIS"/>
    <s v="BPRI"/>
    <n v="-131767.35999999999"/>
    <d v="2025-04-23T00:00:00"/>
    <s v="Virement Paie"/>
    <m/>
    <e v="#N/A"/>
    <e v="#N/A"/>
    <n v="68213"/>
    <m/>
    <m/>
    <s v="Q2"/>
    <e v="#REF!"/>
    <e v="#REF!"/>
    <e v="#REF!"/>
  </r>
  <r>
    <s v="512100"/>
    <x v="6"/>
    <s v="BANQUE POPULAIRE RIVE DE PARIS"/>
    <s v="BPRI"/>
    <n v="-130037.97"/>
    <d v="2025-08-21T00:00:00"/>
    <s v="REMISE SALAIRES AOUT 25"/>
    <m/>
    <e v="#N/A"/>
    <e v="#N/A"/>
    <n v="81551"/>
    <m/>
    <m/>
    <s v="Q3"/>
    <e v="#REF!"/>
    <e v="#REF!"/>
    <e v="#REF!"/>
  </r>
  <r>
    <s v="512100"/>
    <x v="6"/>
    <s v="BANQUE POPULAIRE RIVE DE PARIS"/>
    <s v="BPRI"/>
    <n v="-129036.33"/>
    <d v="2025-01-27T00:00:00"/>
    <s v="EVI REMISE"/>
    <m/>
    <e v="#N/A"/>
    <e v="#N/A"/>
    <n v="21096"/>
    <s v="0GLERFG"/>
    <m/>
    <s v="Q1"/>
    <e v="#REF!"/>
    <e v="#REF!"/>
    <e v="#REF!"/>
  </r>
  <r>
    <s v="401000"/>
    <x v="6"/>
    <s v="FOURNISSEURS"/>
    <s v="BPRI"/>
    <n v="46.96"/>
    <d v="2025-12-09T00:00:00"/>
    <s v="/SQTP/RCUR/LIB/PRLV SEPA ENGIE/LIB/ENGIE/LIB/300003366729-980005480995/LIB/00PEG0418998"/>
    <m/>
    <e v="#N/A"/>
    <e v="#N/A"/>
    <n v="91902"/>
    <m/>
    <s v="ENGIE"/>
    <s v="Q4"/>
    <e v="#REF!"/>
    <e v="#REF!"/>
    <e v="#REF!"/>
  </r>
  <r>
    <s v="512100"/>
    <x v="6"/>
    <s v="BANQUE POPULAIRE RIVE DE PARIS"/>
    <s v="BPRI"/>
    <n v="-46.96"/>
    <d v="2025-12-09T00:00:00"/>
    <s v="/SQTP/RCUR/LIB/PRLV SEPA ENGIE/LIB/ENGIE/LIB/300003366729-980005480995/LIB/00PEG0418998"/>
    <m/>
    <e v="#N/A"/>
    <e v="#N/A"/>
    <n v="91901"/>
    <m/>
    <s v="ENGIE"/>
    <s v="Q4"/>
    <e v="#REF!"/>
    <e v="#REF!"/>
    <e v="#REF!"/>
  </r>
  <r>
    <s v="401000"/>
    <x v="6"/>
    <s v="FOURNISSEURS"/>
    <s v="BPRI"/>
    <n v="66.38"/>
    <d v="2025-12-08T00:00:00"/>
    <s v="/SQTP/RCUR/LIB/PRLV SEPA ENGIE/LIB/ENGIE/LIB/300003369236-040017459099/LIB/00PEG0418998"/>
    <m/>
    <e v="#N/A"/>
    <e v="#N/A"/>
    <n v="91899"/>
    <m/>
    <s v="ENGIE"/>
    <s v="Q4"/>
    <e v="#REF!"/>
    <e v="#REF!"/>
    <e v="#REF!"/>
  </r>
  <r>
    <s v="512100"/>
    <x v="6"/>
    <s v="BANQUE POPULAIRE RIVE DE PARIS"/>
    <s v="BPRI"/>
    <n v="-111500"/>
    <d v="2025-03-07T00:00:00"/>
    <s v="Comptabilisation du bordereau nr. 15"/>
    <s v="Non"/>
    <e v="#N/A"/>
    <e v="#N/A"/>
    <n v="58786"/>
    <m/>
    <s v="BIOTIKA"/>
    <s v="Q1"/>
    <e v="#REF!"/>
    <e v="#REF!"/>
    <e v="#REF!"/>
  </r>
  <r>
    <s v="512100"/>
    <x v="6"/>
    <s v="BANQUE POPULAIRE RIVE DE PARIS"/>
    <s v="BPRI"/>
    <n v="-109483.27"/>
    <d v="2025-06-02T00:00:00"/>
    <s v="Comptabilisation du bordereau nr. 139"/>
    <m/>
    <e v="#N/A"/>
    <e v="#N/A"/>
    <n v="75209"/>
    <m/>
    <m/>
    <s v="Q2"/>
    <e v="#REF!"/>
    <e v="#REF!"/>
    <e v="#REF!"/>
  </r>
  <r>
    <s v="512100"/>
    <x v="6"/>
    <s v="BANQUE POPULAIRE RIVE DE PARIS"/>
    <s v="BPRI"/>
    <n v="-94000"/>
    <d v="2025-06-19T00:00:00"/>
    <s v="Comptabilisation du bordereau nr. 177"/>
    <s v="Non"/>
    <e v="#N/A"/>
    <e v="#N/A"/>
    <n v="76157"/>
    <m/>
    <s v="BIOTIKA"/>
    <s v="Q2"/>
    <e v="#REF!"/>
    <e v="#REF!"/>
    <e v="#REF!"/>
  </r>
  <r>
    <s v="512100"/>
    <x v="6"/>
    <s v="BANQUE POPULAIRE RIVE DE PARIS"/>
    <s v="BPRI"/>
    <n v="-90844.87"/>
    <d v="2025-11-28T00:00:00"/>
    <s v="Comptabilisation du bordereau nr. 348"/>
    <m/>
    <e v="#N/A"/>
    <e v="#N/A"/>
    <n v="91183"/>
    <m/>
    <m/>
    <s v="Q4"/>
    <e v="#REF!"/>
    <e v="#REF!"/>
    <e v="#REF!"/>
  </r>
  <r>
    <s v="512100"/>
    <x v="6"/>
    <s v="BANQUE POPULAIRE RIVE DE PARIS"/>
    <s v="BPRI"/>
    <n v="-84963.42"/>
    <d v="2025-01-07T00:00:00"/>
    <s v="EVI REMISE"/>
    <m/>
    <e v="#N/A"/>
    <e v="#N/A"/>
    <n v="20925"/>
    <s v="0GL9V3O"/>
    <s v="LIBERTY PM"/>
    <s v="Q1"/>
    <e v="#REF!"/>
    <e v="#REF!"/>
    <e v="#REF!"/>
  </r>
  <r>
    <s v="512100"/>
    <x v="6"/>
    <s v="BANQUE POPULAIRE RIVE DE PARIS"/>
    <s v="BPRI"/>
    <n v="-74898"/>
    <d v="2025-03-18T00:00:00"/>
    <s v="Prélèvement Urssaf"/>
    <m/>
    <e v="#N/A"/>
    <e v="#N/A"/>
    <n v="61841"/>
    <m/>
    <m/>
    <s v="Q1"/>
    <e v="#REF!"/>
    <e v="#REF!"/>
    <e v="#REF!"/>
  </r>
  <r>
    <s v="512100"/>
    <x v="6"/>
    <s v="BANQUE POPULAIRE RIVE DE PARIS"/>
    <s v="BPRI"/>
    <n v="-74640"/>
    <d v="2025-01-16T00:00:00"/>
    <s v="PRLV SEPA URSSAF D'ILE DE FRANC"/>
    <m/>
    <e v="#N/A"/>
    <e v="#N/A"/>
    <n v="21004"/>
    <s v="073EPDI"/>
    <m/>
    <s v="Q1"/>
    <e v="#REF!"/>
    <e v="#REF!"/>
    <e v="#REF!"/>
  </r>
  <r>
    <s v="512100"/>
    <x v="6"/>
    <s v="BANQUE POPULAIRE RIVE DE PARIS"/>
    <s v="BPRI"/>
    <n v="-64720.5"/>
    <d v="2025-03-12T00:00:00"/>
    <s v="Comptabilisation du bordereau nr. 41"/>
    <m/>
    <e v="#N/A"/>
    <e v="#N/A"/>
    <n v="61605"/>
    <m/>
    <s v="LIBERTY PM"/>
    <s v="Q1"/>
    <e v="#REF!"/>
    <e v="#REF!"/>
    <e v="#REF!"/>
  </r>
  <r>
    <s v="512100"/>
    <x v="6"/>
    <s v="BANQUE POPULAIRE RIVE DE PARIS"/>
    <s v="BPRI"/>
    <n v="-66.38"/>
    <d v="2025-12-08T00:00:00"/>
    <s v="/SQTP/RCUR/LIB/PRLV SEPA ENGIE/LIB/ENGIE/LIB/300003369236-040017459099/LIB/00PEG0418998"/>
    <m/>
    <e v="#N/A"/>
    <e v="#N/A"/>
    <n v="91898"/>
    <m/>
    <s v="ENGIE"/>
    <s v="Q4"/>
    <e v="#REF!"/>
    <e v="#REF!"/>
    <e v="#REF!"/>
  </r>
  <r>
    <s v="512100"/>
    <x v="6"/>
    <s v="BANQUE POPULAIRE RIVE DE PARIS"/>
    <s v="BPRI"/>
    <n v="-58883.64"/>
    <d v="2025-03-19T00:00:00"/>
    <s v="Comptabilisation du bordereau nr. 57"/>
    <m/>
    <e v="#N/A"/>
    <e v="#N/A"/>
    <n v="61878"/>
    <m/>
    <m/>
    <s v="Q1"/>
    <e v="#REF!"/>
    <e v="#REF!"/>
    <e v="#REF!"/>
  </r>
  <r>
    <s v="512100"/>
    <x v="6"/>
    <s v="BANQUE POPULAIRE RIVE DE PARIS"/>
    <s v="BPRI"/>
    <n v="-58358"/>
    <d v="2025-03-18T00:00:00"/>
    <s v="Prélèvement Urssaf"/>
    <m/>
    <e v="#N/A"/>
    <e v="#N/A"/>
    <n v="61844"/>
    <m/>
    <m/>
    <s v="Q1"/>
    <e v="#REF!"/>
    <e v="#REF!"/>
    <e v="#REF!"/>
  </r>
  <r>
    <s v="512100"/>
    <x v="6"/>
    <s v="BANQUE POPULAIRE RIVE DE PARIS"/>
    <s v="BPRI"/>
    <n v="-55359"/>
    <d v="2025-01-16T00:00:00"/>
    <s v="PRLV SEPA URSSAF MIDI PYRENEES"/>
    <m/>
    <e v="#N/A"/>
    <e v="#N/A"/>
    <n v="21008"/>
    <s v="073H4US"/>
    <m/>
    <s v="Q1"/>
    <e v="#REF!"/>
    <e v="#REF!"/>
    <e v="#REF!"/>
  </r>
  <r>
    <s v="512100"/>
    <x v="6"/>
    <s v="BANQUE POPULAIRE RIVE DE PARIS"/>
    <s v="BPRI"/>
    <n v="-53041.61"/>
    <d v="2025-11-04T00:00:00"/>
    <s v="Comptabilisation du bordereau nr. 316"/>
    <m/>
    <e v="#N/A"/>
    <e v="#N/A"/>
    <n v="88003"/>
    <m/>
    <m/>
    <s v="Q4"/>
    <e v="#REF!"/>
    <e v="#REF!"/>
    <e v="#REF!"/>
  </r>
  <r>
    <s v="512100"/>
    <x v="6"/>
    <s v="BANQUE POPULAIRE RIVE DE PARIS"/>
    <s v="BPRI"/>
    <n v="-50000"/>
    <d v="2025-05-30T00:00:00"/>
    <s v="Comptabilisation du bordereau nr. 135"/>
    <s v="Non"/>
    <e v="#N/A"/>
    <e v="#N/A"/>
    <n v="74892"/>
    <m/>
    <s v="BIOTIKA"/>
    <s v="Q2"/>
    <e v="#REF!"/>
    <e v="#REF!"/>
    <e v="#REF!"/>
  </r>
  <r>
    <s v="512100"/>
    <x v="6"/>
    <s v="BANQUE POPULAIRE RIVE DE PARIS"/>
    <s v="BPRI"/>
    <n v="-47537.29"/>
    <d v="2025-11-14T00:00:00"/>
    <s v="Comptabilisation du bordereau nr. 327"/>
    <m/>
    <e v="#N/A"/>
    <e v="#N/A"/>
    <n v="89993"/>
    <m/>
    <m/>
    <s v="Q4"/>
    <e v="#REF!"/>
    <e v="#REF!"/>
    <e v="#REF!"/>
  </r>
  <r>
    <s v="512100"/>
    <x v="6"/>
    <s v="BANQUE POPULAIRE RIVE DE PARIS"/>
    <s v="BPRI"/>
    <n v="-45360"/>
    <d v="2025-01-02T00:00:00"/>
    <s v="EVI REMISE"/>
    <m/>
    <e v="#N/A"/>
    <e v="#N/A"/>
    <n v="20873"/>
    <s v="0GL8HO6"/>
    <s v="TECHNIP ENERGIES FRANCE"/>
    <s v="Q1"/>
    <e v="#REF!"/>
    <e v="#REF!"/>
    <e v="#REF!"/>
  </r>
  <r>
    <s v="512100"/>
    <x v="6"/>
    <s v="BANQUE POPULAIRE RIVE DE PARIS"/>
    <s v="BPRI"/>
    <n v="-45043.71"/>
    <d v="2025-04-25T00:00:00"/>
    <s v="Comptabilisation du bordereau nr. 105"/>
    <m/>
    <e v="#N/A"/>
    <e v="#N/A"/>
    <n v="70119"/>
    <m/>
    <m/>
    <s v="Q2"/>
    <e v="#REF!"/>
    <e v="#REF!"/>
    <e v="#REF!"/>
  </r>
  <r>
    <s v="512100"/>
    <x v="6"/>
    <s v="BANQUE POPULAIRE RIVE DE PARIS"/>
    <s v="BPRI"/>
    <n v="-44590.7"/>
    <d v="2025-05-23T00:00:00"/>
    <s v="Comptabilisation du bordereau nr. 129"/>
    <m/>
    <e v="#N/A"/>
    <e v="#N/A"/>
    <n v="74039"/>
    <m/>
    <m/>
    <s v="Q2"/>
    <e v="#REF!"/>
    <e v="#REF!"/>
    <e v="#REF!"/>
  </r>
  <r>
    <s v="512100"/>
    <x v="6"/>
    <s v="BANQUE POPULAIRE RIVE DE PARIS"/>
    <s v="BPRI"/>
    <n v="-43615.91"/>
    <d v="2025-06-04T00:00:00"/>
    <s v="Comptabilisation du bordereau nr. 148"/>
    <m/>
    <e v="#N/A"/>
    <e v="#N/A"/>
    <n v="75499"/>
    <m/>
    <m/>
    <s v="Q2"/>
    <e v="#REF!"/>
    <e v="#REF!"/>
    <e v="#REF!"/>
  </r>
  <r>
    <s v="512100"/>
    <x v="6"/>
    <s v="BANQUE POPULAIRE RIVE DE PARIS"/>
    <s v="BPRI"/>
    <n v="-42484.04"/>
    <d v="2025-08-08T00:00:00"/>
    <s v="Comptabilisation du bordereau nr. 248"/>
    <m/>
    <e v="#N/A"/>
    <e v="#N/A"/>
    <n v="80722"/>
    <m/>
    <m/>
    <s v="Q3"/>
    <e v="#REF!"/>
    <e v="#REF!"/>
    <e v="#REF!"/>
  </r>
  <r>
    <s v="512100"/>
    <x v="6"/>
    <s v="BANQUE POPULAIRE RIVE DE PARIS"/>
    <s v="BPRI"/>
    <n v="-41843.51"/>
    <d v="2025-11-18T00:00:00"/>
    <s v="Comptabilisation du bordereau nr. 334"/>
    <m/>
    <e v="#N/A"/>
    <e v="#N/A"/>
    <n v="90182"/>
    <m/>
    <s v="LIBERTY PM"/>
    <s v="Q4"/>
    <e v="#REF!"/>
    <e v="#REF!"/>
    <e v="#REF!"/>
  </r>
  <r>
    <s v="512100"/>
    <x v="6"/>
    <s v="BANQUE POPULAIRE RIVE DE PARIS"/>
    <s v="BPRI"/>
    <n v="-41676"/>
    <d v="2025-02-05T00:00:00"/>
    <s v="EVI REMISE"/>
    <m/>
    <e v="#N/A"/>
    <e v="#N/A"/>
    <n v="21205"/>
    <s v="0GLHKW3"/>
    <s v="AIGP INGENIERIE"/>
    <s v="Q1"/>
    <e v="#REF!"/>
    <e v="#REF!"/>
    <e v="#REF!"/>
  </r>
  <r>
    <s v="401000"/>
    <x v="6"/>
    <s v="FOURNISSEURS"/>
    <s v="BPRI"/>
    <n v="27.96"/>
    <d v="2025-11-04T00:00:00"/>
    <s v="/SQTP/RCUR/LIB/PRLV SEPA ENGIE/LIB/ENGIE/LIB/300003369236-120010051276/LIB/00PEG0418998"/>
    <m/>
    <e v="#N/A"/>
    <e v="#N/A"/>
    <n v="88185"/>
    <m/>
    <s v="ENGIE"/>
    <s v="Q4"/>
    <e v="#REF!"/>
    <e v="#REF!"/>
    <e v="#REF!"/>
  </r>
  <r>
    <s v="512100"/>
    <x v="6"/>
    <s v="BANQUE POPULAIRE RIVE DE PARIS"/>
    <s v="BPRI"/>
    <n v="-39770"/>
    <d v="2025-06-30T00:00:00"/>
    <s v="Comptabilisation du bordereau nr. 195"/>
    <s v="Non"/>
    <e v="#N/A"/>
    <e v="#N/A"/>
    <n v="76884"/>
    <m/>
    <s v="DOTMATICS LIMITED"/>
    <s v="Q2"/>
    <e v="#REF!"/>
    <e v="#REF!"/>
    <e v="#REF!"/>
  </r>
  <r>
    <s v="512100"/>
    <x v="6"/>
    <s v="BANQUE POPULAIRE RIVE DE PARIS"/>
    <s v="BPRI"/>
    <n v="-38550"/>
    <d v="2025-05-16T00:00:00"/>
    <s v="Prélèvement Urssaf"/>
    <m/>
    <e v="#N/A"/>
    <e v="#N/A"/>
    <n v="72826"/>
    <m/>
    <m/>
    <s v="Q2"/>
    <e v="#REF!"/>
    <e v="#REF!"/>
    <e v="#REF!"/>
  </r>
  <r>
    <s v="512100"/>
    <x v="6"/>
    <s v="BANQUE POPULAIRE RIVE DE PARIS"/>
    <s v="BPRI"/>
    <n v="-38400"/>
    <d v="2025-06-26T00:00:00"/>
    <s v="Comptabilisation du bordereau nr. 182"/>
    <m/>
    <e v="#N/A"/>
    <e v="#N/A"/>
    <n v="76320"/>
    <m/>
    <m/>
    <s v="Q2"/>
    <e v="#REF!"/>
    <e v="#REF!"/>
    <e v="#REF!"/>
  </r>
  <r>
    <s v="512100"/>
    <x v="6"/>
    <s v="BANQUE POPULAIRE RIVE DE PARIS"/>
    <s v="BPRI"/>
    <n v="-27.96"/>
    <d v="2025-11-04T00:00:00"/>
    <s v="/SQTP/RCUR/LIB/PRLV SEPA ENGIE/LIB/ENGIE/LIB/300003369236-120010051276/LIB/00PEG0418998"/>
    <m/>
    <e v="#N/A"/>
    <e v="#N/A"/>
    <n v="88184"/>
    <m/>
    <s v="ENGIE"/>
    <s v="Q4"/>
    <e v="#REF!"/>
    <e v="#REF!"/>
    <e v="#REF!"/>
  </r>
  <r>
    <s v="512100"/>
    <x v="6"/>
    <s v="BANQUE POPULAIRE RIVE DE PARIS"/>
    <s v="BPRI"/>
    <n v="-37579"/>
    <d v="2025-07-16T00:00:00"/>
    <s v="PRLV URSSAF MIDI PYRENEES"/>
    <m/>
    <e v="#N/A"/>
    <e v="#N/A"/>
    <n v="77593"/>
    <m/>
    <m/>
    <s v="Q3"/>
    <e v="#REF!"/>
    <e v="#REF!"/>
    <e v="#REF!"/>
  </r>
  <r>
    <s v="512100"/>
    <x v="6"/>
    <s v="BANQUE POPULAIRE RIVE DE PARIS"/>
    <s v="BPRI"/>
    <n v="-36826.19"/>
    <d v="2025-08-21T00:00:00"/>
    <s v="Comptabilisation du bordereau nr. 260"/>
    <m/>
    <e v="#N/A"/>
    <e v="#N/A"/>
    <n v="81363"/>
    <m/>
    <m/>
    <s v="Q3"/>
    <e v="#REF!"/>
    <e v="#REF!"/>
    <e v="#REF!"/>
  </r>
  <r>
    <s v="512100"/>
    <x v="6"/>
    <s v="BANQUE POPULAIRE RIVE DE PARIS"/>
    <s v="BPRI"/>
    <n v="-36822.550000000003"/>
    <d v="2025-09-26T00:00:00"/>
    <s v="Comptabilisation du bordereau nr. 287"/>
    <m/>
    <e v="#N/A"/>
    <e v="#N/A"/>
    <n v="82469"/>
    <m/>
    <m/>
    <s v="Q3"/>
    <e v="#REF!"/>
    <e v="#REF!"/>
    <e v="#REF!"/>
  </r>
  <r>
    <s v="512100"/>
    <x v="6"/>
    <s v="BANQUE POPULAIRE RIVE DE PARIS"/>
    <s v="BPRI"/>
    <n v="-36504"/>
    <d v="2025-06-17T00:00:00"/>
    <s v="PRLV SEPA URSSAF MIDI PYRENEES"/>
    <m/>
    <e v="#N/A"/>
    <e v="#N/A"/>
    <n v="76135"/>
    <m/>
    <m/>
    <s v="Q2"/>
    <e v="#REF!"/>
    <e v="#REF!"/>
    <e v="#REF!"/>
  </r>
  <r>
    <s v="512100"/>
    <x v="6"/>
    <s v="BANQUE POPULAIRE RIVE DE PARIS"/>
    <s v="BPRI"/>
    <n v="-36288"/>
    <d v="2025-02-18T00:00:00"/>
    <s v="PRLV SEPA URSSAF D'ILE DE FRANC"/>
    <m/>
    <e v="#N/A"/>
    <e v="#N/A"/>
    <n v="21324"/>
    <s v="07DK5UH"/>
    <m/>
    <s v="Q1"/>
    <e v="#REF!"/>
    <e v="#REF!"/>
    <e v="#REF!"/>
  </r>
  <r>
    <s v="512100"/>
    <x v="6"/>
    <s v="BANQUE POPULAIRE RIVE DE PARIS"/>
    <s v="BPRI"/>
    <n v="-36288"/>
    <d v="2025-08-19T00:00:00"/>
    <s v="PRLV SEPA URSSAF IDI PY"/>
    <m/>
    <e v="#N/A"/>
    <e v="#N/A"/>
    <n v="81547"/>
    <m/>
    <m/>
    <s v="Q3"/>
    <e v="#REF!"/>
    <e v="#REF!"/>
    <e v="#REF!"/>
  </r>
  <r>
    <s v="512100"/>
    <x v="6"/>
    <s v="BANQUE POPULAIRE RIVE DE PARIS"/>
    <s v="BPRI"/>
    <n v="-36264"/>
    <d v="2025-09-16T00:00:00"/>
    <s v="PRLV SEPA URSSAF MIDI PYRENEES"/>
    <m/>
    <e v="#N/A"/>
    <e v="#N/A"/>
    <n v="82439"/>
    <m/>
    <m/>
    <s v="Q3"/>
    <e v="#REF!"/>
    <e v="#REF!"/>
    <e v="#REF!"/>
  </r>
  <r>
    <s v="512100"/>
    <x v="6"/>
    <s v="BANQUE POPULAIRE RIVE DE PARIS"/>
    <s v="BPRI"/>
    <n v="-36000"/>
    <d v="2025-03-12T00:00:00"/>
    <s v="Comptabilisation du bordereau nr. 42"/>
    <s v="Non"/>
    <s v="Non"/>
    <e v="#N/A"/>
    <n v="61603"/>
    <m/>
    <s v="INSIDE MANAGEMENT"/>
    <s v="Q1"/>
    <e v="#REF!"/>
    <e v="#REF!"/>
    <e v="#REF!"/>
  </r>
  <r>
    <s v="512100"/>
    <x v="6"/>
    <s v="BANQUE POPULAIRE RIVE DE PARIS"/>
    <s v="BPRI"/>
    <n v="-36000"/>
    <d v="2025-03-13T00:00:00"/>
    <s v="Comptabilisation du bordereau nr. 44"/>
    <s v="Non"/>
    <s v="Non"/>
    <e v="#N/A"/>
    <n v="61643"/>
    <m/>
    <s v="INSIDE MANAGEMENT"/>
    <s v="Q1"/>
    <e v="#REF!"/>
    <e v="#REF!"/>
    <e v="#REF!"/>
  </r>
  <r>
    <s v="512100"/>
    <x v="6"/>
    <s v="BANQUE POPULAIRE RIVE DE PARIS"/>
    <s v="BPRI"/>
    <n v="-35000"/>
    <d v="2025-01-10T00:00:00"/>
    <s v="EVI REMISE"/>
    <s v="Non"/>
    <e v="#N/A"/>
    <e v="#N/A"/>
    <n v="20947"/>
    <s v="0GLAZPX"/>
    <s v="BIOTIKA"/>
    <s v="Q1"/>
    <e v="#REF!"/>
    <e v="#REF!"/>
    <e v="#REF!"/>
  </r>
  <r>
    <s v="512100"/>
    <x v="6"/>
    <s v="BANQUE POPULAIRE RIVE DE PARIS"/>
    <s v="BPRI"/>
    <n v="-34696"/>
    <d v="2025-04-16T00:00:00"/>
    <s v="Prélèvement URSSAF"/>
    <m/>
    <e v="#N/A"/>
    <e v="#N/A"/>
    <n v="67957"/>
    <m/>
    <m/>
    <s v="Q2"/>
    <e v="#REF!"/>
    <e v="#REF!"/>
    <e v="#REF!"/>
  </r>
  <r>
    <s v="512100"/>
    <x v="6"/>
    <s v="BANQUE POPULAIRE RIVE DE PARIS"/>
    <s v="BPRI"/>
    <n v="-33790"/>
    <d v="2025-08-19T00:00:00"/>
    <s v="PRLV SEPA URSSAF D ILE D"/>
    <m/>
    <e v="#N/A"/>
    <e v="#N/A"/>
    <n v="81544"/>
    <m/>
    <m/>
    <s v="Q3"/>
    <e v="#REF!"/>
    <e v="#REF!"/>
    <e v="#REF!"/>
  </r>
  <r>
    <s v="512100"/>
    <x v="6"/>
    <s v="BANQUE POPULAIRE RIVE DE PARIS"/>
    <s v="BPRI"/>
    <n v="-33168.959999999999"/>
    <d v="2025-03-25T00:00:00"/>
    <s v="Prélèvement B2V"/>
    <m/>
    <e v="#N/A"/>
    <e v="#N/A"/>
    <n v="64534"/>
    <m/>
    <m/>
    <s v="Q1"/>
    <e v="#REF!"/>
    <e v="#REF!"/>
    <e v="#REF!"/>
  </r>
  <r>
    <s v="512100"/>
    <x v="6"/>
    <s v="BANQUE POPULAIRE RIVE DE PARIS"/>
    <s v="BPRI"/>
    <n v="-32998"/>
    <d v="2025-01-16T00:00:00"/>
    <s v="PRLV SEPA URSSAF RHONE ALPES"/>
    <m/>
    <e v="#N/A"/>
    <e v="#N/A"/>
    <n v="21006"/>
    <s v="073FHGA"/>
    <m/>
    <s v="Q1"/>
    <e v="#REF!"/>
    <e v="#REF!"/>
    <e v="#REF!"/>
  </r>
  <r>
    <s v="512100"/>
    <x v="6"/>
    <s v="BANQUE POPULAIRE RIVE DE PARIS"/>
    <s v="BPRI"/>
    <n v="-31151.55"/>
    <d v="2025-01-24T00:00:00"/>
    <s v="PRLV SEPA B2V GESTION GU COTISA"/>
    <m/>
    <e v="#N/A"/>
    <e v="#N/A"/>
    <n v="21074"/>
    <s v="075AY7V"/>
    <m/>
    <s v="Q1"/>
    <e v="#REF!"/>
    <e v="#REF!"/>
    <e v="#REF!"/>
  </r>
  <r>
    <s v="512100"/>
    <x v="6"/>
    <s v="BANQUE POPULAIRE RIVE DE PARIS"/>
    <s v="BPRI"/>
    <n v="-30581.82"/>
    <d v="2025-09-08T00:00:00"/>
    <s v="Comptabilisation du bordereau nr. 272"/>
    <m/>
    <e v="#N/A"/>
    <e v="#N/A"/>
    <n v="81727"/>
    <m/>
    <m/>
    <s v="Q3"/>
    <e v="#REF!"/>
    <e v="#REF!"/>
    <e v="#REF!"/>
  </r>
  <r>
    <s v="512100"/>
    <x v="6"/>
    <s v="BANQUE POPULAIRE RIVE DE PARIS"/>
    <s v="BPRI"/>
    <n v="-30550"/>
    <d v="2025-02-18T00:00:00"/>
    <s v="PRLV SEPA URSSAF MIDI PYRENEES"/>
    <m/>
    <e v="#N/A"/>
    <e v="#N/A"/>
    <n v="21328"/>
    <s v="07DLESU"/>
    <m/>
    <s v="Q1"/>
    <e v="#REF!"/>
    <e v="#REF!"/>
    <e v="#REF!"/>
  </r>
  <r>
    <s v="512100"/>
    <x v="6"/>
    <s v="BANQUE POPULAIRE RIVE DE PARIS"/>
    <s v="BPRI"/>
    <n v="-30455"/>
    <d v="2025-07-16T00:00:00"/>
    <s v="PRLV URSSAF IDF"/>
    <m/>
    <e v="#N/A"/>
    <e v="#N/A"/>
    <n v="77587"/>
    <m/>
    <m/>
    <s v="Q3"/>
    <e v="#REF!"/>
    <e v="#REF!"/>
    <e v="#REF!"/>
  </r>
  <r>
    <s v="512100"/>
    <x v="6"/>
    <s v="BANQUE POPULAIRE RIVE DE PARIS"/>
    <s v="BPRI"/>
    <n v="-30084.400000000001"/>
    <d v="2025-07-23T00:00:00"/>
    <s v="Comptabilisation du bordereau nr. 228"/>
    <s v="Non"/>
    <e v="#N/A"/>
    <e v="#N/A"/>
    <n v="78336"/>
    <m/>
    <s v="BIOTIKA"/>
    <s v="Q3"/>
    <e v="#REF!"/>
    <e v="#REF!"/>
    <e v="#REF!"/>
  </r>
  <r>
    <s v="512100"/>
    <x v="6"/>
    <s v="BANQUE POPULAIRE RIVE DE PARIS"/>
    <s v="BPRI"/>
    <n v="-30074.12"/>
    <d v="2025-07-01T00:00:00"/>
    <s v="Comptabilisation du bordereau nr. 198"/>
    <m/>
    <e v="#N/A"/>
    <e v="#N/A"/>
    <n v="76831"/>
    <m/>
    <m/>
    <s v="Q3"/>
    <e v="#REF!"/>
    <e v="#REF!"/>
    <e v="#REF!"/>
  </r>
  <r>
    <s v="512100"/>
    <x v="6"/>
    <s v="BANQUE POPULAIRE RIVE DE PARIS"/>
    <s v="BPRI"/>
    <n v="-30000"/>
    <d v="2025-01-17T00:00:00"/>
    <s v="EVI REMISE"/>
    <s v="Non"/>
    <s v="Non"/>
    <e v="#N/A"/>
    <n v="21023"/>
    <s v="0GLDAEM"/>
    <s v="INSIDE MANAGEMENT"/>
    <s v="Q1"/>
    <e v="#REF!"/>
    <e v="#REF!"/>
    <e v="#REF!"/>
  </r>
  <r>
    <s v="512100"/>
    <x v="6"/>
    <s v="BANQUE POPULAIRE RIVE DE PARIS"/>
    <s v="BPRI"/>
    <n v="-30000"/>
    <d v="2025-01-24T00:00:00"/>
    <s v="EVI REMISE"/>
    <s v="Non"/>
    <s v="Non"/>
    <e v="#N/A"/>
    <n v="21081"/>
    <s v="0GLEKYT"/>
    <s v="INSIDE MANAGEMENT"/>
    <s v="Q1"/>
    <e v="#REF!"/>
    <e v="#REF!"/>
    <e v="#REF!"/>
  </r>
  <r>
    <s v="512100"/>
    <x v="6"/>
    <s v="BANQUE POPULAIRE RIVE DE PARIS"/>
    <s v="BPRI"/>
    <n v="-30000"/>
    <d v="2025-06-06T00:00:00"/>
    <s v="Comptabilisation du bordereau nr. 149"/>
    <s v="Non"/>
    <e v="#N/A"/>
    <e v="#N/A"/>
    <n v="75634"/>
    <s v="PO 186"/>
    <s v="BIOTIKA"/>
    <s v="Q2"/>
    <e v="#REF!"/>
    <e v="#REF!"/>
    <e v="#REF!"/>
  </r>
  <r>
    <s v="512100"/>
    <x v="6"/>
    <s v="BANQUE POPULAIRE RIVE DE PARIS"/>
    <s v="BPRI"/>
    <n v="-30000"/>
    <d v="2025-06-13T00:00:00"/>
    <s v="Comptabilisation du bordereau nr. 163"/>
    <s v="Non"/>
    <e v="#N/A"/>
    <e v="#N/A"/>
    <n v="76014"/>
    <m/>
    <s v="BIOTIKA"/>
    <s v="Q2"/>
    <e v="#REF!"/>
    <e v="#REF!"/>
    <e v="#REF!"/>
  </r>
  <r>
    <s v="512100"/>
    <x v="6"/>
    <s v="BANQUE POPULAIRE RIVE DE PARIS"/>
    <s v="BPRI"/>
    <n v="-30000"/>
    <d v="2025-07-03T00:00:00"/>
    <s v="Comptabilisation du bordereau nr. 200"/>
    <s v="Non"/>
    <e v="#N/A"/>
    <e v="#N/A"/>
    <n v="76902"/>
    <m/>
    <s v="BIOTIKA"/>
    <s v="Q3"/>
    <e v="#REF!"/>
    <e v="#REF!"/>
    <e v="#REF!"/>
  </r>
  <r>
    <s v="512100"/>
    <x v="6"/>
    <s v="BANQUE POPULAIRE RIVE DE PARIS"/>
    <s v="BPRI"/>
    <n v="-30000"/>
    <d v="2025-07-11T00:00:00"/>
    <s v="Comptabilisation du bordereau nr. 218"/>
    <s v="Non"/>
    <e v="#N/A"/>
    <e v="#N/A"/>
    <n v="77356"/>
    <m/>
    <s v="BIOTIKA"/>
    <s v="Q3"/>
    <e v="#REF!"/>
    <e v="#REF!"/>
    <e v="#REF!"/>
  </r>
  <r>
    <s v="512100"/>
    <x v="6"/>
    <s v="BANQUE POPULAIRE RIVE DE PARIS"/>
    <s v="BPRI"/>
    <n v="-30000"/>
    <d v="2025-07-17T00:00:00"/>
    <s v="Comptabilisation du bordereau nr. 220"/>
    <s v="Non"/>
    <e v="#N/A"/>
    <e v="#N/A"/>
    <n v="77580"/>
    <m/>
    <s v="BIOTIKA"/>
    <s v="Q3"/>
    <e v="#REF!"/>
    <e v="#REF!"/>
    <e v="#REF!"/>
  </r>
  <r>
    <s v="512100"/>
    <x v="6"/>
    <s v="BANQUE POPULAIRE RIVE DE PARIS"/>
    <s v="BPRI"/>
    <n v="-30000"/>
    <d v="2025-10-21T00:00:00"/>
    <s v="Comptabilisation du bordereau nr. 307"/>
    <m/>
    <e v="#N/A"/>
    <e v="#N/A"/>
    <n v="87201"/>
    <m/>
    <s v="CNAM"/>
    <s v="Q4"/>
    <e v="#REF!"/>
    <e v="#REF!"/>
    <e v="#REF!"/>
  </r>
  <r>
    <s v="512100"/>
    <x v="6"/>
    <s v="BANQUE POPULAIRE RIVE DE PARIS"/>
    <s v="BPRI"/>
    <n v="-29977.47"/>
    <d v="2025-10-31T00:00:00"/>
    <s v="Comptabilisation du bordereau nr. 311"/>
    <m/>
    <e v="#N/A"/>
    <e v="#N/A"/>
    <n v="87495"/>
    <m/>
    <m/>
    <s v="Q4"/>
    <e v="#REF!"/>
    <e v="#REF!"/>
    <e v="#REF!"/>
  </r>
  <r>
    <s v="512100"/>
    <x v="6"/>
    <s v="BANQUE POPULAIRE RIVE DE PARIS"/>
    <s v="BPRI"/>
    <n v="-29411"/>
    <d v="2025-03-18T00:00:00"/>
    <s v="Prélèvement Urssaf"/>
    <m/>
    <e v="#N/A"/>
    <e v="#N/A"/>
    <n v="61847"/>
    <m/>
    <m/>
    <s v="Q1"/>
    <e v="#REF!"/>
    <e v="#REF!"/>
    <e v="#REF!"/>
  </r>
  <r>
    <s v="512100"/>
    <x v="6"/>
    <s v="BANQUE POPULAIRE RIVE DE PARIS"/>
    <s v="BPRI"/>
    <n v="-28853"/>
    <d v="2025-04-16T00:00:00"/>
    <s v="Prélèvement URSSAF"/>
    <m/>
    <e v="#N/A"/>
    <e v="#N/A"/>
    <n v="67951"/>
    <m/>
    <m/>
    <s v="Q2"/>
    <e v="#REF!"/>
    <e v="#REF!"/>
    <e v="#REF!"/>
  </r>
  <r>
    <s v="512100"/>
    <x v="6"/>
    <s v="BANQUE POPULAIRE RIVE DE PARIS"/>
    <s v="BPRI"/>
    <n v="-28620.53"/>
    <d v="2025-11-04T00:00:00"/>
    <s v="Comptabilisation du bordereau nr. 315"/>
    <m/>
    <e v="#N/A"/>
    <e v="#N/A"/>
    <n v="88169"/>
    <m/>
    <s v="AMERICAN CHEMICAL SOCIETY"/>
    <s v="Q4"/>
    <e v="#REF!"/>
    <e v="#REF!"/>
    <e v="#REF!"/>
  </r>
  <r>
    <s v="401000"/>
    <x v="6"/>
    <s v="FOURNISSEURS"/>
    <s v="BPRI"/>
    <n v="30.23"/>
    <d v="2025-10-07T00:00:00"/>
    <s v="/SQTP/RCUR/LIB/PRLV SEPA ENGIE/LIB/ENGIE/LIB/300003369236-970005481454/LIB/00PEG0418998"/>
    <m/>
    <e v="#N/A"/>
    <e v="#N/A"/>
    <n v="86913"/>
    <m/>
    <s v="ENGIE"/>
    <s v="Q4"/>
    <e v="#REF!"/>
    <e v="#REF!"/>
    <e v="#REF!"/>
  </r>
  <r>
    <s v="512100"/>
    <x v="6"/>
    <s v="BANQUE POPULAIRE RIVE DE PARIS"/>
    <s v="BPRI"/>
    <n v="-28016"/>
    <d v="2025-09-16T00:00:00"/>
    <s v="PRLV SEPA URSSAF D'ILE DE FRANC"/>
    <m/>
    <e v="#N/A"/>
    <e v="#N/A"/>
    <n v="82436"/>
    <m/>
    <m/>
    <s v="Q3"/>
    <e v="#REF!"/>
    <e v="#REF!"/>
    <e v="#REF!"/>
  </r>
  <r>
    <s v="512100"/>
    <x v="6"/>
    <s v="BANQUE POPULAIRE RIVE DE PARIS"/>
    <s v="BPRI"/>
    <n v="-30.23"/>
    <d v="2025-10-07T00:00:00"/>
    <s v="/SQTP/RCUR/LIB/PRLV SEPA ENGIE/LIB/ENGIE/LIB/300003369236-970005481454/LIB/00PEG0418998"/>
    <m/>
    <e v="#N/A"/>
    <e v="#N/A"/>
    <n v="86912"/>
    <m/>
    <s v="ENGIE"/>
    <s v="Q4"/>
    <e v="#REF!"/>
    <e v="#REF!"/>
    <e v="#REF!"/>
  </r>
  <r>
    <s v="512100"/>
    <x v="6"/>
    <s v="BANQUE POPULAIRE RIVE DE PARIS"/>
    <s v="BPRI"/>
    <n v="-27426"/>
    <d v="2025-06-17T00:00:00"/>
    <s v="PRLV SEPA URSSAF ILE DE FRANCE"/>
    <m/>
    <e v="#N/A"/>
    <e v="#N/A"/>
    <n v="76132"/>
    <m/>
    <m/>
    <s v="Q2"/>
    <e v="#REF!"/>
    <e v="#REF!"/>
    <e v="#REF!"/>
  </r>
  <r>
    <s v="512100"/>
    <x v="6"/>
    <s v="BANQUE POPULAIRE RIVE DE PARIS"/>
    <s v="BPRI"/>
    <n v="-26995"/>
    <d v="2025-05-16T00:00:00"/>
    <s v="Prélèvement Urssaf"/>
    <m/>
    <e v="#N/A"/>
    <e v="#N/A"/>
    <n v="72829"/>
    <m/>
    <m/>
    <s v="Q2"/>
    <e v="#REF!"/>
    <e v="#REF!"/>
    <e v="#REF!"/>
  </r>
  <r>
    <s v="512100"/>
    <x v="6"/>
    <s v="BANQUE POPULAIRE RIVE DE PARIS"/>
    <s v="BPRI"/>
    <n v="-26264.87"/>
    <d v="2025-09-15T00:00:00"/>
    <s v="Comptabilisation du bordereau nr. 282"/>
    <m/>
    <e v="#N/A"/>
    <e v="#N/A"/>
    <n v="82156"/>
    <m/>
    <m/>
    <s v="Q3"/>
    <e v="#REF!"/>
    <e v="#REF!"/>
    <e v="#REF!"/>
  </r>
  <r>
    <s v="512100"/>
    <x v="6"/>
    <s v="BANQUE POPULAIRE RIVE DE PARIS"/>
    <s v="BPRI"/>
    <n v="-25228.5"/>
    <d v="2025-04-18T00:00:00"/>
    <s v="Comptabilisation du bordereau nr. 83"/>
    <m/>
    <e v="#N/A"/>
    <e v="#N/A"/>
    <n v="68139"/>
    <m/>
    <m/>
    <s v="Q2"/>
    <e v="#REF!"/>
    <e v="#REF!"/>
    <e v="#REF!"/>
  </r>
  <r>
    <s v="512100"/>
    <x v="6"/>
    <s v="BANQUE POPULAIRE RIVE DE PARIS"/>
    <s v="BPRI"/>
    <n v="-25000"/>
    <d v="2025-02-05T00:00:00"/>
    <s v="EVI REMISE"/>
    <s v="Non"/>
    <e v="#N/A"/>
    <e v="#N/A"/>
    <n v="21201"/>
    <s v="0GLHKW0"/>
    <s v="BIOTIKA"/>
    <s v="Q1"/>
    <e v="#REF!"/>
    <e v="#REF!"/>
    <e v="#REF!"/>
  </r>
  <r>
    <s v="512100"/>
    <x v="6"/>
    <s v="BANQUE POPULAIRE RIVE DE PARIS"/>
    <s v="BPRI"/>
    <n v="-24562.880000000001"/>
    <d v="2025-02-18T00:00:00"/>
    <s v="EVI REMISE"/>
    <s v="Non"/>
    <s v="Non"/>
    <e v="#N/A"/>
    <n v="21351"/>
    <s v="0GLKPI7"/>
    <s v="AURIGNAC FINANCE"/>
    <s v="Q1"/>
    <e v="#REF!"/>
    <e v="#REF!"/>
    <e v="#REF!"/>
  </r>
  <r>
    <s v="512100"/>
    <x v="6"/>
    <s v="BANQUE POPULAIRE RIVE DE PARIS"/>
    <s v="BPRI"/>
    <n v="-23959.71"/>
    <d v="2025-05-07T00:00:00"/>
    <s v="Comptabilisation du bordereau nr. 111"/>
    <m/>
    <e v="#N/A"/>
    <e v="#N/A"/>
    <n v="71757"/>
    <m/>
    <m/>
    <s v="Q2"/>
    <e v="#REF!"/>
    <e v="#REF!"/>
    <e v="#REF!"/>
  </r>
  <r>
    <s v="512100"/>
    <x v="6"/>
    <s v="BANQUE POPULAIRE RIVE DE PARIS"/>
    <s v="BPRI"/>
    <n v="-23589.32"/>
    <d v="2025-06-16T00:00:00"/>
    <s v="Comptabilisation du bordereau nr. 169"/>
    <m/>
    <e v="#N/A"/>
    <e v="#N/A"/>
    <n v="76022"/>
    <m/>
    <m/>
    <s v="Q2"/>
    <e v="#REF!"/>
    <e v="#REF!"/>
    <e v="#REF!"/>
  </r>
  <r>
    <s v="512100"/>
    <x v="6"/>
    <s v="BANQUE POPULAIRE RIVE DE PARIS"/>
    <s v="BPRI"/>
    <n v="-22700"/>
    <d v="2025-01-02T00:00:00"/>
    <s v="Intérêts sur emprunts DOS0220148/00 - 164230"/>
    <m/>
    <e v="#N/A"/>
    <e v="#N/A"/>
    <n v="20861"/>
    <s v="06WUS2R"/>
    <m/>
    <s v="Q1"/>
    <e v="#REF!"/>
    <e v="#REF!"/>
    <e v="#REF!"/>
  </r>
  <r>
    <s v="512100"/>
    <x v="6"/>
    <s v="BANQUE POPULAIRE RIVE DE PARIS"/>
    <s v="BPRI"/>
    <n v="-22700"/>
    <d v="2025-03-31T00:00:00"/>
    <s v="Prélèvement BPI"/>
    <m/>
    <e v="#N/A"/>
    <e v="#N/A"/>
    <n v="66440"/>
    <m/>
    <m/>
    <s v="Q1"/>
    <e v="#REF!"/>
    <e v="#REF!"/>
    <e v="#REF!"/>
  </r>
  <r>
    <s v="401000"/>
    <x v="6"/>
    <s v="FOURNISSEURS"/>
    <s v="BPRI"/>
    <n v="305.92"/>
    <d v="2025-10-16T00:00:00"/>
    <s v="/SQTP/RCUR/LIB/PRLV SEPA ENGIE/LIB/ENGIE/LIB/300003490510-850005285734/LIB/00PEG0418998"/>
    <m/>
    <e v="#N/A"/>
    <e v="#N/A"/>
    <n v="86939"/>
    <m/>
    <s v="ENGIE"/>
    <s v="Q4"/>
    <e v="#REF!"/>
    <e v="#REF!"/>
    <e v="#REF!"/>
  </r>
  <r>
    <s v="512100"/>
    <x v="6"/>
    <s v="BANQUE POPULAIRE RIVE DE PARIS"/>
    <s v="BPRI"/>
    <n v="-22700"/>
    <d v="2025-09-30T00:00:00"/>
    <s v="PRLV SEPA BPIFRANCE"/>
    <m/>
    <e v="#N/A"/>
    <e v="#N/A"/>
    <n v="82651"/>
    <m/>
    <m/>
    <s v="Q3"/>
    <e v="#REF!"/>
    <e v="#REF!"/>
    <e v="#REF!"/>
  </r>
  <r>
    <s v="512100"/>
    <x v="6"/>
    <s v="BANQUE POPULAIRE RIVE DE PARIS"/>
    <s v="BPRI"/>
    <n v="-305.92"/>
    <d v="2025-10-16T00:00:00"/>
    <s v="/SQTP/RCUR/LIB/PRLV SEPA ENGIE/LIB/ENGIE/LIB/300003490510-850005285734/LIB/00PEG0418998"/>
    <m/>
    <e v="#N/A"/>
    <e v="#N/A"/>
    <n v="86940"/>
    <m/>
    <s v="ENGIE"/>
    <s v="Q4"/>
    <e v="#REF!"/>
    <e v="#REF!"/>
    <e v="#REF!"/>
  </r>
  <r>
    <s v="512100"/>
    <x v="6"/>
    <s v="BANQUE POPULAIRE RIVE DE PARIS"/>
    <s v="BPRI"/>
    <n v="-22698.51"/>
    <d v="2025-08-18T00:00:00"/>
    <s v="Comptabilisation du bordereau nr. 253"/>
    <m/>
    <e v="#N/A"/>
    <e v="#N/A"/>
    <n v="81114"/>
    <m/>
    <m/>
    <s v="Q3"/>
    <e v="#REF!"/>
    <e v="#REF!"/>
    <e v="#REF!"/>
  </r>
  <r>
    <s v="512100"/>
    <x v="6"/>
    <s v="BANQUE POPULAIRE RIVE DE PARIS"/>
    <s v="BPRI"/>
    <n v="-21500"/>
    <d v="2025-06-10T00:00:00"/>
    <s v="Comptabilisation du bordereau nr. 157"/>
    <m/>
    <e v="#N/A"/>
    <e v="#N/A"/>
    <n v="75917"/>
    <m/>
    <m/>
    <s v="Q2"/>
    <e v="#REF!"/>
    <e v="#REF!"/>
    <e v="#REF!"/>
  </r>
  <r>
    <s v="512100"/>
    <x v="6"/>
    <s v="BANQUE POPULAIRE RIVE DE PARIS"/>
    <s v="BPRI"/>
    <n v="-21352"/>
    <d v="2025-05-16T00:00:00"/>
    <s v="Prélèvement Urssaf"/>
    <m/>
    <e v="#N/A"/>
    <e v="#N/A"/>
    <n v="72832"/>
    <m/>
    <m/>
    <s v="Q2"/>
    <e v="#REF!"/>
    <e v="#REF!"/>
    <e v="#REF!"/>
  </r>
  <r>
    <s v="512100"/>
    <x v="6"/>
    <s v="BANQUE POPULAIRE RIVE DE PARIS"/>
    <s v="BPRI"/>
    <n v="-21193.45"/>
    <d v="2025-03-25T00:00:00"/>
    <s v="Prélèvement B2V"/>
    <m/>
    <e v="#N/A"/>
    <e v="#N/A"/>
    <n v="64531"/>
    <m/>
    <m/>
    <s v="Q1"/>
    <e v="#REF!"/>
    <e v="#REF!"/>
    <e v="#REF!"/>
  </r>
  <r>
    <s v="512100"/>
    <x v="6"/>
    <s v="BANQUE POPULAIRE RIVE DE PARIS"/>
    <s v="BPRI"/>
    <n v="-20954"/>
    <d v="2025-04-16T00:00:00"/>
    <s v="Prélèvement URSSAF"/>
    <m/>
    <e v="#N/A"/>
    <e v="#N/A"/>
    <n v="67954"/>
    <m/>
    <m/>
    <s v="Q2"/>
    <e v="#REF!"/>
    <e v="#REF!"/>
    <e v="#REF!"/>
  </r>
  <r>
    <s v="512100"/>
    <x v="6"/>
    <s v="BANQUE POPULAIRE RIVE DE PARIS"/>
    <s v="BPRI"/>
    <n v="-20872"/>
    <d v="2025-07-16T00:00:00"/>
    <s v="PRLV URSSAF RA"/>
    <m/>
    <e v="#N/A"/>
    <e v="#N/A"/>
    <n v="77590"/>
    <m/>
    <m/>
    <s v="Q3"/>
    <e v="#REF!"/>
    <e v="#REF!"/>
    <e v="#REF!"/>
  </r>
  <r>
    <s v="512100"/>
    <x v="6"/>
    <s v="BANQUE POPULAIRE RIVE DE PARIS"/>
    <s v="BPRI"/>
    <n v="-20700"/>
    <d v="2025-03-20T00:00:00"/>
    <s v="Comptabilisation du bordereau nr. 60"/>
    <s v="Non"/>
    <s v="Non"/>
    <e v="#N/A"/>
    <n v="61914"/>
    <m/>
    <s v="INSIDE MANAGEMENT"/>
    <s v="Q1"/>
    <e v="#REF!"/>
    <e v="#REF!"/>
    <e v="#REF!"/>
  </r>
  <r>
    <s v="512100"/>
    <x v="6"/>
    <s v="BANQUE POPULAIRE RIVE DE PARIS"/>
    <s v="BPRI"/>
    <n v="-20591"/>
    <d v="2025-06-17T00:00:00"/>
    <s v="PRLV SEPA URSSAF RHONE ALPES"/>
    <m/>
    <e v="#N/A"/>
    <e v="#N/A"/>
    <n v="76126"/>
    <m/>
    <m/>
    <s v="Q2"/>
    <e v="#REF!"/>
    <e v="#REF!"/>
    <e v="#REF!"/>
  </r>
  <r>
    <s v="512100"/>
    <x v="6"/>
    <s v="BANQUE POPULAIRE RIVE DE PARIS"/>
    <s v="BPRI"/>
    <n v="-20051"/>
    <d v="2025-03-25T00:00:00"/>
    <s v="Prélèvement à la source"/>
    <m/>
    <e v="#N/A"/>
    <e v="#N/A"/>
    <n v="64522"/>
    <m/>
    <m/>
    <s v="Q1"/>
    <e v="#REF!"/>
    <e v="#REF!"/>
    <e v="#REF!"/>
  </r>
  <r>
    <s v="512100"/>
    <x v="6"/>
    <s v="BANQUE POPULAIRE RIVE DE PARIS"/>
    <s v="BPRI"/>
    <n v="-20000"/>
    <d v="2025-01-20T00:00:00"/>
    <s v="EVI REMISE"/>
    <m/>
    <e v="#N/A"/>
    <e v="#N/A"/>
    <n v="21036"/>
    <s v="0GLDGJX"/>
    <m/>
    <s v="Q1"/>
    <e v="#REF!"/>
    <e v="#REF!"/>
    <e v="#REF!"/>
  </r>
  <r>
    <s v="512100"/>
    <x v="6"/>
    <s v="BANQUE POPULAIRE RIVE DE PARIS"/>
    <s v="BPRI"/>
    <n v="-20000"/>
    <d v="2025-03-10T00:00:00"/>
    <s v="Comptabilisation du bordereau nr. 36"/>
    <m/>
    <e v="#N/A"/>
    <e v="#N/A"/>
    <n v="60051"/>
    <m/>
    <s v="SPENDESK"/>
    <s v="Q1"/>
    <e v="#REF!"/>
    <e v="#REF!"/>
    <e v="#REF!"/>
  </r>
  <r>
    <s v="512100"/>
    <x v="6"/>
    <s v="BANQUE POPULAIRE RIVE DE PARIS"/>
    <s v="BPRI"/>
    <n v="-19421.759999999998"/>
    <d v="2025-11-27T00:00:00"/>
    <s v="Comptabilisation du bordereau nr. 340"/>
    <s v="Non"/>
    <s v="Non"/>
    <e v="#N/A"/>
    <n v="91168"/>
    <m/>
    <s v="ALTAIR AVOCATS"/>
    <s v="Q4"/>
    <e v="#REF!"/>
    <e v="#REF!"/>
    <e v="#REF!"/>
  </r>
  <r>
    <s v="512100"/>
    <x v="6"/>
    <s v="BANQUE POPULAIRE RIVE DE PARIS"/>
    <s v="BPRI"/>
    <n v="-19308"/>
    <d v="2025-01-22T00:00:00"/>
    <s v="PRLV INT ETS DGFIP"/>
    <m/>
    <e v="#N/A"/>
    <e v="#N/A"/>
    <n v="21046"/>
    <s v="074HPN6"/>
    <m/>
    <s v="Q1"/>
    <e v="#REF!"/>
    <e v="#REF!"/>
    <e v="#REF!"/>
  </r>
  <r>
    <s v="401000"/>
    <x v="6"/>
    <s v="FOURNISSEURS"/>
    <s v="BPRI"/>
    <n v="1679.02"/>
    <d v="2025-12-16T00:00:00"/>
    <s v="/SQTP/RCUR/LIB/PRLV SEPA ENGIE/LIB/ENGIE/LIB/300003490510-850005343737/LIB/00PEG0418998"/>
    <m/>
    <e v="#N/A"/>
    <e v="#N/A"/>
    <n v="92222"/>
    <m/>
    <s v="ENGIE"/>
    <s v="Q4"/>
    <e v="#REF!"/>
    <e v="#REF!"/>
    <e v="#REF!"/>
  </r>
  <r>
    <s v="512100"/>
    <x v="6"/>
    <s v="BANQUE POPULAIRE RIVE DE PARIS"/>
    <s v="BPRI"/>
    <n v="-18420.97"/>
    <d v="2025-01-24T00:00:00"/>
    <s v="PRLV SEPA B2V GESTION GU COTISA"/>
    <m/>
    <e v="#N/A"/>
    <e v="#N/A"/>
    <n v="21070"/>
    <s v="075AY1H"/>
    <m/>
    <s v="Q1"/>
    <e v="#REF!"/>
    <e v="#REF!"/>
    <e v="#REF!"/>
  </r>
  <r>
    <s v="512100"/>
    <x v="6"/>
    <s v="BANQUE POPULAIRE RIVE DE PARIS"/>
    <s v="BPRI"/>
    <n v="-18244"/>
    <d v="2025-09-17T00:00:00"/>
    <s v="PRLV SEPA URSSAF RHONE ALPES"/>
    <m/>
    <e v="#N/A"/>
    <e v="#N/A"/>
    <n v="82443"/>
    <m/>
    <m/>
    <s v="Q3"/>
    <e v="#REF!"/>
    <e v="#REF!"/>
    <e v="#REF!"/>
  </r>
  <r>
    <s v="512100"/>
    <x v="6"/>
    <s v="BANQUE POPULAIRE RIVE DE PARIS"/>
    <s v="BPRI"/>
    <n v="-18156"/>
    <d v="2025-08-19T00:00:00"/>
    <s v="PRLV SEPA URSSAF RHONE A"/>
    <m/>
    <e v="#N/A"/>
    <e v="#N/A"/>
    <n v="81541"/>
    <m/>
    <m/>
    <s v="Q3"/>
    <e v="#REF!"/>
    <e v="#REF!"/>
    <e v="#REF!"/>
  </r>
  <r>
    <s v="512100"/>
    <x v="6"/>
    <s v="BANQUE POPULAIRE RIVE DE PARIS"/>
    <s v="BPRI"/>
    <n v="-18000"/>
    <d v="2025-11-25T00:00:00"/>
    <s v="Comptabilisation du bordereau nr. 346"/>
    <m/>
    <e v="#N/A"/>
    <e v="#N/A"/>
    <n v="91141"/>
    <m/>
    <s v="VEG'EXTRA"/>
    <s v="Q4"/>
    <e v="#REF!"/>
    <e v="#REF!"/>
    <e v="#REF!"/>
  </r>
  <r>
    <s v="512100"/>
    <x v="6"/>
    <s v="BANQUE POPULAIRE RIVE DE PARIS"/>
    <s v="BPRI"/>
    <n v="-17444"/>
    <d v="2025-09-22T00:00:00"/>
    <s v="Comptabilisation du bordereau nr. 290"/>
    <m/>
    <e v="#N/A"/>
    <e v="#N/A"/>
    <n v="82359"/>
    <m/>
    <s v="Taros Chemicals GmbH &amp; Co. KG"/>
    <s v="Q3"/>
    <e v="#REF!"/>
    <e v="#REF!"/>
    <e v="#REF!"/>
  </r>
  <r>
    <s v="512100"/>
    <x v="6"/>
    <s v="BANQUE POPULAIRE RIVE DE PARIS"/>
    <s v="BPRI"/>
    <n v="-1679.02"/>
    <d v="2025-12-16T00:00:00"/>
    <s v="/SQTP/RCUR/LIB/PRLV SEPA ENGIE/LIB/ENGIE/LIB/300003490510-850005343737/LIB/00PEG0418998"/>
    <m/>
    <e v="#N/A"/>
    <e v="#N/A"/>
    <n v="92221"/>
    <m/>
    <s v="ENGIE"/>
    <s v="Q4"/>
    <e v="#REF!"/>
    <e v="#REF!"/>
    <e v="#REF!"/>
  </r>
  <r>
    <s v="512100"/>
    <x v="6"/>
    <s v="BANQUE POPULAIRE RIVE DE PARIS"/>
    <s v="BPRI"/>
    <n v="-16622.060000000001"/>
    <d v="2025-05-14T00:00:00"/>
    <s v="Comptabilisation du bordereau nr. 117"/>
    <s v="Non"/>
    <e v="#N/A"/>
    <e v="#N/A"/>
    <n v="72289"/>
    <m/>
    <s v="BIOTIKA"/>
    <s v="Q2"/>
    <e v="#REF!"/>
    <e v="#REF!"/>
    <e v="#REF!"/>
  </r>
  <r>
    <s v="512100"/>
    <x v="6"/>
    <s v="BANQUE POPULAIRE RIVE DE PARIS"/>
    <s v="BPRI"/>
    <n v="-16236"/>
    <d v="2025-02-18T00:00:00"/>
    <s v="PRLV SEPA URSSAF RHONE ALPES"/>
    <m/>
    <e v="#N/A"/>
    <e v="#N/A"/>
    <n v="21326"/>
    <s v="07DKAT0"/>
    <m/>
    <s v="Q1"/>
    <e v="#REF!"/>
    <e v="#REF!"/>
    <e v="#REF!"/>
  </r>
  <r>
    <s v="512100"/>
    <x v="6"/>
    <s v="BANQUE POPULAIRE RIVE DE PARIS"/>
    <s v="BPRI"/>
    <n v="-15605.68"/>
    <d v="2025-08-22T00:00:00"/>
    <s v="Comptabilisation du bordereau nr. 269"/>
    <m/>
    <e v="#N/A"/>
    <e v="#N/A"/>
    <n v="81599"/>
    <m/>
    <m/>
    <s v="Q3"/>
    <e v="#REF!"/>
    <e v="#REF!"/>
    <e v="#REF!"/>
  </r>
  <r>
    <s v="512100"/>
    <x v="6"/>
    <s v="BANQUE POPULAIRE RIVE DE PARIS"/>
    <s v="BPRI"/>
    <n v="-15480.36"/>
    <d v="2025-12-08T00:00:00"/>
    <s v="Comptabilisation du bordereau nr. 353"/>
    <m/>
    <e v="#N/A"/>
    <e v="#N/A"/>
    <n v="91333"/>
    <m/>
    <m/>
    <s v="Q4"/>
    <e v="#REF!"/>
    <e v="#REF!"/>
    <e v="#REF!"/>
  </r>
  <r>
    <s v="512100"/>
    <x v="6"/>
    <s v="BANQUE POPULAIRE RIVE DE PARIS"/>
    <s v="BPRI"/>
    <n v="-15028.72"/>
    <d v="2025-03-06T00:00:00"/>
    <s v="Comptabilisation du bordereau nr. 8"/>
    <m/>
    <e v="#N/A"/>
    <e v="#N/A"/>
    <n v="50021"/>
    <s v="Règlement"/>
    <m/>
    <s v="Q1"/>
    <e v="#REF!"/>
    <e v="#REF!"/>
    <e v="#REF!"/>
  </r>
  <r>
    <s v="512100"/>
    <x v="6"/>
    <s v="BANQUE POPULAIRE RIVE DE PARIS"/>
    <s v="BPRI"/>
    <n v="-14683.08"/>
    <d v="2025-04-15T00:00:00"/>
    <s v="Comptabilisation du bordereau nr. 80"/>
    <m/>
    <e v="#N/A"/>
    <e v="#N/A"/>
    <n v="67959"/>
    <m/>
    <m/>
    <s v="Q2"/>
    <e v="#REF!"/>
    <e v="#REF!"/>
    <e v="#REF!"/>
  </r>
  <r>
    <s v="401000"/>
    <x v="6"/>
    <s v="FOURNISSEURS"/>
    <s v="BPRI"/>
    <n v="1170.1600000000001"/>
    <d v="2025-11-17T00:00:00"/>
    <s v="/SQTP/RCUR/LIB/PRLV SEPA ENGIE/LIB/ENGIE/LIB/300003490510-980005457002/LIB/00PEG0418998"/>
    <m/>
    <e v="#N/A"/>
    <e v="#N/A"/>
    <n v="90167"/>
    <m/>
    <s v="ENGIE"/>
    <s v="Q4"/>
    <e v="#REF!"/>
    <e v="#REF!"/>
    <e v="#REF!"/>
  </r>
  <r>
    <s v="512100"/>
    <x v="6"/>
    <s v="BANQUE POPULAIRE RIVE DE PARIS"/>
    <s v="BPRI"/>
    <n v="-14415.44"/>
    <d v="2025-01-29T00:00:00"/>
    <s v="ECHEANCE PRET"/>
    <m/>
    <e v="#N/A"/>
    <e v="#N/A"/>
    <n v="21100"/>
    <s v="8857432"/>
    <m/>
    <s v="Q1"/>
    <e v="#REF!"/>
    <e v="#REF!"/>
    <e v="#REF!"/>
  </r>
  <r>
    <s v="512100"/>
    <x v="6"/>
    <s v="BANQUE POPULAIRE RIVE DE PARIS"/>
    <s v="BPRI"/>
    <n v="-14415.44"/>
    <d v="2025-03-01T00:00:00"/>
    <s v="Prélèvement Emprunts"/>
    <m/>
    <e v="#N/A"/>
    <e v="#N/A"/>
    <n v="58988"/>
    <m/>
    <m/>
    <s v="Q1"/>
    <e v="#REF!"/>
    <e v="#REF!"/>
    <e v="#REF!"/>
  </r>
  <r>
    <s v="512100"/>
    <x v="6"/>
    <s v="BANQUE POPULAIRE RIVE DE PARIS"/>
    <s v="BPRI"/>
    <n v="-14415.44"/>
    <d v="2025-03-29T00:00:00"/>
    <s v="Prélèvement BPI"/>
    <m/>
    <e v="#N/A"/>
    <e v="#N/A"/>
    <n v="66437"/>
    <m/>
    <m/>
    <s v="Q1"/>
    <e v="#REF!"/>
    <e v="#REF!"/>
    <e v="#REF!"/>
  </r>
  <r>
    <s v="512100"/>
    <x v="6"/>
    <s v="BANQUE POPULAIRE RIVE DE PARIS"/>
    <s v="BPRI"/>
    <n v="-14415.44"/>
    <d v="2025-04-29T00:00:00"/>
    <s v="Echéance Prêt"/>
    <m/>
    <e v="#N/A"/>
    <e v="#N/A"/>
    <n v="70460"/>
    <m/>
    <m/>
    <s v="Q2"/>
    <e v="#REF!"/>
    <e v="#REF!"/>
    <e v="#REF!"/>
  </r>
  <r>
    <s v="512100"/>
    <x v="6"/>
    <s v="BANQUE POPULAIRE RIVE DE PARIS"/>
    <s v="BPRI"/>
    <n v="-14415.44"/>
    <d v="2025-05-30T00:00:00"/>
    <s v="Prélèvement BPI"/>
    <m/>
    <e v="#N/A"/>
    <e v="#N/A"/>
    <n v="74998"/>
    <m/>
    <m/>
    <s v="Q2"/>
    <e v="#REF!"/>
    <e v="#REF!"/>
    <e v="#REF!"/>
  </r>
  <r>
    <s v="512100"/>
    <x v="6"/>
    <s v="BANQUE POPULAIRE RIVE DE PARIS"/>
    <s v="BPRI"/>
    <n v="-14210"/>
    <d v="2025-01-02T00:00:00"/>
    <s v="PRLV SEPA BPIFRANCE"/>
    <m/>
    <e v="#N/A"/>
    <e v="#N/A"/>
    <n v="20863"/>
    <s v="06WUS9I"/>
    <m/>
    <s v="Q1"/>
    <e v="#REF!"/>
    <e v="#REF!"/>
    <e v="#REF!"/>
  </r>
  <r>
    <s v="512100"/>
    <x v="6"/>
    <s v="BANQUE POPULAIRE RIVE DE PARIS"/>
    <s v="BPRI"/>
    <n v="-14067.5"/>
    <d v="2025-03-31T00:00:00"/>
    <s v="Prélèvement BPI"/>
    <m/>
    <e v="#N/A"/>
    <e v="#N/A"/>
    <n v="66454"/>
    <m/>
    <m/>
    <s v="Q1"/>
    <e v="#REF!"/>
    <e v="#REF!"/>
    <e v="#REF!"/>
  </r>
  <r>
    <s v="512100"/>
    <x v="6"/>
    <s v="BANQUE POPULAIRE RIVE DE PARIS"/>
    <s v="BPRI"/>
    <n v="-1170.1600000000001"/>
    <d v="2025-11-17T00:00:00"/>
    <s v="/SQTP/RCUR/LIB/PRLV SEPA ENGIE/LIB/ENGIE/LIB/300003490510-980005457002/LIB/00PEG0418998"/>
    <m/>
    <e v="#N/A"/>
    <e v="#N/A"/>
    <n v="90166"/>
    <m/>
    <s v="ENGIE"/>
    <s v="Q4"/>
    <e v="#REF!"/>
    <e v="#REF!"/>
    <e v="#REF!"/>
  </r>
  <r>
    <s v="512100"/>
    <x v="6"/>
    <s v="BANQUE POPULAIRE RIVE DE PARIS"/>
    <s v="BPRI"/>
    <n v="-13914.31"/>
    <d v="2025-01-31T00:00:00"/>
    <s v="EVI REMISE"/>
    <s v="Non"/>
    <s v="Non"/>
    <e v="#N/A"/>
    <n v="21163"/>
    <s v="0GLGKLQ"/>
    <s v="OSIRIS"/>
    <s v="Q1"/>
    <e v="#REF!"/>
    <e v="#REF!"/>
    <e v="#REF!"/>
  </r>
  <r>
    <s v="512100"/>
    <x v="6"/>
    <s v="BANQUE POPULAIRE RIVE DE PARIS"/>
    <s v="BPRI"/>
    <n v="-13846.56"/>
    <d v="2025-03-18T00:00:00"/>
    <s v="Comptabilisation du bordereau nr. 54"/>
    <m/>
    <e v="#N/A"/>
    <e v="#N/A"/>
    <n v="61855"/>
    <m/>
    <m/>
    <s v="Q1"/>
    <e v="#REF!"/>
    <e v="#REF!"/>
    <e v="#REF!"/>
  </r>
  <r>
    <s v="512100"/>
    <x v="6"/>
    <s v="BANQUE POPULAIRE RIVE DE PARIS"/>
    <s v="BPRI"/>
    <n v="-13782.5"/>
    <d v="2025-09-30T00:00:00"/>
    <s v="PRLV SEPA BPIFRANCE"/>
    <m/>
    <e v="#N/A"/>
    <e v="#N/A"/>
    <n v="82649"/>
    <m/>
    <m/>
    <s v="Q3"/>
    <e v="#REF!"/>
    <e v="#REF!"/>
    <e v="#REF!"/>
  </r>
  <r>
    <s v="512100"/>
    <x v="6"/>
    <s v="BANQUE POPULAIRE RIVE DE PARIS"/>
    <s v="BPRI"/>
    <n v="-13684.09"/>
    <d v="2025-09-22T00:00:00"/>
    <s v="Comptabilisation du bordereau nr. 286"/>
    <m/>
    <e v="#N/A"/>
    <e v="#N/A"/>
    <n v="82367"/>
    <m/>
    <m/>
    <s v="Q3"/>
    <e v="#REF!"/>
    <e v="#REF!"/>
    <e v="#REF!"/>
  </r>
  <r>
    <s v="512100"/>
    <x v="6"/>
    <s v="BANQUE POPULAIRE RIVE DE PARIS"/>
    <s v="BPRI"/>
    <n v="-13315.53"/>
    <d v="2025-12-30T00:00:00"/>
    <s v="Comptabilisation du bordereau nr. 380"/>
    <m/>
    <e v="#N/A"/>
    <e v="#N/A"/>
    <n v="93758"/>
    <m/>
    <m/>
    <s v="Q4"/>
    <e v="#REF!"/>
    <e v="#REF!"/>
    <e v="#REF!"/>
  </r>
  <r>
    <s v="512100"/>
    <x v="6"/>
    <s v="BANQUE POPULAIRE RIVE DE PARIS"/>
    <s v="BPRI"/>
    <n v="-13068"/>
    <d v="2025-02-28T00:00:00"/>
    <s v="Règlement fournisseurs"/>
    <m/>
    <s v="Non"/>
    <e v="#N/A"/>
    <n v="58891"/>
    <m/>
    <s v="AXE GESCOM"/>
    <s v="Q1"/>
    <e v="#REF!"/>
    <e v="#REF!"/>
    <e v="#REF!"/>
  </r>
  <r>
    <s v="512100"/>
    <x v="6"/>
    <s v="BANQUE POPULAIRE RIVE DE PARIS"/>
    <s v="BPRI"/>
    <n v="-13000.04"/>
    <d v="2025-03-07T00:00:00"/>
    <s v="Comptabilisation du bordereau nr. 24"/>
    <m/>
    <e v="#N/A"/>
    <e v="#N/A"/>
    <n v="58774"/>
    <m/>
    <s v="3BCLIM"/>
    <s v="Q1"/>
    <e v="#REF!"/>
    <e v="#REF!"/>
    <e v="#REF!"/>
  </r>
  <r>
    <s v="512100"/>
    <x v="6"/>
    <s v="BANQUE POPULAIRE RIVE DE PARIS"/>
    <s v="BPRI"/>
    <n v="-12975.46"/>
    <d v="2025-02-25T00:00:00"/>
    <s v="PRLV SEPA B2V GESTION GU COTISA"/>
    <m/>
    <e v="#N/A"/>
    <e v="#N/A"/>
    <n v="21418"/>
    <s v="07F494Z"/>
    <m/>
    <s v="Q1"/>
    <e v="#REF!"/>
    <e v="#REF!"/>
    <e v="#REF!"/>
  </r>
  <r>
    <s v="401000"/>
    <x v="6"/>
    <s v="FOURNISSEURS"/>
    <s v="BPRI"/>
    <n v="1488.95"/>
    <d v="2025-10-16T00:00:00"/>
    <s v="/SQTP/RCUR/LIB/PRLV SEPA ENGIE/LIB/ENGIE/LIB/300003490512-850005285735/LIB/00PEG0418998"/>
    <m/>
    <e v="#N/A"/>
    <e v="#N/A"/>
    <n v="86938"/>
    <m/>
    <s v="ENGIE"/>
    <s v="Q4"/>
    <e v="#REF!"/>
    <e v="#REF!"/>
    <e v="#REF!"/>
  </r>
  <r>
    <s v="512100"/>
    <x v="6"/>
    <s v="BANQUE POPULAIRE RIVE DE PARIS"/>
    <s v="BPRI"/>
    <n v="-11880"/>
    <d v="2025-01-15T00:00:00"/>
    <s v="EVI REMISE"/>
    <m/>
    <e v="#N/A"/>
    <e v="#N/A"/>
    <n v="20997"/>
    <s v="0GLCS48"/>
    <s v="Eurolysine"/>
    <s v="Q1"/>
    <e v="#REF!"/>
    <e v="#REF!"/>
    <e v="#REF!"/>
  </r>
  <r>
    <s v="512100"/>
    <x v="6"/>
    <s v="BANQUE POPULAIRE RIVE DE PARIS"/>
    <s v="BPRI"/>
    <n v="-11443.98"/>
    <d v="2025-12-10T00:00:00"/>
    <s v="Comptabilisation du bordereau nr. 358"/>
    <m/>
    <e v="#N/A"/>
    <e v="#N/A"/>
    <n v="92067"/>
    <m/>
    <m/>
    <s v="Q4"/>
    <e v="#REF!"/>
    <e v="#REF!"/>
    <e v="#REF!"/>
  </r>
  <r>
    <s v="512100"/>
    <x v="6"/>
    <s v="BANQUE POPULAIRE RIVE DE PARIS"/>
    <s v="BPRI"/>
    <n v="-11234.09"/>
    <d v="2025-09-12T00:00:00"/>
    <s v="Comptabilisation du bordereau nr. 275"/>
    <m/>
    <e v="#N/A"/>
    <e v="#N/A"/>
    <n v="81983"/>
    <m/>
    <m/>
    <s v="Q3"/>
    <e v="#REF!"/>
    <e v="#REF!"/>
    <e v="#REF!"/>
  </r>
  <r>
    <s v="512100"/>
    <x v="6"/>
    <s v="BANQUE POPULAIRE RIVE DE PARIS"/>
    <s v="BPRI"/>
    <n v="-11201.48"/>
    <d v="2025-01-24T00:00:00"/>
    <s v="PRLV SEPA B2V GESTION GU COTISA"/>
    <m/>
    <e v="#N/A"/>
    <e v="#N/A"/>
    <n v="21072"/>
    <s v="075AY2Y"/>
    <m/>
    <s v="Q1"/>
    <e v="#REF!"/>
    <e v="#REF!"/>
    <e v="#REF!"/>
  </r>
  <r>
    <s v="512100"/>
    <x v="6"/>
    <s v="BANQUE POPULAIRE RIVE DE PARIS"/>
    <s v="BPRI"/>
    <n v="-1488.95"/>
    <d v="2025-10-16T00:00:00"/>
    <s v="/SQTP/RCUR/LIB/PRLV SEPA ENGIE/LIB/ENGIE/LIB/300003490512-850005285735/LIB/00PEG0418998"/>
    <m/>
    <e v="#N/A"/>
    <e v="#N/A"/>
    <n v="86937"/>
    <m/>
    <s v="ENGIE"/>
    <s v="Q4"/>
    <e v="#REF!"/>
    <e v="#REF!"/>
    <e v="#REF!"/>
  </r>
  <r>
    <s v="512100"/>
    <x v="6"/>
    <s v="BANQUE POPULAIRE RIVE DE PARIS"/>
    <s v="BPRI"/>
    <n v="-10983.68"/>
    <d v="2025-12-30T00:00:00"/>
    <s v="Comptabilisation du bordereau nr. 383"/>
    <m/>
    <e v="#N/A"/>
    <e v="#N/A"/>
    <n v="93723"/>
    <m/>
    <m/>
    <s v="Q4"/>
    <e v="#REF!"/>
    <e v="#REF!"/>
    <e v="#REF!"/>
  </r>
  <r>
    <s v="401000"/>
    <x v="6"/>
    <s v="FOURNISSEURS"/>
    <s v="BPRI"/>
    <n v="509.96"/>
    <d v="2025-12-16T00:00:00"/>
    <s v="/SQTP/RCUR/LIB/PRLV SEPA ENGIE/LIB/ENGIE/LIB/300003490512-850005343738/LIB/00PEG0418998"/>
    <m/>
    <e v="#N/A"/>
    <e v="#N/A"/>
    <n v="92225"/>
    <m/>
    <s v="ENGIE"/>
    <s v="Q4"/>
    <e v="#REF!"/>
    <e v="#REF!"/>
    <e v="#REF!"/>
  </r>
  <r>
    <s v="512100"/>
    <x v="6"/>
    <s v="BANQUE POPULAIRE RIVE DE PARIS"/>
    <s v="BPRI"/>
    <n v="-10715"/>
    <d v="2025-06-17T00:00:00"/>
    <s v="Comptabilisation du bordereau nr. 174"/>
    <m/>
    <e v="#N/A"/>
    <e v="#N/A"/>
    <n v="76137"/>
    <m/>
    <s v="Taros Chemicals GmbH &amp; Co. KG"/>
    <s v="Q2"/>
    <e v="#REF!"/>
    <e v="#REF!"/>
    <e v="#REF!"/>
  </r>
  <r>
    <s v="512100"/>
    <x v="6"/>
    <s v="BANQUE POPULAIRE RIVE DE PARIS"/>
    <s v="BPRI"/>
    <n v="-10636.61"/>
    <d v="2025-04-02T00:00:00"/>
    <s v="Comptabilisation du bordereau nr. 67"/>
    <m/>
    <e v="#N/A"/>
    <e v="#N/A"/>
    <n v="66473"/>
    <m/>
    <m/>
    <s v="Q2"/>
    <e v="#REF!"/>
    <e v="#REF!"/>
    <e v="#REF!"/>
  </r>
  <r>
    <s v="512100"/>
    <x v="6"/>
    <s v="BANQUE POPULAIRE RIVE DE PARIS"/>
    <s v="BPRI"/>
    <n v="-509.96"/>
    <d v="2025-12-16T00:00:00"/>
    <s v="/SQTP/RCUR/LIB/PRLV SEPA ENGIE/LIB/ENGIE/LIB/300003490512-850005343738/LIB/00PEG0418998"/>
    <m/>
    <e v="#N/A"/>
    <e v="#N/A"/>
    <n v="92224"/>
    <m/>
    <s v="ENGIE"/>
    <s v="Q4"/>
    <e v="#REF!"/>
    <e v="#REF!"/>
    <e v="#REF!"/>
  </r>
  <r>
    <s v="512100"/>
    <x v="6"/>
    <s v="BANQUE POPULAIRE RIVE DE PARIS"/>
    <s v="BPRI"/>
    <n v="-10512.61"/>
    <d v="2025-09-25T00:00:00"/>
    <s v="PRLV SEPA B2V GESTION GU COTISA"/>
    <m/>
    <e v="#N/A"/>
    <e v="#N/A"/>
    <n v="82610"/>
    <m/>
    <m/>
    <s v="Q3"/>
    <e v="#REF!"/>
    <e v="#REF!"/>
    <e v="#REF!"/>
  </r>
  <r>
    <s v="512100"/>
    <x v="6"/>
    <s v="BANQUE POPULAIRE RIVE DE PARIS"/>
    <s v="BPRI"/>
    <n v="-10500"/>
    <d v="2025-09-10T00:00:00"/>
    <s v="Comptabilisation du bordereau nr. 274"/>
    <s v="Non"/>
    <s v="Non"/>
    <e v="#N/A"/>
    <n v="81977"/>
    <m/>
    <s v="QWINCY"/>
    <s v="Q3"/>
    <e v="#REF!"/>
    <e v="#REF!"/>
    <e v="#REF!"/>
  </r>
  <r>
    <s v="512100"/>
    <x v="6"/>
    <s v="BANQUE POPULAIRE RIVE DE PARIS"/>
    <s v="BPRI"/>
    <n v="-10384.780000000001"/>
    <d v="2025-08-26T00:00:00"/>
    <s v="PRLV SEPA B2V GESTION "/>
    <m/>
    <e v="#N/A"/>
    <e v="#N/A"/>
    <n v="81643"/>
    <m/>
    <m/>
    <s v="Q3"/>
    <e v="#REF!"/>
    <e v="#REF!"/>
    <e v="#REF!"/>
  </r>
  <r>
    <s v="401000"/>
    <x v="6"/>
    <s v="FOURNISSEURS"/>
    <s v="BPRI"/>
    <n v="402.8"/>
    <d v="2025-11-17T00:00:00"/>
    <s v="/SQTP/RCUR/LIB/PRLV SEPA ENGIE/LIB/ENGIE/LIB/300003490512-980005457003/LIB/00PEG0418998"/>
    <m/>
    <e v="#N/A"/>
    <e v="#N/A"/>
    <n v="90164"/>
    <m/>
    <s v="ENGIE"/>
    <s v="Q4"/>
    <e v="#REF!"/>
    <e v="#REF!"/>
    <e v="#REF!"/>
  </r>
  <r>
    <s v="512100"/>
    <x v="6"/>
    <s v="BANQUE POPULAIRE RIVE DE PARIS"/>
    <s v="BPRI"/>
    <n v="-10280.16"/>
    <d v="2025-03-25T00:00:00"/>
    <s v="Prélèvement B2V"/>
    <m/>
    <e v="#N/A"/>
    <e v="#N/A"/>
    <n v="64528"/>
    <m/>
    <m/>
    <s v="Q1"/>
    <e v="#REF!"/>
    <e v="#REF!"/>
    <e v="#REF!"/>
  </r>
  <r>
    <s v="512100"/>
    <x v="6"/>
    <s v="BANQUE POPULAIRE RIVE DE PARIS"/>
    <s v="BPRI"/>
    <n v="-402.8"/>
    <d v="2025-11-17T00:00:00"/>
    <s v="/SQTP/RCUR/LIB/PRLV SEPA ENGIE/LIB/ENGIE/LIB/300003490512-980005457003/LIB/00PEG0418998"/>
    <m/>
    <e v="#N/A"/>
    <e v="#N/A"/>
    <n v="90163"/>
    <m/>
    <s v="ENGIE"/>
    <s v="Q4"/>
    <e v="#REF!"/>
    <e v="#REF!"/>
    <e v="#REF!"/>
  </r>
  <r>
    <s v="512100"/>
    <x v="6"/>
    <s v="BANQUE POPULAIRE RIVE DE PARIS"/>
    <s v="BPRI"/>
    <n v="-10200"/>
    <d v="2025-02-20T00:00:00"/>
    <s v="EVI REMISE"/>
    <s v="Non"/>
    <e v="#N/A"/>
    <e v="#N/A"/>
    <n v="21381"/>
    <s v="0GLKXYR"/>
    <s v="MAMA DATA"/>
    <s v="Q1"/>
    <e v="#REF!"/>
    <e v="#REF!"/>
    <e v="#REF!"/>
  </r>
  <r>
    <s v="401000"/>
    <x v="6"/>
    <s v="FOURNISSEURS"/>
    <s v="BPRI"/>
    <n v="158.65"/>
    <d v="2025-10-13T00:00:00"/>
    <s v="/SQTP/RCUR/LIB/PRLV SEPA FENWICK FINANCIAL SER/LIB/FENWICK FINANCIAL SERVIC/LIB/158,65 CONTRAT20086968//LIB/000000002681"/>
    <m/>
    <e v="#N/A"/>
    <e v="#N/A"/>
    <n v="86932"/>
    <m/>
    <s v="FENWICK FINANCIAL SERVICES"/>
    <s v="Q4"/>
    <e v="#REF!"/>
    <e v="#REF!"/>
    <e v="#REF!"/>
  </r>
  <r>
    <s v="512100"/>
    <x v="6"/>
    <s v="BANQUE POPULAIRE RIVE DE PARIS"/>
    <s v="BPRI"/>
    <n v="-10187.51"/>
    <d v="2025-04-25T00:00:00"/>
    <s v="Prélèvement Retraite"/>
    <m/>
    <e v="#N/A"/>
    <e v="#N/A"/>
    <n v="70214"/>
    <m/>
    <m/>
    <s v="Q2"/>
    <e v="#REF!"/>
    <e v="#REF!"/>
    <e v="#REF!"/>
  </r>
  <r>
    <s v="512100"/>
    <x v="6"/>
    <s v="BANQUE POPULAIRE RIVE DE PARIS"/>
    <s v="BPRI"/>
    <n v="-10187"/>
    <d v="2025-12-17T00:00:00"/>
    <s v="CFE 2025 - KB"/>
    <m/>
    <e v="#N/A"/>
    <e v="#N/A"/>
    <n v="92669"/>
    <m/>
    <m/>
    <s v="Q4"/>
    <e v="#REF!"/>
    <e v="#REF!"/>
    <e v="#REF!"/>
  </r>
  <r>
    <s v="512100"/>
    <x v="6"/>
    <s v="BANQUE POPULAIRE RIVE DE PARIS"/>
    <s v="BPRI"/>
    <n v="-10115.35"/>
    <d v="2025-12-10T00:00:00"/>
    <s v="Comptabilisation du bordereau nr. 359"/>
    <m/>
    <e v="#N/A"/>
    <e v="#N/A"/>
    <n v="92019"/>
    <m/>
    <m/>
    <s v="Q4"/>
    <e v="#REF!"/>
    <e v="#REF!"/>
    <e v="#REF!"/>
  </r>
  <r>
    <s v="512100"/>
    <x v="6"/>
    <s v="BANQUE POPULAIRE RIVE DE PARIS"/>
    <s v="BPRI"/>
    <n v="-10071.75"/>
    <d v="2025-05-23T00:00:00"/>
    <s v="Prélèvement Retraite"/>
    <m/>
    <e v="#N/A"/>
    <e v="#N/A"/>
    <n v="74091"/>
    <m/>
    <m/>
    <s v="Q2"/>
    <e v="#REF!"/>
    <e v="#REF!"/>
    <e v="#REF!"/>
  </r>
  <r>
    <s v="512100"/>
    <x v="6"/>
    <s v="BANQUE POPULAIRE RIVE DE PARIS"/>
    <s v="BPRI"/>
    <n v="-10000"/>
    <d v="2025-10-20T00:00:00"/>
    <s v="Comptabilisation du bordereau nr. 306"/>
    <m/>
    <e v="#N/A"/>
    <e v="#N/A"/>
    <n v="87152"/>
    <m/>
    <s v="SPENDESK"/>
    <s v="Q4"/>
    <e v="#REF!"/>
    <e v="#REF!"/>
    <e v="#REF!"/>
  </r>
  <r>
    <s v="512100"/>
    <x v="6"/>
    <s v="BANQUE POPULAIRE RIVE DE PARIS"/>
    <s v="BPRI"/>
    <n v="-10000"/>
    <d v="2025-11-17T00:00:00"/>
    <s v="Comptabilisation du bordereau nr. 330"/>
    <m/>
    <e v="#N/A"/>
    <e v="#N/A"/>
    <n v="90149"/>
    <m/>
    <m/>
    <s v="Q4"/>
    <e v="#REF!"/>
    <e v="#REF!"/>
    <e v="#REF!"/>
  </r>
  <r>
    <s v="401000"/>
    <x v="6"/>
    <s v="FOURNISSEURS"/>
    <s v="BPRI"/>
    <n v="158.65"/>
    <d v="2025-11-13T00:00:00"/>
    <s v="/SQTP/RCUR/LIB/PRLV SEPA FENWICK FINANCIAL SER/LIB/FENWICK FINANCIAL SERVIC/LIB/158,65 CONTRAT20086968//LIB/000000002681"/>
    <m/>
    <e v="#N/A"/>
    <e v="#N/A"/>
    <n v="90022"/>
    <m/>
    <s v="FENWICK FINANCIAL SERVICES"/>
    <s v="Q4"/>
    <e v="#REF!"/>
    <e v="#REF!"/>
    <e v="#REF!"/>
  </r>
  <r>
    <s v="401000"/>
    <x v="6"/>
    <s v="FOURNISSEURS"/>
    <s v="BPRI"/>
    <n v="158.65"/>
    <d v="2025-12-11T00:00:00"/>
    <s v="/SQTP/RCUR/LIB/PRLV SEPA FENWICK FINANCIAL SER/LIB/FENWICK FINANCIAL SERVIC/LIB/158,65 CONTRAT20086968//LIB/000000002681"/>
    <m/>
    <e v="#N/A"/>
    <e v="#N/A"/>
    <n v="92114"/>
    <m/>
    <s v="FENWICK FINANCIAL SERVICES"/>
    <s v="Q4"/>
    <e v="#REF!"/>
    <e v="#REF!"/>
    <e v="#REF!"/>
  </r>
  <r>
    <s v="512100"/>
    <x v="6"/>
    <s v="BANQUE POPULAIRE RIVE DE PARIS"/>
    <s v="BPRI"/>
    <n v="-9806.58"/>
    <d v="2025-06-26T00:00:00"/>
    <s v="PRLV B2V GESTION GU COTISATIO"/>
    <m/>
    <e v="#N/A"/>
    <e v="#N/A"/>
    <n v="76297"/>
    <m/>
    <m/>
    <s v="Q2"/>
    <e v="#REF!"/>
    <e v="#REF!"/>
    <e v="#REF!"/>
  </r>
  <r>
    <s v="512100"/>
    <x v="6"/>
    <s v="BANQUE POPULAIRE RIVE DE PARIS"/>
    <s v="BPRI"/>
    <n v="-9793"/>
    <d v="2025-02-06T00:00:00"/>
    <s v="EVI REMISE"/>
    <m/>
    <e v="#N/A"/>
    <e v="#N/A"/>
    <n v="21229"/>
    <s v="0GLHS45"/>
    <s v="Taros Chemicals GmbH &amp; Co. KG"/>
    <s v="Q1"/>
    <e v="#REF!"/>
    <e v="#REF!"/>
    <e v="#REF!"/>
  </r>
  <r>
    <s v="512100"/>
    <x v="6"/>
    <s v="BANQUE POPULAIRE RIVE DE PARIS"/>
    <s v="BPRI"/>
    <n v="-9725.52"/>
    <d v="2025-09-25T00:00:00"/>
    <s v="PRLV SEPA B2V GESTION GU COTISA"/>
    <m/>
    <e v="#N/A"/>
    <e v="#N/A"/>
    <n v="82607"/>
    <m/>
    <m/>
    <s v="Q3"/>
    <e v="#REF!"/>
    <e v="#REF!"/>
    <e v="#REF!"/>
  </r>
  <r>
    <s v="512100"/>
    <x v="6"/>
    <s v="BANQUE POPULAIRE RIVE DE PARIS"/>
    <s v="BPRI"/>
    <n v="-9694.2800000000007"/>
    <d v="2025-08-22T00:00:00"/>
    <s v="Comptabilisation du bordereau nr. 271"/>
    <m/>
    <e v="#N/A"/>
    <e v="#N/A"/>
    <n v="81573"/>
    <m/>
    <m/>
    <s v="Q3"/>
    <e v="#REF!"/>
    <e v="#REF!"/>
    <e v="#REF!"/>
  </r>
  <r>
    <s v="512100"/>
    <x v="6"/>
    <s v="BANQUE POPULAIRE RIVE DE PARIS"/>
    <s v="BPRI"/>
    <n v="-158.65"/>
    <d v="2025-10-13T00:00:00"/>
    <s v="/SQTP/RCUR/LIB/PRLV SEPA FENWICK FINANCIAL SER/LIB/FENWICK FINANCIAL SERVIC/LIB/158,65 CONTRAT20086968//LIB/000000002681"/>
    <m/>
    <e v="#N/A"/>
    <e v="#N/A"/>
    <n v="86931"/>
    <m/>
    <s v="FENWICK FINANCIAL SERVICES"/>
    <s v="Q4"/>
    <e v="#REF!"/>
    <e v="#REF!"/>
    <e v="#REF!"/>
  </r>
  <r>
    <s v="512100"/>
    <x v="6"/>
    <s v="BANQUE POPULAIRE RIVE DE PARIS"/>
    <s v="BPRI"/>
    <n v="-9430"/>
    <d v="2025-07-09T00:00:00"/>
    <s v="Comptabilisation du bordereau nr. 213"/>
    <s v="Non"/>
    <e v="#N/A"/>
    <e v="#N/A"/>
    <n v="77192"/>
    <m/>
    <s v="BIOTIKA"/>
    <s v="Q3"/>
    <e v="#REF!"/>
    <e v="#REF!"/>
    <e v="#REF!"/>
  </r>
  <r>
    <s v="512100"/>
    <x v="6"/>
    <s v="BANQUE POPULAIRE RIVE DE PARIS"/>
    <s v="BPRI"/>
    <n v="-9347.23"/>
    <d v="2025-05-23T00:00:00"/>
    <s v="Prélèvement Retraite"/>
    <m/>
    <e v="#N/A"/>
    <e v="#N/A"/>
    <n v="74088"/>
    <m/>
    <m/>
    <s v="Q2"/>
    <e v="#REF!"/>
    <e v="#REF!"/>
    <e v="#REF!"/>
  </r>
  <r>
    <s v="512100"/>
    <x v="6"/>
    <s v="BANQUE POPULAIRE RIVE DE PARIS"/>
    <s v="BPRI"/>
    <n v="-9306.43"/>
    <d v="2025-08-26T00:00:00"/>
    <s v="PRLV SEPA B2V GESTION "/>
    <m/>
    <e v="#N/A"/>
    <e v="#N/A"/>
    <n v="81641"/>
    <m/>
    <m/>
    <s v="Q3"/>
    <e v="#REF!"/>
    <e v="#REF!"/>
    <e v="#REF!"/>
  </r>
  <r>
    <s v="512100"/>
    <x v="6"/>
    <s v="BANQUE POPULAIRE RIVE DE PARIS"/>
    <s v="BPRI"/>
    <n v="-9295.58"/>
    <d v="2025-06-26T00:00:00"/>
    <s v="PRLV B2V GESTION GU COTISATIO"/>
    <m/>
    <e v="#N/A"/>
    <e v="#N/A"/>
    <n v="76294"/>
    <m/>
    <m/>
    <s v="Q2"/>
    <e v="#REF!"/>
    <e v="#REF!"/>
    <e v="#REF!"/>
  </r>
  <r>
    <s v="512100"/>
    <x v="6"/>
    <s v="BANQUE POPULAIRE RIVE DE PARIS"/>
    <s v="BPRI"/>
    <n v="-9269.56"/>
    <d v="2025-04-02T00:00:00"/>
    <s v="Comptabilisation du bordereau nr. 66"/>
    <m/>
    <e v="#N/A"/>
    <e v="#N/A"/>
    <n v="66560"/>
    <m/>
    <m/>
    <s v="Q2"/>
    <e v="#REF!"/>
    <e v="#REF!"/>
    <e v="#REF!"/>
  </r>
  <r>
    <s v="512100"/>
    <x v="6"/>
    <s v="BANQUE POPULAIRE RIVE DE PARIS"/>
    <s v="BPRI"/>
    <n v="-9231.1200000000008"/>
    <d v="2025-04-25T00:00:00"/>
    <s v="Prélèvement Retraite"/>
    <m/>
    <e v="#N/A"/>
    <e v="#N/A"/>
    <n v="70217"/>
    <m/>
    <m/>
    <s v="Q2"/>
    <e v="#REF!"/>
    <e v="#REF!"/>
    <e v="#REF!"/>
  </r>
  <r>
    <s v="512100"/>
    <x v="6"/>
    <s v="BANQUE POPULAIRE RIVE DE PARIS"/>
    <s v="BPRI"/>
    <n v="-9000"/>
    <d v="2025-02-18T00:00:00"/>
    <s v="EVI REMISE"/>
    <s v="Non"/>
    <s v="Non"/>
    <e v="#N/A"/>
    <n v="21361"/>
    <s v="0GLKPID"/>
    <s v="ALTAIR AVOCATS"/>
    <s v="Q1"/>
    <e v="#REF!"/>
    <e v="#REF!"/>
    <e v="#REF!"/>
  </r>
  <r>
    <s v="512100"/>
    <x v="6"/>
    <s v="BANQUE POPULAIRE RIVE DE PARIS"/>
    <s v="BPRI"/>
    <n v="-9000"/>
    <d v="2025-06-24T00:00:00"/>
    <s v="Comptabilisation du bordereau nr. 179"/>
    <s v="Non"/>
    <s v="Non"/>
    <e v="#N/A"/>
    <n v="76164"/>
    <m/>
    <s v="Michel Manach"/>
    <s v="Q2"/>
    <e v="#REF!"/>
    <e v="#REF!"/>
    <e v="#REF!"/>
  </r>
  <r>
    <s v="512100"/>
    <x v="6"/>
    <s v="BANQUE POPULAIRE RIVE DE PARIS"/>
    <s v="BPRI"/>
    <n v="-9000"/>
    <d v="2025-12-31T00:00:00"/>
    <s v="Comptabilisation du bordereau nr. 384"/>
    <m/>
    <e v="#N/A"/>
    <e v="#N/A"/>
    <n v="93872"/>
    <m/>
    <s v="CNAM"/>
    <s v="Q4"/>
    <e v="#REF!"/>
    <e v="#REF!"/>
    <e v="#REF!"/>
  </r>
  <r>
    <s v="512100"/>
    <x v="6"/>
    <s v="BANQUE POPULAIRE RIVE DE PARIS"/>
    <s v="BPRI"/>
    <n v="-158.65"/>
    <d v="2025-11-13T00:00:00"/>
    <s v="/SQTP/RCUR/LIB/PRLV SEPA FENWICK FINANCIAL SER/LIB/FENWICK FINANCIAL SERVIC/LIB/158,65 CONTRAT20086968//LIB/000000002681"/>
    <m/>
    <e v="#N/A"/>
    <e v="#N/A"/>
    <n v="90021"/>
    <m/>
    <s v="FENWICK FINANCIAL SERVICES"/>
    <s v="Q4"/>
    <e v="#REF!"/>
    <e v="#REF!"/>
    <e v="#REF!"/>
  </r>
  <r>
    <s v="512100"/>
    <x v="6"/>
    <s v="BANQUE POPULAIRE RIVE DE PARIS"/>
    <s v="BPRI"/>
    <n v="-158.65"/>
    <d v="2025-12-11T00:00:00"/>
    <s v="/SQTP/RCUR/LIB/PRLV SEPA FENWICK FINANCIAL SER/LIB/FENWICK FINANCIAL SERVIC/LIB/158,65 CONTRAT20086968//LIB/000000002681"/>
    <m/>
    <e v="#N/A"/>
    <e v="#N/A"/>
    <n v="92113"/>
    <m/>
    <s v="FENWICK FINANCIAL SERVICES"/>
    <s v="Q4"/>
    <e v="#REF!"/>
    <e v="#REF!"/>
    <e v="#REF!"/>
  </r>
  <r>
    <s v="512100"/>
    <x v="6"/>
    <s v="BANQUE POPULAIRE RIVE DE PARIS"/>
    <s v="BPRI"/>
    <n v="-8967.9"/>
    <d v="2025-07-25T00:00:00"/>
    <s v="Comptabilisation du bordereau nr. 229"/>
    <s v="Non"/>
    <e v="#N/A"/>
    <e v="#N/A"/>
    <n v="78422"/>
    <m/>
    <s v="BIOTIKA"/>
    <s v="Q3"/>
    <e v="#REF!"/>
    <e v="#REF!"/>
    <e v="#REF!"/>
  </r>
  <r>
    <s v="512100"/>
    <x v="6"/>
    <s v="BANQUE POPULAIRE RIVE DE PARIS"/>
    <s v="BPRI"/>
    <n v="-8926.7999999999993"/>
    <d v="2025-01-30T00:00:00"/>
    <s v="EVI REMISE"/>
    <s v="Non"/>
    <s v="Non"/>
    <e v="#N/A"/>
    <n v="21120"/>
    <s v="0GLGCN1"/>
    <s v="WE ARE BOLD"/>
    <s v="Q1"/>
    <e v="#REF!"/>
    <e v="#REF!"/>
    <e v="#REF!"/>
  </r>
  <r>
    <s v="401000"/>
    <x v="6"/>
    <s v="FOURNISSEURS"/>
    <s v="BPRI"/>
    <n v="907.2"/>
    <d v="2025-10-06T00:00:00"/>
    <s v="/SQTP/RCUR/LIB/PRLV SEPA ORANGE SA/LIB/ORANGE SA/LIB/DIVENT - P - FACTURE: 1250904854/LIB/77305741920002134984"/>
    <m/>
    <e v="#N/A"/>
    <e v="#N/A"/>
    <n v="86890"/>
    <m/>
    <s v="ORANGE"/>
    <s v="Q4"/>
    <e v="#REF!"/>
    <e v="#REF!"/>
    <e v="#REF!"/>
  </r>
  <r>
    <s v="512100"/>
    <x v="6"/>
    <s v="BANQUE POPULAIRE RIVE DE PARIS"/>
    <s v="BPRI"/>
    <n v="-8730"/>
    <d v="2025-02-25T00:00:00"/>
    <s v="PRLV INT ETS DGFIP"/>
    <m/>
    <e v="#N/A"/>
    <e v="#N/A"/>
    <n v="21408"/>
    <s v="07ES38R"/>
    <m/>
    <s v="Q1"/>
    <e v="#REF!"/>
    <e v="#REF!"/>
    <e v="#REF!"/>
  </r>
  <r>
    <s v="512100"/>
    <x v="6"/>
    <s v="BANQUE POPULAIRE RIVE DE PARIS"/>
    <s v="BPRI"/>
    <n v="-8526.4699999999993"/>
    <d v="2025-12-30T00:00:00"/>
    <s v="Comptabilisation du bordereau nr. 379"/>
    <m/>
    <e v="#N/A"/>
    <e v="#N/A"/>
    <n v="93804"/>
    <m/>
    <m/>
    <s v="Q4"/>
    <e v="#REF!"/>
    <e v="#REF!"/>
    <e v="#REF!"/>
  </r>
  <r>
    <s v="512100"/>
    <x v="6"/>
    <s v="BANQUE POPULAIRE RIVE DE PARIS"/>
    <s v="BPRI"/>
    <n v="-8474.1200000000008"/>
    <d v="2025-11-13T00:00:00"/>
    <s v="Comptabilisation du bordereau nr. 325"/>
    <m/>
    <e v="#N/A"/>
    <e v="#N/A"/>
    <n v="89933"/>
    <m/>
    <m/>
    <s v="Q4"/>
    <e v="#REF!"/>
    <e v="#REF!"/>
    <e v="#REF!"/>
  </r>
  <r>
    <s v="512100"/>
    <x v="6"/>
    <s v="BANQUE POPULAIRE RIVE DE PARIS"/>
    <s v="BPRI"/>
    <n v="-907.2"/>
    <d v="2025-10-06T00:00:00"/>
    <s v="/SQTP/RCUR/LIB/PRLV SEPA ORANGE SA/LIB/ORANGE SA/LIB/DIVENT - P - FACTURE: 1250904854/LIB/77305741920002134984"/>
    <m/>
    <e v="#N/A"/>
    <e v="#N/A"/>
    <n v="86889"/>
    <m/>
    <s v="ORANGE"/>
    <s v="Q4"/>
    <e v="#REF!"/>
    <e v="#REF!"/>
    <e v="#REF!"/>
  </r>
  <r>
    <s v="512100"/>
    <x v="6"/>
    <s v="BANQUE POPULAIRE RIVE DE PARIS"/>
    <s v="BPRI"/>
    <n v="-8456.4699999999993"/>
    <d v="2025-10-07T00:00:00"/>
    <s v="Comptabilisation du bordereau nr. 304"/>
    <m/>
    <e v="#N/A"/>
    <e v="#N/A"/>
    <n v="84373"/>
    <m/>
    <m/>
    <s v="Q4"/>
    <e v="#REF!"/>
    <e v="#REF!"/>
    <e v="#REF!"/>
  </r>
  <r>
    <s v="512100"/>
    <x v="6"/>
    <s v="BANQUE POPULAIRE RIVE DE PARIS"/>
    <s v="BPRI"/>
    <n v="-8400"/>
    <d v="2025-01-02T00:00:00"/>
    <s v="EVI REMISE"/>
    <m/>
    <e v="#N/A"/>
    <e v="#N/A"/>
    <n v="20871"/>
    <s v="0GL8HNS"/>
    <s v="TECHNIP ENERGIES FRANCE"/>
    <s v="Q1"/>
    <e v="#REF!"/>
    <e v="#REF!"/>
    <e v="#REF!"/>
  </r>
  <r>
    <s v="512100"/>
    <x v="6"/>
    <s v="BANQUE POPULAIRE RIVE DE PARIS"/>
    <s v="BPRI"/>
    <n v="-8340"/>
    <d v="2025-08-26T00:00:00"/>
    <s v="PAS"/>
    <m/>
    <e v="#N/A"/>
    <e v="#N/A"/>
    <n v="81647"/>
    <m/>
    <m/>
    <s v="Q3"/>
    <e v="#REF!"/>
    <e v="#REF!"/>
    <e v="#REF!"/>
  </r>
  <r>
    <s v="401000"/>
    <x v="6"/>
    <s v="FOURNISSEURS"/>
    <s v="BPRI"/>
    <n v="907.2"/>
    <d v="2025-12-05T00:00:00"/>
    <s v="/SQTP/RCUR/LIB/PRLV SEPA ORANGE SA/LIB/ORANGE SA/LIB/DIVENT - P - FACTURE: 1251104600/LIB/77305741920002134984"/>
    <m/>
    <e v="#N/A"/>
    <e v="#N/A"/>
    <n v="91869"/>
    <m/>
    <s v="ORANGE"/>
    <s v="Q4"/>
    <e v="#REF!"/>
    <e v="#REF!"/>
    <e v="#REF!"/>
  </r>
  <r>
    <s v="512100"/>
    <x v="6"/>
    <s v="BANQUE POPULAIRE RIVE DE PARIS"/>
    <s v="BPRI"/>
    <n v="-8284.1299999999992"/>
    <d v="2025-01-31T00:00:00"/>
    <s v="Prélèvement Emprunt"/>
    <m/>
    <e v="#N/A"/>
    <e v="#N/A"/>
    <n v="21151"/>
    <s v="8815036"/>
    <m/>
    <s v="Q1"/>
    <e v="#REF!"/>
    <e v="#REF!"/>
    <e v="#REF!"/>
  </r>
  <r>
    <s v="512100"/>
    <x v="6"/>
    <s v="BANQUE POPULAIRE RIVE DE PARIS"/>
    <s v="BPRI"/>
    <n v="-8284.1299999999992"/>
    <d v="2025-03-01T00:00:00"/>
    <s v="Prélèvement Emprunt"/>
    <m/>
    <e v="#N/A"/>
    <e v="#N/A"/>
    <n v="58992"/>
    <m/>
    <m/>
    <s v="Q1"/>
    <e v="#REF!"/>
    <e v="#REF!"/>
    <e v="#REF!"/>
  </r>
  <r>
    <s v="512100"/>
    <x v="6"/>
    <s v="BANQUE POPULAIRE RIVE DE PARIS"/>
    <s v="BPRI"/>
    <n v="-8284.1299999999992"/>
    <d v="2025-04-01T00:00:00"/>
    <s v="Prélèvement Emprunt"/>
    <m/>
    <e v="#N/A"/>
    <e v="#N/A"/>
    <n v="66456"/>
    <m/>
    <m/>
    <s v="Q2"/>
    <e v="#REF!"/>
    <e v="#REF!"/>
    <e v="#REF!"/>
  </r>
  <r>
    <s v="512100"/>
    <x v="6"/>
    <s v="BANQUE POPULAIRE RIVE DE PARIS"/>
    <s v="BPRI"/>
    <n v="-8284.1299999999992"/>
    <d v="2025-05-02T00:00:00"/>
    <s v="Echéance de prêt"/>
    <m/>
    <e v="#N/A"/>
    <e v="#N/A"/>
    <n v="70653"/>
    <m/>
    <m/>
    <s v="Q2"/>
    <e v="#REF!"/>
    <e v="#REF!"/>
    <e v="#REF!"/>
  </r>
  <r>
    <s v="512100"/>
    <x v="6"/>
    <s v="BANQUE POPULAIRE RIVE DE PARIS"/>
    <s v="BPRI"/>
    <n v="-8284.1299999999992"/>
    <d v="2025-05-31T00:00:00"/>
    <s v="Prélèvement échéance prêt"/>
    <m/>
    <e v="#N/A"/>
    <e v="#N/A"/>
    <n v="75202"/>
    <m/>
    <m/>
    <s v="Q2"/>
    <e v="#REF!"/>
    <e v="#REF!"/>
    <e v="#REF!"/>
  </r>
  <r>
    <s v="512100"/>
    <x v="6"/>
    <s v="BANQUE POPULAIRE RIVE DE PARIS"/>
    <s v="BPRI"/>
    <n v="-907.2"/>
    <d v="2025-12-05T00:00:00"/>
    <s v="/SQTP/RCUR/LIB/PRLV SEPA ORANGE SA/LIB/ORANGE SA/LIB/DIVENT - P - FACTURE: 1251104600/LIB/77305741920002134984"/>
    <m/>
    <e v="#N/A"/>
    <e v="#N/A"/>
    <n v="91868"/>
    <m/>
    <s v="ORANGE"/>
    <s v="Q4"/>
    <e v="#REF!"/>
    <e v="#REF!"/>
    <e v="#REF!"/>
  </r>
  <r>
    <s v="401000"/>
    <x v="6"/>
    <s v="FOURNISSEURS"/>
    <s v="BPRI"/>
    <n v="508"/>
    <d v="2025-10-27T00:00:00"/>
    <s v="/SQTP/RCUR/LIB/PRLV SEPA ORANGE SA/LIB/ORANGE SA/LIB/MOBENT - P - FACTURE: 91957330 -/LIB/58305741920002152127"/>
    <m/>
    <e v="#N/A"/>
    <e v="#N/A"/>
    <n v="87388"/>
    <m/>
    <s v="ORANGE"/>
    <s v="Q4"/>
    <e v="#REF!"/>
    <e v="#REF!"/>
    <e v="#REF!"/>
  </r>
  <r>
    <s v="512100"/>
    <x v="6"/>
    <s v="BANQUE POPULAIRE RIVE DE PARIS"/>
    <s v="BPRI"/>
    <n v="-508"/>
    <d v="2025-10-27T00:00:00"/>
    <s v="/SQTP/RCUR/LIB/PRLV SEPA ORANGE SA/LIB/ORANGE SA/LIB/MOBENT - P - FACTURE: 91957330 -/LIB/58305741920002152127"/>
    <m/>
    <e v="#N/A"/>
    <e v="#N/A"/>
    <n v="87387"/>
    <m/>
    <s v="ORANGE"/>
    <s v="Q4"/>
    <e v="#REF!"/>
    <e v="#REF!"/>
    <e v="#REF!"/>
  </r>
  <r>
    <s v="401000"/>
    <x v="6"/>
    <s v="FOURNISSEURS"/>
    <s v="BPRI"/>
    <n v="527.55999999999995"/>
    <d v="2025-11-24T00:00:00"/>
    <s v="/SQTP/RCUR/LIB/PRLV SEPA ORANGE SA/LIB/ORANGE SA/LIB/MOBENT - P - FACTURE: 92274102 -/LIB/58305741920002152127"/>
    <m/>
    <e v="#N/A"/>
    <e v="#N/A"/>
    <n v="91126"/>
    <m/>
    <s v="ORANGE"/>
    <s v="Q4"/>
    <e v="#REF!"/>
    <e v="#REF!"/>
    <e v="#REF!"/>
  </r>
  <r>
    <s v="512100"/>
    <x v="6"/>
    <s v="BANQUE POPULAIRE RIVE DE PARIS"/>
    <s v="BPRI"/>
    <n v="-527.55999999999995"/>
    <d v="2025-11-24T00:00:00"/>
    <s v="/SQTP/RCUR/LIB/PRLV SEPA ORANGE SA/LIB/ORANGE SA/LIB/MOBENT - P - FACTURE: 92274102 -/LIB/58305741920002152127"/>
    <m/>
    <e v="#N/A"/>
    <e v="#N/A"/>
    <n v="91125"/>
    <m/>
    <s v="ORANGE"/>
    <s v="Q4"/>
    <e v="#REF!"/>
    <e v="#REF!"/>
    <e v="#REF!"/>
  </r>
  <r>
    <s v="401000"/>
    <x v="6"/>
    <s v="FOURNISSEURS"/>
    <s v="BPRI"/>
    <n v="519.09"/>
    <d v="2025-12-29T00:00:00"/>
    <s v="/SQTP/RCUR/LIB/PRLV SEPA ORANGE SA/LIB/ORANGE SA/LIB/MOBENT - P - FACTURE: 92590049 -/LIB/58305741920002152127"/>
    <m/>
    <e v="#N/A"/>
    <e v="#N/A"/>
    <n v="93698"/>
    <m/>
    <s v="ORANGE"/>
    <s v="Q4"/>
    <e v="#REF!"/>
    <e v="#REF!"/>
    <e v="#REF!"/>
  </r>
  <r>
    <s v="512100"/>
    <x v="6"/>
    <s v="BANQUE POPULAIRE RIVE DE PARIS"/>
    <s v="BPRI"/>
    <n v="-519.09"/>
    <d v="2025-12-29T00:00:00"/>
    <s v="/SQTP/RCUR/LIB/PRLV SEPA ORANGE SA/LIB/ORANGE SA/LIB/MOBENT - P - FACTURE: 92590049 -/LIB/58305741920002152127"/>
    <m/>
    <e v="#N/A"/>
    <e v="#N/A"/>
    <n v="93697"/>
    <m/>
    <s v="ORANGE"/>
    <s v="Q4"/>
    <e v="#REF!"/>
    <e v="#REF!"/>
    <e v="#REF!"/>
  </r>
  <r>
    <s v="512100"/>
    <x v="6"/>
    <s v="BANQUE POPULAIRE RIVE DE PARIS"/>
    <s v="BPRI"/>
    <n v="-8234.56"/>
    <d v="2025-04-08T00:00:00"/>
    <s v="Comptabilisation du bordereau nr. 71"/>
    <m/>
    <e v="#N/A"/>
    <e v="#N/A"/>
    <n v="66690"/>
    <m/>
    <m/>
    <s v="Q2"/>
    <e v="#REF!"/>
    <e v="#REF!"/>
    <e v="#REF!"/>
  </r>
  <r>
    <s v="401000"/>
    <x v="6"/>
    <s v="FOURNISSEURS"/>
    <s v="BPRI"/>
    <n v="1.2"/>
    <d v="2025-12-29T00:00:00"/>
    <s v="/SQTP/RCUR/LIB/PRLV SEPA ORANGE SA/LIB/ORANGE SA/LIB/MOBENT - P - FACTURE: 92598644 -/LIB/58305741920002152127"/>
    <m/>
    <e v="#N/A"/>
    <e v="#N/A"/>
    <n v="93695"/>
    <m/>
    <s v="ORANGE"/>
    <s v="Q4"/>
    <e v="#REF!"/>
    <e v="#REF!"/>
    <e v="#REF!"/>
  </r>
  <r>
    <s v="512100"/>
    <x v="6"/>
    <s v="BANQUE POPULAIRE RIVE DE PARIS"/>
    <s v="BPRI"/>
    <n v="-7974"/>
    <d v="2025-04-24T00:00:00"/>
    <s v="Prélèvement à la source"/>
    <m/>
    <e v="#N/A"/>
    <e v="#N/A"/>
    <n v="68543"/>
    <m/>
    <m/>
    <s v="Q2"/>
    <e v="#REF!"/>
    <e v="#REF!"/>
    <e v="#REF!"/>
  </r>
  <r>
    <s v="512100"/>
    <x v="6"/>
    <s v="BANQUE POPULAIRE RIVE DE PARIS"/>
    <s v="BPRI"/>
    <n v="-7961"/>
    <d v="2025-01-22T00:00:00"/>
    <s v="PRLV INT ETS DGFIP"/>
    <m/>
    <e v="#N/A"/>
    <e v="#N/A"/>
    <n v="21048"/>
    <s v="074HPU9"/>
    <m/>
    <s v="Q1"/>
    <e v="#REF!"/>
    <e v="#REF!"/>
    <e v="#REF!"/>
  </r>
  <r>
    <s v="512100"/>
    <x v="6"/>
    <s v="BANQUE POPULAIRE RIVE DE PARIS"/>
    <s v="BPRI"/>
    <n v="-7920"/>
    <d v="2025-10-03T00:00:00"/>
    <s v="Comptabilisation du bordereau nr. 301"/>
    <m/>
    <e v="#N/A"/>
    <e v="#N/A"/>
    <n v="82701"/>
    <m/>
    <s v="DMI"/>
    <s v="Q4"/>
    <e v="#REF!"/>
    <e v="#REF!"/>
    <e v="#REF!"/>
  </r>
  <r>
    <s v="512100"/>
    <x v="6"/>
    <s v="BANQUE POPULAIRE RIVE DE PARIS"/>
    <s v="BPRI"/>
    <n v="-7870"/>
    <d v="2025-03-25T00:00:00"/>
    <s v="Prélèvement à la source"/>
    <m/>
    <e v="#N/A"/>
    <e v="#N/A"/>
    <n v="64519"/>
    <m/>
    <m/>
    <s v="Q1"/>
    <e v="#REF!"/>
    <e v="#REF!"/>
    <e v="#REF!"/>
  </r>
  <r>
    <s v="512100"/>
    <x v="6"/>
    <s v="BANQUE POPULAIRE RIVE DE PARIS"/>
    <s v="BPRI"/>
    <n v="-7680"/>
    <d v="2025-01-07T00:00:00"/>
    <s v="EVI REMISE"/>
    <m/>
    <e v="#N/A"/>
    <e v="#N/A"/>
    <n v="20915"/>
    <s v="0GL9V3J"/>
    <s v="CISION"/>
    <s v="Q1"/>
    <e v="#REF!"/>
    <e v="#REF!"/>
    <e v="#REF!"/>
  </r>
  <r>
    <s v="512100"/>
    <x v="6"/>
    <s v="BANQUE POPULAIRE RIVE DE PARIS"/>
    <s v="BPRI"/>
    <n v="-7636"/>
    <d v="2025-06-26T00:00:00"/>
    <s v="PRLV PAS DSN16062025-052025-8115245450"/>
    <m/>
    <e v="#N/A"/>
    <e v="#N/A"/>
    <n v="76287"/>
    <m/>
    <m/>
    <s v="Q2"/>
    <e v="#REF!"/>
    <e v="#REF!"/>
    <e v="#REF!"/>
  </r>
  <r>
    <s v="512100"/>
    <x v="6"/>
    <s v="BANQUE POPULAIRE RIVE DE PARIS"/>
    <s v="BPRI"/>
    <n v="-7615.28"/>
    <d v="2025-02-25T00:00:00"/>
    <s v="PRLV SEPA B2V GESTION GU COTISA"/>
    <m/>
    <e v="#N/A"/>
    <e v="#N/A"/>
    <n v="21414"/>
    <s v="07F48O2"/>
    <m/>
    <s v="Q1"/>
    <e v="#REF!"/>
    <e v="#REF!"/>
    <e v="#REF!"/>
  </r>
  <r>
    <s v="512100"/>
    <x v="6"/>
    <s v="BANQUE POPULAIRE RIVE DE PARIS"/>
    <s v="BPRI"/>
    <n v="-7421"/>
    <d v="2025-05-21T00:00:00"/>
    <s v="Prélèvement DGFIP"/>
    <m/>
    <e v="#N/A"/>
    <e v="#N/A"/>
    <n v="73920"/>
    <m/>
    <m/>
    <s v="Q2"/>
    <e v="#REF!"/>
    <e v="#REF!"/>
    <e v="#REF!"/>
  </r>
  <r>
    <s v="512100"/>
    <x v="6"/>
    <s v="BANQUE POPULAIRE RIVE DE PARIS"/>
    <s v="BPRI"/>
    <n v="-7255.53"/>
    <d v="2025-04-29T00:00:00"/>
    <s v="Comptabilisation du bordereau nr. 109"/>
    <m/>
    <e v="#N/A"/>
    <e v="#N/A"/>
    <n v="70462"/>
    <m/>
    <m/>
    <s v="Q2"/>
    <e v="#REF!"/>
    <e v="#REF!"/>
    <e v="#REF!"/>
  </r>
  <r>
    <s v="512100"/>
    <x v="6"/>
    <s v="BANQUE POPULAIRE RIVE DE PARIS"/>
    <s v="BPRI"/>
    <n v="-1.2"/>
    <d v="2025-12-29T00:00:00"/>
    <s v="/SQTP/RCUR/LIB/PRLV SEPA ORANGE SA/LIB/ORANGE SA/LIB/MOBENT - P - FACTURE: 92598644 -/LIB/58305741920002152127"/>
    <m/>
    <e v="#N/A"/>
    <e v="#N/A"/>
    <n v="93694"/>
    <m/>
    <s v="ORANGE"/>
    <s v="Q4"/>
    <e v="#REF!"/>
    <e v="#REF!"/>
    <e v="#REF!"/>
  </r>
  <r>
    <s v="512100"/>
    <x v="6"/>
    <s v="BANQUE POPULAIRE RIVE DE PARIS"/>
    <s v="BPRI"/>
    <n v="-6966.37"/>
    <d v="2025-12-23T00:00:00"/>
    <s v="Comptabilisation du bordereau nr. 373"/>
    <m/>
    <e v="#N/A"/>
    <e v="#N/A"/>
    <n v="93526"/>
    <m/>
    <m/>
    <s v="Q4"/>
    <e v="#REF!"/>
    <e v="#REF!"/>
    <e v="#REF!"/>
  </r>
  <r>
    <s v="512100"/>
    <x v="6"/>
    <s v="BANQUE POPULAIRE RIVE DE PARIS"/>
    <s v="BPRI"/>
    <n v="-6859.79"/>
    <d v="2025-02-28T00:00:00"/>
    <s v="Règlement fournisseurs"/>
    <s v="Non"/>
    <s v="Non"/>
    <e v="#N/A"/>
    <n v="58921"/>
    <m/>
    <s v="OSIRIS"/>
    <s v="Q1"/>
    <e v="#REF!"/>
    <e v="#REF!"/>
    <e v="#REF!"/>
  </r>
  <r>
    <s v="512100"/>
    <x v="6"/>
    <s v="BANQUE POPULAIRE RIVE DE PARIS"/>
    <s v="BPRI"/>
    <n v="-6591.56"/>
    <d v="2025-08-18T00:00:00"/>
    <s v="Comptabilisation du bordereau nr. 256"/>
    <s v="Non"/>
    <s v="Non"/>
    <e v="#N/A"/>
    <n v="81108"/>
    <m/>
    <s v="TRICIA CAREY"/>
    <s v="Q3"/>
    <e v="#REF!"/>
    <e v="#REF!"/>
    <e v="#REF!"/>
  </r>
  <r>
    <s v="512100"/>
    <x v="6"/>
    <s v="BANQUE POPULAIRE RIVE DE PARIS"/>
    <s v="BPRI"/>
    <n v="-6519.53"/>
    <d v="2025-07-15T00:00:00"/>
    <s v="VIR STC WBH"/>
    <m/>
    <e v="#N/A"/>
    <e v="#N/A"/>
    <n v="77595"/>
    <m/>
    <m/>
    <s v="Q3"/>
    <e v="#REF!"/>
    <e v="#REF!"/>
    <e v="#REF!"/>
  </r>
  <r>
    <s v="401000"/>
    <x v="6"/>
    <s v="FOURNISSEURS"/>
    <s v="BPRI"/>
    <n v="157.19999999999999"/>
    <d v="2025-10-10T00:00:00"/>
    <s v="/SQTP/RCUR/LIB/PRLV SEPA ORANGE SA/LIB/ORANGE SA/LIB/VOTRE ABONNEMENT FIBRE (FACTURE:/LIB/M0066644577"/>
    <m/>
    <e v="#N/A"/>
    <e v="#N/A"/>
    <n v="86922"/>
    <m/>
    <s v="ORANGE"/>
    <s v="Q4"/>
    <e v="#REF!"/>
    <e v="#REF!"/>
    <e v="#REF!"/>
  </r>
  <r>
    <s v="401000"/>
    <x v="6"/>
    <s v="FOURNISSEURS"/>
    <s v="BPRI"/>
    <n v="157.19999999999999"/>
    <d v="2025-11-07T00:00:00"/>
    <s v="/SQTP/RCUR/LIB/PRLV SEPA ORANGE SA/LIB/ORANGE SA/LIB/VOTRE ABONNEMENT FIBRE (FACTURE:/LIB/M0066644577"/>
    <m/>
    <e v="#N/A"/>
    <e v="#N/A"/>
    <n v="89533"/>
    <m/>
    <s v="ORANGE"/>
    <s v="Q4"/>
    <e v="#REF!"/>
    <e v="#REF!"/>
    <e v="#REF!"/>
  </r>
  <r>
    <s v="512100"/>
    <x v="6"/>
    <s v="BANQUE POPULAIRE RIVE DE PARIS"/>
    <s v="BPRI"/>
    <n v="-6424.38"/>
    <d v="2025-08-21T00:00:00"/>
    <s v="Comptabilisation du bordereau nr. 263"/>
    <m/>
    <e v="#N/A"/>
    <e v="#N/A"/>
    <n v="81472"/>
    <m/>
    <m/>
    <s v="Q3"/>
    <e v="#REF!"/>
    <e v="#REF!"/>
    <e v="#REF!"/>
  </r>
  <r>
    <s v="512100"/>
    <x v="6"/>
    <s v="BANQUE POPULAIRE RIVE DE PARIS"/>
    <s v="BPRI"/>
    <n v="-6413.9"/>
    <d v="2025-03-14T00:00:00"/>
    <s v="Comptabilisation du bordereau nr. 46"/>
    <m/>
    <e v="#N/A"/>
    <e v="#N/A"/>
    <n v="61661"/>
    <m/>
    <m/>
    <s v="Q1"/>
    <e v="#REF!"/>
    <e v="#REF!"/>
    <e v="#REF!"/>
  </r>
  <r>
    <s v="512100"/>
    <x v="6"/>
    <s v="BANQUE POPULAIRE RIVE DE PARIS"/>
    <s v="BPRI"/>
    <n v="-6226.16"/>
    <d v="2025-09-16T00:00:00"/>
    <s v="Comptabilisation du bordereau nr. 284"/>
    <m/>
    <e v="#N/A"/>
    <e v="#N/A"/>
    <n v="82415"/>
    <m/>
    <m/>
    <s v="Q3"/>
    <e v="#REF!"/>
    <e v="#REF!"/>
    <e v="#REF!"/>
  </r>
  <r>
    <s v="512100"/>
    <x v="6"/>
    <s v="BANQUE POPULAIRE RIVE DE PARIS"/>
    <s v="BPRI"/>
    <n v="-6207.99"/>
    <d v="2025-11-19T00:00:00"/>
    <s v="Comptabilisation du bordereau nr. 336"/>
    <s v="Non"/>
    <e v="#N/A"/>
    <e v="#N/A"/>
    <n v="90483"/>
    <m/>
    <s v="BIOTIKA"/>
    <s v="Q4"/>
    <e v="#REF!"/>
    <e v="#REF!"/>
    <e v="#REF!"/>
  </r>
  <r>
    <s v="401000"/>
    <x v="6"/>
    <s v="FOURNISSEURS"/>
    <s v="BPRI"/>
    <n v="157.19999999999999"/>
    <d v="2025-12-08T00:00:00"/>
    <s v="/SQTP/RCUR/LIB/PRLV SEPA ORANGE SA/LIB/ORANGE SA/LIB/VOTRE ABONNEMENT FIBRE (FACTURE:/LIB/M0066644577"/>
    <m/>
    <e v="#N/A"/>
    <e v="#N/A"/>
    <n v="91908"/>
    <m/>
    <s v="ORANGE"/>
    <s v="Q4"/>
    <e v="#REF!"/>
    <e v="#REF!"/>
    <e v="#REF!"/>
  </r>
  <r>
    <s v="512100"/>
    <x v="6"/>
    <s v="BANQUE POPULAIRE RIVE DE PARIS"/>
    <s v="BPRI"/>
    <n v="-6171.17"/>
    <d v="2025-04-28T00:00:00"/>
    <s v="Prélèvement Fournisseur"/>
    <s v="Non"/>
    <s v="Non"/>
    <e v="#N/A"/>
    <n v="70453"/>
    <m/>
    <s v="BDO EXPERTISE"/>
    <s v="Q2"/>
    <e v="#REF!"/>
    <e v="#REF!"/>
    <e v="#REF!"/>
  </r>
  <r>
    <s v="512100"/>
    <x v="6"/>
    <s v="BANQUE POPULAIRE RIVE DE PARIS"/>
    <s v="BPRI"/>
    <n v="-6069.15"/>
    <d v="2025-05-23T00:00:00"/>
    <s v="Prélèvement Retraite"/>
    <m/>
    <e v="#N/A"/>
    <e v="#N/A"/>
    <n v="74085"/>
    <m/>
    <m/>
    <s v="Q2"/>
    <e v="#REF!"/>
    <e v="#REF!"/>
    <e v="#REF!"/>
  </r>
  <r>
    <s v="512100"/>
    <x v="6"/>
    <s v="BANQUE POPULAIRE RIVE DE PARIS"/>
    <s v="BPRI"/>
    <n v="-157.19999999999999"/>
    <d v="2025-10-10T00:00:00"/>
    <s v="/SQTP/RCUR/LIB/PRLV SEPA ORANGE SA/LIB/ORANGE SA/LIB/VOTRE ABONNEMENT FIBRE (FACTURE:/LIB/M0066644577"/>
    <m/>
    <e v="#N/A"/>
    <e v="#N/A"/>
    <n v="86921"/>
    <m/>
    <s v="ORANGE"/>
    <s v="Q4"/>
    <e v="#REF!"/>
    <e v="#REF!"/>
    <e v="#REF!"/>
  </r>
  <r>
    <s v="512100"/>
    <x v="6"/>
    <s v="BANQUE POPULAIRE RIVE DE PARIS"/>
    <s v="BPRI"/>
    <n v="-6000"/>
    <d v="2025-02-28T00:00:00"/>
    <s v="Règlement fournisseurs"/>
    <m/>
    <e v="#N/A"/>
    <e v="#N/A"/>
    <n v="58933"/>
    <m/>
    <s v="UBIQUITIZ CONSULTING"/>
    <s v="Q1"/>
    <e v="#REF!"/>
    <e v="#REF!"/>
    <e v="#REF!"/>
  </r>
  <r>
    <s v="512100"/>
    <x v="6"/>
    <s v="BANQUE POPULAIRE RIVE DE PARIS"/>
    <s v="BPRI"/>
    <n v="-5940"/>
    <d v="2025-03-07T00:00:00"/>
    <s v="Comptabilisation du bordereau nr. 20"/>
    <m/>
    <e v="#N/A"/>
    <e v="#N/A"/>
    <n v="58784"/>
    <m/>
    <s v="Kymono"/>
    <s v="Q1"/>
    <e v="#REF!"/>
    <e v="#REF!"/>
    <e v="#REF!"/>
  </r>
  <r>
    <s v="512100"/>
    <x v="6"/>
    <s v="BANQUE POPULAIRE RIVE DE PARIS"/>
    <s v="BPRI"/>
    <n v="-5900.76"/>
    <d v="2025-03-03T00:00:00"/>
    <s v="Règlement fournisseurs"/>
    <s v="Non"/>
    <s v="Non"/>
    <e v="#N/A"/>
    <n v="58966"/>
    <m/>
    <s v="BDO EXPERTISE"/>
    <s v="Q1"/>
    <e v="#REF!"/>
    <e v="#REF!"/>
    <e v="#REF!"/>
  </r>
  <r>
    <s v="512100"/>
    <x v="6"/>
    <s v="BANQUE POPULAIRE RIVE DE PARIS"/>
    <s v="BPRI"/>
    <n v="-5879.34"/>
    <d v="2025-06-27T00:00:00"/>
    <s v="Comptabilisation du bordereau nr. 184"/>
    <m/>
    <e v="#N/A"/>
    <e v="#N/A"/>
    <n v="76305"/>
    <m/>
    <m/>
    <s v="Q2"/>
    <e v="#REF!"/>
    <e v="#REF!"/>
    <e v="#REF!"/>
  </r>
  <r>
    <s v="512100"/>
    <x v="6"/>
    <s v="BANQUE POPULAIRE RIVE DE PARIS"/>
    <s v="BPRI"/>
    <n v="-157.19999999999999"/>
    <d v="2025-11-07T00:00:00"/>
    <s v="/SQTP/RCUR/LIB/PRLV SEPA ORANGE SA/LIB/ORANGE SA/LIB/VOTRE ABONNEMENT FIBRE (FACTURE:/LIB/M0066644577"/>
    <m/>
    <e v="#N/A"/>
    <e v="#N/A"/>
    <n v="89532"/>
    <m/>
    <s v="ORANGE"/>
    <s v="Q4"/>
    <e v="#REF!"/>
    <e v="#REF!"/>
    <e v="#REF!"/>
  </r>
  <r>
    <s v="512100"/>
    <x v="6"/>
    <s v="BANQUE POPULAIRE RIVE DE PARIS"/>
    <s v="BPRI"/>
    <n v="-5841"/>
    <d v="2025-09-08T00:00:00"/>
    <s v="Comptabilisation du bordereau nr. 273"/>
    <m/>
    <e v="#N/A"/>
    <e v="#N/A"/>
    <n v="81725"/>
    <s v="APPEL PRIME CMMA 2025.061"/>
    <s v="ASCONA"/>
    <s v="Q3"/>
    <e v="#REF!"/>
    <e v="#REF!"/>
    <e v="#REF!"/>
  </r>
  <r>
    <s v="512100"/>
    <x v="6"/>
    <s v="BANQUE POPULAIRE RIVE DE PARIS"/>
    <s v="BPRI"/>
    <n v="-5702.6"/>
    <d v="2025-02-05T00:00:00"/>
    <s v="EVI REMISE"/>
    <m/>
    <s v="Non"/>
    <e v="#N/A"/>
    <n v="21213"/>
    <s v="0GLHQDL"/>
    <s v="AXE GESCOM"/>
    <s v="Q1"/>
    <e v="#REF!"/>
    <e v="#REF!"/>
    <e v="#REF!"/>
  </r>
  <r>
    <s v="512100"/>
    <x v="6"/>
    <s v="BANQUE POPULAIRE RIVE DE PARIS"/>
    <s v="BPRI"/>
    <n v="-5671.51"/>
    <d v="2025-06-26T00:00:00"/>
    <s v="PRLV B2V GESTION GU COTISATIO"/>
    <m/>
    <e v="#N/A"/>
    <e v="#N/A"/>
    <n v="76291"/>
    <m/>
    <m/>
    <s v="Q2"/>
    <e v="#REF!"/>
    <e v="#REF!"/>
    <e v="#REF!"/>
  </r>
  <r>
    <s v="512100"/>
    <x v="6"/>
    <s v="BANQUE POPULAIRE RIVE DE PARIS"/>
    <s v="BPRI"/>
    <n v="-5633.3"/>
    <d v="2025-04-25T00:00:00"/>
    <s v="Prélèvement Retraite"/>
    <m/>
    <e v="#N/A"/>
    <e v="#N/A"/>
    <n v="70220"/>
    <m/>
    <m/>
    <s v="Q2"/>
    <e v="#REF!"/>
    <e v="#REF!"/>
    <e v="#REF!"/>
  </r>
  <r>
    <s v="512100"/>
    <x v="6"/>
    <s v="BANQUE POPULAIRE RIVE DE PARIS"/>
    <s v="BPRI"/>
    <n v="-157.19999999999999"/>
    <d v="2025-12-08T00:00:00"/>
    <s v="/SQTP/RCUR/LIB/PRLV SEPA ORANGE SA/LIB/ORANGE SA/LIB/VOTRE ABONNEMENT FIBRE (FACTURE:/LIB/M0066644577"/>
    <m/>
    <e v="#N/A"/>
    <e v="#N/A"/>
    <n v="91907"/>
    <m/>
    <s v="ORANGE"/>
    <s v="Q4"/>
    <e v="#REF!"/>
    <e v="#REF!"/>
    <e v="#REF!"/>
  </r>
  <r>
    <s v="401000"/>
    <x v="6"/>
    <s v="FOURNISSEURS"/>
    <s v="BPRI"/>
    <n v="111.6"/>
    <d v="2025-10-21T00:00:00"/>
    <s v="/SQTP/RCUR/LIB/PRLV SEPA PREVALY/LIB/PREVALY/LIB/MDSE112209SAMS33750"/>
    <m/>
    <e v="#N/A"/>
    <e v="#N/A"/>
    <n v="87319"/>
    <m/>
    <s v="PREVALY"/>
    <s v="Q4"/>
    <e v="#REF!"/>
    <e v="#REF!"/>
    <e v="#REF!"/>
  </r>
  <r>
    <s v="512100"/>
    <x v="6"/>
    <s v="BANQUE POPULAIRE RIVE DE PARIS"/>
    <s v="BPRI"/>
    <n v="-5532"/>
    <d v="2025-02-18T00:00:00"/>
    <s v="EVI REMISE"/>
    <m/>
    <e v="#N/A"/>
    <e v="#N/A"/>
    <n v="21365"/>
    <s v="0GLKPIG"/>
    <s v="REED EXHIBITIONS LTD"/>
    <s v="Q1"/>
    <e v="#REF!"/>
    <e v="#REF!"/>
    <e v="#REF!"/>
  </r>
  <r>
    <s v="512100"/>
    <x v="6"/>
    <s v="BANQUE POPULAIRE RIVE DE PARIS"/>
    <s v="BPRI"/>
    <n v="-5506.22"/>
    <d v="2025-03-28T00:00:00"/>
    <s v="Comptabilisation du bordereau nr. 63"/>
    <m/>
    <e v="#N/A"/>
    <e v="#N/A"/>
    <n v="64970"/>
    <m/>
    <m/>
    <s v="Q1"/>
    <e v="#REF!"/>
    <e v="#REF!"/>
    <e v="#REF!"/>
  </r>
  <r>
    <s v="512100"/>
    <x v="6"/>
    <s v="BANQUE POPULAIRE RIVE DE PARIS"/>
    <s v="BPRI"/>
    <n v="-5433.96"/>
    <d v="2025-12-24T00:00:00"/>
    <s v="Comptabilisation du bordereau nr. 375"/>
    <m/>
    <e v="#N/A"/>
    <e v="#N/A"/>
    <n v="93665"/>
    <m/>
    <m/>
    <s v="Q4"/>
    <e v="#REF!"/>
    <e v="#REF!"/>
    <e v="#REF!"/>
  </r>
  <r>
    <s v="512100"/>
    <x v="6"/>
    <s v="BANQUE POPULAIRE RIVE DE PARIS"/>
    <s v="BPRI"/>
    <n v="-5372.73"/>
    <d v="2025-08-08T00:00:00"/>
    <s v="Comptabilisation du bordereau nr. 247"/>
    <m/>
    <e v="#N/A"/>
    <e v="#N/A"/>
    <n v="80768"/>
    <m/>
    <m/>
    <s v="Q3"/>
    <e v="#REF!"/>
    <e v="#REF!"/>
    <e v="#REF!"/>
  </r>
  <r>
    <s v="512100"/>
    <x v="6"/>
    <s v="BANQUE POPULAIRE RIVE DE PARIS"/>
    <s v="BPRI"/>
    <n v="-5329"/>
    <d v="2025-08-26T00:00:00"/>
    <s v="PAS"/>
    <m/>
    <e v="#N/A"/>
    <e v="#N/A"/>
    <n v="81645"/>
    <m/>
    <m/>
    <s v="Q3"/>
    <e v="#REF!"/>
    <e v="#REF!"/>
    <e v="#REF!"/>
  </r>
  <r>
    <s v="512100"/>
    <x v="6"/>
    <s v="BANQUE POPULAIRE RIVE DE PARIS"/>
    <s v="BPRI"/>
    <n v="-5317.17"/>
    <d v="2025-12-05T00:00:00"/>
    <s v="Comptabilisation du bordereau nr. 351"/>
    <m/>
    <e v="#N/A"/>
    <e v="#N/A"/>
    <n v="91351"/>
    <m/>
    <m/>
    <s v="Q4"/>
    <e v="#REF!"/>
    <e v="#REF!"/>
    <e v="#REF!"/>
  </r>
  <r>
    <s v="512100"/>
    <x v="6"/>
    <s v="BANQUE POPULAIRE RIVE DE PARIS"/>
    <s v="BPRI"/>
    <n v="-111.6"/>
    <d v="2025-10-21T00:00:00"/>
    <s v="/SQTP/RCUR/LIB/PRLV SEPA PREVALY/LIB/PREVALY/LIB/MDSE112209SAMS33750"/>
    <m/>
    <e v="#N/A"/>
    <e v="#N/A"/>
    <n v="87318"/>
    <m/>
    <s v="PREVALY"/>
    <s v="Q4"/>
    <e v="#REF!"/>
    <e v="#REF!"/>
    <e v="#REF!"/>
  </r>
  <r>
    <s v="512100"/>
    <x v="6"/>
    <s v="BANQUE POPULAIRE RIVE DE PARIS"/>
    <s v="BPRI"/>
    <n v="-5205"/>
    <d v="2025-06-26T00:00:00"/>
    <s v="PRLV PAS DSN16062025-052025-8115245450"/>
    <m/>
    <e v="#N/A"/>
    <e v="#N/A"/>
    <n v="76284"/>
    <m/>
    <m/>
    <s v="Q2"/>
    <e v="#REF!"/>
    <e v="#REF!"/>
    <e v="#REF!"/>
  </r>
  <r>
    <s v="401000"/>
    <x v="6"/>
    <s v="FOURNISSEURS"/>
    <s v="BPRI"/>
    <n v="1389.3"/>
    <d v="2025-10-10T00:00:00"/>
    <s v="/SQTP/RCUR/LIB/PRLV SEPA REGIE CONSEIL/LIB/REGIE CONSEIL/LIB/PRELEVEMENT DU 10/10/2025/LIB/L00005087001"/>
    <m/>
    <e v="#N/A"/>
    <e v="#N/A"/>
    <n v="86926"/>
    <m/>
    <s v="REGIE CONSEIL"/>
    <s v="Q4"/>
    <e v="#REF!"/>
    <e v="#REF!"/>
    <e v="#REF!"/>
  </r>
  <r>
    <s v="512100"/>
    <x v="6"/>
    <s v="BANQUE POPULAIRE RIVE DE PARIS"/>
    <s v="BPRI"/>
    <n v="-5082.07"/>
    <d v="2025-01-30T00:00:00"/>
    <s v="EVI REMISE"/>
    <m/>
    <s v="Non"/>
    <n v="0"/>
    <n v="21122"/>
    <s v="0GLGCN2"/>
    <s v="CHIMIREC CENTRE EST"/>
    <s v="Q1"/>
    <e v="#REF!"/>
    <e v="#REF!"/>
    <e v="#REF!"/>
  </r>
  <r>
    <s v="512100"/>
    <x v="6"/>
    <s v="BANQUE POPULAIRE RIVE DE PARIS"/>
    <s v="BPRI"/>
    <n v="-5067"/>
    <d v="2025-01-22T00:00:00"/>
    <s v="PRLV INT ETS DGFIP"/>
    <m/>
    <e v="#N/A"/>
    <e v="#N/A"/>
    <n v="21044"/>
    <s v="074HP96"/>
    <m/>
    <s v="Q1"/>
    <e v="#REF!"/>
    <e v="#REF!"/>
    <e v="#REF!"/>
  </r>
  <r>
    <s v="512100"/>
    <x v="6"/>
    <s v="BANQUE POPULAIRE RIVE DE PARIS"/>
    <s v="BPRI"/>
    <n v="-5022.2700000000004"/>
    <d v="2025-09-25T00:00:00"/>
    <s v="PRLV SEPA B2V GESTION GU COTISA"/>
    <m/>
    <e v="#N/A"/>
    <e v="#N/A"/>
    <n v="82602"/>
    <m/>
    <m/>
    <s v="Q3"/>
    <e v="#REF!"/>
    <e v="#REF!"/>
    <e v="#REF!"/>
  </r>
  <r>
    <s v="512100"/>
    <x v="6"/>
    <s v="BANQUE POPULAIRE RIVE DE PARIS"/>
    <s v="BPRI"/>
    <n v="-5009.28"/>
    <d v="2025-08-26T00:00:00"/>
    <s v="PRLV SEPA B2V GESTION "/>
    <m/>
    <e v="#N/A"/>
    <e v="#N/A"/>
    <n v="81638"/>
    <m/>
    <m/>
    <s v="Q3"/>
    <e v="#REF!"/>
    <e v="#REF!"/>
    <e v="#REF!"/>
  </r>
  <r>
    <s v="512100"/>
    <x v="6"/>
    <s v="BANQUE POPULAIRE RIVE DE PARIS"/>
    <s v="BPRI"/>
    <n v="-4926"/>
    <d v="2025-03-25T00:00:00"/>
    <s v="Prélèvement à la source"/>
    <m/>
    <e v="#N/A"/>
    <e v="#N/A"/>
    <n v="64516"/>
    <m/>
    <m/>
    <s v="Q1"/>
    <e v="#REF!"/>
    <e v="#REF!"/>
    <e v="#REF!"/>
  </r>
  <r>
    <s v="512100"/>
    <x v="6"/>
    <s v="BANQUE POPULAIRE RIVE DE PARIS"/>
    <s v="BPRI"/>
    <n v="-4917.84"/>
    <d v="2025-12-11T00:00:00"/>
    <s v="Comptabilisation du bordereau nr. 362"/>
    <m/>
    <e v="#N/A"/>
    <e v="#N/A"/>
    <n v="92081"/>
    <m/>
    <m/>
    <s v="Q4"/>
    <e v="#REF!"/>
    <e v="#REF!"/>
    <e v="#REF!"/>
  </r>
  <r>
    <s v="512100"/>
    <x v="6"/>
    <s v="BANQUE POPULAIRE RIVE DE PARIS"/>
    <s v="BPRI"/>
    <n v="-4866"/>
    <d v="2025-05-21T00:00:00"/>
    <s v="Prélèvement DGFIP"/>
    <m/>
    <e v="#N/A"/>
    <e v="#N/A"/>
    <n v="73917"/>
    <m/>
    <m/>
    <s v="Q2"/>
    <e v="#REF!"/>
    <e v="#REF!"/>
    <e v="#REF!"/>
  </r>
  <r>
    <s v="512100"/>
    <x v="6"/>
    <s v="BANQUE POPULAIRE RIVE DE PARIS"/>
    <s v="BPRI"/>
    <n v="-1389.3"/>
    <d v="2025-10-10T00:00:00"/>
    <s v="/SQTP/RCUR/LIB/PRLV SEPA REGIE CONSEIL/LIB/REGIE CONSEIL/LIB/PRELEVEMENT DU 10/10/2025/LIB/L00005087001"/>
    <m/>
    <e v="#N/A"/>
    <e v="#N/A"/>
    <n v="86925"/>
    <m/>
    <s v="REGIE CONSEIL"/>
    <s v="Q4"/>
    <e v="#REF!"/>
    <e v="#REF!"/>
    <e v="#REF!"/>
  </r>
  <r>
    <s v="512100"/>
    <x v="6"/>
    <s v="BANQUE POPULAIRE RIVE DE PARIS"/>
    <s v="BPRI"/>
    <n v="-4782.96"/>
    <d v="2025-02-18T00:00:00"/>
    <s v="EVI REMISE"/>
    <m/>
    <e v="#N/A"/>
    <e v="#N/A"/>
    <n v="21359"/>
    <s v="0GLKPIB"/>
    <s v="FOURE LAGADEC"/>
    <s v="Q1"/>
    <e v="#REF!"/>
    <e v="#REF!"/>
    <e v="#REF!"/>
  </r>
  <r>
    <s v="512100"/>
    <x v="6"/>
    <s v="BANQUE POPULAIRE RIVE DE PARIS"/>
    <s v="BPRI"/>
    <n v="-4773"/>
    <d v="2025-04-24T00:00:00"/>
    <s v="Prélèvement à la source"/>
    <m/>
    <e v="#N/A"/>
    <e v="#N/A"/>
    <n v="68540"/>
    <m/>
    <m/>
    <s v="Q2"/>
    <e v="#REF!"/>
    <e v="#REF!"/>
    <e v="#REF!"/>
  </r>
  <r>
    <s v="401000"/>
    <x v="6"/>
    <s v="FOURNISSEURS"/>
    <s v="BPRI"/>
    <n v="1288.3599999999999"/>
    <d v="2025-11-10T00:00:00"/>
    <s v="/SQTP/RCUR/LIB/PRLV SEPA REGIE CONSEIL/LIB/REGIE CONSEIL/LIB/PRELEVEMENT DU 10/11/2025/LIB/L00005087001"/>
    <m/>
    <e v="#N/A"/>
    <e v="#N/A"/>
    <n v="89536"/>
    <m/>
    <s v="REGIE CONSEIL"/>
    <s v="Q4"/>
    <e v="#REF!"/>
    <e v="#REF!"/>
    <e v="#REF!"/>
  </r>
  <r>
    <s v="512100"/>
    <x v="6"/>
    <s v="BANQUE POPULAIRE RIVE DE PARIS"/>
    <s v="BPRI"/>
    <n v="-4760.47"/>
    <d v="2025-11-24T00:00:00"/>
    <s v="Comptabilisation du bordereau nr. 341"/>
    <m/>
    <e v="#N/A"/>
    <e v="#N/A"/>
    <n v="90625"/>
    <m/>
    <m/>
    <s v="Q4"/>
    <e v="#REF!"/>
    <e v="#REF!"/>
    <e v="#REF!"/>
  </r>
  <r>
    <s v="512100"/>
    <x v="6"/>
    <s v="BANQUE POPULAIRE RIVE DE PARIS"/>
    <s v="BPRI"/>
    <n v="-4691.68"/>
    <d v="2025-12-18T00:00:00"/>
    <s v="Comptabilisation du bordereau nr. 368"/>
    <m/>
    <e v="#N/A"/>
    <e v="#N/A"/>
    <n v="92676"/>
    <m/>
    <s v="INSA TOULOUSE"/>
    <s v="Q4"/>
    <e v="#REF!"/>
    <e v="#REF!"/>
    <e v="#REF!"/>
  </r>
  <r>
    <s v="512100"/>
    <x v="6"/>
    <s v="BANQUE POPULAIRE RIVE DE PARIS"/>
    <s v="BPRI"/>
    <n v="-4562.87"/>
    <d v="2025-01-13T00:00:00"/>
    <s v="EVI TRAORE HATOUMA"/>
    <m/>
    <e v="#N/A"/>
    <e v="#N/A"/>
    <n v="20955"/>
    <s v="1100170"/>
    <m/>
    <s v="Q1"/>
    <e v="#REF!"/>
    <e v="#REF!"/>
    <e v="#REF!"/>
  </r>
  <r>
    <s v="512100"/>
    <x v="6"/>
    <s v="BANQUE POPULAIRE RIVE DE PARIS"/>
    <s v="BPRI"/>
    <n v="-4560"/>
    <d v="2025-02-28T00:00:00"/>
    <s v="Règlement fournisseurs"/>
    <m/>
    <e v="#N/A"/>
    <e v="#N/A"/>
    <n v="58897"/>
    <m/>
    <s v="DROOMS"/>
    <s v="Q1"/>
    <e v="#REF!"/>
    <e v="#REF!"/>
    <e v="#REF!"/>
  </r>
  <r>
    <s v="512100"/>
    <x v="6"/>
    <s v="BANQUE POPULAIRE RIVE DE PARIS"/>
    <s v="BPRI"/>
    <n v="-4475"/>
    <d v="2025-02-25T00:00:00"/>
    <s v="PRLV INT ETS DGFIP"/>
    <m/>
    <e v="#N/A"/>
    <e v="#N/A"/>
    <n v="21410"/>
    <s v="07ES3RO"/>
    <m/>
    <s v="Q1"/>
    <e v="#REF!"/>
    <e v="#REF!"/>
    <e v="#REF!"/>
  </r>
  <r>
    <s v="512100"/>
    <x v="6"/>
    <s v="BANQUE POPULAIRE RIVE DE PARIS"/>
    <s v="BPRI"/>
    <n v="-4461.6499999999996"/>
    <d v="2025-02-25T00:00:00"/>
    <s v="PRLV SEPA B2V GESTION GU COTISA"/>
    <m/>
    <e v="#N/A"/>
    <e v="#N/A"/>
    <n v="21416"/>
    <s v="07F493Q"/>
    <m/>
    <s v="Q1"/>
    <e v="#REF!"/>
    <e v="#REF!"/>
    <e v="#REF!"/>
  </r>
  <r>
    <s v="512100"/>
    <x v="6"/>
    <s v="BANQUE POPULAIRE RIVE DE PARIS"/>
    <s v="BPRI"/>
    <n v="-4418.75"/>
    <d v="2025-02-18T00:00:00"/>
    <s v="EVI REMISE"/>
    <s v="Non"/>
    <e v="#N/A"/>
    <e v="#N/A"/>
    <n v="21355"/>
    <s v="0GLKPI9"/>
    <s v="DOTMATICS LIMITED"/>
    <s v="Q1"/>
    <e v="#REF!"/>
    <e v="#REF!"/>
    <e v="#REF!"/>
  </r>
  <r>
    <s v="512100"/>
    <x v="6"/>
    <s v="BANQUE POPULAIRE RIVE DE PARIS"/>
    <s v="BPRI"/>
    <n v="-4362.03"/>
    <d v="2025-02-21T00:00:00"/>
    <s v="PRLV SEPA GAN ASSURANCE"/>
    <m/>
    <e v="#N/A"/>
    <e v="#N/A"/>
    <n v="21387"/>
    <s v="07CCLGV"/>
    <s v="Gan Assurance"/>
    <s v="Q1"/>
    <e v="#REF!"/>
    <e v="#REF!"/>
    <e v="#REF!"/>
  </r>
  <r>
    <s v="512100"/>
    <x v="6"/>
    <s v="BANQUE POPULAIRE RIVE DE PARIS"/>
    <s v="BPRI"/>
    <n v="-4344"/>
    <d v="2025-01-30T00:00:00"/>
    <s v="EVI REMISE"/>
    <s v="Non"/>
    <e v="#N/A"/>
    <e v="#N/A"/>
    <n v="21146"/>
    <s v="0GLGCRZ"/>
    <s v="LOPEZ PLOMBERIE ELECTRICITE"/>
    <s v="Q1"/>
    <e v="#REF!"/>
    <e v="#REF!"/>
    <e v="#REF!"/>
  </r>
  <r>
    <s v="512100"/>
    <x v="6"/>
    <s v="BANQUE POPULAIRE RIVE DE PARIS"/>
    <s v="BPRI"/>
    <n v="-4240"/>
    <d v="2025-06-16T00:00:00"/>
    <s v="Comptabilisation du bordereau nr. 171"/>
    <m/>
    <e v="#N/A"/>
    <e v="#N/A"/>
    <n v="76143"/>
    <m/>
    <m/>
    <s v="Q2"/>
    <e v="#REF!"/>
    <e v="#REF!"/>
    <e v="#REF!"/>
  </r>
  <r>
    <s v="512100"/>
    <x v="6"/>
    <s v="BANQUE POPULAIRE RIVE DE PARIS"/>
    <s v="BPRI"/>
    <n v="-4233.67"/>
    <d v="2025-01-16T00:00:00"/>
    <s v="524135C0000776 APRIL ENTR."/>
    <m/>
    <e v="#N/A"/>
    <e v="#N/A"/>
    <n v="21002"/>
    <s v="0734V1A"/>
    <m/>
    <s v="Q1"/>
    <e v="#REF!"/>
    <e v="#REF!"/>
    <e v="#REF!"/>
  </r>
  <r>
    <s v="512100"/>
    <x v="6"/>
    <s v="BANQUE POPULAIRE RIVE DE PARIS"/>
    <s v="BPRI"/>
    <n v="-4104.26"/>
    <d v="2025-06-02T00:00:00"/>
    <s v="Comptabilisation du bordereau nr. 136"/>
    <m/>
    <e v="#N/A"/>
    <e v="#N/A"/>
    <n v="75302"/>
    <m/>
    <s v="Thibault Dejardin"/>
    <s v="Q2"/>
    <e v="#REF!"/>
    <e v="#REF!"/>
    <e v="#REF!"/>
  </r>
  <r>
    <s v="512100"/>
    <x v="6"/>
    <s v="BANQUE POPULAIRE RIVE DE PARIS"/>
    <s v="BPRI"/>
    <n v="-1288.3599999999999"/>
    <d v="2025-11-10T00:00:00"/>
    <s v="/SQTP/RCUR/LIB/PRLV SEPA REGIE CONSEIL/LIB/REGIE CONSEIL/LIB/PRELEVEMENT DU 10/11/2025/LIB/L00005087001"/>
    <m/>
    <e v="#N/A"/>
    <e v="#N/A"/>
    <n v="89535"/>
    <m/>
    <s v="REGIE CONSEIL"/>
    <s v="Q4"/>
    <e v="#REF!"/>
    <e v="#REF!"/>
    <e v="#REF!"/>
  </r>
  <r>
    <s v="512100"/>
    <x v="6"/>
    <s v="BANQUE POPULAIRE RIVE DE PARIS"/>
    <s v="BPRI"/>
    <n v="-3930.5"/>
    <d v="2025-03-07T00:00:00"/>
    <s v="Comptabilisation du bordereau nr. 23"/>
    <m/>
    <e v="#N/A"/>
    <e v="#N/A"/>
    <n v="58776"/>
    <m/>
    <m/>
    <s v="Q1"/>
    <e v="#REF!"/>
    <e v="#REF!"/>
    <e v="#REF!"/>
  </r>
  <r>
    <s v="512100"/>
    <x v="6"/>
    <s v="BANQUE POPULAIRE RIVE DE PARIS"/>
    <s v="BPRI"/>
    <n v="-3871.32"/>
    <d v="2025-02-28T00:00:00"/>
    <s v="Règlement fournisseurs"/>
    <m/>
    <e v="#N/A"/>
    <e v="#N/A"/>
    <n v="58909"/>
    <m/>
    <s v="FOURE LAGADEC"/>
    <s v="Q1"/>
    <e v="#REF!"/>
    <e v="#REF!"/>
    <e v="#REF!"/>
  </r>
  <r>
    <s v="512100"/>
    <x v="6"/>
    <s v="BANQUE POPULAIRE RIVE DE PARIS"/>
    <s v="BPRI"/>
    <n v="-3840"/>
    <d v="2025-02-05T00:00:00"/>
    <s v="EVI REMISE"/>
    <m/>
    <s v="Non"/>
    <e v="#N/A"/>
    <n v="21215"/>
    <s v="0GLHQDP"/>
    <s v="AXE GESCOM"/>
    <s v="Q1"/>
    <e v="#REF!"/>
    <e v="#REF!"/>
    <e v="#REF!"/>
  </r>
  <r>
    <s v="512100"/>
    <x v="6"/>
    <s v="BANQUE POPULAIRE RIVE DE PARIS"/>
    <s v="BPRI"/>
    <n v="-3654.51"/>
    <d v="2025-10-23T00:00:00"/>
    <s v="Comptabilisation du bordereau nr. 309"/>
    <m/>
    <e v="#N/A"/>
    <e v="#N/A"/>
    <n v="87343"/>
    <m/>
    <m/>
    <s v="Q4"/>
    <e v="#REF!"/>
    <e v="#REF!"/>
    <e v="#REF!"/>
  </r>
  <r>
    <s v="512100"/>
    <x v="6"/>
    <s v="BANQUE POPULAIRE RIVE DE PARIS"/>
    <s v="BPRI"/>
    <n v="-3600"/>
    <d v="2025-12-16T00:00:00"/>
    <s v="Comptabilisation du bordereau nr. 363"/>
    <s v="Non"/>
    <s v="Non"/>
    <e v="#N/A"/>
    <n v="92216"/>
    <m/>
    <s v="BEEMYDESK"/>
    <s v="Q4"/>
    <e v="#REF!"/>
    <e v="#REF!"/>
    <e v="#REF!"/>
  </r>
  <r>
    <s v="401000"/>
    <x v="6"/>
    <s v="FOURNISSEURS"/>
    <s v="BPRI"/>
    <n v="1431.04"/>
    <d v="2025-12-10T00:00:00"/>
    <s v="/SQTP/RCUR/LIB/PRLV SEPA REGIE CONSEIL/LIB/REGIE CONSEIL/LIB/PRELEVEMENT DU 10/12/2025/LIB/L00005087001"/>
    <m/>
    <e v="#N/A"/>
    <e v="#N/A"/>
    <n v="92111"/>
    <m/>
    <s v="REGIE CONSEIL"/>
    <s v="Q4"/>
    <e v="#REF!"/>
    <e v="#REF!"/>
    <e v="#REF!"/>
  </r>
  <r>
    <s v="512100"/>
    <x v="6"/>
    <s v="BANQUE POPULAIRE RIVE DE PARIS"/>
    <s v="BPRI"/>
    <n v="-3547.5"/>
    <d v="2025-02-18T00:00:00"/>
    <s v="EVI REMISE"/>
    <s v="Non"/>
    <s v="Non"/>
    <e v="#N/A"/>
    <n v="21353"/>
    <s v="0GLKPI8"/>
    <s v="ALTAIR AVOCATS"/>
    <s v="Q1"/>
    <e v="#REF!"/>
    <e v="#REF!"/>
    <e v="#REF!"/>
  </r>
  <r>
    <s v="512100"/>
    <x v="6"/>
    <s v="BANQUE POPULAIRE RIVE DE PARIS"/>
    <s v="BPRI"/>
    <n v="-3508.88"/>
    <d v="2025-11-17T00:00:00"/>
    <s v="Comptabilisation du bordereau nr. 332"/>
    <m/>
    <e v="#N/A"/>
    <e v="#N/A"/>
    <n v="90130"/>
    <m/>
    <m/>
    <s v="Q4"/>
    <e v="#REF!"/>
    <e v="#REF!"/>
    <e v="#REF!"/>
  </r>
  <r>
    <s v="512100"/>
    <x v="6"/>
    <s v="BANQUE POPULAIRE RIVE DE PARIS"/>
    <s v="BPRI"/>
    <n v="-3505"/>
    <d v="2025-02-05T00:00:00"/>
    <s v="EVI REMISE"/>
    <s v="Non"/>
    <s v="Non"/>
    <e v="#N/A"/>
    <n v="21199"/>
    <s v="0GLHKVZ"/>
    <s v="ALTAIR AVOCATS"/>
    <s v="Q1"/>
    <e v="#REF!"/>
    <e v="#REF!"/>
    <e v="#REF!"/>
  </r>
  <r>
    <s v="512100"/>
    <x v="6"/>
    <s v="BANQUE POPULAIRE RIVE DE PARIS"/>
    <s v="BPRI"/>
    <n v="-3499.2"/>
    <d v="2025-01-30T00:00:00"/>
    <s v="EVI REMISE"/>
    <m/>
    <e v="#N/A"/>
    <e v="#N/A"/>
    <n v="21134"/>
    <s v="0GLGCRS"/>
    <s v="ADVERIS"/>
    <s v="Q1"/>
    <e v="#REF!"/>
    <e v="#REF!"/>
    <e v="#REF!"/>
  </r>
  <r>
    <s v="512100"/>
    <x v="6"/>
    <s v="BANQUE POPULAIRE RIVE DE PARIS"/>
    <s v="BPRI"/>
    <n v="-3462.75"/>
    <d v="2025-02-20T00:00:00"/>
    <s v="EVI REMISE"/>
    <m/>
    <e v="#N/A"/>
    <e v="#N/A"/>
    <n v="21385"/>
    <s v="0GLL6EM"/>
    <s v="NEGATIF -"/>
    <s v="Q1"/>
    <e v="#REF!"/>
    <e v="#REF!"/>
    <e v="#REF!"/>
  </r>
  <r>
    <s v="512100"/>
    <x v="6"/>
    <s v="BANQUE POPULAIRE RIVE DE PARIS"/>
    <s v="BPRI"/>
    <n v="-3416"/>
    <d v="2025-05-21T00:00:00"/>
    <s v="Prélèvement DGFIP"/>
    <m/>
    <e v="#N/A"/>
    <e v="#N/A"/>
    <n v="73914"/>
    <m/>
    <m/>
    <s v="Q2"/>
    <e v="#REF!"/>
    <e v="#REF!"/>
    <e v="#REF!"/>
  </r>
  <r>
    <s v="512100"/>
    <x v="6"/>
    <s v="BANQUE POPULAIRE RIVE DE PARIS"/>
    <s v="BPRI"/>
    <n v="-3408"/>
    <d v="2025-01-30T00:00:00"/>
    <s v="EVI REMISE"/>
    <m/>
    <e v="#N/A"/>
    <e v="#N/A"/>
    <n v="21130"/>
    <s v="0GLGCRQ"/>
    <s v="VALENTIN"/>
    <s v="Q1"/>
    <e v="#REF!"/>
    <e v="#REF!"/>
    <e v="#REF!"/>
  </r>
  <r>
    <s v="512100"/>
    <x v="6"/>
    <s v="BANQUE POPULAIRE RIVE DE PARIS"/>
    <s v="BPRI"/>
    <n v="-3404"/>
    <d v="2025-06-26T00:00:00"/>
    <s v="PRLV PAS DSN16062025-052025-8115245450"/>
    <m/>
    <e v="#N/A"/>
    <e v="#N/A"/>
    <n v="76281"/>
    <m/>
    <m/>
    <s v="Q2"/>
    <e v="#REF!"/>
    <e v="#REF!"/>
    <e v="#REF!"/>
  </r>
  <r>
    <s v="512100"/>
    <x v="6"/>
    <s v="BANQUE POPULAIRE RIVE DE PARIS"/>
    <s v="BPRI"/>
    <n v="-3362.4"/>
    <d v="2025-01-16T00:00:00"/>
    <s v="EVI REMISE"/>
    <m/>
    <e v="#N/A"/>
    <e v="#N/A"/>
    <n v="21011"/>
    <s v="0GLD296"/>
    <s v="SD TECH"/>
    <s v="Q1"/>
    <e v="#REF!"/>
    <e v="#REF!"/>
    <e v="#REF!"/>
  </r>
  <r>
    <s v="512100"/>
    <x v="6"/>
    <s v="BANQUE POPULAIRE RIVE DE PARIS"/>
    <s v="BPRI"/>
    <n v="-3350"/>
    <d v="2025-04-24T00:00:00"/>
    <s v="Prélèvement à la source"/>
    <m/>
    <e v="#N/A"/>
    <e v="#N/A"/>
    <n v="68546"/>
    <m/>
    <m/>
    <s v="Q2"/>
    <e v="#REF!"/>
    <e v="#REF!"/>
    <e v="#REF!"/>
  </r>
  <r>
    <s v="512100"/>
    <x v="6"/>
    <s v="BANQUE POPULAIRE RIVE DE PARIS"/>
    <s v="BPRI"/>
    <n v="-3316.8"/>
    <d v="2025-01-02T00:00:00"/>
    <s v="PRLV SEPA BAIL ACTEA"/>
    <m/>
    <e v="#N/A"/>
    <e v="#N/A"/>
    <n v="20867"/>
    <s v="06XRKI5"/>
    <s v="ACTEA"/>
    <s v="Q1"/>
    <e v="#REF!"/>
    <e v="#REF!"/>
    <e v="#REF!"/>
  </r>
  <r>
    <s v="512100"/>
    <x v="6"/>
    <s v="BANQUE POPULAIRE RIVE DE PARIS"/>
    <s v="BPRI"/>
    <n v="-3316.8"/>
    <d v="2025-02-03T00:00:00"/>
    <s v="PRLV SEPA BAIL ACTEA"/>
    <m/>
    <e v="#N/A"/>
    <e v="#N/A"/>
    <n v="21175"/>
    <s v="077M93C"/>
    <s v="ACTEA"/>
    <s v="Q1"/>
    <e v="#REF!"/>
    <e v="#REF!"/>
    <e v="#REF!"/>
  </r>
  <r>
    <s v="512100"/>
    <x v="6"/>
    <s v="BANQUE POPULAIRE RIVE DE PARIS"/>
    <s v="BPRI"/>
    <n v="-3316.8"/>
    <d v="2025-03-03T00:00:00"/>
    <s v="Règlement fournisseurs"/>
    <m/>
    <e v="#N/A"/>
    <e v="#N/A"/>
    <n v="58969"/>
    <m/>
    <s v="ACTEA"/>
    <s v="Q1"/>
    <e v="#REF!"/>
    <e v="#REF!"/>
    <e v="#REF!"/>
  </r>
  <r>
    <s v="512100"/>
    <x v="6"/>
    <s v="BANQUE POPULAIRE RIVE DE PARIS"/>
    <s v="BPRI"/>
    <n v="-3316.8"/>
    <d v="2025-04-01T00:00:00"/>
    <s v="Prélèvement Actea"/>
    <m/>
    <e v="#N/A"/>
    <e v="#N/A"/>
    <n v="66459"/>
    <m/>
    <s v="ACTEA"/>
    <s v="Q2"/>
    <e v="#REF!"/>
    <e v="#REF!"/>
    <e v="#REF!"/>
  </r>
  <r>
    <s v="512100"/>
    <x v="6"/>
    <s v="BANQUE POPULAIRE RIVE DE PARIS"/>
    <s v="BPRI"/>
    <n v="-3316.8"/>
    <d v="2025-05-02T00:00:00"/>
    <s v="Prélèvement fournisseur"/>
    <m/>
    <e v="#N/A"/>
    <e v="#N/A"/>
    <n v="70623"/>
    <m/>
    <s v="ACTEA"/>
    <s v="Q2"/>
    <e v="#REF!"/>
    <e v="#REF!"/>
    <e v="#REF!"/>
  </r>
  <r>
    <s v="512100"/>
    <x v="6"/>
    <s v="BANQUE POPULAIRE RIVE DE PARIS"/>
    <s v="BPRI"/>
    <n v="-3316.8"/>
    <d v="2025-06-02T00:00:00"/>
    <s v="Prélèvement ACTEA"/>
    <m/>
    <e v="#N/A"/>
    <e v="#N/A"/>
    <n v="75195"/>
    <m/>
    <s v="ACTEA"/>
    <s v="Q2"/>
    <e v="#REF!"/>
    <e v="#REF!"/>
    <e v="#REF!"/>
  </r>
  <r>
    <s v="512100"/>
    <x v="6"/>
    <s v="BANQUE POPULAIRE RIVE DE PARIS"/>
    <s v="BPRI"/>
    <n v="-3316.8"/>
    <d v="2025-07-01T00:00:00"/>
    <s v="PRLV SEPA BAIL ACTEA"/>
    <m/>
    <e v="#N/A"/>
    <e v="#N/A"/>
    <n v="77073"/>
    <m/>
    <s v="ACTEA"/>
    <s v="Q3"/>
    <e v="#REF!"/>
    <e v="#REF!"/>
    <e v="#REF!"/>
  </r>
  <r>
    <s v="512100"/>
    <x v="6"/>
    <s v="BANQUE POPULAIRE RIVE DE PARIS"/>
    <s v="BPRI"/>
    <n v="-3316.8"/>
    <d v="2025-08-01T00:00:00"/>
    <s v="PRLV SEPA BAIL ACTEA"/>
    <m/>
    <e v="#N/A"/>
    <e v="#N/A"/>
    <n v="80672"/>
    <m/>
    <s v="ACTEA"/>
    <s v="Q3"/>
    <e v="#REF!"/>
    <e v="#REF!"/>
    <e v="#REF!"/>
  </r>
  <r>
    <s v="512100"/>
    <x v="6"/>
    <s v="BANQUE POPULAIRE RIVE DE PARIS"/>
    <s v="BPRI"/>
    <n v="-3316.8"/>
    <d v="2025-09-01T00:00:00"/>
    <s v="PRLV SEPA BAIL ACTEA"/>
    <m/>
    <e v="#N/A"/>
    <e v="#N/A"/>
    <n v="81684"/>
    <m/>
    <s v="ACTEA"/>
    <s v="Q3"/>
    <e v="#REF!"/>
    <e v="#REF!"/>
    <e v="#REF!"/>
  </r>
  <r>
    <s v="512100"/>
    <x v="6"/>
    <s v="BANQUE POPULAIRE RIVE DE PARIS"/>
    <s v="BPRI"/>
    <n v="-3316.8"/>
    <d v="2025-10-01T00:00:00"/>
    <s v="PRLV SEPA BAIL ACTEA"/>
    <m/>
    <e v="#N/A"/>
    <e v="#N/A"/>
    <n v="82570"/>
    <m/>
    <s v="ACTEA"/>
    <s v="Q4"/>
    <e v="#REF!"/>
    <e v="#REF!"/>
    <e v="#REF!"/>
  </r>
  <r>
    <s v="512100"/>
    <x v="6"/>
    <s v="BANQUE POPULAIRE RIVE DE PARIS"/>
    <s v="BPRI"/>
    <n v="-1431.04"/>
    <d v="2025-12-10T00:00:00"/>
    <s v="/SQTP/RCUR/LIB/PRLV SEPA REGIE CONSEIL/LIB/REGIE CONSEIL/LIB/PRELEVEMENT DU 10/12/2025/LIB/L00005087001"/>
    <m/>
    <e v="#N/A"/>
    <e v="#N/A"/>
    <n v="92110"/>
    <m/>
    <s v="REGIE CONSEIL"/>
    <s v="Q4"/>
    <e v="#REF!"/>
    <e v="#REF!"/>
    <e v="#REF!"/>
  </r>
  <r>
    <s v="401000"/>
    <x v="6"/>
    <s v="FOURNISSEURS"/>
    <s v="BPRI"/>
    <n v="334.19"/>
    <d v="2025-10-24T00:00:00"/>
    <s v="/SQTP/RCUR/LIB/PRLV SEPA RICOH FRANCE SAS RICO/LIB/RICOH FRANCE SAS RICOH F/LIB/ARGE3549325 67804457 67804458 67/LIB/10000251859"/>
    <m/>
    <e v="#N/A"/>
    <e v="#N/A"/>
    <n v="87380"/>
    <m/>
    <s v="RICOH"/>
    <s v="Q4"/>
    <e v="#REF!"/>
    <e v="#REF!"/>
    <e v="#REF!"/>
  </r>
  <r>
    <s v="512100"/>
    <x v="6"/>
    <s v="BANQUE POPULAIRE RIVE DE PARIS"/>
    <s v="BPRI"/>
    <n v="-3309.49"/>
    <d v="2025-07-11T00:00:00"/>
    <s v="STC"/>
    <m/>
    <e v="#N/A"/>
    <e v="#N/A"/>
    <n v="77368"/>
    <m/>
    <m/>
    <s v="Q3"/>
    <e v="#REF!"/>
    <e v="#REF!"/>
    <e v="#REF!"/>
  </r>
  <r>
    <s v="512100"/>
    <x v="6"/>
    <s v="BANQUE POPULAIRE RIVE DE PARIS"/>
    <s v="BPRI"/>
    <n v="-3200.4"/>
    <d v="2025-12-23T00:00:00"/>
    <s v="Comptabilisation du bordereau nr. 374"/>
    <m/>
    <e v="#N/A"/>
    <e v="#N/A"/>
    <n v="93614"/>
    <m/>
    <m/>
    <s v="Q4"/>
    <e v="#REF!"/>
    <e v="#REF!"/>
    <e v="#REF!"/>
  </r>
  <r>
    <s v="512100"/>
    <x v="6"/>
    <s v="BANQUE POPULAIRE RIVE DE PARIS"/>
    <s v="BPRI"/>
    <n v="-3190.18"/>
    <d v="2025-04-04T00:00:00"/>
    <s v="Comptabilisation du bordereau nr. 69"/>
    <m/>
    <e v="#N/A"/>
    <e v="#N/A"/>
    <n v="66604"/>
    <m/>
    <m/>
    <s v="Q2"/>
    <e v="#REF!"/>
    <e v="#REF!"/>
    <e v="#REF!"/>
  </r>
  <r>
    <s v="512100"/>
    <x v="6"/>
    <s v="BANQUE POPULAIRE RIVE DE PARIS"/>
    <s v="BPRI"/>
    <n v="-3143.82"/>
    <d v="2025-01-30T00:00:00"/>
    <s v="PRLV SEPA MALAKOFF HUMANIS"/>
    <m/>
    <e v="#N/A"/>
    <e v="#N/A"/>
    <n v="21111"/>
    <s v="073T4RE"/>
    <m/>
    <s v="Q1"/>
    <e v="#REF!"/>
    <e v="#REF!"/>
    <e v="#REF!"/>
  </r>
  <r>
    <s v="512100"/>
    <x v="6"/>
    <s v="BANQUE POPULAIRE RIVE DE PARIS"/>
    <s v="BPRI"/>
    <n v="-3128.79"/>
    <d v="2025-05-14T00:00:00"/>
    <s v="Comptabilisation du bordereau nr. 118"/>
    <m/>
    <e v="#N/A"/>
    <e v="#N/A"/>
    <n v="72319"/>
    <m/>
    <m/>
    <s v="Q2"/>
    <e v="#REF!"/>
    <e v="#REF!"/>
    <e v="#REF!"/>
  </r>
  <r>
    <s v="512100"/>
    <x v="6"/>
    <s v="BANQUE POPULAIRE RIVE DE PARIS"/>
    <s v="BPRI"/>
    <n v="-3084.21"/>
    <d v="2025-07-22T00:00:00"/>
    <s v="Comptabilisation du bordereau nr. 225"/>
    <m/>
    <e v="#N/A"/>
    <e v="#N/A"/>
    <n v="78278"/>
    <m/>
    <m/>
    <s v="Q3"/>
    <e v="#REF!"/>
    <e v="#REF!"/>
    <e v="#REF!"/>
  </r>
  <r>
    <s v="512100"/>
    <x v="6"/>
    <s v="BANQUE POPULAIRE RIVE DE PARIS"/>
    <s v="BPRI"/>
    <n v="-3036.79"/>
    <d v="2025-11-07T00:00:00"/>
    <s v="Comptabilisation du bordereau nr. 320"/>
    <m/>
    <e v="#N/A"/>
    <e v="#N/A"/>
    <n v="89414"/>
    <m/>
    <m/>
    <s v="Q4"/>
    <e v="#REF!"/>
    <e v="#REF!"/>
    <e v="#REF!"/>
  </r>
  <r>
    <s v="512100"/>
    <x v="6"/>
    <s v="BANQUE POPULAIRE RIVE DE PARIS"/>
    <s v="BPRI"/>
    <n v="-3003.28"/>
    <d v="2025-04-07T00:00:00"/>
    <s v="Prélèvement Benefiz"/>
    <m/>
    <e v="#N/A"/>
    <e v="#N/A"/>
    <n v="66565"/>
    <m/>
    <m/>
    <s v="Q2"/>
    <e v="#REF!"/>
    <e v="#REF!"/>
    <e v="#REF!"/>
  </r>
  <r>
    <s v="512100"/>
    <x v="6"/>
    <s v="BANQUE POPULAIRE RIVE DE PARIS"/>
    <s v="BPRI"/>
    <n v="-3000"/>
    <d v="2025-01-15T00:00:00"/>
    <s v="EVI REMISE"/>
    <s v="Non"/>
    <s v="Non"/>
    <e v="#N/A"/>
    <n v="20993"/>
    <s v="0GLCS44"/>
    <s v="WE ARE BOLD"/>
    <s v="Q1"/>
    <e v="#REF!"/>
    <e v="#REF!"/>
    <e v="#REF!"/>
  </r>
  <r>
    <s v="512100"/>
    <x v="6"/>
    <s v="BANQUE POPULAIRE RIVE DE PARIS"/>
    <s v="BPRI"/>
    <n v="-3000"/>
    <d v="2025-02-18T00:00:00"/>
    <s v="EVI REMISE"/>
    <s v="Non"/>
    <s v="Non"/>
    <e v="#N/A"/>
    <n v="21357"/>
    <s v="0GLKPIA"/>
    <s v="WE ARE BOLD"/>
    <s v="Q1"/>
    <e v="#REF!"/>
    <e v="#REF!"/>
    <e v="#REF!"/>
  </r>
  <r>
    <s v="512100"/>
    <x v="6"/>
    <s v="BANQUE POPULAIRE RIVE DE PARIS"/>
    <s v="BPRI"/>
    <n v="-334.19"/>
    <d v="2025-10-24T00:00:00"/>
    <s v="/SQTP/RCUR/LIB/PRLV SEPA RICOH FRANCE SAS RICO/LIB/RICOH FRANCE SAS RICOH F/LIB/ARGE3549325 67804457 67804458 67/LIB/10000251859"/>
    <m/>
    <e v="#N/A"/>
    <e v="#N/A"/>
    <n v="87379"/>
    <m/>
    <s v="RICOH"/>
    <s v="Q4"/>
    <e v="#REF!"/>
    <e v="#REF!"/>
    <e v="#REF!"/>
  </r>
  <r>
    <s v="512100"/>
    <x v="6"/>
    <s v="BANQUE POPULAIRE RIVE DE PARIS"/>
    <s v="BPRI"/>
    <n v="-2896.05"/>
    <d v="2025-08-08T00:00:00"/>
    <s v="Comptabilisation du bordereau nr. 249"/>
    <m/>
    <e v="#N/A"/>
    <e v="#N/A"/>
    <n v="80720"/>
    <m/>
    <s v="TRAITEUR GRAND"/>
    <s v="Q3"/>
    <e v="#REF!"/>
    <e v="#REF!"/>
    <e v="#REF!"/>
  </r>
  <r>
    <s v="512100"/>
    <x v="6"/>
    <s v="BANQUE POPULAIRE RIVE DE PARIS"/>
    <s v="BPRI"/>
    <n v="-2896.04"/>
    <d v="2025-11-17T00:00:00"/>
    <s v="Comptabilisation du bordereau nr. 333"/>
    <m/>
    <e v="#N/A"/>
    <e v="#N/A"/>
    <n v="90124"/>
    <m/>
    <s v="TRAITEUR GRAND"/>
    <s v="Q4"/>
    <e v="#REF!"/>
    <e v="#REF!"/>
    <e v="#REF!"/>
  </r>
  <r>
    <s v="512100"/>
    <x v="6"/>
    <s v="BANQUE POPULAIRE RIVE DE PARIS"/>
    <s v="BPRI"/>
    <n v="-2888.76"/>
    <d v="2025-01-20T00:00:00"/>
    <s v="PRLV SEPA MALAKOFF HUMANIS"/>
    <m/>
    <e v="#N/A"/>
    <e v="#N/A"/>
    <n v="21034"/>
    <s v="073Q2ZZ"/>
    <m/>
    <s v="Q1"/>
    <e v="#REF!"/>
    <e v="#REF!"/>
    <e v="#REF!"/>
  </r>
  <r>
    <s v="401000"/>
    <x v="6"/>
    <s v="FOURNISSEURS"/>
    <s v="BPRI"/>
    <n v="144"/>
    <d v="2025-12-15T00:00:00"/>
    <s v="/SQTP/RCUR/LIB/PRLV SEPA RICOH FRANCE SAS RICO/LIB/RICOH FRANCE SAS RICOH F/LIB/ARGE3589165 67918482/LIB/100002518599/2221113640"/>
    <m/>
    <e v="#N/A"/>
    <e v="#N/A"/>
    <n v="92206"/>
    <m/>
    <s v="RICOH"/>
    <s v="Q4"/>
    <e v="#REF!"/>
    <e v="#REF!"/>
    <e v="#REF!"/>
  </r>
  <r>
    <s v="512100"/>
    <x v="6"/>
    <s v="BANQUE POPULAIRE RIVE DE PARIS"/>
    <s v="BPRI"/>
    <n v="-2806.51"/>
    <d v="2025-02-18T00:00:00"/>
    <s v="EVI REMISE"/>
    <s v="Non"/>
    <s v="Non"/>
    <e v="#N/A"/>
    <n v="21367"/>
    <s v="0GLKPIH"/>
    <s v="F2P AUDIT &amp; CONSEIL"/>
    <s v="Q1"/>
    <e v="#REF!"/>
    <e v="#REF!"/>
    <e v="#REF!"/>
  </r>
  <r>
    <s v="512100"/>
    <x v="6"/>
    <s v="BANQUE POPULAIRE RIVE DE PARIS"/>
    <s v="BPRI"/>
    <n v="-144"/>
    <d v="2025-12-15T00:00:00"/>
    <s v="/SQTP/RCUR/LIB/PRLV SEPA RICOH FRANCE SAS RICO/LIB/RICOH FRANCE SAS RICOH F/LIB/ARGE3589165 67918482/LIB/100002518599/2221113640"/>
    <m/>
    <e v="#N/A"/>
    <e v="#N/A"/>
    <n v="92205"/>
    <m/>
    <s v="RICOH"/>
    <s v="Q4"/>
    <e v="#REF!"/>
    <e v="#REF!"/>
    <e v="#REF!"/>
  </r>
  <r>
    <s v="512100"/>
    <x v="6"/>
    <s v="BANQUE POPULAIRE RIVE DE PARIS"/>
    <s v="BPRI"/>
    <n v="-2795"/>
    <d v="2025-08-26T00:00:00"/>
    <s v="PAS"/>
    <m/>
    <e v="#N/A"/>
    <e v="#N/A"/>
    <n v="81649"/>
    <m/>
    <m/>
    <s v="Q3"/>
    <e v="#REF!"/>
    <e v="#REF!"/>
    <e v="#REF!"/>
  </r>
  <r>
    <s v="512100"/>
    <x v="6"/>
    <s v="BANQUE POPULAIRE RIVE DE PARIS"/>
    <s v="BPRI"/>
    <n v="-2766.88"/>
    <d v="2025-07-18T00:00:00"/>
    <s v="Comptabilisation du bordereau nr. 221"/>
    <m/>
    <e v="#N/A"/>
    <e v="#N/A"/>
    <n v="78325"/>
    <m/>
    <m/>
    <s v="Q3"/>
    <e v="#REF!"/>
    <e v="#REF!"/>
    <e v="#REF!"/>
  </r>
  <r>
    <s v="512100"/>
    <x v="6"/>
    <s v="BANQUE POPULAIRE RIVE DE PARIS"/>
    <s v="BPRI"/>
    <n v="-2725"/>
    <d v="2025-09-12T00:00:00"/>
    <s v="Comptabilisation du bordereau nr. 280"/>
    <m/>
    <e v="#N/A"/>
    <e v="#N/A"/>
    <n v="82086"/>
    <m/>
    <s v="INITIATIVE &amp; RISK PARTNERS"/>
    <s v="Q3"/>
    <e v="#REF!"/>
    <e v="#REF!"/>
    <e v="#REF!"/>
  </r>
  <r>
    <s v="512100"/>
    <x v="6"/>
    <s v="BANQUE POPULAIRE RIVE DE PARIS"/>
    <s v="BPRI"/>
    <n v="-2700"/>
    <d v="2025-05-26T00:00:00"/>
    <s v="Règlement fournisseur"/>
    <m/>
    <s v="Non"/>
    <e v="#N/A"/>
    <n v="74097"/>
    <m/>
    <s v="AXE GESCOM"/>
    <s v="Q2"/>
    <e v="#REF!"/>
    <e v="#REF!"/>
    <e v="#REF!"/>
  </r>
  <r>
    <s v="512100"/>
    <x v="6"/>
    <s v="BANQUE POPULAIRE RIVE DE PARIS"/>
    <s v="BPRI"/>
    <n v="-2700"/>
    <d v="2025-08-28T00:00:00"/>
    <s v="PRLV SEPA AXE GESCOM"/>
    <m/>
    <s v="Non"/>
    <e v="#N/A"/>
    <n v="81655"/>
    <m/>
    <s v="AXE GESCOM"/>
    <s v="Q3"/>
    <e v="#REF!"/>
    <e v="#REF!"/>
    <e v="#REF!"/>
  </r>
  <r>
    <s v="401000"/>
    <x v="6"/>
    <s v="FOURNISSEURS"/>
    <s v="BPRI"/>
    <n v="11140.7"/>
    <d v="2025-10-15T00:00:00"/>
    <s v="/SQTP/RCUR/LIB/PRLV SEPA SAS EURECIA-EURECIA/LIB/SAS EURECIA-EURECIA/LIB/EURECIA-IN-20250920-010001-03806/LIB/PILI24922022091909"/>
    <m/>
    <e v="#N/A"/>
    <e v="#N/A"/>
    <n v="86936"/>
    <m/>
    <s v="EURECIA"/>
    <s v="Q4"/>
    <e v="#REF!"/>
    <e v="#REF!"/>
    <e v="#REF!"/>
  </r>
  <r>
    <s v="512100"/>
    <x v="6"/>
    <s v="BANQUE POPULAIRE RIVE DE PARIS"/>
    <s v="BPRI"/>
    <n v="-11140.7"/>
    <d v="2025-10-15T00:00:00"/>
    <s v="/SQTP/RCUR/LIB/PRLV SEPA SAS EURECIA-EURECIA/LIB/SAS EURECIA-EURECIA/LIB/EURECIA-IN-20250920-010001-03806/LIB/PILI24922022091909"/>
    <m/>
    <e v="#N/A"/>
    <e v="#N/A"/>
    <n v="86935"/>
    <m/>
    <s v="EURECIA"/>
    <s v="Q4"/>
    <e v="#REF!"/>
    <e v="#REF!"/>
    <e v="#REF!"/>
  </r>
  <r>
    <s v="401000"/>
    <x v="6"/>
    <s v="FOURNISSEURS"/>
    <s v="BPRI"/>
    <n v="1335.65"/>
    <d v="2025-11-21T00:00:00"/>
    <s v="/SQTP/RCUR/LIB/PRLV SEPA SERVICE ACTION SANTE/LIB/SERVICE ACTION SANTE/LIB/SERVICE ACTION SANTE FA2513736/LIB/94079605"/>
    <m/>
    <s v="Non"/>
    <n v="0"/>
    <n v="90601"/>
    <m/>
    <s v="SERVICE ACTION SANTE"/>
    <s v="Q4"/>
    <e v="#REF!"/>
    <e v="#REF!"/>
    <e v="#REF!"/>
  </r>
  <r>
    <s v="512100"/>
    <x v="6"/>
    <s v="BANQUE POPULAIRE RIVE DE PARIS"/>
    <s v="BPRI"/>
    <n v="-2576.11"/>
    <d v="2025-04-07T00:00:00"/>
    <s v="Comptabilisation du bordereau nr. 70"/>
    <m/>
    <e v="#N/A"/>
    <e v="#N/A"/>
    <n v="66616"/>
    <m/>
    <m/>
    <s v="Q2"/>
    <e v="#REF!"/>
    <e v="#REF!"/>
    <e v="#REF!"/>
  </r>
  <r>
    <s v="512100"/>
    <x v="6"/>
    <s v="BANQUE POPULAIRE RIVE DE PARIS"/>
    <s v="BPRI"/>
    <n v="-2574"/>
    <d v="2025-03-19T00:00:00"/>
    <s v="Comptabilisation du bordereau nr. 56"/>
    <m/>
    <e v="#N/A"/>
    <e v="#N/A"/>
    <n v="61874"/>
    <m/>
    <m/>
    <s v="Q1"/>
    <e v="#REF!"/>
    <e v="#REF!"/>
    <e v="#REF!"/>
  </r>
  <r>
    <s v="512100"/>
    <x v="6"/>
    <s v="BANQUE POPULAIRE RIVE DE PARIS"/>
    <s v="BPRI"/>
    <n v="-2569.75"/>
    <d v="2025-01-02T00:00:00"/>
    <s v="PRLV SEPA BPIFRANCE"/>
    <m/>
    <e v="#N/A"/>
    <e v="#N/A"/>
    <n v="20857"/>
    <s v="06WURVS"/>
    <m/>
    <s v="Q1"/>
    <e v="#REF!"/>
    <e v="#REF!"/>
    <e v="#REF!"/>
  </r>
  <r>
    <s v="512100"/>
    <x v="6"/>
    <s v="BANQUE POPULAIRE RIVE DE PARIS"/>
    <s v="BPRI"/>
    <n v="-2534.88"/>
    <d v="2025-03-31T00:00:00"/>
    <s v="Prélèvement BPI"/>
    <m/>
    <e v="#N/A"/>
    <e v="#N/A"/>
    <n v="66461"/>
    <m/>
    <m/>
    <s v="Q1"/>
    <e v="#REF!"/>
    <e v="#REF!"/>
    <e v="#REF!"/>
  </r>
  <r>
    <s v="512100"/>
    <x v="6"/>
    <s v="BANQUE POPULAIRE RIVE DE PARIS"/>
    <s v="BPRI"/>
    <n v="-2472"/>
    <d v="2025-01-30T00:00:00"/>
    <s v="EVI REMISE"/>
    <m/>
    <e v="#N/A"/>
    <e v="#N/A"/>
    <n v="21142"/>
    <s v="0GLGCRW"/>
    <s v="SMTS"/>
    <s v="Q1"/>
    <e v="#REF!"/>
    <e v="#REF!"/>
    <e v="#REF!"/>
  </r>
  <r>
    <s v="512100"/>
    <x v="6"/>
    <s v="BANQUE POPULAIRE RIVE DE PARIS"/>
    <s v="BPRI"/>
    <n v="-2452"/>
    <d v="2025-02-25T00:00:00"/>
    <s v="PRLV INT ETS DGFIP"/>
    <m/>
    <e v="#N/A"/>
    <e v="#N/A"/>
    <n v="21412"/>
    <s v="07ES3RP"/>
    <m/>
    <s v="Q1"/>
    <e v="#REF!"/>
    <e v="#REF!"/>
    <e v="#REF!"/>
  </r>
  <r>
    <s v="512100"/>
    <x v="6"/>
    <s v="BANQUE POPULAIRE RIVE DE PARIS"/>
    <s v="BPRI"/>
    <n v="-2450.7399999999998"/>
    <d v="2025-03-12T00:00:00"/>
    <s v="Comptabilisation du bordereau nr. 40"/>
    <m/>
    <e v="#N/A"/>
    <e v="#N/A"/>
    <n v="61607"/>
    <m/>
    <s v="DENIOS"/>
    <s v="Q1"/>
    <e v="#REF!"/>
    <e v="#REF!"/>
    <e v="#REF!"/>
  </r>
  <r>
    <s v="512100"/>
    <x v="6"/>
    <s v="BANQUE POPULAIRE RIVE DE PARIS"/>
    <s v="BPRI"/>
    <n v="-2408.88"/>
    <d v="2025-07-18T00:00:00"/>
    <s v="Comptabilisation du bordereau nr. 223"/>
    <s v="Non"/>
    <s v="Non"/>
    <e v="#N/A"/>
    <n v="78319"/>
    <m/>
    <s v="NEIL BELL"/>
    <s v="Q3"/>
    <e v="#REF!"/>
    <e v="#REF!"/>
    <e v="#REF!"/>
  </r>
  <r>
    <s v="512100"/>
    <x v="6"/>
    <s v="BANQUE POPULAIRE RIVE DE PARIS"/>
    <s v="BPRI"/>
    <n v="-2400"/>
    <d v="2025-07-09T00:00:00"/>
    <s v="Comptabilisation du bordereau nr. 216"/>
    <s v="Non"/>
    <s v="Non"/>
    <e v="#N/A"/>
    <n v="77254"/>
    <m/>
    <s v="WiSEED"/>
    <s v="Q3"/>
    <e v="#REF!"/>
    <e v="#REF!"/>
    <e v="#REF!"/>
  </r>
  <r>
    <s v="512100"/>
    <x v="6"/>
    <s v="BANQUE POPULAIRE RIVE DE PARIS"/>
    <s v="BPRI"/>
    <n v="-2385.4699999999998"/>
    <d v="2025-03-03T00:00:00"/>
    <s v="Paiement EUROFINS en double"/>
    <m/>
    <e v="#N/A"/>
    <e v="#N/A"/>
    <n v="59013"/>
    <m/>
    <s v="Eurofins BLC Leather Technology Centre Limited"/>
    <s v="Q1"/>
    <e v="#REF!"/>
    <e v="#REF!"/>
    <e v="#REF!"/>
  </r>
  <r>
    <s v="512100"/>
    <x v="6"/>
    <s v="BANQUE POPULAIRE RIVE DE PARIS"/>
    <s v="BPRI"/>
    <n v="-2350.5"/>
    <d v="2025-03-06T00:00:00"/>
    <s v="Comptabilisation du bordereau nr. 7"/>
    <m/>
    <e v="#N/A"/>
    <e v="#N/A"/>
    <n v="59011"/>
    <m/>
    <s v="Eurofins BLC Leather Technology Centre Limited"/>
    <s v="Q1"/>
    <e v="#REF!"/>
    <e v="#REF!"/>
    <e v="#REF!"/>
  </r>
  <r>
    <s v="512100"/>
    <x v="6"/>
    <s v="BANQUE POPULAIRE RIVE DE PARIS"/>
    <s v="BPRI"/>
    <n v="-2343.5100000000002"/>
    <d v="2025-01-16T00:00:00"/>
    <s v="VIR ETRANGER"/>
    <m/>
    <e v="#N/A"/>
    <e v="#N/A"/>
    <n v="21013"/>
    <s v="L688050"/>
    <s v="Eurofins BLC Leather Technology Centre Limited"/>
    <s v="Q1"/>
    <e v="#REF!"/>
    <e v="#REF!"/>
    <e v="#REF!"/>
  </r>
  <r>
    <s v="512100"/>
    <x v="6"/>
    <s v="BANQUE POPULAIRE RIVE DE PARIS"/>
    <s v="BPRI"/>
    <n v="-2340"/>
    <d v="2025-01-17T00:00:00"/>
    <s v="EVI REMISE"/>
    <m/>
    <e v="#N/A"/>
    <e v="#N/A"/>
    <n v="21021"/>
    <s v="0GLDAE3"/>
    <s v="CIAMT"/>
    <s v="Q1"/>
    <e v="#REF!"/>
    <e v="#REF!"/>
    <e v="#REF!"/>
  </r>
  <r>
    <s v="512100"/>
    <x v="6"/>
    <s v="BANQUE POPULAIRE RIVE DE PARIS"/>
    <s v="BPRI"/>
    <n v="-2340"/>
    <d v="2025-02-18T00:00:00"/>
    <s v="Doublon paiement"/>
    <m/>
    <e v="#N/A"/>
    <e v="#N/A"/>
    <n v="21337"/>
    <s v="0GLKPHZ"/>
    <s v="CIAMT"/>
    <s v="Q1"/>
    <e v="#REF!"/>
    <e v="#REF!"/>
    <e v="#REF!"/>
  </r>
  <r>
    <s v="512100"/>
    <x v="6"/>
    <s v="BANQUE POPULAIRE RIVE DE PARIS"/>
    <s v="BPRI"/>
    <n v="-2310.9899999999998"/>
    <d v="2025-08-18T00:00:00"/>
    <s v="Comptabilisation du bordereau nr. 252"/>
    <s v="Non"/>
    <s v="Non"/>
    <e v="#N/A"/>
    <n v="81175"/>
    <m/>
    <s v="NEIL BELL"/>
    <s v="Q3"/>
    <e v="#REF!"/>
    <e v="#REF!"/>
    <e v="#REF!"/>
  </r>
  <r>
    <s v="512100"/>
    <x v="6"/>
    <s v="BANQUE POPULAIRE RIVE DE PARIS"/>
    <s v="BPRI"/>
    <n v="-2268.34"/>
    <d v="2025-11-19T00:00:00"/>
    <s v="Comptabilisation du bordereau nr. 337"/>
    <m/>
    <e v="#N/A"/>
    <e v="#N/A"/>
    <n v="90476"/>
    <m/>
    <m/>
    <s v="Q4"/>
    <e v="#REF!"/>
    <e v="#REF!"/>
    <e v="#REF!"/>
  </r>
  <r>
    <s v="512100"/>
    <x v="6"/>
    <s v="BANQUE POPULAIRE RIVE DE PARIS"/>
    <s v="BPRI"/>
    <n v="-2232.13"/>
    <d v="2025-01-15T00:00:00"/>
    <s v="EVI REMISE"/>
    <m/>
    <e v="#N/A"/>
    <e v="#N/A"/>
    <n v="20995"/>
    <s v="0GLCS45"/>
    <s v="COTE"/>
    <s v="Q1"/>
    <e v="#REF!"/>
    <e v="#REF!"/>
    <e v="#REF!"/>
  </r>
  <r>
    <s v="512100"/>
    <x v="6"/>
    <s v="BANQUE POPULAIRE RIVE DE PARIS"/>
    <s v="BPRI"/>
    <n v="-2220.79"/>
    <d v="2025-06-13T00:00:00"/>
    <s v="Comptabilisation du bordereau nr. 165"/>
    <m/>
    <e v="#N/A"/>
    <e v="#N/A"/>
    <n v="76004"/>
    <m/>
    <m/>
    <s v="Q2"/>
    <e v="#REF!"/>
    <e v="#REF!"/>
    <e v="#REF!"/>
  </r>
  <r>
    <s v="512100"/>
    <x v="6"/>
    <s v="BANQUE POPULAIRE RIVE DE PARIS"/>
    <s v="BPRI"/>
    <n v="-2220"/>
    <d v="2025-09-22T00:00:00"/>
    <s v="Comptabilisation du bordereau nr. 293"/>
    <m/>
    <e v="#N/A"/>
    <e v="#N/A"/>
    <n v="82453"/>
    <m/>
    <s v="PIGNAT"/>
    <s v="Q3"/>
    <e v="#REF!"/>
    <e v="#REF!"/>
    <e v="#REF!"/>
  </r>
  <r>
    <s v="512100"/>
    <x v="6"/>
    <s v="BANQUE POPULAIRE RIVE DE PARIS"/>
    <s v="BPRI"/>
    <n v="-2192.08"/>
    <d v="2025-10-06T00:00:00"/>
    <s v="Comptabilisation du bordereau nr. 303"/>
    <m/>
    <e v="#N/A"/>
    <e v="#N/A"/>
    <n v="82887"/>
    <m/>
    <m/>
    <s v="Q4"/>
    <e v="#REF!"/>
    <e v="#REF!"/>
    <e v="#REF!"/>
  </r>
  <r>
    <s v="512100"/>
    <x v="6"/>
    <s v="BANQUE POPULAIRE RIVE DE PARIS"/>
    <s v="BPRI"/>
    <n v="-2185.1999999999998"/>
    <d v="2025-01-06T00:00:00"/>
    <s v="EVI REMISE"/>
    <s v="Non"/>
    <s v="Oui"/>
    <e v="#N/A"/>
    <n v="20899"/>
    <s v="0GL9637"/>
    <s v="BECKER"/>
    <s v="Q1"/>
    <e v="#REF!"/>
    <e v="#REF!"/>
    <e v="#REF!"/>
  </r>
  <r>
    <s v="512100"/>
    <x v="6"/>
    <s v="BANQUE POPULAIRE RIVE DE PARIS"/>
    <s v="BPRI"/>
    <n v="-2175.37"/>
    <d v="2025-08-21T00:00:00"/>
    <s v="Comptabilisation du bordereau nr. 261"/>
    <s v="Non"/>
    <s v="Non"/>
    <e v="#N/A"/>
    <n v="81719"/>
    <m/>
    <s v="NEIL BELL"/>
    <s v="Q3"/>
    <e v="#REF!"/>
    <e v="#REF!"/>
    <e v="#REF!"/>
  </r>
  <r>
    <s v="512100"/>
    <x v="6"/>
    <s v="BANQUE POPULAIRE RIVE DE PARIS"/>
    <s v="BPRI"/>
    <n v="-2150"/>
    <d v="2025-01-15T00:00:00"/>
    <s v="EVI REMISE"/>
    <m/>
    <e v="#N/A"/>
    <e v="#N/A"/>
    <n v="20991"/>
    <s v="0GLCS43"/>
    <s v="NURNBERG"/>
    <s v="Q1"/>
    <e v="#REF!"/>
    <e v="#REF!"/>
    <e v="#REF!"/>
  </r>
  <r>
    <s v="512100"/>
    <x v="6"/>
    <s v="BANQUE POPULAIRE RIVE DE PARIS"/>
    <s v="BPRI"/>
    <n v="-2136.4499999999998"/>
    <d v="2025-07-01T00:00:00"/>
    <s v="Invoice Payment by Pili"/>
    <s v="Non"/>
    <s v="Non"/>
    <e v="#N/A"/>
    <n v="76951"/>
    <m/>
    <s v="NEIL BELL"/>
    <s v="Q3"/>
    <e v="#REF!"/>
    <e v="#REF!"/>
    <e v="#REF!"/>
  </r>
  <r>
    <s v="512100"/>
    <x v="6"/>
    <s v="BANQUE POPULAIRE RIVE DE PARIS"/>
    <s v="BPRI"/>
    <n v="-2131.12"/>
    <d v="2025-01-27T00:00:00"/>
    <s v="EVI BABA-HAMED WALID"/>
    <m/>
    <e v="#N/A"/>
    <e v="#N/A"/>
    <n v="21083"/>
    <s v="1586842"/>
    <m/>
    <s v="Q1"/>
    <e v="#REF!"/>
    <e v="#REF!"/>
    <e v="#REF!"/>
  </r>
  <r>
    <s v="512100"/>
    <x v="6"/>
    <s v="BANQUE POPULAIRE RIVE DE PARIS"/>
    <s v="BPRI"/>
    <n v="-2096.69"/>
    <d v="2025-04-07T00:00:00"/>
    <s v="Prélèvement Benefiz"/>
    <m/>
    <e v="#N/A"/>
    <e v="#N/A"/>
    <n v="66569"/>
    <m/>
    <m/>
    <s v="Q2"/>
    <e v="#REF!"/>
    <e v="#REF!"/>
    <e v="#REF!"/>
  </r>
  <r>
    <s v="512100"/>
    <x v="6"/>
    <s v="BANQUE POPULAIRE RIVE DE PARIS"/>
    <s v="BPRI"/>
    <n v="-2054.6999999999998"/>
    <d v="2025-01-31T00:00:00"/>
    <s v="EVI REMISE"/>
    <s v="Non"/>
    <s v="Non"/>
    <e v="#N/A"/>
    <n v="21165"/>
    <s v="0GLGKO7"/>
    <s v="OSIRIS"/>
    <s v="Q1"/>
    <e v="#REF!"/>
    <e v="#REF!"/>
    <e v="#REF!"/>
  </r>
  <r>
    <s v="512100"/>
    <x v="6"/>
    <s v="BANQUE POPULAIRE RIVE DE PARIS"/>
    <s v="BPRI"/>
    <n v="-2034.4"/>
    <d v="2025-01-30T00:00:00"/>
    <s v="EVI REMISE"/>
    <m/>
    <e v="#N/A"/>
    <e v="#N/A"/>
    <n v="21124"/>
    <s v="0GLGCN3"/>
    <s v="FISHER SCIENTIFIC"/>
    <s v="Q1"/>
    <e v="#REF!"/>
    <e v="#REF!"/>
    <e v="#REF!"/>
  </r>
  <r>
    <s v="512100"/>
    <x v="6"/>
    <s v="BANQUE POPULAIRE RIVE DE PARIS"/>
    <s v="BPRI"/>
    <n v="-2000"/>
    <d v="2025-09-22T00:00:00"/>
    <s v="Comptabilisation du bordereau nr. 292"/>
    <s v="Non"/>
    <s v="Oui"/>
    <e v="#N/A"/>
    <n v="82451"/>
    <m/>
    <s v="BECKER"/>
    <s v="Q3"/>
    <e v="#REF!"/>
    <e v="#REF!"/>
    <e v="#REF!"/>
  </r>
  <r>
    <s v="512100"/>
    <x v="6"/>
    <s v="BANQUE POPULAIRE RIVE DE PARIS"/>
    <s v="BPRI"/>
    <n v="-1957.16"/>
    <d v="2025-03-18T00:00:00"/>
    <s v="Prélèvement Engie"/>
    <m/>
    <e v="#N/A"/>
    <e v="#N/A"/>
    <n v="61850"/>
    <m/>
    <s v="ENGIE"/>
    <s v="Q1"/>
    <e v="#REF!"/>
    <e v="#REF!"/>
    <e v="#REF!"/>
  </r>
  <r>
    <s v="512100"/>
    <x v="6"/>
    <s v="BANQUE POPULAIRE RIVE DE PARIS"/>
    <s v="BPRI"/>
    <n v="-1946.6"/>
    <d v="2025-06-04T00:00:00"/>
    <s v="Prélèvement AXA - assurance"/>
    <m/>
    <e v="#N/A"/>
    <e v="#N/A"/>
    <n v="75494"/>
    <m/>
    <s v="INITIATIVE &amp; RISK PARTNERS"/>
    <s v="Q2"/>
    <e v="#REF!"/>
    <e v="#REF!"/>
    <e v="#REF!"/>
  </r>
  <r>
    <s v="512100"/>
    <x v="6"/>
    <s v="BANQUE POPULAIRE RIVE DE PARIS"/>
    <s v="BPRI"/>
    <n v="-1946.6"/>
    <d v="2025-06-04T00:00:00"/>
    <s v="Prélèvement Initiative &amp; Risk Partners - DOUBLON"/>
    <m/>
    <e v="#N/A"/>
    <e v="#N/A"/>
    <n v="75497"/>
    <m/>
    <s v="INITIATIVE &amp; RISK PARTNERS"/>
    <s v="Q2"/>
    <e v="#REF!"/>
    <e v="#REF!"/>
    <e v="#REF!"/>
  </r>
  <r>
    <s v="512100"/>
    <x v="6"/>
    <s v="BANQUE POPULAIRE RIVE DE PARIS"/>
    <s v="BPRI"/>
    <n v="-1906.2"/>
    <d v="2025-01-10T00:00:00"/>
    <s v="EVI REMISE"/>
    <m/>
    <e v="#N/A"/>
    <e v="#N/A"/>
    <n v="20945"/>
    <s v="0GLAZ81"/>
    <s v="PHENOMENEX"/>
    <s v="Q1"/>
    <e v="#REF!"/>
    <e v="#REF!"/>
    <e v="#REF!"/>
  </r>
  <r>
    <s v="512100"/>
    <x v="6"/>
    <s v="BANQUE POPULAIRE RIVE DE PARIS"/>
    <s v="BPRI"/>
    <n v="-1812"/>
    <d v="2025-05-12T00:00:00"/>
    <s v="Comptabilisation du bordereau nr. 115"/>
    <m/>
    <e v="#N/A"/>
    <e v="#N/A"/>
    <n v="71749"/>
    <m/>
    <s v="AIGP INGENIERIE"/>
    <s v="Q2"/>
    <e v="#REF!"/>
    <e v="#REF!"/>
    <e v="#REF!"/>
  </r>
  <r>
    <s v="512100"/>
    <x v="6"/>
    <s v="BANQUE POPULAIRE RIVE DE PARIS"/>
    <s v="BPRI"/>
    <n v="-1800"/>
    <d v="2025-02-05T00:00:00"/>
    <s v="EVI REMISE"/>
    <s v="Non"/>
    <s v="Non"/>
    <e v="#N/A"/>
    <n v="21209"/>
    <s v="0GLHPE1"/>
    <s v="WE ARE BOLD"/>
    <s v="Q1"/>
    <e v="#REF!"/>
    <e v="#REF!"/>
    <e v="#REF!"/>
  </r>
  <r>
    <s v="512100"/>
    <x v="6"/>
    <s v="BANQUE POPULAIRE RIVE DE PARIS"/>
    <s v="BPRI"/>
    <n v="-1800"/>
    <d v="2025-02-28T00:00:00"/>
    <s v="Règlement fournisseurs"/>
    <s v="Non"/>
    <s v="Non"/>
    <e v="#N/A"/>
    <n v="58894"/>
    <m/>
    <s v="WE ARE BOLD"/>
    <s v="Q1"/>
    <e v="#REF!"/>
    <e v="#REF!"/>
    <e v="#REF!"/>
  </r>
  <r>
    <s v="512100"/>
    <x v="6"/>
    <s v="BANQUE POPULAIRE RIVE DE PARIS"/>
    <s v="BPRI"/>
    <n v="-1785.6"/>
    <d v="2025-02-07T00:00:00"/>
    <s v="PRLV SEPA PREVALY"/>
    <m/>
    <e v="#N/A"/>
    <e v="#N/A"/>
    <n v="21239"/>
    <s v="07AAG4Z"/>
    <s v="PREVALY"/>
    <s v="Q1"/>
    <e v="#REF!"/>
    <e v="#REF!"/>
    <e v="#REF!"/>
  </r>
  <r>
    <s v="512100"/>
    <x v="6"/>
    <s v="BANQUE POPULAIRE RIVE DE PARIS"/>
    <s v="BPRI"/>
    <n v="-1335.65"/>
    <d v="2025-11-21T00:00:00"/>
    <s v="/SQTP/RCUR/LIB/PRLV SEPA SERVICE ACTION SANTE/LIB/SERVICE ACTION SANTE/LIB/SERVICE ACTION SANTE FA2513736/LIB/94079605"/>
    <m/>
    <s v="Non"/>
    <n v="0"/>
    <n v="90600"/>
    <m/>
    <s v="SERVICE ACTION SANTE"/>
    <s v="Q4"/>
    <e v="#REF!"/>
    <e v="#REF!"/>
    <e v="#REF!"/>
  </r>
  <r>
    <s v="512100"/>
    <x v="6"/>
    <s v="BANQUE POPULAIRE RIVE DE PARIS"/>
    <s v="BPRI"/>
    <n v="-1670.24"/>
    <d v="2025-03-21T00:00:00"/>
    <s v="Prélèvement fournisseurs"/>
    <m/>
    <s v="Non"/>
    <n v="0"/>
    <n v="61900"/>
    <m/>
    <s v="SERVICE ACTION SANTE"/>
    <s v="Q1"/>
    <e v="#REF!"/>
    <e v="#REF!"/>
    <e v="#REF!"/>
  </r>
  <r>
    <s v="512100"/>
    <x v="6"/>
    <s v="BANQUE POPULAIRE RIVE DE PARIS"/>
    <s v="BPRI"/>
    <n v="-1666"/>
    <d v="2025-09-12T00:00:00"/>
    <s v="Comptabilisation du bordereau nr. 279"/>
    <m/>
    <e v="#N/A"/>
    <e v="#N/A"/>
    <n v="82082"/>
    <m/>
    <m/>
    <s v="Q3"/>
    <e v="#REF!"/>
    <e v="#REF!"/>
    <e v="#REF!"/>
  </r>
  <r>
    <s v="512100"/>
    <x v="6"/>
    <s v="BANQUE POPULAIRE RIVE DE PARIS"/>
    <s v="BPRI"/>
    <n v="-1657.05"/>
    <d v="2025-02-18T00:00:00"/>
    <s v="EVI REMISE"/>
    <m/>
    <e v="#N/A"/>
    <e v="#N/A"/>
    <n v="21341"/>
    <s v="0GLKPI2"/>
    <s v="ARESCOM"/>
    <s v="Q1"/>
    <e v="#REF!"/>
    <e v="#REF!"/>
    <e v="#REF!"/>
  </r>
  <r>
    <s v="512100"/>
    <x v="6"/>
    <s v="BANQUE POPULAIRE RIVE DE PARIS"/>
    <s v="BPRI"/>
    <n v="-1652.73"/>
    <d v="2025-02-18T00:00:00"/>
    <s v="EVI REMISE"/>
    <m/>
    <e v="#N/A"/>
    <e v="#N/A"/>
    <n v="21339"/>
    <s v="0GLKPI0"/>
    <s v="ARESCOM"/>
    <s v="Q1"/>
    <e v="#REF!"/>
    <e v="#REF!"/>
    <e v="#REF!"/>
  </r>
  <r>
    <s v="512100"/>
    <x v="6"/>
    <s v="BANQUE POPULAIRE RIVE DE PARIS"/>
    <s v="BPRI"/>
    <n v="-1636.05"/>
    <d v="2025-02-10T00:00:00"/>
    <s v="EVI REMISE"/>
    <m/>
    <e v="#N/A"/>
    <e v="#N/A"/>
    <n v="21255"/>
    <s v="0GLIZFI"/>
    <s v="ARESCOM"/>
    <s v="Q1"/>
    <e v="#REF!"/>
    <e v="#REF!"/>
    <e v="#REF!"/>
  </r>
  <r>
    <s v="512100"/>
    <x v="6"/>
    <s v="BANQUE POPULAIRE RIVE DE PARIS"/>
    <s v="BPRI"/>
    <n v="-1632.14"/>
    <d v="2025-02-10T00:00:00"/>
    <s v="EVI REMISE"/>
    <m/>
    <e v="#N/A"/>
    <e v="#N/A"/>
    <n v="21253"/>
    <s v="0GLIZFH"/>
    <s v="ARESCOM"/>
    <s v="Q1"/>
    <e v="#REF!"/>
    <e v="#REF!"/>
    <e v="#REF!"/>
  </r>
  <r>
    <s v="512100"/>
    <x v="6"/>
    <s v="BANQUE POPULAIRE RIVE DE PARIS"/>
    <s v="BPRI"/>
    <n v="-1584"/>
    <d v="2025-02-28T00:00:00"/>
    <s v="Règlement fournisseurs"/>
    <m/>
    <s v="Non"/>
    <n v="0"/>
    <n v="58918"/>
    <m/>
    <s v="APF SECURITE"/>
    <s v="Q1"/>
    <e v="#REF!"/>
    <e v="#REF!"/>
    <e v="#REF!"/>
  </r>
  <r>
    <s v="512100"/>
    <x v="6"/>
    <s v="BANQUE POPULAIRE RIVE DE PARIS"/>
    <s v="BPRI"/>
    <n v="-1577.31"/>
    <d v="2025-04-22T00:00:00"/>
    <s v="Règlement CB Air France"/>
    <m/>
    <e v="#N/A"/>
    <e v="#N/A"/>
    <n v="68208"/>
    <m/>
    <s v="AIR FRANCE"/>
    <s v="Q2"/>
    <e v="#REF!"/>
    <e v="#REF!"/>
    <e v="#REF!"/>
  </r>
  <r>
    <s v="512100"/>
    <x v="6"/>
    <s v="BANQUE POPULAIRE RIVE DE PARIS"/>
    <s v="BPRI"/>
    <n v="-1572.23"/>
    <d v="2025-03-12T00:00:00"/>
    <s v="Virement STC - Tatiana Ghanem"/>
    <m/>
    <e v="#N/A"/>
    <e v="#N/A"/>
    <n v="61609"/>
    <m/>
    <m/>
    <s v="Q1"/>
    <e v="#REF!"/>
    <e v="#REF!"/>
    <e v="#REF!"/>
  </r>
  <r>
    <s v="512100"/>
    <x v="6"/>
    <s v="BANQUE POPULAIRE RIVE DE PARIS"/>
    <s v="BPRI"/>
    <n v="-1567.88"/>
    <d v="2025-12-19T00:00:00"/>
    <s v="Comptabilisation du bordereau nr. 366"/>
    <m/>
    <e v="#N/A"/>
    <e v="#N/A"/>
    <n v="92681"/>
    <m/>
    <m/>
    <s v="Q4"/>
    <e v="#REF!"/>
    <e v="#REF!"/>
    <e v="#REF!"/>
  </r>
  <r>
    <s v="401000"/>
    <x v="6"/>
    <s v="FOURNISSEURS"/>
    <s v="BPRI"/>
    <n v="136.56"/>
    <d v="2025-11-04T00:00:00"/>
    <s v="/SQTP/RCUR/LIB/PRLV SEPA SYLARELE HELLOCE/LIB/SYLARELE HELLOCE/LIB/HELLOCSE - FACTURE 2025-11-2303/LIB/TVNCKVN"/>
    <m/>
    <s v="Non"/>
    <e v="#N/A"/>
    <n v="88182"/>
    <m/>
    <s v="HELLOCSE"/>
    <s v="Q4"/>
    <e v="#REF!"/>
    <e v="#REF!"/>
    <e v="#REF!"/>
  </r>
  <r>
    <s v="512100"/>
    <x v="6"/>
    <s v="BANQUE POPULAIRE RIVE DE PARIS"/>
    <s v="BPRI"/>
    <n v="-1525.62"/>
    <d v="2025-09-16T00:00:00"/>
    <s v="PRLV SEPA ENGIE"/>
    <m/>
    <e v="#N/A"/>
    <e v="#N/A"/>
    <n v="82434"/>
    <m/>
    <s v="ENGIE"/>
    <s v="Q3"/>
    <e v="#REF!"/>
    <e v="#REF!"/>
    <e v="#REF!"/>
  </r>
  <r>
    <s v="512100"/>
    <x v="6"/>
    <s v="BANQUE POPULAIRE RIVE DE PARIS"/>
    <s v="BPRI"/>
    <n v="-1525.39"/>
    <d v="2025-02-18T00:00:00"/>
    <s v="EVI REMISE"/>
    <m/>
    <e v="#N/A"/>
    <e v="#N/A"/>
    <n v="21343"/>
    <s v="0GLKPI3"/>
    <s v="COTE"/>
    <s v="Q1"/>
    <e v="#REF!"/>
    <e v="#REF!"/>
    <e v="#REF!"/>
  </r>
  <r>
    <s v="512100"/>
    <x v="6"/>
    <s v="BANQUE POPULAIRE RIVE DE PARIS"/>
    <s v="BPRI"/>
    <n v="-1512"/>
    <d v="2025-02-18T00:00:00"/>
    <s v="EVI REMISE"/>
    <m/>
    <e v="#N/A"/>
    <e v="#N/A"/>
    <n v="21363"/>
    <s v="0GLKPIE"/>
    <s v="CIMEO"/>
    <s v="Q1"/>
    <e v="#REF!"/>
    <e v="#REF!"/>
    <e v="#REF!"/>
  </r>
  <r>
    <s v="512100"/>
    <x v="6"/>
    <s v="BANQUE POPULAIRE RIVE DE PARIS"/>
    <s v="BPRI"/>
    <n v="-1502.09"/>
    <d v="2025-07-23T00:00:00"/>
    <s v="PRLV SEPA SERVICE ACTION SANTE FA2511788"/>
    <m/>
    <s v="Non"/>
    <n v="0"/>
    <n v="78424"/>
    <m/>
    <s v="SERVICE ACTION SANTE"/>
    <s v="Q3"/>
    <e v="#REF!"/>
    <e v="#REF!"/>
    <e v="#REF!"/>
  </r>
  <r>
    <s v="512100"/>
    <x v="6"/>
    <s v="BANQUE POPULAIRE RIVE DE PARIS"/>
    <s v="BPRI"/>
    <n v="-136.56"/>
    <d v="2025-11-04T00:00:00"/>
    <s v="/SQTP/RCUR/LIB/PRLV SEPA SYLARELE HELLOCE/LIB/SYLARELE HELLOCE/LIB/HELLOCSE - FACTURE 2025-11-2303/LIB/TVNCKVN"/>
    <m/>
    <s v="Non"/>
    <e v="#N/A"/>
    <n v="88181"/>
    <m/>
    <s v="HELLOCSE"/>
    <s v="Q4"/>
    <e v="#REF!"/>
    <e v="#REF!"/>
    <e v="#REF!"/>
  </r>
  <r>
    <s v="512100"/>
    <x v="6"/>
    <s v="BANQUE POPULAIRE RIVE DE PARIS"/>
    <s v="BPRI"/>
    <n v="-1486.97"/>
    <d v="2025-01-10T00:00:00"/>
    <s v="ARRETE COMPTE"/>
    <m/>
    <e v="#N/A"/>
    <e v="#N/A"/>
    <n v="20937"/>
    <s v="1133321"/>
    <s v="Banque Populaire Rive de Paris"/>
    <s v="Q1"/>
    <e v="#REF!"/>
    <e v="#REF!"/>
    <e v="#REF!"/>
  </r>
  <r>
    <s v="401000"/>
    <x v="6"/>
    <s v="FOURNISSEURS"/>
    <s v="BPRI"/>
    <n v="136.56"/>
    <d v="2025-12-03T00:00:00"/>
    <s v="/SQTP/RCUR/LIB/PRLV SEPA SYLARELE HELLOCE/LIB/SYLARELE HELLOCE/LIB/HELLOCSE - FACTURE 2025-12-2287/LIB/TVNCKVN"/>
    <m/>
    <s v="Non"/>
    <e v="#N/A"/>
    <n v="91317"/>
    <m/>
    <s v="HELLOCSE"/>
    <s v="Q4"/>
    <e v="#REF!"/>
    <e v="#REF!"/>
    <e v="#REF!"/>
  </r>
  <r>
    <s v="512100"/>
    <x v="6"/>
    <s v="BANQUE POPULAIRE RIVE DE PARIS"/>
    <s v="BPRI"/>
    <n v="-1471.57"/>
    <d v="2025-04-29T00:00:00"/>
    <s v="Règlement NDF"/>
    <m/>
    <e v="#N/A"/>
    <e v="#N/A"/>
    <n v="70496"/>
    <m/>
    <s v="Pierre-Yves Bolle"/>
    <s v="Q2"/>
    <e v="#REF!"/>
    <e v="#REF!"/>
    <e v="#REF!"/>
  </r>
  <r>
    <s v="512100"/>
    <x v="6"/>
    <s v="BANQUE POPULAIRE RIVE DE PARIS"/>
    <s v="BPRI"/>
    <n v="-1464.24"/>
    <d v="2025-04-25T00:00:00"/>
    <s v="Comptabilisation du bordereau nr. 102"/>
    <s v="Non"/>
    <s v="Non"/>
    <e v="#N/A"/>
    <n v="70212"/>
    <m/>
    <s v="IN MANAGEMENT"/>
    <s v="Q2"/>
    <e v="#REF!"/>
    <e v="#REF!"/>
    <e v="#REF!"/>
  </r>
  <r>
    <s v="512100"/>
    <x v="6"/>
    <s v="BANQUE POPULAIRE RIVE DE PARIS"/>
    <s v="BPRI"/>
    <n v="-1452"/>
    <d v="2025-01-15T00:00:00"/>
    <s v="EVI REMISE"/>
    <m/>
    <e v="#N/A"/>
    <e v="#N/A"/>
    <n v="20989"/>
    <s v="0GLCS3W"/>
    <s v="AGELAB"/>
    <s v="Q1"/>
    <e v="#REF!"/>
    <e v="#REF!"/>
    <e v="#REF!"/>
  </r>
  <r>
    <s v="512100"/>
    <x v="6"/>
    <s v="BANQUE POPULAIRE RIVE DE PARIS"/>
    <s v="BPRI"/>
    <n v="-1449.6"/>
    <d v="2025-01-31T00:00:00"/>
    <s v="EVI REMISE"/>
    <m/>
    <e v="#N/A"/>
    <e v="#N/A"/>
    <n v="21159"/>
    <s v="0GLGKJ3"/>
    <s v="DENIOS"/>
    <s v="Q1"/>
    <e v="#REF!"/>
    <e v="#REF!"/>
    <e v="#REF!"/>
  </r>
  <r>
    <s v="512100"/>
    <x v="6"/>
    <s v="BANQUE POPULAIRE RIVE DE PARIS"/>
    <s v="BPRI"/>
    <n v="-1440"/>
    <d v="2025-09-12T00:00:00"/>
    <s v="Comptabilisation du bordereau nr. 278"/>
    <m/>
    <e v="#N/A"/>
    <e v="#N/A"/>
    <n v="82080"/>
    <m/>
    <s v="DROOMS"/>
    <s v="Q3"/>
    <e v="#REF!"/>
    <e v="#REF!"/>
    <e v="#REF!"/>
  </r>
  <r>
    <s v="512100"/>
    <x v="6"/>
    <s v="BANQUE POPULAIRE RIVE DE PARIS"/>
    <s v="BPRI"/>
    <n v="-136.56"/>
    <d v="2025-12-03T00:00:00"/>
    <s v="/SQTP/RCUR/LIB/PRLV SEPA SYLARELE HELLOCE/LIB/SYLARELE HELLOCE/LIB/HELLOCSE - FACTURE 2025-12-2287/LIB/TVNCKVN"/>
    <m/>
    <s v="Non"/>
    <e v="#N/A"/>
    <n v="91316"/>
    <m/>
    <s v="HELLOCSE"/>
    <s v="Q4"/>
    <e v="#REF!"/>
    <e v="#REF!"/>
    <e v="#REF!"/>
  </r>
  <r>
    <s v="431000"/>
    <x v="6"/>
    <s v="URSSAF"/>
    <s v="BPRI"/>
    <n v="28381"/>
    <d v="2025-11-18T00:00:00"/>
    <s v="/SQTP/RCUR/LIB/PRLV SEPA URSSAF D ILE DE FRANC/LIB/URSSAF D ILE DE FRANCE/LIB/UR 117000001575406895    OCT 257/LIB/T112534811524"/>
    <m/>
    <e v="#N/A"/>
    <e v="#N/A"/>
    <n v="90234"/>
    <m/>
    <m/>
    <s v="Q4"/>
    <e v="#REF!"/>
    <e v="#REF!"/>
    <e v="#REF!"/>
  </r>
  <r>
    <s v="512100"/>
    <x v="6"/>
    <s v="BANQUE POPULAIRE RIVE DE PARIS"/>
    <s v="BPRI"/>
    <n v="-1424.4"/>
    <d v="2025-01-09T00:00:00"/>
    <s v="EVI REMISE"/>
    <m/>
    <e v="#N/A"/>
    <e v="#N/A"/>
    <n v="20935"/>
    <s v="0GLA9RL"/>
    <s v="PHENOMENEX"/>
    <s v="Q1"/>
    <e v="#REF!"/>
    <e v="#REF!"/>
    <e v="#REF!"/>
  </r>
  <r>
    <s v="512100"/>
    <x v="6"/>
    <s v="BANQUE POPULAIRE RIVE DE PARIS"/>
    <s v="BPRI"/>
    <n v="-28381"/>
    <d v="2025-11-18T00:00:00"/>
    <s v="/SQTP/RCUR/LIB/PRLV SEPA URSSAF D ILE DE FRANC/LIB/URSSAF D ILE DE FRANCE/LIB/UR 117000001575406895    OCT 257/LIB/T112534811524"/>
    <m/>
    <e v="#N/A"/>
    <e v="#N/A"/>
    <n v="90233"/>
    <m/>
    <m/>
    <s v="Q4"/>
    <e v="#REF!"/>
    <e v="#REF!"/>
    <e v="#REF!"/>
  </r>
  <r>
    <s v="512100"/>
    <x v="6"/>
    <s v="BANQUE POPULAIRE RIVE DE PARIS"/>
    <s v="BPRI"/>
    <n v="-1408.06"/>
    <d v="2025-04-14T00:00:00"/>
    <s v="Prélèvement fournisseur"/>
    <m/>
    <e v="#N/A"/>
    <e v="#N/A"/>
    <n v="67599"/>
    <m/>
    <s v="ENGIE"/>
    <s v="Q2"/>
    <e v="#REF!"/>
    <e v="#REF!"/>
    <e v="#REF!"/>
  </r>
  <r>
    <s v="431000"/>
    <x v="6"/>
    <s v="URSSAF"/>
    <s v="BPRI"/>
    <n v="27738"/>
    <d v="2025-10-16T00:00:00"/>
    <s v="/SQTP/RCUR/LIB/PRLV SEPA URSSAF D ILE DE FRANC/LIB/URSSAF D ILE DE FRANCE/LIB/UR 117000001575406895    SEPT257/LIB/T112534811524"/>
    <m/>
    <e v="#N/A"/>
    <e v="#N/A"/>
    <n v="86943"/>
    <m/>
    <m/>
    <s v="Q4"/>
    <e v="#REF!"/>
    <e v="#REF!"/>
    <e v="#REF!"/>
  </r>
  <r>
    <s v="512100"/>
    <x v="6"/>
    <s v="BANQUE POPULAIRE RIVE DE PARIS"/>
    <s v="BPRI"/>
    <n v="-1408"/>
    <d v="2025-09-04T00:00:00"/>
    <s v="PRLV SEPA ALAN"/>
    <m/>
    <e v="#N/A"/>
    <e v="#N/A"/>
    <n v="81708"/>
    <m/>
    <m/>
    <s v="Q3"/>
    <e v="#REF!"/>
    <e v="#REF!"/>
    <e v="#REF!"/>
  </r>
  <r>
    <s v="512100"/>
    <x v="6"/>
    <s v="BANQUE POPULAIRE RIVE DE PARIS"/>
    <s v="BPRI"/>
    <n v="-1400"/>
    <d v="2025-05-12T00:00:00"/>
    <s v="Comptabilisation du bordereau nr. 114"/>
    <s v="Non"/>
    <e v="#N/A"/>
    <e v="#N/A"/>
    <n v="71755"/>
    <m/>
    <s v="DOTMATICS LIMITED"/>
    <s v="Q2"/>
    <e v="#REF!"/>
    <e v="#REF!"/>
    <e v="#REF!"/>
  </r>
  <r>
    <s v="512100"/>
    <x v="6"/>
    <s v="BANQUE POPULAIRE RIVE DE PARIS"/>
    <s v="BPRI"/>
    <n v="-1395.43"/>
    <d v="2025-05-07T00:00:00"/>
    <s v="Prélèvement Bénéfiz"/>
    <m/>
    <e v="#N/A"/>
    <e v="#N/A"/>
    <n v="71684"/>
    <m/>
    <m/>
    <s v="Q2"/>
    <e v="#REF!"/>
    <e v="#REF!"/>
    <e v="#REF!"/>
  </r>
  <r>
    <s v="512100"/>
    <x v="6"/>
    <s v="BANQUE POPULAIRE RIVE DE PARIS"/>
    <s v="BPRI"/>
    <n v="-27738"/>
    <d v="2025-10-16T00:00:00"/>
    <s v="/SQTP/RCUR/LIB/PRLV SEPA URSSAF D ILE DE FRANC/LIB/URSSAF D ILE DE FRANCE/LIB/UR 117000001575406895    SEPT257/LIB/T112534811524"/>
    <m/>
    <e v="#N/A"/>
    <e v="#N/A"/>
    <n v="86944"/>
    <m/>
    <m/>
    <s v="Q4"/>
    <e v="#REF!"/>
    <e v="#REF!"/>
    <e v="#REF!"/>
  </r>
  <r>
    <s v="512100"/>
    <x v="6"/>
    <s v="BANQUE POPULAIRE RIVE DE PARIS"/>
    <s v="BPRI"/>
    <n v="-1387.56"/>
    <d v="2025-01-30T00:00:00"/>
    <s v="EVI REMISE"/>
    <s v="Non"/>
    <s v="Non"/>
    <e v="#N/A"/>
    <n v="21118"/>
    <s v="0GLGCN0"/>
    <s v="F2P AUDIT &amp; CONSEIL"/>
    <s v="Q1"/>
    <e v="#REF!"/>
    <e v="#REF!"/>
    <e v="#REF!"/>
  </r>
  <r>
    <s v="431000"/>
    <x v="6"/>
    <s v="URSSAF"/>
    <s v="BPRI"/>
    <n v="8978"/>
    <d v="2025-12-16T00:00:00"/>
    <s v="/SQTP/RCUR/LIB/PRLV SEPA URSSAF D'ILE DE FRANC/LIB/URSSAF D'ILE DE FRANCE/LIB/UR 117000001575406895    NOV 257/LIB/T112534811524"/>
    <m/>
    <e v="#N/A"/>
    <e v="#N/A"/>
    <n v="92227"/>
    <m/>
    <m/>
    <s v="Q4"/>
    <e v="#REF!"/>
    <e v="#REF!"/>
    <e v="#REF!"/>
  </r>
  <r>
    <s v="512100"/>
    <x v="6"/>
    <s v="BANQUE POPULAIRE RIVE DE PARIS"/>
    <s v="BPRI"/>
    <n v="-1376"/>
    <d v="2025-07-04T00:00:00"/>
    <s v="PRLV SEPA ALAN INSURANCE"/>
    <m/>
    <e v="#N/A"/>
    <e v="#N/A"/>
    <n v="77057"/>
    <m/>
    <m/>
    <s v="Q3"/>
    <e v="#REF!"/>
    <e v="#REF!"/>
    <e v="#REF!"/>
  </r>
  <r>
    <s v="512100"/>
    <x v="6"/>
    <s v="BANQUE POPULAIRE RIVE DE PARIS"/>
    <s v="BPRI"/>
    <n v="-1348.8"/>
    <d v="2025-02-10T00:00:00"/>
    <s v="EVI REMISE"/>
    <m/>
    <s v="Non"/>
    <s v="Oui"/>
    <n v="21259"/>
    <s v="0GLIZFK"/>
    <s v="AXELERA"/>
    <s v="Q1"/>
    <e v="#REF!"/>
    <e v="#REF!"/>
    <e v="#REF!"/>
  </r>
  <r>
    <s v="512100"/>
    <x v="6"/>
    <s v="BANQUE POPULAIRE RIVE DE PARIS"/>
    <s v="BPRI"/>
    <n v="-1341.96"/>
    <d v="2025-02-19T00:00:00"/>
    <s v="EVI REMISE"/>
    <s v="Non"/>
    <s v="Oui"/>
    <e v="#N/A"/>
    <n v="21375"/>
    <s v="0GLKQ4U"/>
    <s v="BECKER"/>
    <s v="Q1"/>
    <e v="#REF!"/>
    <e v="#REF!"/>
    <e v="#REF!"/>
  </r>
  <r>
    <s v="512100"/>
    <x v="6"/>
    <s v="BANQUE POPULAIRE RIVE DE PARIS"/>
    <s v="BPRI"/>
    <n v="-1340.96"/>
    <d v="2025-03-06T00:00:00"/>
    <s v="Comptabilisation du bordereau nr. 6"/>
    <m/>
    <e v="#N/A"/>
    <e v="#N/A"/>
    <n v="50027"/>
    <m/>
    <s v="REGIE CONSEIL"/>
    <s v="Q1"/>
    <e v="#REF!"/>
    <e v="#REF!"/>
    <e v="#REF!"/>
  </r>
  <r>
    <s v="512100"/>
    <x v="6"/>
    <s v="BANQUE POPULAIRE RIVE DE PARIS"/>
    <s v="BPRI"/>
    <n v="-1340.96"/>
    <d v="2025-03-14T00:00:00"/>
    <s v="Comptabilisation du bordereau nr. 52"/>
    <m/>
    <e v="#N/A"/>
    <e v="#N/A"/>
    <n v="61659"/>
    <m/>
    <s v="REGIE CONSEIL"/>
    <s v="Q1"/>
    <e v="#REF!"/>
    <e v="#REF!"/>
    <e v="#REF!"/>
  </r>
  <r>
    <s v="512100"/>
    <x v="6"/>
    <s v="BANQUE POPULAIRE RIVE DE PARIS"/>
    <s v="BPRI"/>
    <n v="-1340.96"/>
    <d v="2025-05-10T00:00:00"/>
    <s v="Prélèvement Loyer Lyon"/>
    <m/>
    <e v="#N/A"/>
    <e v="#N/A"/>
    <n v="71879"/>
    <m/>
    <s v="REGIE CONSEIL"/>
    <s v="Q2"/>
    <e v="#REF!"/>
    <e v="#REF!"/>
    <e v="#REF!"/>
  </r>
  <r>
    <s v="512100"/>
    <x v="6"/>
    <s v="BANQUE POPULAIRE RIVE DE PARIS"/>
    <s v="BPRI"/>
    <n v="-1340.96"/>
    <d v="2025-06-10T00:00:00"/>
    <s v="PRLV SEPA ENGIE"/>
    <m/>
    <e v="#N/A"/>
    <e v="#N/A"/>
    <n v="75933"/>
    <m/>
    <s v="REGIE CONSEIL"/>
    <s v="Q2"/>
    <e v="#REF!"/>
    <e v="#REF!"/>
    <e v="#REF!"/>
  </r>
  <r>
    <s v="512100"/>
    <x v="6"/>
    <s v="BANQUE POPULAIRE RIVE DE PARIS"/>
    <s v="BPRI"/>
    <n v="-1340.96"/>
    <d v="2025-07-11T00:00:00"/>
    <s v="PRLV SEPA REGIE CONSEIL"/>
    <m/>
    <e v="#N/A"/>
    <e v="#N/A"/>
    <n v="77375"/>
    <m/>
    <s v="REGIE CONSEIL"/>
    <s v="Q3"/>
    <e v="#REF!"/>
    <e v="#REF!"/>
    <e v="#REF!"/>
  </r>
  <r>
    <s v="512100"/>
    <x v="6"/>
    <s v="BANQUE POPULAIRE RIVE DE PARIS"/>
    <s v="BPRI"/>
    <n v="-8978"/>
    <d v="2025-12-16T00:00:00"/>
    <s v="/SQTP/RCUR/LIB/PRLV SEPA URSSAF D'ILE DE FRANC/LIB/URSSAF D'ILE DE FRANCE/LIB/UR 117000001575406895    NOV 257/LIB/T112534811524"/>
    <m/>
    <e v="#N/A"/>
    <e v="#N/A"/>
    <n v="92226"/>
    <m/>
    <m/>
    <s v="Q4"/>
    <e v="#REF!"/>
    <e v="#REF!"/>
    <e v="#REF!"/>
  </r>
  <r>
    <s v="512100"/>
    <x v="6"/>
    <s v="BANQUE POPULAIRE RIVE DE PARIS"/>
    <s v="BPRI"/>
    <n v="-1330.62"/>
    <d v="2025-01-07T00:00:00"/>
    <s v="EVI REMISE"/>
    <m/>
    <e v="#N/A"/>
    <e v="#N/A"/>
    <n v="20927"/>
    <s v="0GL9V3P"/>
    <s v="REGIE CONSEIL"/>
    <s v="Q1"/>
    <e v="#REF!"/>
    <e v="#REF!"/>
    <e v="#REF!"/>
  </r>
  <r>
    <s v="512100"/>
    <x v="6"/>
    <s v="BANQUE POPULAIRE RIVE DE PARIS"/>
    <s v="BPRI"/>
    <n v="-1328.12"/>
    <d v="2025-07-11T00:00:00"/>
    <s v="STC I.S."/>
    <m/>
    <e v="#N/A"/>
    <e v="#N/A"/>
    <n v="77371"/>
    <m/>
    <m/>
    <s v="Q3"/>
    <e v="#REF!"/>
    <e v="#REF!"/>
    <e v="#REF!"/>
  </r>
  <r>
    <s v="512100"/>
    <x v="6"/>
    <s v="BANQUE POPULAIRE RIVE DE PARIS"/>
    <s v="BPRI"/>
    <n v="-1317.04"/>
    <d v="2025-07-16T00:00:00"/>
    <s v="PRLV SEPA ENGIE"/>
    <m/>
    <e v="#N/A"/>
    <e v="#N/A"/>
    <n v="77585"/>
    <m/>
    <s v="ENGIE"/>
    <s v="Q3"/>
    <e v="#REF!"/>
    <e v="#REF!"/>
    <e v="#REF!"/>
  </r>
  <r>
    <s v="512100"/>
    <x v="6"/>
    <s v="BANQUE POPULAIRE RIVE DE PARIS"/>
    <s v="BPRI"/>
    <n v="-1312"/>
    <d v="2025-03-04T00:00:00"/>
    <s v="Remboursement NDF"/>
    <m/>
    <e v="#N/A"/>
    <e v="#N/A"/>
    <n v="58861"/>
    <m/>
    <s v="Lucie Crépin"/>
    <s v="Q1"/>
    <e v="#REF!"/>
    <e v="#REF!"/>
    <e v="#REF!"/>
  </r>
  <r>
    <s v="512100"/>
    <x v="6"/>
    <s v="BANQUE POPULAIRE RIVE DE PARIS"/>
    <s v="BPRI"/>
    <n v="-1307.31"/>
    <d v="2025-04-30T00:00:00"/>
    <s v="Règlement NDF"/>
    <m/>
    <e v="#N/A"/>
    <e v="#N/A"/>
    <n v="70587"/>
    <m/>
    <s v="Kevin Cottet"/>
    <s v="Q2"/>
    <e v="#REF!"/>
    <e v="#REF!"/>
    <e v="#REF!"/>
  </r>
  <r>
    <s v="512100"/>
    <x v="6"/>
    <s v="BANQUE POPULAIRE RIVE DE PARIS"/>
    <s v="BPRI"/>
    <n v="-1300"/>
    <d v="2025-12-30T00:00:00"/>
    <s v="Comptabilisation du bordereau nr. 381"/>
    <s v="Non"/>
    <s v="Non"/>
    <e v="#N/A"/>
    <n v="93752"/>
    <m/>
    <s v="CHEM"/>
    <s v="Q4"/>
    <e v="#REF!"/>
    <e v="#REF!"/>
    <e v="#REF!"/>
  </r>
  <r>
    <s v="512100"/>
    <x v="6"/>
    <s v="BANQUE POPULAIRE RIVE DE PARIS"/>
    <s v="BPRI"/>
    <n v="-1288.3599999999999"/>
    <d v="2025-09-10T00:00:00"/>
    <s v="PRLV SEPA REGIE CONSEIL"/>
    <m/>
    <e v="#N/A"/>
    <e v="#N/A"/>
    <n v="82106"/>
    <m/>
    <s v="REGIE CONSEIL"/>
    <s v="Q3"/>
    <e v="#REF!"/>
    <e v="#REF!"/>
    <e v="#REF!"/>
  </r>
  <r>
    <s v="431000"/>
    <x v="6"/>
    <s v="URSSAF"/>
    <s v="BPRI"/>
    <n v="12972"/>
    <d v="2025-12-16T00:00:00"/>
    <s v="/SQTP/RCUR/LIB/PRLV SEPA URSSAF MIDI PYRENEES/LIB/URSSAF MIDI PYRENEES/LIB/UR 737000000182184531    NOV 255/LIB/T113417811524545"/>
    <m/>
    <e v="#N/A"/>
    <e v="#N/A"/>
    <n v="92230"/>
    <m/>
    <m/>
    <s v="Q4"/>
    <e v="#REF!"/>
    <e v="#REF!"/>
    <e v="#REF!"/>
  </r>
  <r>
    <s v="512100"/>
    <x v="6"/>
    <s v="BANQUE POPULAIRE RIVE DE PARIS"/>
    <s v="BPRI"/>
    <n v="-1286.95"/>
    <d v="2025-03-06T00:00:00"/>
    <s v="Prélèvement Benefiz"/>
    <m/>
    <e v="#N/A"/>
    <e v="#N/A"/>
    <n v="58816"/>
    <m/>
    <m/>
    <s v="Q1"/>
    <e v="#REF!"/>
    <e v="#REF!"/>
    <e v="#REF!"/>
  </r>
  <r>
    <s v="512100"/>
    <x v="6"/>
    <s v="BANQUE POPULAIRE RIVE DE PARIS"/>
    <s v="BPRI"/>
    <n v="-1249.03"/>
    <d v="2025-03-24T00:00:00"/>
    <s v="Règlement NDF"/>
    <m/>
    <e v="#N/A"/>
    <e v="#N/A"/>
    <n v="64505"/>
    <m/>
    <s v="Marie Rézeau"/>
    <s v="Q1"/>
    <e v="#REF!"/>
    <e v="#REF!"/>
    <e v="#REF!"/>
  </r>
  <r>
    <s v="512100"/>
    <x v="6"/>
    <s v="BANQUE POPULAIRE RIVE DE PARIS"/>
    <s v="BPRI"/>
    <n v="-1236.8599999999999"/>
    <d v="2025-02-20T00:00:00"/>
    <s v="EVI REMISE"/>
    <m/>
    <e v="#N/A"/>
    <e v="#N/A"/>
    <n v="21383"/>
    <s v="0GLL6E3"/>
    <s v="RYTHMES ET SONS"/>
    <s v="Q1"/>
    <e v="#REF!"/>
    <e v="#REF!"/>
    <e v="#REF!"/>
  </r>
  <r>
    <s v="512100"/>
    <x v="6"/>
    <s v="BANQUE POPULAIRE RIVE DE PARIS"/>
    <s v="BPRI"/>
    <n v="-1231.2"/>
    <d v="2025-09-22T00:00:00"/>
    <s v="Comptabilisation du bordereau nr. 289"/>
    <m/>
    <e v="#N/A"/>
    <n v="0"/>
    <n v="82365"/>
    <m/>
    <s v="LOCAPROD EVENEMENT"/>
    <s v="Q3"/>
    <e v="#REF!"/>
    <e v="#REF!"/>
    <e v="#REF!"/>
  </r>
  <r>
    <s v="512100"/>
    <x v="6"/>
    <s v="BANQUE POPULAIRE RIVE DE PARIS"/>
    <s v="BPRI"/>
    <n v="-1229.72"/>
    <d v="2025-02-18T00:00:00"/>
    <s v="PRLV SEPA ENGIE"/>
    <m/>
    <e v="#N/A"/>
    <e v="#N/A"/>
    <n v="21323"/>
    <s v="07D3HPG"/>
    <s v="ENGIE"/>
    <s v="Q1"/>
    <e v="#REF!"/>
    <e v="#REF!"/>
    <e v="#REF!"/>
  </r>
  <r>
    <s v="512100"/>
    <x v="6"/>
    <s v="BANQUE POPULAIRE RIVE DE PARIS"/>
    <s v="BPRI"/>
    <n v="-1216"/>
    <d v="2025-02-05T00:00:00"/>
    <s v="PRLV SEPA ALAN INSURANCE"/>
    <m/>
    <e v="#N/A"/>
    <e v="#N/A"/>
    <n v="21196"/>
    <s v="079CI9Y"/>
    <m/>
    <s v="Q1"/>
    <e v="#REF!"/>
    <e v="#REF!"/>
    <e v="#REF!"/>
  </r>
  <r>
    <s v="512100"/>
    <x v="6"/>
    <s v="BANQUE POPULAIRE RIVE DE PARIS"/>
    <s v="BPRI"/>
    <n v="-1216"/>
    <d v="2025-03-05T00:00:00"/>
    <s v="Prélèvement ALAN"/>
    <m/>
    <e v="#N/A"/>
    <e v="#N/A"/>
    <n v="58840"/>
    <m/>
    <m/>
    <s v="Q1"/>
    <e v="#REF!"/>
    <e v="#REF!"/>
    <e v="#REF!"/>
  </r>
  <r>
    <s v="512100"/>
    <x v="6"/>
    <s v="BANQUE POPULAIRE RIVE DE PARIS"/>
    <s v="BPRI"/>
    <n v="-1216"/>
    <d v="2025-04-04T00:00:00"/>
    <s v="Prélèvement Alan"/>
    <m/>
    <e v="#N/A"/>
    <e v="#N/A"/>
    <n v="66583"/>
    <m/>
    <m/>
    <s v="Q2"/>
    <e v="#REF!"/>
    <e v="#REF!"/>
    <e v="#REF!"/>
  </r>
  <r>
    <s v="512100"/>
    <x v="6"/>
    <s v="BANQUE POPULAIRE RIVE DE PARIS"/>
    <s v="BPRI"/>
    <n v="-1216"/>
    <d v="2025-05-06T00:00:00"/>
    <s v="Prélèvement Alan"/>
    <m/>
    <e v="#N/A"/>
    <e v="#N/A"/>
    <n v="71681"/>
    <m/>
    <m/>
    <s v="Q2"/>
    <e v="#REF!"/>
    <e v="#REF!"/>
    <e v="#REF!"/>
  </r>
  <r>
    <s v="512100"/>
    <x v="6"/>
    <s v="BANQUE POPULAIRE RIVE DE PARIS"/>
    <s v="BPRI"/>
    <n v="-1216"/>
    <d v="2025-06-05T00:00:00"/>
    <s v="Prélèvement - Alan - mai 25 - TO"/>
    <m/>
    <e v="#N/A"/>
    <e v="#N/A"/>
    <n v="75577"/>
    <m/>
    <m/>
    <s v="Q2"/>
    <e v="#REF!"/>
    <e v="#REF!"/>
    <e v="#REF!"/>
  </r>
  <r>
    <s v="512100"/>
    <x v="6"/>
    <s v="BANQUE POPULAIRE RIVE DE PARIS"/>
    <s v="BPRI"/>
    <n v="-12972"/>
    <d v="2025-12-16T00:00:00"/>
    <s v="/SQTP/RCUR/LIB/PRLV SEPA URSSAF MIDI PYRENEES/LIB/URSSAF MIDI PYRENEES/LIB/UR 737000000182184531    NOV 255/LIB/T113417811524545"/>
    <m/>
    <e v="#N/A"/>
    <e v="#N/A"/>
    <n v="92229"/>
    <m/>
    <m/>
    <s v="Q4"/>
    <e v="#REF!"/>
    <e v="#REF!"/>
    <e v="#REF!"/>
  </r>
  <r>
    <s v="512100"/>
    <x v="6"/>
    <s v="BANQUE POPULAIRE RIVE DE PARIS"/>
    <s v="BPRI"/>
    <n v="-1200"/>
    <d v="2025-01-07T00:00:00"/>
    <s v="EVI REMISE"/>
    <s v="Non"/>
    <s v="Non"/>
    <e v="#N/A"/>
    <n v="20919"/>
    <s v="0GL9V3L"/>
    <s v="GARRIGUE CONSULTING"/>
    <s v="Q1"/>
    <e v="#REF!"/>
    <e v="#REF!"/>
    <e v="#REF!"/>
  </r>
  <r>
    <s v="512100"/>
    <x v="6"/>
    <s v="BANQUE POPULAIRE RIVE DE PARIS"/>
    <s v="BPRI"/>
    <n v="-1188"/>
    <d v="2025-02-18T00:00:00"/>
    <s v="EVI REMISE"/>
    <m/>
    <s v="Non"/>
    <e v="#N/A"/>
    <n v="21345"/>
    <s v="0GLKPI4"/>
    <s v="AXE GESCOM"/>
    <s v="Q1"/>
    <e v="#REF!"/>
    <e v="#REF!"/>
    <e v="#REF!"/>
  </r>
  <r>
    <s v="431000"/>
    <x v="6"/>
    <s v="URSSAF"/>
    <s v="BPRI"/>
    <n v="37694"/>
    <d v="2025-11-18T00:00:00"/>
    <s v="/SQTP/RCUR/LIB/PRLV SEPA URSSAF MIDI PYRENEES/LIB/URSSAF MIDI PYRENEES/LIB/UR 737000000182184531    OCT 255/LIB/T113417811524545"/>
    <m/>
    <e v="#N/A"/>
    <e v="#N/A"/>
    <n v="90237"/>
    <m/>
    <m/>
    <s v="Q4"/>
    <e v="#REF!"/>
    <e v="#REF!"/>
    <e v="#REF!"/>
  </r>
  <r>
    <s v="512100"/>
    <x v="6"/>
    <s v="BANQUE POPULAIRE RIVE DE PARIS"/>
    <s v="BPRI"/>
    <n v="-1168.02"/>
    <d v="2025-02-10T00:00:00"/>
    <s v="EVI REMISE"/>
    <m/>
    <e v="#N/A"/>
    <e v="#N/A"/>
    <n v="21257"/>
    <s v="0GLIZFJ"/>
    <s v="EXELL SECURITE"/>
    <s v="Q1"/>
    <e v="#REF!"/>
    <e v="#REF!"/>
    <e v="#REF!"/>
  </r>
  <r>
    <s v="512100"/>
    <x v="6"/>
    <s v="BANQUE POPULAIRE RIVE DE PARIS"/>
    <s v="BPRI"/>
    <n v="-1163.52"/>
    <d v="2025-08-05T00:00:00"/>
    <s v="PRLV SEPA BENEFIZ"/>
    <m/>
    <e v="#N/A"/>
    <e v="#N/A"/>
    <n v="80709"/>
    <m/>
    <m/>
    <s v="Q3"/>
    <e v="#REF!"/>
    <e v="#REF!"/>
    <e v="#REF!"/>
  </r>
  <r>
    <s v="512100"/>
    <x v="6"/>
    <s v="BANQUE POPULAIRE RIVE DE PARIS"/>
    <s v="BPRI"/>
    <n v="-37694"/>
    <d v="2025-11-18T00:00:00"/>
    <s v="/SQTP/RCUR/LIB/PRLV SEPA URSSAF MIDI PYRENEES/LIB/URSSAF MIDI PYRENEES/LIB/UR 737000000182184531    OCT 255/LIB/T113417811524545"/>
    <m/>
    <e v="#N/A"/>
    <e v="#N/A"/>
    <n v="90236"/>
    <m/>
    <m/>
    <s v="Q4"/>
    <e v="#REF!"/>
    <e v="#REF!"/>
    <e v="#REF!"/>
  </r>
  <r>
    <s v="512100"/>
    <x v="6"/>
    <s v="BANQUE POPULAIRE RIVE DE PARIS"/>
    <s v="BPRI"/>
    <n v="-1149.8699999999999"/>
    <d v="2025-09-04T00:00:00"/>
    <s v="PRLV SEPA ALAN"/>
    <m/>
    <e v="#N/A"/>
    <e v="#N/A"/>
    <n v="81705"/>
    <m/>
    <m/>
    <s v="Q3"/>
    <e v="#REF!"/>
    <e v="#REF!"/>
    <e v="#REF!"/>
  </r>
  <r>
    <s v="512100"/>
    <x v="6"/>
    <s v="BANQUE POPULAIRE RIVE DE PARIS"/>
    <s v="BPRI"/>
    <n v="-1140"/>
    <d v="2025-06-17T00:00:00"/>
    <s v="Comptabilisation du bordereau nr. 175"/>
    <m/>
    <e v="#N/A"/>
    <e v="#N/A"/>
    <n v="76122"/>
    <m/>
    <s v="APIE"/>
    <s v="Q2"/>
    <e v="#REF!"/>
    <e v="#REF!"/>
    <e v="#REF!"/>
  </r>
  <r>
    <s v="512100"/>
    <x v="6"/>
    <s v="BANQUE POPULAIRE RIVE DE PARIS"/>
    <s v="BPRI"/>
    <n v="-1140"/>
    <d v="2025-07-07T00:00:00"/>
    <s v="Comptabilisation du bordereau nr. 212"/>
    <m/>
    <e v="#N/A"/>
    <e v="#N/A"/>
    <n v="77016"/>
    <m/>
    <s v="APIE"/>
    <s v="Q3"/>
    <e v="#REF!"/>
    <e v="#REF!"/>
    <e v="#REF!"/>
  </r>
  <r>
    <s v="512100"/>
    <x v="6"/>
    <s v="BANQUE POPULAIRE RIVE DE PARIS"/>
    <s v="BPRI"/>
    <n v="-1136.6300000000001"/>
    <d v="2025-02-18T00:00:00"/>
    <s v="PAURUL"/>
    <m/>
    <e v="#N/A"/>
    <e v="#N/A"/>
    <n v="21303"/>
    <s v="2524625"/>
    <s v="Pauline Rullière"/>
    <s v="Q1"/>
    <e v="#REF!"/>
    <e v="#REF!"/>
    <e v="#REF!"/>
  </r>
  <r>
    <s v="431000"/>
    <x v="6"/>
    <s v="URSSAF"/>
    <s v="BPRI"/>
    <n v="39821"/>
    <d v="2025-10-16T00:00:00"/>
    <s v="/SQTP/RCUR/LIB/PRLV SEPA URSSAF MIDI PYRENEES/LIB/URSSAF MIDI PYRENEES/LIB/UR 737000000182184531    SEPT255/LIB/T113417811524545"/>
    <m/>
    <e v="#N/A"/>
    <e v="#N/A"/>
    <n v="86946"/>
    <m/>
    <m/>
    <s v="Q4"/>
    <e v="#REF!"/>
    <e v="#REF!"/>
    <e v="#REF!"/>
  </r>
  <r>
    <s v="512100"/>
    <x v="6"/>
    <s v="BANQUE POPULAIRE RIVE DE PARIS"/>
    <s v="BPRI"/>
    <n v="-1131.5"/>
    <d v="2025-07-02T00:00:00"/>
    <s v="Comptabilisation du bordereau nr. 199"/>
    <m/>
    <e v="#N/A"/>
    <e v="#N/A"/>
    <n v="76824"/>
    <m/>
    <m/>
    <s v="Q3"/>
    <e v="#REF!"/>
    <e v="#REF!"/>
    <e v="#REF!"/>
  </r>
  <r>
    <s v="512100"/>
    <x v="6"/>
    <s v="BANQUE POPULAIRE RIVE DE PARIS"/>
    <s v="BPRI"/>
    <n v="-1131.31"/>
    <d v="2025-05-19T00:00:00"/>
    <s v="Prélèvement Engie"/>
    <m/>
    <e v="#N/A"/>
    <e v="#N/A"/>
    <n v="72911"/>
    <m/>
    <s v="ENGIE"/>
    <s v="Q2"/>
    <e v="#REF!"/>
    <e v="#REF!"/>
    <e v="#REF!"/>
  </r>
  <r>
    <s v="512100"/>
    <x v="6"/>
    <s v="BANQUE POPULAIRE RIVE DE PARIS"/>
    <s v="BPRI"/>
    <n v="-1129.2"/>
    <d v="2025-02-28T00:00:00"/>
    <s v="Règlement fournisseurs"/>
    <m/>
    <e v="#N/A"/>
    <e v="#N/A"/>
    <n v="58924"/>
    <m/>
    <s v="GAZ DETECT"/>
    <s v="Q1"/>
    <e v="#REF!"/>
    <e v="#REF!"/>
    <e v="#REF!"/>
  </r>
  <r>
    <s v="512100"/>
    <x v="6"/>
    <s v="BANQUE POPULAIRE RIVE DE PARIS"/>
    <s v="BPRI"/>
    <n v="-1128.8399999999999"/>
    <d v="2025-06-05T00:00:00"/>
    <s v="Prélèvement - Benefiz"/>
    <m/>
    <e v="#N/A"/>
    <e v="#N/A"/>
    <n v="75574"/>
    <m/>
    <m/>
    <s v="Q2"/>
    <e v="#REF!"/>
    <e v="#REF!"/>
    <e v="#REF!"/>
  </r>
  <r>
    <s v="512100"/>
    <x v="6"/>
    <s v="BANQUE POPULAIRE RIVE DE PARIS"/>
    <s v="BPRI"/>
    <n v="-39821"/>
    <d v="2025-10-16T00:00:00"/>
    <s v="/SQTP/RCUR/LIB/PRLV SEPA URSSAF MIDI PYRENEES/LIB/URSSAF MIDI PYRENEES/LIB/UR 737000000182184531    SEPT255/LIB/T113417811524545"/>
    <m/>
    <e v="#N/A"/>
    <e v="#N/A"/>
    <n v="86945"/>
    <m/>
    <m/>
    <s v="Q4"/>
    <e v="#REF!"/>
    <e v="#REF!"/>
    <e v="#REF!"/>
  </r>
  <r>
    <s v="512100"/>
    <x v="6"/>
    <s v="BANQUE POPULAIRE RIVE DE PARIS"/>
    <s v="BPRI"/>
    <n v="-1116"/>
    <d v="2025-01-30T00:00:00"/>
    <s v="EVI REMISE"/>
    <m/>
    <e v="#N/A"/>
    <e v="#N/A"/>
    <n v="21132"/>
    <s v="0GLGCRR"/>
    <s v="AGENCE DIVA"/>
    <s v="Q1"/>
    <e v="#REF!"/>
    <e v="#REF!"/>
    <e v="#REF!"/>
  </r>
  <r>
    <s v="512100"/>
    <x v="6"/>
    <s v="BANQUE POPULAIRE RIVE DE PARIS"/>
    <s v="BPRI"/>
    <n v="-1116"/>
    <d v="2025-03-03T00:00:00"/>
    <s v="Règlement fournisseurs"/>
    <m/>
    <e v="#N/A"/>
    <e v="#N/A"/>
    <n v="58936"/>
    <m/>
    <s v="AGENCE DIVA"/>
    <s v="Q1"/>
    <e v="#REF!"/>
    <e v="#REF!"/>
    <e v="#REF!"/>
  </r>
  <r>
    <s v="512100"/>
    <x v="6"/>
    <s v="BANQUE POPULAIRE RIVE DE PARIS"/>
    <s v="BPRI"/>
    <n v="-1104.5"/>
    <d v="2025-02-05T00:00:00"/>
    <s v="EVI REMISE"/>
    <m/>
    <e v="#N/A"/>
    <e v="#N/A"/>
    <n v="21207"/>
    <s v="0GLHPE0"/>
    <s v="ABEL CHRIST SOMPLEI"/>
    <s v="Q1"/>
    <e v="#REF!"/>
    <e v="#REF!"/>
    <e v="#REF!"/>
  </r>
  <r>
    <s v="431000"/>
    <x v="6"/>
    <s v="URSSAF"/>
    <s v="BPRI"/>
    <n v="5876"/>
    <d v="2025-12-16T00:00:00"/>
    <s v="/SQTP/RCUR/LIB/PRLV SEPA URSSAF RHONE ALPES/LIB/URSSAF RHONE ALPES/LIB/UR 827000002191811542    NOV 257/LIB/T1430658115245450004"/>
    <m/>
    <e v="#N/A"/>
    <e v="#N/A"/>
    <n v="92233"/>
    <m/>
    <m/>
    <s v="Q4"/>
    <e v="#REF!"/>
    <e v="#REF!"/>
    <e v="#REF!"/>
  </r>
  <r>
    <s v="512100"/>
    <x v="6"/>
    <s v="BANQUE POPULAIRE RIVE DE PARIS"/>
    <s v="BPRI"/>
    <n v="-5876"/>
    <d v="2025-12-16T00:00:00"/>
    <s v="/SQTP/RCUR/LIB/PRLV SEPA URSSAF RHONE ALPES/LIB/URSSAF RHONE ALPES/LIB/UR 827000002191811542    NOV 257/LIB/T1430658115245450004"/>
    <m/>
    <e v="#N/A"/>
    <e v="#N/A"/>
    <n v="92232"/>
    <m/>
    <m/>
    <s v="Q4"/>
    <e v="#REF!"/>
    <e v="#REF!"/>
    <e v="#REF!"/>
  </r>
  <r>
    <s v="512100"/>
    <x v="6"/>
    <s v="BANQUE POPULAIRE RIVE DE PARIS"/>
    <s v="BPRI"/>
    <n v="-1099.2"/>
    <d v="2025-03-11T00:00:00"/>
    <s v="Comptabilisation du bordereau nr. 38"/>
    <m/>
    <e v="#N/A"/>
    <e v="#N/A"/>
    <n v="61232"/>
    <m/>
    <m/>
    <s v="Q1"/>
    <e v="#REF!"/>
    <e v="#REF!"/>
    <e v="#REF!"/>
  </r>
  <r>
    <s v="431000"/>
    <x v="6"/>
    <s v="URSSAF"/>
    <s v="BPRI"/>
    <n v="17273"/>
    <d v="2025-11-18T00:00:00"/>
    <s v="/SQTP/RCUR/LIB/PRLV SEPA URSSAF RHONE ALPES/LIB/URSSAF RHONE ALPES/LIB/UR 827000002191811542    OCT 257/LIB/T1430658115245450004"/>
    <m/>
    <e v="#N/A"/>
    <e v="#N/A"/>
    <n v="90231"/>
    <m/>
    <m/>
    <s v="Q4"/>
    <e v="#REF!"/>
    <e v="#REF!"/>
    <e v="#REF!"/>
  </r>
  <r>
    <s v="512100"/>
    <x v="6"/>
    <s v="BANQUE POPULAIRE RIVE DE PARIS"/>
    <s v="BPRI"/>
    <n v="-1086.22"/>
    <d v="2025-08-05T00:00:00"/>
    <s v="PRLV SEPA BENEFIZ"/>
    <m/>
    <e v="#N/A"/>
    <e v="#N/A"/>
    <n v="80706"/>
    <m/>
    <m/>
    <s v="Q3"/>
    <e v="#REF!"/>
    <e v="#REF!"/>
    <e v="#REF!"/>
  </r>
  <r>
    <s v="512100"/>
    <x v="6"/>
    <s v="BANQUE POPULAIRE RIVE DE PARIS"/>
    <s v="BPRI"/>
    <n v="-17273"/>
    <d v="2025-11-18T00:00:00"/>
    <s v="/SQTP/RCUR/LIB/PRLV SEPA URSSAF RHONE ALPES/LIB/URSSAF RHONE ALPES/LIB/UR 827000002191811542    OCT 257/LIB/T1430658115245450004"/>
    <m/>
    <e v="#N/A"/>
    <e v="#N/A"/>
    <n v="90230"/>
    <m/>
    <m/>
    <s v="Q4"/>
    <e v="#REF!"/>
    <e v="#REF!"/>
    <e v="#REF!"/>
  </r>
  <r>
    <s v="512100"/>
    <x v="6"/>
    <s v="BANQUE POPULAIRE RIVE DE PARIS"/>
    <s v="BPRI"/>
    <n v="-1073.05"/>
    <d v="2025-03-04T00:00:00"/>
    <s v="Remboursement NDF"/>
    <m/>
    <e v="#N/A"/>
    <e v="#N/A"/>
    <n v="58882"/>
    <m/>
    <s v="Benjamin Barry"/>
    <s v="Q1"/>
    <e v="#REF!"/>
    <e v="#REF!"/>
    <e v="#REF!"/>
  </r>
  <r>
    <s v="512100"/>
    <x v="6"/>
    <s v="BANQUE POPULAIRE RIVE DE PARIS"/>
    <s v="BPRI"/>
    <n v="-1063.1500000000001"/>
    <d v="2025-05-07T00:00:00"/>
    <s v="Prélèvement Bénéfiz"/>
    <m/>
    <e v="#N/A"/>
    <e v="#N/A"/>
    <n v="71687"/>
    <m/>
    <m/>
    <s v="Q2"/>
    <e v="#REF!"/>
    <e v="#REF!"/>
    <e v="#REF!"/>
  </r>
  <r>
    <s v="512100"/>
    <x v="6"/>
    <s v="BANQUE POPULAIRE RIVE DE PARIS"/>
    <s v="BPRI"/>
    <n v="-1061.49"/>
    <d v="2025-04-10T00:00:00"/>
    <s v="Frais Bancaires BP"/>
    <m/>
    <e v="#N/A"/>
    <e v="#N/A"/>
    <n v="66726"/>
    <m/>
    <s v="Banque Populaire Rive de Paris"/>
    <s v="Q2"/>
    <e v="#REF!"/>
    <e v="#REF!"/>
    <e v="#REF!"/>
  </r>
  <r>
    <s v="512100"/>
    <x v="6"/>
    <s v="BANQUE POPULAIRE RIVE DE PARIS"/>
    <s v="BPRI"/>
    <n v="-1059.31"/>
    <d v="2025-02-28T00:00:00"/>
    <s v="Règlement fournisseurs"/>
    <m/>
    <e v="#N/A"/>
    <e v="#N/A"/>
    <n v="58948"/>
    <m/>
    <s v="AIR LIQUIDE"/>
    <s v="Q1"/>
    <e v="#REF!"/>
    <e v="#REF!"/>
    <e v="#REF!"/>
  </r>
  <r>
    <s v="512100"/>
    <x v="6"/>
    <s v="BANQUE POPULAIRE RIVE DE PARIS"/>
    <s v="BPRI"/>
    <n v="-1046.69"/>
    <d v="2025-03-14T00:00:00"/>
    <s v="Règlement NDF"/>
    <m/>
    <e v="#N/A"/>
    <e v="#N/A"/>
    <n v="61676"/>
    <m/>
    <s v="Maud Sanchez"/>
    <s v="Q1"/>
    <e v="#REF!"/>
    <e v="#REF!"/>
    <e v="#REF!"/>
  </r>
  <r>
    <s v="431000"/>
    <x v="6"/>
    <s v="URSSAF"/>
    <s v="BPRI"/>
    <n v="18867"/>
    <d v="2025-10-16T00:00:00"/>
    <s v="/SQTP/RCUR/LIB/PRLV SEPA URSSAF RHONE ALPES/LIB/URSSAF RHONE ALPES/LIB/UR 827000002191811542    SEPT257/LIB/T1430658115245450004"/>
    <m/>
    <e v="#N/A"/>
    <e v="#N/A"/>
    <n v="86942"/>
    <m/>
    <m/>
    <s v="Q4"/>
    <e v="#REF!"/>
    <e v="#REF!"/>
    <e v="#REF!"/>
  </r>
  <r>
    <s v="512100"/>
    <x v="6"/>
    <s v="BANQUE POPULAIRE RIVE DE PARIS"/>
    <s v="BPRI"/>
    <n v="-1042.05"/>
    <d v="2025-07-07T00:00:00"/>
    <s v="PRLV SEPA BENEFIZ"/>
    <m/>
    <e v="#N/A"/>
    <e v="#N/A"/>
    <n v="77040"/>
    <m/>
    <m/>
    <s v="Q3"/>
    <e v="#REF!"/>
    <e v="#REF!"/>
    <e v="#REF!"/>
  </r>
  <r>
    <s v="512100"/>
    <x v="6"/>
    <s v="BANQUE POPULAIRE RIVE DE PARIS"/>
    <s v="BPRI"/>
    <n v="-18867"/>
    <d v="2025-10-16T00:00:00"/>
    <s v="/SQTP/RCUR/LIB/PRLV SEPA URSSAF RHONE ALPES/LIB/URSSAF RHONE ALPES/LIB/UR 827000002191811542    SEPT257/LIB/T1430658115245450004"/>
    <m/>
    <e v="#N/A"/>
    <e v="#N/A"/>
    <n v="86941"/>
    <m/>
    <m/>
    <s v="Q4"/>
    <e v="#REF!"/>
    <e v="#REF!"/>
    <e v="#REF!"/>
  </r>
  <r>
    <s v="512100"/>
    <x v="6"/>
    <s v="BANQUE POPULAIRE RIVE DE PARIS"/>
    <s v="BPRI"/>
    <n v="-1038.1300000000001"/>
    <d v="2025-09-04T00:00:00"/>
    <s v="PRLV SEPA BENEFIZ"/>
    <m/>
    <e v="#N/A"/>
    <e v="#N/A"/>
    <n v="81700"/>
    <m/>
    <m/>
    <s v="Q3"/>
    <e v="#REF!"/>
    <e v="#REF!"/>
    <e v="#REF!"/>
  </r>
  <r>
    <s v="512100"/>
    <x v="6"/>
    <s v="BANQUE POPULAIRE RIVE DE PARIS"/>
    <s v="BPRI"/>
    <n v="-1034"/>
    <d v="2025-02-28T00:00:00"/>
    <s v="Règlement fournisseurs"/>
    <m/>
    <e v="#N/A"/>
    <e v="#N/A"/>
    <n v="58927"/>
    <m/>
    <s v="ABEL CHRIST SOMPLEI"/>
    <s v="Q1"/>
    <e v="#REF!"/>
    <e v="#REF!"/>
    <e v="#REF!"/>
  </r>
  <r>
    <s v="512100"/>
    <x v="6"/>
    <s v="BANQUE POPULAIRE RIVE DE PARIS"/>
    <s v="BPRI"/>
    <n v="-1034"/>
    <d v="2025-07-04T00:00:00"/>
    <s v="Comptabilisation du bordereau nr. 207"/>
    <m/>
    <e v="#N/A"/>
    <e v="#N/A"/>
    <n v="77018"/>
    <m/>
    <s v="ABEL CHRIST SOMPLEI"/>
    <s v="Q3"/>
    <e v="#REF!"/>
    <e v="#REF!"/>
    <e v="#REF!"/>
  </r>
  <r>
    <s v="512100"/>
    <x v="6"/>
    <s v="BANQUE POPULAIRE RIVE DE PARIS"/>
    <s v="BPRI"/>
    <n v="-1033.5999999999999"/>
    <d v="2025-07-07T00:00:00"/>
    <s v="PRLV SEPA BENEFIZ"/>
    <m/>
    <e v="#N/A"/>
    <e v="#N/A"/>
    <n v="77037"/>
    <m/>
    <m/>
    <s v="Q3"/>
    <e v="#REF!"/>
    <e v="#REF!"/>
    <e v="#REF!"/>
  </r>
  <r>
    <s v="512100"/>
    <x v="6"/>
    <s v="BANQUE POPULAIRE RIVE DE PARIS"/>
    <s v="BPRI"/>
    <n v="-1031.05"/>
    <d v="2025-04-07T00:00:00"/>
    <s v="Prélèvement Benefiz"/>
    <m/>
    <e v="#N/A"/>
    <e v="#N/A"/>
    <n v="66571"/>
    <m/>
    <m/>
    <s v="Q2"/>
    <e v="#REF!"/>
    <e v="#REF!"/>
    <e v="#REF!"/>
  </r>
  <r>
    <s v="512100"/>
    <x v="6"/>
    <s v="BANQUE POPULAIRE RIVE DE PARIS"/>
    <s v="BPRI"/>
    <n v="-1024"/>
    <d v="2025-04-04T00:00:00"/>
    <s v="Prélèvement Alan"/>
    <m/>
    <e v="#N/A"/>
    <e v="#N/A"/>
    <n v="66586"/>
    <m/>
    <m/>
    <s v="Q2"/>
    <e v="#REF!"/>
    <e v="#REF!"/>
    <e v="#REF!"/>
  </r>
  <r>
    <s v="512100"/>
    <x v="6"/>
    <s v="BANQUE POPULAIRE RIVE DE PARIS"/>
    <s v="BPRI"/>
    <n v="-1024"/>
    <d v="2025-05-06T00:00:00"/>
    <s v="Prélèvement Alan"/>
    <m/>
    <e v="#N/A"/>
    <e v="#N/A"/>
    <n v="71678"/>
    <m/>
    <m/>
    <s v="Q2"/>
    <e v="#REF!"/>
    <e v="#REF!"/>
    <e v="#REF!"/>
  </r>
  <r>
    <s v="512100"/>
    <x v="6"/>
    <s v="BANQUE POPULAIRE RIVE DE PARIS"/>
    <s v="BPRI"/>
    <n v="-1024"/>
    <d v="2025-06-05T00:00:00"/>
    <s v="Prélèvement - Alan - mai 25 - RO"/>
    <m/>
    <e v="#N/A"/>
    <e v="#N/A"/>
    <n v="75583"/>
    <m/>
    <m/>
    <s v="Q2"/>
    <e v="#REF!"/>
    <e v="#REF!"/>
    <e v="#REF!"/>
  </r>
  <r>
    <s v="512100"/>
    <x v="6"/>
    <s v="BANQUE POPULAIRE RIVE DE PARIS"/>
    <s v="BPRI"/>
    <n v="-1015.47"/>
    <d v="2025-03-05T00:00:00"/>
    <s v="Prélèvement ALAN"/>
    <m/>
    <e v="#N/A"/>
    <e v="#N/A"/>
    <n v="58843"/>
    <m/>
    <m/>
    <s v="Q1"/>
    <e v="#REF!"/>
    <e v="#REF!"/>
    <e v="#REF!"/>
  </r>
  <r>
    <s v="512100"/>
    <x v="6"/>
    <s v="BANQUE POPULAIRE RIVE DE PARIS"/>
    <s v="BPRI"/>
    <n v="-1014.31"/>
    <d v="2025-09-04T00:00:00"/>
    <s v="PRLV SEPA BENEFIZ"/>
    <m/>
    <e v="#N/A"/>
    <e v="#N/A"/>
    <n v="81698"/>
    <m/>
    <m/>
    <s v="Q3"/>
    <e v="#REF!"/>
    <e v="#REF!"/>
    <e v="#REF!"/>
  </r>
  <r>
    <s v="512100"/>
    <x v="6"/>
    <s v="BANQUE POPULAIRE RIVE DE PARIS"/>
    <s v="BPRI"/>
    <n v="-1013.72"/>
    <d v="2025-06-05T00:00:00"/>
    <s v="Prélèvement - Benefiz"/>
    <m/>
    <e v="#N/A"/>
    <e v="#N/A"/>
    <n v="75571"/>
    <m/>
    <m/>
    <s v="Q2"/>
    <e v="#REF!"/>
    <e v="#REF!"/>
    <e v="#REF!"/>
  </r>
  <r>
    <s v="512100"/>
    <x v="6"/>
    <s v="BANQUE POPULAIRE RIVE DE PARIS"/>
    <s v="BPRI"/>
    <n v="-1010.82"/>
    <d v="2025-06-16T00:00:00"/>
    <s v="PRLV SEPA ENGIE"/>
    <m/>
    <e v="#N/A"/>
    <e v="#N/A"/>
    <n v="76021"/>
    <m/>
    <s v="ENGIE"/>
    <s v="Q2"/>
    <e v="#REF!"/>
    <e v="#REF!"/>
    <e v="#REF!"/>
  </r>
  <r>
    <s v="512100"/>
    <x v="6"/>
    <s v="BANQUE POPULAIRE RIVE DE PARIS"/>
    <s v="BPRI"/>
    <n v="-1001.32"/>
    <d v="2025-05-13T00:00:00"/>
    <s v="Règlement NDF"/>
    <m/>
    <e v="#N/A"/>
    <e v="#N/A"/>
    <n v="71998"/>
    <m/>
    <s v="Pauline Rullière"/>
    <s v="Q2"/>
    <e v="#REF!"/>
    <e v="#REF!"/>
    <e v="#REF!"/>
  </r>
  <r>
    <s v="512100"/>
    <x v="6"/>
    <s v="BANQUE POPULAIRE RIVE DE PARIS"/>
    <s v="BPRI"/>
    <n v="-1000.54"/>
    <d v="2025-07-04T00:00:00"/>
    <s v="PRLV SEPA ALAN INSURANCE"/>
    <m/>
    <e v="#N/A"/>
    <e v="#N/A"/>
    <n v="77054"/>
    <m/>
    <m/>
    <s v="Q3"/>
    <e v="#REF!"/>
    <e v="#REF!"/>
    <e v="#REF!"/>
  </r>
  <r>
    <s v="512100"/>
    <x v="6"/>
    <s v="BANQUE POPULAIRE RIVE DE PARIS"/>
    <s v="BPRI"/>
    <n v="-980.67"/>
    <d v="2025-03-03T00:00:00"/>
    <s v="Règlement fournisseurs"/>
    <m/>
    <e v="#N/A"/>
    <e v="#N/A"/>
    <n v="58963"/>
    <m/>
    <s v="AIR LIQUIDE"/>
    <s v="Q1"/>
    <e v="#REF!"/>
    <e v="#REF!"/>
    <e v="#REF!"/>
  </r>
  <r>
    <s v="401000"/>
    <x v="6"/>
    <s v="FOURNISSEURS"/>
    <s v="BPRI"/>
    <n v="43"/>
    <d v="2025-10-03T00:00:00"/>
    <s v="021025 CB    3583/LIB/SNCF-VOYAGEURS F"/>
    <m/>
    <e v="#N/A"/>
    <e v="#N/A"/>
    <n v="82685"/>
    <m/>
    <s v="SNCF"/>
    <s v="Q4"/>
    <e v="#REF!"/>
    <e v="#REF!"/>
    <e v="#REF!"/>
  </r>
  <r>
    <s v="512100"/>
    <x v="6"/>
    <s v="BANQUE POPULAIRE RIVE DE PARIS"/>
    <s v="BPRI"/>
    <n v="-960"/>
    <d v="2025-01-07T00:00:00"/>
    <s v="EVI REMISE"/>
    <s v="Non"/>
    <s v="Non"/>
    <e v="#N/A"/>
    <n v="20921"/>
    <s v="0GL9V3M"/>
    <s v="WE ARE BOLD"/>
    <s v="Q1"/>
    <e v="#REF!"/>
    <e v="#REF!"/>
    <e v="#REF!"/>
  </r>
  <r>
    <s v="512100"/>
    <x v="6"/>
    <s v="BANQUE POPULAIRE RIVE DE PARIS"/>
    <s v="BPRI"/>
    <n v="-960"/>
    <d v="2025-02-05T00:00:00"/>
    <s v="PRLV SEPA ALAN INSURANCE"/>
    <m/>
    <e v="#N/A"/>
    <e v="#N/A"/>
    <n v="21192"/>
    <s v="079CHUL"/>
    <m/>
    <s v="Q1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682"/>
    <m/>
    <s v="SNCF"/>
    <s v="Q4"/>
    <e v="#REF!"/>
    <e v="#REF!"/>
    <e v="#REF!"/>
  </r>
  <r>
    <s v="512100"/>
    <x v="6"/>
    <s v="BANQUE POPULAIRE RIVE DE PARIS"/>
    <s v="BPRI"/>
    <n v="-912"/>
    <d v="2025-01-30T00:00:00"/>
    <s v="EVI REMISE"/>
    <m/>
    <e v="#N/A"/>
    <e v="#N/A"/>
    <n v="21126"/>
    <s v="0GLGCRO"/>
    <s v="COFICIEL"/>
    <s v="Q1"/>
    <e v="#REF!"/>
    <e v="#REF!"/>
    <e v="#REF!"/>
  </r>
  <r>
    <s v="512100"/>
    <x v="6"/>
    <s v="BANQUE POPULAIRE RIVE DE PARIS"/>
    <s v="BPRI"/>
    <n v="-907.2"/>
    <d v="2025-02-05T00:00:00"/>
    <s v="PRLV SEPA ORANGE SA"/>
    <m/>
    <e v="#N/A"/>
    <e v="#N/A"/>
    <n v="21191"/>
    <s v="07943OM"/>
    <s v="ORANGE"/>
    <s v="Q1"/>
    <e v="#REF!"/>
    <e v="#REF!"/>
    <e v="#REF!"/>
  </r>
  <r>
    <s v="512100"/>
    <x v="6"/>
    <s v="BANQUE POPULAIRE RIVE DE PARIS"/>
    <s v="BPRI"/>
    <n v="-907.2"/>
    <d v="2025-04-08T00:00:00"/>
    <s v="Prélèvement Orange"/>
    <m/>
    <e v="#N/A"/>
    <e v="#N/A"/>
    <n v="66707"/>
    <m/>
    <s v="ORANGE"/>
    <s v="Q2"/>
    <e v="#REF!"/>
    <e v="#REF!"/>
    <e v="#REF!"/>
  </r>
  <r>
    <s v="512100"/>
    <x v="6"/>
    <s v="BANQUE POPULAIRE RIVE DE PARIS"/>
    <s v="BPRI"/>
    <n v="-907.2"/>
    <d v="2025-06-04T00:00:00"/>
    <s v="Prélèvement Orange"/>
    <m/>
    <e v="#N/A"/>
    <e v="#N/A"/>
    <n v="75491"/>
    <m/>
    <s v="ORANGE"/>
    <s v="Q2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688"/>
    <m/>
    <s v="SNCF"/>
    <s v="Q4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691"/>
    <m/>
    <s v="SNCF"/>
    <s v="Q4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694"/>
    <m/>
    <s v="SNCF"/>
    <s v="Q4"/>
    <e v="#REF!"/>
    <e v="#REF!"/>
    <e v="#REF!"/>
  </r>
  <r>
    <s v="512100"/>
    <x v="6"/>
    <s v="BANQUE POPULAIRE RIVE DE PARIS"/>
    <s v="BPRI"/>
    <n v="-888.06"/>
    <d v="2025-02-28T00:00:00"/>
    <s v="Règlement fournisseurs"/>
    <s v="Non"/>
    <s v="Non"/>
    <e v="#N/A"/>
    <n v="58930"/>
    <m/>
    <s v="OSIRIS"/>
    <s v="Q1"/>
    <e v="#REF!"/>
    <e v="#REF!"/>
    <e v="#REF!"/>
  </r>
  <r>
    <s v="512100"/>
    <x v="6"/>
    <s v="BANQUE POPULAIRE RIVE DE PARIS"/>
    <s v="BPRI"/>
    <n v="-888"/>
    <d v="2025-04-15T00:00:00"/>
    <s v="Comptabilisation du bordereau nr. 77"/>
    <m/>
    <s v="Non"/>
    <s v="Oui"/>
    <n v="67557"/>
    <m/>
    <s v="BIOECONOMY FOR CHANGE"/>
    <s v="Q2"/>
    <e v="#REF!"/>
    <e v="#REF!"/>
    <e v="#REF!"/>
  </r>
  <r>
    <s v="512100"/>
    <x v="6"/>
    <s v="BANQUE POPULAIRE RIVE DE PARIS"/>
    <s v="BPRI"/>
    <n v="-885.18"/>
    <d v="2025-04-23T00:00:00"/>
    <s v="Prélèvement fournisseur"/>
    <m/>
    <s v="Non"/>
    <n v="0"/>
    <n v="68210"/>
    <m/>
    <s v="SERVICE ACTION SANTE"/>
    <s v="Q2"/>
    <e v="#REF!"/>
    <e v="#REF!"/>
    <e v="#REF!"/>
  </r>
  <r>
    <s v="512100"/>
    <x v="6"/>
    <s v="BANQUE POPULAIRE RIVE DE PARIS"/>
    <s v="BPRI"/>
    <n v="-885.01"/>
    <d v="2025-02-10T00:00:00"/>
    <s v="EVI REMISE"/>
    <s v="Non"/>
    <s v="Non"/>
    <e v="#N/A"/>
    <n v="21249"/>
    <s v="0GLIF7H"/>
    <s v="ALTAIR AVOCATS"/>
    <s v="Q1"/>
    <e v="#REF!"/>
    <e v="#REF!"/>
    <e v="#REF!"/>
  </r>
  <r>
    <s v="512100"/>
    <x v="6"/>
    <s v="BANQUE POPULAIRE RIVE DE PARIS"/>
    <s v="BPRI"/>
    <n v="-883.74"/>
    <d v="2025-03-06T00:00:00"/>
    <s v="Prélèvement Benefiz"/>
    <m/>
    <e v="#N/A"/>
    <e v="#N/A"/>
    <n v="58819"/>
    <m/>
    <m/>
    <s v="Q1"/>
    <e v="#REF!"/>
    <e v="#REF!"/>
    <e v="#REF!"/>
  </r>
  <r>
    <s v="512100"/>
    <x v="6"/>
    <s v="BANQUE POPULAIRE RIVE DE PARIS"/>
    <s v="BPRI"/>
    <n v="-875"/>
    <d v="2025-01-03T00:00:00"/>
    <s v="PRLV SEPA BPIFRANCE"/>
    <m/>
    <e v="#N/A"/>
    <e v="#N/A"/>
    <n v="20879"/>
    <s v="06XHS4J"/>
    <s v="BPI FRANCE"/>
    <s v="Q1"/>
    <e v="#REF!"/>
    <e v="#REF!"/>
    <e v="#REF!"/>
  </r>
  <r>
    <s v="512100"/>
    <x v="6"/>
    <s v="BANQUE POPULAIRE RIVE DE PARIS"/>
    <s v="BPRI"/>
    <n v="-861.87"/>
    <d v="2025-02-05T00:00:00"/>
    <s v="PRLV SEPA ALAN INSURANCE"/>
    <m/>
    <e v="#N/A"/>
    <e v="#N/A"/>
    <n v="21194"/>
    <s v="079CHVT"/>
    <m/>
    <s v="Q1"/>
    <e v="#REF!"/>
    <e v="#REF!"/>
    <e v="#REF!"/>
  </r>
  <r>
    <s v="512100"/>
    <x v="6"/>
    <s v="BANQUE POPULAIRE RIVE DE PARIS"/>
    <s v="BPRI"/>
    <n v="-859.74"/>
    <d v="2025-02-10T00:00:00"/>
    <s v="PIEBOL"/>
    <m/>
    <e v="#N/A"/>
    <e v="#N/A"/>
    <n v="21243"/>
    <s v="2259621"/>
    <s v="Pierre-Yves Bolle"/>
    <s v="Q1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697"/>
    <m/>
    <s v="SNCF"/>
    <s v="Q4"/>
    <e v="#REF!"/>
    <e v="#REF!"/>
    <e v="#REF!"/>
  </r>
  <r>
    <s v="512100"/>
    <x v="6"/>
    <s v="BANQUE POPULAIRE RIVE DE PARIS"/>
    <s v="BPRI"/>
    <n v="-832"/>
    <d v="2025-03-05T00:00:00"/>
    <s v="Prélèvement ALAN"/>
    <m/>
    <e v="#N/A"/>
    <e v="#N/A"/>
    <n v="58846"/>
    <m/>
    <m/>
    <s v="Q1"/>
    <e v="#REF!"/>
    <e v="#REF!"/>
    <e v="#REF!"/>
  </r>
  <r>
    <s v="512100"/>
    <x v="6"/>
    <s v="BANQUE POPULAIRE RIVE DE PARIS"/>
    <s v="BPRI"/>
    <n v="-817.52"/>
    <d v="2025-04-14T00:00:00"/>
    <s v="Règlement NDF"/>
    <m/>
    <e v="#N/A"/>
    <e v="#N/A"/>
    <n v="67587"/>
    <s v="25000106"/>
    <s v="Yves Combret"/>
    <s v="Q2"/>
    <e v="#REF!"/>
    <e v="#REF!"/>
    <e v="#REF!"/>
  </r>
  <r>
    <s v="512100"/>
    <x v="6"/>
    <s v="BANQUE POPULAIRE RIVE DE PARIS"/>
    <s v="BPRI"/>
    <n v="-810"/>
    <d v="2025-01-30T00:00:00"/>
    <s v="EVI REMISE"/>
    <m/>
    <e v="#N/A"/>
    <e v="#N/A"/>
    <n v="21140"/>
    <s v="0GLGCRV"/>
    <s v="SMTS"/>
    <s v="Q1"/>
    <e v="#REF!"/>
    <e v="#REF!"/>
    <e v="#REF!"/>
  </r>
  <r>
    <s v="512100"/>
    <x v="6"/>
    <s v="BANQUE POPULAIRE RIVE DE PARIS"/>
    <s v="BPRI"/>
    <n v="-792"/>
    <d v="2025-05-16T00:00:00"/>
    <s v="Comptabilisation du bordereau nr. 121"/>
    <m/>
    <s v="Non"/>
    <e v="#N/A"/>
    <n v="72834"/>
    <m/>
    <s v="AGRUME"/>
    <s v="Q2"/>
    <e v="#REF!"/>
    <e v="#REF!"/>
    <e v="#REF!"/>
  </r>
  <r>
    <s v="512100"/>
    <x v="6"/>
    <s v="BANQUE POPULAIRE RIVE DE PARIS"/>
    <s v="BPRI"/>
    <n v="-785.69"/>
    <d v="2025-01-16T00:00:00"/>
    <s v="PRLV SEPA ASP"/>
    <m/>
    <e v="#N/A"/>
    <e v="#N/A"/>
    <n v="21000"/>
    <s v="0734UZ6"/>
    <m/>
    <s v="Q1"/>
    <e v="#REF!"/>
    <e v="#REF!"/>
    <e v="#REF!"/>
  </r>
  <r>
    <s v="512100"/>
    <x v="6"/>
    <s v="BANQUE POPULAIRE RIVE DE PARIS"/>
    <s v="BPRI"/>
    <n v="-783.7"/>
    <d v="2025-03-10T00:00:00"/>
    <s v="Virement Note de Frais"/>
    <m/>
    <e v="#N/A"/>
    <e v="#N/A"/>
    <n v="60076"/>
    <m/>
    <s v="Pauline Rullière"/>
    <s v="Q1"/>
    <e v="#REF!"/>
    <e v="#REF!"/>
    <e v="#REF!"/>
  </r>
  <r>
    <s v="401000"/>
    <x v="6"/>
    <s v="FOURNISSEURS"/>
    <s v="BPRI"/>
    <n v="73"/>
    <d v="2025-10-03T00:00:00"/>
    <s v="021025 CB    3583/LIB/SNCF-VOYAGEURS F"/>
    <m/>
    <e v="#N/A"/>
    <e v="#N/A"/>
    <n v="82700"/>
    <m/>
    <s v="SNCF"/>
    <s v="Q4"/>
    <e v="#REF!"/>
    <e v="#REF!"/>
    <e v="#REF!"/>
  </r>
  <r>
    <s v="512100"/>
    <x v="6"/>
    <s v="BANQUE POPULAIRE RIVE DE PARIS"/>
    <s v="BPRI"/>
    <n v="-766.45"/>
    <d v="2025-01-20T00:00:00"/>
    <s v="EVI PINCHART ALAIN"/>
    <m/>
    <e v="#N/A"/>
    <e v="#N/A"/>
    <n v="21031"/>
    <s v="1363803"/>
    <s v="Alain Pinchard"/>
    <s v="Q1"/>
    <e v="#REF!"/>
    <e v="#REF!"/>
    <e v="#REF!"/>
  </r>
  <r>
    <s v="512100"/>
    <x v="6"/>
    <s v="BANQUE POPULAIRE RIVE DE PARIS"/>
    <s v="BPRI"/>
    <n v="-760.83"/>
    <d v="2025-02-06T00:00:00"/>
    <s v="EVI REMISE"/>
    <m/>
    <e v="#N/A"/>
    <e v="#N/A"/>
    <n v="21225"/>
    <s v="0GLHS0T"/>
    <s v="VWR AVANTOR"/>
    <s v="Q1"/>
    <e v="#REF!"/>
    <e v="#REF!"/>
    <e v="#REF!"/>
  </r>
  <r>
    <s v="512100"/>
    <x v="6"/>
    <s v="BANQUE POPULAIRE RIVE DE PARIS"/>
    <s v="BPRI"/>
    <n v="-753.3"/>
    <d v="2025-08-21T00:00:00"/>
    <s v="Comptabilisation du bordereau nr. 259"/>
    <m/>
    <e v="#N/A"/>
    <e v="#N/A"/>
    <n v="81358"/>
    <m/>
    <m/>
    <s v="Q3"/>
    <e v="#REF!"/>
    <e v="#REF!"/>
    <e v="#REF!"/>
  </r>
  <r>
    <s v="512100"/>
    <x v="6"/>
    <s v="BANQUE POPULAIRE RIVE DE PARIS"/>
    <s v="BPRI"/>
    <n v="-736.03"/>
    <d v="2025-01-07T00:00:00"/>
    <s v="EVI REMISE"/>
    <m/>
    <e v="#N/A"/>
    <e v="#N/A"/>
    <n v="20923"/>
    <s v="0GL9V3N"/>
    <s v="VWR AVANTOR"/>
    <s v="Q1"/>
    <e v="#REF!"/>
    <e v="#REF!"/>
    <e v="#REF!"/>
  </r>
  <r>
    <s v="512100"/>
    <x v="6"/>
    <s v="BANQUE POPULAIRE RIVE DE PARIS"/>
    <s v="BPRI"/>
    <n v="-733.87"/>
    <d v="2025-04-04T00:00:00"/>
    <s v="Prélèvement Alan"/>
    <m/>
    <e v="#N/A"/>
    <e v="#N/A"/>
    <n v="66589"/>
    <m/>
    <m/>
    <s v="Q2"/>
    <e v="#REF!"/>
    <e v="#REF!"/>
    <e v="#REF!"/>
  </r>
  <r>
    <s v="512100"/>
    <x v="6"/>
    <s v="BANQUE POPULAIRE RIVE DE PARIS"/>
    <s v="BPRI"/>
    <n v="-731.15"/>
    <d v="2025-02-18T00:00:00"/>
    <s v="ALAPIN"/>
    <m/>
    <e v="#N/A"/>
    <e v="#N/A"/>
    <n v="21301"/>
    <s v="2524523"/>
    <s v="Alain Pinchard"/>
    <s v="Q1"/>
    <e v="#REF!"/>
    <e v="#REF!"/>
    <e v="#REF!"/>
  </r>
  <r>
    <s v="512100"/>
    <x v="6"/>
    <s v="BANQUE POPULAIRE RIVE DE PARIS"/>
    <s v="BPRI"/>
    <n v="-729.31"/>
    <d v="2025-03-10T00:00:00"/>
    <s v="Règlement NDF"/>
    <m/>
    <e v="#N/A"/>
    <e v="#N/A"/>
    <n v="60073"/>
    <m/>
    <s v="Marine Bonnaud"/>
    <s v="Q1"/>
    <e v="#REF!"/>
    <e v="#REF!"/>
    <e v="#REF!"/>
  </r>
  <r>
    <s v="512100"/>
    <x v="6"/>
    <s v="BANQUE POPULAIRE RIVE DE PARIS"/>
    <s v="BPRI"/>
    <n v="-720"/>
    <d v="2025-04-07T00:00:00"/>
    <s v="Prélèvement Eurecia"/>
    <m/>
    <e v="#N/A"/>
    <e v="#N/A"/>
    <n v="66593"/>
    <m/>
    <s v="EURECIA"/>
    <s v="Q2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81"/>
    <m/>
    <s v="SNCF"/>
    <s v="Q4"/>
    <e v="#REF!"/>
    <e v="#REF!"/>
    <e v="#REF!"/>
  </r>
  <r>
    <s v="512100"/>
    <x v="6"/>
    <s v="BANQUE POPULAIRE RIVE DE PARIS"/>
    <s v="BPRI"/>
    <n v="-701.87"/>
    <d v="2025-07-04T00:00:00"/>
    <s v="PRLV SEPA ALAN INSURANCE"/>
    <m/>
    <e v="#N/A"/>
    <e v="#N/A"/>
    <n v="77050"/>
    <m/>
    <m/>
    <s v="Q3"/>
    <e v="#REF!"/>
    <e v="#REF!"/>
    <e v="#REF!"/>
  </r>
  <r>
    <s v="512100"/>
    <x v="6"/>
    <s v="BANQUE POPULAIRE RIVE DE PARIS"/>
    <s v="BPRI"/>
    <n v="-693.84"/>
    <d v="2025-08-08T00:00:00"/>
    <s v="Comptabilisation du bordereau nr. 246"/>
    <m/>
    <e v="#N/A"/>
    <e v="#N/A"/>
    <n v="80778"/>
    <m/>
    <m/>
    <s v="Q3"/>
    <e v="#REF!"/>
    <e v="#REF!"/>
    <e v="#REF!"/>
  </r>
  <r>
    <s v="512100"/>
    <x v="6"/>
    <s v="BANQUE POPULAIRE RIVE DE PARIS"/>
    <s v="BPRI"/>
    <n v="-681.5"/>
    <d v="2025-08-05T00:00:00"/>
    <s v="PRLV SEPA BENEFIZ"/>
    <m/>
    <e v="#N/A"/>
    <e v="#N/A"/>
    <n v="80703"/>
    <m/>
    <m/>
    <s v="Q3"/>
    <e v="#REF!"/>
    <e v="#REF!"/>
    <e v="#REF!"/>
  </r>
  <r>
    <s v="512100"/>
    <x v="6"/>
    <s v="BANQUE POPULAIRE RIVE DE PARIS"/>
    <s v="BPRI"/>
    <n v="-670.36"/>
    <d v="2025-01-15T00:00:00"/>
    <s v="EVI REMISE"/>
    <s v="Non"/>
    <s v="Non"/>
    <e v="#N/A"/>
    <n v="20985"/>
    <s v="0GLCS3U"/>
    <s v="OSIRIS"/>
    <s v="Q1"/>
    <e v="#REF!"/>
    <e v="#REF!"/>
    <e v="#REF!"/>
  </r>
  <r>
    <s v="512100"/>
    <x v="6"/>
    <s v="BANQUE POPULAIRE RIVE DE PARIS"/>
    <s v="BPRI"/>
    <n v="-664.36"/>
    <d v="2025-06-05T00:00:00"/>
    <s v="Prélèvement - Benefiz"/>
    <m/>
    <e v="#N/A"/>
    <e v="#N/A"/>
    <n v="75568"/>
    <m/>
    <m/>
    <s v="Q2"/>
    <e v="#REF!"/>
    <e v="#REF!"/>
    <e v="#REF!"/>
  </r>
  <r>
    <s v="512100"/>
    <x v="6"/>
    <s v="BANQUE POPULAIRE RIVE DE PARIS"/>
    <s v="BPRI"/>
    <n v="-663.32"/>
    <d v="2025-02-11T00:00:00"/>
    <s v="Règlement NDF"/>
    <m/>
    <e v="#N/A"/>
    <e v="#N/A"/>
    <n v="21263"/>
    <s v="2260166"/>
    <s v="Guillaume Boissonnat-Wu"/>
    <s v="Q1"/>
    <e v="#REF!"/>
    <e v="#REF!"/>
    <e v="#REF!"/>
  </r>
  <r>
    <s v="512100"/>
    <x v="6"/>
    <s v="BANQUE POPULAIRE RIVE DE PARIS"/>
    <s v="BPRI"/>
    <n v="-658"/>
    <d v="2025-01-07T00:00:00"/>
    <s v="EVI REMISE"/>
    <m/>
    <e v="#N/A"/>
    <e v="#N/A"/>
    <n v="20917"/>
    <s v="0GL9V3K"/>
    <s v="ABEL CHRIST SOMPLEI"/>
    <s v="Q1"/>
    <e v="#REF!"/>
    <e v="#REF!"/>
    <e v="#REF!"/>
  </r>
  <r>
    <s v="512100"/>
    <x v="6"/>
    <s v="BANQUE POPULAIRE RIVE DE PARIS"/>
    <s v="BPRI"/>
    <n v="-643"/>
    <d v="2025-04-08T00:00:00"/>
    <s v="Comptabilisation du bordereau nr. 72"/>
    <m/>
    <e v="#N/A"/>
    <e v="#N/A"/>
    <n v="66683"/>
    <m/>
    <m/>
    <s v="Q2"/>
    <e v="#REF!"/>
    <e v="#REF!"/>
    <e v="#REF!"/>
  </r>
  <r>
    <s v="512100"/>
    <x v="6"/>
    <s v="BANQUE POPULAIRE RIVE DE PARIS"/>
    <s v="BPRI"/>
    <n v="-640"/>
    <d v="2025-06-05T00:00:00"/>
    <s v="Prélèvement - Alan - mai 25 - KB"/>
    <m/>
    <e v="#N/A"/>
    <e v="#N/A"/>
    <n v="75580"/>
    <m/>
    <m/>
    <s v="Q2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87"/>
    <m/>
    <s v="SNCF"/>
    <s v="Q4"/>
    <e v="#REF!"/>
    <e v="#REF!"/>
    <e v="#REF!"/>
  </r>
  <r>
    <s v="512100"/>
    <x v="6"/>
    <s v="BANQUE POPULAIRE RIVE DE PARIS"/>
    <s v="BPRI"/>
    <n v="-635.73"/>
    <d v="2025-05-06T00:00:00"/>
    <s v="Prélèvement Alan"/>
    <m/>
    <e v="#N/A"/>
    <e v="#N/A"/>
    <n v="71675"/>
    <m/>
    <m/>
    <s v="Q2"/>
    <e v="#REF!"/>
    <e v="#REF!"/>
    <e v="#REF!"/>
  </r>
  <r>
    <s v="512100"/>
    <x v="6"/>
    <s v="BANQUE POPULAIRE RIVE DE PARIS"/>
    <s v="BPRI"/>
    <n v="-631.20000000000005"/>
    <d v="2025-01-31T00:00:00"/>
    <s v="EVI REMISE"/>
    <s v="Non"/>
    <s v="Non"/>
    <e v="#N/A"/>
    <n v="21167"/>
    <s v="0GLGLHM"/>
    <s v="OSIRIS"/>
    <s v="Q1"/>
    <e v="#REF!"/>
    <e v="#REF!"/>
    <e v="#REF!"/>
  </r>
  <r>
    <s v="512100"/>
    <x v="6"/>
    <s v="BANQUE POPULAIRE RIVE DE PARIS"/>
    <s v="BPRI"/>
    <n v="-627"/>
    <d v="2025-01-30T00:00:00"/>
    <s v="EVI REMISE"/>
    <m/>
    <e v="#N/A"/>
    <e v="#N/A"/>
    <n v="21116"/>
    <s v="0GLGCMZ"/>
    <s v="RIPAYON"/>
    <s v="Q1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90"/>
    <m/>
    <s v="SNCF"/>
    <s v="Q4"/>
    <e v="#REF!"/>
    <e v="#REF!"/>
    <e v="#REF!"/>
  </r>
  <r>
    <s v="512100"/>
    <x v="6"/>
    <s v="BANQUE POPULAIRE RIVE DE PARIS"/>
    <s v="BPRI"/>
    <n v="-621.80999999999995"/>
    <d v="2025-07-07T00:00:00"/>
    <s v="PRLV SEPA BENEFIZ"/>
    <m/>
    <e v="#N/A"/>
    <e v="#N/A"/>
    <n v="77043"/>
    <m/>
    <m/>
    <s v="Q3"/>
    <e v="#REF!"/>
    <e v="#REF!"/>
    <e v="#REF!"/>
  </r>
  <r>
    <s v="512100"/>
    <x v="6"/>
    <s v="BANQUE POPULAIRE RIVE DE PARIS"/>
    <s v="BPRI"/>
    <n v="-610.53"/>
    <d v="2025-05-07T00:00:00"/>
    <s v="Prélèvement Bénéfiz"/>
    <m/>
    <e v="#N/A"/>
    <e v="#N/A"/>
    <n v="71690"/>
    <m/>
    <m/>
    <s v="Q2"/>
    <e v="#REF!"/>
    <e v="#REF!"/>
    <e v="#REF!"/>
  </r>
  <r>
    <s v="512100"/>
    <x v="6"/>
    <s v="BANQUE POPULAIRE RIVE DE PARIS"/>
    <s v="BPRI"/>
    <n v="-603.70000000000005"/>
    <d v="2025-02-18T00:00:00"/>
    <s v="KEVCOT"/>
    <m/>
    <e v="#N/A"/>
    <e v="#N/A"/>
    <n v="21305"/>
    <s v="2524726"/>
    <s v="Kevin Cottet"/>
    <s v="Q1"/>
    <e v="#REF!"/>
    <e v="#REF!"/>
    <e v="#REF!"/>
  </r>
  <r>
    <s v="512100"/>
    <x v="6"/>
    <s v="BANQUE POPULAIRE RIVE DE PARIS"/>
    <s v="BPRI"/>
    <n v="-600"/>
    <d v="2025-01-13T00:00:00"/>
    <s v="EVI M JEREMIE BLACHE"/>
    <m/>
    <e v="#N/A"/>
    <e v="#N/A"/>
    <n v="20957"/>
    <s v="1105506"/>
    <s v="Jérémie Blache"/>
    <s v="Q1"/>
    <e v="#REF!"/>
    <e v="#REF!"/>
    <e v="#REF!"/>
  </r>
  <r>
    <s v="512100"/>
    <x v="6"/>
    <s v="BANQUE POPULAIRE RIVE DE PARIS"/>
    <s v="BPRI"/>
    <n v="-600"/>
    <d v="2025-02-11T00:00:00"/>
    <s v="JERBLA"/>
    <m/>
    <e v="#N/A"/>
    <e v="#N/A"/>
    <n v="21277"/>
    <s v="2261182"/>
    <s v="Jérémie Blache"/>
    <s v="Q1"/>
    <e v="#REF!"/>
    <e v="#REF!"/>
    <e v="#REF!"/>
  </r>
  <r>
    <s v="512100"/>
    <x v="6"/>
    <s v="BANQUE POPULAIRE RIVE DE PARIS"/>
    <s v="BPRI"/>
    <n v="-600"/>
    <d v="2025-03-10T00:00:00"/>
    <s v="Règlement NDF"/>
    <m/>
    <e v="#N/A"/>
    <e v="#N/A"/>
    <n v="60070"/>
    <m/>
    <s v="Jérémie Blache"/>
    <s v="Q1"/>
    <e v="#REF!"/>
    <e v="#REF!"/>
    <e v="#REF!"/>
  </r>
  <r>
    <s v="512100"/>
    <x v="6"/>
    <s v="BANQUE POPULAIRE RIVE DE PARIS"/>
    <s v="BPRI"/>
    <n v="-593.87"/>
    <d v="2025-01-31T00:00:00"/>
    <s v="EVI CHABRET OCEANE"/>
    <m/>
    <e v="#N/A"/>
    <e v="#N/A"/>
    <n v="21147"/>
    <s v="1806620"/>
    <m/>
    <s v="Q1"/>
    <e v="#REF!"/>
    <e v="#REF!"/>
    <e v="#REF!"/>
  </r>
  <r>
    <s v="512100"/>
    <x v="6"/>
    <s v="BANQUE POPULAIRE RIVE DE PARIS"/>
    <s v="BPRI"/>
    <n v="-592.9"/>
    <d v="2025-01-31T00:00:00"/>
    <s v="EVI CHABRET OCEANE"/>
    <m/>
    <e v="#N/A"/>
    <e v="#N/A"/>
    <n v="21149"/>
    <s v="1806734"/>
    <m/>
    <s v="Q1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93"/>
    <m/>
    <s v="SNCF"/>
    <s v="Q4"/>
    <e v="#REF!"/>
    <e v="#REF!"/>
    <e v="#REF!"/>
  </r>
  <r>
    <s v="512100"/>
    <x v="6"/>
    <s v="BANQUE POPULAIRE RIVE DE PARIS"/>
    <s v="BPRI"/>
    <n v="-583.36"/>
    <d v="2025-07-09T00:00:00"/>
    <s v="Comptabilisation du bordereau nr. 215"/>
    <m/>
    <e v="#N/A"/>
    <e v="#N/A"/>
    <n v="77233"/>
    <m/>
    <m/>
    <s v="Q3"/>
    <e v="#REF!"/>
    <e v="#REF!"/>
    <e v="#REF!"/>
  </r>
  <r>
    <s v="512100"/>
    <x v="6"/>
    <s v="BANQUE POPULAIRE RIVE DE PARIS"/>
    <s v="BPRI"/>
    <n v="-581.4"/>
    <d v="2025-03-14T00:00:00"/>
    <s v="Règlement NDF"/>
    <m/>
    <e v="#N/A"/>
    <e v="#N/A"/>
    <n v="61679"/>
    <m/>
    <s v="Kevin Cottet"/>
    <s v="Q1"/>
    <e v="#REF!"/>
    <e v="#REF!"/>
    <e v="#REF!"/>
  </r>
  <r>
    <s v="512100"/>
    <x v="6"/>
    <s v="BANQUE POPULAIRE RIVE DE PARIS"/>
    <s v="BPRI"/>
    <n v="-576.4"/>
    <d v="2025-02-05T00:00:00"/>
    <s v="ALAPIN"/>
    <m/>
    <e v="#N/A"/>
    <e v="#N/A"/>
    <n v="21183"/>
    <s v="2044475"/>
    <s v="Alain Pinchard"/>
    <s v="Q1"/>
    <e v="#REF!"/>
    <e v="#REF!"/>
    <e v="#REF!"/>
  </r>
  <r>
    <s v="512100"/>
    <x v="6"/>
    <s v="BANQUE POPULAIRE RIVE DE PARIS"/>
    <s v="BPRI"/>
    <n v="-576"/>
    <d v="2025-01-30T00:00:00"/>
    <s v="EVI REMISE"/>
    <m/>
    <e v="#N/A"/>
    <e v="#N/A"/>
    <n v="21144"/>
    <s v="0GLGCRY"/>
    <s v="BIOKAL"/>
    <s v="Q1"/>
    <e v="#REF!"/>
    <e v="#REF!"/>
    <e v="#REF!"/>
  </r>
  <r>
    <s v="512100"/>
    <x v="6"/>
    <s v="BANQUE POPULAIRE RIVE DE PARIS"/>
    <s v="BPRI"/>
    <n v="-576"/>
    <d v="2025-09-04T00:00:00"/>
    <s v="PRLV SEPA ALAN"/>
    <m/>
    <e v="#N/A"/>
    <e v="#N/A"/>
    <n v="81702"/>
    <m/>
    <m/>
    <s v="Q3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96"/>
    <m/>
    <s v="SNCF"/>
    <s v="Q4"/>
    <e v="#REF!"/>
    <e v="#REF!"/>
    <e v="#REF!"/>
  </r>
  <r>
    <s v="512100"/>
    <x v="6"/>
    <s v="BANQUE POPULAIRE RIVE DE PARIS"/>
    <s v="BPRI"/>
    <n v="-73"/>
    <d v="2025-10-03T00:00:00"/>
    <s v="021025 CB    3583/LIB/SNCF-VOYAGEURS F"/>
    <m/>
    <e v="#N/A"/>
    <e v="#N/A"/>
    <n v="82699"/>
    <m/>
    <s v="SNCF"/>
    <s v="Q4"/>
    <e v="#REF!"/>
    <e v="#REF!"/>
    <e v="#REF!"/>
  </r>
  <r>
    <s v="512100"/>
    <x v="6"/>
    <s v="BANQUE POPULAIRE RIVE DE PARIS"/>
    <s v="BPRI"/>
    <n v="-570.53"/>
    <d v="2025-04-29T00:00:00"/>
    <s v="Règlement NDF"/>
    <m/>
    <e v="#N/A"/>
    <e v="#N/A"/>
    <n v="70499"/>
    <m/>
    <s v="Marie Rézeau"/>
    <s v="Q2"/>
    <e v="#REF!"/>
    <e v="#REF!"/>
    <e v="#REF!"/>
  </r>
  <r>
    <s v="512100"/>
    <x v="6"/>
    <s v="BANQUE POPULAIRE RIVE DE PARIS"/>
    <s v="BPRI"/>
    <n v="-569.46"/>
    <d v="2025-04-30T00:00:00"/>
    <s v="Prélèvement fournisseur"/>
    <m/>
    <e v="#N/A"/>
    <e v="#N/A"/>
    <n v="71884"/>
    <m/>
    <s v="AIR LIQUIDE"/>
    <s v="Q2"/>
    <e v="#REF!"/>
    <e v="#REF!"/>
    <e v="#REF!"/>
  </r>
  <r>
    <s v="512100"/>
    <x v="6"/>
    <s v="BANQUE POPULAIRE RIVE DE PARIS"/>
    <s v="BPRI"/>
    <n v="-568.69000000000005"/>
    <d v="2025-12-22T00:00:00"/>
    <s v="Comptabilisation du bordereau nr. 372"/>
    <m/>
    <e v="#N/A"/>
    <e v="#N/A"/>
    <n v="93021"/>
    <m/>
    <s v="ROTH SOCHIEL"/>
    <s v="Q4"/>
    <e v="#REF!"/>
    <e v="#REF!"/>
    <e v="#REF!"/>
  </r>
  <r>
    <s v="512100"/>
    <x v="6"/>
    <s v="BANQUE POPULAIRE RIVE DE PARIS"/>
    <s v="BPRI"/>
    <n v="-564"/>
    <d v="2025-08-22T00:00:00"/>
    <s v="Comptabilisation du bordereau nr. 267"/>
    <m/>
    <e v="#N/A"/>
    <e v="#N/A"/>
    <n v="81563"/>
    <m/>
    <s v="ABEL CHRIST SOMPLEI"/>
    <s v="Q3"/>
    <e v="#REF!"/>
    <e v="#REF!"/>
    <e v="#REF!"/>
  </r>
  <r>
    <s v="512100"/>
    <x v="6"/>
    <s v="BANQUE POPULAIRE RIVE DE PARIS"/>
    <s v="BPRI"/>
    <n v="-43"/>
    <d v="2025-10-03T00:00:00"/>
    <s v="021025 CB    3583/LIB/SNCF-VOYAGEURS F"/>
    <m/>
    <e v="#N/A"/>
    <e v="#N/A"/>
    <n v="82684"/>
    <m/>
    <s v="SNCF"/>
    <s v="Q4"/>
    <e v="#REF!"/>
    <e v="#REF!"/>
    <e v="#REF!"/>
  </r>
  <r>
    <s v="512100"/>
    <x v="6"/>
    <s v="BANQUE POPULAIRE RIVE DE PARIS"/>
    <s v="BPRI"/>
    <n v="-542.49"/>
    <d v="2025-03-24T00:00:00"/>
    <s v="Règlement NDF"/>
    <m/>
    <e v="#N/A"/>
    <e v="#N/A"/>
    <n v="64499"/>
    <m/>
    <s v="Océane Chabret"/>
    <s v="Q1"/>
    <e v="#REF!"/>
    <e v="#REF!"/>
    <e v="#REF!"/>
  </r>
  <r>
    <s v="512100"/>
    <x v="6"/>
    <s v="BANQUE POPULAIRE RIVE DE PARIS"/>
    <s v="BPRI"/>
    <n v="-539"/>
    <d v="2025-12-19T00:00:00"/>
    <s v="Comptabilisation du bordereau nr. 369"/>
    <m/>
    <e v="#N/A"/>
    <e v="#N/A"/>
    <n v="92699"/>
    <m/>
    <s v="APOLLO SCIENTIFIC"/>
    <s v="Q4"/>
    <e v="#REF!"/>
    <e v="#REF!"/>
    <e v="#REF!"/>
  </r>
  <r>
    <s v="401000"/>
    <x v="6"/>
    <s v="FOURNISSEURS"/>
    <s v="BPRI"/>
    <n v="35.700000000000003"/>
    <d v="2025-08-05T00:00:00"/>
    <s v="040825 CB    6880/LIB/LA POSTE L94043FR KREMLIN BICE"/>
    <m/>
    <e v="#N/A"/>
    <e v="#N/A"/>
    <n v="80686"/>
    <m/>
    <s v="LA POSTE"/>
    <s v="Q3"/>
    <e v="#REF!"/>
    <e v="#REF!"/>
    <e v="#REF!"/>
  </r>
  <r>
    <s v="512100"/>
    <x v="6"/>
    <s v="BANQUE POPULAIRE RIVE DE PARIS"/>
    <s v="BPRI"/>
    <n v="-35.700000000000003"/>
    <d v="2025-08-05T00:00:00"/>
    <s v="040825 CB    6880/LIB/LA POSTE L94043FR KREMLIN BICE"/>
    <m/>
    <e v="#N/A"/>
    <e v="#N/A"/>
    <n v="80685"/>
    <m/>
    <s v="LA POSTE"/>
    <s v="Q3"/>
    <e v="#REF!"/>
    <e v="#REF!"/>
    <e v="#REF!"/>
  </r>
  <r>
    <s v="512100"/>
    <x v="6"/>
    <s v="BANQUE POPULAIRE RIVE DE PARIS"/>
    <s v="BPRI"/>
    <n v="-534.76"/>
    <d v="2025-09-04T00:00:00"/>
    <s v="PRLV SEPA BENEFIZ"/>
    <m/>
    <e v="#N/A"/>
    <e v="#N/A"/>
    <n v="81694"/>
    <m/>
    <m/>
    <s v="Q3"/>
    <e v="#REF!"/>
    <e v="#REF!"/>
    <e v="#REF!"/>
  </r>
  <r>
    <s v="512100"/>
    <x v="6"/>
    <s v="BANQUE POPULAIRE RIVE DE PARIS"/>
    <s v="BPRI"/>
    <n v="-530.46"/>
    <d v="2025-05-26T00:00:00"/>
    <s v="Règlement fournisseur"/>
    <m/>
    <e v="#N/A"/>
    <e v="#N/A"/>
    <n v="74094"/>
    <m/>
    <s v="ORANGE"/>
    <s v="Q2"/>
    <e v="#REF!"/>
    <e v="#REF!"/>
    <e v="#REF!"/>
  </r>
  <r>
    <s v="512100"/>
    <x v="6"/>
    <s v="BANQUE POPULAIRE RIVE DE PARIS"/>
    <s v="BPRI"/>
    <n v="-530.23"/>
    <d v="2025-05-22T00:00:00"/>
    <s v="Comptabilisation du bordereau nr. 127"/>
    <m/>
    <e v="#N/A"/>
    <e v="#N/A"/>
    <n v="74056"/>
    <m/>
    <m/>
    <s v="Q2"/>
    <e v="#REF!"/>
    <e v="#REF!"/>
    <e v="#REF!"/>
  </r>
  <r>
    <s v="512100"/>
    <x v="6"/>
    <s v="BANQUE POPULAIRE RIVE DE PARIS"/>
    <s v="BPRI"/>
    <n v="-529.4"/>
    <d v="2025-03-20T00:00:00"/>
    <s v="Comptabilisation du bordereau nr. 59"/>
    <m/>
    <e v="#N/A"/>
    <e v="#N/A"/>
    <n v="61916"/>
    <m/>
    <m/>
    <s v="Q1"/>
    <e v="#REF!"/>
    <e v="#REF!"/>
    <e v="#REF!"/>
  </r>
  <r>
    <s v="401000"/>
    <x v="6"/>
    <s v="FOURNISSEURS"/>
    <s v="BPRI"/>
    <n v="520"/>
    <d v="2025-08-08T00:00:00"/>
    <s v="070825 CB    6880/LIB/SNCF-VOYAGEURS F"/>
    <m/>
    <e v="#N/A"/>
    <e v="#N/A"/>
    <n v="80792"/>
    <m/>
    <s v="SNCF"/>
    <s v="Q3"/>
    <e v="#REF!"/>
    <e v="#REF!"/>
    <e v="#REF!"/>
  </r>
  <r>
    <s v="512100"/>
    <x v="6"/>
    <s v="BANQUE POPULAIRE RIVE DE PARIS"/>
    <s v="BPRI"/>
    <n v="-525"/>
    <d v="2025-01-03T00:00:00"/>
    <s v="EVI REMISE"/>
    <s v="Non"/>
    <e v="#N/A"/>
    <e v="#N/A"/>
    <n v="20883"/>
    <s v="0GL8TMK"/>
    <s v="DOTMATICS LIMITED"/>
    <s v="Q1"/>
    <e v="#REF!"/>
    <e v="#REF!"/>
    <e v="#REF!"/>
  </r>
  <r>
    <s v="512100"/>
    <x v="6"/>
    <s v="BANQUE POPULAIRE RIVE DE PARIS"/>
    <s v="BPRI"/>
    <n v="-521.07000000000005"/>
    <d v="2025-01-07T00:00:00"/>
    <s v="Règlement NDF"/>
    <m/>
    <e v="#N/A"/>
    <e v="#N/A"/>
    <n v="20909"/>
    <s v="858053"/>
    <s v="Marie Rézeau"/>
    <s v="Q1"/>
    <e v="#REF!"/>
    <e v="#REF!"/>
    <e v="#REF!"/>
  </r>
  <r>
    <s v="512100"/>
    <x v="6"/>
    <s v="BANQUE POPULAIRE RIVE DE PARIS"/>
    <s v="BPRI"/>
    <n v="-520"/>
    <d v="2025-08-08T00:00:00"/>
    <s v="070825 CB    6880/LIB/SNCF-VOYAGEURS F"/>
    <m/>
    <e v="#N/A"/>
    <e v="#N/A"/>
    <n v="80791"/>
    <m/>
    <s v="SNCF"/>
    <s v="Q3"/>
    <e v="#REF!"/>
    <e v="#REF!"/>
    <e v="#REF!"/>
  </r>
  <r>
    <s v="512100"/>
    <x v="6"/>
    <s v="BANQUE POPULAIRE RIVE DE PARIS"/>
    <s v="BPRI"/>
    <n v="-519.54999999999995"/>
    <d v="2025-01-13T00:00:00"/>
    <s v="EVI RULLIERE PAULINE"/>
    <m/>
    <e v="#N/A"/>
    <e v="#N/A"/>
    <n v="20967"/>
    <s v="1106433"/>
    <s v="Pauline Rullière"/>
    <s v="Q1"/>
    <e v="#REF!"/>
    <e v="#REF!"/>
    <e v="#REF!"/>
  </r>
  <r>
    <s v="401000"/>
    <x v="6"/>
    <s v="FOURNISSEURS"/>
    <s v="BPRI"/>
    <n v="43"/>
    <d v="2025-09-08T00:00:00"/>
    <s v="070925 CB    3583/LIB/SNCF-VOYAGEURS"/>
    <m/>
    <e v="#N/A"/>
    <e v="#N/A"/>
    <n v="82123"/>
    <m/>
    <s v="SNCF"/>
    <s v="Q3"/>
    <e v="#REF!"/>
    <e v="#REF!"/>
    <e v="#REF!"/>
  </r>
  <r>
    <s v="401000"/>
    <x v="6"/>
    <s v="FOURNISSEURS"/>
    <s v="BPRI"/>
    <n v="64"/>
    <d v="2025-09-08T00:00:00"/>
    <s v="070925 CB    3583/LIB/SNCF-VOYAGEURS"/>
    <m/>
    <e v="#N/A"/>
    <e v="#N/A"/>
    <n v="82126"/>
    <m/>
    <s v="SNCF"/>
    <s v="Q3"/>
    <e v="#REF!"/>
    <e v="#REF!"/>
    <e v="#REF!"/>
  </r>
  <r>
    <s v="512100"/>
    <x v="6"/>
    <s v="BANQUE POPULAIRE RIVE DE PARIS"/>
    <s v="BPRI"/>
    <n v="-513.29999999999995"/>
    <d v="2025-01-13T00:00:00"/>
    <s v="EVI AMILLASTRE EMILIE"/>
    <m/>
    <e v="#N/A"/>
    <e v="#N/A"/>
    <n v="20971"/>
    <s v="1106725"/>
    <s v="Emilie Amillastré"/>
    <s v="Q1"/>
    <e v="#REF!"/>
    <e v="#REF!"/>
    <e v="#REF!"/>
  </r>
  <r>
    <s v="512100"/>
    <x v="6"/>
    <s v="BANQUE POPULAIRE RIVE DE PARIS"/>
    <s v="BPRI"/>
    <n v="-512.89"/>
    <d v="2025-03-10T00:00:00"/>
    <s v="Règlement NDF"/>
    <m/>
    <e v="#N/A"/>
    <e v="#N/A"/>
    <n v="60067"/>
    <m/>
    <s v="Nicolas Canu"/>
    <s v="Q1"/>
    <e v="#REF!"/>
    <e v="#REF!"/>
    <e v="#REF!"/>
  </r>
  <r>
    <s v="512100"/>
    <x v="6"/>
    <s v="BANQUE POPULAIRE RIVE DE PARIS"/>
    <s v="BPRI"/>
    <n v="-64"/>
    <d v="2025-09-08T00:00:00"/>
    <s v="070925 CB    3583/LIB/SNCF-VOYAGEURS"/>
    <m/>
    <e v="#N/A"/>
    <e v="#N/A"/>
    <n v="82125"/>
    <m/>
    <s v="SNCF"/>
    <s v="Q3"/>
    <e v="#REF!"/>
    <e v="#REF!"/>
    <e v="#REF!"/>
  </r>
  <r>
    <s v="512100"/>
    <x v="6"/>
    <s v="BANQUE POPULAIRE RIVE DE PARIS"/>
    <s v="BPRI"/>
    <n v="-43"/>
    <d v="2025-09-08T00:00:00"/>
    <s v="070925 CB    3583/LIB/SNCF-VOYAGEURS"/>
    <m/>
    <e v="#N/A"/>
    <e v="#N/A"/>
    <n v="82122"/>
    <m/>
    <s v="SNCF"/>
    <s v="Q3"/>
    <e v="#REF!"/>
    <e v="#REF!"/>
    <e v="#REF!"/>
  </r>
  <r>
    <s v="401000"/>
    <x v="6"/>
    <s v="FOURNISSEURS"/>
    <s v="BPRI"/>
    <n v="44.76"/>
    <d v="2025-08-11T00:00:00"/>
    <s v="080825 CB    6880/LIB/J.M. BRUNEAU   FR VILLEBON SUR/LIB/44,76EUR 1 EURO   1,000"/>
    <m/>
    <e v="#N/A"/>
    <e v="#N/A"/>
    <n v="80796"/>
    <m/>
    <s v="BRUNEAU"/>
    <s v="Q3"/>
    <e v="#REF!"/>
    <e v="#REF!"/>
    <e v="#REF!"/>
  </r>
  <r>
    <s v="512100"/>
    <x v="6"/>
    <s v="BANQUE POPULAIRE RIVE DE PARIS"/>
    <s v="BPRI"/>
    <n v="-506.99"/>
    <d v="2025-05-23T00:00:00"/>
    <s v="Paiement fournisseur CB"/>
    <m/>
    <e v="#N/A"/>
    <e v="#N/A"/>
    <n v="74082"/>
    <m/>
    <s v="BACKMARKET"/>
    <s v="Q2"/>
    <e v="#REF!"/>
    <e v="#REF!"/>
    <e v="#REF!"/>
  </r>
  <r>
    <s v="512100"/>
    <x v="6"/>
    <s v="BANQUE POPULAIRE RIVE DE PARIS"/>
    <s v="BPRI"/>
    <n v="-44.76"/>
    <d v="2025-08-11T00:00:00"/>
    <s v="080825 CB    6880/LIB/J.M. BRUNEAU   FR VILLEBON SUR/LIB/44,76EUR 1 EURO   1,000"/>
    <m/>
    <e v="#N/A"/>
    <e v="#N/A"/>
    <n v="80795"/>
    <m/>
    <s v="BRUNEAU"/>
    <s v="Q3"/>
    <e v="#REF!"/>
    <e v="#REF!"/>
    <e v="#REF!"/>
  </r>
  <r>
    <s v="512100"/>
    <x v="6"/>
    <s v="BANQUE POPULAIRE RIVE DE PARIS"/>
    <s v="BPRI"/>
    <n v="-498"/>
    <d v="2025-01-30T00:00:00"/>
    <s v="EVI REMISE"/>
    <m/>
    <e v="#N/A"/>
    <e v="#N/A"/>
    <n v="21128"/>
    <s v="0GLGCRP"/>
    <s v="FMGE"/>
    <s v="Q1"/>
    <e v="#REF!"/>
    <e v="#REF!"/>
    <e v="#REF!"/>
  </r>
  <r>
    <s v="512100"/>
    <x v="6"/>
    <s v="BANQUE POPULAIRE RIVE DE PARIS"/>
    <s v="BPRI"/>
    <n v="-497.08"/>
    <d v="2025-03-06T00:00:00"/>
    <s v="Prélèvement Benefiz"/>
    <m/>
    <e v="#N/A"/>
    <e v="#N/A"/>
    <n v="58813"/>
    <m/>
    <m/>
    <s v="Q1"/>
    <e v="#REF!"/>
    <e v="#REF!"/>
    <e v="#REF!"/>
  </r>
  <r>
    <s v="512100"/>
    <x v="6"/>
    <s v="BANQUE POPULAIRE RIVE DE PARIS"/>
    <s v="BPRI"/>
    <n v="-485.4"/>
    <d v="2025-01-06T00:00:00"/>
    <s v="PRLV SEPA ASP"/>
    <m/>
    <e v="#N/A"/>
    <e v="#N/A"/>
    <n v="20888"/>
    <s v="06Y81UC"/>
    <s v="INITIATIVE &amp; RISK PARTNERS"/>
    <s v="Q1"/>
    <e v="#REF!"/>
    <e v="#REF!"/>
    <e v="#REF!"/>
  </r>
  <r>
    <s v="512100"/>
    <x v="6"/>
    <s v="BANQUE POPULAIRE RIVE DE PARIS"/>
    <s v="BPRI"/>
    <n v="-482.04"/>
    <d v="2025-08-22T00:00:00"/>
    <s v="Comptabilisation du bordereau nr. 265"/>
    <m/>
    <e v="#N/A"/>
    <e v="#N/A"/>
    <n v="81535"/>
    <m/>
    <s v="EXELL SECURITE"/>
    <s v="Q3"/>
    <e v="#REF!"/>
    <e v="#REF!"/>
    <e v="#REF!"/>
  </r>
  <r>
    <s v="512100"/>
    <x v="6"/>
    <s v="BANQUE POPULAIRE RIVE DE PARIS"/>
    <s v="BPRI"/>
    <n v="-480"/>
    <d v="2025-06-11T00:00:00"/>
    <s v="Comptabilisation du bordereau nr. 160"/>
    <s v="Non"/>
    <s v="Non"/>
    <e v="#N/A"/>
    <n v="75944"/>
    <m/>
    <s v="F2P AUDIT &amp; CONSEIL"/>
    <s v="Q2"/>
    <e v="#REF!"/>
    <e v="#REF!"/>
    <e v="#REF!"/>
  </r>
  <r>
    <s v="512100"/>
    <x v="6"/>
    <s v="BANQUE POPULAIRE RIVE DE PARIS"/>
    <s v="BPRI"/>
    <n v="-476.52"/>
    <d v="2025-01-02T00:00:00"/>
    <s v="PRLV SEPA BNP PARIBAS LEASE GRO"/>
    <m/>
    <e v="#N/A"/>
    <e v="#N/A"/>
    <n v="20855"/>
    <s v="06WLUT8"/>
    <s v="BNP PARIBAS LEASE GROUP"/>
    <s v="Q1"/>
    <e v="#REF!"/>
    <e v="#REF!"/>
    <e v="#REF!"/>
  </r>
  <r>
    <s v="512100"/>
    <x v="6"/>
    <s v="BANQUE POPULAIRE RIVE DE PARIS"/>
    <s v="BPRI"/>
    <n v="-476.52"/>
    <d v="2025-04-01T00:00:00"/>
    <s v="Prélèvement BNP Lease"/>
    <m/>
    <e v="#N/A"/>
    <e v="#N/A"/>
    <n v="66449"/>
    <m/>
    <s v="BNP PARIBAS LEASE GROUP"/>
    <s v="Q2"/>
    <e v="#REF!"/>
    <e v="#REF!"/>
    <e v="#REF!"/>
  </r>
  <r>
    <s v="512100"/>
    <x v="6"/>
    <s v="BANQUE POPULAIRE RIVE DE PARIS"/>
    <s v="BPRI"/>
    <n v="-476.52"/>
    <d v="2025-07-01T00:00:00"/>
    <s v="PRLV SEPA BNP PARIBAS LEASE GROUP"/>
    <m/>
    <e v="#N/A"/>
    <e v="#N/A"/>
    <n v="77070"/>
    <m/>
    <s v="BNP PARIBAS LEASE GROUP"/>
    <s v="Q3"/>
    <e v="#REF!"/>
    <e v="#REF!"/>
    <e v="#REF!"/>
  </r>
  <r>
    <s v="512100"/>
    <x v="6"/>
    <s v="BANQUE POPULAIRE RIVE DE PARIS"/>
    <s v="BPRI"/>
    <n v="-512.04999999999995"/>
    <d v="2025-09-09T00:00:00"/>
    <s v="080925 CB    3583/LIB/DAME AUGUSTINE F"/>
    <m/>
    <e v="#N/A"/>
    <e v="#N/A"/>
    <n v="82112"/>
    <m/>
    <m/>
    <s v="Q3"/>
    <e v="#REF!"/>
    <e v="#REF!"/>
    <e v="#REF!"/>
  </r>
  <r>
    <s v="512100"/>
    <x v="6"/>
    <s v="BANQUE POPULAIRE RIVE DE PARIS"/>
    <s v="BPRI"/>
    <n v="-473"/>
    <d v="2025-11-25T00:00:00"/>
    <s v="Comptabilisation du bordereau nr. 345"/>
    <m/>
    <e v="#N/A"/>
    <e v="#N/A"/>
    <n v="91135"/>
    <m/>
    <s v="ROLAND GRANGIER"/>
    <s v="Q4"/>
    <e v="#REF!"/>
    <e v="#REF!"/>
    <e v="#REF!"/>
  </r>
  <r>
    <s v="512100"/>
    <x v="6"/>
    <s v="BANQUE POPULAIRE RIVE DE PARIS"/>
    <s v="BPRI"/>
    <n v="-470"/>
    <d v="2025-05-13T00:00:00"/>
    <s v="Règlement NDF"/>
    <m/>
    <e v="#N/A"/>
    <e v="#N/A"/>
    <n v="71995"/>
    <m/>
    <s v="Océane Chabret"/>
    <s v="Q2"/>
    <e v="#REF!"/>
    <e v="#REF!"/>
    <e v="#REF!"/>
  </r>
  <r>
    <s v="625100"/>
    <x v="6"/>
    <s v="Voyages et déplacements"/>
    <s v="BPRI"/>
    <n v="512.04999999999995"/>
    <d v="2025-09-09T00:00:00"/>
    <s v="080925 CB    3583/LIB/DAME AUGUSTINE F"/>
    <m/>
    <e v="#N/A"/>
    <e v="#N/A"/>
    <n v="82113"/>
    <m/>
    <m/>
    <s v="Q3"/>
    <e v="#REF!"/>
    <e v="#REF!"/>
    <e v="#REF!"/>
  </r>
  <r>
    <s v="512100"/>
    <x v="6"/>
    <s v="BANQUE POPULAIRE RIVE DE PARIS"/>
    <s v="BPRI"/>
    <n v="-447.88"/>
    <d v="2025-02-06T00:00:00"/>
    <s v="050225 CB    5564"/>
    <m/>
    <e v="#N/A"/>
    <e v="#N/A"/>
    <n v="21231"/>
    <s v="1QCN4DH"/>
    <s v="Pascal Simonney"/>
    <s v="Q1"/>
    <e v="#REF!"/>
    <e v="#REF!"/>
    <e v="#REF!"/>
  </r>
  <r>
    <s v="512100"/>
    <x v="6"/>
    <s v="BANQUE POPULAIRE RIVE DE PARIS"/>
    <s v="BPRI"/>
    <n v="-443.25"/>
    <d v="2025-01-13T00:00:00"/>
    <s v="EVI COTTET KEVIN"/>
    <m/>
    <e v="#N/A"/>
    <e v="#N/A"/>
    <n v="20961"/>
    <s v="1105910"/>
    <s v="Kevin Cottet"/>
    <s v="Q1"/>
    <e v="#REF!"/>
    <e v="#REF!"/>
    <e v="#REF!"/>
  </r>
  <r>
    <s v="512100"/>
    <x v="6"/>
    <s v="BANQUE POPULAIRE RIVE DE PARIS"/>
    <s v="BPRI"/>
    <n v="-437.86"/>
    <d v="2025-01-13T00:00:00"/>
    <s v="EVI BARRY BENJAMIN"/>
    <m/>
    <e v="#N/A"/>
    <e v="#N/A"/>
    <n v="20969"/>
    <s v="1106577"/>
    <s v="Benjamin Barry"/>
    <s v="Q1"/>
    <e v="#REF!"/>
    <e v="#REF!"/>
    <e v="#REF!"/>
  </r>
  <r>
    <s v="512100"/>
    <x v="6"/>
    <s v="BANQUE POPULAIRE RIVE DE PARIS"/>
    <s v="BPRI"/>
    <n v="-434.32"/>
    <d v="2025-04-07T00:00:00"/>
    <s v="Prélèvement Benefiz"/>
    <m/>
    <e v="#N/A"/>
    <e v="#N/A"/>
    <n v="66575"/>
    <m/>
    <m/>
    <s v="Q2"/>
    <e v="#REF!"/>
    <e v="#REF!"/>
    <e v="#REF!"/>
  </r>
  <r>
    <s v="512100"/>
    <x v="6"/>
    <s v="BANQUE POPULAIRE RIVE DE PARIS"/>
    <s v="BPRI"/>
    <n v="-429.97"/>
    <d v="2025-01-31T00:00:00"/>
    <s v="Prélèvement fournisseurs"/>
    <m/>
    <e v="#N/A"/>
    <e v="#N/A"/>
    <n v="61909"/>
    <m/>
    <s v="AIR LIQUIDE"/>
    <s v="Q1"/>
    <e v="#REF!"/>
    <e v="#REF!"/>
    <e v="#REF!"/>
  </r>
  <r>
    <s v="512100"/>
    <x v="6"/>
    <s v="BANQUE POPULAIRE RIVE DE PARIS"/>
    <s v="BPRI"/>
    <n v="-426.72"/>
    <d v="2025-01-06T00:00:00"/>
    <s v="435074 0043599 APRIL"/>
    <m/>
    <e v="#N/A"/>
    <e v="#N/A"/>
    <n v="20890"/>
    <s v="06Y8Z5K"/>
    <s v="INITIATIVE &amp; RISK PARTNERS"/>
    <s v="Q1"/>
    <e v="#REF!"/>
    <e v="#REF!"/>
    <e v="#REF!"/>
  </r>
  <r>
    <s v="512100"/>
    <x v="6"/>
    <s v="BANQUE POPULAIRE RIVE DE PARIS"/>
    <s v="BPRI"/>
    <n v="-421.6"/>
    <d v="2025-11-28T00:00:00"/>
    <s v="Comptabilisation du bordereau nr. 349"/>
    <m/>
    <e v="#N/A"/>
    <e v="#N/A"/>
    <n v="91177"/>
    <m/>
    <s v="GUERLET-DEGUERNE"/>
    <s v="Q4"/>
    <e v="#REF!"/>
    <e v="#REF!"/>
    <e v="#REF!"/>
  </r>
  <r>
    <s v="401000"/>
    <x v="6"/>
    <s v="FOURNISSEURS"/>
    <s v="BPRI"/>
    <n v="73"/>
    <d v="2025-09-09T00:00:00"/>
    <s v="080925 CB    3583/LIB/SNCF-VOYAGEURS F"/>
    <m/>
    <e v="#N/A"/>
    <e v="#N/A"/>
    <n v="82118"/>
    <m/>
    <s v="SNCF"/>
    <s v="Q3"/>
    <e v="#REF!"/>
    <e v="#REF!"/>
    <e v="#REF!"/>
  </r>
  <r>
    <s v="512100"/>
    <x v="6"/>
    <s v="BANQUE POPULAIRE RIVE DE PARIS"/>
    <s v="BPRI"/>
    <n v="-404.71"/>
    <d v="2025-03-18T00:00:00"/>
    <s v="Prélèvement Engie"/>
    <m/>
    <e v="#N/A"/>
    <e v="#N/A"/>
    <n v="61853"/>
    <m/>
    <s v="ENGIE"/>
    <s v="Q1"/>
    <e v="#REF!"/>
    <e v="#REF!"/>
    <e v="#REF!"/>
  </r>
  <r>
    <s v="512100"/>
    <x v="6"/>
    <s v="BANQUE POPULAIRE RIVE DE PARIS"/>
    <s v="BPRI"/>
    <n v="-73"/>
    <d v="2025-09-09T00:00:00"/>
    <s v="080925 CB    3583/LIB/SNCF-VOYAGEURS F"/>
    <m/>
    <e v="#N/A"/>
    <e v="#N/A"/>
    <n v="82117"/>
    <m/>
    <s v="SNCF"/>
    <s v="Q3"/>
    <e v="#REF!"/>
    <e v="#REF!"/>
    <e v="#REF!"/>
  </r>
  <r>
    <s v="512100"/>
    <x v="6"/>
    <s v="BANQUE POPULAIRE RIVE DE PARIS"/>
    <s v="BPRI"/>
    <n v="-392.44"/>
    <d v="2025-09-16T00:00:00"/>
    <s v="PRLV SEPA ENGIE"/>
    <m/>
    <e v="#N/A"/>
    <e v="#N/A"/>
    <n v="82431"/>
    <m/>
    <s v="ENGIE"/>
    <s v="Q3"/>
    <e v="#REF!"/>
    <e v="#REF!"/>
    <e v="#REF!"/>
  </r>
  <r>
    <s v="512100"/>
    <x v="6"/>
    <s v="BANQUE POPULAIRE RIVE DE PARIS"/>
    <s v="BPRI"/>
    <n v="-373.14"/>
    <d v="2025-02-18T00:00:00"/>
    <s v="EVI REMISE"/>
    <s v="Non"/>
    <e v="#N/A"/>
    <e v="#N/A"/>
    <n v="21333"/>
    <s v="0GLKPHX"/>
    <s v="BIOTIKA"/>
    <s v="Q1"/>
    <e v="#REF!"/>
    <e v="#REF!"/>
    <e v="#REF!"/>
  </r>
  <r>
    <s v="512100"/>
    <x v="6"/>
    <s v="BANQUE POPULAIRE RIVE DE PARIS"/>
    <s v="BPRI"/>
    <n v="-364.78"/>
    <d v="2025-02-28T00:00:00"/>
    <s v="Règlement fournisseurs"/>
    <m/>
    <e v="#N/A"/>
    <e v="#N/A"/>
    <n v="58942"/>
    <m/>
    <s v="COTRAL LAB"/>
    <s v="Q1"/>
    <e v="#REF!"/>
    <e v="#REF!"/>
    <e v="#REF!"/>
  </r>
  <r>
    <s v="512100"/>
    <x v="6"/>
    <s v="BANQUE POPULAIRE RIVE DE PARIS"/>
    <s v="BPRI"/>
    <n v="-360.2"/>
    <d v="2025-11-13T00:00:00"/>
    <s v="Comptabilisation du bordereau nr. 321"/>
    <m/>
    <e v="#N/A"/>
    <e v="#N/A"/>
    <n v="89951"/>
    <m/>
    <s v="INITIATIVE &amp; RISK PARTNERS"/>
    <s v="Q4"/>
    <e v="#REF!"/>
    <e v="#REF!"/>
    <e v="#REF!"/>
  </r>
  <r>
    <s v="512100"/>
    <x v="6"/>
    <s v="BANQUE POPULAIRE RIVE DE PARIS"/>
    <s v="BPRI"/>
    <n v="-357.7"/>
    <d v="2025-04-07T00:00:00"/>
    <s v="Prélèvement Benefiz"/>
    <m/>
    <e v="#N/A"/>
    <e v="#N/A"/>
    <n v="66578"/>
    <m/>
    <m/>
    <s v="Q2"/>
    <e v="#REF!"/>
    <e v="#REF!"/>
    <e v="#REF!"/>
  </r>
  <r>
    <s v="512100"/>
    <x v="6"/>
    <s v="BANQUE POPULAIRE RIVE DE PARIS"/>
    <s v="BPRI"/>
    <n v="-354"/>
    <d v="2025-02-18T00:00:00"/>
    <s v="PRLV SEPA URSSAF MIDI PYRENEES"/>
    <m/>
    <e v="#N/A"/>
    <e v="#N/A"/>
    <n v="21330"/>
    <s v="07DLF6G"/>
    <m/>
    <s v="Q1"/>
    <e v="#REF!"/>
    <e v="#REF!"/>
    <e v="#REF!"/>
  </r>
  <r>
    <s v="512100"/>
    <x v="6"/>
    <s v="BANQUE POPULAIRE RIVE DE PARIS"/>
    <s v="BPRI"/>
    <n v="-349.67"/>
    <d v="2025-04-25T00:00:00"/>
    <s v="Virement NDF"/>
    <m/>
    <e v="#N/A"/>
    <e v="#N/A"/>
    <n v="70232"/>
    <m/>
    <s v="Lucie Crépin"/>
    <s v="Q2"/>
    <e v="#REF!"/>
    <e v="#REF!"/>
    <e v="#REF!"/>
  </r>
  <r>
    <s v="401000"/>
    <x v="6"/>
    <s v="FOURNISSEURS"/>
    <s v="BPRI"/>
    <n v="73"/>
    <d v="2025-09-15T00:00:00"/>
    <s v="140925 CB    3583/LIB/SNCF-VOYAGEURS "/>
    <m/>
    <e v="#N/A"/>
    <e v="#N/A"/>
    <n v="82355"/>
    <m/>
    <s v="SNCF"/>
    <s v="Q3"/>
    <e v="#REF!"/>
    <e v="#REF!"/>
    <e v="#REF!"/>
  </r>
  <r>
    <s v="512100"/>
    <x v="6"/>
    <s v="BANQUE POPULAIRE RIVE DE PARIS"/>
    <s v="BPRI"/>
    <n v="-73"/>
    <d v="2025-09-15T00:00:00"/>
    <s v="140925 CB    3583/LIB/SNCF-VOYAGEURS "/>
    <m/>
    <e v="#N/A"/>
    <e v="#N/A"/>
    <n v="82354"/>
    <m/>
    <s v="SNCF"/>
    <s v="Q3"/>
    <e v="#REF!"/>
    <e v="#REF!"/>
    <e v="#REF!"/>
  </r>
  <r>
    <s v="512100"/>
    <x v="6"/>
    <s v="BANQUE POPULAIRE RIVE DE PARIS"/>
    <s v="BPRI"/>
    <n v="-342"/>
    <d v="2025-12-10T00:00:00"/>
    <s v="Comptabilisation du bordereau nr. 357"/>
    <m/>
    <e v="#N/A"/>
    <e v="#N/A"/>
    <n v="92079"/>
    <m/>
    <s v="RJM LA ROSA NEGRA"/>
    <s v="Q4"/>
    <e v="#REF!"/>
    <e v="#REF!"/>
    <e v="#REF!"/>
  </r>
  <r>
    <s v="512100"/>
    <x v="6"/>
    <s v="BANQUE POPULAIRE RIVE DE PARIS"/>
    <s v="BPRI"/>
    <n v="-341.36"/>
    <d v="2025-05-30T00:00:00"/>
    <s v="Prélèvement ALFI"/>
    <m/>
    <e v="#N/A"/>
    <e v="#N/A"/>
    <n v="75015"/>
    <m/>
    <s v="AIR LIQUIDE"/>
    <s v="Q2"/>
    <e v="#REF!"/>
    <e v="#REF!"/>
    <e v="#REF!"/>
  </r>
  <r>
    <s v="401000"/>
    <x v="6"/>
    <s v="FOURNISSEURS"/>
    <s v="BPRI"/>
    <n v="7.14"/>
    <d v="2025-09-23T00:00:00"/>
    <s v="220925 CB    6880/LIB/LA POSTE"/>
    <m/>
    <e v="#N/A"/>
    <e v="#N/A"/>
    <n v="82460"/>
    <m/>
    <s v="LA POSTE"/>
    <s v="Q3"/>
    <e v="#REF!"/>
    <e v="#REF!"/>
    <e v="#REF!"/>
  </r>
  <r>
    <s v="512100"/>
    <x v="6"/>
    <s v="BANQUE POPULAIRE RIVE DE PARIS"/>
    <s v="BPRI"/>
    <n v="-339.36"/>
    <d v="2025-09-04T00:00:00"/>
    <s v="PRLV SEPA BENEFIZ"/>
    <m/>
    <e v="#N/A"/>
    <e v="#N/A"/>
    <n v="81696"/>
    <m/>
    <m/>
    <s v="Q3"/>
    <e v="#REF!"/>
    <e v="#REF!"/>
    <e v="#REF!"/>
  </r>
  <r>
    <s v="512100"/>
    <x v="6"/>
    <s v="BANQUE POPULAIRE RIVE DE PARIS"/>
    <s v="BPRI"/>
    <n v="-7.14"/>
    <d v="2025-09-23T00:00:00"/>
    <s v="220925 CB    6880/LIB/LA POSTE"/>
    <m/>
    <e v="#N/A"/>
    <e v="#N/A"/>
    <n v="82459"/>
    <m/>
    <s v="LA POSTE"/>
    <s v="Q3"/>
    <e v="#REF!"/>
    <e v="#REF!"/>
    <e v="#REF!"/>
  </r>
  <r>
    <s v="512100"/>
    <x v="6"/>
    <s v="BANQUE POPULAIRE RIVE DE PARIS"/>
    <s v="BPRI"/>
    <n v="-332.45"/>
    <d v="2025-03-14T00:00:00"/>
    <s v="Règlement NDF"/>
    <m/>
    <e v="#N/A"/>
    <e v="#N/A"/>
    <n v="61682"/>
    <m/>
    <s v="Marie-Sarah Adenis"/>
    <s v="Q1"/>
    <e v="#REF!"/>
    <e v="#REF!"/>
    <e v="#REF!"/>
  </r>
  <r>
    <s v="512100"/>
    <x v="6"/>
    <s v="BANQUE POPULAIRE RIVE DE PARIS"/>
    <s v="BPRI"/>
    <n v="-330"/>
    <d v="2025-01-31T00:00:00"/>
    <s v="EVI REMISE"/>
    <m/>
    <e v="#N/A"/>
    <e v="#N/A"/>
    <n v="21169"/>
    <s v="0GLGLHX"/>
    <s v="GINE-LOG"/>
    <s v="Q1"/>
    <e v="#REF!"/>
    <e v="#REF!"/>
    <e v="#REF!"/>
  </r>
  <r>
    <s v="401000"/>
    <x v="6"/>
    <s v="FOURNISSEURS"/>
    <s v="BPRI"/>
    <n v="168.59"/>
    <d v="2025-09-27T00:00:00"/>
    <s v="260925 CB    6880/LIB/LINKEDIN RECRUI"/>
    <s v="Non"/>
    <s v="Non"/>
    <e v="#N/A"/>
    <n v="82644"/>
    <m/>
    <s v="LINKEDIN"/>
    <s v="Q3"/>
    <e v="#REF!"/>
    <e v="#REF!"/>
    <e v="#REF!"/>
  </r>
  <r>
    <s v="512100"/>
    <x v="6"/>
    <s v="BANQUE POPULAIRE RIVE DE PARIS"/>
    <s v="BPRI"/>
    <n v="-323.8"/>
    <d v="2025-07-29T00:00:00"/>
    <s v="Comptabilisation du bordereau nr. 234"/>
    <m/>
    <e v="#N/A"/>
    <e v="#N/A"/>
    <n v="78728"/>
    <m/>
    <m/>
    <s v="Q3"/>
    <e v="#REF!"/>
    <e v="#REF!"/>
    <e v="#REF!"/>
  </r>
  <r>
    <s v="512100"/>
    <x v="6"/>
    <s v="BANQUE POPULAIRE RIVE DE PARIS"/>
    <s v="BPRI"/>
    <n v="-323.32"/>
    <d v="2025-01-02T00:00:00"/>
    <s v="PRLV SEPA DHL INTERNAT. EXP FRA"/>
    <m/>
    <e v="#N/A"/>
    <e v="#N/A"/>
    <n v="20865"/>
    <s v="06X85IG"/>
    <s v="DHL"/>
    <s v="Q1"/>
    <e v="#REF!"/>
    <e v="#REF!"/>
    <e v="#REF!"/>
  </r>
  <r>
    <s v="512100"/>
    <x v="6"/>
    <s v="BANQUE POPULAIRE RIVE DE PARIS"/>
    <s v="BPRI"/>
    <n v="-168.59"/>
    <d v="2025-09-27T00:00:00"/>
    <s v="260925 CB    6880/LIB/LINKEDIN RECRUI"/>
    <s v="Non"/>
    <s v="Non"/>
    <e v="#N/A"/>
    <n v="82643"/>
    <m/>
    <s v="LINKEDIN"/>
    <s v="Q3"/>
    <e v="#REF!"/>
    <e v="#REF!"/>
    <e v="#REF!"/>
  </r>
  <r>
    <s v="512100"/>
    <x v="6"/>
    <s v="BANQUE POPULAIRE RIVE DE PARIS"/>
    <s v="BPRI"/>
    <n v="-320.88"/>
    <d v="2025-02-05T00:00:00"/>
    <s v="EVI REMISE"/>
    <m/>
    <e v="#N/A"/>
    <e v="#N/A"/>
    <n v="21203"/>
    <s v="0GLHKW1"/>
    <s v="EURISOTOP"/>
    <s v="Q1"/>
    <e v="#REF!"/>
    <e v="#REF!"/>
    <e v="#REF!"/>
  </r>
  <r>
    <s v="512100"/>
    <x v="6"/>
    <s v="BANQUE POPULAIRE RIVE DE PARIS"/>
    <s v="BPRI"/>
    <n v="-320.17"/>
    <d v="2025-09-04T00:00:00"/>
    <s v="PRLV SEPA BENEFIZ"/>
    <m/>
    <e v="#N/A"/>
    <e v="#N/A"/>
    <n v="81692"/>
    <m/>
    <m/>
    <s v="Q3"/>
    <e v="#REF!"/>
    <e v="#REF!"/>
    <e v="#REF!"/>
  </r>
  <r>
    <s v="512100"/>
    <x v="6"/>
    <s v="BANQUE POPULAIRE RIVE DE PARIS"/>
    <s v="BPRI"/>
    <n v="-318.52999999999997"/>
    <d v="2025-02-26T00:00:00"/>
    <s v="BOBFER"/>
    <m/>
    <e v="#N/A"/>
    <e v="#N/A"/>
    <n v="21433"/>
    <s v="2806613"/>
    <s v="Bob Fernandez"/>
    <s v="Q1"/>
    <e v="#REF!"/>
    <e v="#REF!"/>
    <e v="#REF!"/>
  </r>
  <r>
    <s v="512100"/>
    <x v="6"/>
    <s v="BANQUE POPULAIRE RIVE DE PARIS"/>
    <s v="BPRI"/>
    <n v="-313.74"/>
    <d v="2025-08-05T00:00:00"/>
    <s v="PRLV SEPA BENEFIZ"/>
    <m/>
    <e v="#N/A"/>
    <e v="#N/A"/>
    <n v="80700"/>
    <m/>
    <m/>
    <s v="Q3"/>
    <e v="#REF!"/>
    <e v="#REF!"/>
    <e v="#REF!"/>
  </r>
  <r>
    <s v="512100"/>
    <x v="6"/>
    <s v="BANQUE POPULAIRE RIVE DE PARIS"/>
    <s v="BPRI"/>
    <n v="-313.33"/>
    <d v="2025-04-25T00:00:00"/>
    <s v="Virement NDF"/>
    <m/>
    <e v="#N/A"/>
    <e v="#N/A"/>
    <n v="70226"/>
    <m/>
    <s v="Bob Fernandez"/>
    <s v="Q2"/>
    <e v="#REF!"/>
    <e v="#REF!"/>
    <e v="#REF!"/>
  </r>
  <r>
    <s v="512100"/>
    <x v="6"/>
    <s v="BANQUE POPULAIRE RIVE DE PARIS"/>
    <s v="BPRI"/>
    <n v="-308.27"/>
    <d v="2025-04-14T00:00:00"/>
    <s v="Prélèvement fournisseur"/>
    <m/>
    <e v="#N/A"/>
    <e v="#N/A"/>
    <n v="67602"/>
    <m/>
    <s v="ENGIE"/>
    <s v="Q2"/>
    <e v="#REF!"/>
    <e v="#REF!"/>
    <e v="#REF!"/>
  </r>
  <r>
    <s v="401000"/>
    <x v="6"/>
    <s v="FOURNISSEURS"/>
    <s v="BPRI"/>
    <n v="-152"/>
    <d v="2025-09-12T00:00:00"/>
    <s v="ANNUL.FACT.CB/LIB/SNCF-VOYAGEURS"/>
    <m/>
    <e v="#N/A"/>
    <e v="#N/A"/>
    <n v="82095"/>
    <m/>
    <s v="SNCF"/>
    <s v="Q3"/>
    <e v="#REF!"/>
    <e v="#REF!"/>
    <e v="#REF!"/>
  </r>
  <r>
    <s v="512100"/>
    <x v="6"/>
    <s v="BANQUE POPULAIRE RIVE DE PARIS"/>
    <s v="BPRI"/>
    <n v="-303.10000000000002"/>
    <d v="2025-07-16T00:00:00"/>
    <s v="PRLV SEPA ENGIE"/>
    <m/>
    <e v="#N/A"/>
    <e v="#N/A"/>
    <n v="77582"/>
    <m/>
    <s v="ENGIE"/>
    <s v="Q3"/>
    <e v="#REF!"/>
    <e v="#REF!"/>
    <e v="#REF!"/>
  </r>
  <r>
    <s v="512100"/>
    <x v="6"/>
    <s v="BANQUE POPULAIRE RIVE DE PARIS"/>
    <s v="BPRI"/>
    <n v="-298.8"/>
    <d v="2025-03-03T00:00:00"/>
    <s v="Règlement fournisseurs"/>
    <m/>
    <e v="#N/A"/>
    <e v="#N/A"/>
    <n v="58939"/>
    <m/>
    <s v="CLOUP"/>
    <s v="Q1"/>
    <e v="#REF!"/>
    <e v="#REF!"/>
    <e v="#REF!"/>
  </r>
  <r>
    <s v="512100"/>
    <x v="6"/>
    <s v="BANQUE POPULAIRE RIVE DE PARIS"/>
    <s v="BPRI"/>
    <n v="-295.79000000000002"/>
    <d v="2025-07-07T00:00:00"/>
    <s v="PRLV SEPA BENEFIZ"/>
    <m/>
    <e v="#N/A"/>
    <e v="#N/A"/>
    <n v="77034"/>
    <m/>
    <m/>
    <s v="Q3"/>
    <e v="#REF!"/>
    <e v="#REF!"/>
    <e v="#REF!"/>
  </r>
  <r>
    <s v="512100"/>
    <x v="6"/>
    <s v="BANQUE POPULAIRE RIVE DE PARIS"/>
    <s v="BPRI"/>
    <n v="-293.54000000000002"/>
    <d v="2025-02-18T00:00:00"/>
    <s v="EVI REMISE"/>
    <m/>
    <e v="#N/A"/>
    <e v="#N/A"/>
    <n v="21335"/>
    <s v="0GLKPHY"/>
    <s v="MANUTAN"/>
    <s v="Q1"/>
    <e v="#REF!"/>
    <e v="#REF!"/>
    <e v="#REF!"/>
  </r>
  <r>
    <s v="512100"/>
    <x v="6"/>
    <s v="BANQUE POPULAIRE RIVE DE PARIS"/>
    <s v="BPRI"/>
    <n v="-288.89999999999998"/>
    <d v="2025-05-07T00:00:00"/>
    <s v="Prélèvement Bénéfiz"/>
    <m/>
    <e v="#N/A"/>
    <e v="#N/A"/>
    <n v="71693"/>
    <m/>
    <m/>
    <s v="Q2"/>
    <e v="#REF!"/>
    <e v="#REF!"/>
    <e v="#REF!"/>
  </r>
  <r>
    <s v="512100"/>
    <x v="6"/>
    <s v="BANQUE POPULAIRE RIVE DE PARIS"/>
    <s v="BPRI"/>
    <n v="-282.08999999999997"/>
    <d v="2025-05-16T00:00:00"/>
    <s v="Règlement NDF"/>
    <m/>
    <e v="#N/A"/>
    <e v="#N/A"/>
    <n v="72823"/>
    <m/>
    <s v="Julie Lacondemine"/>
    <s v="Q2"/>
    <e v="#REF!"/>
    <e v="#REF!"/>
    <e v="#REF!"/>
  </r>
  <r>
    <s v="512100"/>
    <x v="6"/>
    <s v="BANQUE POPULAIRE RIVE DE PARIS"/>
    <s v="BPRI"/>
    <n v="-276.61"/>
    <d v="2025-06-16T00:00:00"/>
    <s v="PRLV SEPA ENGIE"/>
    <m/>
    <e v="#N/A"/>
    <e v="#N/A"/>
    <n v="76080"/>
    <m/>
    <s v="ENGIE"/>
    <s v="Q2"/>
    <e v="#REF!"/>
    <e v="#REF!"/>
    <e v="#REF!"/>
  </r>
  <r>
    <s v="512100"/>
    <x v="6"/>
    <s v="BANQUE POPULAIRE RIVE DE PARIS"/>
    <s v="BPRI"/>
    <n v="-274.49"/>
    <d v="2025-02-18T00:00:00"/>
    <s v="BOBFER"/>
    <m/>
    <e v="#N/A"/>
    <e v="#N/A"/>
    <n v="21317"/>
    <s v="2530087"/>
    <s v="Bob Fernandez"/>
    <s v="Q1"/>
    <e v="#REF!"/>
    <e v="#REF!"/>
    <e v="#REF!"/>
  </r>
  <r>
    <s v="512100"/>
    <x v="6"/>
    <s v="BANQUE POPULAIRE RIVE DE PARIS"/>
    <s v="BPRI"/>
    <n v="-274.29000000000002"/>
    <d v="2025-02-28T00:00:00"/>
    <s v="Prélèvement fournisseurs"/>
    <m/>
    <e v="#N/A"/>
    <e v="#N/A"/>
    <n v="58954"/>
    <m/>
    <s v="DHL"/>
    <s v="Q1"/>
    <e v="#REF!"/>
    <e v="#REF!"/>
    <e v="#REF!"/>
  </r>
  <r>
    <s v="512100"/>
    <x v="6"/>
    <s v="BANQUE POPULAIRE RIVE DE PARIS"/>
    <s v="BPRI"/>
    <n v="-273.94"/>
    <d v="2025-05-28T00:00:00"/>
    <s v="Comptabilisation du bordereau nr. 133"/>
    <m/>
    <e v="#N/A"/>
    <e v="#N/A"/>
    <n v="74105"/>
    <m/>
    <s v="Bertrand Lajugie"/>
    <s v="Q2"/>
    <e v="#REF!"/>
    <e v="#REF!"/>
    <e v="#REF!"/>
  </r>
  <r>
    <s v="512100"/>
    <x v="6"/>
    <s v="BANQUE POPULAIRE RIVE DE PARIS"/>
    <s v="BPRI"/>
    <n v="-273.72000000000003"/>
    <d v="2025-06-05T00:00:00"/>
    <s v="Prélèvement - Benefiz"/>
    <m/>
    <e v="#N/A"/>
    <e v="#N/A"/>
    <n v="75565"/>
    <m/>
    <m/>
    <s v="Q2"/>
    <e v="#REF!"/>
    <e v="#REF!"/>
    <e v="#REF!"/>
  </r>
  <r>
    <s v="512100"/>
    <x v="6"/>
    <s v="BANQUE POPULAIRE RIVE DE PARIS"/>
    <s v="BPRI"/>
    <n v="-273.60000000000002"/>
    <d v="2025-05-16T00:00:00"/>
    <s v="Règlement NDF"/>
    <m/>
    <e v="#N/A"/>
    <e v="#N/A"/>
    <n v="72820"/>
    <m/>
    <s v="Thibault Dejardin"/>
    <s v="Q2"/>
    <e v="#REF!"/>
    <e v="#REF!"/>
    <e v="#REF!"/>
  </r>
  <r>
    <s v="512100"/>
    <x v="6"/>
    <s v="BANQUE POPULAIRE RIVE DE PARIS"/>
    <s v="BPRI"/>
    <n v="-271.06"/>
    <d v="2025-01-07T00:00:00"/>
    <s v="EVI COMBRET YVES"/>
    <m/>
    <e v="#N/A"/>
    <e v="#N/A"/>
    <n v="20907"/>
    <s v="857714"/>
    <s v="Yves Combret"/>
    <s v="Q1"/>
    <e v="#REF!"/>
    <e v="#REF!"/>
    <e v="#REF!"/>
  </r>
  <r>
    <s v="512100"/>
    <x v="6"/>
    <s v="BANQUE POPULAIRE RIVE DE PARIS"/>
    <s v="BPRI"/>
    <n v="-267.39999999999998"/>
    <d v="2025-04-14T00:00:00"/>
    <s v="Règlement NDF"/>
    <m/>
    <e v="#N/A"/>
    <e v="#N/A"/>
    <n v="67590"/>
    <s v="25000107"/>
    <s v="Anne-Sophie Goutierre"/>
    <s v="Q2"/>
    <e v="#REF!"/>
    <e v="#REF!"/>
    <e v="#REF!"/>
  </r>
  <r>
    <s v="512100"/>
    <x v="6"/>
    <s v="BANQUE POPULAIRE RIVE DE PARIS"/>
    <s v="BPRI"/>
    <n v="-266"/>
    <d v="2025-03-14T00:00:00"/>
    <s v="Règlement NDF"/>
    <m/>
    <e v="#N/A"/>
    <e v="#N/A"/>
    <n v="61685"/>
    <m/>
    <s v="Océane Chabret"/>
    <s v="Q1"/>
    <e v="#REF!"/>
    <e v="#REF!"/>
    <e v="#REF!"/>
  </r>
  <r>
    <s v="512100"/>
    <x v="6"/>
    <s v="BANQUE POPULAIRE RIVE DE PARIS"/>
    <s v="BPRI"/>
    <n v="-260.73"/>
    <d v="2025-02-11T00:00:00"/>
    <s v="AUDBAY"/>
    <m/>
    <e v="#N/A"/>
    <e v="#N/A"/>
    <n v="21265"/>
    <s v="2260263"/>
    <s v="Audrey Baylac"/>
    <s v="Q1"/>
    <e v="#REF!"/>
    <e v="#REF!"/>
    <e v="#REF!"/>
  </r>
  <r>
    <s v="512100"/>
    <x v="6"/>
    <s v="BANQUE POPULAIRE RIVE DE PARIS"/>
    <s v="BPRI"/>
    <n v="-260.2"/>
    <d v="2025-03-14T00:00:00"/>
    <s v="Règlement NDF"/>
    <m/>
    <e v="#N/A"/>
    <e v="#N/A"/>
    <n v="61688"/>
    <m/>
    <s v="Benjamin Barry"/>
    <s v="Q1"/>
    <e v="#REF!"/>
    <e v="#REF!"/>
    <e v="#REF!"/>
  </r>
  <r>
    <s v="512100"/>
    <x v="6"/>
    <s v="BANQUE POPULAIRE RIVE DE PARIS"/>
    <s v="BPRI"/>
    <n v="-259.31"/>
    <d v="2025-03-06T00:00:00"/>
    <s v="Prélèvement Benefiz"/>
    <m/>
    <e v="#N/A"/>
    <e v="#N/A"/>
    <n v="58822"/>
    <m/>
    <m/>
    <s v="Q1"/>
    <e v="#REF!"/>
    <e v="#REF!"/>
    <e v="#REF!"/>
  </r>
  <r>
    <s v="512100"/>
    <x v="6"/>
    <s v="BANQUE POPULAIRE RIVE DE PARIS"/>
    <s v="BPRI"/>
    <n v="-257.67"/>
    <d v="2025-03-06T00:00:00"/>
    <s v="Prélèvement Benefiz"/>
    <m/>
    <e v="#N/A"/>
    <e v="#N/A"/>
    <n v="58807"/>
    <m/>
    <m/>
    <s v="Q1"/>
    <e v="#REF!"/>
    <e v="#REF!"/>
    <e v="#REF!"/>
  </r>
  <r>
    <s v="512100"/>
    <x v="6"/>
    <s v="BANQUE POPULAIRE RIVE DE PARIS"/>
    <s v="BPRI"/>
    <n v="-257.58"/>
    <d v="2025-04-07T00:00:00"/>
    <s v="Prélèvement Benefiz"/>
    <m/>
    <e v="#N/A"/>
    <e v="#N/A"/>
    <n v="66580"/>
    <m/>
    <m/>
    <s v="Q2"/>
    <e v="#REF!"/>
    <e v="#REF!"/>
    <e v="#REF!"/>
  </r>
  <r>
    <s v="512100"/>
    <x v="6"/>
    <s v="BANQUE POPULAIRE RIVE DE PARIS"/>
    <s v="BPRI"/>
    <n v="-257.41000000000003"/>
    <d v="2025-05-19T00:00:00"/>
    <s v="Prélèvement Engie"/>
    <m/>
    <e v="#N/A"/>
    <e v="#N/A"/>
    <n v="72908"/>
    <m/>
    <s v="ENGIE"/>
    <s v="Q2"/>
    <e v="#REF!"/>
    <e v="#REF!"/>
    <e v="#REF!"/>
  </r>
  <r>
    <s v="512100"/>
    <x v="6"/>
    <s v="BANQUE POPULAIRE RIVE DE PARIS"/>
    <s v="BPRI"/>
    <n v="-257.08999999999997"/>
    <d v="2025-02-18T00:00:00"/>
    <s v="EMIAMI"/>
    <m/>
    <e v="#N/A"/>
    <e v="#N/A"/>
    <n v="21315"/>
    <s v="2529959"/>
    <s v="Emilie Amillastré"/>
    <s v="Q1"/>
    <e v="#REF!"/>
    <e v="#REF!"/>
    <e v="#REF!"/>
  </r>
  <r>
    <s v="512100"/>
    <x v="6"/>
    <s v="BANQUE POPULAIRE RIVE DE PARIS"/>
    <s v="BPRI"/>
    <n v="-246.96"/>
    <d v="2025-01-24T00:00:00"/>
    <s v="PRLV SEPA RICOH FRANCE SAS RICO"/>
    <m/>
    <e v="#N/A"/>
    <e v="#N/A"/>
    <n v="21079"/>
    <s v="075D6WF"/>
    <s v="RICOH"/>
    <s v="Q1"/>
    <e v="#REF!"/>
    <e v="#REF!"/>
    <e v="#REF!"/>
  </r>
  <r>
    <s v="512100"/>
    <x v="6"/>
    <s v="BANQUE POPULAIRE RIVE DE PARIS"/>
    <s v="BPRI"/>
    <n v="-246.46"/>
    <d v="2025-02-10T00:00:00"/>
    <s v="EVI REMISE"/>
    <m/>
    <e v="#N/A"/>
    <e v="#N/A"/>
    <n v="21251"/>
    <s v="0GLIZ5K"/>
    <s v="CP CHIMIE PROMOTION"/>
    <s v="Q1"/>
    <e v="#REF!"/>
    <e v="#REF!"/>
    <e v="#REF!"/>
  </r>
  <r>
    <s v="512100"/>
    <x v="6"/>
    <s v="BANQUE POPULAIRE RIVE DE PARIS"/>
    <s v="BPRI"/>
    <n v="28"/>
    <d v="2025-06-27T00:00:00"/>
    <s v="ANNUL.FACT.CB/LIB/SNCF-VOYAGEURS"/>
    <m/>
    <e v="#N/A"/>
    <e v="#N/A"/>
    <n v="76299"/>
    <m/>
    <m/>
    <s v="Q2"/>
    <e v="#REF!"/>
    <e v="#REF!"/>
    <e v="#REF!"/>
  </r>
  <r>
    <s v="512100"/>
    <x v="6"/>
    <s v="BANQUE POPULAIRE RIVE DE PARIS"/>
    <s v="BPRI"/>
    <n v="-242.52"/>
    <d v="2025-04-28T00:00:00"/>
    <s v="Prélèvement Fournisseur"/>
    <m/>
    <e v="#N/A"/>
    <e v="#N/A"/>
    <n v="70458"/>
    <m/>
    <s v="ORANGE"/>
    <s v="Q2"/>
    <e v="#REF!"/>
    <e v="#REF!"/>
    <e v="#REF!"/>
  </r>
  <r>
    <s v="512100"/>
    <x v="6"/>
    <s v="BANQUE POPULAIRE RIVE DE PARIS"/>
    <s v="BPRI"/>
    <n v="-241.7"/>
    <d v="2025-03-24T00:00:00"/>
    <s v="Prélèvement fournisseurs"/>
    <m/>
    <e v="#N/A"/>
    <e v="#N/A"/>
    <n v="61906"/>
    <m/>
    <s v="ORANGE"/>
    <s v="Q1"/>
    <e v="#REF!"/>
    <e v="#REF!"/>
    <e v="#REF!"/>
  </r>
  <r>
    <s v="512100"/>
    <x v="6"/>
    <s v="BANQUE POPULAIRE RIVE DE PARIS"/>
    <s v="BPRI"/>
    <n v="-241.33"/>
    <d v="2025-07-25T00:00:00"/>
    <s v="PRLV SEPA RICOH FRANCE SAS"/>
    <m/>
    <e v="#N/A"/>
    <e v="#N/A"/>
    <n v="78956"/>
    <m/>
    <s v="RICOH"/>
    <s v="Q3"/>
    <e v="#REF!"/>
    <e v="#REF!"/>
    <e v="#REF!"/>
  </r>
  <r>
    <s v="512100"/>
    <x v="6"/>
    <s v="BANQUE POPULAIRE RIVE DE PARIS"/>
    <s v="BPRI"/>
    <n v="-241.08"/>
    <d v="2025-01-27T00:00:00"/>
    <s v="PRLV SEPA ORANGE SA"/>
    <m/>
    <e v="#N/A"/>
    <e v="#N/A"/>
    <n v="21095"/>
    <s v="075I81Z"/>
    <s v="ORANGE"/>
    <s v="Q1"/>
    <e v="#REF!"/>
    <e v="#REF!"/>
    <e v="#REF!"/>
  </r>
  <r>
    <s v="512100"/>
    <x v="6"/>
    <s v="BANQUE POPULAIRE RIVE DE PARIS"/>
    <s v="BPRI"/>
    <n v="-241.08"/>
    <d v="2025-02-24T00:00:00"/>
    <s v="PRLV SEPA ORANGE SA"/>
    <m/>
    <e v="#N/A"/>
    <e v="#N/A"/>
    <n v="21401"/>
    <s v="07EDYYM"/>
    <s v="ORANGE"/>
    <s v="Q1"/>
    <e v="#REF!"/>
    <e v="#REF!"/>
    <e v="#REF!"/>
  </r>
  <r>
    <s v="512100"/>
    <x v="6"/>
    <s v="BANQUE POPULAIRE RIVE DE PARIS"/>
    <s v="BPRI"/>
    <n v="-240"/>
    <d v="2025-01-30T00:00:00"/>
    <s v="EVI REMISE"/>
    <m/>
    <s v="Non"/>
    <n v="0"/>
    <n v="21136"/>
    <s v="0GLGCRT"/>
    <s v="CNFSE RECYCLAGE"/>
    <s v="Q1"/>
    <e v="#REF!"/>
    <e v="#REF!"/>
    <e v="#REF!"/>
  </r>
  <r>
    <s v="512100"/>
    <x v="6"/>
    <s v="BANQUE POPULAIRE RIVE DE PARIS"/>
    <s v="BPRI"/>
    <n v="-240"/>
    <d v="2025-02-18T00:00:00"/>
    <s v="EVI REMISE"/>
    <m/>
    <s v="Non"/>
    <n v="0"/>
    <n v="21347"/>
    <s v="0GLKPI5"/>
    <s v="CNFSE RECYCLAGE"/>
    <s v="Q1"/>
    <e v="#REF!"/>
    <e v="#REF!"/>
    <e v="#REF!"/>
  </r>
  <r>
    <s v="512100"/>
    <x v="6"/>
    <s v="BANQUE POPULAIRE RIVE DE PARIS"/>
    <s v="BPRI"/>
    <n v="-240"/>
    <d v="2025-04-22T00:00:00"/>
    <s v="Prélèvement Fournisseur"/>
    <m/>
    <e v="#N/A"/>
    <e v="#N/A"/>
    <n v="68205"/>
    <m/>
    <s v="BPI FRANCE"/>
    <s v="Q2"/>
    <e v="#REF!"/>
    <e v="#REF!"/>
    <e v="#REF!"/>
  </r>
  <r>
    <s v="512100"/>
    <x v="6"/>
    <s v="BANQUE POPULAIRE RIVE DE PARIS"/>
    <s v="BPRI"/>
    <n v="-237.13"/>
    <d v="2025-02-18T00:00:00"/>
    <s v="PRLV SEPA ENGIE"/>
    <m/>
    <e v="#N/A"/>
    <e v="#N/A"/>
    <n v="21321"/>
    <s v="07D3HM6"/>
    <s v="ENGIE"/>
    <s v="Q1"/>
    <e v="#REF!"/>
    <e v="#REF!"/>
    <e v="#REF!"/>
  </r>
  <r>
    <s v="512100"/>
    <x v="6"/>
    <s v="BANQUE POPULAIRE RIVE DE PARIS"/>
    <s v="BPRI"/>
    <n v="-235.04"/>
    <d v="2025-04-30T00:00:00"/>
    <s v="Règlement NDF"/>
    <m/>
    <e v="#N/A"/>
    <e v="#N/A"/>
    <n v="70590"/>
    <m/>
    <s v="Nicolas Canu"/>
    <s v="Q2"/>
    <e v="#REF!"/>
    <e v="#REF!"/>
    <e v="#REF!"/>
  </r>
  <r>
    <s v="512100"/>
    <x v="6"/>
    <s v="BANQUE POPULAIRE RIVE DE PARIS"/>
    <s v="BPRI"/>
    <n v="-234.64"/>
    <d v="2025-03-04T00:00:00"/>
    <s v="Règlement NDF"/>
    <m/>
    <e v="#N/A"/>
    <e v="#N/A"/>
    <n v="58873"/>
    <m/>
    <s v="Guillaume Boissonnat-Wu"/>
    <s v="Q1"/>
    <e v="#REF!"/>
    <e v="#REF!"/>
    <e v="#REF!"/>
  </r>
  <r>
    <s v="512100"/>
    <x v="6"/>
    <s v="BANQUE POPULAIRE RIVE DE PARIS"/>
    <s v="BPRI"/>
    <n v="-231.65"/>
    <d v="2025-04-22T00:00:00"/>
    <s v="Prélèvement Fournisseur"/>
    <m/>
    <e v="#N/A"/>
    <e v="#N/A"/>
    <n v="68137"/>
    <m/>
    <s v="RICOH"/>
    <s v="Q2"/>
    <e v="#REF!"/>
    <e v="#REF!"/>
    <e v="#REF!"/>
  </r>
  <r>
    <s v="512100"/>
    <x v="6"/>
    <s v="BANQUE POPULAIRE RIVE DE PARIS"/>
    <s v="BPRI"/>
    <n v="-229.55"/>
    <d v="2025-02-26T00:00:00"/>
    <s v="ANNGOU"/>
    <m/>
    <e v="#N/A"/>
    <e v="#N/A"/>
    <n v="21441"/>
    <s v="2808420"/>
    <s v="Anne-Sophie Goutierre"/>
    <s v="Q1"/>
    <e v="#REF!"/>
    <e v="#REF!"/>
    <e v="#REF!"/>
  </r>
  <r>
    <s v="512100"/>
    <x v="6"/>
    <s v="BANQUE POPULAIRE RIVE DE PARIS"/>
    <s v="BPRI"/>
    <n v="152"/>
    <d v="2025-09-12T00:00:00"/>
    <s v="ANNUL.FACT.CB/LIB/SNCF-VOYAGEURS"/>
    <m/>
    <e v="#N/A"/>
    <e v="#N/A"/>
    <n v="82094"/>
    <m/>
    <s v="SNCF"/>
    <s v="Q3"/>
    <e v="#REF!"/>
    <e v="#REF!"/>
    <e v="#REF!"/>
  </r>
  <r>
    <s v="512100"/>
    <x v="6"/>
    <s v="BANQUE POPULAIRE RIVE DE PARIS"/>
    <s v="BPRI"/>
    <n v="-218.75"/>
    <d v="2025-06-02T00:00:00"/>
    <s v="Comptabilisation du bordereau nr. 142"/>
    <s v="Non"/>
    <e v="#N/A"/>
    <e v="#N/A"/>
    <n v="75347"/>
    <m/>
    <s v="DOTMATICS LIMITED"/>
    <s v="Q2"/>
    <e v="#REF!"/>
    <e v="#REF!"/>
    <e v="#REF!"/>
  </r>
  <r>
    <s v="512100"/>
    <x v="6"/>
    <s v="BANQUE POPULAIRE RIVE DE PARIS"/>
    <s v="BPRI"/>
    <n v="-214.36"/>
    <d v="2025-07-07T00:00:00"/>
    <s v="PRLV SEPA BENEFIZ"/>
    <m/>
    <e v="#N/A"/>
    <e v="#N/A"/>
    <n v="77031"/>
    <m/>
    <m/>
    <s v="Q3"/>
    <e v="#REF!"/>
    <e v="#REF!"/>
    <e v="#REF!"/>
  </r>
  <r>
    <s v="512100"/>
    <x v="6"/>
    <s v="BANQUE POPULAIRE RIVE DE PARIS"/>
    <s v="BPRI"/>
    <n v="-213.71"/>
    <d v="2025-06-30T00:00:00"/>
    <s v="PRLV DHL"/>
    <m/>
    <e v="#N/A"/>
    <e v="#N/A"/>
    <n v="76910"/>
    <m/>
    <s v="DHL"/>
    <s v="Q2"/>
    <e v="#REF!"/>
    <e v="#REF!"/>
    <e v="#REF!"/>
  </r>
  <r>
    <s v="512100"/>
    <x v="6"/>
    <s v="BANQUE POPULAIRE RIVE DE PARIS"/>
    <s v="BPRI"/>
    <n v="-212.69"/>
    <d v="2025-08-05T00:00:00"/>
    <s v="PRLV SEPA BENEFIZ"/>
    <m/>
    <e v="#N/A"/>
    <e v="#N/A"/>
    <n v="80697"/>
    <m/>
    <m/>
    <s v="Q3"/>
    <e v="#REF!"/>
    <e v="#REF!"/>
    <e v="#REF!"/>
  </r>
  <r>
    <s v="512100"/>
    <x v="6"/>
    <s v="BANQUE POPULAIRE RIVE DE PARIS"/>
    <s v="BPRI"/>
    <n v="-210.7"/>
    <d v="2025-01-31T00:00:00"/>
    <s v="PRLV SEPA AIR LIQUIDE FI IM"/>
    <m/>
    <e v="#N/A"/>
    <e v="#N/A"/>
    <n v="21155"/>
    <s v="074YLHE"/>
    <s v="AIR LIQUIDE"/>
    <s v="Q1"/>
    <e v="#REF!"/>
    <e v="#REF!"/>
    <e v="#REF!"/>
  </r>
  <r>
    <s v="512100"/>
    <x v="6"/>
    <s v="BANQUE POPULAIRE RIVE DE PARIS"/>
    <s v="BPRI"/>
    <n v="-210"/>
    <d v="2025-01-30T00:00:00"/>
    <s v="EVI REMISE"/>
    <m/>
    <e v="#N/A"/>
    <e v="#N/A"/>
    <n v="21114"/>
    <s v="0GLGCMY"/>
    <s v="GSF"/>
    <s v="Q1"/>
    <e v="#REF!"/>
    <e v="#REF!"/>
    <e v="#REF!"/>
  </r>
  <r>
    <s v="512100"/>
    <x v="6"/>
    <s v="BANQUE POPULAIRE RIVE DE PARIS"/>
    <s v="BPRI"/>
    <n v="-210"/>
    <d v="2025-01-31T00:00:00"/>
    <s v="EVI REMISE"/>
    <m/>
    <e v="#N/A"/>
    <e v="#N/A"/>
    <n v="21161"/>
    <s v="0GLGKLO"/>
    <s v="GSF"/>
    <s v="Q1"/>
    <e v="#REF!"/>
    <e v="#REF!"/>
    <e v="#REF!"/>
  </r>
  <r>
    <s v="512100"/>
    <x v="6"/>
    <s v="BANQUE POPULAIRE RIVE DE PARIS"/>
    <s v="BPRI"/>
    <n v="-206.28"/>
    <d v="2025-02-10T00:00:00"/>
    <s v="EVI REMISE"/>
    <m/>
    <e v="#N/A"/>
    <e v="#N/A"/>
    <n v="21247"/>
    <s v="0GLIEZM"/>
    <s v="BIOLABS"/>
    <s v="Q1"/>
    <e v="#REF!"/>
    <e v="#REF!"/>
    <e v="#REF!"/>
  </r>
  <r>
    <s v="512100"/>
    <x v="6"/>
    <s v="BANQUE POPULAIRE RIVE DE PARIS"/>
    <s v="BPRI"/>
    <n v="-204"/>
    <d v="2025-02-13T00:00:00"/>
    <s v="120225 CB    3583"/>
    <m/>
    <e v="#N/A"/>
    <e v="#N/A"/>
    <n v="21297"/>
    <s v="21XEJ8T"/>
    <m/>
    <s v="Q1"/>
    <e v="#REF!"/>
    <e v="#REF!"/>
    <e v="#REF!"/>
  </r>
  <r>
    <s v="512100"/>
    <x v="6"/>
    <s v="BANQUE POPULAIRE RIVE DE PARIS"/>
    <s v="BPRI"/>
    <n v="-204"/>
    <d v="2025-02-18T00:00:00"/>
    <s v="Règlement NDF"/>
    <m/>
    <e v="#N/A"/>
    <e v="#N/A"/>
    <n v="21319"/>
    <s v="2530196"/>
    <s v="Maud Sanchez"/>
    <s v="Q1"/>
    <e v="#REF!"/>
    <e v="#REF!"/>
    <e v="#REF!"/>
  </r>
  <r>
    <s v="625100"/>
    <x v="6"/>
    <s v="Voyages et déplacements"/>
    <s v="BPRI"/>
    <n v="-28"/>
    <d v="2025-06-27T00:00:00"/>
    <s v="ANNUL.FACT.CB/LIB/SNCF-VOYAGEURS"/>
    <m/>
    <e v="#N/A"/>
    <e v="#N/A"/>
    <n v="76300"/>
    <m/>
    <m/>
    <s v="Q2"/>
    <e v="#REF!"/>
    <e v="#REF!"/>
    <e v="#REF!"/>
  </r>
  <r>
    <s v="512100"/>
    <x v="6"/>
    <s v="BANQUE POPULAIRE RIVE DE PARIS"/>
    <s v="BPRI"/>
    <n v="-201.92"/>
    <d v="2025-05-07T00:00:00"/>
    <s v="Prélèvement Bénéfiz"/>
    <m/>
    <e v="#N/A"/>
    <e v="#N/A"/>
    <n v="71696"/>
    <m/>
    <m/>
    <s v="Q2"/>
    <e v="#REF!"/>
    <e v="#REF!"/>
    <e v="#REF!"/>
  </r>
  <r>
    <s v="512100"/>
    <x v="6"/>
    <s v="BANQUE POPULAIRE RIVE DE PARIS"/>
    <s v="BPRI"/>
    <n v="-201.24"/>
    <d v="2025-02-28T00:00:00"/>
    <s v="Règlement fournisseurs"/>
    <m/>
    <e v="#N/A"/>
    <e v="#N/A"/>
    <n v="58906"/>
    <m/>
    <s v="CAWATOES"/>
    <s v="Q1"/>
    <e v="#REF!"/>
    <e v="#REF!"/>
    <e v="#REF!"/>
  </r>
  <r>
    <s v="512100"/>
    <x v="6"/>
    <s v="BANQUE POPULAIRE RIVE DE PARIS"/>
    <s v="BPRI"/>
    <n v="-200"/>
    <d v="2025-01-13T00:00:00"/>
    <s v="EVI M JEREMIE BLACHE"/>
    <m/>
    <e v="#N/A"/>
    <e v="#N/A"/>
    <n v="20959"/>
    <s v="1105717"/>
    <s v="Jérémie Blache"/>
    <s v="Q1"/>
    <e v="#REF!"/>
    <e v="#REF!"/>
    <e v="#REF!"/>
  </r>
  <r>
    <s v="512100"/>
    <x v="6"/>
    <s v="BANQUE POPULAIRE RIVE DE PARIS"/>
    <s v="BPRI"/>
    <n v="-200"/>
    <d v="2025-02-11T00:00:00"/>
    <s v="JERBLA"/>
    <m/>
    <e v="#N/A"/>
    <e v="#N/A"/>
    <n v="21275"/>
    <s v="2261106"/>
    <s v="Jérémie Blache"/>
    <s v="Q1"/>
    <e v="#REF!"/>
    <e v="#REF!"/>
    <e v="#REF!"/>
  </r>
  <r>
    <s v="512100"/>
    <x v="6"/>
    <s v="BANQUE POPULAIRE RIVE DE PARIS"/>
    <s v="BPRI"/>
    <n v="-200"/>
    <d v="2025-04-29T00:00:00"/>
    <s v="Règlement NDF"/>
    <m/>
    <e v="#N/A"/>
    <e v="#N/A"/>
    <n v="70502"/>
    <m/>
    <s v="Jérémie Blache"/>
    <s v="Q2"/>
    <e v="#REF!"/>
    <e v="#REF!"/>
    <e v="#REF!"/>
  </r>
  <r>
    <s v="512100"/>
    <x v="6"/>
    <s v="BANQUE POPULAIRE RIVE DE PARIS"/>
    <s v="BPRI"/>
    <n v="-200"/>
    <d v="2025-05-13T00:00:00"/>
    <s v="Règlement NDF"/>
    <m/>
    <e v="#N/A"/>
    <e v="#N/A"/>
    <n v="71983"/>
    <m/>
    <s v="Jérémie Blache"/>
    <s v="Q2"/>
    <e v="#REF!"/>
    <e v="#REF!"/>
    <e v="#REF!"/>
  </r>
  <r>
    <s v="512100"/>
    <x v="6"/>
    <s v="BANQUE POPULAIRE RIVE DE PARIS"/>
    <s v="BPRI"/>
    <n v="-196"/>
    <d v="2025-04-25T00:00:00"/>
    <s v="Règlement NDF"/>
    <m/>
    <e v="#N/A"/>
    <e v="#N/A"/>
    <n v="70235"/>
    <m/>
    <s v="Eugénie Terrangle"/>
    <s v="Q2"/>
    <e v="#REF!"/>
    <e v="#REF!"/>
    <e v="#REF!"/>
  </r>
  <r>
    <s v="512100"/>
    <x v="6"/>
    <s v="BANQUE POPULAIRE RIVE DE PARIS"/>
    <s v="BPRI"/>
    <n v="-190.77"/>
    <d v="2025-07-07T00:00:00"/>
    <s v="PRLV SEPA BENEFIZ"/>
    <m/>
    <e v="#N/A"/>
    <e v="#N/A"/>
    <n v="77028"/>
    <m/>
    <m/>
    <s v="Q3"/>
    <e v="#REF!"/>
    <e v="#REF!"/>
    <e v="#REF!"/>
  </r>
  <r>
    <s v="512100"/>
    <x v="6"/>
    <s v="BANQUE POPULAIRE RIVE DE PARIS"/>
    <s v="BPRI"/>
    <n v="-189.46"/>
    <d v="2025-08-05T00:00:00"/>
    <s v="PRLV SEPA BENEFIZ"/>
    <m/>
    <e v="#N/A"/>
    <e v="#N/A"/>
    <n v="80694"/>
    <m/>
    <m/>
    <s v="Q3"/>
    <e v="#REF!"/>
    <e v="#REF!"/>
    <e v="#REF!"/>
  </r>
  <r>
    <s v="512100"/>
    <x v="6"/>
    <s v="BANQUE POPULAIRE RIVE DE PARIS"/>
    <s v="BPRI"/>
    <n v="-188.58"/>
    <d v="2025-02-28T00:00:00"/>
    <s v="Règlement fournisseurs"/>
    <m/>
    <e v="#N/A"/>
    <e v="#N/A"/>
    <n v="58900"/>
    <m/>
    <s v="CAWATOES"/>
    <s v="Q1"/>
    <e v="#REF!"/>
    <e v="#REF!"/>
    <e v="#REF!"/>
  </r>
  <r>
    <s v="512100"/>
    <x v="6"/>
    <s v="BANQUE POPULAIRE RIVE DE PARIS"/>
    <s v="BPRI"/>
    <n v="-188.4"/>
    <d v="2025-01-09T00:00:00"/>
    <s v="EVI REMISE"/>
    <m/>
    <e v="#N/A"/>
    <e v="#N/A"/>
    <n v="20933"/>
    <s v="0GLA9RK"/>
    <s v="ARESCOM"/>
    <s v="Q1"/>
    <e v="#REF!"/>
    <e v="#REF!"/>
    <e v="#REF!"/>
  </r>
  <r>
    <s v="512100"/>
    <x v="6"/>
    <s v="BANQUE POPULAIRE RIVE DE PARIS"/>
    <s v="BPRI"/>
    <n v="-188.4"/>
    <d v="2025-02-28T00:00:00"/>
    <s v="Règlement fournisseurs"/>
    <m/>
    <e v="#N/A"/>
    <e v="#N/A"/>
    <n v="58912"/>
    <m/>
    <s v="ARESCOM"/>
    <s v="Q1"/>
    <e v="#REF!"/>
    <e v="#REF!"/>
    <e v="#REF!"/>
  </r>
  <r>
    <s v="512100"/>
    <x v="6"/>
    <s v="BANQUE POPULAIRE RIVE DE PARIS"/>
    <s v="BPRI"/>
    <n v="-187.93"/>
    <d v="2025-09-04T00:00:00"/>
    <s v="PRLV SEPA BENEFIZ"/>
    <m/>
    <e v="#N/A"/>
    <e v="#N/A"/>
    <n v="81690"/>
    <m/>
    <m/>
    <s v="Q3"/>
    <e v="#REF!"/>
    <e v="#REF!"/>
    <e v="#REF!"/>
  </r>
  <r>
    <s v="512100"/>
    <x v="6"/>
    <s v="BANQUE POPULAIRE RIVE DE PARIS"/>
    <s v="BPRI"/>
    <n v="-187.49"/>
    <d v="2025-06-05T00:00:00"/>
    <s v="Prélèvement - Benefiz"/>
    <m/>
    <e v="#N/A"/>
    <e v="#N/A"/>
    <n v="75562"/>
    <m/>
    <m/>
    <s v="Q2"/>
    <e v="#REF!"/>
    <e v="#REF!"/>
    <e v="#REF!"/>
  </r>
  <r>
    <s v="512100"/>
    <x v="6"/>
    <s v="BANQUE POPULAIRE RIVE DE PARIS"/>
    <s v="BPRI"/>
    <n v="-187.26"/>
    <d v="2025-02-03T00:00:00"/>
    <s v="Règlement NDF"/>
    <m/>
    <e v="#N/A"/>
    <e v="#N/A"/>
    <n v="21173"/>
    <s v="1935429"/>
    <s v="Loic masseboeuf"/>
    <s v="Q1"/>
    <e v="#REF!"/>
    <e v="#REF!"/>
    <e v="#REF!"/>
  </r>
  <r>
    <s v="512100"/>
    <x v="6"/>
    <s v="BANQUE POPULAIRE RIVE DE PARIS"/>
    <s v="BPRI"/>
    <n v="-187.2"/>
    <d v="2025-03-03T00:00:00"/>
    <s v="Frais Bancaires"/>
    <m/>
    <e v="#N/A"/>
    <e v="#N/A"/>
    <n v="58855"/>
    <m/>
    <s v="Banque Populaire Rive de Paris"/>
    <s v="Q1"/>
    <e v="#REF!"/>
    <e v="#REF!"/>
    <e v="#REF!"/>
  </r>
  <r>
    <s v="512100"/>
    <x v="6"/>
    <s v="BANQUE POPULAIRE RIVE DE PARIS"/>
    <s v="BPRI"/>
    <n v="-183.02"/>
    <d v="2025-02-22T00:00:00"/>
    <s v="200225 CB    6880"/>
    <m/>
    <e v="#N/A"/>
    <e v="#N/A"/>
    <n v="21397"/>
    <s v="2GT8ZA2"/>
    <s v="ORANGE"/>
    <s v="Q1"/>
    <e v="#REF!"/>
    <e v="#REF!"/>
    <e v="#REF!"/>
  </r>
  <r>
    <s v="512100"/>
    <x v="6"/>
    <s v="BANQUE POPULAIRE RIVE DE PARIS"/>
    <s v="BPRI"/>
    <n v="-182.87"/>
    <d v="2025-06-05T00:00:00"/>
    <s v="Prélèvement - Benefiz"/>
    <m/>
    <e v="#N/A"/>
    <e v="#N/A"/>
    <n v="75559"/>
    <m/>
    <m/>
    <s v="Q2"/>
    <e v="#REF!"/>
    <e v="#REF!"/>
    <e v="#REF!"/>
  </r>
  <r>
    <s v="512100"/>
    <x v="6"/>
    <s v="BANQUE POPULAIRE RIVE DE PARIS"/>
    <s v="BPRI"/>
    <n v="-181.2"/>
    <d v="2025-01-03T00:00:00"/>
    <s v="EVI REMISE"/>
    <m/>
    <e v="#N/A"/>
    <e v="#N/A"/>
    <n v="20885"/>
    <s v="0GL8TN4"/>
    <s v="OPTIMUS"/>
    <s v="Q1"/>
    <e v="#REF!"/>
    <e v="#REF!"/>
    <e v="#REF!"/>
  </r>
  <r>
    <s v="401000"/>
    <x v="6"/>
    <s v="FOURNISSEURS"/>
    <s v="BPRI"/>
    <n v="-12"/>
    <d v="2025-09-18T00:00:00"/>
    <s v="ANNUL.FACT.CB/LIB/SNCF-VOYAGEURS D"/>
    <m/>
    <e v="#N/A"/>
    <e v="#N/A"/>
    <n v="82446"/>
    <m/>
    <s v="SNCF"/>
    <s v="Q3"/>
    <e v="#REF!"/>
    <e v="#REF!"/>
    <e v="#REF!"/>
  </r>
  <r>
    <s v="512100"/>
    <x v="6"/>
    <s v="BANQUE POPULAIRE RIVE DE PARIS"/>
    <s v="BPRI"/>
    <n v="12"/>
    <d v="2025-09-18T00:00:00"/>
    <s v="ANNUL.FACT.CB/LIB/SNCF-VOYAGEURS D"/>
    <m/>
    <e v="#N/A"/>
    <e v="#N/A"/>
    <n v="82445"/>
    <m/>
    <s v="SNCF"/>
    <s v="Q3"/>
    <e v="#REF!"/>
    <e v="#REF!"/>
    <e v="#REF!"/>
  </r>
  <r>
    <s v="401000"/>
    <x v="6"/>
    <s v="FOURNISSEURS"/>
    <s v="BPRI"/>
    <n v="-77"/>
    <d v="2025-10-01T00:00:00"/>
    <s v="ANNUL.FACT.CB/LIB/SNCF-VOYAGEURS D/LIB/300925 CB    3583"/>
    <m/>
    <e v="#N/A"/>
    <e v="#N/A"/>
    <n v="82564"/>
    <m/>
    <s v="SNCF"/>
    <s v="Q4"/>
    <e v="#REF!"/>
    <e v="#REF!"/>
    <e v="#REF!"/>
  </r>
  <r>
    <s v="512100"/>
    <x v="6"/>
    <s v="BANQUE POPULAIRE RIVE DE PARIS"/>
    <s v="BPRI"/>
    <n v="-178.61"/>
    <d v="2025-01-31T00:00:00"/>
    <s v="Prélèvement fournisseurs"/>
    <m/>
    <e v="#N/A"/>
    <e v="#N/A"/>
    <n v="61912"/>
    <m/>
    <s v="AIR LIQUIDE"/>
    <s v="Q1"/>
    <e v="#REF!"/>
    <e v="#REF!"/>
    <e v="#REF!"/>
  </r>
  <r>
    <s v="512100"/>
    <x v="6"/>
    <s v="BANQUE POPULAIRE RIVE DE PARIS"/>
    <s v="BPRI"/>
    <n v="-178.61"/>
    <d v="2025-05-30T00:00:00"/>
    <s v="Prélèvement ALFI"/>
    <m/>
    <e v="#N/A"/>
    <e v="#N/A"/>
    <n v="75013"/>
    <m/>
    <s v="AIR LIQUIDE"/>
    <s v="Q2"/>
    <e v="#REF!"/>
    <e v="#REF!"/>
    <e v="#REF!"/>
  </r>
  <r>
    <s v="401000"/>
    <x v="6"/>
    <s v="FOURNISSEURS"/>
    <s v="BPRI"/>
    <n v="-73"/>
    <d v="2025-10-01T00:00:00"/>
    <s v="ANNUL.FACT.CB/LIB/SNCF-VOYAGEURS D/LIB/300925 CB    3583"/>
    <m/>
    <e v="#N/A"/>
    <e v="#N/A"/>
    <n v="82558"/>
    <m/>
    <s v="SNCF"/>
    <s v="Q4"/>
    <e v="#REF!"/>
    <e v="#REF!"/>
    <e v="#REF!"/>
  </r>
  <r>
    <s v="401000"/>
    <x v="6"/>
    <s v="FOURNISSEURS"/>
    <s v="BPRI"/>
    <n v="-36"/>
    <d v="2025-10-01T00:00:00"/>
    <s v="ANNUL.FACT.CB/LIB/SNCF-VOYAGEURS D/LIB/300925 CB    3583"/>
    <m/>
    <e v="#N/A"/>
    <e v="#N/A"/>
    <n v="82560"/>
    <m/>
    <s v="SNCF"/>
    <s v="Q4"/>
    <e v="#REF!"/>
    <e v="#REF!"/>
    <e v="#REF!"/>
  </r>
  <r>
    <s v="512100"/>
    <x v="6"/>
    <s v="BANQUE POPULAIRE RIVE DE PARIS"/>
    <s v="BPRI"/>
    <n v="36"/>
    <d v="2025-10-01T00:00:00"/>
    <s v="ANNUL.FACT.CB/LIB/SNCF-VOYAGEURS D/LIB/300925 CB    3583"/>
    <m/>
    <e v="#N/A"/>
    <e v="#N/A"/>
    <n v="82561"/>
    <m/>
    <s v="SNCF"/>
    <s v="Q4"/>
    <e v="#REF!"/>
    <e v="#REF!"/>
    <e v="#REF!"/>
  </r>
  <r>
    <s v="512100"/>
    <x v="6"/>
    <s v="BANQUE POPULAIRE RIVE DE PARIS"/>
    <s v="BPRI"/>
    <n v="73"/>
    <d v="2025-10-01T00:00:00"/>
    <s v="ANNUL.FACT.CB/LIB/SNCF-VOYAGEURS D/LIB/300925 CB    3583"/>
    <m/>
    <e v="#N/A"/>
    <e v="#N/A"/>
    <n v="82557"/>
    <m/>
    <s v="SNCF"/>
    <s v="Q4"/>
    <e v="#REF!"/>
    <e v="#REF!"/>
    <e v="#REF!"/>
  </r>
  <r>
    <s v="512100"/>
    <x v="6"/>
    <s v="BANQUE POPULAIRE RIVE DE PARIS"/>
    <s v="BPRI"/>
    <n v="-175.19"/>
    <d v="2025-05-07T00:00:00"/>
    <s v="Prélèvement Bénéfiz"/>
    <m/>
    <e v="#N/A"/>
    <e v="#N/A"/>
    <n v="71699"/>
    <m/>
    <m/>
    <s v="Q2"/>
    <e v="#REF!"/>
    <e v="#REF!"/>
    <e v="#REF!"/>
  </r>
  <r>
    <s v="512100"/>
    <x v="6"/>
    <s v="BANQUE POPULAIRE RIVE DE PARIS"/>
    <s v="BPRI"/>
    <n v="-174"/>
    <d v="2025-03-04T00:00:00"/>
    <s v="Remboursement NDF"/>
    <m/>
    <e v="#N/A"/>
    <e v="#N/A"/>
    <n v="58885"/>
    <m/>
    <s v="Thibault Dejardin"/>
    <s v="Q1"/>
    <e v="#REF!"/>
    <e v="#REF!"/>
    <e v="#REF!"/>
  </r>
  <r>
    <s v="512100"/>
    <x v="6"/>
    <s v="BANQUE POPULAIRE RIVE DE PARIS"/>
    <s v="BPRI"/>
    <n v="-173.99"/>
    <d v="2025-05-13T00:00:00"/>
    <s v="Règlement NDF"/>
    <m/>
    <e v="#N/A"/>
    <e v="#N/A"/>
    <n v="71992"/>
    <m/>
    <s v="Emilie Amillastré"/>
    <s v="Q2"/>
    <e v="#REF!"/>
    <e v="#REF!"/>
    <e v="#REF!"/>
  </r>
  <r>
    <s v="512100"/>
    <x v="6"/>
    <s v="BANQUE POPULAIRE RIVE DE PARIS"/>
    <s v="BPRI"/>
    <n v="-172"/>
    <d v="2025-04-30T00:00:00"/>
    <s v="Règlement CB JERBLA"/>
    <m/>
    <e v="#N/A"/>
    <e v="#N/A"/>
    <n v="70644"/>
    <m/>
    <s v="SNCF"/>
    <s v="Q2"/>
    <e v="#REF!"/>
    <e v="#REF!"/>
    <e v="#REF!"/>
  </r>
  <r>
    <s v="512100"/>
    <x v="6"/>
    <s v="BANQUE POPULAIRE RIVE DE PARIS"/>
    <s v="BPRI"/>
    <n v="-169"/>
    <d v="2025-02-06T00:00:00"/>
    <s v="050225 CB    3583"/>
    <m/>
    <e v="#N/A"/>
    <e v="#N/A"/>
    <n v="21235"/>
    <s v="1QCN6UL"/>
    <m/>
    <s v="Q1"/>
    <e v="#REF!"/>
    <e v="#REF!"/>
    <e v="#REF!"/>
  </r>
  <r>
    <s v="512100"/>
    <x v="6"/>
    <s v="BANQUE POPULAIRE RIVE DE PARIS"/>
    <s v="BPRI"/>
    <n v="-168.59"/>
    <d v="2025-01-27T00:00:00"/>
    <s v="260125 CB    6880"/>
    <s v="Non"/>
    <s v="Non"/>
    <e v="#N/A"/>
    <n v="21099"/>
    <s v="19TDCWQ"/>
    <s v="LINKEDIN"/>
    <s v="Q1"/>
    <e v="#REF!"/>
    <e v="#REF!"/>
    <e v="#REF!"/>
  </r>
  <r>
    <s v="512100"/>
    <x v="6"/>
    <s v="BANQUE POPULAIRE RIVE DE PARIS"/>
    <s v="BPRI"/>
    <n v="-168.59"/>
    <d v="2025-02-28T00:00:00"/>
    <s v="28022025 CB    6880 - Linkedin"/>
    <s v="Non"/>
    <s v="Non"/>
    <e v="#N/A"/>
    <n v="58957"/>
    <m/>
    <s v="LINKEDIN"/>
    <s v="Q1"/>
    <e v="#REF!"/>
    <e v="#REF!"/>
    <e v="#REF!"/>
  </r>
  <r>
    <s v="512100"/>
    <x v="6"/>
    <s v="BANQUE POPULAIRE RIVE DE PARIS"/>
    <s v="BPRI"/>
    <n v="-168.59"/>
    <d v="2025-03-27T00:00:00"/>
    <s v="Règlement Linkedin par CB"/>
    <s v="Non"/>
    <s v="Non"/>
    <e v="#N/A"/>
    <n v="64536"/>
    <m/>
    <s v="LINKEDIN"/>
    <s v="Q1"/>
    <e v="#REF!"/>
    <e v="#REF!"/>
    <e v="#REF!"/>
  </r>
  <r>
    <s v="512100"/>
    <x v="6"/>
    <s v="BANQUE POPULAIRE RIVE DE PARIS"/>
    <s v="BPRI"/>
    <n v="-168.59"/>
    <d v="2025-04-28T00:00:00"/>
    <s v="Paiement CB"/>
    <s v="Non"/>
    <s v="Non"/>
    <e v="#N/A"/>
    <n v="70455"/>
    <m/>
    <s v="LINKEDIN"/>
    <s v="Q2"/>
    <e v="#REF!"/>
    <e v="#REF!"/>
    <e v="#REF!"/>
  </r>
  <r>
    <s v="512100"/>
    <x v="6"/>
    <s v="BANQUE POPULAIRE RIVE DE PARIS"/>
    <s v="BPRI"/>
    <n v="-168.59"/>
    <d v="2025-05-27T00:00:00"/>
    <s v="Règlement fournisseur"/>
    <s v="Non"/>
    <s v="Non"/>
    <e v="#N/A"/>
    <n v="74103"/>
    <m/>
    <s v="LINKEDIN"/>
    <s v="Q2"/>
    <e v="#REF!"/>
    <e v="#REF!"/>
    <e v="#REF!"/>
  </r>
  <r>
    <s v="512100"/>
    <x v="6"/>
    <s v="BANQUE POPULAIRE RIVE DE PARIS"/>
    <s v="BPRI"/>
    <n v="-168.59"/>
    <d v="2025-06-27T00:00:00"/>
    <s v="CB - LINKEDIN RECRUITMENT"/>
    <s v="Non"/>
    <s v="Non"/>
    <e v="#N/A"/>
    <n v="76303"/>
    <m/>
    <s v="LINKEDIN"/>
    <s v="Q2"/>
    <e v="#REF!"/>
    <e v="#REF!"/>
    <e v="#REF!"/>
  </r>
  <r>
    <s v="512100"/>
    <x v="6"/>
    <s v="BANQUE POPULAIRE RIVE DE PARIS"/>
    <s v="BPRI"/>
    <n v="77"/>
    <d v="2025-10-01T00:00:00"/>
    <s v="ANNUL.FACT.CB/LIB/SNCF-VOYAGEURS D/LIB/300925 CB    3583"/>
    <m/>
    <e v="#N/A"/>
    <e v="#N/A"/>
    <n v="82563"/>
    <m/>
    <s v="SNCF"/>
    <s v="Q4"/>
    <e v="#REF!"/>
    <e v="#REF!"/>
    <e v="#REF!"/>
  </r>
  <r>
    <s v="401000"/>
    <x v="6"/>
    <s v="FOURNISSEURS"/>
    <s v="BPRI"/>
    <n v="781.47"/>
    <d v="2025-07-10T00:00:00"/>
    <s v="ARRETE COMPTE/LIB/2 EME TRIMESTRE/LIB/2 EME TRIMESTRE 2025"/>
    <m/>
    <e v="#N/A"/>
    <e v="#N/A"/>
    <n v="78439"/>
    <m/>
    <s v="Banque Populaire Rive de Paris"/>
    <s v="Q3"/>
    <e v="#REF!"/>
    <e v="#REF!"/>
    <e v="#REF!"/>
  </r>
  <r>
    <s v="512100"/>
    <x v="6"/>
    <s v="BANQUE POPULAIRE RIVE DE PARIS"/>
    <s v="BPRI"/>
    <n v="-781.47"/>
    <d v="2025-07-10T00:00:00"/>
    <s v="ARRETE COMPTE/LIB/2 EME TRIMESTRE/LIB/2 EME TRIMESTRE 2025"/>
    <m/>
    <e v="#N/A"/>
    <e v="#N/A"/>
    <n v="78438"/>
    <m/>
    <s v="Banque Populaire Rive de Paris"/>
    <s v="Q3"/>
    <e v="#REF!"/>
    <e v="#REF!"/>
    <e v="#REF!"/>
  </r>
  <r>
    <s v="512100"/>
    <x v="6"/>
    <s v="BANQUE POPULAIRE RIVE DE PARIS"/>
    <s v="BPRI"/>
    <n v="-168"/>
    <d v="2025-07-31T00:00:00"/>
    <s v="Comptabilisation du bordereau nr. 239"/>
    <m/>
    <e v="#N/A"/>
    <e v="#N/A"/>
    <n v="79208"/>
    <m/>
    <s v="TRANSPERFECT TRADUCTIONS"/>
    <s v="Q3"/>
    <e v="#REF!"/>
    <e v="#REF!"/>
    <e v="#REF!"/>
  </r>
  <r>
    <s v="512100"/>
    <x v="6"/>
    <s v="BANQUE POPULAIRE RIVE DE PARIS"/>
    <s v="BPRI"/>
    <n v="-167.81"/>
    <d v="2025-03-06T00:00:00"/>
    <s v="Prélèvement Benefiz"/>
    <m/>
    <e v="#N/A"/>
    <e v="#N/A"/>
    <n v="58825"/>
    <m/>
    <m/>
    <s v="Q1"/>
    <e v="#REF!"/>
    <e v="#REF!"/>
    <e v="#REF!"/>
  </r>
  <r>
    <s v="512100"/>
    <x v="6"/>
    <s v="BANQUE POPULAIRE RIVE DE PARIS"/>
    <s v="BPRI"/>
    <n v="-166.82"/>
    <d v="2025-02-03T00:00:00"/>
    <s v="Règlement NDF"/>
    <m/>
    <e v="#N/A"/>
    <e v="#N/A"/>
    <n v="21171"/>
    <s v="1935302"/>
    <s v="Loic masseboeuf"/>
    <s v="Q1"/>
    <e v="#REF!"/>
    <e v="#REF!"/>
    <e v="#REF!"/>
  </r>
  <r>
    <s v="512100"/>
    <x v="6"/>
    <s v="BANQUE POPULAIRE RIVE DE PARIS"/>
    <s v="BPRI"/>
    <n v="-166.13"/>
    <d v="2025-01-31T00:00:00"/>
    <s v="PRLV SEPA AIR LIQUIDE FI IM"/>
    <m/>
    <e v="#N/A"/>
    <e v="#N/A"/>
    <n v="21157"/>
    <s v="074YLNE"/>
    <s v="AIR LIQUIDE"/>
    <s v="Q1"/>
    <e v="#REF!"/>
    <e v="#REF!"/>
    <e v="#REF!"/>
  </r>
  <r>
    <s v="512100"/>
    <x v="6"/>
    <s v="BANQUE POPULAIRE RIVE DE PARIS"/>
    <s v="BPRI"/>
    <n v="-163.69999999999999"/>
    <d v="2025-03-10T00:00:00"/>
    <s v="Virement Note de Frais"/>
    <m/>
    <e v="#N/A"/>
    <e v="#N/A"/>
    <n v="60064"/>
    <m/>
    <s v="Lucie Crépin"/>
    <s v="Q1"/>
    <e v="#REF!"/>
    <e v="#REF!"/>
    <e v="#REF!"/>
  </r>
  <r>
    <s v="437300"/>
    <x v="6"/>
    <s v="RETRAITE"/>
    <s v="BPRI"/>
    <n v="9843.2099999999991"/>
    <d v="2025-07-25T00:00:00"/>
    <s v="B2V GESTION GU COTISATIO/LIB/B2V  63380066.2501129 DU 250725"/>
    <m/>
    <e v="#N/A"/>
    <e v="#N/A"/>
    <n v="78962"/>
    <m/>
    <m/>
    <s v="Q3"/>
    <e v="#REF!"/>
    <e v="#REF!"/>
    <e v="#REF!"/>
  </r>
  <r>
    <s v="512100"/>
    <x v="6"/>
    <s v="BANQUE POPULAIRE RIVE DE PARIS"/>
    <s v="BPRI"/>
    <n v="-162.08000000000001"/>
    <d v="2025-02-28T00:00:00"/>
    <s v="Règlement fournisseurs"/>
    <m/>
    <e v="#N/A"/>
    <e v="#N/A"/>
    <n v="58903"/>
    <m/>
    <s v="FISHER SCIENTIFIC"/>
    <s v="Q1"/>
    <e v="#REF!"/>
    <e v="#REF!"/>
    <e v="#REF!"/>
  </r>
  <r>
    <s v="512100"/>
    <x v="6"/>
    <s v="BANQUE POPULAIRE RIVE DE PARIS"/>
    <s v="BPRI"/>
    <n v="-160"/>
    <d v="2025-03-29T00:00:00"/>
    <s v="CB LOIMAS - Sncf"/>
    <m/>
    <e v="#N/A"/>
    <e v="#N/A"/>
    <n v="66442"/>
    <m/>
    <s v="SNCF"/>
    <s v="Q1"/>
    <e v="#REF!"/>
    <e v="#REF!"/>
    <e v="#REF!"/>
  </r>
  <r>
    <s v="512100"/>
    <x v="6"/>
    <s v="BANQUE POPULAIRE RIVE DE PARIS"/>
    <s v="BPRI"/>
    <n v="-158.65"/>
    <d v="2025-01-13T00:00:00"/>
    <s v="PRLV SEPA FENWICK FINANCIAL SER"/>
    <m/>
    <e v="#N/A"/>
    <e v="#N/A"/>
    <n v="20975"/>
    <s v="0715TM9"/>
    <s v="FENWICK FINANCIAL SERVICES"/>
    <s v="Q1"/>
    <e v="#REF!"/>
    <e v="#REF!"/>
    <e v="#REF!"/>
  </r>
  <r>
    <s v="512100"/>
    <x v="6"/>
    <s v="BANQUE POPULAIRE RIVE DE PARIS"/>
    <s v="BPRI"/>
    <n v="-158.65"/>
    <d v="2025-02-12T00:00:00"/>
    <s v="PRLV SEPA FENWICK FINANCIAL SER"/>
    <m/>
    <e v="#N/A"/>
    <e v="#N/A"/>
    <n v="21283"/>
    <s v="07BYO4I"/>
    <s v="FENWICK FINANCIAL SERVICES"/>
    <s v="Q1"/>
    <e v="#REF!"/>
    <e v="#REF!"/>
    <e v="#REF!"/>
  </r>
  <r>
    <s v="512100"/>
    <x v="6"/>
    <s v="BANQUE POPULAIRE RIVE DE PARIS"/>
    <s v="BPRI"/>
    <n v="-158.65"/>
    <d v="2025-03-11T00:00:00"/>
    <s v="Prélèvement FENWICK"/>
    <m/>
    <e v="#N/A"/>
    <e v="#N/A"/>
    <n v="61235"/>
    <m/>
    <s v="FENWICK FINANCIAL SERVICES"/>
    <s v="Q1"/>
    <e v="#REF!"/>
    <e v="#REF!"/>
    <e v="#REF!"/>
  </r>
  <r>
    <s v="512100"/>
    <x v="6"/>
    <s v="BANQUE POPULAIRE RIVE DE PARIS"/>
    <s v="BPRI"/>
    <n v="-158.65"/>
    <d v="2025-04-11T00:00:00"/>
    <s v="Prélèvement Fenwick"/>
    <m/>
    <e v="#N/A"/>
    <e v="#N/A"/>
    <n v="66738"/>
    <m/>
    <s v="FENWICK FINANCIAL SERVICES"/>
    <s v="Q2"/>
    <e v="#REF!"/>
    <e v="#REF!"/>
    <e v="#REF!"/>
  </r>
  <r>
    <s v="512100"/>
    <x v="6"/>
    <s v="BANQUE POPULAIRE RIVE DE PARIS"/>
    <s v="BPRI"/>
    <n v="-158.65"/>
    <d v="2025-05-13T00:00:00"/>
    <s v="Prélèvement fournisseur"/>
    <m/>
    <e v="#N/A"/>
    <e v="#N/A"/>
    <n v="72001"/>
    <m/>
    <s v="FENWICK FINANCIAL SERVICES"/>
    <s v="Q2"/>
    <e v="#REF!"/>
    <e v="#REF!"/>
    <e v="#REF!"/>
  </r>
  <r>
    <s v="512100"/>
    <x v="6"/>
    <s v="BANQUE POPULAIRE RIVE DE PARIS"/>
    <s v="BPRI"/>
    <n v="-158.65"/>
    <d v="2025-06-12T00:00:00"/>
    <s v="PRLV SEPA Fenwick Finance"/>
    <m/>
    <e v="#N/A"/>
    <e v="#N/A"/>
    <n v="75998"/>
    <m/>
    <s v="FENWICK FINANCIAL SERVICES"/>
    <s v="Q2"/>
    <e v="#REF!"/>
    <e v="#REF!"/>
    <e v="#REF!"/>
  </r>
  <r>
    <s v="512100"/>
    <x v="6"/>
    <s v="BANQUE POPULAIRE RIVE DE PARIS"/>
    <s v="BPRI"/>
    <n v="-158.65"/>
    <d v="2025-07-11T00:00:00"/>
    <s v="PRLV SEPA FENWICK FINANCIAL SERVICES"/>
    <m/>
    <e v="#N/A"/>
    <e v="#N/A"/>
    <n v="77379"/>
    <m/>
    <s v="FENWICK FINANCIAL SERVICES"/>
    <s v="Q3"/>
    <e v="#REF!"/>
    <e v="#REF!"/>
    <e v="#REF!"/>
  </r>
  <r>
    <s v="512100"/>
    <x v="6"/>
    <s v="BANQUE POPULAIRE RIVE DE PARIS"/>
    <s v="BPRI"/>
    <n v="-9843.2099999999991"/>
    <d v="2025-07-25T00:00:00"/>
    <s v="B2V GESTION GU COTISATIO/LIB/B2V  63380066.2501129 DU 250725"/>
    <m/>
    <e v="#N/A"/>
    <e v="#N/A"/>
    <n v="78961"/>
    <m/>
    <m/>
    <s v="Q3"/>
    <e v="#REF!"/>
    <e v="#REF!"/>
    <e v="#REF!"/>
  </r>
  <r>
    <s v="512100"/>
    <x v="6"/>
    <s v="BANQUE POPULAIRE RIVE DE PARIS"/>
    <s v="BPRI"/>
    <n v="-158.65"/>
    <d v="2025-09-11T00:00:00"/>
    <s v="PRLV SEPA FENWICK FINANCIAL SER"/>
    <m/>
    <e v="#N/A"/>
    <e v="#N/A"/>
    <n v="82099"/>
    <m/>
    <s v="FENWICK FINANCIAL SERVICES"/>
    <s v="Q3"/>
    <e v="#REF!"/>
    <e v="#REF!"/>
    <e v="#REF!"/>
  </r>
  <r>
    <s v="437300"/>
    <x v="6"/>
    <s v="RETRAITE"/>
    <s v="BPRI"/>
    <n v="6496.78"/>
    <d v="2025-07-25T00:00:00"/>
    <s v="B2V GESTION GU COTISATIO/LIB/B2V  63476874.2300109 DU 250725"/>
    <m/>
    <e v="#N/A"/>
    <e v="#N/A"/>
    <n v="78959"/>
    <m/>
    <m/>
    <s v="Q3"/>
    <e v="#REF!"/>
    <e v="#REF!"/>
    <e v="#REF!"/>
  </r>
  <r>
    <s v="512100"/>
    <x v="6"/>
    <s v="BANQUE POPULAIRE RIVE DE PARIS"/>
    <s v="BPRI"/>
    <n v="-6496.78"/>
    <d v="2025-07-25T00:00:00"/>
    <s v="B2V GESTION GU COTISATIO/LIB/B2V  63476874.2300109 DU 250725"/>
    <m/>
    <e v="#N/A"/>
    <e v="#N/A"/>
    <n v="78958"/>
    <m/>
    <m/>
    <s v="Q3"/>
    <e v="#REF!"/>
    <e v="#REF!"/>
    <e v="#REF!"/>
  </r>
  <r>
    <s v="437300"/>
    <x v="6"/>
    <s v="RETRAITE"/>
    <s v="BPRI"/>
    <n v="10907.77"/>
    <d v="2025-07-25T00:00:00"/>
    <s v="B2V GESTION GU COTISATIO/LIB/B2V  63484120.5201607 DU 250725"/>
    <m/>
    <e v="#N/A"/>
    <e v="#N/A"/>
    <n v="78965"/>
    <m/>
    <m/>
    <s v="Q3"/>
    <e v="#REF!"/>
    <e v="#REF!"/>
    <e v="#REF!"/>
  </r>
  <r>
    <s v="512100"/>
    <x v="6"/>
    <s v="BANQUE POPULAIRE RIVE DE PARIS"/>
    <s v="BPRI"/>
    <n v="-157.19999999999999"/>
    <d v="2025-02-20T00:00:00"/>
    <s v="EVI REMISE"/>
    <m/>
    <e v="#N/A"/>
    <e v="#N/A"/>
    <n v="21379"/>
    <s v="0GLKXTM"/>
    <s v="Sigma-Aldrich chimie"/>
    <s v="Q1"/>
    <e v="#REF!"/>
    <e v="#REF!"/>
    <e v="#REF!"/>
  </r>
  <r>
    <s v="512100"/>
    <x v="6"/>
    <s v="BANQUE POPULAIRE RIVE DE PARIS"/>
    <s v="BPRI"/>
    <n v="-10907.77"/>
    <d v="2025-07-25T00:00:00"/>
    <s v="B2V GESTION GU COTISATIO/LIB/B2V  63484120.5201607 DU 250725"/>
    <m/>
    <e v="#N/A"/>
    <e v="#N/A"/>
    <n v="78964"/>
    <m/>
    <m/>
    <s v="Q3"/>
    <e v="#REF!"/>
    <e v="#REF!"/>
    <e v="#REF!"/>
  </r>
  <r>
    <s v="512100"/>
    <x v="6"/>
    <s v="BANQUE POPULAIRE RIVE DE PARIS"/>
    <s v="BPRI"/>
    <n v="-157.19999999999999"/>
    <d v="2025-08-08T00:00:00"/>
    <s v="PRLV SEPA ORANGE"/>
    <m/>
    <e v="#N/A"/>
    <e v="#N/A"/>
    <n v="80789"/>
    <m/>
    <s v="ORANGE"/>
    <s v="Q3"/>
    <e v="#REF!"/>
    <e v="#REF!"/>
    <e v="#REF!"/>
  </r>
  <r>
    <s v="512100"/>
    <x v="6"/>
    <s v="BANQUE POPULAIRE RIVE DE PARIS"/>
    <s v="BPRI"/>
    <n v="-157.19999999999999"/>
    <d v="2025-09-08T00:00:00"/>
    <s v="PRLV SEPA ORANGE SA"/>
    <m/>
    <e v="#N/A"/>
    <e v="#N/A"/>
    <n v="82128"/>
    <m/>
    <s v="ORANGE"/>
    <s v="Q3"/>
    <e v="#REF!"/>
    <e v="#REF!"/>
    <e v="#REF!"/>
  </r>
  <r>
    <s v="431100"/>
    <x v="6"/>
    <s v="IJSS À RECEVOIR"/>
    <s v="BPRI"/>
    <n v="-1331.4"/>
    <d v="2025-07-25T00:00:00"/>
    <s v="C.P.A.M. TOULOUSE/LIB/0811524545000352042009250724"/>
    <m/>
    <e v="#N/A"/>
    <e v="#N/A"/>
    <n v="78952"/>
    <m/>
    <m/>
    <s v="Q3"/>
    <e v="#REF!"/>
    <e v="#REF!"/>
    <e v="#REF!"/>
  </r>
  <r>
    <s v="512100"/>
    <x v="6"/>
    <s v="BANQUE POPULAIRE RIVE DE PARIS"/>
    <s v="BPRI"/>
    <n v="1331.4"/>
    <d v="2025-07-25T00:00:00"/>
    <s v="C.P.A.M. TOULOUSE/LIB/0811524545000352042009250724"/>
    <m/>
    <e v="#N/A"/>
    <e v="#N/A"/>
    <n v="78951"/>
    <m/>
    <m/>
    <s v="Q3"/>
    <e v="#REF!"/>
    <e v="#REF!"/>
    <e v="#REF!"/>
  </r>
  <r>
    <s v="401000"/>
    <x v="6"/>
    <s v="FOURNISSEURS"/>
    <s v="AC"/>
    <n v="-576"/>
    <d v="2025-01-13T00:00:00"/>
    <s v="CALIBRATION BALANCES DE PESÉE LABO R&amp;D KB"/>
    <m/>
    <e v="#N/A"/>
    <e v="#N/A"/>
    <n v="61254"/>
    <s v="FA0006730"/>
    <s v="BIOKAL"/>
    <s v="Q1"/>
    <e v="#REF!"/>
    <e v="#REF!"/>
    <e v="#REF!"/>
  </r>
  <r>
    <s v="512100"/>
    <x v="6"/>
    <s v="BANQUE POPULAIRE RIVE DE PARIS"/>
    <s v="BPRI"/>
    <n v="-156.51"/>
    <d v="2025-04-14T00:00:00"/>
    <s v="Règlement NDF"/>
    <m/>
    <e v="#N/A"/>
    <e v="#N/A"/>
    <n v="67596"/>
    <s v="25000109"/>
    <s v="Mylène Menanteau"/>
    <s v="Q2"/>
    <e v="#REF!"/>
    <e v="#REF!"/>
    <e v="#REF!"/>
  </r>
  <r>
    <s v="512100"/>
    <x v="6"/>
    <s v="BANQUE POPULAIRE RIVE DE PARIS"/>
    <s v="BPRI"/>
    <n v="-156.24"/>
    <d v="2025-02-04T00:00:00"/>
    <s v="PRLV SEPA ENGIE"/>
    <m/>
    <e v="#N/A"/>
    <e v="#N/A"/>
    <n v="21177"/>
    <s v="077T0D0"/>
    <s v="ENGIE"/>
    <s v="Q1"/>
    <e v="#REF!"/>
    <e v="#REF!"/>
    <e v="#REF!"/>
  </r>
  <r>
    <s v="445662"/>
    <x v="6"/>
    <s v="TVA - D_20"/>
    <s v="AC"/>
    <n v="96"/>
    <d v="2025-01-13T00:00:00"/>
    <s v="CALIBRATION BALANCES DE PESÉE LABO R&amp;D KB"/>
    <m/>
    <e v="#N/A"/>
    <e v="#N/A"/>
    <n v="61255"/>
    <s v="FA0006730"/>
    <s v="BIOKAL"/>
    <s v="Q1"/>
    <e v="#REF!"/>
    <e v="#REF!"/>
    <e v="#REF!"/>
  </r>
  <r>
    <s v="615600"/>
    <x v="6"/>
    <s v="MAINTENANCE"/>
    <s v="AC"/>
    <n v="480"/>
    <d v="2025-01-13T00:00:00"/>
    <s v="CALIBRATION BALANCES DE PESÉE LABO R&amp;D KB"/>
    <m/>
    <e v="#N/A"/>
    <e v="#N/A"/>
    <n v="61256"/>
    <s v="FA0006730"/>
    <s v="BIOKAL"/>
    <s v="Q1"/>
    <e v="#REF!"/>
    <e v="#REF!"/>
    <e v="#REF!"/>
  </r>
  <r>
    <s v="512100"/>
    <x v="6"/>
    <s v="BANQUE POPULAIRE RIVE DE PARIS"/>
    <s v="BPRI"/>
    <n v="-151.1"/>
    <d v="2025-02-24T00:00:00"/>
    <s v="PRLV SEPA SERVICE ACTION SANTE"/>
    <m/>
    <s v="Non"/>
    <n v="0"/>
    <n v="21403"/>
    <s v="07ENDVV"/>
    <s v="SERVICE ACTION SANTE"/>
    <s v="Q1"/>
    <e v="#REF!"/>
    <e v="#REF!"/>
    <e v="#REF!"/>
  </r>
  <r>
    <s v="512100"/>
    <x v="6"/>
    <s v="BANQUE POPULAIRE RIVE DE PARIS"/>
    <s v="BPRI"/>
    <n v="-150"/>
    <d v="2025-02-24T00:00:00"/>
    <s v="EVI REMISE"/>
    <m/>
    <s v="Non"/>
    <n v="0"/>
    <n v="21407"/>
    <s v="0GLLEKL"/>
    <s v="FORMATEC PRO SECURITE"/>
    <s v="Q1"/>
    <e v="#REF!"/>
    <e v="#REF!"/>
    <e v="#REF!"/>
  </r>
  <r>
    <s v="401000"/>
    <x v="6"/>
    <s v="FOURNISSEURS"/>
    <s v="AC"/>
    <n v="-349"/>
    <d v="2025-05-28T00:00:00"/>
    <s v="CARTE LIBERTÉ"/>
    <m/>
    <e v="#N/A"/>
    <e v="#N/A"/>
    <n v="77984"/>
    <s v="10"/>
    <s v="SNCF"/>
    <s v="Q2"/>
    <e v="#REF!"/>
    <e v="#REF!"/>
    <e v="#REF!"/>
  </r>
  <r>
    <s v="512100"/>
    <x v="6"/>
    <s v="BANQUE POPULAIRE RIVE DE PARIS"/>
    <s v="BPRI"/>
    <n v="-143.83000000000001"/>
    <d v="2025-04-14T00:00:00"/>
    <s v="Règlement NDF"/>
    <m/>
    <e v="#N/A"/>
    <e v="#N/A"/>
    <n v="67593"/>
    <s v="25000108"/>
    <s v="Mylène Menanteau"/>
    <s v="Q2"/>
    <e v="#REF!"/>
    <e v="#REF!"/>
    <e v="#REF!"/>
  </r>
  <r>
    <s v="512100"/>
    <x v="6"/>
    <s v="BANQUE POPULAIRE RIVE DE PARIS"/>
    <s v="BPRI"/>
    <n v="-143.63999999999999"/>
    <d v="2025-01-15T00:00:00"/>
    <s v="EVI REMISE"/>
    <m/>
    <e v="#N/A"/>
    <e v="#N/A"/>
    <n v="20987"/>
    <s v="0GLCS3V"/>
    <s v="CLOUP"/>
    <s v="Q1"/>
    <e v="#REF!"/>
    <e v="#REF!"/>
    <e v="#REF!"/>
  </r>
  <r>
    <s v="401000"/>
    <x v="6"/>
    <s v="FOURNISSEURS"/>
    <s v="AC"/>
    <n v="-349"/>
    <d v="2025-12-08T00:00:00"/>
    <s v="CARTE LIBERTÉ"/>
    <m/>
    <e v="#N/A"/>
    <e v="#N/A"/>
    <n v="93954"/>
    <s v="16"/>
    <s v="SNCF"/>
    <s v="Q4"/>
    <e v="#REF!"/>
    <e v="#REF!"/>
    <e v="#REF!"/>
  </r>
  <r>
    <s v="512100"/>
    <x v="6"/>
    <s v="BANQUE POPULAIRE RIVE DE PARIS"/>
    <s v="BPRI"/>
    <n v="-139.49"/>
    <d v="2025-08-29T00:00:00"/>
    <s v="PRLV SEPA ALFI ACTIVITE IM"/>
    <m/>
    <e v="#N/A"/>
    <e v="#N/A"/>
    <n v="81659"/>
    <m/>
    <s v="AIR LIQUIDE"/>
    <s v="Q3"/>
    <e v="#REF!"/>
    <e v="#REF!"/>
    <e v="#REF!"/>
  </r>
  <r>
    <s v="512100"/>
    <x v="6"/>
    <s v="BANQUE POPULAIRE RIVE DE PARIS"/>
    <s v="BPRI"/>
    <n v="-136.91999999999999"/>
    <d v="2025-02-18T00:00:00"/>
    <s v="EVI REMISE"/>
    <m/>
    <e v="#N/A"/>
    <e v="#N/A"/>
    <n v="21349"/>
    <s v="0GLKPI6"/>
    <s v="Sigma-Aldrich chimie"/>
    <s v="Q1"/>
    <e v="#REF!"/>
    <e v="#REF!"/>
    <e v="#REF!"/>
  </r>
  <r>
    <s v="512100"/>
    <x v="6"/>
    <s v="BANQUE POPULAIRE RIVE DE PARIS"/>
    <s v="BPRI"/>
    <n v="-136.56"/>
    <d v="2025-01-03T00:00:00"/>
    <s v="PRLV SEPA SYLARELE HELLOCE"/>
    <m/>
    <s v="Non"/>
    <e v="#N/A"/>
    <n v="20881"/>
    <s v="06YF4E8"/>
    <s v="HELLOCSE"/>
    <s v="Q1"/>
    <e v="#REF!"/>
    <e v="#REF!"/>
    <e v="#REF!"/>
  </r>
  <r>
    <s v="512100"/>
    <x v="6"/>
    <s v="BANQUE POPULAIRE RIVE DE PARIS"/>
    <s v="BPRI"/>
    <n v="-136.56"/>
    <d v="2025-02-04T00:00:00"/>
    <s v="PRLV SEPA SYLARELE HELLOCE"/>
    <m/>
    <s v="Non"/>
    <e v="#N/A"/>
    <n v="21179"/>
    <s v="078KS2R"/>
    <s v="HELLOCSE"/>
    <s v="Q1"/>
    <e v="#REF!"/>
    <e v="#REF!"/>
    <e v="#REF!"/>
  </r>
  <r>
    <s v="512100"/>
    <x v="6"/>
    <s v="BANQUE POPULAIRE RIVE DE PARIS"/>
    <s v="BPRI"/>
    <n v="-136.56"/>
    <d v="2025-03-03T00:00:00"/>
    <s v="Règlement fournisseurs"/>
    <m/>
    <s v="Non"/>
    <e v="#N/A"/>
    <n v="58960"/>
    <m/>
    <s v="HELLOCSE"/>
    <s v="Q1"/>
    <e v="#REF!"/>
    <e v="#REF!"/>
    <e v="#REF!"/>
  </r>
  <r>
    <s v="512100"/>
    <x v="6"/>
    <s v="BANQUE POPULAIRE RIVE DE PARIS"/>
    <s v="BPRI"/>
    <n v="-136.56"/>
    <d v="2025-04-09T00:00:00"/>
    <s v="Prélèvement HelloCSE"/>
    <m/>
    <s v="Non"/>
    <e v="#N/A"/>
    <n v="66721"/>
    <m/>
    <s v="HELLOCSE"/>
    <s v="Q2"/>
    <e v="#REF!"/>
    <e v="#REF!"/>
    <e v="#REF!"/>
  </r>
  <r>
    <s v="512100"/>
    <x v="6"/>
    <s v="BANQUE POPULAIRE RIVE DE PARIS"/>
    <s v="BPRI"/>
    <n v="-136.56"/>
    <d v="2025-05-08T00:00:00"/>
    <s v="Prélèvement HelloCSE"/>
    <m/>
    <s v="Non"/>
    <e v="#N/A"/>
    <n v="71705"/>
    <m/>
    <s v="HELLOCSE"/>
    <s v="Q2"/>
    <e v="#REF!"/>
    <e v="#REF!"/>
    <e v="#REF!"/>
  </r>
  <r>
    <s v="512100"/>
    <x v="6"/>
    <s v="BANQUE POPULAIRE RIVE DE PARIS"/>
    <s v="BPRI"/>
    <n v="-136.56"/>
    <d v="2025-06-10T00:00:00"/>
    <s v="PRLV SEPA HELLOCSE - FACTURE 2025-06-2317"/>
    <m/>
    <s v="Non"/>
    <e v="#N/A"/>
    <n v="75930"/>
    <m/>
    <s v="HELLOCSE"/>
    <s v="Q2"/>
    <e v="#REF!"/>
    <e v="#REF!"/>
    <e v="#REF!"/>
  </r>
  <r>
    <s v="512100"/>
    <x v="6"/>
    <s v="BANQUE POPULAIRE RIVE DE PARIS"/>
    <s v="BPRI"/>
    <n v="-136.56"/>
    <d v="2025-07-11T00:00:00"/>
    <s v="PRLV SEPA SYLARELE HELLOCE/HELLOCSE - FACTURE 2025-07-2314"/>
    <m/>
    <s v="Non"/>
    <e v="#N/A"/>
    <n v="77366"/>
    <m/>
    <s v="HELLOCSE"/>
    <s v="Q3"/>
    <e v="#REF!"/>
    <e v="#REF!"/>
    <e v="#REF!"/>
  </r>
  <r>
    <s v="625100"/>
    <x v="6"/>
    <s v="Voyages et déplacements"/>
    <s v="AC"/>
    <n v="349"/>
    <d v="2025-05-28T00:00:00"/>
    <s v="CARTE LIBERTÉ"/>
    <m/>
    <e v="#N/A"/>
    <e v="#N/A"/>
    <n v="77985"/>
    <s v="10"/>
    <s v="SNCF"/>
    <s v="Q2"/>
    <e v="#REF!"/>
    <e v="#REF!"/>
    <e v="#REF!"/>
  </r>
  <r>
    <s v="512100"/>
    <x v="6"/>
    <s v="BANQUE POPULAIRE RIVE DE PARIS"/>
    <s v="BPRI"/>
    <n v="-136.56"/>
    <d v="2025-09-09T00:00:00"/>
    <s v="PRLV SEPA SYLARELE HELLOCE"/>
    <m/>
    <s v="Non"/>
    <e v="#N/A"/>
    <n v="82114"/>
    <m/>
    <s v="HELLOCSE"/>
    <s v="Q3"/>
    <e v="#REF!"/>
    <e v="#REF!"/>
    <e v="#REF!"/>
  </r>
  <r>
    <s v="625100"/>
    <x v="6"/>
    <s v="Voyages et déplacements"/>
    <s v="AC"/>
    <n v="349"/>
    <d v="2025-12-08T00:00:00"/>
    <s v="CARTE LIBERTÉ"/>
    <m/>
    <e v="#N/A"/>
    <e v="#N/A"/>
    <n v="93955"/>
    <s v="16"/>
    <s v="SNCF"/>
    <s v="Q4"/>
    <e v="#REF!"/>
    <e v="#REF!"/>
    <e v="#REF!"/>
  </r>
  <r>
    <s v="437300"/>
    <x v="6"/>
    <s v="RETRAITE"/>
    <s v="SA"/>
    <n v="-3773.96"/>
    <d v="2025-02-28T00:00:00"/>
    <s v="CONTRIBUTION D'EQUILIBRE GÉNÉRAL TU1"/>
    <m/>
    <e v="#N/A"/>
    <e v="#N/A"/>
    <n v="85196"/>
    <s v="SA202502"/>
    <m/>
    <s v="Q1"/>
    <e v="#REF!"/>
    <e v="#REF!"/>
    <e v="#REF!"/>
  </r>
  <r>
    <s v="437300"/>
    <x v="6"/>
    <s v="RETRAITE"/>
    <s v="SA"/>
    <n v="-3159.16"/>
    <d v="2025-07-31T00:00:00"/>
    <s v="CONTRIBUTION D'EQUILIBRE GÉNÉRAL TU1"/>
    <m/>
    <e v="#N/A"/>
    <e v="#N/A"/>
    <n v="79809"/>
    <s v="SA202507"/>
    <m/>
    <s v="Q3"/>
    <e v="#REF!"/>
    <e v="#REF!"/>
    <e v="#REF!"/>
  </r>
  <r>
    <s v="512100"/>
    <x v="6"/>
    <s v="BANQUE POPULAIRE RIVE DE PARIS"/>
    <s v="BPRI"/>
    <n v="-135.69999999999999"/>
    <d v="2025-01-03T00:00:00"/>
    <s v="PRLV SEPA BPIFRANCE"/>
    <m/>
    <e v="#N/A"/>
    <e v="#N/A"/>
    <n v="20877"/>
    <s v="06XHS2Q"/>
    <s v="BPI FRANCE"/>
    <s v="Q1"/>
    <e v="#REF!"/>
    <e v="#REF!"/>
    <e v="#REF!"/>
  </r>
  <r>
    <s v="512100"/>
    <x v="6"/>
    <s v="BANQUE POPULAIRE RIVE DE PARIS"/>
    <s v="BPRI"/>
    <n v="-134.80000000000001"/>
    <d v="2025-06-10T00:00:00"/>
    <s v="PRLV SEPA ORANGE Fibre"/>
    <m/>
    <e v="#N/A"/>
    <e v="#N/A"/>
    <n v="75927"/>
    <m/>
    <s v="ORANGE"/>
    <s v="Q2"/>
    <e v="#REF!"/>
    <e v="#REF!"/>
    <e v="#REF!"/>
  </r>
  <r>
    <s v="512100"/>
    <x v="6"/>
    <s v="BANQUE POPULAIRE RIVE DE PARIS"/>
    <s v="BPRI"/>
    <n v="-133.19999999999999"/>
    <d v="2025-01-10T00:00:00"/>
    <s v="PRLV SEPA ORANGE SA"/>
    <m/>
    <e v="#N/A"/>
    <e v="#N/A"/>
    <n v="20941"/>
    <s v="070CJSY"/>
    <s v="ORANGE"/>
    <s v="Q1"/>
    <e v="#REF!"/>
    <e v="#REF!"/>
    <e v="#REF!"/>
  </r>
  <r>
    <s v="512100"/>
    <x v="6"/>
    <s v="BANQUE POPULAIRE RIVE DE PARIS"/>
    <s v="BPRI"/>
    <n v="-133.19999999999999"/>
    <d v="2025-02-10T00:00:00"/>
    <s v="PRLV SEPA ORANGE SA"/>
    <m/>
    <e v="#N/A"/>
    <e v="#N/A"/>
    <n v="21245"/>
    <s v="079RD7N"/>
    <s v="ORANGE"/>
    <s v="Q1"/>
    <e v="#REF!"/>
    <e v="#REF!"/>
    <e v="#REF!"/>
  </r>
  <r>
    <s v="512100"/>
    <x v="6"/>
    <s v="BANQUE POPULAIRE RIVE DE PARIS"/>
    <s v="BPRI"/>
    <n v="-133.19999999999999"/>
    <d v="2025-03-13T00:00:00"/>
    <s v="Prélèvement Orange"/>
    <m/>
    <e v="#N/A"/>
    <e v="#N/A"/>
    <n v="61646"/>
    <m/>
    <s v="ORANGE"/>
    <s v="Q1"/>
    <e v="#REF!"/>
    <e v="#REF!"/>
    <e v="#REF!"/>
  </r>
  <r>
    <s v="512100"/>
    <x v="6"/>
    <s v="BANQUE POPULAIRE RIVE DE PARIS"/>
    <s v="BPRI"/>
    <n v="-133.19999999999999"/>
    <d v="2025-04-10T00:00:00"/>
    <s v="Prélèvement Orange"/>
    <m/>
    <e v="#N/A"/>
    <e v="#N/A"/>
    <n v="66723"/>
    <m/>
    <s v="ORANGE"/>
    <s v="Q2"/>
    <e v="#REF!"/>
    <e v="#REF!"/>
    <e v="#REF!"/>
  </r>
  <r>
    <s v="512100"/>
    <x v="6"/>
    <s v="BANQUE POPULAIRE RIVE DE PARIS"/>
    <s v="BPRI"/>
    <n v="-133.19999999999999"/>
    <d v="2025-05-12T00:00:00"/>
    <s v="Prélèvement fournisseur"/>
    <m/>
    <e v="#N/A"/>
    <e v="#N/A"/>
    <n v="71881"/>
    <m/>
    <s v="ORANGE"/>
    <s v="Q2"/>
    <e v="#REF!"/>
    <e v="#REF!"/>
    <e v="#REF!"/>
  </r>
  <r>
    <s v="512100"/>
    <x v="6"/>
    <s v="BANQUE POPULAIRE RIVE DE PARIS"/>
    <s v="BPRI"/>
    <n v="-132"/>
    <d v="2025-01-07T00:00:00"/>
    <s v="PRLV SEPA HOPER"/>
    <m/>
    <e v="#N/A"/>
    <e v="#N/A"/>
    <n v="20913"/>
    <s v="06ZU7HV"/>
    <s v="HOPER"/>
    <s v="Q1"/>
    <e v="#REF!"/>
    <e v="#REF!"/>
    <e v="#REF!"/>
  </r>
  <r>
    <s v="512100"/>
    <x v="6"/>
    <s v="BANQUE POPULAIRE RIVE DE PARIS"/>
    <s v="BPRI"/>
    <n v="-132"/>
    <d v="2025-04-07T00:00:00"/>
    <s v="Prélèvement Hoper"/>
    <m/>
    <e v="#N/A"/>
    <e v="#N/A"/>
    <n v="66596"/>
    <m/>
    <s v="HOPER"/>
    <s v="Q2"/>
    <e v="#REF!"/>
    <e v="#REF!"/>
    <e v="#REF!"/>
  </r>
  <r>
    <s v="512100"/>
    <x v="6"/>
    <s v="BANQUE POPULAIRE RIVE DE PARIS"/>
    <s v="BPRI"/>
    <n v="-128"/>
    <d v="2025-03-24T00:00:00"/>
    <s v="Règlement NDF"/>
    <m/>
    <e v="#N/A"/>
    <e v="#N/A"/>
    <n v="64502"/>
    <m/>
    <s v="Jérémie Blache"/>
    <s v="Q1"/>
    <e v="#REF!"/>
    <e v="#REF!"/>
    <e v="#REF!"/>
  </r>
  <r>
    <s v="512100"/>
    <x v="6"/>
    <s v="BANQUE POPULAIRE RIVE DE PARIS"/>
    <s v="BPRI"/>
    <n v="-124"/>
    <d v="2025-01-14T00:00:00"/>
    <s v="130125 CB    6880"/>
    <m/>
    <e v="#N/A"/>
    <e v="#N/A"/>
    <n v="20983"/>
    <s v="0OB9RVK"/>
    <s v="SNCF"/>
    <s v="Q1"/>
    <e v="#REF!"/>
    <e v="#REF!"/>
    <e v="#REF!"/>
  </r>
  <r>
    <s v="512100"/>
    <x v="6"/>
    <s v="BANQUE POPULAIRE RIVE DE PARIS"/>
    <s v="BPRI"/>
    <n v="-123"/>
    <d v="2025-05-13T00:00:00"/>
    <s v="Règlement NDF"/>
    <m/>
    <e v="#N/A"/>
    <e v="#N/A"/>
    <n v="71989"/>
    <m/>
    <s v="Thibault Dejardin"/>
    <s v="Q2"/>
    <e v="#REF!"/>
    <e v="#REF!"/>
    <e v="#REF!"/>
  </r>
  <r>
    <s v="512100"/>
    <x v="6"/>
    <s v="BANQUE POPULAIRE RIVE DE PARIS"/>
    <s v="BPRI"/>
    <n v="-122.65"/>
    <d v="2025-05-23T00:00:00"/>
    <s v="Prélèvement Fournisseur"/>
    <m/>
    <e v="#N/A"/>
    <e v="#N/A"/>
    <n v="74079"/>
    <m/>
    <s v="DHL"/>
    <s v="Q2"/>
    <e v="#REF!"/>
    <e v="#REF!"/>
    <e v="#REF!"/>
  </r>
  <r>
    <s v="512100"/>
    <x v="6"/>
    <s v="BANQUE POPULAIRE RIVE DE PARIS"/>
    <s v="BPRI"/>
    <n v="-122.56"/>
    <d v="2025-02-06T00:00:00"/>
    <s v="EVI REMISE"/>
    <m/>
    <e v="#N/A"/>
    <e v="#N/A"/>
    <n v="21227"/>
    <s v="0GLHS0V"/>
    <s v="ROTH SOCHIEL"/>
    <s v="Q1"/>
    <e v="#REF!"/>
    <e v="#REF!"/>
    <e v="#REF!"/>
  </r>
  <r>
    <s v="512100"/>
    <x v="6"/>
    <s v="BANQUE POPULAIRE RIVE DE PARIS"/>
    <s v="BPRI"/>
    <n v="-121.81"/>
    <d v="2025-01-06T00:00:00"/>
    <s v="PRLV SEPA ENGIE"/>
    <m/>
    <e v="#N/A"/>
    <e v="#N/A"/>
    <n v="20893"/>
    <s v="06YGWF7"/>
    <s v="ENGIE"/>
    <s v="Q1"/>
    <e v="#REF!"/>
    <e v="#REF!"/>
    <e v="#REF!"/>
  </r>
  <r>
    <s v="512100"/>
    <x v="6"/>
    <s v="BANQUE POPULAIRE RIVE DE PARIS"/>
    <s v="BPRI"/>
    <n v="-120"/>
    <d v="2025-05-13T00:00:00"/>
    <s v="Règlement NDF"/>
    <m/>
    <e v="#N/A"/>
    <e v="#N/A"/>
    <n v="71986"/>
    <m/>
    <s v="Marie-Sarah Adenis"/>
    <s v="Q2"/>
    <e v="#REF!"/>
    <e v="#REF!"/>
    <e v="#REF!"/>
  </r>
  <r>
    <s v="437300"/>
    <x v="6"/>
    <s v="RETRAITE"/>
    <s v="SA"/>
    <n v="-3150.55"/>
    <d v="2025-03-31T00:00:00"/>
    <s v="CONTRIBUTION D'EQUILIBRE GÉNÉRAL TU1"/>
    <m/>
    <e v="#N/A"/>
    <e v="#N/A"/>
    <n v="80492"/>
    <s v="SA202503"/>
    <m/>
    <s v="Q1"/>
    <e v="#REF!"/>
    <e v="#REF!"/>
    <e v="#REF!"/>
  </r>
  <r>
    <s v="512100"/>
    <x v="6"/>
    <s v="BANQUE POPULAIRE RIVE DE PARIS"/>
    <s v="BPRI"/>
    <n v="-118.5"/>
    <d v="2025-02-26T00:00:00"/>
    <s v="JERBLA"/>
    <m/>
    <e v="#N/A"/>
    <e v="#N/A"/>
    <n v="21437"/>
    <s v="2807962"/>
    <s v="Jérémie Blache"/>
    <s v="Q1"/>
    <e v="#REF!"/>
    <e v="#REF!"/>
    <e v="#REF!"/>
  </r>
  <r>
    <s v="437300"/>
    <x v="6"/>
    <s v="RETRAITE"/>
    <s v="SA"/>
    <n v="-3112.47"/>
    <d v="2025-01-31T00:00:00"/>
    <s v="CONTRIBUTION D'EQUILIBRE GÉNÉRAL TU1"/>
    <m/>
    <e v="#N/A"/>
    <e v="#N/A"/>
    <n v="85384"/>
    <s v="SA202501"/>
    <m/>
    <s v="Q1"/>
    <e v="#REF!"/>
    <e v="#REF!"/>
    <e v="#REF!"/>
  </r>
  <r>
    <s v="512100"/>
    <x v="6"/>
    <s v="BANQUE POPULAIRE RIVE DE PARIS"/>
    <s v="BPRI"/>
    <n v="-114.21"/>
    <d v="2025-04-07T00:00:00"/>
    <s v="Prélèvement Engie"/>
    <m/>
    <e v="#N/A"/>
    <e v="#N/A"/>
    <n v="66599"/>
    <m/>
    <s v="ENGIE"/>
    <s v="Q2"/>
    <e v="#REF!"/>
    <e v="#REF!"/>
    <e v="#REF!"/>
  </r>
  <r>
    <s v="437300"/>
    <x v="6"/>
    <s v="RETRAITE"/>
    <s v="SA"/>
    <n v="-3087.52"/>
    <d v="2025-06-30T00:00:00"/>
    <s v="CONTRIBUTION D'EQUILIBRE GÉNÉRAL TU1"/>
    <m/>
    <e v="#N/A"/>
    <e v="#N/A"/>
    <n v="79983"/>
    <s v="SA202506"/>
    <m/>
    <s v="Q2"/>
    <e v="#REF!"/>
    <e v="#REF!"/>
    <e v="#REF!"/>
  </r>
  <r>
    <s v="512100"/>
    <x v="6"/>
    <s v="BANQUE POPULAIRE RIVE DE PARIS"/>
    <s v="BPRI"/>
    <n v="-111.6"/>
    <d v="2025-08-20T00:00:00"/>
    <s v="PRLV SEPA PREVALY"/>
    <m/>
    <e v="#N/A"/>
    <e v="#N/A"/>
    <n v="81549"/>
    <m/>
    <s v="PREVALY"/>
    <s v="Q3"/>
    <e v="#REF!"/>
    <e v="#REF!"/>
    <e v="#REF!"/>
  </r>
  <r>
    <s v="437300"/>
    <x v="6"/>
    <s v="RETRAITE"/>
    <s v="SA"/>
    <n v="-3066.96"/>
    <d v="2025-05-31T00:00:00"/>
    <s v="CONTRIBUTION D'EQUILIBRE GÉNÉRAL TU1"/>
    <m/>
    <e v="#N/A"/>
    <e v="#N/A"/>
    <n v="80152"/>
    <s v="SA202505"/>
    <m/>
    <s v="Q2"/>
    <e v="#REF!"/>
    <e v="#REF!"/>
    <e v="#REF!"/>
  </r>
  <r>
    <s v="512100"/>
    <x v="6"/>
    <s v="BANQUE POPULAIRE RIVE DE PARIS"/>
    <s v="BPRI"/>
    <n v="-111.45"/>
    <d v="2025-03-29T00:00:00"/>
    <s v="CB LOIMAS - Airbnb"/>
    <m/>
    <e v="#N/A"/>
    <e v="#N/A"/>
    <n v="66445"/>
    <m/>
    <s v="AIRBNB"/>
    <s v="Q1"/>
    <e v="#REF!"/>
    <e v="#REF!"/>
    <e v="#REF!"/>
  </r>
  <r>
    <s v="512100"/>
    <x v="6"/>
    <s v="BANQUE POPULAIRE RIVE DE PARIS"/>
    <s v="BPRI"/>
    <n v="-110.7"/>
    <d v="2025-01-13T00:00:00"/>
    <s v="Règlement NDF"/>
    <m/>
    <e v="#N/A"/>
    <e v="#N/A"/>
    <n v="20963"/>
    <s v="1105990"/>
    <s v="Yves Combret"/>
    <s v="Q1"/>
    <e v="#REF!"/>
    <e v="#REF!"/>
    <e v="#REF!"/>
  </r>
  <r>
    <s v="512100"/>
    <x v="6"/>
    <s v="BANQUE POPULAIRE RIVE DE PARIS"/>
    <s v="BPRI"/>
    <n v="-108.45"/>
    <d v="2025-03-10T00:00:00"/>
    <s v="Prélèvement fournisseur"/>
    <m/>
    <e v="#N/A"/>
    <e v="#N/A"/>
    <n v="60094"/>
    <m/>
    <s v="ENGIE"/>
    <s v="Q1"/>
    <e v="#REF!"/>
    <e v="#REF!"/>
    <e v="#REF!"/>
  </r>
  <r>
    <s v="512100"/>
    <x v="6"/>
    <s v="BANQUE POPULAIRE RIVE DE PARIS"/>
    <s v="BPRI"/>
    <n v="-108.32"/>
    <d v="2025-05-16T00:00:00"/>
    <s v="Règlement NDF"/>
    <m/>
    <e v="#N/A"/>
    <e v="#N/A"/>
    <n v="72817"/>
    <m/>
    <s v="Jérémie Blache"/>
    <s v="Q2"/>
    <e v="#REF!"/>
    <e v="#REF!"/>
    <e v="#REF!"/>
  </r>
  <r>
    <s v="512100"/>
    <x v="6"/>
    <s v="BANQUE POPULAIRE RIVE DE PARIS"/>
    <s v="BPRI"/>
    <n v="-108"/>
    <d v="2025-03-06T00:00:00"/>
    <s v="Règlement CB - SNCF"/>
    <m/>
    <e v="#N/A"/>
    <e v="#N/A"/>
    <n v="58996"/>
    <m/>
    <s v="SNCF"/>
    <s v="Q1"/>
    <e v="#REF!"/>
    <e v="#REF!"/>
    <e v="#REF!"/>
  </r>
  <r>
    <s v="512100"/>
    <x v="6"/>
    <s v="BANQUE POPULAIRE RIVE DE PARIS"/>
    <s v="BPRI"/>
    <n v="-108"/>
    <d v="2025-04-30T00:00:00"/>
    <s v="Règlement CB JERBLA"/>
    <m/>
    <e v="#N/A"/>
    <e v="#N/A"/>
    <n v="70641"/>
    <m/>
    <s v="SNCF"/>
    <s v="Q2"/>
    <e v="#REF!"/>
    <e v="#REF!"/>
    <e v="#REF!"/>
  </r>
  <r>
    <s v="512100"/>
    <x v="6"/>
    <s v="BANQUE POPULAIRE RIVE DE PARIS"/>
    <s v="BPRI"/>
    <n v="-107.99"/>
    <d v="2025-02-04T00:00:00"/>
    <s v="PRLV SEPA DATACAMPUS"/>
    <m/>
    <e v="#N/A"/>
    <e v="#N/A"/>
    <n v="21181"/>
    <s v="078MY4F"/>
    <s v="DATACAMPUS"/>
    <s v="Q1"/>
    <e v="#REF!"/>
    <e v="#REF!"/>
    <e v="#REF!"/>
  </r>
  <r>
    <s v="512100"/>
    <x v="6"/>
    <s v="BANQUE POPULAIRE RIVE DE PARIS"/>
    <s v="BPRI"/>
    <n v="-107.99"/>
    <d v="2025-02-19T00:00:00"/>
    <s v="PRLV SEPA DATACAMPUS"/>
    <m/>
    <e v="#N/A"/>
    <e v="#N/A"/>
    <n v="21371"/>
    <s v="07DW0F8"/>
    <s v="DATACAMPUS"/>
    <s v="Q1"/>
    <e v="#REF!"/>
    <e v="#REF!"/>
    <e v="#REF!"/>
  </r>
  <r>
    <s v="512100"/>
    <x v="6"/>
    <s v="BANQUE POPULAIRE RIVE DE PARIS"/>
    <s v="BPRI"/>
    <n v="-107.99"/>
    <d v="2025-03-21T00:00:00"/>
    <s v="Prélèvement fournisseurs"/>
    <m/>
    <e v="#N/A"/>
    <e v="#N/A"/>
    <n v="61897"/>
    <m/>
    <s v="DATACAMPUS"/>
    <s v="Q1"/>
    <e v="#REF!"/>
    <e v="#REF!"/>
    <e v="#REF!"/>
  </r>
  <r>
    <s v="512100"/>
    <x v="6"/>
    <s v="BANQUE POPULAIRE RIVE DE PARIS"/>
    <s v="BPRI"/>
    <n v="-107.99"/>
    <d v="2025-04-24T00:00:00"/>
    <s v="Prélèvement fournisseur"/>
    <m/>
    <e v="#N/A"/>
    <e v="#N/A"/>
    <n v="68534"/>
    <m/>
    <s v="DATACAMPUS"/>
    <s v="Q2"/>
    <e v="#REF!"/>
    <e v="#REF!"/>
    <e v="#REF!"/>
  </r>
  <r>
    <s v="512100"/>
    <x v="6"/>
    <s v="BANQUE POPULAIRE RIVE DE PARIS"/>
    <s v="BPRI"/>
    <n v="-107.99"/>
    <d v="2025-05-21T00:00:00"/>
    <s v="Prélèvement fournisseur"/>
    <m/>
    <e v="#N/A"/>
    <e v="#N/A"/>
    <n v="73912"/>
    <m/>
    <s v="DATACAMPUS"/>
    <s v="Q2"/>
    <e v="#REF!"/>
    <e v="#REF!"/>
    <e v="#REF!"/>
  </r>
  <r>
    <s v="512100"/>
    <x v="6"/>
    <s v="BANQUE POPULAIRE RIVE DE PARIS"/>
    <s v="BPRI"/>
    <n v="-107.99"/>
    <d v="2025-06-19T00:00:00"/>
    <s v="PRLV SEPA DATACAMPUS"/>
    <m/>
    <e v="#N/A"/>
    <e v="#N/A"/>
    <n v="76155"/>
    <m/>
    <s v="DATACAMPUS"/>
    <s v="Q2"/>
    <e v="#REF!"/>
    <e v="#REF!"/>
    <e v="#REF!"/>
  </r>
  <r>
    <s v="512100"/>
    <x v="6"/>
    <s v="BANQUE POPULAIRE RIVE DE PARIS"/>
    <s v="BPRI"/>
    <n v="-107.99"/>
    <d v="2025-07-08T00:00:00"/>
    <s v="PRLV SEPA DATACAMPUS"/>
    <m/>
    <e v="#N/A"/>
    <e v="#N/A"/>
    <n v="78446"/>
    <m/>
    <s v="DATACAMPUS"/>
    <s v="Q3"/>
    <e v="#REF!"/>
    <e v="#REF!"/>
    <e v="#REF!"/>
  </r>
  <r>
    <s v="512100"/>
    <x v="6"/>
    <s v="BANQUE POPULAIRE RIVE DE PARIS"/>
    <s v="BPRI"/>
    <n v="-107.99"/>
    <d v="2025-08-25T00:00:00"/>
    <s v="PRLV SEPA DATACAMPUS"/>
    <m/>
    <e v="#N/A"/>
    <e v="#N/A"/>
    <n v="81633"/>
    <m/>
    <s v="DATACAMPUS"/>
    <s v="Q3"/>
    <e v="#REF!"/>
    <e v="#REF!"/>
    <e v="#REF!"/>
  </r>
  <r>
    <s v="512100"/>
    <x v="6"/>
    <s v="BANQUE POPULAIRE RIVE DE PARIS"/>
    <s v="BPRI"/>
    <n v="-107.99"/>
    <d v="2025-09-25T00:00:00"/>
    <s v="PRLV SEPA DATACAMPUS"/>
    <m/>
    <e v="#N/A"/>
    <e v="#N/A"/>
    <n v="82600"/>
    <m/>
    <s v="DATACAMPUS"/>
    <s v="Q3"/>
    <e v="#REF!"/>
    <e v="#REF!"/>
    <e v="#REF!"/>
  </r>
  <r>
    <s v="437300"/>
    <x v="6"/>
    <s v="RETRAITE"/>
    <s v="SA"/>
    <n v="-3007"/>
    <d v="2025-04-30T00:00:00"/>
    <s v="CONTRIBUTION D'EQUILIBRE GÉNÉRAL TU1"/>
    <m/>
    <e v="#N/A"/>
    <e v="#N/A"/>
    <n v="80322"/>
    <s v="SA202504"/>
    <m/>
    <s v="Q2"/>
    <e v="#REF!"/>
    <e v="#REF!"/>
    <e v="#REF!"/>
  </r>
  <r>
    <s v="437300"/>
    <x v="6"/>
    <s v="RETRAITE"/>
    <s v="SA"/>
    <n v="-2927.96"/>
    <d v="2025-08-31T00:00:00"/>
    <s v="CONTRIBUTION D'EQUILIBRE GÉNÉRAL TU1"/>
    <m/>
    <e v="#N/A"/>
    <e v="#N/A"/>
    <n v="83928"/>
    <s v="SA202508"/>
    <m/>
    <s v="Q3"/>
    <e v="#REF!"/>
    <e v="#REF!"/>
    <e v="#REF!"/>
  </r>
  <r>
    <s v="437300"/>
    <x v="6"/>
    <s v="RETRAITE"/>
    <s v="SA"/>
    <n v="-1230.48"/>
    <d v="2025-09-30T00:00:00"/>
    <s v="CONTRIBUTION D'EQUILIBRE GÉNÉRAL TU1"/>
    <m/>
    <e v="#N/A"/>
    <e v="#N/A"/>
    <n v="84101"/>
    <s v="SA202509"/>
    <m/>
    <s v="Q3"/>
    <e v="#REF!"/>
    <e v="#REF!"/>
    <e v="#REF!"/>
  </r>
  <r>
    <s v="512100"/>
    <x v="6"/>
    <s v="BANQUE POPULAIRE RIVE DE PARIS"/>
    <s v="BPRI"/>
    <n v="-107.4"/>
    <d v="2025-03-10T00:00:00"/>
    <s v="Règlement NDF"/>
    <m/>
    <e v="#N/A"/>
    <e v="#N/A"/>
    <n v="60061"/>
    <m/>
    <s v="Jérémie Blache"/>
    <s v="Q1"/>
    <e v="#REF!"/>
    <e v="#REF!"/>
    <e v="#REF!"/>
  </r>
  <r>
    <s v="512100"/>
    <x v="6"/>
    <s v="BANQUE POPULAIRE RIVE DE PARIS"/>
    <s v="BPRI"/>
    <n v="-107.17"/>
    <d v="2025-05-16T00:00:00"/>
    <s v="Prélèvement DHL"/>
    <m/>
    <e v="#N/A"/>
    <e v="#N/A"/>
    <n v="72841"/>
    <m/>
    <s v="DHL"/>
    <s v="Q2"/>
    <e v="#REF!"/>
    <e v="#REF!"/>
    <e v="#REF!"/>
  </r>
  <r>
    <s v="512100"/>
    <x v="6"/>
    <s v="BANQUE POPULAIRE RIVE DE PARIS"/>
    <s v="BPRI"/>
    <n v="-101"/>
    <d v="2025-04-30T00:00:00"/>
    <s v="Règlement CB JERBLA"/>
    <m/>
    <e v="#N/A"/>
    <e v="#N/A"/>
    <n v="70638"/>
    <m/>
    <s v="SNCF"/>
    <s v="Q2"/>
    <e v="#REF!"/>
    <e v="#REF!"/>
    <e v="#REF!"/>
  </r>
  <r>
    <s v="512100"/>
    <x v="6"/>
    <s v="BANQUE POPULAIRE RIVE DE PARIS"/>
    <s v="BPRI"/>
    <n v="-101"/>
    <d v="2025-06-06T00:00:00"/>
    <s v="Règlement CB - SNCF"/>
    <m/>
    <e v="#N/A"/>
    <e v="#N/A"/>
    <n v="75640"/>
    <m/>
    <s v="SNCF"/>
    <s v="Q2"/>
    <e v="#REF!"/>
    <e v="#REF!"/>
    <e v="#REF!"/>
  </r>
  <r>
    <s v="512100"/>
    <x v="6"/>
    <s v="BANQUE POPULAIRE RIVE DE PARIS"/>
    <s v="BPRI"/>
    <n v="-101"/>
    <d v="2025-06-16T00:00:00"/>
    <s v="CB SNCF-VOYAGEURS"/>
    <m/>
    <e v="#N/A"/>
    <e v="#N/A"/>
    <n v="76082"/>
    <m/>
    <s v="SNCF"/>
    <s v="Q2"/>
    <e v="#REF!"/>
    <e v="#REF!"/>
    <e v="#REF!"/>
  </r>
  <r>
    <s v="512100"/>
    <x v="6"/>
    <s v="BANQUE POPULAIRE RIVE DE PARIS"/>
    <s v="BPRI"/>
    <n v="-101"/>
    <d v="2025-06-16T00:00:00"/>
    <s v="CB SNCF-VOYAGEURS"/>
    <m/>
    <e v="#N/A"/>
    <e v="#N/A"/>
    <n v="76085"/>
    <m/>
    <s v="SNCF"/>
    <s v="Q2"/>
    <e v="#REF!"/>
    <e v="#REF!"/>
    <e v="#REF!"/>
  </r>
  <r>
    <s v="512100"/>
    <x v="6"/>
    <s v="BANQUE POPULAIRE RIVE DE PARIS"/>
    <s v="BPRI"/>
    <n v="-100"/>
    <d v="2025-05-13T00:00:00"/>
    <s v="Règlement NDF"/>
    <m/>
    <e v="#N/A"/>
    <e v="#N/A"/>
    <n v="71980"/>
    <m/>
    <s v="Jérémie Blache"/>
    <s v="Q2"/>
    <e v="#REF!"/>
    <e v="#REF!"/>
    <e v="#REF!"/>
  </r>
  <r>
    <s v="512100"/>
    <x v="6"/>
    <s v="BANQUE POPULAIRE RIVE DE PARIS"/>
    <s v="BPRI"/>
    <n v="-96.58"/>
    <d v="2025-04-25T00:00:00"/>
    <s v="Règlement NDF"/>
    <m/>
    <e v="#N/A"/>
    <e v="#N/A"/>
    <n v="70223"/>
    <m/>
    <s v="Loic masseboeuf"/>
    <s v="Q2"/>
    <e v="#REF!"/>
    <e v="#REF!"/>
    <e v="#REF!"/>
  </r>
  <r>
    <s v="512100"/>
    <x v="6"/>
    <s v="BANQUE POPULAIRE RIVE DE PARIS"/>
    <s v="BPRI"/>
    <n v="-96.42"/>
    <d v="2025-01-20T00:00:00"/>
    <s v="EVI PEROCHEAU CLEMENT"/>
    <m/>
    <e v="#N/A"/>
    <e v="#N/A"/>
    <n v="21027"/>
    <s v="1363511"/>
    <s v="Clément Perrocheau"/>
    <s v="Q1"/>
    <e v="#REF!"/>
    <e v="#REF!"/>
    <e v="#REF!"/>
  </r>
  <r>
    <s v="512100"/>
    <x v="6"/>
    <s v="BANQUE POPULAIRE RIVE DE PARIS"/>
    <s v="BPRI"/>
    <n v="-95.14"/>
    <d v="2025-01-07T00:00:00"/>
    <s v="COTIS FREQUENCE PRO"/>
    <m/>
    <e v="#N/A"/>
    <e v="#N/A"/>
    <n v="20901"/>
    <s v="5339"/>
    <s v="Banque Populaire Rive de Paris"/>
    <s v="Q1"/>
    <e v="#REF!"/>
    <e v="#REF!"/>
    <e v="#REF!"/>
  </r>
  <r>
    <s v="512100"/>
    <x v="6"/>
    <s v="BANQUE POPULAIRE RIVE DE PARIS"/>
    <s v="BPRI"/>
    <n v="-95.14"/>
    <d v="2025-02-06T00:00:00"/>
    <s v="COTIS FREQUENCE PRO"/>
    <m/>
    <e v="#N/A"/>
    <e v="#N/A"/>
    <n v="21221"/>
    <s v="12013"/>
    <s v="Banque Populaire Rive de Paris"/>
    <s v="Q1"/>
    <e v="#REF!"/>
    <e v="#REF!"/>
    <e v="#REF!"/>
  </r>
  <r>
    <s v="512100"/>
    <x v="6"/>
    <s v="BANQUE POPULAIRE RIVE DE PARIS"/>
    <s v="BPRI"/>
    <n v="-95.14"/>
    <d v="2025-03-06T00:00:00"/>
    <s v="Frais Bancaires"/>
    <m/>
    <e v="#N/A"/>
    <e v="#N/A"/>
    <n v="58834"/>
    <m/>
    <s v="Banque Populaire Rive de Paris"/>
    <s v="Q1"/>
    <e v="#REF!"/>
    <e v="#REF!"/>
    <e v="#REF!"/>
  </r>
  <r>
    <s v="512100"/>
    <x v="6"/>
    <s v="BANQUE POPULAIRE RIVE DE PARIS"/>
    <s v="BPRI"/>
    <n v="-95.14"/>
    <d v="2025-04-08T00:00:00"/>
    <s v="Prélèvement Frais bancaires"/>
    <m/>
    <e v="#N/A"/>
    <e v="#N/A"/>
    <n v="66713"/>
    <m/>
    <s v="Banque Populaire Rive de Paris"/>
    <s v="Q2"/>
    <e v="#REF!"/>
    <e v="#REF!"/>
    <e v="#REF!"/>
  </r>
  <r>
    <s v="512100"/>
    <x v="6"/>
    <s v="BANQUE POPULAIRE RIVE DE PARIS"/>
    <s v="BPRI"/>
    <n v="-95.14"/>
    <d v="2025-05-08T00:00:00"/>
    <s v="Prélèvement Frais bancaires"/>
    <m/>
    <e v="#N/A"/>
    <e v="#N/A"/>
    <n v="71717"/>
    <m/>
    <s v="Banque Populaire Rive de Paris"/>
    <s v="Q2"/>
    <e v="#REF!"/>
    <e v="#REF!"/>
    <e v="#REF!"/>
  </r>
  <r>
    <s v="512100"/>
    <x v="6"/>
    <s v="BANQUE POPULAIRE RIVE DE PARIS"/>
    <s v="BPRI"/>
    <n v="-95.14"/>
    <d v="2025-06-06T00:00:00"/>
    <s v="PREL - Cotisation Frequence Pro"/>
    <m/>
    <e v="#N/A"/>
    <e v="#N/A"/>
    <n v="75638"/>
    <m/>
    <s v="Banque Populaire Rive de Paris"/>
    <s v="Q2"/>
    <e v="#REF!"/>
    <e v="#REF!"/>
    <e v="#REF!"/>
  </r>
  <r>
    <s v="512100"/>
    <x v="6"/>
    <s v="BANQUE POPULAIRE RIVE DE PARIS"/>
    <s v="BPRI"/>
    <n v="-95.14"/>
    <d v="2025-07-08T00:00:00"/>
    <s v="COTIS FREQUENCE PRO"/>
    <m/>
    <e v="#N/A"/>
    <e v="#N/A"/>
    <n v="77208"/>
    <m/>
    <m/>
    <s v="Q3"/>
    <e v="#REF!"/>
    <e v="#REF!"/>
    <e v="#REF!"/>
  </r>
  <r>
    <s v="512100"/>
    <x v="6"/>
    <s v="BANQUE POPULAIRE RIVE DE PARIS"/>
    <s v="BPRI"/>
    <n v="-95.14"/>
    <d v="2025-08-06T00:00:00"/>
    <s v="COTIS FREQUENCE PRO"/>
    <m/>
    <e v="#N/A"/>
    <e v="#N/A"/>
    <n v="80713"/>
    <m/>
    <m/>
    <s v="Q3"/>
    <e v="#REF!"/>
    <e v="#REF!"/>
    <e v="#REF!"/>
  </r>
  <r>
    <s v="512100"/>
    <x v="6"/>
    <s v="BANQUE POPULAIRE RIVE DE PARIS"/>
    <s v="BPRI"/>
    <n v="-95.14"/>
    <d v="2025-09-06T00:00:00"/>
    <s v="COTIS FREQUENCE PRO"/>
    <m/>
    <e v="#N/A"/>
    <e v="#N/A"/>
    <n v="82131"/>
    <m/>
    <s v="Banque Populaire Rive de Paris"/>
    <s v="Q3"/>
    <e v="#REF!"/>
    <e v="#REF!"/>
    <e v="#REF!"/>
  </r>
  <r>
    <s v="437300"/>
    <x v="6"/>
    <s v="RETRAITE"/>
    <s v="SA"/>
    <n v="-1177.6500000000001"/>
    <d v="2025-10-31T00:00:00"/>
    <s v="CONTRIBUTION D'EQUILIBRE GÉNÉRAL TU1"/>
    <m/>
    <e v="#N/A"/>
    <e v="#N/A"/>
    <n v="87766"/>
    <s v="SA202510"/>
    <m/>
    <s v="Q4"/>
    <e v="#REF!"/>
    <e v="#REF!"/>
    <e v="#REF!"/>
  </r>
  <r>
    <s v="437300"/>
    <x v="6"/>
    <s v="RETRAITE"/>
    <s v="SA"/>
    <n v="-1177.28"/>
    <d v="2025-11-30T00:00:00"/>
    <s v="CONTRIBUTION D'EQUILIBRE GÉNÉRAL TU1"/>
    <m/>
    <e v="#N/A"/>
    <e v="#N/A"/>
    <n v="92275"/>
    <s v="SA202511"/>
    <m/>
    <s v="Q4"/>
    <e v="#REF!"/>
    <e v="#REF!"/>
    <e v="#REF!"/>
  </r>
  <r>
    <s v="437300"/>
    <x v="6"/>
    <s v="RETRAITE"/>
    <s v="SA"/>
    <n v="-1158.6099999999999"/>
    <d v="2025-12-31T00:00:00"/>
    <s v="CONTRIBUTION D'EQUILIBRE GÉNÉRAL TU1"/>
    <m/>
    <e v="#N/A"/>
    <e v="#N/A"/>
    <n v="92734"/>
    <s v="SA202512"/>
    <m/>
    <s v="Q4"/>
    <e v="#REF!"/>
    <e v="#REF!"/>
    <e v="#REF!"/>
  </r>
  <r>
    <s v="512100"/>
    <x v="6"/>
    <s v="BANQUE POPULAIRE RIVE DE PARIS"/>
    <s v="BPRI"/>
    <n v="-94.17"/>
    <d v="2025-01-14T00:00:00"/>
    <s v="130125 CB    6880"/>
    <m/>
    <e v="#N/A"/>
    <e v="#N/A"/>
    <n v="20981"/>
    <s v="0OB9RVJ"/>
    <s v="AIRBNB"/>
    <s v="Q1"/>
    <e v="#REF!"/>
    <e v="#REF!"/>
    <e v="#REF!"/>
  </r>
  <r>
    <s v="512100"/>
    <x v="6"/>
    <s v="BANQUE POPULAIRE RIVE DE PARIS"/>
    <s v="BPRI"/>
    <n v="-93.78"/>
    <d v="2025-05-13T00:00:00"/>
    <s v="Règlement NDF"/>
    <m/>
    <e v="#N/A"/>
    <e v="#N/A"/>
    <n v="71977"/>
    <m/>
    <s v="Jérémie Blache"/>
    <s v="Q2"/>
    <e v="#REF!"/>
    <e v="#REF!"/>
    <e v="#REF!"/>
  </r>
  <r>
    <s v="645300"/>
    <x v="6"/>
    <s v="COTISATIONS AUX CAISSES DE RETRAITE"/>
    <s v="SA"/>
    <n v="126.26"/>
    <d v="2025-01-31T00:00:00"/>
    <s v="CONTRIBUTION D'EQUILIBRE GÉNÉRAL TU1"/>
    <m/>
    <e v="#N/A"/>
    <e v="#N/A"/>
    <n v="85522"/>
    <s v="SA202501"/>
    <m/>
    <s v="Q1"/>
    <e v="#REF!"/>
    <e v="#REF!"/>
    <e v="#REF!"/>
  </r>
  <r>
    <s v="512100"/>
    <x v="6"/>
    <s v="BANQUE POPULAIRE RIVE DE PARIS"/>
    <s v="BPRI"/>
    <n v="-91.95"/>
    <d v="2025-04-29T00:00:00"/>
    <s v="Règlement NDF"/>
    <m/>
    <e v="#N/A"/>
    <e v="#N/A"/>
    <n v="70505"/>
    <m/>
    <s v="Océane Chabret"/>
    <s v="Q2"/>
    <e v="#REF!"/>
    <e v="#REF!"/>
    <e v="#REF!"/>
  </r>
  <r>
    <s v="512100"/>
    <x v="6"/>
    <s v="BANQUE POPULAIRE RIVE DE PARIS"/>
    <s v="BPRI"/>
    <n v="-91.5"/>
    <d v="2025-07-25T00:00:00"/>
    <s v="PRLV SEPA DHL INTERNAT. EXP FRA"/>
    <m/>
    <e v="#N/A"/>
    <e v="#N/A"/>
    <n v="78953"/>
    <m/>
    <s v="DHL"/>
    <s v="Q3"/>
    <e v="#REF!"/>
    <e v="#REF!"/>
    <e v="#REF!"/>
  </r>
  <r>
    <s v="512100"/>
    <x v="6"/>
    <s v="BANQUE POPULAIRE RIVE DE PARIS"/>
    <s v="BPRI"/>
    <n v="-91"/>
    <d v="2025-03-24T00:00:00"/>
    <s v="Règlement Note de frais"/>
    <m/>
    <e v="#N/A"/>
    <e v="#N/A"/>
    <n v="64496"/>
    <m/>
    <s v="Julie Lacondemine"/>
    <s v="Q1"/>
    <e v="#REF!"/>
    <e v="#REF!"/>
    <e v="#REF!"/>
  </r>
  <r>
    <s v="512100"/>
    <x v="6"/>
    <s v="BANQUE POPULAIRE RIVE DE PARIS"/>
    <s v="BPRI"/>
    <n v="-90"/>
    <d v="2025-02-28T00:00:00"/>
    <s v="Règlement fournisseurs"/>
    <m/>
    <e v="#N/A"/>
    <e v="#N/A"/>
    <n v="58915"/>
    <m/>
    <s v="GROUPE CHAUMEIL"/>
    <s v="Q1"/>
    <e v="#REF!"/>
    <e v="#REF!"/>
    <e v="#REF!"/>
  </r>
  <r>
    <s v="512100"/>
    <x v="6"/>
    <s v="BANQUE POPULAIRE RIVE DE PARIS"/>
    <s v="BPRI"/>
    <n v="-89.65"/>
    <d v="2025-02-21T00:00:00"/>
    <s v="PRLV SEPA DHL INTERNAT. EXP FRA"/>
    <m/>
    <e v="#N/A"/>
    <e v="#N/A"/>
    <n v="21389"/>
    <s v="07EGT8P"/>
    <s v="DHL"/>
    <s v="Q1"/>
    <e v="#REF!"/>
    <e v="#REF!"/>
    <e v="#REF!"/>
  </r>
  <r>
    <s v="512100"/>
    <x v="6"/>
    <s v="BANQUE POPULAIRE RIVE DE PARIS"/>
    <s v="BPRI"/>
    <n v="-88.53"/>
    <d v="2025-05-13T00:00:00"/>
    <s v="Règlement NDF"/>
    <m/>
    <e v="#N/A"/>
    <e v="#N/A"/>
    <n v="71974"/>
    <m/>
    <s v="Jérémie Blache"/>
    <s v="Q2"/>
    <e v="#REF!"/>
    <e v="#REF!"/>
    <e v="#REF!"/>
  </r>
  <r>
    <s v="512100"/>
    <x v="6"/>
    <s v="BANQUE POPULAIRE RIVE DE PARIS"/>
    <s v="BPRI"/>
    <n v="-88"/>
    <d v="2025-01-23T00:00:00"/>
    <s v="220125 CB    3583"/>
    <m/>
    <e v="#N/A"/>
    <e v="#N/A"/>
    <n v="21069"/>
    <s v="13746JY"/>
    <m/>
    <s v="Q1"/>
    <e v="#REF!"/>
    <e v="#REF!"/>
    <e v="#REF!"/>
  </r>
  <r>
    <s v="512100"/>
    <x v="6"/>
    <s v="BANQUE POPULAIRE RIVE DE PARIS"/>
    <s v="BPRI"/>
    <n v="-88"/>
    <d v="2025-02-06T00:00:00"/>
    <s v="PRLV SEPA HOPER"/>
    <m/>
    <e v="#N/A"/>
    <e v="#N/A"/>
    <n v="21223"/>
    <s v="079W6ML"/>
    <s v="HOPER"/>
    <s v="Q1"/>
    <e v="#REF!"/>
    <e v="#REF!"/>
    <e v="#REF!"/>
  </r>
  <r>
    <s v="512100"/>
    <x v="6"/>
    <s v="BANQUE POPULAIRE RIVE DE PARIS"/>
    <s v="BPRI"/>
    <n v="-88"/>
    <d v="2025-03-06T00:00:00"/>
    <s v="Prélèvement HOPER"/>
    <m/>
    <e v="#N/A"/>
    <e v="#N/A"/>
    <n v="58831"/>
    <m/>
    <s v="HOPER"/>
    <s v="Q1"/>
    <e v="#REF!"/>
    <e v="#REF!"/>
    <e v="#REF!"/>
  </r>
  <r>
    <s v="512100"/>
    <x v="6"/>
    <s v="BANQUE POPULAIRE RIVE DE PARIS"/>
    <s v="BPRI"/>
    <n v="-86.28"/>
    <d v="2025-07-18T00:00:00"/>
    <s v="Comptabilisation du bordereau nr. 222"/>
    <m/>
    <e v="#N/A"/>
    <e v="#N/A"/>
    <n v="78272"/>
    <m/>
    <s v="Sigma-Aldrich chimie"/>
    <s v="Q3"/>
    <e v="#REF!"/>
    <e v="#REF!"/>
    <e v="#REF!"/>
  </r>
  <r>
    <s v="512100"/>
    <x v="6"/>
    <s v="BANQUE POPULAIRE RIVE DE PARIS"/>
    <s v="BPRI"/>
    <n v="-86"/>
    <d v="2025-02-19T00:00:00"/>
    <s v="EVI REMISE"/>
    <m/>
    <e v="#N/A"/>
    <e v="#N/A"/>
    <n v="21373"/>
    <s v="0GLKQ3Q"/>
    <s v="BLD PHARMATECH"/>
    <s v="Q1"/>
    <e v="#REF!"/>
    <e v="#REF!"/>
    <e v="#REF!"/>
  </r>
  <r>
    <s v="645300"/>
    <x v="6"/>
    <s v="COTISATIONS AUX CAISSES DE RETRAITE"/>
    <s v="SA"/>
    <n v="128.74"/>
    <d v="2025-03-31T00:00:00"/>
    <s v="CONTRIBUTION D'EQUILIBRE GÉNÉRAL TU1"/>
    <m/>
    <e v="#N/A"/>
    <e v="#N/A"/>
    <n v="80631"/>
    <s v="SA202503"/>
    <m/>
    <s v="Q1"/>
    <e v="#REF!"/>
    <e v="#REF!"/>
    <e v="#REF!"/>
  </r>
  <r>
    <s v="512100"/>
    <x v="6"/>
    <s v="BANQUE POPULAIRE RIVE DE PARIS"/>
    <s v="BPRI"/>
    <n v="-82.78"/>
    <d v="2025-04-22T00:00:00"/>
    <s v="Prélèvement Fournisseur"/>
    <m/>
    <e v="#N/A"/>
    <e v="#N/A"/>
    <n v="68202"/>
    <m/>
    <s v="DHL"/>
    <s v="Q2"/>
    <e v="#REF!"/>
    <e v="#REF!"/>
    <e v="#REF!"/>
  </r>
  <r>
    <s v="512100"/>
    <x v="6"/>
    <s v="BANQUE POPULAIRE RIVE DE PARIS"/>
    <s v="BPRI"/>
    <n v="-82.21"/>
    <d v="2025-04-29T00:00:00"/>
    <s v="Règlement NDF"/>
    <m/>
    <e v="#N/A"/>
    <e v="#N/A"/>
    <n v="70508"/>
    <m/>
    <s v="Jérémie Blache"/>
    <s v="Q2"/>
    <e v="#REF!"/>
    <e v="#REF!"/>
    <e v="#REF!"/>
  </r>
  <r>
    <s v="512100"/>
    <x v="6"/>
    <s v="BANQUE POPULAIRE RIVE DE PARIS"/>
    <s v="BPRI"/>
    <n v="-81.7"/>
    <d v="2025-04-01T00:00:00"/>
    <s v="Prélèvement DHL"/>
    <m/>
    <e v="#N/A"/>
    <e v="#N/A"/>
    <n v="66447"/>
    <m/>
    <s v="DHL"/>
    <s v="Q2"/>
    <e v="#REF!"/>
    <e v="#REF!"/>
    <e v="#REF!"/>
  </r>
  <r>
    <s v="512100"/>
    <x v="6"/>
    <s v="BANQUE POPULAIRE RIVE DE PARIS"/>
    <s v="BPRI"/>
    <n v="-79.47"/>
    <d v="2025-02-24T00:00:00"/>
    <s v="PRLV SEPA B2V GESTION GU COTISA"/>
    <m/>
    <e v="#N/A"/>
    <e v="#N/A"/>
    <n v="21404"/>
    <s v="07EPI13"/>
    <m/>
    <s v="Q1"/>
    <e v="#REF!"/>
    <e v="#REF!"/>
    <e v="#REF!"/>
  </r>
  <r>
    <s v="512100"/>
    <x v="6"/>
    <s v="BANQUE POPULAIRE RIVE DE PARIS"/>
    <s v="BPRI"/>
    <n v="-79.2"/>
    <d v="2025-04-11T00:00:00"/>
    <s v="CB Loimas - La Comète"/>
    <m/>
    <s v="Non"/>
    <e v="#N/A"/>
    <n v="66734"/>
    <m/>
    <s v="DIVERS"/>
    <s v="Q2"/>
    <e v="#REF!"/>
    <e v="#REF!"/>
    <e v="#REF!"/>
  </r>
  <r>
    <s v="512100"/>
    <x v="6"/>
    <s v="BANQUE POPULAIRE RIVE DE PARIS"/>
    <s v="BPRI"/>
    <n v="-79"/>
    <d v="2025-02-12T00:00:00"/>
    <s v="110225 CB    3583"/>
    <m/>
    <e v="#N/A"/>
    <e v="#N/A"/>
    <n v="21295"/>
    <s v="209V438"/>
    <m/>
    <s v="Q1"/>
    <e v="#REF!"/>
    <e v="#REF!"/>
    <e v="#REF!"/>
  </r>
  <r>
    <s v="512100"/>
    <x v="6"/>
    <s v="BANQUE POPULAIRE RIVE DE PARIS"/>
    <s v="BPRI"/>
    <n v="-78"/>
    <d v="2025-01-04T00:00:00"/>
    <s v="030125 CB    6880"/>
    <m/>
    <e v="#N/A"/>
    <e v="#N/A"/>
    <n v="20887"/>
    <s v="07RWSW9"/>
    <s v="SNCF"/>
    <s v="Q1"/>
    <e v="#REF!"/>
    <e v="#REF!"/>
    <e v="#REF!"/>
  </r>
  <r>
    <s v="512100"/>
    <x v="6"/>
    <s v="BANQUE POPULAIRE RIVE DE PARIS"/>
    <s v="BPRI"/>
    <n v="-75.849999999999994"/>
    <d v="2025-04-25T00:00:00"/>
    <s v="Comptabilisation du bordereau nr. 103"/>
    <m/>
    <e v="#N/A"/>
    <e v="#N/A"/>
    <n v="70206"/>
    <m/>
    <s v="VWR AVANTOR"/>
    <s v="Q2"/>
    <e v="#REF!"/>
    <e v="#REF!"/>
    <e v="#REF!"/>
  </r>
  <r>
    <s v="645300"/>
    <x v="6"/>
    <s v="COTISATIONS AUX CAISSES DE RETRAITE"/>
    <s v="SA"/>
    <n v="128.74"/>
    <d v="2025-04-30T00:00:00"/>
    <s v="CONTRIBUTION D'EQUILIBRE GÉNÉRAL TU1"/>
    <m/>
    <e v="#N/A"/>
    <e v="#N/A"/>
    <n v="80458"/>
    <s v="SA202504"/>
    <m/>
    <s v="Q2"/>
    <e v="#REF!"/>
    <e v="#REF!"/>
    <e v="#REF!"/>
  </r>
  <r>
    <s v="512100"/>
    <x v="6"/>
    <s v="BANQUE POPULAIRE RIVE DE PARIS"/>
    <s v="BPRI"/>
    <n v="-74.8"/>
    <d v="2025-04-30T00:00:00"/>
    <s v="Règlement CB JERBLA"/>
    <m/>
    <e v="#N/A"/>
    <e v="#N/A"/>
    <n v="70647"/>
    <m/>
    <s v="SNCF"/>
    <s v="Q2"/>
    <e v="#REF!"/>
    <e v="#REF!"/>
    <e v="#REF!"/>
  </r>
  <r>
    <s v="512100"/>
    <x v="6"/>
    <s v="BANQUE POPULAIRE RIVE DE PARIS"/>
    <s v="BPRI"/>
    <n v="-73.63"/>
    <d v="2025-09-30T00:00:00"/>
    <s v="PRLV SEPA DHL INTERNAT. EXP FRA/"/>
    <m/>
    <e v="#N/A"/>
    <e v="#N/A"/>
    <n v="82656"/>
    <m/>
    <s v="DHL"/>
    <s v="Q3"/>
    <e v="#REF!"/>
    <e v="#REF!"/>
    <e v="#REF!"/>
  </r>
  <r>
    <s v="512100"/>
    <x v="6"/>
    <s v="BANQUE POPULAIRE RIVE DE PARIS"/>
    <s v="BPRI"/>
    <n v="-73"/>
    <d v="2025-01-10T00:00:00"/>
    <s v="090125 CB    3583"/>
    <m/>
    <e v="#N/A"/>
    <e v="#N/A"/>
    <n v="20951"/>
    <s v="0HP4Q2U"/>
    <s v="SNCF"/>
    <s v="Q1"/>
    <e v="#REF!"/>
    <e v="#REF!"/>
    <e v="#REF!"/>
  </r>
  <r>
    <s v="512100"/>
    <x v="6"/>
    <s v="BANQUE POPULAIRE RIVE DE PARIS"/>
    <s v="BPRI"/>
    <n v="-73"/>
    <d v="2025-01-10T00:00:00"/>
    <s v="090125 CB    3583"/>
    <m/>
    <e v="#N/A"/>
    <e v="#N/A"/>
    <n v="20953"/>
    <s v="0HP4Q2V"/>
    <s v="SNCF"/>
    <s v="Q1"/>
    <e v="#REF!"/>
    <e v="#REF!"/>
    <e v="#REF!"/>
  </r>
  <r>
    <s v="512100"/>
    <x v="6"/>
    <s v="BANQUE POPULAIRE RIVE DE PARIS"/>
    <s v="BPRI"/>
    <n v="-73"/>
    <d v="2025-01-23T00:00:00"/>
    <s v="220125 CB    3583"/>
    <m/>
    <e v="#N/A"/>
    <e v="#N/A"/>
    <n v="21059"/>
    <s v="13746JT"/>
    <m/>
    <s v="Q1"/>
    <e v="#REF!"/>
    <e v="#REF!"/>
    <e v="#REF!"/>
  </r>
  <r>
    <s v="512100"/>
    <x v="6"/>
    <s v="BANQUE POPULAIRE RIVE DE PARIS"/>
    <s v="BPRI"/>
    <n v="-73"/>
    <d v="2025-01-23T00:00:00"/>
    <s v="220125 CB    3583"/>
    <m/>
    <e v="#N/A"/>
    <e v="#N/A"/>
    <n v="21061"/>
    <s v="13746JU"/>
    <m/>
    <s v="Q1"/>
    <e v="#REF!"/>
    <e v="#REF!"/>
    <e v="#REF!"/>
  </r>
  <r>
    <s v="512100"/>
    <x v="6"/>
    <s v="BANQUE POPULAIRE RIVE DE PARIS"/>
    <s v="BPRI"/>
    <n v="-73"/>
    <d v="2025-01-23T00:00:00"/>
    <s v="220125 CB    3583"/>
    <m/>
    <e v="#N/A"/>
    <e v="#N/A"/>
    <n v="21063"/>
    <s v="13746JV"/>
    <m/>
    <s v="Q1"/>
    <e v="#REF!"/>
    <e v="#REF!"/>
    <e v="#REF!"/>
  </r>
  <r>
    <s v="512100"/>
    <x v="6"/>
    <s v="BANQUE POPULAIRE RIVE DE PARIS"/>
    <s v="BPRI"/>
    <n v="-73"/>
    <d v="2025-01-23T00:00:00"/>
    <s v="220125 CB    3583"/>
    <m/>
    <e v="#N/A"/>
    <e v="#N/A"/>
    <n v="21065"/>
    <s v="13746JW"/>
    <m/>
    <s v="Q1"/>
    <e v="#REF!"/>
    <e v="#REF!"/>
    <e v="#REF!"/>
  </r>
  <r>
    <s v="512100"/>
    <x v="6"/>
    <s v="BANQUE POPULAIRE RIVE DE PARIS"/>
    <s v="BPRI"/>
    <n v="-73"/>
    <d v="2025-01-23T00:00:00"/>
    <s v="220125 CB    3583"/>
    <m/>
    <e v="#N/A"/>
    <e v="#N/A"/>
    <n v="21067"/>
    <s v="13746JX"/>
    <m/>
    <s v="Q1"/>
    <e v="#REF!"/>
    <e v="#REF!"/>
    <e v="#REF!"/>
  </r>
  <r>
    <s v="512100"/>
    <x v="6"/>
    <s v="BANQUE POPULAIRE RIVE DE PARIS"/>
    <s v="BPRI"/>
    <n v="-73"/>
    <d v="2025-02-12T00:00:00"/>
    <s v="110225 CB    3583"/>
    <m/>
    <e v="#N/A"/>
    <e v="#N/A"/>
    <n v="21291"/>
    <s v="209V436"/>
    <s v="Jérémie Blache"/>
    <s v="Q1"/>
    <e v="#REF!"/>
    <e v="#REF!"/>
    <e v="#REF!"/>
  </r>
  <r>
    <s v="512100"/>
    <x v="6"/>
    <s v="BANQUE POPULAIRE RIVE DE PARIS"/>
    <s v="BPRI"/>
    <n v="-73"/>
    <d v="2025-02-12T00:00:00"/>
    <s v="110225 CB    3583"/>
    <m/>
    <e v="#N/A"/>
    <e v="#N/A"/>
    <n v="21293"/>
    <s v="209V437"/>
    <s v="Jérémie Blache"/>
    <s v="Q1"/>
    <e v="#REF!"/>
    <e v="#REF!"/>
    <e v="#REF!"/>
  </r>
  <r>
    <s v="512100"/>
    <x v="6"/>
    <s v="BANQUE POPULAIRE RIVE DE PARIS"/>
    <s v="BPRI"/>
    <n v="-73"/>
    <d v="2025-03-13T00:00:00"/>
    <s v="Paiement SNCF - CB"/>
    <m/>
    <e v="#N/A"/>
    <e v="#N/A"/>
    <n v="61635"/>
    <m/>
    <s v="SNCF"/>
    <s v="Q1"/>
    <e v="#REF!"/>
    <e v="#REF!"/>
    <e v="#REF!"/>
  </r>
  <r>
    <s v="512100"/>
    <x v="6"/>
    <s v="BANQUE POPULAIRE RIVE DE PARIS"/>
    <s v="BPRI"/>
    <n v="-73"/>
    <d v="2025-03-13T00:00:00"/>
    <s v="Paiement SNCF - CB"/>
    <m/>
    <e v="#N/A"/>
    <e v="#N/A"/>
    <n v="61638"/>
    <m/>
    <s v="SNCF"/>
    <s v="Q1"/>
    <e v="#REF!"/>
    <e v="#REF!"/>
    <e v="#REF!"/>
  </r>
  <r>
    <s v="512100"/>
    <x v="6"/>
    <s v="BANQUE POPULAIRE RIVE DE PARIS"/>
    <s v="BPRI"/>
    <n v="-73"/>
    <d v="2025-03-13T00:00:00"/>
    <s v="Paiement SNCF - CB"/>
    <m/>
    <e v="#N/A"/>
    <e v="#N/A"/>
    <n v="61641"/>
    <m/>
    <s v="SNCF"/>
    <s v="Q1"/>
    <e v="#REF!"/>
    <e v="#REF!"/>
    <e v="#REF!"/>
  </r>
  <r>
    <s v="512100"/>
    <x v="6"/>
    <s v="BANQUE POPULAIRE RIVE DE PARIS"/>
    <s v="BPRI"/>
    <n v="-73"/>
    <d v="2025-04-07T00:00:00"/>
    <s v="CB - JERBLA - SNCF"/>
    <m/>
    <e v="#N/A"/>
    <e v="#N/A"/>
    <n v="66602"/>
    <m/>
    <s v="SNCF"/>
    <s v="Q2"/>
    <e v="#REF!"/>
    <e v="#REF!"/>
    <e v="#REF!"/>
  </r>
  <r>
    <s v="512100"/>
    <x v="6"/>
    <s v="BANQUE POPULAIRE RIVE DE PARIS"/>
    <s v="BPRI"/>
    <n v="-73"/>
    <d v="2025-04-10T00:00:00"/>
    <s v="SNCF - CB JERBLA"/>
    <m/>
    <e v="#N/A"/>
    <e v="#N/A"/>
    <n v="66732"/>
    <m/>
    <s v="SNCF"/>
    <s v="Q2"/>
    <e v="#REF!"/>
    <e v="#REF!"/>
    <e v="#REF!"/>
  </r>
  <r>
    <s v="512100"/>
    <x v="6"/>
    <s v="BANQUE POPULAIRE RIVE DE PARIS"/>
    <s v="BPRI"/>
    <n v="-73"/>
    <d v="2025-04-30T00:00:00"/>
    <s v="Règlement CB JERBLA"/>
    <m/>
    <e v="#N/A"/>
    <e v="#N/A"/>
    <n v="70635"/>
    <m/>
    <s v="SNCF"/>
    <s v="Q2"/>
    <e v="#REF!"/>
    <e v="#REF!"/>
    <e v="#REF!"/>
  </r>
  <r>
    <s v="512100"/>
    <x v="6"/>
    <s v="BANQUE POPULAIRE RIVE DE PARIS"/>
    <s v="BPRI"/>
    <n v="-73"/>
    <d v="2025-05-13T00:00:00"/>
    <s v="Règlement NDF"/>
    <m/>
    <e v="#N/A"/>
    <e v="#N/A"/>
    <n v="71971"/>
    <m/>
    <s v="Jérémie Blache"/>
    <s v="Q2"/>
    <e v="#REF!"/>
    <e v="#REF!"/>
    <e v="#REF!"/>
  </r>
  <r>
    <s v="512100"/>
    <x v="6"/>
    <s v="BANQUE POPULAIRE RIVE DE PARIS"/>
    <s v="BPRI"/>
    <n v="-73"/>
    <d v="2025-05-19T00:00:00"/>
    <s v="Règlement CB - JERBLA"/>
    <m/>
    <e v="#N/A"/>
    <e v="#N/A"/>
    <n v="72902"/>
    <m/>
    <s v="SNCF"/>
    <s v="Q2"/>
    <e v="#REF!"/>
    <e v="#REF!"/>
    <e v="#REF!"/>
  </r>
  <r>
    <s v="512100"/>
    <x v="6"/>
    <s v="BANQUE POPULAIRE RIVE DE PARIS"/>
    <s v="BPRI"/>
    <n v="-73"/>
    <d v="2025-05-19T00:00:00"/>
    <s v="Règlement CB - JERBLA"/>
    <m/>
    <e v="#N/A"/>
    <e v="#N/A"/>
    <n v="72905"/>
    <m/>
    <s v="SNCF"/>
    <s v="Q2"/>
    <e v="#REF!"/>
    <e v="#REF!"/>
    <e v="#REF!"/>
  </r>
  <r>
    <s v="512100"/>
    <x v="6"/>
    <s v="BANQUE POPULAIRE RIVE DE PARIS"/>
    <s v="BPRI"/>
    <n v="-73"/>
    <d v="2025-05-30T00:00:00"/>
    <s v="Règlement CB SNCF"/>
    <m/>
    <e v="#N/A"/>
    <e v="#N/A"/>
    <n v="75009"/>
    <m/>
    <s v="SNCF"/>
    <s v="Q2"/>
    <e v="#REF!"/>
    <e v="#REF!"/>
    <e v="#REF!"/>
  </r>
  <r>
    <s v="512100"/>
    <x v="6"/>
    <s v="BANQUE POPULAIRE RIVE DE PARIS"/>
    <s v="BPRI"/>
    <n v="-73"/>
    <d v="2025-05-30T00:00:00"/>
    <s v="Règlement CB SNCF"/>
    <m/>
    <e v="#N/A"/>
    <e v="#N/A"/>
    <n v="75011"/>
    <m/>
    <s v="SNCF"/>
    <s v="Q2"/>
    <e v="#REF!"/>
    <e v="#REF!"/>
    <e v="#REF!"/>
  </r>
  <r>
    <s v="512100"/>
    <x v="6"/>
    <s v="BANQUE POPULAIRE RIVE DE PARIS"/>
    <s v="BPRI"/>
    <n v="-73"/>
    <d v="2025-06-06T00:00:00"/>
    <s v="Règlement CB - SNCF"/>
    <m/>
    <e v="#N/A"/>
    <e v="#N/A"/>
    <n v="75636"/>
    <m/>
    <s v="SNCF"/>
    <s v="Q2"/>
    <e v="#REF!"/>
    <e v="#REF!"/>
    <e v="#REF!"/>
  </r>
  <r>
    <s v="512100"/>
    <x v="6"/>
    <s v="BANQUE POPULAIRE RIVE DE PARIS"/>
    <s v="BPRI"/>
    <n v="-73"/>
    <d v="2025-06-16T00:00:00"/>
    <s v="CB SNCF-VOYAGEURS"/>
    <m/>
    <e v="#N/A"/>
    <e v="#N/A"/>
    <n v="76088"/>
    <m/>
    <s v="SNCF"/>
    <s v="Q2"/>
    <e v="#REF!"/>
    <e v="#REF!"/>
    <e v="#REF!"/>
  </r>
  <r>
    <s v="645300"/>
    <x v="6"/>
    <s v="COTISATIONS AUX CAISSES DE RETRAITE"/>
    <s v="SA"/>
    <n v="128.74"/>
    <d v="2025-05-31T00:00:00"/>
    <s v="CONTRIBUTION D'EQUILIBRE GÉNÉRAL TU1"/>
    <m/>
    <e v="#N/A"/>
    <e v="#N/A"/>
    <n v="80288"/>
    <s v="SA202505"/>
    <m/>
    <s v="Q2"/>
    <e v="#REF!"/>
    <e v="#REF!"/>
    <e v="#REF!"/>
  </r>
  <r>
    <s v="645300"/>
    <x v="6"/>
    <s v="COTISATIONS AUX CAISSES DE RETRAITE"/>
    <s v="SA"/>
    <n v="128.74"/>
    <d v="2025-06-30T00:00:00"/>
    <s v="CONTRIBUTION D'EQUILIBRE GÉNÉRAL TU1"/>
    <m/>
    <e v="#N/A"/>
    <e v="#N/A"/>
    <n v="80120"/>
    <s v="SA202506"/>
    <m/>
    <s v="Q2"/>
    <e v="#REF!"/>
    <e v="#REF!"/>
    <e v="#REF!"/>
  </r>
  <r>
    <s v="645300"/>
    <x v="6"/>
    <s v="COTISATIONS AUX CAISSES DE RETRAITE"/>
    <s v="SA"/>
    <n v="128.74"/>
    <d v="2025-07-31T00:00:00"/>
    <s v="CONTRIBUTION D'EQUILIBRE GÉNÉRAL TU1"/>
    <m/>
    <e v="#N/A"/>
    <e v="#N/A"/>
    <n v="79948"/>
    <s v="SA202507"/>
    <m/>
    <s v="Q3"/>
    <e v="#REF!"/>
    <e v="#REF!"/>
    <e v="#REF!"/>
  </r>
  <r>
    <s v="645300"/>
    <x v="6"/>
    <s v="COTISATIONS AUX CAISSES DE RETRAITE"/>
    <s v="SA"/>
    <n v="128.74"/>
    <d v="2025-08-31T00:00:00"/>
    <s v="CONTRIBUTION D'EQUILIBRE GÉNÉRAL TU1"/>
    <m/>
    <e v="#N/A"/>
    <e v="#N/A"/>
    <n v="84063"/>
    <s v="SA202508"/>
    <m/>
    <s v="Q3"/>
    <e v="#REF!"/>
    <e v="#REF!"/>
    <e v="#REF!"/>
  </r>
  <r>
    <s v="645300"/>
    <x v="6"/>
    <s v="COTISATIONS AUX CAISSES DE RETRAITE"/>
    <s v="SA"/>
    <n v="131.22999999999999"/>
    <d v="2025-02-28T00:00:00"/>
    <s v="CONTRIBUTION D'EQUILIBRE GÉNÉRAL TU1"/>
    <m/>
    <e v="#N/A"/>
    <e v="#N/A"/>
    <n v="85350"/>
    <s v="SA202502"/>
    <m/>
    <s v="Q1"/>
    <e v="#REF!"/>
    <e v="#REF!"/>
    <e v="#REF!"/>
  </r>
  <r>
    <s v="645300"/>
    <x v="6"/>
    <s v="COTISATIONS AUX CAISSES DE RETRAITE"/>
    <s v="SA"/>
    <n v="198.11"/>
    <d v="2025-03-31T00:00:00"/>
    <s v="CONTRIBUTION D'EQUILIBRE GÉNÉRAL TU1"/>
    <m/>
    <e v="#N/A"/>
    <e v="#N/A"/>
    <n v="80605"/>
    <s v="SA202503"/>
    <m/>
    <s v="Q1"/>
    <e v="#REF!"/>
    <e v="#REF!"/>
    <e v="#REF!"/>
  </r>
  <r>
    <s v="645300"/>
    <x v="6"/>
    <s v="COTISATIONS AUX CAISSES DE RETRAITE"/>
    <s v="SA"/>
    <n v="198.11"/>
    <d v="2025-04-30T00:00:00"/>
    <s v="CONTRIBUTION D'EQUILIBRE GÉNÉRAL TU1"/>
    <m/>
    <e v="#N/A"/>
    <e v="#N/A"/>
    <n v="80432"/>
    <s v="SA202504"/>
    <m/>
    <s v="Q2"/>
    <e v="#REF!"/>
    <e v="#REF!"/>
    <e v="#REF!"/>
  </r>
  <r>
    <s v="645300"/>
    <x v="6"/>
    <s v="COTISATIONS AUX CAISSES DE RETRAITE"/>
    <s v="SA"/>
    <n v="198.11"/>
    <d v="2025-05-31T00:00:00"/>
    <s v="CONTRIBUTION D'EQUILIBRE GÉNÉRAL TU1"/>
    <m/>
    <e v="#N/A"/>
    <e v="#N/A"/>
    <n v="80262"/>
    <s v="SA202505"/>
    <m/>
    <s v="Q2"/>
    <e v="#REF!"/>
    <e v="#REF!"/>
    <e v="#REF!"/>
  </r>
  <r>
    <s v="645300"/>
    <x v="6"/>
    <s v="COTISATIONS AUX CAISSES DE RETRAITE"/>
    <s v="SA"/>
    <n v="200.89"/>
    <d v="2025-08-31T00:00:00"/>
    <s v="CONTRIBUTION D'EQUILIBRE GÉNÉRAL TU1"/>
    <m/>
    <e v="#N/A"/>
    <e v="#N/A"/>
    <n v="84037"/>
    <s v="SA202508"/>
    <m/>
    <s v="Q3"/>
    <e v="#REF!"/>
    <e v="#REF!"/>
    <e v="#REF!"/>
  </r>
  <r>
    <s v="645300"/>
    <x v="6"/>
    <s v="COTISATIONS AUX CAISSES DE RETRAITE"/>
    <s v="SA"/>
    <n v="236.82"/>
    <d v="2025-07-31T00:00:00"/>
    <s v="CONTRIBUTION D'EQUILIBRE GÉNÉRAL TU1"/>
    <m/>
    <e v="#N/A"/>
    <e v="#N/A"/>
    <n v="79922"/>
    <s v="SA202507"/>
    <m/>
    <s v="Q3"/>
    <e v="#REF!"/>
    <e v="#REF!"/>
    <e v="#REF!"/>
  </r>
  <r>
    <s v="645300"/>
    <x v="6"/>
    <s v="COTISATIONS AUX CAISSES DE RETRAITE"/>
    <s v="SA"/>
    <n v="247.45"/>
    <d v="2025-06-30T00:00:00"/>
    <s v="CONTRIBUTION D'EQUILIBRE GÉNÉRAL TU1"/>
    <m/>
    <e v="#N/A"/>
    <e v="#N/A"/>
    <n v="80094"/>
    <s v="SA202506"/>
    <m/>
    <s v="Q2"/>
    <e v="#REF!"/>
    <e v="#REF!"/>
    <e v="#REF!"/>
  </r>
  <r>
    <s v="645300"/>
    <x v="6"/>
    <s v="COTISATIONS AUX CAISSES DE RETRAITE"/>
    <s v="SA"/>
    <n v="248.74"/>
    <d v="2025-01-31T00:00:00"/>
    <s v="CONTRIBUTION D'EQUILIBRE GÉNÉRAL TU1"/>
    <m/>
    <e v="#N/A"/>
    <e v="#N/A"/>
    <n v="85496"/>
    <s v="SA202501"/>
    <m/>
    <s v="Q1"/>
    <e v="#REF!"/>
    <e v="#REF!"/>
    <e v="#REF!"/>
  </r>
  <r>
    <s v="645300"/>
    <x v="6"/>
    <s v="COTISATIONS AUX CAISSES DE RETRAITE"/>
    <s v="SA"/>
    <n v="255.19"/>
    <d v="2025-02-28T00:00:00"/>
    <s v="CONTRIBUTION D'EQUILIBRE GÉNÉRAL TU1"/>
    <m/>
    <e v="#N/A"/>
    <e v="#N/A"/>
    <n v="85324"/>
    <s v="SA202502"/>
    <m/>
    <s v="Q1"/>
    <e v="#REF!"/>
    <e v="#REF!"/>
    <e v="#REF!"/>
  </r>
  <r>
    <s v="645300"/>
    <x v="6"/>
    <s v="COTISATIONS AUX CAISSES DE RETRAITE"/>
    <s v="SA"/>
    <n v="409.17"/>
    <d v="2025-01-31T00:00:00"/>
    <s v="CONTRIBUTION D'EQUILIBRE GÉNÉRAL TU1"/>
    <m/>
    <e v="#N/A"/>
    <e v="#N/A"/>
    <n v="85504"/>
    <s v="SA202501"/>
    <m/>
    <s v="Q1"/>
    <e v="#REF!"/>
    <e v="#REF!"/>
    <e v="#REF!"/>
  </r>
  <r>
    <s v="645300"/>
    <x v="6"/>
    <s v="COTISATIONS AUX CAISSES DE RETRAITE"/>
    <s v="SA"/>
    <n v="419.68"/>
    <d v="2025-08-31T00:00:00"/>
    <s v="CONTRIBUTION D'EQUILIBRE GÉNÉRAL TU1"/>
    <m/>
    <e v="#N/A"/>
    <e v="#N/A"/>
    <n v="84045"/>
    <s v="SA202508"/>
    <m/>
    <s v="Q3"/>
    <e v="#REF!"/>
    <e v="#REF!"/>
    <e v="#REF!"/>
  </r>
  <r>
    <s v="645300"/>
    <x v="6"/>
    <s v="COTISATIONS AUX CAISSES DE RETRAITE"/>
    <s v="SA"/>
    <n v="427.07"/>
    <d v="2025-07-31T00:00:00"/>
    <s v="CONTRIBUTION D'EQUILIBRE GÉNÉRAL TU1"/>
    <m/>
    <e v="#N/A"/>
    <e v="#N/A"/>
    <n v="79930"/>
    <s v="SA202507"/>
    <m/>
    <s v="Q3"/>
    <e v="#REF!"/>
    <e v="#REF!"/>
    <e v="#REF!"/>
  </r>
  <r>
    <s v="645300"/>
    <x v="6"/>
    <s v="COTISATIONS AUX CAISSES DE RETRAITE"/>
    <s v="SA"/>
    <n v="431.02"/>
    <d v="2025-06-30T00:00:00"/>
    <s v="CONTRIBUTION D'EQUILIBRE GÉNÉRAL TU1"/>
    <m/>
    <e v="#N/A"/>
    <e v="#N/A"/>
    <n v="80102"/>
    <s v="SA202506"/>
    <m/>
    <s v="Q2"/>
    <e v="#REF!"/>
    <e v="#REF!"/>
    <e v="#REF!"/>
  </r>
  <r>
    <s v="645300"/>
    <x v="6"/>
    <s v="COTISATIONS AUX CAISSES DE RETRAITE"/>
    <s v="SA"/>
    <n v="474.42"/>
    <d v="2025-04-30T00:00:00"/>
    <s v="CONTRIBUTION D'EQUILIBRE GÉNÉRAL TU1"/>
    <m/>
    <e v="#N/A"/>
    <e v="#N/A"/>
    <n v="80440"/>
    <s v="SA202504"/>
    <m/>
    <s v="Q2"/>
    <e v="#REF!"/>
    <e v="#REF!"/>
    <e v="#REF!"/>
  </r>
  <r>
    <s v="645300"/>
    <x v="6"/>
    <s v="COTISATIONS AUX CAISSES DE RETRAITE"/>
    <s v="SA"/>
    <n v="479.15"/>
    <d v="2025-05-31T00:00:00"/>
    <s v="CONTRIBUTION D'EQUILIBRE GÉNÉRAL TU1"/>
    <m/>
    <e v="#N/A"/>
    <e v="#N/A"/>
    <n v="80270"/>
    <s v="SA202505"/>
    <m/>
    <s v="Q2"/>
    <e v="#REF!"/>
    <e v="#REF!"/>
    <e v="#REF!"/>
  </r>
  <r>
    <s v="645300"/>
    <x v="6"/>
    <s v="COTISATIONS AUX CAISSES DE RETRAITE"/>
    <s v="SA"/>
    <n v="492.23"/>
    <d v="2025-03-31T00:00:00"/>
    <s v="CONTRIBUTION D'EQUILIBRE GÉNÉRAL TU1"/>
    <m/>
    <e v="#N/A"/>
    <e v="#N/A"/>
    <n v="80613"/>
    <s v="SA202503"/>
    <m/>
    <s v="Q1"/>
    <e v="#REF!"/>
    <e v="#REF!"/>
    <e v="#REF!"/>
  </r>
  <r>
    <s v="645300"/>
    <x v="6"/>
    <s v="COTISATIONS AUX CAISSES DE RETRAITE"/>
    <s v="SA"/>
    <n v="535.76"/>
    <d v="2025-02-28T00:00:00"/>
    <s v="CONTRIBUTION D'EQUILIBRE GÉNÉRAL TU1"/>
    <m/>
    <e v="#N/A"/>
    <e v="#N/A"/>
    <n v="85332"/>
    <s v="SA202502"/>
    <m/>
    <s v="Q1"/>
    <e v="#REF!"/>
    <e v="#REF!"/>
    <e v="#REF!"/>
  </r>
  <r>
    <s v="645300"/>
    <x v="6"/>
    <s v="COTISATIONS AUX CAISSES DE RETRAITE"/>
    <s v="SA"/>
    <n v="1016.96"/>
    <d v="2025-04-30T00:00:00"/>
    <s v="CONTRIBUTION D'EQUILIBRE GÉNÉRAL TU1"/>
    <m/>
    <e v="#N/A"/>
    <e v="#N/A"/>
    <n v="80449"/>
    <s v="SA202504"/>
    <m/>
    <s v="Q2"/>
    <e v="#REF!"/>
    <e v="#REF!"/>
    <e v="#REF!"/>
  </r>
  <r>
    <s v="645300"/>
    <x v="6"/>
    <s v="COTISATIONS AUX CAISSES DE RETRAITE"/>
    <s v="SA"/>
    <n v="1020.01"/>
    <d v="2025-08-31T00:00:00"/>
    <s v="CONTRIBUTION D'EQUILIBRE GÉNÉRAL TU1"/>
    <m/>
    <e v="#N/A"/>
    <e v="#N/A"/>
    <n v="84054"/>
    <s v="SA202508"/>
    <m/>
    <s v="Q3"/>
    <e v="#REF!"/>
    <e v="#REF!"/>
    <e v="#REF!"/>
  </r>
  <r>
    <s v="645300"/>
    <x v="6"/>
    <s v="COTISATIONS AUX CAISSES DE RETRAITE"/>
    <s v="SA"/>
    <n v="1050.3599999999999"/>
    <d v="2025-05-31T00:00:00"/>
    <s v="CONTRIBUTION D'EQUILIBRE GÉNÉRAL TU1"/>
    <m/>
    <e v="#N/A"/>
    <e v="#N/A"/>
    <n v="80279"/>
    <s v="SA202505"/>
    <m/>
    <s v="Q2"/>
    <e v="#REF!"/>
    <e v="#REF!"/>
    <e v="#REF!"/>
  </r>
  <r>
    <s v="512100"/>
    <x v="6"/>
    <s v="BANQUE POPULAIRE RIVE DE PARIS"/>
    <s v="BPRI"/>
    <n v="-72"/>
    <d v="2025-01-30T00:00:00"/>
    <s v="EVI REMISE"/>
    <m/>
    <e v="#N/A"/>
    <e v="#N/A"/>
    <n v="21138"/>
    <s v="0GLGCRU"/>
    <s v="ECHAFAUDAGE"/>
    <s v="Q1"/>
    <e v="#REF!"/>
    <e v="#REF!"/>
    <e v="#REF!"/>
  </r>
  <r>
    <s v="512100"/>
    <x v="6"/>
    <s v="BANQUE POPULAIRE RIVE DE PARIS"/>
    <s v="BPRI"/>
    <n v="-72"/>
    <d v="2025-03-04T00:00:00"/>
    <s v="Règlement fournisseurs"/>
    <m/>
    <e v="#N/A"/>
    <e v="#N/A"/>
    <n v="58979"/>
    <m/>
    <s v="ECHAFAUDAGE"/>
    <s v="Q1"/>
    <e v="#REF!"/>
    <e v="#REF!"/>
    <e v="#REF!"/>
  </r>
  <r>
    <s v="512100"/>
    <x v="6"/>
    <s v="BANQUE POPULAIRE RIVE DE PARIS"/>
    <s v="BPRI"/>
    <n v="-71.88"/>
    <d v="2025-09-12T00:00:00"/>
    <s v="Comptabilisation du bordereau nr. 277"/>
    <m/>
    <e v="#N/A"/>
    <e v="#N/A"/>
    <n v="82074"/>
    <m/>
    <s v="BRUNEAU"/>
    <s v="Q3"/>
    <e v="#REF!"/>
    <e v="#REF!"/>
    <e v="#REF!"/>
  </r>
  <r>
    <s v="512100"/>
    <x v="6"/>
    <s v="BANQUE POPULAIRE RIVE DE PARIS"/>
    <s v="BPRI"/>
    <n v="-71"/>
    <d v="2025-01-02T00:00:00"/>
    <s v="010125 CB    3583"/>
    <m/>
    <e v="#N/A"/>
    <e v="#N/A"/>
    <n v="20851"/>
    <s v="04GY35H"/>
    <s v="SNCF"/>
    <s v="Q1"/>
    <e v="#REF!"/>
    <e v="#REF!"/>
    <e v="#REF!"/>
  </r>
  <r>
    <s v="512100"/>
    <x v="6"/>
    <s v="BANQUE POPULAIRE RIVE DE PARIS"/>
    <s v="BPRI"/>
    <n v="-71"/>
    <d v="2025-01-02T00:00:00"/>
    <s v="010125 CB    3583"/>
    <m/>
    <e v="#N/A"/>
    <e v="#N/A"/>
    <n v="20853"/>
    <s v="04GY35I"/>
    <s v="SNCF"/>
    <s v="Q1"/>
    <e v="#REF!"/>
    <e v="#REF!"/>
    <e v="#REF!"/>
  </r>
  <r>
    <s v="512100"/>
    <x v="6"/>
    <s v="BANQUE POPULAIRE RIVE DE PARIS"/>
    <s v="BPRI"/>
    <n v="-70"/>
    <d v="2025-01-10T00:00:00"/>
    <s v="PRLV SEPA BPCE VIE"/>
    <m/>
    <e v="#N/A"/>
    <e v="#N/A"/>
    <n v="20939"/>
    <s v="06Z76FE"/>
    <s v="Banque Populaire Rive de Paris"/>
    <s v="Q1"/>
    <e v="#REF!"/>
    <e v="#REF!"/>
    <e v="#REF!"/>
  </r>
  <r>
    <s v="512100"/>
    <x v="6"/>
    <s v="BANQUE POPULAIRE RIVE DE PARIS"/>
    <s v="BPRI"/>
    <n v="-70"/>
    <d v="2025-04-30T00:00:00"/>
    <s v="Règlement CB JERBLA"/>
    <m/>
    <e v="#N/A"/>
    <e v="#N/A"/>
    <n v="70629"/>
    <m/>
    <s v="SNCF"/>
    <s v="Q2"/>
    <e v="#REF!"/>
    <e v="#REF!"/>
    <e v="#REF!"/>
  </r>
  <r>
    <s v="512100"/>
    <x v="6"/>
    <s v="BANQUE POPULAIRE RIVE DE PARIS"/>
    <s v="BPRI"/>
    <n v="-69.16"/>
    <d v="2025-05-08T00:00:00"/>
    <s v="Prélèvement Engie"/>
    <m/>
    <e v="#N/A"/>
    <e v="#N/A"/>
    <n v="71720"/>
    <m/>
    <s v="ENGIE"/>
    <s v="Q2"/>
    <e v="#REF!"/>
    <e v="#REF!"/>
    <e v="#REF!"/>
  </r>
  <r>
    <s v="645300"/>
    <x v="6"/>
    <s v="COTISATIONS AUX CAISSES DE RETRAITE"/>
    <s v="SA"/>
    <n v="1061.48"/>
    <d v="2025-06-30T00:00:00"/>
    <s v="CONTRIBUTION D'EQUILIBRE GÉNÉRAL TU1"/>
    <m/>
    <e v="#N/A"/>
    <e v="#N/A"/>
    <n v="80111"/>
    <s v="SA202506"/>
    <m/>
    <s v="Q2"/>
    <e v="#REF!"/>
    <e v="#REF!"/>
    <e v="#REF!"/>
  </r>
  <r>
    <s v="512100"/>
    <x v="6"/>
    <s v="BANQUE POPULAIRE RIVE DE PARIS"/>
    <s v="BPRI"/>
    <n v="-68.7"/>
    <d v="2025-04-02T00:00:00"/>
    <s v="Règlement NDF"/>
    <m/>
    <e v="#N/A"/>
    <e v="#N/A"/>
    <n v="66520"/>
    <m/>
    <s v="Loic masseboeuf"/>
    <s v="Q2"/>
    <e v="#REF!"/>
    <e v="#REF!"/>
    <e v="#REF!"/>
  </r>
  <r>
    <s v="645300"/>
    <x v="6"/>
    <s v="COTISATIONS AUX CAISSES DE RETRAITE"/>
    <s v="SA"/>
    <n v="1086.02"/>
    <d v="2025-03-31T00:00:00"/>
    <s v="CONTRIBUTION D'EQUILIBRE GÉNÉRAL TU1"/>
    <m/>
    <e v="#N/A"/>
    <e v="#N/A"/>
    <n v="80622"/>
    <s v="SA202503"/>
    <m/>
    <s v="Q1"/>
    <e v="#REF!"/>
    <e v="#REF!"/>
    <e v="#REF!"/>
  </r>
  <r>
    <s v="645300"/>
    <x v="6"/>
    <s v="COTISATIONS AUX CAISSES DE RETRAITE"/>
    <s v="SA"/>
    <n v="1099.23"/>
    <d v="2025-01-31T00:00:00"/>
    <s v="CONTRIBUTION D'EQUILIBRE GÉNÉRAL TU1"/>
    <m/>
    <e v="#N/A"/>
    <e v="#N/A"/>
    <n v="85513"/>
    <s v="SA202501"/>
    <m/>
    <s v="Q1"/>
    <e v="#REF!"/>
    <e v="#REF!"/>
    <e v="#REF!"/>
  </r>
  <r>
    <s v="512100"/>
    <x v="6"/>
    <s v="BANQUE POPULAIRE RIVE DE PARIS"/>
    <s v="BPRI"/>
    <n v="-66.959999999999994"/>
    <d v="2025-01-14T00:00:00"/>
    <s v="Règlement NDF"/>
    <m/>
    <e v="#N/A"/>
    <e v="#N/A"/>
    <n v="20977"/>
    <s v="1112780"/>
    <m/>
    <s v="Q1"/>
    <e v="#REF!"/>
    <e v="#REF!"/>
    <e v="#REF!"/>
  </r>
  <r>
    <s v="512100"/>
    <x v="6"/>
    <s v="BANQUE POPULAIRE RIVE DE PARIS"/>
    <s v="BPRI"/>
    <n v="-66.38"/>
    <d v="2025-01-24T00:00:00"/>
    <s v="PRLV SEPA DHL INTERNAT. EXP FRA"/>
    <m/>
    <e v="#N/A"/>
    <e v="#N/A"/>
    <n v="21077"/>
    <s v="075B2UO"/>
    <s v="DHL"/>
    <s v="Q1"/>
    <e v="#REF!"/>
    <e v="#REF!"/>
    <e v="#REF!"/>
  </r>
  <r>
    <s v="645300"/>
    <x v="6"/>
    <s v="COTISATIONS AUX CAISSES DE RETRAITE"/>
    <s v="SA"/>
    <n v="1118.2"/>
    <d v="2025-07-31T00:00:00"/>
    <s v="CONTRIBUTION D'EQUILIBRE GÉNÉRAL TU1"/>
    <m/>
    <e v="#N/A"/>
    <e v="#N/A"/>
    <n v="79939"/>
    <s v="SA202507"/>
    <m/>
    <s v="Q3"/>
    <e v="#REF!"/>
    <e v="#REF!"/>
    <e v="#REF!"/>
  </r>
  <r>
    <s v="512100"/>
    <x v="6"/>
    <s v="BANQUE POPULAIRE RIVE DE PARIS"/>
    <s v="BPRI"/>
    <n v="-65.88"/>
    <d v="2025-01-27T00:00:00"/>
    <s v="EVI LACONDEMINE JULIE"/>
    <m/>
    <e v="#N/A"/>
    <e v="#N/A"/>
    <n v="21087"/>
    <s v="1587204"/>
    <s v="Julie Lacondemine"/>
    <s v="Q1"/>
    <e v="#REF!"/>
    <e v="#REF!"/>
    <e v="#REF!"/>
  </r>
  <r>
    <s v="512100"/>
    <x v="6"/>
    <s v="BANQUE POPULAIRE RIVE DE PARIS"/>
    <s v="BPRI"/>
    <n v="-64"/>
    <d v="2025-01-23T00:00:00"/>
    <s v="220125 CB    3583"/>
    <m/>
    <e v="#N/A"/>
    <e v="#N/A"/>
    <n v="21057"/>
    <s v="13746JS"/>
    <m/>
    <s v="Q1"/>
    <e v="#REF!"/>
    <e v="#REF!"/>
    <e v="#REF!"/>
  </r>
  <r>
    <s v="512100"/>
    <x v="6"/>
    <s v="BANQUE POPULAIRE RIVE DE PARIS"/>
    <s v="BPRI"/>
    <n v="-64"/>
    <d v="2025-04-30T00:00:00"/>
    <s v="Règlement CB JERBLA"/>
    <m/>
    <e v="#N/A"/>
    <e v="#N/A"/>
    <n v="70626"/>
    <m/>
    <s v="SNCF"/>
    <s v="Q2"/>
    <e v="#REF!"/>
    <e v="#REF!"/>
    <e v="#REF!"/>
  </r>
  <r>
    <s v="512100"/>
    <x v="6"/>
    <s v="BANQUE POPULAIRE RIVE DE PARIS"/>
    <s v="BPRI"/>
    <n v="-64"/>
    <d v="2025-06-16T00:00:00"/>
    <s v="CB SNCF-VOYAGEURS"/>
    <m/>
    <e v="#N/A"/>
    <e v="#N/A"/>
    <n v="76091"/>
    <m/>
    <s v="SNCF"/>
    <s v="Q2"/>
    <e v="#REF!"/>
    <e v="#REF!"/>
    <e v="#REF!"/>
  </r>
  <r>
    <s v="645300"/>
    <x v="6"/>
    <s v="COTISATIONS AUX CAISSES DE RETRAITE"/>
    <s v="SA"/>
    <n v="1357.67"/>
    <d v="2025-02-28T00:00:00"/>
    <s v="CONTRIBUTION D'EQUILIBRE GÉNÉRAL TU1"/>
    <m/>
    <e v="#N/A"/>
    <e v="#N/A"/>
    <n v="85341"/>
    <s v="SA202502"/>
    <m/>
    <s v="Q1"/>
    <e v="#REF!"/>
    <e v="#REF!"/>
    <e v="#REF!"/>
  </r>
  <r>
    <s v="437300"/>
    <x v="6"/>
    <s v="RETRAITE"/>
    <s v="SA"/>
    <n v="-1880.35"/>
    <d v="2025-09-30T00:00:00"/>
    <s v="CONTRIBUTION D'EQUILIBRE GÉNÉRAL TU1 - EXO PART APPRENT"/>
    <m/>
    <e v="#N/A"/>
    <e v="#N/A"/>
    <n v="84102"/>
    <s v="SA202509"/>
    <m/>
    <s v="Q3"/>
    <e v="#REF!"/>
    <e v="#REF!"/>
    <e v="#REF!"/>
  </r>
  <r>
    <s v="512100"/>
    <x v="6"/>
    <s v="BANQUE POPULAIRE RIVE DE PARIS"/>
    <s v="BPRI"/>
    <n v="-63.34"/>
    <d v="2025-04-11T00:00:00"/>
    <s v="Prélèvement DHL"/>
    <m/>
    <e v="#N/A"/>
    <e v="#N/A"/>
    <n v="66736"/>
    <m/>
    <s v="DHL"/>
    <s v="Q2"/>
    <e v="#REF!"/>
    <e v="#REF!"/>
    <e v="#REF!"/>
  </r>
  <r>
    <s v="437300"/>
    <x v="6"/>
    <s v="RETRAITE"/>
    <s v="SA"/>
    <n v="-1801.06"/>
    <d v="2025-10-31T00:00:00"/>
    <s v="CONTRIBUTION D'EQUILIBRE GÉNÉRAL TU1 - EXO PART APPRENT"/>
    <m/>
    <e v="#N/A"/>
    <e v="#N/A"/>
    <n v="87767"/>
    <s v="SA202510"/>
    <m/>
    <s v="Q4"/>
    <e v="#REF!"/>
    <e v="#REF!"/>
    <e v="#REF!"/>
  </r>
  <r>
    <s v="512100"/>
    <x v="6"/>
    <s v="BANQUE POPULAIRE RIVE DE PARIS"/>
    <s v="BPRI"/>
    <n v="-62.22"/>
    <d v="2025-03-14T00:00:00"/>
    <s v="Prélèvement fournisseurs"/>
    <m/>
    <e v="#N/A"/>
    <e v="#N/A"/>
    <n v="61694"/>
    <m/>
    <s v="DHL"/>
    <s v="Q1"/>
    <e v="#REF!"/>
    <e v="#REF!"/>
    <e v="#REF!"/>
  </r>
  <r>
    <s v="512100"/>
    <x v="6"/>
    <s v="BANQUE POPULAIRE RIVE DE PARIS"/>
    <s v="BPRI"/>
    <n v="-61.12"/>
    <d v="2025-02-22T00:00:00"/>
    <s v="200225 CB    6880"/>
    <m/>
    <e v="#N/A"/>
    <e v="#N/A"/>
    <n v="21395"/>
    <s v="2GT8ZA1"/>
    <s v="ORANGE"/>
    <s v="Q1"/>
    <e v="#REF!"/>
    <e v="#REF!"/>
    <e v="#REF!"/>
  </r>
  <r>
    <s v="437300"/>
    <x v="6"/>
    <s v="RETRAITE"/>
    <s v="SA"/>
    <n v="-1800.51"/>
    <d v="2025-11-30T00:00:00"/>
    <s v="CONTRIBUTION D'EQUILIBRE GÉNÉRAL TU1 - EXO PART APPRENT"/>
    <m/>
    <e v="#N/A"/>
    <e v="#N/A"/>
    <n v="92276"/>
    <s v="SA202511"/>
    <m/>
    <s v="Q4"/>
    <e v="#REF!"/>
    <e v="#REF!"/>
    <e v="#REF!"/>
  </r>
  <r>
    <s v="512100"/>
    <x v="6"/>
    <s v="BANQUE POPULAIRE RIVE DE PARIS"/>
    <s v="BPRI"/>
    <n v="-60.18"/>
    <d v="2025-01-27T00:00:00"/>
    <s v="EVI GOUTIERRE ANNE-SOPHIE"/>
    <m/>
    <e v="#N/A"/>
    <e v="#N/A"/>
    <n v="21085"/>
    <s v="1586911"/>
    <s v="Anne-Sophie Goutierre"/>
    <s v="Q1"/>
    <e v="#REF!"/>
    <e v="#REF!"/>
    <e v="#REF!"/>
  </r>
  <r>
    <s v="512100"/>
    <x v="6"/>
    <s v="BANQUE POPULAIRE RIVE DE PARIS"/>
    <s v="BPRI"/>
    <n v="-59.73"/>
    <d v="2025-05-16T00:00:00"/>
    <s v="Règlement NDF"/>
    <m/>
    <e v="#N/A"/>
    <e v="#N/A"/>
    <n v="72814"/>
    <m/>
    <s v="Jérémie Blache"/>
    <s v="Q2"/>
    <e v="#REF!"/>
    <e v="#REF!"/>
    <e v="#REF!"/>
  </r>
  <r>
    <s v="512100"/>
    <x v="6"/>
    <s v="BANQUE POPULAIRE RIVE DE PARIS"/>
    <s v="BPRI"/>
    <n v="-59.38"/>
    <d v="2025-05-13T00:00:00"/>
    <s v="Règlement NDF"/>
    <m/>
    <e v="#N/A"/>
    <e v="#N/A"/>
    <n v="71968"/>
    <m/>
    <s v="Jérémie Blache"/>
    <s v="Q2"/>
    <e v="#REF!"/>
    <e v="#REF!"/>
    <e v="#REF!"/>
  </r>
  <r>
    <s v="512100"/>
    <x v="6"/>
    <s v="BANQUE POPULAIRE RIVE DE PARIS"/>
    <s v="BPRI"/>
    <n v="-59"/>
    <d v="2025-01-23T00:00:00"/>
    <s v="220125 CB    3583"/>
    <m/>
    <e v="#N/A"/>
    <e v="#N/A"/>
    <n v="21055"/>
    <s v="13746JR"/>
    <m/>
    <s v="Q1"/>
    <e v="#REF!"/>
    <e v="#REF!"/>
    <e v="#REF!"/>
  </r>
  <r>
    <s v="437300"/>
    <x v="6"/>
    <s v="RETRAITE"/>
    <s v="SA"/>
    <n v="-1772.51"/>
    <d v="2025-12-31T00:00:00"/>
    <s v="CONTRIBUTION D'EQUILIBRE GÉNÉRAL TU1 - EXO PART APPRENT"/>
    <m/>
    <e v="#N/A"/>
    <e v="#N/A"/>
    <n v="92735"/>
    <s v="SA202512"/>
    <m/>
    <s v="Q4"/>
    <e v="#REF!"/>
    <e v="#REF!"/>
    <e v="#REF!"/>
  </r>
  <r>
    <s v="645300"/>
    <x v="6"/>
    <s v="COTISATIONS AUX CAISSES DE RETRAITE"/>
    <s v="SA"/>
    <n v="128.74"/>
    <d v="2025-09-30T00:00:00"/>
    <s v="CONTRIBUTION D'EQUILIBRE GÉNÉRAL TU1 - EXO PART APPRENT"/>
    <m/>
    <e v="#N/A"/>
    <e v="#N/A"/>
    <n v="84237"/>
    <s v="SA202509"/>
    <m/>
    <s v="Q3"/>
    <e v="#REF!"/>
    <e v="#REF!"/>
    <e v="#REF!"/>
  </r>
  <r>
    <s v="512100"/>
    <x v="6"/>
    <s v="BANQUE POPULAIRE RIVE DE PARIS"/>
    <s v="BPRI"/>
    <n v="-58"/>
    <d v="2025-05-14T00:00:00"/>
    <s v="Prélèvement BPRI"/>
    <m/>
    <e v="#N/A"/>
    <e v="#N/A"/>
    <n v="72357"/>
    <m/>
    <s v="Banque Populaire Rive de Paris"/>
    <s v="Q2"/>
    <e v="#REF!"/>
    <e v="#REF!"/>
    <e v="#REF!"/>
  </r>
  <r>
    <s v="512100"/>
    <x v="6"/>
    <s v="BANQUE POPULAIRE RIVE DE PARIS"/>
    <s v="BPRI"/>
    <n v="-58"/>
    <d v="2025-05-30T00:00:00"/>
    <s v="Cotisation CB PSI"/>
    <m/>
    <e v="#N/A"/>
    <e v="#N/A"/>
    <n v="74996"/>
    <m/>
    <s v="Banque Populaire Rive de Paris"/>
    <s v="Q2"/>
    <e v="#REF!"/>
    <e v="#REF!"/>
    <e v="#REF!"/>
  </r>
  <r>
    <s v="512100"/>
    <x v="6"/>
    <s v="BANQUE POPULAIRE RIVE DE PARIS"/>
    <s v="BPRI"/>
    <n v="-58"/>
    <d v="2025-06-17T00:00:00"/>
    <s v="COTIS CARTE VISA BUSINES"/>
    <m/>
    <e v="#N/A"/>
    <e v="#N/A"/>
    <n v="76124"/>
    <m/>
    <m/>
    <s v="Q2"/>
    <e v="#REF!"/>
    <e v="#REF!"/>
    <e v="#REF!"/>
  </r>
  <r>
    <s v="512100"/>
    <x v="6"/>
    <s v="BANQUE POPULAIRE RIVE DE PARIS"/>
    <s v="BPRI"/>
    <n v="-57"/>
    <d v="2025-02-11T00:00:00"/>
    <s v="JERBLA"/>
    <m/>
    <e v="#N/A"/>
    <e v="#N/A"/>
    <n v="21271"/>
    <s v="2260736"/>
    <s v="Jérémie Blache"/>
    <s v="Q1"/>
    <e v="#REF!"/>
    <e v="#REF!"/>
    <e v="#REF!"/>
  </r>
  <r>
    <s v="512100"/>
    <x v="6"/>
    <s v="BANQUE POPULAIRE RIVE DE PARIS"/>
    <s v="BPRI"/>
    <n v="-56.4"/>
    <d v="2025-02-05T00:00:00"/>
    <s v="240125 CB    5564"/>
    <m/>
    <e v="#N/A"/>
    <e v="#N/A"/>
    <n v="21219"/>
    <s v="1OP3VG0"/>
    <s v="Pascal Simonney"/>
    <s v="Q1"/>
    <e v="#REF!"/>
    <e v="#REF!"/>
    <e v="#REF!"/>
  </r>
  <r>
    <s v="512100"/>
    <x v="6"/>
    <s v="BANQUE POPULAIRE RIVE DE PARIS"/>
    <s v="BPRI"/>
    <n v="-55.55"/>
    <d v="2025-06-05T00:00:00"/>
    <s v="Prélèvement - Engie"/>
    <m/>
    <e v="#N/A"/>
    <e v="#N/A"/>
    <n v="75557"/>
    <m/>
    <s v="ENGIE"/>
    <s v="Q2"/>
    <e v="#REF!"/>
    <e v="#REF!"/>
    <e v="#REF!"/>
  </r>
  <r>
    <s v="512100"/>
    <x v="6"/>
    <s v="BANQUE POPULAIRE RIVE DE PARIS"/>
    <s v="BPRI"/>
    <n v="-55.28"/>
    <d v="2025-06-05T00:00:00"/>
    <s v="Prélèvement - Bouygues Telecom"/>
    <m/>
    <e v="#N/A"/>
    <e v="#N/A"/>
    <n v="75554"/>
    <m/>
    <s v="BOUYGUES TELECOM"/>
    <s v="Q2"/>
    <e v="#REF!"/>
    <e v="#REF!"/>
    <e v="#REF!"/>
  </r>
  <r>
    <s v="512100"/>
    <x v="6"/>
    <s v="BANQUE POPULAIRE RIVE DE PARIS"/>
    <s v="BPRI"/>
    <n v="-55"/>
    <d v="2025-02-06T00:00:00"/>
    <s v="050225 CB    3583"/>
    <m/>
    <e v="#N/A"/>
    <e v="#N/A"/>
    <n v="21233"/>
    <s v="1QCN6UK"/>
    <m/>
    <s v="Q1"/>
    <e v="#REF!"/>
    <e v="#REF!"/>
    <e v="#REF!"/>
  </r>
  <r>
    <s v="512100"/>
    <x v="6"/>
    <s v="BANQUE POPULAIRE RIVE DE PARIS"/>
    <s v="BPRI"/>
    <n v="-55"/>
    <d v="2025-02-12T00:00:00"/>
    <s v="110225 CB    3583"/>
    <m/>
    <e v="#N/A"/>
    <e v="#N/A"/>
    <n v="21289"/>
    <s v="209V435"/>
    <m/>
    <s v="Q1"/>
    <e v="#REF!"/>
    <e v="#REF!"/>
    <e v="#REF!"/>
  </r>
  <r>
    <s v="645300"/>
    <x v="6"/>
    <s v="COTISATIONS AUX CAISSES DE RETRAITE"/>
    <s v="SA"/>
    <n v="128.74"/>
    <d v="2025-10-31T00:00:00"/>
    <s v="CONTRIBUTION D'EQUILIBRE GÉNÉRAL TU1 - EXO PART APPRENT"/>
    <m/>
    <e v="#N/A"/>
    <e v="#N/A"/>
    <n v="87903"/>
    <s v="SA202510"/>
    <m/>
    <s v="Q4"/>
    <e v="#REF!"/>
    <e v="#REF!"/>
    <e v="#REF!"/>
  </r>
  <r>
    <s v="645300"/>
    <x v="6"/>
    <s v="COTISATIONS AUX CAISSES DE RETRAITE"/>
    <s v="SA"/>
    <n v="128.74"/>
    <d v="2025-11-30T00:00:00"/>
    <s v="CONTRIBUTION D'EQUILIBRE GÉNÉRAL TU1 - EXO PART APPRENT"/>
    <m/>
    <e v="#N/A"/>
    <e v="#N/A"/>
    <n v="92410"/>
    <s v="SA202511"/>
    <m/>
    <s v="Q4"/>
    <e v="#REF!"/>
    <e v="#REF!"/>
    <e v="#REF!"/>
  </r>
  <r>
    <s v="645300"/>
    <x v="6"/>
    <s v="COTISATIONS AUX CAISSES DE RETRAITE"/>
    <s v="SA"/>
    <n v="128.74"/>
    <d v="2025-12-31T00:00:00"/>
    <s v="CONTRIBUTION D'EQUILIBRE GÉNÉRAL TU1 - EXO PART APPRENT"/>
    <m/>
    <e v="#N/A"/>
    <e v="#N/A"/>
    <n v="92873"/>
    <s v="SA202512"/>
    <m/>
    <s v="Q4"/>
    <e v="#REF!"/>
    <e v="#REF!"/>
    <e v="#REF!"/>
  </r>
  <r>
    <s v="645300"/>
    <x v="6"/>
    <s v="COTISATIONS AUX CAISSES DE RETRAITE"/>
    <s v="SA"/>
    <n v="195.77"/>
    <d v="2025-09-30T00:00:00"/>
    <s v="CONTRIBUTION D'EQUILIBRE GÉNÉRAL TU1 - EXO PART APPRENT"/>
    <m/>
    <e v="#N/A"/>
    <e v="#N/A"/>
    <n v="84211"/>
    <s v="SA202509"/>
    <m/>
    <s v="Q3"/>
    <e v="#REF!"/>
    <e v="#REF!"/>
    <e v="#REF!"/>
  </r>
  <r>
    <s v="645300"/>
    <x v="6"/>
    <s v="COTISATIONS AUX CAISSES DE RETRAITE"/>
    <s v="SA"/>
    <n v="202.52"/>
    <d v="2025-10-31T00:00:00"/>
    <s v="CONTRIBUTION D'EQUILIBRE GÉNÉRAL TU1 - EXO PART APPRENT"/>
    <m/>
    <e v="#N/A"/>
    <e v="#N/A"/>
    <n v="87877"/>
    <s v="SA202510"/>
    <m/>
    <s v="Q4"/>
    <e v="#REF!"/>
    <e v="#REF!"/>
    <e v="#REF!"/>
  </r>
  <r>
    <s v="512100"/>
    <x v="6"/>
    <s v="BANQUE POPULAIRE RIVE DE PARIS"/>
    <s v="BPRI"/>
    <n v="-54.88"/>
    <d v="2025-04-29T00:00:00"/>
    <s v="Règlement NDF"/>
    <m/>
    <e v="#N/A"/>
    <e v="#N/A"/>
    <n v="70511"/>
    <m/>
    <s v="Jérémie Blache"/>
    <s v="Q2"/>
    <e v="#REF!"/>
    <e v="#REF!"/>
    <e v="#REF!"/>
  </r>
  <r>
    <s v="512100"/>
    <x v="6"/>
    <s v="BANQUE POPULAIRE RIVE DE PARIS"/>
    <s v="BPRI"/>
    <n v="-54.87"/>
    <d v="2025-03-04T00:00:00"/>
    <s v="Règlement NDF"/>
    <m/>
    <e v="#N/A"/>
    <e v="#N/A"/>
    <n v="58867"/>
    <m/>
    <s v="Jérémie Blache"/>
    <s v="Q1"/>
    <e v="#REF!"/>
    <e v="#REF!"/>
    <e v="#REF!"/>
  </r>
  <r>
    <s v="512100"/>
    <x v="6"/>
    <s v="BANQUE POPULAIRE RIVE DE PARIS"/>
    <s v="BPRI"/>
    <n v="-54.85"/>
    <d v="2025-05-08T00:00:00"/>
    <s v="Prélèvement DHL"/>
    <m/>
    <e v="#N/A"/>
    <e v="#N/A"/>
    <n v="71708"/>
    <m/>
    <s v="DHL"/>
    <s v="Q2"/>
    <e v="#REF!"/>
    <e v="#REF!"/>
    <e v="#REF!"/>
  </r>
  <r>
    <s v="512100"/>
    <x v="6"/>
    <s v="BANQUE POPULAIRE RIVE DE PARIS"/>
    <s v="BPRI"/>
    <n v="-53.17"/>
    <d v="2025-02-11T00:00:00"/>
    <s v="JERBLA"/>
    <m/>
    <e v="#N/A"/>
    <e v="#N/A"/>
    <n v="21269"/>
    <s v="2260614"/>
    <s v="Jérémie Blache"/>
    <s v="Q1"/>
    <e v="#REF!"/>
    <e v="#REF!"/>
    <e v="#REF!"/>
  </r>
  <r>
    <s v="512100"/>
    <x v="6"/>
    <s v="BANQUE POPULAIRE RIVE DE PARIS"/>
    <s v="BPRI"/>
    <n v="-52.2"/>
    <d v="2025-01-27T00:00:00"/>
    <s v="PRLV SEPA ORANGE SA"/>
    <m/>
    <e v="#N/A"/>
    <e v="#N/A"/>
    <n v="21093"/>
    <s v="075HSL8"/>
    <s v="ORANGE"/>
    <s v="Q1"/>
    <e v="#REF!"/>
    <e v="#REF!"/>
    <e v="#REF!"/>
  </r>
  <r>
    <s v="512100"/>
    <x v="6"/>
    <s v="BANQUE POPULAIRE RIVE DE PARIS"/>
    <s v="BPRI"/>
    <n v="-52.2"/>
    <d v="2025-02-24T00:00:00"/>
    <s v="PRLV SEPA ORANGE SA"/>
    <m/>
    <e v="#N/A"/>
    <e v="#N/A"/>
    <n v="21399"/>
    <s v="07EDY8T"/>
    <s v="ORANGE"/>
    <s v="Q1"/>
    <e v="#REF!"/>
    <e v="#REF!"/>
    <e v="#REF!"/>
  </r>
  <r>
    <s v="512100"/>
    <x v="6"/>
    <s v="BANQUE POPULAIRE RIVE DE PARIS"/>
    <s v="BPRI"/>
    <n v="-52.2"/>
    <d v="2025-03-24T00:00:00"/>
    <s v="Prélèvement fournisseurs"/>
    <m/>
    <e v="#N/A"/>
    <e v="#N/A"/>
    <n v="61903"/>
    <m/>
    <s v="ORANGE"/>
    <s v="Q1"/>
    <e v="#REF!"/>
    <e v="#REF!"/>
    <e v="#REF!"/>
  </r>
  <r>
    <s v="512100"/>
    <x v="6"/>
    <s v="BANQUE POPULAIRE RIVE DE PARIS"/>
    <s v="BPRI"/>
    <n v="-52.2"/>
    <d v="2025-04-28T00:00:00"/>
    <s v="Prélèvement Fournisseur"/>
    <m/>
    <e v="#N/A"/>
    <e v="#N/A"/>
    <n v="70450"/>
    <m/>
    <s v="ORANGE"/>
    <s v="Q2"/>
    <e v="#REF!"/>
    <e v="#REF!"/>
    <e v="#REF!"/>
  </r>
  <r>
    <s v="512100"/>
    <x v="6"/>
    <s v="BANQUE POPULAIRE RIVE DE PARIS"/>
    <s v="BPRI"/>
    <n v="-51"/>
    <d v="2025-01-07T00:00:00"/>
    <s v="EVI CREPIN LUCIE"/>
    <m/>
    <e v="#N/A"/>
    <e v="#N/A"/>
    <n v="20903"/>
    <s v="857415"/>
    <s v="Lucie Crépin"/>
    <s v="Q1"/>
    <e v="#REF!"/>
    <e v="#REF!"/>
    <e v="#REF!"/>
  </r>
  <r>
    <s v="512100"/>
    <x v="6"/>
    <s v="BANQUE POPULAIRE RIVE DE PARIS"/>
    <s v="BPRI"/>
    <n v="-50"/>
    <d v="2025-02-05T00:00:00"/>
    <s v="JERBLA"/>
    <m/>
    <e v="#N/A"/>
    <e v="#N/A"/>
    <n v="21187"/>
    <s v="2044725"/>
    <s v="Jérémie Blache"/>
    <s v="Q1"/>
    <e v="#REF!"/>
    <e v="#REF!"/>
    <e v="#REF!"/>
  </r>
  <r>
    <s v="512100"/>
    <x v="6"/>
    <s v="BANQUE POPULAIRE RIVE DE PARIS"/>
    <s v="BPRI"/>
    <n v="-50"/>
    <d v="2025-03-04T00:00:00"/>
    <s v="Règlement NDF"/>
    <m/>
    <e v="#N/A"/>
    <e v="#N/A"/>
    <n v="58870"/>
    <m/>
    <s v="Jérémie Blache"/>
    <s v="Q1"/>
    <e v="#REF!"/>
    <e v="#REF!"/>
    <e v="#REF!"/>
  </r>
  <r>
    <s v="512100"/>
    <x v="6"/>
    <s v="BANQUE POPULAIRE RIVE DE PARIS"/>
    <s v="BPRI"/>
    <n v="-50"/>
    <d v="2025-03-08T00:00:00"/>
    <s v="CB JERBLA - SNCF"/>
    <m/>
    <e v="#N/A"/>
    <e v="#N/A"/>
    <n v="60079"/>
    <m/>
    <s v="SNCF"/>
    <s v="Q1"/>
    <e v="#REF!"/>
    <e v="#REF!"/>
    <e v="#REF!"/>
  </r>
  <r>
    <s v="645300"/>
    <x v="6"/>
    <s v="COTISATIONS AUX CAISSES DE RETRAITE"/>
    <s v="SA"/>
    <n v="202.52"/>
    <d v="2025-11-30T00:00:00"/>
    <s v="CONTRIBUTION D'EQUILIBRE GÉNÉRAL TU1 - EXO PART APPRENT"/>
    <m/>
    <e v="#N/A"/>
    <e v="#N/A"/>
    <n v="92384"/>
    <s v="SA202511"/>
    <m/>
    <s v="Q4"/>
    <e v="#REF!"/>
    <e v="#REF!"/>
    <e v="#REF!"/>
  </r>
  <r>
    <s v="512100"/>
    <x v="6"/>
    <s v="BANQUE POPULAIRE RIVE DE PARIS"/>
    <s v="BPRI"/>
    <n v="-49.99"/>
    <d v="2025-02-26T00:00:00"/>
    <s v="ANNGOU"/>
    <m/>
    <e v="#N/A"/>
    <e v="#N/A"/>
    <n v="21443"/>
    <s v="2808616"/>
    <s v="Anne-Sophie Goutierre"/>
    <s v="Q1"/>
    <e v="#REF!"/>
    <e v="#REF!"/>
    <e v="#REF!"/>
  </r>
  <r>
    <s v="512100"/>
    <x v="6"/>
    <s v="BANQUE POPULAIRE RIVE DE PARIS"/>
    <s v="BPRI"/>
    <n v="-49.98"/>
    <d v="2025-01-20T00:00:00"/>
    <s v="EVI M JEREMIE BLACHE"/>
    <m/>
    <e v="#N/A"/>
    <e v="#N/A"/>
    <n v="21033"/>
    <s v="1363871"/>
    <s v="Jérémie Blache"/>
    <s v="Q1"/>
    <e v="#REF!"/>
    <e v="#REF!"/>
    <e v="#REF!"/>
  </r>
  <r>
    <s v="512100"/>
    <x v="6"/>
    <s v="BANQUE POPULAIRE RIVE DE PARIS"/>
    <s v="BPRI"/>
    <n v="-49.94"/>
    <d v="2025-01-10T00:00:00"/>
    <s v="PRLV SEPA DHL INTERNAT. EXP FRA"/>
    <m/>
    <e v="#N/A"/>
    <e v="#N/A"/>
    <n v="20943"/>
    <s v="071DKM1"/>
    <s v="DHL"/>
    <s v="Q1"/>
    <e v="#REF!"/>
    <e v="#REF!"/>
    <e v="#REF!"/>
  </r>
  <r>
    <s v="512100"/>
    <x v="6"/>
    <s v="BANQUE POPULAIRE RIVE DE PARIS"/>
    <s v="BPRI"/>
    <n v="-49.85"/>
    <d v="2025-01-20T00:00:00"/>
    <s v="EVI BARRY BENJAMIN"/>
    <m/>
    <e v="#N/A"/>
    <e v="#N/A"/>
    <n v="21029"/>
    <s v="1363616"/>
    <s v="Benjamin Barry"/>
    <s v="Q1"/>
    <e v="#REF!"/>
    <e v="#REF!"/>
    <e v="#REF!"/>
  </r>
  <r>
    <s v="512100"/>
    <x v="6"/>
    <s v="BANQUE POPULAIRE RIVE DE PARIS"/>
    <s v="BPRI"/>
    <n v="-47.76"/>
    <d v="2025-01-02T00:00:00"/>
    <s v="EVI REMISE"/>
    <m/>
    <e v="#N/A"/>
    <e v="#N/A"/>
    <n v="20869"/>
    <s v="0GL8HED"/>
    <s v="VWR AVANTOR"/>
    <s v="Q1"/>
    <e v="#REF!"/>
    <e v="#REF!"/>
    <e v="#REF!"/>
  </r>
  <r>
    <s v="512100"/>
    <x v="6"/>
    <s v="BANQUE POPULAIRE RIVE DE PARIS"/>
    <s v="BPRI"/>
    <n v="-47.25"/>
    <d v="2025-02-26T00:00:00"/>
    <s v="AUDBAY"/>
    <m/>
    <e v="#N/A"/>
    <e v="#N/A"/>
    <n v="21431"/>
    <s v="2806244"/>
    <s v="Audrey Baylac"/>
    <s v="Q1"/>
    <e v="#REF!"/>
    <e v="#REF!"/>
    <e v="#REF!"/>
  </r>
  <r>
    <s v="512100"/>
    <x v="6"/>
    <s v="BANQUE POPULAIRE RIVE DE PARIS"/>
    <s v="BPRI"/>
    <n v="-47"/>
    <d v="2025-01-23T00:00:00"/>
    <s v="220125 CB    3583"/>
    <m/>
    <e v="#N/A"/>
    <e v="#N/A"/>
    <n v="21053"/>
    <s v="13746JQ"/>
    <m/>
    <s v="Q1"/>
    <e v="#REF!"/>
    <e v="#REF!"/>
    <e v="#REF!"/>
  </r>
  <r>
    <s v="645300"/>
    <x v="6"/>
    <s v="COTISATIONS AUX CAISSES DE RETRAITE"/>
    <s v="SA"/>
    <n v="202.52"/>
    <d v="2025-12-31T00:00:00"/>
    <s v="CONTRIBUTION D'EQUILIBRE GÉNÉRAL TU1 - EXO PART APPRENT"/>
    <m/>
    <e v="#N/A"/>
    <e v="#N/A"/>
    <n v="92847"/>
    <s v="SA202512"/>
    <m/>
    <s v="Q4"/>
    <e v="#REF!"/>
    <e v="#REF!"/>
    <e v="#REF!"/>
  </r>
  <r>
    <s v="512100"/>
    <x v="6"/>
    <s v="BANQUE POPULAIRE RIVE DE PARIS"/>
    <s v="BPRI"/>
    <n v="-46.9"/>
    <d v="2025-06-05T00:00:00"/>
    <s v="CB - Mr Marguerite"/>
    <m/>
    <s v="Non"/>
    <e v="#N/A"/>
    <n v="75552"/>
    <m/>
    <s v="DIVERS"/>
    <s v="Q2"/>
    <e v="#REF!"/>
    <e v="#REF!"/>
    <e v="#REF!"/>
  </r>
  <r>
    <s v="645300"/>
    <x v="6"/>
    <s v="COTISATIONS AUX CAISSES DE RETRAITE"/>
    <s v="SA"/>
    <n v="400.7"/>
    <d v="2025-11-30T00:00:00"/>
    <s v="CONTRIBUTION D'EQUILIBRE GÉNÉRAL TU1 - EXO PART APPRENT"/>
    <m/>
    <e v="#N/A"/>
    <e v="#N/A"/>
    <n v="92392"/>
    <s v="SA202511"/>
    <m/>
    <s v="Q4"/>
    <e v="#REF!"/>
    <e v="#REF!"/>
    <e v="#REF!"/>
  </r>
  <r>
    <s v="512100"/>
    <x v="6"/>
    <s v="BANQUE POPULAIRE RIVE DE PARIS"/>
    <s v="BPRI"/>
    <n v="-45.98"/>
    <d v="2025-07-18T00:00:00"/>
    <s v="PRLV SEPA DHL INTERNAT. EXP FRA"/>
    <m/>
    <e v="#N/A"/>
    <e v="#N/A"/>
    <n v="78444"/>
    <m/>
    <s v="DHL"/>
    <s v="Q3"/>
    <e v="#REF!"/>
    <e v="#REF!"/>
    <e v="#REF!"/>
  </r>
  <r>
    <s v="645300"/>
    <x v="6"/>
    <s v="COTISATIONS AUX CAISSES DE RETRAITE"/>
    <s v="SA"/>
    <n v="400.71"/>
    <d v="2025-12-31T00:00:00"/>
    <s v="CONTRIBUTION D'EQUILIBRE GÉNÉRAL TU1 - EXO PART APPRENT"/>
    <m/>
    <e v="#N/A"/>
    <e v="#N/A"/>
    <n v="92855"/>
    <s v="SA202512"/>
    <m/>
    <s v="Q4"/>
    <e v="#REF!"/>
    <e v="#REF!"/>
    <e v="#REF!"/>
  </r>
  <r>
    <s v="512100"/>
    <x v="6"/>
    <s v="BANQUE POPULAIRE RIVE DE PARIS"/>
    <s v="BPRI"/>
    <n v="-44.34"/>
    <d v="2025-04-30T00:00:00"/>
    <s v="Règlement NDF"/>
    <m/>
    <e v="#N/A"/>
    <e v="#N/A"/>
    <n v="70593"/>
    <m/>
    <s v="Jérémie Blache"/>
    <s v="Q2"/>
    <e v="#REF!"/>
    <e v="#REF!"/>
    <e v="#REF!"/>
  </r>
  <r>
    <s v="512100"/>
    <x v="6"/>
    <s v="BANQUE POPULAIRE RIVE DE PARIS"/>
    <s v="BPRI"/>
    <n v="-44.27"/>
    <d v="2025-04-08T00:00:00"/>
    <s v="Prélèvement ENGIE"/>
    <m/>
    <e v="#N/A"/>
    <e v="#N/A"/>
    <n v="66710"/>
    <m/>
    <s v="ENGIE"/>
    <s v="Q2"/>
    <e v="#REF!"/>
    <e v="#REF!"/>
    <e v="#REF!"/>
  </r>
  <r>
    <s v="512100"/>
    <x v="6"/>
    <s v="BANQUE POPULAIRE RIVE DE PARIS"/>
    <s v="BPRI"/>
    <n v="-44.13"/>
    <d v="2025-02-07T00:00:00"/>
    <s v="PRLV SEPA ENGIE"/>
    <m/>
    <e v="#N/A"/>
    <e v="#N/A"/>
    <n v="21237"/>
    <s v="079XMA8"/>
    <s v="ENGIE"/>
    <s v="Q1"/>
    <e v="#REF!"/>
    <e v="#REF!"/>
    <e v="#REF!"/>
  </r>
  <r>
    <s v="512100"/>
    <x v="6"/>
    <s v="BANQUE POPULAIRE RIVE DE PARIS"/>
    <s v="BPRI"/>
    <n v="-43.02"/>
    <d v="2025-05-08T00:00:00"/>
    <s v="Prélèvement Engie"/>
    <m/>
    <e v="#N/A"/>
    <e v="#N/A"/>
    <n v="71711"/>
    <m/>
    <s v="ENGIE"/>
    <s v="Q2"/>
    <e v="#REF!"/>
    <e v="#REF!"/>
    <e v="#REF!"/>
  </r>
  <r>
    <s v="512100"/>
    <x v="6"/>
    <s v="BANQUE POPULAIRE RIVE DE PARIS"/>
    <s v="BPRI"/>
    <n v="-43"/>
    <d v="2025-01-23T00:00:00"/>
    <s v="220125 CB    3583"/>
    <m/>
    <e v="#N/A"/>
    <e v="#N/A"/>
    <n v="21051"/>
    <s v="13746JP"/>
    <m/>
    <s v="Q1"/>
    <e v="#REF!"/>
    <e v="#REF!"/>
    <e v="#REF!"/>
  </r>
  <r>
    <s v="512100"/>
    <x v="6"/>
    <s v="BANQUE POPULAIRE RIVE DE PARIS"/>
    <s v="BPRI"/>
    <n v="-43"/>
    <d v="2025-03-01T00:00:00"/>
    <s v="Règlement CB - SNCF"/>
    <m/>
    <e v="#N/A"/>
    <e v="#N/A"/>
    <n v="59000"/>
    <m/>
    <s v="SNCF"/>
    <s v="Q1"/>
    <e v="#REF!"/>
    <e v="#REF!"/>
    <e v="#REF!"/>
  </r>
  <r>
    <s v="512100"/>
    <x v="6"/>
    <s v="BANQUE POPULAIRE RIVE DE PARIS"/>
    <s v="BPRI"/>
    <n v="-43"/>
    <d v="2025-04-28T00:00:00"/>
    <s v="Paiement CB "/>
    <m/>
    <e v="#N/A"/>
    <e v="#N/A"/>
    <n v="70448"/>
    <m/>
    <s v="SNCF"/>
    <s v="Q2"/>
    <e v="#REF!"/>
    <e v="#REF!"/>
    <e v="#REF!"/>
  </r>
  <r>
    <s v="512100"/>
    <x v="6"/>
    <s v="BANQUE POPULAIRE RIVE DE PARIS"/>
    <s v="BPRI"/>
    <n v="-43"/>
    <d v="2025-06-16T00:00:00"/>
    <s v="CB SNCF-VOYAGEURS"/>
    <m/>
    <e v="#N/A"/>
    <e v="#N/A"/>
    <n v="76094"/>
    <m/>
    <s v="SNCF"/>
    <s v="Q2"/>
    <e v="#REF!"/>
    <e v="#REF!"/>
    <e v="#REF!"/>
  </r>
  <r>
    <s v="645300"/>
    <x v="6"/>
    <s v="COTISATIONS AUX CAISSES DE RETRAITE"/>
    <s v="SA"/>
    <n v="401.6"/>
    <d v="2025-10-31T00:00:00"/>
    <s v="CONTRIBUTION D'EQUILIBRE GÉNÉRAL TU1 - EXO PART APPRENT"/>
    <m/>
    <e v="#N/A"/>
    <e v="#N/A"/>
    <n v="87885"/>
    <s v="SA202510"/>
    <m/>
    <s v="Q4"/>
    <e v="#REF!"/>
    <e v="#REF!"/>
    <e v="#REF!"/>
  </r>
  <r>
    <s v="645300"/>
    <x v="6"/>
    <s v="COTISATIONS AUX CAISSES DE RETRAITE"/>
    <s v="SA"/>
    <n v="443.78"/>
    <d v="2025-09-30T00:00:00"/>
    <s v="CONTRIBUTION D'EQUILIBRE GÉNÉRAL TU1 - EXO PART APPRENT"/>
    <m/>
    <e v="#N/A"/>
    <e v="#N/A"/>
    <n v="84219"/>
    <s v="SA202509"/>
    <m/>
    <s v="Q3"/>
    <e v="#REF!"/>
    <e v="#REF!"/>
    <e v="#REF!"/>
  </r>
  <r>
    <s v="645300"/>
    <x v="6"/>
    <s v="COTISATIONS AUX CAISSES DE RETRAITE"/>
    <s v="SA"/>
    <n v="1040.54"/>
    <d v="2025-12-31T00:00:00"/>
    <s v="CONTRIBUTION D'EQUILIBRE GÉNÉRAL TU1 - EXO PART APPRENT"/>
    <m/>
    <e v="#N/A"/>
    <e v="#N/A"/>
    <n v="92864"/>
    <s v="SA202512"/>
    <m/>
    <s v="Q4"/>
    <e v="#REF!"/>
    <e v="#REF!"/>
    <e v="#REF!"/>
  </r>
  <r>
    <s v="645300"/>
    <x v="6"/>
    <s v="COTISATIONS AUX CAISSES DE RETRAITE"/>
    <s v="SA"/>
    <n v="1068.2"/>
    <d v="2025-10-31T00:00:00"/>
    <s v="CONTRIBUTION D'EQUILIBRE GÉNÉRAL TU1 - EXO PART APPRENT"/>
    <m/>
    <e v="#N/A"/>
    <e v="#N/A"/>
    <n v="87894"/>
    <s v="SA202510"/>
    <m/>
    <s v="Q4"/>
    <e v="#REF!"/>
    <e v="#REF!"/>
    <e v="#REF!"/>
  </r>
  <r>
    <s v="645300"/>
    <x v="6"/>
    <s v="COTISATIONS AUX CAISSES DE RETRAITE"/>
    <s v="SA"/>
    <n v="1068.55"/>
    <d v="2025-11-30T00:00:00"/>
    <s v="CONTRIBUTION D'EQUILIBRE GÉNÉRAL TU1 - EXO PART APPRENT"/>
    <m/>
    <e v="#N/A"/>
    <e v="#N/A"/>
    <n v="92401"/>
    <s v="SA202511"/>
    <m/>
    <s v="Q4"/>
    <e v="#REF!"/>
    <e v="#REF!"/>
    <e v="#REF!"/>
  </r>
  <r>
    <s v="645300"/>
    <x v="6"/>
    <s v="COTISATIONS AUX CAISSES DE RETRAITE"/>
    <s v="SA"/>
    <n v="1112.06"/>
    <d v="2025-09-30T00:00:00"/>
    <s v="CONTRIBUTION D'EQUILIBRE GÉNÉRAL TU1 - EXO PART APPRENT"/>
    <m/>
    <e v="#N/A"/>
    <e v="#N/A"/>
    <n v="84228"/>
    <s v="SA202509"/>
    <m/>
    <s v="Q3"/>
    <e v="#REF!"/>
    <e v="#REF!"/>
    <e v="#REF!"/>
  </r>
  <r>
    <s v="512100"/>
    <x v="6"/>
    <s v="BANQUE POPULAIRE RIVE DE PARIS"/>
    <s v="BPRI"/>
    <n v="-42.71"/>
    <d v="2025-04-30T00:00:00"/>
    <s v="Règlement NDF"/>
    <m/>
    <e v="#N/A"/>
    <e v="#N/A"/>
    <n v="70596"/>
    <m/>
    <s v="Jérémie Blache"/>
    <s v="Q2"/>
    <e v="#REF!"/>
    <e v="#REF!"/>
    <e v="#REF!"/>
  </r>
  <r>
    <s v="437300"/>
    <x v="6"/>
    <s v="RETRAITE"/>
    <s v="SA"/>
    <n v="-5070.58"/>
    <d v="2025-02-28T00:00:00"/>
    <s v="CONTRIBUTION D'EQUILIBRE GÉNÉRAL TU2"/>
    <m/>
    <e v="#N/A"/>
    <e v="#N/A"/>
    <n v="85197"/>
    <s v="SA202502"/>
    <m/>
    <s v="Q1"/>
    <e v="#REF!"/>
    <e v="#REF!"/>
    <e v="#REF!"/>
  </r>
  <r>
    <s v="512100"/>
    <x v="6"/>
    <s v="BANQUE POPULAIRE RIVE DE PARIS"/>
    <s v="BPRI"/>
    <n v="-41.96"/>
    <d v="2025-03-11T00:00:00"/>
    <s v="Prélèvement engie"/>
    <m/>
    <e v="#N/A"/>
    <e v="#N/A"/>
    <n v="61238"/>
    <m/>
    <s v="ENGIE"/>
    <s v="Q1"/>
    <e v="#REF!"/>
    <e v="#REF!"/>
    <e v="#REF!"/>
  </r>
  <r>
    <s v="512100"/>
    <x v="6"/>
    <s v="BANQUE POPULAIRE RIVE DE PARIS"/>
    <s v="BPRI"/>
    <n v="-41.91"/>
    <d v="2025-02-05T00:00:00"/>
    <s v="TATGHA"/>
    <m/>
    <e v="#N/A"/>
    <e v="#N/A"/>
    <n v="21189"/>
    <s v="2045142"/>
    <s v="Tatiana Ghanem"/>
    <s v="Q1"/>
    <e v="#REF!"/>
    <e v="#REF!"/>
    <e v="#REF!"/>
  </r>
  <r>
    <s v="512100"/>
    <x v="6"/>
    <s v="BANQUE POPULAIRE RIVE DE PARIS"/>
    <s v="BPRI"/>
    <n v="-41.49"/>
    <d v="2025-01-07T00:00:00"/>
    <s v="PRLV SEPA ENGIE"/>
    <m/>
    <e v="#N/A"/>
    <e v="#N/A"/>
    <n v="20911"/>
    <s v="06Z5XTZ"/>
    <s v="ENGIE"/>
    <s v="Q1"/>
    <e v="#REF!"/>
    <e v="#REF!"/>
    <e v="#REF!"/>
  </r>
  <r>
    <s v="512100"/>
    <x v="6"/>
    <s v="BANQUE POPULAIRE RIVE DE PARIS"/>
    <s v="BPRI"/>
    <n v="-41.15"/>
    <d v="2025-09-08T00:00:00"/>
    <s v="PRLV SEPA ENGIE"/>
    <m/>
    <e v="#N/A"/>
    <e v="#N/A"/>
    <n v="82119"/>
    <m/>
    <s v="ENGIE"/>
    <s v="Q3"/>
    <e v="#REF!"/>
    <e v="#REF!"/>
    <e v="#REF!"/>
  </r>
  <r>
    <s v="512100"/>
    <x v="6"/>
    <s v="BANQUE POPULAIRE RIVE DE PARIS"/>
    <s v="BPRI"/>
    <n v="-40.99"/>
    <d v="2025-04-30T00:00:00"/>
    <s v="Règlement NDF"/>
    <m/>
    <e v="#N/A"/>
    <e v="#N/A"/>
    <n v="70599"/>
    <m/>
    <s v="Jérémie Blache"/>
    <s v="Q2"/>
    <e v="#REF!"/>
    <e v="#REF!"/>
    <e v="#REF!"/>
  </r>
  <r>
    <s v="512100"/>
    <x v="6"/>
    <s v="BANQUE POPULAIRE RIVE DE PARIS"/>
    <s v="BPRI"/>
    <n v="-40.96"/>
    <d v="2025-02-11T00:00:00"/>
    <s v="TATGHA"/>
    <m/>
    <e v="#N/A"/>
    <e v="#N/A"/>
    <n v="21267"/>
    <s v="2260496"/>
    <s v="Tatiana Ghanem"/>
    <s v="Q1"/>
    <e v="#REF!"/>
    <e v="#REF!"/>
    <e v="#REF!"/>
  </r>
  <r>
    <s v="437300"/>
    <x v="6"/>
    <s v="RETRAITE"/>
    <s v="SA"/>
    <n v="-1286.24"/>
    <d v="2025-06-30T00:00:00"/>
    <s v="CONTRIBUTION D'EQUILIBRE GÉNÉRAL TU2"/>
    <m/>
    <e v="#N/A"/>
    <e v="#N/A"/>
    <n v="79984"/>
    <s v="SA202506"/>
    <m/>
    <s v="Q2"/>
    <e v="#REF!"/>
    <e v="#REF!"/>
    <e v="#REF!"/>
  </r>
  <r>
    <s v="512100"/>
    <x v="6"/>
    <s v="BANQUE POPULAIRE RIVE DE PARIS"/>
    <s v="BPRI"/>
    <n v="-39.89"/>
    <d v="2025-07-08T00:00:00"/>
    <s v="PRLV SEPA ENGIE"/>
    <m/>
    <e v="#N/A"/>
    <e v="#N/A"/>
    <n v="77210"/>
    <m/>
    <s v="ENGIE"/>
    <s v="Q3"/>
    <e v="#REF!"/>
    <e v="#REF!"/>
    <e v="#REF!"/>
  </r>
  <r>
    <s v="512100"/>
    <x v="6"/>
    <s v="BANQUE POPULAIRE RIVE DE PARIS"/>
    <s v="BPRI"/>
    <n v="-39.85"/>
    <d v="2025-01-06T00:00:00"/>
    <s v="EVI REMISE"/>
    <m/>
    <e v="#N/A"/>
    <e v="#N/A"/>
    <n v="20897"/>
    <s v="0GL95PI"/>
    <s v="VWR AVANTOR"/>
    <s v="Q1"/>
    <e v="#REF!"/>
    <e v="#REF!"/>
    <e v="#REF!"/>
  </r>
  <r>
    <s v="512100"/>
    <x v="6"/>
    <s v="BANQUE POPULAIRE RIVE DE PARIS"/>
    <s v="BPRI"/>
    <n v="-38"/>
    <d v="2025-06-10T00:00:00"/>
    <s v="PRLV SEPA ENGIE"/>
    <m/>
    <e v="#N/A"/>
    <e v="#N/A"/>
    <n v="75924"/>
    <m/>
    <s v="ENGIE"/>
    <s v="Q2"/>
    <e v="#REF!"/>
    <e v="#REF!"/>
    <e v="#REF!"/>
  </r>
  <r>
    <s v="512100"/>
    <x v="6"/>
    <s v="BANQUE POPULAIRE RIVE DE PARIS"/>
    <s v="BPRI"/>
    <n v="-37.94"/>
    <d v="2025-08-07T00:00:00"/>
    <s v="PRLV SEPA ENGIE"/>
    <m/>
    <e v="#N/A"/>
    <e v="#N/A"/>
    <n v="80716"/>
    <m/>
    <s v="ENGIE"/>
    <s v="Q3"/>
    <e v="#REF!"/>
    <e v="#REF!"/>
    <e v="#REF!"/>
  </r>
  <r>
    <s v="512100"/>
    <x v="6"/>
    <s v="BANQUE POPULAIRE RIVE DE PARIS"/>
    <s v="BPRI"/>
    <n v="-35.99"/>
    <d v="2025-08-29T00:00:00"/>
    <s v="PRLV SEPA RICOH FRANCE SAS"/>
    <m/>
    <e v="#N/A"/>
    <e v="#N/A"/>
    <n v="81657"/>
    <m/>
    <s v="RICOH"/>
    <s v="Q3"/>
    <e v="#REF!"/>
    <e v="#REF!"/>
    <e v="#REF!"/>
  </r>
  <r>
    <s v="437300"/>
    <x v="6"/>
    <s v="RETRAITE"/>
    <s v="SA"/>
    <n v="-1243.4100000000001"/>
    <d v="2025-08-31T00:00:00"/>
    <s v="CONTRIBUTION D'EQUILIBRE GÉNÉRAL TU2"/>
    <m/>
    <e v="#N/A"/>
    <e v="#N/A"/>
    <n v="83929"/>
    <s v="SA202508"/>
    <m/>
    <s v="Q3"/>
    <e v="#REF!"/>
    <e v="#REF!"/>
    <e v="#REF!"/>
  </r>
  <r>
    <s v="437300"/>
    <x v="6"/>
    <s v="RETRAITE"/>
    <s v="SA"/>
    <n v="-1236.08"/>
    <d v="2025-04-30T00:00:00"/>
    <s v="CONTRIBUTION D'EQUILIBRE GÉNÉRAL TU2"/>
    <m/>
    <e v="#N/A"/>
    <e v="#N/A"/>
    <n v="80323"/>
    <s v="SA202504"/>
    <m/>
    <s v="Q2"/>
    <e v="#REF!"/>
    <e v="#REF!"/>
    <e v="#REF!"/>
  </r>
  <r>
    <s v="512100"/>
    <x v="6"/>
    <s v="BANQUE POPULAIRE RIVE DE PARIS"/>
    <s v="BPRI"/>
    <n v="-32.99"/>
    <d v="2025-07-04T00:00:00"/>
    <s v="PRLV SEPA BOUYGUES TELECOM"/>
    <m/>
    <e v="#N/A"/>
    <e v="#N/A"/>
    <n v="77048"/>
    <m/>
    <s v="BOUYGUES TELECOM"/>
    <s v="Q3"/>
    <e v="#REF!"/>
    <e v="#REF!"/>
    <e v="#REF!"/>
  </r>
  <r>
    <s v="512100"/>
    <x v="6"/>
    <s v="BANQUE POPULAIRE RIVE DE PARIS"/>
    <s v="BPRI"/>
    <n v="-32.99"/>
    <d v="2025-08-05T00:00:00"/>
    <s v="PRLV SEPA BOUYGUES TELECOM"/>
    <m/>
    <e v="#N/A"/>
    <e v="#N/A"/>
    <n v="80682"/>
    <m/>
    <s v="BOUYGUES TELECOM"/>
    <s v="Q3"/>
    <e v="#REF!"/>
    <e v="#REF!"/>
    <e v="#REF!"/>
  </r>
  <r>
    <s v="512100"/>
    <x v="6"/>
    <s v="BANQUE POPULAIRE RIVE DE PARIS"/>
    <s v="BPRI"/>
    <n v="-32.99"/>
    <d v="2025-09-05T00:00:00"/>
    <s v="PRLV SEPA BOUYGUES TELECOM"/>
    <m/>
    <e v="#N/A"/>
    <e v="#N/A"/>
    <n v="81717"/>
    <m/>
    <s v="BOUYGUES TELECOM"/>
    <s v="Q3"/>
    <e v="#REF!"/>
    <e v="#REF!"/>
    <e v="#REF!"/>
  </r>
  <r>
    <s v="437300"/>
    <x v="6"/>
    <s v="RETRAITE"/>
    <s v="SA"/>
    <n v="-1205.23"/>
    <d v="2025-09-30T00:00:00"/>
    <s v="CONTRIBUTION D'EQUILIBRE GÉNÉRAL TU2"/>
    <m/>
    <e v="#N/A"/>
    <e v="#N/A"/>
    <n v="84103"/>
    <s v="SA202509"/>
    <m/>
    <s v="Q3"/>
    <e v="#REF!"/>
    <e v="#REF!"/>
    <e v="#REF!"/>
  </r>
  <r>
    <s v="437300"/>
    <x v="6"/>
    <s v="RETRAITE"/>
    <s v="SA"/>
    <n v="-1185.97"/>
    <d v="2025-11-30T00:00:00"/>
    <s v="CONTRIBUTION D'EQUILIBRE GÉNÉRAL TU2"/>
    <m/>
    <e v="#N/A"/>
    <e v="#N/A"/>
    <n v="92277"/>
    <s v="SA202511"/>
    <m/>
    <s v="Q4"/>
    <e v="#REF!"/>
    <e v="#REF!"/>
    <e v="#REF!"/>
  </r>
  <r>
    <s v="437300"/>
    <x v="6"/>
    <s v="RETRAITE"/>
    <s v="SA"/>
    <n v="-1182.9000000000001"/>
    <d v="2025-10-31T00:00:00"/>
    <s v="CONTRIBUTION D'EQUILIBRE GÉNÉRAL TU2"/>
    <m/>
    <e v="#N/A"/>
    <e v="#N/A"/>
    <n v="87768"/>
    <s v="SA202510"/>
    <m/>
    <s v="Q4"/>
    <e v="#REF!"/>
    <e v="#REF!"/>
    <e v="#REF!"/>
  </r>
  <r>
    <s v="437300"/>
    <x v="6"/>
    <s v="RETRAITE"/>
    <s v="SA"/>
    <n v="-1153.98"/>
    <d v="2025-01-31T00:00:00"/>
    <s v="CONTRIBUTION D'EQUILIBRE GÉNÉRAL TU2"/>
    <m/>
    <e v="#N/A"/>
    <e v="#N/A"/>
    <n v="85385"/>
    <s v="SA202501"/>
    <m/>
    <s v="Q1"/>
    <e v="#REF!"/>
    <e v="#REF!"/>
    <e v="#REF!"/>
  </r>
  <r>
    <s v="512100"/>
    <x v="6"/>
    <s v="BANQUE POPULAIRE RIVE DE PARIS"/>
    <s v="BPRI"/>
    <n v="-31.58"/>
    <d v="2025-06-03T00:00:00"/>
    <s v="Prélèvement fournisseurs"/>
    <m/>
    <e v="#N/A"/>
    <e v="#N/A"/>
    <n v="75198"/>
    <m/>
    <s v="EAU DU GRAND LYON"/>
    <s v="Q2"/>
    <e v="#REF!"/>
    <e v="#REF!"/>
    <e v="#REF!"/>
  </r>
  <r>
    <s v="512100"/>
    <x v="6"/>
    <s v="BANQUE POPULAIRE RIVE DE PARIS"/>
    <s v="BPRI"/>
    <n v="-30.66"/>
    <d v="2025-04-30T00:00:00"/>
    <s v="Règlement NDF"/>
    <m/>
    <e v="#N/A"/>
    <e v="#N/A"/>
    <n v="70602"/>
    <m/>
    <s v="Jérémie Blache"/>
    <s v="Q2"/>
    <e v="#REF!"/>
    <e v="#REF!"/>
    <e v="#REF!"/>
  </r>
  <r>
    <s v="437300"/>
    <x v="6"/>
    <s v="RETRAITE"/>
    <s v="SA"/>
    <n v="-1149.71"/>
    <d v="2025-12-31T00:00:00"/>
    <s v="CONTRIBUTION D'EQUILIBRE GÉNÉRAL TU2"/>
    <m/>
    <e v="#N/A"/>
    <e v="#N/A"/>
    <n v="92736"/>
    <s v="SA202512"/>
    <m/>
    <s v="Q4"/>
    <e v="#REF!"/>
    <e v="#REF!"/>
    <e v="#REF!"/>
  </r>
  <r>
    <s v="512100"/>
    <x v="6"/>
    <s v="BANQUE POPULAIRE RIVE DE PARIS"/>
    <s v="BPRI"/>
    <n v="-30"/>
    <d v="2025-01-13T00:00:00"/>
    <s v="EVI ADENIS MARIE-SARAH"/>
    <m/>
    <e v="#N/A"/>
    <e v="#N/A"/>
    <n v="20965"/>
    <s v="1106157"/>
    <s v="Marie-Sarah Adenis"/>
    <s v="Q1"/>
    <e v="#REF!"/>
    <e v="#REF!"/>
    <e v="#REF!"/>
  </r>
  <r>
    <s v="437300"/>
    <x v="6"/>
    <s v="RETRAITE"/>
    <s v="SA"/>
    <n v="-1123.81"/>
    <d v="2025-05-31T00:00:00"/>
    <s v="CONTRIBUTION D'EQUILIBRE GÉNÉRAL TU2"/>
    <m/>
    <e v="#N/A"/>
    <e v="#N/A"/>
    <n v="80153"/>
    <s v="SA202505"/>
    <m/>
    <s v="Q2"/>
    <e v="#REF!"/>
    <e v="#REF!"/>
    <e v="#REF!"/>
  </r>
  <r>
    <s v="512100"/>
    <x v="6"/>
    <s v="BANQUE POPULAIRE RIVE DE PARIS"/>
    <s v="BPRI"/>
    <n v="-29.9"/>
    <d v="2025-04-30T00:00:00"/>
    <s v="Règlement NDF"/>
    <m/>
    <e v="#N/A"/>
    <e v="#N/A"/>
    <n v="70605"/>
    <m/>
    <s v="Thibault Dejardin"/>
    <s v="Q2"/>
    <e v="#REF!"/>
    <e v="#REF!"/>
    <e v="#REF!"/>
  </r>
  <r>
    <s v="437300"/>
    <x v="6"/>
    <s v="RETRAITE"/>
    <s v="SA"/>
    <n v="-1110.0999999999999"/>
    <d v="2025-03-31T00:00:00"/>
    <s v="CONTRIBUTION D'EQUILIBRE GÉNÉRAL TU2"/>
    <m/>
    <e v="#N/A"/>
    <e v="#N/A"/>
    <n v="80493"/>
    <s v="SA202503"/>
    <m/>
    <s v="Q1"/>
    <e v="#REF!"/>
    <e v="#REF!"/>
    <e v="#REF!"/>
  </r>
  <r>
    <s v="512100"/>
    <x v="6"/>
    <s v="BANQUE POPULAIRE RIVE DE PARIS"/>
    <s v="BPRI"/>
    <n v="-28.22"/>
    <d v="2025-05-30T00:00:00"/>
    <s v="Prélèvement DHL"/>
    <m/>
    <e v="#N/A"/>
    <e v="#N/A"/>
    <n v="75007"/>
    <m/>
    <s v="DHL"/>
    <s v="Q2"/>
    <e v="#REF!"/>
    <e v="#REF!"/>
    <e v="#REF!"/>
  </r>
  <r>
    <s v="512100"/>
    <x v="6"/>
    <s v="BANQUE POPULAIRE RIVE DE PARIS"/>
    <s v="BPRI"/>
    <n v="-28"/>
    <d v="2025-04-10T00:00:00"/>
    <s v="SNCF - CB JERBLA"/>
    <m/>
    <e v="#N/A"/>
    <e v="#N/A"/>
    <n v="66729"/>
    <m/>
    <s v="SNCF"/>
    <s v="Q2"/>
    <e v="#REF!"/>
    <e v="#REF!"/>
    <e v="#REF!"/>
  </r>
  <r>
    <s v="437300"/>
    <x v="6"/>
    <s v="RETRAITE"/>
    <s v="SA"/>
    <n v="-1062.94"/>
    <d v="2025-07-31T00:00:00"/>
    <s v="CONTRIBUTION D'EQUILIBRE GÉNÉRAL TU2"/>
    <m/>
    <e v="#N/A"/>
    <e v="#N/A"/>
    <n v="79810"/>
    <s v="SA202507"/>
    <m/>
    <s v="Q3"/>
    <e v="#REF!"/>
    <e v="#REF!"/>
    <e v="#REF!"/>
  </r>
  <r>
    <s v="512100"/>
    <x v="6"/>
    <s v="BANQUE POPULAIRE RIVE DE PARIS"/>
    <s v="BPRI"/>
    <n v="-27.75"/>
    <d v="2025-09-05T00:00:00"/>
    <s v="PRLV SEPA ENGIE"/>
    <m/>
    <e v="#N/A"/>
    <e v="#N/A"/>
    <n v="81714"/>
    <m/>
    <s v="ENGIE"/>
    <s v="Q3"/>
    <e v="#REF!"/>
    <e v="#REF!"/>
    <e v="#REF!"/>
  </r>
  <r>
    <s v="512100"/>
    <x v="6"/>
    <s v="BANQUE POPULAIRE RIVE DE PARIS"/>
    <s v="BPRI"/>
    <n v="-25.84"/>
    <d v="2025-06-20T00:00:00"/>
    <s v="PRLV SEPA DHL INTERNAT. EXP FRA"/>
    <m/>
    <e v="#N/A"/>
    <e v="#N/A"/>
    <n v="76160"/>
    <m/>
    <s v="DHL"/>
    <s v="Q2"/>
    <e v="#REF!"/>
    <e v="#REF!"/>
    <e v="#REF!"/>
  </r>
  <r>
    <s v="512100"/>
    <x v="6"/>
    <s v="BANQUE POPULAIRE RIVE DE PARIS"/>
    <s v="BPRI"/>
    <n v="-25.57"/>
    <d v="2025-05-16T00:00:00"/>
    <s v="Règlement NDF"/>
    <m/>
    <e v="#N/A"/>
    <e v="#N/A"/>
    <n v="72811"/>
    <m/>
    <s v="Jérémie Blache"/>
    <s v="Q2"/>
    <e v="#REF!"/>
    <e v="#REF!"/>
    <e v="#REF!"/>
  </r>
  <r>
    <s v="512100"/>
    <x v="6"/>
    <s v="BANQUE POPULAIRE RIVE DE PARIS"/>
    <s v="BPRI"/>
    <n v="-24.5"/>
    <d v="2025-02-11T00:00:00"/>
    <s v="Règlement NDF"/>
    <m/>
    <e v="#N/A"/>
    <e v="#N/A"/>
    <n v="21273"/>
    <s v="2260877"/>
    <s v="Filipe Gomes"/>
    <s v="Q1"/>
    <e v="#REF!"/>
    <e v="#REF!"/>
    <e v="#REF!"/>
  </r>
  <r>
    <s v="512100"/>
    <x v="6"/>
    <s v="BANQUE POPULAIRE RIVE DE PARIS"/>
    <s v="BPRI"/>
    <n v="-24.5"/>
    <d v="2025-02-11T00:00:00"/>
    <s v="VINBLA"/>
    <m/>
    <e v="#N/A"/>
    <e v="#N/A"/>
    <n v="21279"/>
    <s v="2261295"/>
    <s v="Vincent Blanchard"/>
    <s v="Q1"/>
    <e v="#REF!"/>
    <e v="#REF!"/>
    <e v="#REF!"/>
  </r>
  <r>
    <s v="512100"/>
    <x v="6"/>
    <s v="BANQUE POPULAIRE RIVE DE PARIS"/>
    <s v="BPRI"/>
    <n v="-24.4"/>
    <d v="2025-03-10T00:00:00"/>
    <s v="Règlement NDF"/>
    <m/>
    <e v="#N/A"/>
    <e v="#N/A"/>
    <n v="60058"/>
    <m/>
    <s v="Jérémie Blache"/>
    <s v="Q1"/>
    <e v="#REF!"/>
    <e v="#REF!"/>
    <e v="#REF!"/>
  </r>
  <r>
    <s v="512100"/>
    <x v="6"/>
    <s v="BANQUE POPULAIRE RIVE DE PARIS"/>
    <s v="BPRI"/>
    <n v="-24"/>
    <d v="2025-03-03T00:00:00"/>
    <s v="Règlement CB - SNCF"/>
    <m/>
    <e v="#N/A"/>
    <e v="#N/A"/>
    <n v="59003"/>
    <m/>
    <s v="SNCF"/>
    <s v="Q1"/>
    <e v="#REF!"/>
    <e v="#REF!"/>
    <e v="#REF!"/>
  </r>
  <r>
    <s v="512100"/>
    <x v="6"/>
    <s v="BANQUE POPULAIRE RIVE DE PARIS"/>
    <s v="BPRI"/>
    <n v="-24"/>
    <d v="2025-12-17T00:00:00"/>
    <s v="CFE 2025 - Roussillon"/>
    <m/>
    <e v="#N/A"/>
    <e v="#N/A"/>
    <n v="92673"/>
    <m/>
    <m/>
    <s v="Q4"/>
    <e v="#REF!"/>
    <e v="#REF!"/>
    <e v="#REF!"/>
  </r>
  <r>
    <s v="512100"/>
    <x v="6"/>
    <s v="BANQUE POPULAIRE RIVE DE PARIS"/>
    <s v="BPRI"/>
    <n v="-23.99"/>
    <d v="2025-01-09T00:00:00"/>
    <s v="080125 CB    5564"/>
    <m/>
    <e v="#N/A"/>
    <e v="#N/A"/>
    <n v="20931"/>
    <s v="0G1LAYM"/>
    <m/>
    <s v="Q1"/>
    <e v="#REF!"/>
    <e v="#REF!"/>
    <e v="#REF!"/>
  </r>
  <r>
    <s v="512100"/>
    <x v="6"/>
    <s v="BANQUE POPULAIRE RIVE DE PARIS"/>
    <s v="BPRI"/>
    <n v="-23.99"/>
    <d v="2025-02-10T00:00:00"/>
    <s v="080225 CB    5564"/>
    <m/>
    <e v="#N/A"/>
    <e v="#N/A"/>
    <n v="21261"/>
    <s v="1WYSIGJ"/>
    <m/>
    <s v="Q1"/>
    <e v="#REF!"/>
    <e v="#REF!"/>
    <e v="#REF!"/>
  </r>
  <r>
    <s v="512100"/>
    <x v="6"/>
    <s v="BANQUE POPULAIRE RIVE DE PARIS"/>
    <s v="BPRI"/>
    <n v="-23.99"/>
    <d v="2025-03-10T00:00:00"/>
    <s v="CB PASSIM - Adobe"/>
    <m/>
    <e v="#N/A"/>
    <e v="#N/A"/>
    <n v="60091"/>
    <m/>
    <m/>
    <s v="Q1"/>
    <e v="#REF!"/>
    <e v="#REF!"/>
    <e v="#REF!"/>
  </r>
  <r>
    <s v="512100"/>
    <x v="6"/>
    <s v="BANQUE POPULAIRE RIVE DE PARIS"/>
    <s v="BPRI"/>
    <n v="-23.99"/>
    <d v="2025-04-09T00:00:00"/>
    <s v="Adobe - CB PASSIM"/>
    <m/>
    <e v="#N/A"/>
    <e v="#N/A"/>
    <n v="66715"/>
    <m/>
    <m/>
    <s v="Q2"/>
    <e v="#REF!"/>
    <e v="#REF!"/>
    <e v="#REF!"/>
  </r>
  <r>
    <s v="512100"/>
    <x v="6"/>
    <s v="BANQUE POPULAIRE RIVE DE PARIS"/>
    <s v="BPRI"/>
    <n v="-23.99"/>
    <d v="2025-05-08T00:00:00"/>
    <s v="Paiement CB 5564 Adobe "/>
    <m/>
    <e v="#N/A"/>
    <e v="#N/A"/>
    <n v="71714"/>
    <m/>
    <m/>
    <s v="Q2"/>
    <e v="#REF!"/>
    <e v="#REF!"/>
    <e v="#REF!"/>
  </r>
  <r>
    <s v="512100"/>
    <x v="6"/>
    <s v="BANQUE POPULAIRE RIVE DE PARIS"/>
    <s v="BPRI"/>
    <n v="-23.62"/>
    <d v="2025-08-05T00:00:00"/>
    <s v="PRLV SEPA ENGIE"/>
    <m/>
    <e v="#N/A"/>
    <e v="#N/A"/>
    <n v="80680"/>
    <m/>
    <s v="ENGIE"/>
    <s v="Q3"/>
    <e v="#REF!"/>
    <e v="#REF!"/>
    <e v="#REF!"/>
  </r>
  <r>
    <s v="512100"/>
    <x v="6"/>
    <s v="BANQUE POPULAIRE RIVE DE PARIS"/>
    <s v="BPRI"/>
    <n v="-23.15"/>
    <d v="2025-07-24T00:00:00"/>
    <s v="FRAIS VIR ETRANGER EMIS"/>
    <m/>
    <e v="#N/A"/>
    <e v="#N/A"/>
    <n v="78440"/>
    <m/>
    <m/>
    <s v="Q3"/>
    <e v="#REF!"/>
    <e v="#REF!"/>
    <e v="#REF!"/>
  </r>
  <r>
    <s v="512100"/>
    <x v="6"/>
    <s v="BANQUE POPULAIRE RIVE DE PARIS"/>
    <s v="BPRI"/>
    <n v="-21.3"/>
    <d v="2025-04-25T00:00:00"/>
    <s v="Virement NDF"/>
    <m/>
    <e v="#N/A"/>
    <e v="#N/A"/>
    <n v="70229"/>
    <m/>
    <s v="Lucie Crépin"/>
    <s v="Q2"/>
    <e v="#REF!"/>
    <e v="#REF!"/>
    <e v="#REF!"/>
  </r>
  <r>
    <s v="645300"/>
    <x v="6"/>
    <s v="COTISATIONS AUX CAISSES DE RETRAITE"/>
    <s v="SA"/>
    <n v="42.75"/>
    <d v="2025-01-31T00:00:00"/>
    <s v="CONTRIBUTION D'EQUILIBRE GÉNÉRAL TU2"/>
    <m/>
    <e v="#N/A"/>
    <e v="#N/A"/>
    <n v="85523"/>
    <s v="SA202501"/>
    <m/>
    <s v="Q1"/>
    <e v="#REF!"/>
    <e v="#REF!"/>
    <e v="#REF!"/>
  </r>
  <r>
    <s v="512100"/>
    <x v="6"/>
    <s v="BANQUE POPULAIRE RIVE DE PARIS"/>
    <s v="BPRI"/>
    <n v="-20.77"/>
    <d v="2025-04-24T00:00:00"/>
    <s v="Prélèvement fournisseur"/>
    <m/>
    <e v="#N/A"/>
    <e v="#N/A"/>
    <n v="68537"/>
    <m/>
    <s v="DHL"/>
    <s v="Q2"/>
    <e v="#REF!"/>
    <e v="#REF!"/>
    <e v="#REF!"/>
  </r>
  <r>
    <s v="512100"/>
    <x v="6"/>
    <s v="BANQUE POPULAIRE RIVE DE PARIS"/>
    <s v="BPRI"/>
    <n v="-20.76"/>
    <d v="2025-05-22T00:00:00"/>
    <s v="FRAIS BANCAIRES"/>
    <m/>
    <e v="#N/A"/>
    <e v="#N/A"/>
    <n v="74021"/>
    <m/>
    <s v="Banque Populaire Rive de Paris"/>
    <s v="Q2"/>
    <e v="#REF!"/>
    <e v="#REF!"/>
    <e v="#REF!"/>
  </r>
  <r>
    <s v="512100"/>
    <x v="6"/>
    <s v="BANQUE POPULAIRE RIVE DE PARIS"/>
    <s v="BPRI"/>
    <n v="-20.41"/>
    <d v="2025-07-11T00:00:00"/>
    <s v="PRLV SEPA DHL"/>
    <m/>
    <e v="#N/A"/>
    <e v="#N/A"/>
    <n v="77377"/>
    <m/>
    <s v="DHL"/>
    <s v="Q3"/>
    <e v="#REF!"/>
    <e v="#REF!"/>
    <e v="#REF!"/>
  </r>
  <r>
    <s v="512100"/>
    <x v="6"/>
    <s v="BANQUE POPULAIRE RIVE DE PARIS"/>
    <s v="BPRI"/>
    <n v="-20.25"/>
    <d v="2025-02-26T00:00:00"/>
    <s v="ANTMAR"/>
    <m/>
    <e v="#N/A"/>
    <e v="#N/A"/>
    <n v="21435"/>
    <s v="2807819"/>
    <s v="Anthony Martinez"/>
    <s v="Q1"/>
    <e v="#REF!"/>
    <e v="#REF!"/>
    <e v="#REF!"/>
  </r>
  <r>
    <s v="512100"/>
    <x v="6"/>
    <s v="BANQUE POPULAIRE RIVE DE PARIS"/>
    <s v="BPRI"/>
    <n v="-20"/>
    <d v="2025-01-10T00:00:00"/>
    <s v="090125 CB    5564"/>
    <m/>
    <e v="#N/A"/>
    <e v="#N/A"/>
    <n v="20949"/>
    <s v="0HP4NIQ"/>
    <s v="ORSON.IO"/>
    <s v="Q1"/>
    <e v="#REF!"/>
    <e v="#REF!"/>
    <e v="#REF!"/>
  </r>
  <r>
    <s v="512100"/>
    <x v="6"/>
    <s v="BANQUE POPULAIRE RIVE DE PARIS"/>
    <s v="BPRI"/>
    <n v="-19.989999999999998"/>
    <d v="2025-02-18T00:00:00"/>
    <s v="VINBLA"/>
    <m/>
    <e v="#N/A"/>
    <e v="#N/A"/>
    <n v="21307"/>
    <s v="2524797"/>
    <s v="Vincent Blanchard"/>
    <s v="Q1"/>
    <e v="#REF!"/>
    <e v="#REF!"/>
    <e v="#REF!"/>
  </r>
  <r>
    <s v="512100"/>
    <x v="6"/>
    <s v="BANQUE POPULAIRE RIVE DE PARIS"/>
    <s v="BPRI"/>
    <n v="-19.899999999999999"/>
    <d v="2025-01-17T00:00:00"/>
    <s v="PRLV SEPA DHL INTERNAT. EXP FRA"/>
    <m/>
    <e v="#N/A"/>
    <e v="#N/A"/>
    <n v="21019"/>
    <s v="073QF30"/>
    <s v="DHL"/>
    <s v="Q1"/>
    <e v="#REF!"/>
    <e v="#REF!"/>
    <e v="#REF!"/>
  </r>
  <r>
    <s v="512100"/>
    <x v="6"/>
    <s v="BANQUE POPULAIRE RIVE DE PARIS"/>
    <s v="BPRI"/>
    <n v="-19.86"/>
    <d v="2025-09-19T00:00:00"/>
    <s v="PRLV SEPA DHL INTERNAT. EXP FRA"/>
    <m/>
    <e v="#N/A"/>
    <e v="#N/A"/>
    <n v="82449"/>
    <m/>
    <s v="DHL"/>
    <s v="Q3"/>
    <e v="#REF!"/>
    <e v="#REF!"/>
    <e v="#REF!"/>
  </r>
  <r>
    <s v="645300"/>
    <x v="6"/>
    <s v="COTISATIONS AUX CAISSES DE RETRAITE"/>
    <s v="SA"/>
    <n v="43.77"/>
    <d v="2025-03-31T00:00:00"/>
    <s v="CONTRIBUTION D'EQUILIBRE GÉNÉRAL TU2"/>
    <m/>
    <e v="#N/A"/>
    <e v="#N/A"/>
    <n v="80632"/>
    <s v="SA202503"/>
    <m/>
    <s v="Q1"/>
    <e v="#REF!"/>
    <e v="#REF!"/>
    <e v="#REF!"/>
  </r>
  <r>
    <s v="512100"/>
    <x v="6"/>
    <s v="BANQUE POPULAIRE RIVE DE PARIS"/>
    <s v="BPRI"/>
    <n v="-19.850000000000001"/>
    <d v="2025-01-13T00:00:00"/>
    <s v="EVI AUDIC BENOIT"/>
    <m/>
    <e v="#N/A"/>
    <e v="#N/A"/>
    <n v="20973"/>
    <s v="1106898"/>
    <s v="Benoit Audic"/>
    <s v="Q1"/>
    <e v="#REF!"/>
    <e v="#REF!"/>
    <e v="#REF!"/>
  </r>
  <r>
    <s v="645300"/>
    <x v="6"/>
    <s v="COTISATIONS AUX CAISSES DE RETRAITE"/>
    <s v="SA"/>
    <n v="43.77"/>
    <d v="2025-04-30T00:00:00"/>
    <s v="CONTRIBUTION D'EQUILIBRE GÉNÉRAL TU2"/>
    <m/>
    <e v="#N/A"/>
    <e v="#N/A"/>
    <n v="80459"/>
    <s v="SA202504"/>
    <m/>
    <s v="Q2"/>
    <e v="#REF!"/>
    <e v="#REF!"/>
    <e v="#REF!"/>
  </r>
  <r>
    <s v="512100"/>
    <x v="6"/>
    <s v="BANQUE POPULAIRE RIVE DE PARIS"/>
    <s v="BPRI"/>
    <n v="-18.8"/>
    <d v="2025-02-26T00:00:00"/>
    <s v="FRAIS VIR ETRANGER RECU"/>
    <m/>
    <e v="#N/A"/>
    <e v="#N/A"/>
    <n v="21429"/>
    <s v="64876"/>
    <s v="Banque Populaire Rive de Paris"/>
    <s v="Q1"/>
    <e v="#REF!"/>
    <e v="#REF!"/>
    <e v="#REF!"/>
  </r>
  <r>
    <s v="512100"/>
    <x v="6"/>
    <s v="BANQUE POPULAIRE RIVE DE PARIS"/>
    <s v="BPRI"/>
    <n v="-18.8"/>
    <d v="2025-05-08T00:00:00"/>
    <s v="Prélèvement Frais bancaires"/>
    <m/>
    <e v="#N/A"/>
    <e v="#N/A"/>
    <n v="71723"/>
    <m/>
    <s v="Banque Populaire Rive de Paris"/>
    <s v="Q2"/>
    <e v="#REF!"/>
    <e v="#REF!"/>
    <e v="#REF!"/>
  </r>
  <r>
    <s v="512100"/>
    <x v="6"/>
    <s v="BANQUE POPULAIRE RIVE DE PARIS"/>
    <s v="BPRI"/>
    <n v="-18.8"/>
    <d v="2025-06-11T00:00:00"/>
    <s v="Frais virement intl reçu"/>
    <m/>
    <e v="#N/A"/>
    <e v="#N/A"/>
    <n v="75940"/>
    <m/>
    <m/>
    <s v="Q2"/>
    <e v="#REF!"/>
    <e v="#REF!"/>
    <e v="#REF!"/>
  </r>
  <r>
    <s v="512100"/>
    <x v="6"/>
    <s v="BANQUE POPULAIRE RIVE DE PARIS"/>
    <s v="BPRI"/>
    <n v="-18.3"/>
    <d v="2025-02-18T00:00:00"/>
    <s v="JERBLA"/>
    <m/>
    <e v="#N/A"/>
    <e v="#N/A"/>
    <n v="21313"/>
    <s v="2529824"/>
    <s v="Jérémie Blache"/>
    <s v="Q1"/>
    <e v="#REF!"/>
    <e v="#REF!"/>
    <e v="#REF!"/>
  </r>
  <r>
    <s v="512100"/>
    <x v="6"/>
    <s v="BANQUE POPULAIRE RIVE DE PARIS"/>
    <s v="BPRI"/>
    <n v="-18.100000000000001"/>
    <d v="2025-04-30T00:00:00"/>
    <s v="Règlement NDF"/>
    <m/>
    <e v="#N/A"/>
    <e v="#N/A"/>
    <n v="70608"/>
    <m/>
    <s v="Vincent Blanchard"/>
    <s v="Q2"/>
    <e v="#REF!"/>
    <e v="#REF!"/>
    <e v="#REF!"/>
  </r>
  <r>
    <s v="645300"/>
    <x v="6"/>
    <s v="COTISATIONS AUX CAISSES DE RETRAITE"/>
    <s v="SA"/>
    <n v="43.77"/>
    <d v="2025-06-30T00:00:00"/>
    <s v="CONTRIBUTION D'EQUILIBRE GÉNÉRAL TU2"/>
    <m/>
    <e v="#N/A"/>
    <e v="#N/A"/>
    <n v="80121"/>
    <s v="SA202506"/>
    <m/>
    <s v="Q2"/>
    <e v="#REF!"/>
    <e v="#REF!"/>
    <e v="#REF!"/>
  </r>
  <r>
    <s v="645300"/>
    <x v="6"/>
    <s v="COTISATIONS AUX CAISSES DE RETRAITE"/>
    <s v="SA"/>
    <n v="43.77"/>
    <d v="2025-11-30T00:00:00"/>
    <s v="CONTRIBUTION D'EQUILIBRE GÉNÉRAL TU2"/>
    <m/>
    <e v="#N/A"/>
    <e v="#N/A"/>
    <n v="92411"/>
    <s v="SA202511"/>
    <m/>
    <s v="Q4"/>
    <e v="#REF!"/>
    <e v="#REF!"/>
    <e v="#REF!"/>
  </r>
  <r>
    <s v="645300"/>
    <x v="6"/>
    <s v="COTISATIONS AUX CAISSES DE RETRAITE"/>
    <s v="SA"/>
    <n v="43.78"/>
    <d v="2025-08-31T00:00:00"/>
    <s v="CONTRIBUTION D'EQUILIBRE GÉNÉRAL TU2"/>
    <m/>
    <e v="#N/A"/>
    <e v="#N/A"/>
    <n v="84064"/>
    <s v="SA202508"/>
    <m/>
    <s v="Q3"/>
    <e v="#REF!"/>
    <e v="#REF!"/>
    <e v="#REF!"/>
  </r>
  <r>
    <s v="645300"/>
    <x v="6"/>
    <s v="COTISATIONS AUX CAISSES DE RETRAITE"/>
    <s v="SA"/>
    <n v="43.82"/>
    <d v="2025-07-31T00:00:00"/>
    <s v="CONTRIBUTION D'EQUILIBRE GÉNÉRAL TU2"/>
    <m/>
    <e v="#N/A"/>
    <e v="#N/A"/>
    <n v="79949"/>
    <s v="SA202507"/>
    <m/>
    <s v="Q3"/>
    <e v="#REF!"/>
    <e v="#REF!"/>
    <e v="#REF!"/>
  </r>
  <r>
    <s v="512100"/>
    <x v="6"/>
    <s v="BANQUE POPULAIRE RIVE DE PARIS"/>
    <s v="BPRI"/>
    <n v="-16"/>
    <d v="2025-05-16T00:00:00"/>
    <s v="Règlement NDF"/>
    <m/>
    <e v="#N/A"/>
    <e v="#N/A"/>
    <n v="72808"/>
    <m/>
    <s v="Jérémie Blache"/>
    <s v="Q2"/>
    <e v="#REF!"/>
    <e v="#REF!"/>
    <e v="#REF!"/>
  </r>
  <r>
    <s v="512100"/>
    <x v="6"/>
    <s v="BANQUE POPULAIRE RIVE DE PARIS"/>
    <s v="BPRI"/>
    <n v="-16"/>
    <d v="2025-05-22T00:00:00"/>
    <s v="Réglement CB"/>
    <m/>
    <e v="#N/A"/>
    <e v="#N/A"/>
    <n v="74018"/>
    <m/>
    <s v="SNCF"/>
    <s v="Q2"/>
    <e v="#REF!"/>
    <e v="#REF!"/>
    <e v="#REF!"/>
  </r>
  <r>
    <s v="512100"/>
    <x v="6"/>
    <s v="BANQUE POPULAIRE RIVE DE PARIS"/>
    <s v="BPRI"/>
    <n v="-15.7"/>
    <d v="2025-02-18T00:00:00"/>
    <s v="JERBLA"/>
    <m/>
    <e v="#N/A"/>
    <e v="#N/A"/>
    <n v="21311"/>
    <s v="2524995"/>
    <s v="Jérémie Blache"/>
    <s v="Q1"/>
    <e v="#REF!"/>
    <e v="#REF!"/>
    <e v="#REF!"/>
  </r>
  <r>
    <s v="512100"/>
    <x v="6"/>
    <s v="BANQUE POPULAIRE RIVE DE PARIS"/>
    <s v="BPRI"/>
    <n v="-15.4"/>
    <d v="2025-01-17T00:00:00"/>
    <s v="COMMISSION DE CHANGE"/>
    <m/>
    <e v="#N/A"/>
    <e v="#N/A"/>
    <n v="21017"/>
    <s v="7526"/>
    <s v="Banque Populaire Rive de Paris"/>
    <s v="Q1"/>
    <e v="#REF!"/>
    <e v="#REF!"/>
    <e v="#REF!"/>
  </r>
  <r>
    <s v="512100"/>
    <x v="6"/>
    <s v="BANQUE POPULAIRE RIVE DE PARIS"/>
    <s v="BPRI"/>
    <n v="-15.4"/>
    <d v="2025-03-04T00:00:00"/>
    <s v="Frais bancaires"/>
    <m/>
    <e v="#N/A"/>
    <e v="#N/A"/>
    <n v="58975"/>
    <m/>
    <s v="Banque Populaire Rive de Paris"/>
    <s v="Q1"/>
    <e v="#REF!"/>
    <e v="#REF!"/>
    <e v="#REF!"/>
  </r>
  <r>
    <s v="512100"/>
    <x v="6"/>
    <s v="BANQUE POPULAIRE RIVE DE PARIS"/>
    <s v="BPRI"/>
    <n v="-15.4"/>
    <d v="2025-03-08T00:00:00"/>
    <s v="Frais Bancaires"/>
    <m/>
    <e v="#N/A"/>
    <e v="#N/A"/>
    <n v="60088"/>
    <m/>
    <s v="Banque Populaire Rive de Paris"/>
    <s v="Q1"/>
    <e v="#REF!"/>
    <e v="#REF!"/>
    <e v="#REF!"/>
  </r>
  <r>
    <s v="512100"/>
    <x v="6"/>
    <s v="BANQUE POPULAIRE RIVE DE PARIS"/>
    <s v="BPRI"/>
    <n v="-15.4"/>
    <d v="2025-05-08T00:00:00"/>
    <s v="Prélèvement Frais bancaires"/>
    <m/>
    <e v="#N/A"/>
    <e v="#N/A"/>
    <n v="71726"/>
    <m/>
    <s v="Banque Populaire Rive de Paris"/>
    <s v="Q2"/>
    <e v="#REF!"/>
    <e v="#REF!"/>
    <e v="#REF!"/>
  </r>
  <r>
    <s v="512100"/>
    <x v="6"/>
    <s v="BANQUE POPULAIRE RIVE DE PARIS"/>
    <s v="BPRI"/>
    <n v="-15.4"/>
    <d v="2025-07-02T00:00:00"/>
    <s v="COMMISSION DE CHANGE"/>
    <m/>
    <e v="#N/A"/>
    <e v="#N/A"/>
    <n v="77065"/>
    <m/>
    <m/>
    <s v="Q3"/>
    <e v="#REF!"/>
    <e v="#REF!"/>
    <e v="#REF!"/>
  </r>
  <r>
    <s v="512100"/>
    <x v="6"/>
    <s v="BANQUE POPULAIRE RIVE DE PARIS"/>
    <s v="BPRI"/>
    <n v="-15.4"/>
    <d v="2025-08-19T00:00:00"/>
    <s v="COMMISSION DE CHANGE"/>
    <m/>
    <e v="#N/A"/>
    <e v="#N/A"/>
    <n v="81559"/>
    <m/>
    <m/>
    <s v="Q3"/>
    <e v="#REF!"/>
    <e v="#REF!"/>
    <e v="#REF!"/>
  </r>
  <r>
    <s v="512100"/>
    <x v="6"/>
    <s v="BANQUE POPULAIRE RIVE DE PARIS"/>
    <s v="BPRI"/>
    <n v="-15.4"/>
    <d v="2025-08-19T00:00:00"/>
    <s v="COMMISSION DE CHANGE"/>
    <m/>
    <e v="#N/A"/>
    <e v="#N/A"/>
    <n v="81561"/>
    <m/>
    <m/>
    <s v="Q3"/>
    <e v="#REF!"/>
    <e v="#REF!"/>
    <e v="#REF!"/>
  </r>
  <r>
    <s v="512100"/>
    <x v="6"/>
    <s v="BANQUE POPULAIRE RIVE DE PARIS"/>
    <s v="BPRI"/>
    <n v="-15.4"/>
    <d v="2025-08-23T00:00:00"/>
    <s v="COMMISSION DE CHANGE"/>
    <m/>
    <e v="#N/A"/>
    <e v="#N/A"/>
    <n v="81631"/>
    <m/>
    <m/>
    <s v="Q3"/>
    <e v="#REF!"/>
    <e v="#REF!"/>
    <e v="#REF!"/>
  </r>
  <r>
    <s v="645300"/>
    <x v="6"/>
    <s v="COTISATIONS AUX CAISSES DE RETRAITE"/>
    <s v="SA"/>
    <n v="43.83"/>
    <d v="2025-12-31T00:00:00"/>
    <s v="CONTRIBUTION D'EQUILIBRE GÉNÉRAL TU2"/>
    <m/>
    <e v="#N/A"/>
    <e v="#N/A"/>
    <n v="92874"/>
    <s v="SA202512"/>
    <m/>
    <s v="Q4"/>
    <e v="#REF!"/>
    <e v="#REF!"/>
    <e v="#REF!"/>
  </r>
  <r>
    <s v="645300"/>
    <x v="6"/>
    <s v="COTISATIONS AUX CAISSES DE RETRAITE"/>
    <s v="SA"/>
    <n v="43.85"/>
    <d v="2025-09-30T00:00:00"/>
    <s v="CONTRIBUTION D'EQUILIBRE GÉNÉRAL TU2"/>
    <m/>
    <e v="#N/A"/>
    <e v="#N/A"/>
    <n v="84238"/>
    <s v="SA202509"/>
    <m/>
    <s v="Q3"/>
    <e v="#REF!"/>
    <e v="#REF!"/>
    <e v="#REF!"/>
  </r>
  <r>
    <s v="645300"/>
    <x v="6"/>
    <s v="COTISATIONS AUX CAISSES DE RETRAITE"/>
    <s v="SA"/>
    <n v="44.57"/>
    <d v="2025-05-31T00:00:00"/>
    <s v="CONTRIBUTION D'EQUILIBRE GÉNÉRAL TU2"/>
    <m/>
    <e v="#N/A"/>
    <e v="#N/A"/>
    <n v="80289"/>
    <s v="SA202505"/>
    <m/>
    <s v="Q2"/>
    <e v="#REF!"/>
    <e v="#REF!"/>
    <e v="#REF!"/>
  </r>
  <r>
    <s v="645300"/>
    <x v="6"/>
    <s v="COTISATIONS AUX CAISSES DE RETRAITE"/>
    <s v="SA"/>
    <n v="72.44"/>
    <d v="2025-10-31T00:00:00"/>
    <s v="CONTRIBUTION D'EQUILIBRE GÉNÉRAL TU2"/>
    <m/>
    <e v="#N/A"/>
    <e v="#N/A"/>
    <n v="87904"/>
    <s v="SA202510"/>
    <m/>
    <s v="Q4"/>
    <e v="#REF!"/>
    <e v="#REF!"/>
    <e v="#REF!"/>
  </r>
  <r>
    <s v="512100"/>
    <x v="6"/>
    <s v="BANQUE POPULAIRE RIVE DE PARIS"/>
    <s v="BPRI"/>
    <n v="-14.95"/>
    <d v="2025-01-07T00:00:00"/>
    <s v="EVI BLANCHARD VINCENT"/>
    <m/>
    <e v="#N/A"/>
    <e v="#N/A"/>
    <n v="20905"/>
    <s v="857587"/>
    <s v="Vincent Blanchard"/>
    <s v="Q1"/>
    <e v="#REF!"/>
    <e v="#REF!"/>
    <e v="#REF!"/>
  </r>
  <r>
    <s v="512100"/>
    <x v="6"/>
    <s v="BANQUE POPULAIRE RIVE DE PARIS"/>
    <s v="BPRI"/>
    <n v="-14.9"/>
    <d v="2025-03-04T00:00:00"/>
    <s v="Règlement NDF"/>
    <m/>
    <e v="#N/A"/>
    <e v="#N/A"/>
    <n v="58879"/>
    <m/>
    <s v="Jérémie Blache"/>
    <s v="Q1"/>
    <e v="#REF!"/>
    <e v="#REF!"/>
    <e v="#REF!"/>
  </r>
  <r>
    <s v="512100"/>
    <x v="6"/>
    <s v="BANQUE POPULAIRE RIVE DE PARIS"/>
    <s v="BPRI"/>
    <n v="-14.65"/>
    <d v="2025-01-27T00:00:00"/>
    <s v="EVI M JEREMIE BLACHE"/>
    <m/>
    <e v="#N/A"/>
    <e v="#N/A"/>
    <n v="21089"/>
    <s v="1587419"/>
    <s v="Jérémie Blache"/>
    <s v="Q1"/>
    <e v="#REF!"/>
    <e v="#REF!"/>
    <e v="#REF!"/>
  </r>
  <r>
    <s v="512100"/>
    <x v="6"/>
    <s v="BANQUE POPULAIRE RIVE DE PARIS"/>
    <s v="BPRI"/>
    <n v="-14.08"/>
    <d v="2025-02-05T00:00:00"/>
    <s v="ANTMAR"/>
    <m/>
    <e v="#N/A"/>
    <e v="#N/A"/>
    <n v="21185"/>
    <s v="2044613"/>
    <s v="Anthony Martinez"/>
    <s v="Q1"/>
    <e v="#REF!"/>
    <e v="#REF!"/>
    <e v="#REF!"/>
  </r>
  <r>
    <s v="512100"/>
    <x v="6"/>
    <s v="BANQUE POPULAIRE RIVE DE PARIS"/>
    <s v="BPRI"/>
    <n v="-13.15"/>
    <d v="2025-01-17T00:00:00"/>
    <s v="FRAIS VIR ETRANGER EMIS"/>
    <m/>
    <e v="#N/A"/>
    <e v="#N/A"/>
    <n v="21015"/>
    <s v="7525"/>
    <s v="Banque Populaire Rive de Paris"/>
    <s v="Q1"/>
    <e v="#REF!"/>
    <e v="#REF!"/>
    <e v="#REF!"/>
  </r>
  <r>
    <s v="512100"/>
    <x v="6"/>
    <s v="BANQUE POPULAIRE RIVE DE PARIS"/>
    <s v="BPRI"/>
    <n v="-13.15"/>
    <d v="2025-03-04T00:00:00"/>
    <s v="Frais bancaires"/>
    <m/>
    <e v="#N/A"/>
    <e v="#N/A"/>
    <n v="58972"/>
    <m/>
    <s v="Banque Populaire Rive de Paris"/>
    <s v="Q1"/>
    <e v="#REF!"/>
    <e v="#REF!"/>
    <e v="#REF!"/>
  </r>
  <r>
    <s v="512100"/>
    <x v="6"/>
    <s v="BANQUE POPULAIRE RIVE DE PARIS"/>
    <s v="BPRI"/>
    <n v="-13.15"/>
    <d v="2025-03-08T00:00:00"/>
    <s v="Frais Bancaires"/>
    <m/>
    <e v="#N/A"/>
    <e v="#N/A"/>
    <n v="60085"/>
    <m/>
    <s v="Banque Populaire Rive de Paris"/>
    <s v="Q1"/>
    <e v="#REF!"/>
    <e v="#REF!"/>
    <e v="#REF!"/>
  </r>
  <r>
    <s v="512100"/>
    <x v="6"/>
    <s v="BANQUE POPULAIRE RIVE DE PARIS"/>
    <s v="BPRI"/>
    <n v="-13.15"/>
    <d v="2025-07-02T00:00:00"/>
    <s v="FRAIS VIR ETRANGER EMIS"/>
    <m/>
    <e v="#N/A"/>
    <e v="#N/A"/>
    <n v="77062"/>
    <m/>
    <m/>
    <s v="Q3"/>
    <e v="#REF!"/>
    <e v="#REF!"/>
    <e v="#REF!"/>
  </r>
  <r>
    <s v="512100"/>
    <x v="6"/>
    <s v="BANQUE POPULAIRE RIVE DE PARIS"/>
    <s v="BPRI"/>
    <n v="-13.15"/>
    <d v="2025-08-19T00:00:00"/>
    <s v="FRAIS VIR ETRANGER EMIS"/>
    <m/>
    <e v="#N/A"/>
    <e v="#N/A"/>
    <n v="81553"/>
    <m/>
    <m/>
    <s v="Q3"/>
    <e v="#REF!"/>
    <e v="#REF!"/>
    <e v="#REF!"/>
  </r>
  <r>
    <s v="512100"/>
    <x v="6"/>
    <s v="BANQUE POPULAIRE RIVE DE PARIS"/>
    <s v="BPRI"/>
    <n v="-13.15"/>
    <d v="2025-08-19T00:00:00"/>
    <s v="FRAIS VIR ETRANGER EMIS"/>
    <m/>
    <e v="#N/A"/>
    <e v="#N/A"/>
    <n v="81555"/>
    <m/>
    <m/>
    <s v="Q3"/>
    <e v="#REF!"/>
    <e v="#REF!"/>
    <e v="#REF!"/>
  </r>
  <r>
    <s v="512100"/>
    <x v="6"/>
    <s v="BANQUE POPULAIRE RIVE DE PARIS"/>
    <s v="BPRI"/>
    <n v="-13.15"/>
    <d v="2025-08-23T00:00:00"/>
    <s v="FRAIS VIR ETRANGER EMIS"/>
    <m/>
    <e v="#N/A"/>
    <e v="#N/A"/>
    <n v="81628"/>
    <m/>
    <m/>
    <s v="Q3"/>
    <e v="#REF!"/>
    <e v="#REF!"/>
    <e v="#REF!"/>
  </r>
  <r>
    <s v="645300"/>
    <x v="6"/>
    <s v="COTISATIONS AUX CAISSES DE RETRAITE"/>
    <s v="SA"/>
    <n v="152.93"/>
    <d v="2025-06-30T00:00:00"/>
    <s v="CONTRIBUTION D'EQUILIBRE GÉNÉRAL TU2"/>
    <m/>
    <e v="#N/A"/>
    <e v="#N/A"/>
    <n v="80112"/>
    <s v="SA202506"/>
    <m/>
    <s v="Q2"/>
    <e v="#REF!"/>
    <e v="#REF!"/>
    <e v="#REF!"/>
  </r>
  <r>
    <s v="645300"/>
    <x v="6"/>
    <s v="COTISATIONS AUX CAISSES DE RETRAITE"/>
    <s v="SA"/>
    <n v="168.78"/>
    <d v="2025-01-31T00:00:00"/>
    <s v="CONTRIBUTION D'EQUILIBRE GÉNÉRAL TU2"/>
    <m/>
    <e v="#N/A"/>
    <e v="#N/A"/>
    <n v="85505"/>
    <s v="SA202501"/>
    <m/>
    <s v="Q1"/>
    <e v="#REF!"/>
    <e v="#REF!"/>
    <e v="#REF!"/>
  </r>
  <r>
    <s v="512100"/>
    <x v="6"/>
    <s v="BANQUE POPULAIRE RIVE DE PARIS"/>
    <s v="BPRI"/>
    <n v="-12.85"/>
    <d v="2025-04-30T00:00:00"/>
    <s v="Règlement NDF"/>
    <m/>
    <e v="#N/A"/>
    <e v="#N/A"/>
    <n v="70611"/>
    <m/>
    <s v="Jérémie Blache"/>
    <s v="Q2"/>
    <e v="#REF!"/>
    <e v="#REF!"/>
    <e v="#REF!"/>
  </r>
  <r>
    <s v="512100"/>
    <x v="6"/>
    <s v="BANQUE POPULAIRE RIVE DE PARIS"/>
    <s v="BPRI"/>
    <n v="-12.62"/>
    <d v="2025-04-30T00:00:00"/>
    <s v="Règlement NDF"/>
    <m/>
    <e v="#N/A"/>
    <e v="#N/A"/>
    <n v="70614"/>
    <m/>
    <s v="Filipe Gomes"/>
    <s v="Q2"/>
    <e v="#REF!"/>
    <e v="#REF!"/>
    <e v="#REF!"/>
  </r>
  <r>
    <s v="512100"/>
    <x v="6"/>
    <s v="BANQUE POPULAIRE RIVE DE PARIS"/>
    <s v="BPRI"/>
    <n v="-12.15"/>
    <d v="2025-03-10T00:00:00"/>
    <s v="Règlement NDF"/>
    <m/>
    <e v="#N/A"/>
    <e v="#N/A"/>
    <n v="60055"/>
    <m/>
    <s v="Jérémie Blache"/>
    <s v="Q1"/>
    <e v="#REF!"/>
    <e v="#REF!"/>
    <e v="#REF!"/>
  </r>
  <r>
    <s v="512100"/>
    <x v="6"/>
    <s v="BANQUE POPULAIRE RIVE DE PARIS"/>
    <s v="BPRI"/>
    <n v="-12"/>
    <d v="2025-01-14T00:00:00"/>
    <s v="PRLV SEPA BPIFRANCE FINANCEMENT"/>
    <m/>
    <e v="#N/A"/>
    <e v="#N/A"/>
    <n v="20979"/>
    <s v="072MID5"/>
    <s v="BPI FRANCE"/>
    <s v="Q1"/>
    <e v="#REF!"/>
    <e v="#REF!"/>
    <e v="#REF!"/>
  </r>
  <r>
    <s v="512100"/>
    <x v="6"/>
    <s v="BANQUE POPULAIRE RIVE DE PARIS"/>
    <s v="BPRI"/>
    <n v="-12"/>
    <d v="2025-02-14T00:00:00"/>
    <s v="PRLV SEPA BPIFRANCE FINANCEMENT"/>
    <m/>
    <e v="#N/A"/>
    <e v="#N/A"/>
    <n v="21299"/>
    <s v="07CPIQ9"/>
    <s v="BPI FRANCE"/>
    <s v="Q1"/>
    <e v="#REF!"/>
    <e v="#REF!"/>
    <e v="#REF!"/>
  </r>
  <r>
    <s v="512100"/>
    <x v="6"/>
    <s v="BANQUE POPULAIRE RIVE DE PARIS"/>
    <s v="BPRI"/>
    <n v="-12"/>
    <d v="2025-03-28T00:00:00"/>
    <s v="Prélèvement BPI"/>
    <m/>
    <e v="#N/A"/>
    <e v="#N/A"/>
    <n v="64538"/>
    <m/>
    <s v="BPI FRANCE"/>
    <s v="Q1"/>
    <e v="#REF!"/>
    <e v="#REF!"/>
    <e v="#REF!"/>
  </r>
  <r>
    <s v="512100"/>
    <x v="6"/>
    <s v="BANQUE POPULAIRE RIVE DE PARIS"/>
    <s v="BPRI"/>
    <n v="-12"/>
    <d v="2025-04-14T00:00:00"/>
    <s v="Prélèvement fournisseur"/>
    <m/>
    <e v="#N/A"/>
    <e v="#N/A"/>
    <n v="67605"/>
    <m/>
    <s v="BPI FRANCE"/>
    <s v="Q2"/>
    <e v="#REF!"/>
    <e v="#REF!"/>
    <e v="#REF!"/>
  </r>
  <r>
    <s v="512100"/>
    <x v="6"/>
    <s v="BANQUE POPULAIRE RIVE DE PARIS"/>
    <s v="BPRI"/>
    <n v="-12"/>
    <d v="2025-05-14T00:00:00"/>
    <s v="Prélèvement BPI"/>
    <m/>
    <e v="#N/A"/>
    <e v="#N/A"/>
    <n v="72288"/>
    <m/>
    <s v="BPI FRANCE"/>
    <s v="Q2"/>
    <e v="#REF!"/>
    <e v="#REF!"/>
    <e v="#REF!"/>
  </r>
  <r>
    <s v="512100"/>
    <x v="6"/>
    <s v="BANQUE POPULAIRE RIVE DE PARIS"/>
    <s v="BPRI"/>
    <n v="-12"/>
    <d v="2025-06-13T00:00:00"/>
    <s v="PRLV SEPA BPIFRANCE FINANCEMENT"/>
    <m/>
    <e v="#N/A"/>
    <e v="#N/A"/>
    <n v="76000"/>
    <m/>
    <s v="BPI FRANCE"/>
    <s v="Q2"/>
    <e v="#REF!"/>
    <e v="#REF!"/>
    <e v="#REF!"/>
  </r>
  <r>
    <s v="512100"/>
    <x v="6"/>
    <s v="BANQUE POPULAIRE RIVE DE PARIS"/>
    <s v="BPRI"/>
    <n v="-12"/>
    <d v="2025-07-14T00:00:00"/>
    <s v="PRLV SEPA BPIFRANCE FINANCEMENT"/>
    <m/>
    <e v="#N/A"/>
    <e v="#N/A"/>
    <n v="78442"/>
    <m/>
    <m/>
    <s v="Q3"/>
    <e v="#REF!"/>
    <e v="#REF!"/>
    <e v="#REF!"/>
  </r>
  <r>
    <s v="645300"/>
    <x v="6"/>
    <s v="COTISATIONS AUX CAISSES DE RETRAITE"/>
    <s v="SA"/>
    <n v="170.52"/>
    <d v="2025-10-31T00:00:00"/>
    <s v="CONTRIBUTION D'EQUILIBRE GÉNÉRAL TU2"/>
    <m/>
    <e v="#N/A"/>
    <e v="#N/A"/>
    <n v="87895"/>
    <s v="SA202510"/>
    <m/>
    <s v="Q4"/>
    <e v="#REF!"/>
    <e v="#REF!"/>
    <e v="#REF!"/>
  </r>
  <r>
    <s v="512100"/>
    <x v="6"/>
    <s v="BANQUE POPULAIRE RIVE DE PARIS"/>
    <s v="BPRI"/>
    <n v="-12"/>
    <d v="2025-09-11T00:00:00"/>
    <s v="PRLV SEPA BPIFRANCE FINANCEMENT"/>
    <m/>
    <e v="#N/A"/>
    <e v="#N/A"/>
    <n v="82096"/>
    <m/>
    <s v="BPI FRANCE"/>
    <s v="Q3"/>
    <e v="#REF!"/>
    <e v="#REF!"/>
    <e v="#REF!"/>
  </r>
  <r>
    <s v="645300"/>
    <x v="6"/>
    <s v="COTISATIONS AUX CAISSES DE RETRAITE"/>
    <s v="SA"/>
    <n v="175.16"/>
    <d v="2025-12-31T00:00:00"/>
    <s v="CONTRIBUTION D'EQUILIBRE GÉNÉRAL TU2"/>
    <m/>
    <e v="#N/A"/>
    <e v="#N/A"/>
    <n v="92865"/>
    <s v="SA202512"/>
    <m/>
    <s v="Q4"/>
    <e v="#REF!"/>
    <e v="#REF!"/>
    <e v="#REF!"/>
  </r>
  <r>
    <s v="645300"/>
    <x v="6"/>
    <s v="COTISATIONS AUX CAISSES DE RETRAITE"/>
    <s v="SA"/>
    <n v="181.34"/>
    <d v="2025-05-31T00:00:00"/>
    <s v="CONTRIBUTION D'EQUILIBRE GÉNÉRAL TU2"/>
    <m/>
    <e v="#N/A"/>
    <e v="#N/A"/>
    <n v="80280"/>
    <s v="SA202505"/>
    <m/>
    <s v="Q2"/>
    <e v="#REF!"/>
    <e v="#REF!"/>
    <e v="#REF!"/>
  </r>
  <r>
    <s v="645300"/>
    <x v="6"/>
    <s v="COTISATIONS AUX CAISSES DE RETRAITE"/>
    <s v="SA"/>
    <n v="185.05"/>
    <d v="2025-02-28T00:00:00"/>
    <s v="CONTRIBUTION D'EQUILIBRE GÉNÉRAL TU2"/>
    <m/>
    <e v="#N/A"/>
    <e v="#N/A"/>
    <n v="85351"/>
    <s v="SA202502"/>
    <m/>
    <s v="Q1"/>
    <e v="#REF!"/>
    <e v="#REF!"/>
    <e v="#REF!"/>
  </r>
  <r>
    <s v="512100"/>
    <x v="6"/>
    <s v="BANQUE POPULAIRE RIVE DE PARIS"/>
    <s v="BPRI"/>
    <n v="-11.99"/>
    <d v="2025-01-27T00:00:00"/>
    <s v="Règlement NDF"/>
    <m/>
    <e v="#N/A"/>
    <e v="#N/A"/>
    <n v="21091"/>
    <s v="1587985"/>
    <s v="Nicolas Canu"/>
    <s v="Q1"/>
    <e v="#REF!"/>
    <e v="#REF!"/>
    <e v="#REF!"/>
  </r>
  <r>
    <s v="512100"/>
    <x v="6"/>
    <s v="BANQUE POPULAIRE RIVE DE PARIS"/>
    <s v="BPRI"/>
    <n v="-10.9"/>
    <d v="2025-03-14T00:00:00"/>
    <s v="Règlement NDF"/>
    <m/>
    <e v="#N/A"/>
    <e v="#N/A"/>
    <n v="61691"/>
    <m/>
    <s v="Jérémie Blache"/>
    <s v="Q1"/>
    <e v="#REF!"/>
    <e v="#REF!"/>
    <e v="#REF!"/>
  </r>
  <r>
    <s v="512100"/>
    <x v="6"/>
    <s v="BANQUE POPULAIRE RIVE DE PARIS"/>
    <s v="BPRI"/>
    <n v="-10.1"/>
    <d v="2025-02-18T00:00:00"/>
    <s v="JERBLA"/>
    <m/>
    <e v="#N/A"/>
    <e v="#N/A"/>
    <n v="21309"/>
    <s v="2524875"/>
    <s v="Jérémie Blache"/>
    <s v="Q1"/>
    <e v="#REF!"/>
    <e v="#REF!"/>
    <e v="#REF!"/>
  </r>
  <r>
    <s v="512100"/>
    <x v="6"/>
    <s v="BANQUE POPULAIRE RIVE DE PARIS"/>
    <s v="BPRI"/>
    <n v="-10"/>
    <d v="2025-07-02T00:00:00"/>
    <s v="FRAIS CORRESPONDANT ETRG"/>
    <m/>
    <e v="#N/A"/>
    <e v="#N/A"/>
    <n v="77059"/>
    <m/>
    <m/>
    <s v="Q3"/>
    <e v="#REF!"/>
    <e v="#REF!"/>
    <e v="#REF!"/>
  </r>
  <r>
    <s v="512100"/>
    <x v="6"/>
    <s v="BANQUE POPULAIRE RIVE DE PARIS"/>
    <s v="BPRI"/>
    <n v="-10"/>
    <d v="2025-08-19T00:00:00"/>
    <s v="FRAIS CORRESPONDANT ETRG"/>
    <m/>
    <e v="#N/A"/>
    <e v="#N/A"/>
    <n v="81557"/>
    <m/>
    <m/>
    <s v="Q3"/>
    <e v="#REF!"/>
    <e v="#REF!"/>
    <e v="#REF!"/>
  </r>
  <r>
    <s v="512100"/>
    <x v="6"/>
    <s v="BANQUE POPULAIRE RIVE DE PARIS"/>
    <s v="BPRI"/>
    <n v="-10"/>
    <d v="2025-08-23T00:00:00"/>
    <s v="FRAIS CORRESPONDANT ETRG"/>
    <m/>
    <e v="#N/A"/>
    <e v="#N/A"/>
    <n v="81625"/>
    <m/>
    <m/>
    <s v="Q3"/>
    <e v="#REF!"/>
    <e v="#REF!"/>
    <e v="#REF!"/>
  </r>
  <r>
    <s v="512100"/>
    <x v="6"/>
    <s v="BANQUE POPULAIRE RIVE DE PARIS"/>
    <s v="BPRI"/>
    <n v="-9.5"/>
    <d v="2025-03-06T00:00:00"/>
    <s v="Règlement CB - SNCF"/>
    <m/>
    <e v="#N/A"/>
    <e v="#N/A"/>
    <n v="59006"/>
    <m/>
    <s v="SNCF"/>
    <s v="Q1"/>
    <e v="#REF!"/>
    <e v="#REF!"/>
    <e v="#REF!"/>
  </r>
  <r>
    <s v="512100"/>
    <x v="6"/>
    <s v="BANQUE POPULAIRE RIVE DE PARIS"/>
    <s v="BPRI"/>
    <n v="-8.9"/>
    <d v="2025-04-30T00:00:00"/>
    <s v="Règlement NDF"/>
    <m/>
    <e v="#N/A"/>
    <e v="#N/A"/>
    <n v="70617"/>
    <m/>
    <s v="Jérémie Blache"/>
    <s v="Q2"/>
    <e v="#REF!"/>
    <e v="#REF!"/>
    <e v="#REF!"/>
  </r>
  <r>
    <s v="512100"/>
    <x v="6"/>
    <s v="BANQUE POPULAIRE RIVE DE PARIS"/>
    <s v="BPRI"/>
    <n v="-8.25"/>
    <d v="2025-04-29T00:00:00"/>
    <s v="Règlement NDF"/>
    <m/>
    <e v="#N/A"/>
    <e v="#N/A"/>
    <n v="70514"/>
    <m/>
    <s v="Jérémie Blache"/>
    <s v="Q2"/>
    <e v="#REF!"/>
    <e v="#REF!"/>
    <e v="#REF!"/>
  </r>
  <r>
    <s v="512100"/>
    <x v="6"/>
    <s v="BANQUE POPULAIRE RIVE DE PARIS"/>
    <s v="BPRI"/>
    <n v="-7.96"/>
    <d v="2025-04-09T00:00:00"/>
    <s v="La poste - CB LOIMAS"/>
    <m/>
    <e v="#N/A"/>
    <e v="#N/A"/>
    <n v="66718"/>
    <m/>
    <s v="LA POSTE"/>
    <s v="Q2"/>
    <e v="#REF!"/>
    <e v="#REF!"/>
    <e v="#REF!"/>
  </r>
  <r>
    <s v="645300"/>
    <x v="6"/>
    <s v="COTISATIONS AUX CAISSES DE RETRAITE"/>
    <s v="SA"/>
    <n v="188.45"/>
    <d v="2025-01-31T00:00:00"/>
    <s v="CONTRIBUTION D'EQUILIBRE GÉNÉRAL TU2"/>
    <m/>
    <e v="#N/A"/>
    <e v="#N/A"/>
    <n v="85514"/>
    <s v="SA202501"/>
    <m/>
    <s v="Q1"/>
    <e v="#REF!"/>
    <e v="#REF!"/>
    <e v="#REF!"/>
  </r>
  <r>
    <s v="645300"/>
    <x v="6"/>
    <s v="COTISATIONS AUX CAISSES DE RETRAITE"/>
    <s v="SA"/>
    <n v="192.14"/>
    <d v="2025-07-31T00:00:00"/>
    <s v="CONTRIBUTION D'EQUILIBRE GÉNÉRAL TU2"/>
    <m/>
    <e v="#N/A"/>
    <e v="#N/A"/>
    <n v="79940"/>
    <s v="SA202507"/>
    <m/>
    <s v="Q3"/>
    <e v="#REF!"/>
    <e v="#REF!"/>
    <e v="#REF!"/>
  </r>
  <r>
    <s v="512100"/>
    <x v="6"/>
    <s v="BANQUE POPULAIRE RIVE DE PARIS"/>
    <s v="BPRI"/>
    <n v="-7.14"/>
    <d v="2025-03-18T00:00:00"/>
    <s v="Règlement CB - LOIMAR"/>
    <m/>
    <e v="#N/A"/>
    <e v="#N/A"/>
    <n v="61892"/>
    <m/>
    <s v="LA POSTE"/>
    <s v="Q1"/>
    <e v="#REF!"/>
    <e v="#REF!"/>
    <e v="#REF!"/>
  </r>
  <r>
    <s v="645300"/>
    <x v="6"/>
    <s v="COTISATIONS AUX CAISSES DE RETRAITE"/>
    <s v="SA"/>
    <n v="196.38"/>
    <d v="2025-11-30T00:00:00"/>
    <s v="CONTRIBUTION D'EQUILIBRE GÉNÉRAL TU2"/>
    <m/>
    <e v="#N/A"/>
    <e v="#N/A"/>
    <n v="92402"/>
    <s v="SA202511"/>
    <m/>
    <s v="Q4"/>
    <e v="#REF!"/>
    <e v="#REF!"/>
    <e v="#REF!"/>
  </r>
  <r>
    <s v="645300"/>
    <x v="6"/>
    <s v="COTISATIONS AUX CAISSES DE RETRAITE"/>
    <s v="SA"/>
    <n v="196.4"/>
    <d v="2025-09-30T00:00:00"/>
    <s v="CONTRIBUTION D'EQUILIBRE GÉNÉRAL TU2"/>
    <m/>
    <e v="#N/A"/>
    <e v="#N/A"/>
    <n v="84229"/>
    <s v="SA202509"/>
    <m/>
    <s v="Q3"/>
    <e v="#REF!"/>
    <e v="#REF!"/>
    <e v="#REF!"/>
  </r>
  <r>
    <s v="512100"/>
    <x v="6"/>
    <s v="BANQUE POPULAIRE RIVE DE PARIS"/>
    <s v="BPRI"/>
    <n v="-6"/>
    <d v="2025-03-04T00:00:00"/>
    <s v="Règlement CB - SNCF"/>
    <m/>
    <e v="#N/A"/>
    <e v="#N/A"/>
    <n v="59009"/>
    <m/>
    <s v="SNCF"/>
    <s v="Q1"/>
    <e v="#REF!"/>
    <e v="#REF!"/>
    <e v="#REF!"/>
  </r>
  <r>
    <s v="645300"/>
    <x v="6"/>
    <s v="COTISATIONS AUX CAISSES DE RETRAITE"/>
    <s v="SA"/>
    <n v="197.68"/>
    <d v="2025-10-31T00:00:00"/>
    <s v="CONTRIBUTION D'EQUILIBRE GÉNÉRAL TU2"/>
    <m/>
    <e v="#N/A"/>
    <e v="#N/A"/>
    <n v="87886"/>
    <s v="SA202510"/>
    <m/>
    <s v="Q4"/>
    <e v="#REF!"/>
    <e v="#REF!"/>
    <e v="#REF!"/>
  </r>
  <r>
    <s v="512100"/>
    <x v="6"/>
    <s v="BANQUE POPULAIRE RIVE DE PARIS"/>
    <s v="BPRI"/>
    <n v="-5"/>
    <d v="2025-02-26T00:00:00"/>
    <s v="BENAUD"/>
    <m/>
    <e v="#N/A"/>
    <e v="#N/A"/>
    <n v="21439"/>
    <s v="2808083"/>
    <s v="Benoit Audic"/>
    <s v="Q1"/>
    <e v="#REF!"/>
    <e v="#REF!"/>
    <e v="#REF!"/>
  </r>
  <r>
    <s v="512100"/>
    <x v="6"/>
    <s v="BANQUE POPULAIRE RIVE DE PARIS"/>
    <s v="BPRI"/>
    <n v="-4.55"/>
    <d v="2025-04-30T00:00:00"/>
    <s v="Règlement NDF"/>
    <m/>
    <e v="#N/A"/>
    <e v="#N/A"/>
    <n v="70620"/>
    <m/>
    <s v="Jérémie Blache"/>
    <s v="Q2"/>
    <e v="#REF!"/>
    <e v="#REF!"/>
    <e v="#REF!"/>
  </r>
  <r>
    <s v="512100"/>
    <x v="6"/>
    <s v="BANQUE POPULAIRE RIVE DE PARIS"/>
    <s v="BPRI"/>
    <n v="-4.32"/>
    <d v="2025-05-16T00:00:00"/>
    <s v="Règlement NDF"/>
    <m/>
    <e v="#N/A"/>
    <e v="#N/A"/>
    <n v="72805"/>
    <m/>
    <s v="Jérémie Blache"/>
    <s v="Q2"/>
    <e v="#REF!"/>
    <e v="#REF!"/>
    <e v="#REF!"/>
  </r>
  <r>
    <s v="512100"/>
    <x v="6"/>
    <s v="BANQUE POPULAIRE RIVE DE PARIS"/>
    <s v="BPRI"/>
    <n v="-1.74"/>
    <d v="2025-01-29T00:00:00"/>
    <s v="PRLV SEPA ENGIE"/>
    <m/>
    <e v="#N/A"/>
    <e v="#N/A"/>
    <n v="21104"/>
    <s v="076156F"/>
    <s v="ENGIE"/>
    <s v="Q1"/>
    <e v="#REF!"/>
    <e v="#REF!"/>
    <e v="#REF!"/>
  </r>
  <r>
    <s v="512100"/>
    <x v="6"/>
    <s v="BANQUE POPULAIRE RIVE DE PARIS"/>
    <s v="BPRI"/>
    <n v="-1.74"/>
    <d v="2025-01-29T00:00:00"/>
    <s v="PRLV SEPA ENGIE"/>
    <m/>
    <e v="#N/A"/>
    <e v="#N/A"/>
    <n v="21106"/>
    <s v="07615CC"/>
    <s v="ENGIE"/>
    <s v="Q1"/>
    <e v="#REF!"/>
    <e v="#REF!"/>
    <e v="#REF!"/>
  </r>
  <r>
    <s v="645300"/>
    <x v="6"/>
    <s v="COTISATIONS AUX CAISSES DE RETRAITE"/>
    <s v="SA"/>
    <n v="198"/>
    <d v="2025-07-31T00:00:00"/>
    <s v="CONTRIBUTION D'EQUILIBRE GÉNÉRAL TU2"/>
    <m/>
    <e v="#N/A"/>
    <e v="#N/A"/>
    <n v="79931"/>
    <s v="SA202507"/>
    <m/>
    <s v="Q3"/>
    <e v="#REF!"/>
    <e v="#REF!"/>
    <e v="#REF!"/>
  </r>
  <r>
    <s v="512100"/>
    <x v="6"/>
    <s v="BANQUE POPULAIRE RIVE DE PARIS"/>
    <s v="BPRI"/>
    <n v="5"/>
    <d v="2025-02-25T00:00:00"/>
    <s v="ANNUL.FACT.CB"/>
    <m/>
    <e v="#N/A"/>
    <e v="#N/A"/>
    <n v="21423"/>
    <s v="2L9WU1P"/>
    <m/>
    <s v="Q1"/>
    <e v="#REF!"/>
    <e v="#REF!"/>
    <e v="#REF!"/>
  </r>
  <r>
    <s v="512100"/>
    <x v="6"/>
    <s v="BANQUE POPULAIRE RIVE DE PARIS"/>
    <s v="BPRI"/>
    <n v="9.0299999999999994"/>
    <d v="2025-03-03T00:00:00"/>
    <s v="Frais bancaire"/>
    <m/>
    <e v="#N/A"/>
    <e v="#N/A"/>
    <n v="66563"/>
    <m/>
    <m/>
    <s v="Q1"/>
    <e v="#REF!"/>
    <e v="#REF!"/>
    <e v="#REF!"/>
  </r>
  <r>
    <s v="645300"/>
    <x v="6"/>
    <s v="COTISATIONS AUX CAISSES DE RETRAITE"/>
    <s v="SA"/>
    <n v="198.25"/>
    <d v="2025-03-31T00:00:00"/>
    <s v="CONTRIBUTION D'EQUILIBRE GÉNÉRAL TU2"/>
    <m/>
    <e v="#N/A"/>
    <e v="#N/A"/>
    <n v="80614"/>
    <s v="SA202503"/>
    <m/>
    <s v="Q1"/>
    <e v="#REF!"/>
    <e v="#REF!"/>
    <e v="#REF!"/>
  </r>
  <r>
    <s v="645300"/>
    <x v="6"/>
    <s v="COTISATIONS AUX CAISSES DE RETRAITE"/>
    <s v="SA"/>
    <n v="198.77"/>
    <d v="2025-12-31T00:00:00"/>
    <s v="CONTRIBUTION D'EQUILIBRE GÉNÉRAL TU2"/>
    <m/>
    <e v="#N/A"/>
    <e v="#N/A"/>
    <n v="92856"/>
    <s v="SA202512"/>
    <m/>
    <s v="Q4"/>
    <e v="#REF!"/>
    <e v="#REF!"/>
    <e v="#REF!"/>
  </r>
  <r>
    <s v="645300"/>
    <x v="6"/>
    <s v="COTISATIONS AUX CAISSES DE RETRAITE"/>
    <s v="SA"/>
    <n v="199.37"/>
    <d v="2025-03-31T00:00:00"/>
    <s v="CONTRIBUTION D'EQUILIBRE GÉNÉRAL TU2"/>
    <m/>
    <e v="#N/A"/>
    <e v="#N/A"/>
    <n v="80623"/>
    <s v="SA202503"/>
    <m/>
    <s v="Q1"/>
    <e v="#REF!"/>
    <e v="#REF!"/>
    <e v="#REF!"/>
  </r>
  <r>
    <s v="645300"/>
    <x v="6"/>
    <s v="COTISATIONS AUX CAISSES DE RETRAITE"/>
    <s v="SA"/>
    <n v="201.55"/>
    <d v="2025-11-30T00:00:00"/>
    <s v="CONTRIBUTION D'EQUILIBRE GÉNÉRAL TU2"/>
    <m/>
    <e v="#N/A"/>
    <e v="#N/A"/>
    <n v="92393"/>
    <s v="SA202511"/>
    <m/>
    <s v="Q4"/>
    <e v="#REF!"/>
    <e v="#REF!"/>
    <e v="#REF!"/>
  </r>
  <r>
    <s v="512100"/>
    <x v="6"/>
    <s v="BANQUE POPULAIRE RIVE DE PARIS"/>
    <s v="BPRI"/>
    <n v="28"/>
    <d v="2025-02-25T00:00:00"/>
    <s v="ANNUL.FACT.CB"/>
    <m/>
    <e v="#N/A"/>
    <e v="#N/A"/>
    <n v="21425"/>
    <s v="2L9WU1Q"/>
    <m/>
    <s v="Q1"/>
    <e v="#REF!"/>
    <e v="#REF!"/>
    <e v="#REF!"/>
  </r>
  <r>
    <s v="645300"/>
    <x v="6"/>
    <s v="COTISATIONS AUX CAISSES DE RETRAITE"/>
    <s v="SA"/>
    <n v="203.18"/>
    <d v="2025-08-31T00:00:00"/>
    <s v="CONTRIBUTION D'EQUILIBRE GÉNÉRAL TU2"/>
    <m/>
    <e v="#N/A"/>
    <e v="#N/A"/>
    <n v="84046"/>
    <s v="SA202508"/>
    <m/>
    <s v="Q3"/>
    <e v="#REF!"/>
    <e v="#REF!"/>
    <e v="#REF!"/>
  </r>
  <r>
    <s v="645300"/>
    <x v="6"/>
    <s v="COTISATIONS AUX CAISSES DE RETRAITE"/>
    <s v="SA"/>
    <n v="203.81"/>
    <d v="2025-07-31T00:00:00"/>
    <s v="CONTRIBUTION D'EQUILIBRE GÉNÉRAL TU2"/>
    <m/>
    <e v="#N/A"/>
    <e v="#N/A"/>
    <n v="79923"/>
    <s v="SA202507"/>
    <m/>
    <s v="Q3"/>
    <e v="#REF!"/>
    <e v="#REF!"/>
    <e v="#REF!"/>
  </r>
  <r>
    <s v="645300"/>
    <x v="6"/>
    <s v="COTISATIONS AUX CAISSES DE RETRAITE"/>
    <s v="SA"/>
    <n v="209.35"/>
    <d v="2025-08-31T00:00:00"/>
    <s v="CONTRIBUTION D'EQUILIBRE GÉNÉRAL TU2"/>
    <m/>
    <e v="#N/A"/>
    <e v="#N/A"/>
    <n v="84055"/>
    <s v="SA202508"/>
    <m/>
    <s v="Q3"/>
    <e v="#REF!"/>
    <e v="#REF!"/>
    <e v="#REF!"/>
  </r>
  <r>
    <s v="645300"/>
    <x v="6"/>
    <s v="COTISATIONS AUX CAISSES DE RETRAITE"/>
    <s v="SA"/>
    <n v="209.97"/>
    <d v="2025-05-31T00:00:00"/>
    <s v="CONTRIBUTION D'EQUILIBRE GÉNÉRAL TU2"/>
    <m/>
    <e v="#N/A"/>
    <e v="#N/A"/>
    <n v="80271"/>
    <s v="SA202505"/>
    <m/>
    <s v="Q2"/>
    <e v="#REF!"/>
    <e v="#REF!"/>
    <e v="#REF!"/>
  </r>
  <r>
    <s v="645300"/>
    <x v="6"/>
    <s v="COTISATIONS AUX CAISSES DE RETRAITE"/>
    <s v="SA"/>
    <n v="224.68"/>
    <d v="2025-03-31T00:00:00"/>
    <s v="CONTRIBUTION D'EQUILIBRE GÉNÉRAL TU2"/>
    <m/>
    <e v="#N/A"/>
    <e v="#N/A"/>
    <n v="80606"/>
    <s v="SA202503"/>
    <m/>
    <s v="Q1"/>
    <e v="#REF!"/>
    <e v="#REF!"/>
    <e v="#REF!"/>
  </r>
  <r>
    <s v="645300"/>
    <x v="6"/>
    <s v="COTISATIONS AUX CAISSES DE RETRAITE"/>
    <s v="SA"/>
    <n v="224.68"/>
    <d v="2025-04-30T00:00:00"/>
    <s v="CONTRIBUTION D'EQUILIBRE GÉNÉRAL TU2"/>
    <m/>
    <e v="#N/A"/>
    <e v="#N/A"/>
    <n v="80433"/>
    <s v="SA202504"/>
    <m/>
    <s v="Q2"/>
    <e v="#REF!"/>
    <e v="#REF!"/>
    <e v="#REF!"/>
  </r>
  <r>
    <s v="512100"/>
    <x v="6"/>
    <s v="BANQUE POPULAIRE RIVE DE PARIS"/>
    <s v="BPRI"/>
    <n v="70"/>
    <d v="2025-04-30T00:00:00"/>
    <s v="Règlement CB JERBLA"/>
    <m/>
    <e v="#N/A"/>
    <e v="#N/A"/>
    <n v="70632"/>
    <m/>
    <s v="SNCF"/>
    <s v="Q2"/>
    <e v="#REF!"/>
    <e v="#REF!"/>
    <e v="#REF!"/>
  </r>
  <r>
    <s v="512100"/>
    <x v="6"/>
    <s v="BANQUE POPULAIRE RIVE DE PARIS"/>
    <s v="BPRI"/>
    <n v="73"/>
    <d v="2025-02-12T00:00:00"/>
    <s v="ANNUL.FACT.CB"/>
    <m/>
    <e v="#N/A"/>
    <e v="#N/A"/>
    <n v="21285"/>
    <s v="1ZRXBUS"/>
    <s v="Jérémie Blache"/>
    <s v="Q1"/>
    <e v="#REF!"/>
    <e v="#REF!"/>
    <e v="#REF!"/>
  </r>
  <r>
    <s v="512100"/>
    <x v="6"/>
    <s v="BANQUE POPULAIRE RIVE DE PARIS"/>
    <s v="BPRI"/>
    <n v="73"/>
    <d v="2025-02-12T00:00:00"/>
    <s v="ANNUL.FACT.CB"/>
    <m/>
    <e v="#N/A"/>
    <e v="#N/A"/>
    <n v="21287"/>
    <s v="1ZRXBUT"/>
    <s v="Jérémie Blache"/>
    <s v="Q1"/>
    <e v="#REF!"/>
    <e v="#REF!"/>
    <e v="#REF!"/>
  </r>
  <r>
    <s v="645300"/>
    <x v="6"/>
    <s v="COTISATIONS AUX CAISSES DE RETRAITE"/>
    <s v="SA"/>
    <n v="225.25"/>
    <d v="2025-09-30T00:00:00"/>
    <s v="CONTRIBUTION D'EQUILIBRE GÉNÉRAL TU2"/>
    <m/>
    <e v="#N/A"/>
    <e v="#N/A"/>
    <n v="84220"/>
    <s v="SA202509"/>
    <m/>
    <s v="Q3"/>
    <e v="#REF!"/>
    <e v="#REF!"/>
    <e v="#REF!"/>
  </r>
  <r>
    <s v="645300"/>
    <x v="6"/>
    <s v="COTISATIONS AUX CAISSES DE RETRAITE"/>
    <s v="SA"/>
    <n v="233.07"/>
    <d v="2025-04-30T00:00:00"/>
    <s v="CONTRIBUTION D'EQUILIBRE GÉNÉRAL TU2"/>
    <m/>
    <e v="#N/A"/>
    <e v="#N/A"/>
    <n v="80450"/>
    <s v="SA202504"/>
    <m/>
    <s v="Q2"/>
    <e v="#REF!"/>
    <e v="#REF!"/>
    <e v="#REF!"/>
  </r>
  <r>
    <s v="645300"/>
    <x v="6"/>
    <s v="COTISATIONS AUX CAISSES DE RETRAITE"/>
    <s v="SA"/>
    <n v="238.41"/>
    <d v="2025-05-31T00:00:00"/>
    <s v="CONTRIBUTION D'EQUILIBRE GÉNÉRAL TU2"/>
    <m/>
    <e v="#N/A"/>
    <e v="#N/A"/>
    <n v="80263"/>
    <s v="SA202505"/>
    <m/>
    <s v="Q2"/>
    <e v="#REF!"/>
    <e v="#REF!"/>
    <e v="#REF!"/>
  </r>
  <r>
    <s v="645300"/>
    <x v="6"/>
    <s v="COTISATIONS AUX CAISSES DE RETRAITE"/>
    <s v="SA"/>
    <n v="240.14"/>
    <d v="2025-04-30T00:00:00"/>
    <s v="CONTRIBUTION D'EQUILIBRE GÉNÉRAL TU2"/>
    <m/>
    <e v="#N/A"/>
    <e v="#N/A"/>
    <n v="80441"/>
    <s v="SA202504"/>
    <m/>
    <s v="Q2"/>
    <e v="#REF!"/>
    <e v="#REF!"/>
    <e v="#REF!"/>
  </r>
  <r>
    <s v="645300"/>
    <x v="6"/>
    <s v="COTISATIONS AUX CAISSES DE RETRAITE"/>
    <s v="SA"/>
    <n v="257.64"/>
    <d v="2025-09-30T00:00:00"/>
    <s v="CONTRIBUTION D'EQUILIBRE GÉNÉRAL TU2"/>
    <m/>
    <e v="#N/A"/>
    <e v="#N/A"/>
    <n v="84212"/>
    <s v="SA202509"/>
    <m/>
    <s v="Q3"/>
    <e v="#REF!"/>
    <e v="#REF!"/>
    <e v="#REF!"/>
  </r>
  <r>
    <s v="645300"/>
    <x v="6"/>
    <s v="COTISATIONS AUX CAISSES DE RETRAITE"/>
    <s v="SA"/>
    <n v="269.10000000000002"/>
    <d v="2025-10-31T00:00:00"/>
    <s v="CONTRIBUTION D'EQUILIBRE GÉNÉRAL TU2"/>
    <m/>
    <e v="#N/A"/>
    <e v="#N/A"/>
    <n v="87878"/>
    <s v="SA202510"/>
    <m/>
    <s v="Q4"/>
    <e v="#REF!"/>
    <e v="#REF!"/>
    <e v="#REF!"/>
  </r>
  <r>
    <s v="645300"/>
    <x v="6"/>
    <s v="COTISATIONS AUX CAISSES DE RETRAITE"/>
    <s v="SA"/>
    <n v="269.89"/>
    <d v="2025-11-30T00:00:00"/>
    <s v="CONTRIBUTION D'EQUILIBRE GÉNÉRAL TU2"/>
    <m/>
    <e v="#N/A"/>
    <e v="#N/A"/>
    <n v="92385"/>
    <s v="SA202511"/>
    <m/>
    <s v="Q4"/>
    <e v="#REF!"/>
    <e v="#REF!"/>
    <e v="#REF!"/>
  </r>
  <r>
    <s v="645300"/>
    <x v="6"/>
    <s v="COTISATIONS AUX CAISSES DE RETRAITE"/>
    <s v="SA"/>
    <n v="271.20999999999998"/>
    <d v="2025-06-30T00:00:00"/>
    <s v="CONTRIBUTION D'EQUILIBRE GÉNÉRAL TU2"/>
    <m/>
    <e v="#N/A"/>
    <e v="#N/A"/>
    <n v="80095"/>
    <s v="SA202506"/>
    <m/>
    <s v="Q2"/>
    <e v="#REF!"/>
    <e v="#REF!"/>
    <e v="#REF!"/>
  </r>
  <r>
    <s v="512100"/>
    <x v="6"/>
    <s v="BANQUE POPULAIRE RIVE DE PARIS"/>
    <s v="BPRI"/>
    <n v="99.46"/>
    <d v="2025-01-29T00:00:00"/>
    <s v="EVI CPAM 75 PRESTATIONS"/>
    <m/>
    <e v="#N/A"/>
    <e v="#N/A"/>
    <n v="21109"/>
    <s v="1B1X2KG"/>
    <m/>
    <s v="Q1"/>
    <e v="#REF!"/>
    <e v="#REF!"/>
    <e v="#REF!"/>
  </r>
  <r>
    <s v="512100"/>
    <x v="6"/>
    <s v="BANQUE POPULAIRE RIVE DE PARIS"/>
    <s v="BPRI"/>
    <n v="111.89"/>
    <d v="2025-08-18T00:00:00"/>
    <s v="Ecart de change TC"/>
    <m/>
    <e v="#N/A"/>
    <e v="#N/A"/>
    <n v="81185"/>
    <m/>
    <m/>
    <s v="Q3"/>
    <e v="#REF!"/>
    <e v="#REF!"/>
    <e v="#REF!"/>
  </r>
  <r>
    <s v="512100"/>
    <x v="6"/>
    <s v="BANQUE POPULAIRE RIVE DE PARIS"/>
    <s v="BPRI"/>
    <n v="125.72"/>
    <d v="2025-04-30T00:00:00"/>
    <s v="Virement CPAM"/>
    <m/>
    <e v="#N/A"/>
    <e v="#N/A"/>
    <n v="70650"/>
    <m/>
    <m/>
    <s v="Q2"/>
    <e v="#REF!"/>
    <e v="#REF!"/>
    <e v="#REF!"/>
  </r>
  <r>
    <s v="512100"/>
    <x v="6"/>
    <s v="BANQUE POPULAIRE RIVE DE PARIS"/>
    <s v="BPRI"/>
    <n v="127.2"/>
    <d v="2025-02-18T00:00:00"/>
    <s v="EVI CITIZENS OF HUMANITY - E"/>
    <m/>
    <e v="#N/A"/>
    <e v="#N/A"/>
    <n v="21369"/>
    <s v="29S4RXU"/>
    <s v="CITIZENS OF HUMANITY EUROPE SRL"/>
    <s v="Q1"/>
    <e v="#REF!"/>
    <e v="#REF!"/>
    <e v="#REF!"/>
  </r>
  <r>
    <s v="512100"/>
    <x v="6"/>
    <s v="BANQUE POPULAIRE RIVE DE PARIS"/>
    <s v="BPRI"/>
    <n v="151.1"/>
    <d v="2025-08-18T00:00:00"/>
    <s v="Ecart de change NB"/>
    <m/>
    <e v="#N/A"/>
    <e v="#N/A"/>
    <n v="81182"/>
    <m/>
    <m/>
    <s v="Q3"/>
    <e v="#REF!"/>
    <e v="#REF!"/>
    <e v="#REF!"/>
  </r>
  <r>
    <s v="512100"/>
    <x v="6"/>
    <s v="BANQUE POPULAIRE RIVE DE PARIS"/>
    <s v="BPRI"/>
    <n v="151.44"/>
    <d v="2025-07-03T00:00:00"/>
    <s v="Vente GAM"/>
    <m/>
    <s v="Non"/>
    <e v="#N/A"/>
    <n v="76992"/>
    <m/>
    <s v="DIVERS"/>
    <s v="Q3"/>
    <e v="#REF!"/>
    <e v="#REF!"/>
    <e v="#REF!"/>
  </r>
  <r>
    <s v="645300"/>
    <x v="6"/>
    <s v="COTISATIONS AUX CAISSES DE RETRAITE"/>
    <s v="SA"/>
    <n v="272.06"/>
    <d v="2025-12-31T00:00:00"/>
    <s v="CONTRIBUTION D'EQUILIBRE GÉNÉRAL TU2"/>
    <m/>
    <e v="#N/A"/>
    <e v="#N/A"/>
    <n v="92848"/>
    <s v="SA202512"/>
    <m/>
    <s v="Q4"/>
    <e v="#REF!"/>
    <e v="#REF!"/>
    <e v="#REF!"/>
  </r>
  <r>
    <s v="645300"/>
    <x v="6"/>
    <s v="COTISATIONS AUX CAISSES DE RETRAITE"/>
    <s v="SA"/>
    <n v="289.72000000000003"/>
    <d v="2025-08-31T00:00:00"/>
    <s v="CONTRIBUTION D'EQUILIBRE GÉNÉRAL TU2"/>
    <m/>
    <e v="#N/A"/>
    <e v="#N/A"/>
    <n v="84038"/>
    <s v="SA202508"/>
    <m/>
    <s v="Q3"/>
    <e v="#REF!"/>
    <e v="#REF!"/>
    <e v="#REF!"/>
  </r>
  <r>
    <s v="512100"/>
    <x v="6"/>
    <s v="BANQUE POPULAIRE RIVE DE PARIS"/>
    <s v="BPRI"/>
    <n v="216.45"/>
    <d v="2025-05-30T00:00:00"/>
    <s v="Encaissement Shopify"/>
    <m/>
    <s v="Non"/>
    <e v="#N/A"/>
    <n v="75002"/>
    <m/>
    <s v="DIVERS"/>
    <s v="Q2"/>
    <e v="#REF!"/>
    <e v="#REF!"/>
    <e v="#REF!"/>
  </r>
  <r>
    <s v="512100"/>
    <x v="6"/>
    <s v="BANQUE POPULAIRE RIVE DE PARIS"/>
    <s v="BPRI"/>
    <n v="216.45"/>
    <d v="2025-06-11T00:00:00"/>
    <s v="Virement reçu Shopify - GAM"/>
    <m/>
    <s v="Non"/>
    <e v="#N/A"/>
    <n v="75942"/>
    <m/>
    <s v="DIVERS"/>
    <s v="Q2"/>
    <e v="#REF!"/>
    <e v="#REF!"/>
    <e v="#REF!"/>
  </r>
  <r>
    <s v="645300"/>
    <x v="6"/>
    <s v="COTISATIONS AUX CAISSES DE RETRAITE"/>
    <s v="SA"/>
    <n v="292.42"/>
    <d v="2025-01-31T00:00:00"/>
    <s v="CONTRIBUTION D'EQUILIBRE GÉNÉRAL TU2"/>
    <m/>
    <e v="#N/A"/>
    <e v="#N/A"/>
    <n v="85497"/>
    <s v="SA202501"/>
    <m/>
    <s v="Q1"/>
    <e v="#REF!"/>
    <e v="#REF!"/>
    <e v="#REF!"/>
  </r>
  <r>
    <s v="645300"/>
    <x v="6"/>
    <s v="COTISATIONS AUX CAISSES DE RETRAITE"/>
    <s v="SA"/>
    <n v="303.83"/>
    <d v="2025-06-30T00:00:00"/>
    <s v="CONTRIBUTION D'EQUILIBRE GÉNÉRAL TU2"/>
    <m/>
    <e v="#N/A"/>
    <e v="#N/A"/>
    <n v="80103"/>
    <s v="SA202506"/>
    <m/>
    <s v="Q2"/>
    <e v="#REF!"/>
    <e v="#REF!"/>
    <e v="#REF!"/>
  </r>
  <r>
    <s v="645300"/>
    <x v="6"/>
    <s v="COTISATIONS AUX CAISSES DE RETRAITE"/>
    <s v="SA"/>
    <n v="641.52"/>
    <d v="2025-02-28T00:00:00"/>
    <s v="CONTRIBUTION D'EQUILIBRE GÉNÉRAL TU2"/>
    <m/>
    <e v="#N/A"/>
    <e v="#N/A"/>
    <n v="85333"/>
    <s v="SA202502"/>
    <m/>
    <s v="Q1"/>
    <e v="#REF!"/>
    <e v="#REF!"/>
    <e v="#REF!"/>
  </r>
  <r>
    <s v="512100"/>
    <x v="6"/>
    <s v="BANQUE POPULAIRE RIVE DE PARIS"/>
    <s v="BPRI"/>
    <n v="282.60000000000002"/>
    <d v="2025-01-06T00:00:00"/>
    <s v="EVI C.P.A.M. DE L ISERE"/>
    <m/>
    <e v="#N/A"/>
    <e v="#N/A"/>
    <n v="20894"/>
    <s v="0AO15KI"/>
    <m/>
    <s v="Q1"/>
    <e v="#REF!"/>
    <e v="#REF!"/>
    <e v="#REF!"/>
  </r>
  <r>
    <s v="512100"/>
    <x v="6"/>
    <s v="BANQUE POPULAIRE RIVE DE PARIS"/>
    <s v="BPRI"/>
    <n v="308.27999999999997"/>
    <d v="2025-04-14T00:00:00"/>
    <s v="Viirement CPAM 94"/>
    <m/>
    <e v="#N/A"/>
    <e v="#N/A"/>
    <n v="67608"/>
    <m/>
    <m/>
    <s v="Q2"/>
    <e v="#REF!"/>
    <e v="#REF!"/>
    <e v="#REF!"/>
  </r>
  <r>
    <s v="645300"/>
    <x v="6"/>
    <s v="COTISATIONS AUX CAISSES DE RETRAITE"/>
    <s v="SA"/>
    <n v="1068.8599999999999"/>
    <d v="2025-02-28T00:00:00"/>
    <s v="CONTRIBUTION D'EQUILIBRE GÉNÉRAL TU2"/>
    <m/>
    <e v="#N/A"/>
    <e v="#N/A"/>
    <n v="85342"/>
    <s v="SA202502"/>
    <m/>
    <s v="Q1"/>
    <e v="#REF!"/>
    <e v="#REF!"/>
    <e v="#REF!"/>
  </r>
  <r>
    <s v="645300"/>
    <x v="6"/>
    <s v="COTISATIONS AUX CAISSES DE RETRAITE"/>
    <s v="SA"/>
    <n v="1146.9100000000001"/>
    <d v="2025-02-28T00:00:00"/>
    <s v="CONTRIBUTION D'EQUILIBRE GÉNÉRAL TU2"/>
    <m/>
    <e v="#N/A"/>
    <e v="#N/A"/>
    <n v="85325"/>
    <s v="SA202502"/>
    <m/>
    <s v="Q1"/>
    <e v="#REF!"/>
    <e v="#REF!"/>
    <e v="#REF!"/>
  </r>
  <r>
    <s v="512100"/>
    <x v="6"/>
    <s v="BANQUE POPULAIRE RIVE DE PARIS"/>
    <s v="BPRI"/>
    <n v="423.5"/>
    <d v="2025-02-19T00:00:00"/>
    <s v="EVI ASSOC.   BIOECONOMY FOR"/>
    <m/>
    <s v="Non"/>
    <s v="Oui"/>
    <n v="21377"/>
    <s v="29S5KE8"/>
    <s v="BIOECONOMY FOR CHANGE"/>
    <s v="Q1"/>
    <e v="#REF!"/>
    <e v="#REF!"/>
    <e v="#REF!"/>
  </r>
  <r>
    <s v="512100"/>
    <x v="6"/>
    <s v="BANQUE POPULAIRE RIVE DE PARIS"/>
    <s v="BPRI"/>
    <n v="423.5"/>
    <d v="2025-05-27T00:00:00"/>
    <s v="Remboursement fournisseur - DOUBLON"/>
    <m/>
    <s v="Non"/>
    <s v="Oui"/>
    <n v="74100"/>
    <m/>
    <s v="BIOECONOMY FOR CHANGE"/>
    <s v="Q2"/>
    <e v="#REF!"/>
    <e v="#REF!"/>
    <e v="#REF!"/>
  </r>
  <r>
    <s v="512100"/>
    <x v="6"/>
    <s v="BANQUE POPULAIRE RIVE DE PARIS"/>
    <s v="BPRI"/>
    <n v="433.15"/>
    <d v="2025-02-25T00:00:00"/>
    <s v="EVI PAYPAL EUROPE S.A.R.L. E"/>
    <m/>
    <s v="Non"/>
    <e v="#N/A"/>
    <n v="21427"/>
    <s v="2LCW2IE"/>
    <s v="DIVERS"/>
    <s v="Q1"/>
    <e v="#REF!"/>
    <e v="#REF!"/>
    <e v="#REF!"/>
  </r>
  <r>
    <s v="512100"/>
    <x v="6"/>
    <s v="BANQUE POPULAIRE RIVE DE PARIS"/>
    <s v="BPRI"/>
    <n v="484.44"/>
    <d v="2025-02-21T00:00:00"/>
    <s v="EVI CPAM 94"/>
    <m/>
    <e v="#N/A"/>
    <e v="#N/A"/>
    <n v="21392"/>
    <s v="2D38D2K"/>
    <m/>
    <s v="Q1"/>
    <e v="#REF!"/>
    <e v="#REF!"/>
    <e v="#REF!"/>
  </r>
  <r>
    <s v="437300"/>
    <x v="6"/>
    <s v="RETRAITE"/>
    <s v="SA"/>
    <n v="-609.36"/>
    <d v="2025-02-28T00:00:00"/>
    <s v="CONTRIBUTION D'EQUILIBRE TECHNIQUE TU1"/>
    <m/>
    <e v="#N/A"/>
    <e v="#N/A"/>
    <n v="85198"/>
    <s v="SA202502"/>
    <m/>
    <s v="Q1"/>
    <e v="#REF!"/>
    <e v="#REF!"/>
    <e v="#REF!"/>
  </r>
  <r>
    <s v="437300"/>
    <x v="6"/>
    <s v="RETRAITE"/>
    <s v="SA"/>
    <n v="-349.6"/>
    <d v="2025-06-30T00:00:00"/>
    <s v="CONTRIBUTION D'EQUILIBRE TECHNIQUE TU1"/>
    <m/>
    <e v="#N/A"/>
    <e v="#N/A"/>
    <n v="79985"/>
    <s v="SA202506"/>
    <m/>
    <s v="Q2"/>
    <e v="#REF!"/>
    <e v="#REF!"/>
    <e v="#REF!"/>
  </r>
  <r>
    <s v="437300"/>
    <x v="6"/>
    <s v="RETRAITE"/>
    <s v="SA"/>
    <n v="-349.14"/>
    <d v="2025-05-31T00:00:00"/>
    <s v="CONTRIBUTION D'EQUILIBRE TECHNIQUE TU1"/>
    <m/>
    <e v="#N/A"/>
    <e v="#N/A"/>
    <n v="80154"/>
    <s v="SA202505"/>
    <m/>
    <s v="Q2"/>
    <e v="#REF!"/>
    <e v="#REF!"/>
    <e v="#REF!"/>
  </r>
  <r>
    <s v="437300"/>
    <x v="6"/>
    <s v="RETRAITE"/>
    <s v="SA"/>
    <n v="-339.01"/>
    <d v="2025-07-31T00:00:00"/>
    <s v="CONTRIBUTION D'EQUILIBRE TECHNIQUE TU1"/>
    <m/>
    <e v="#N/A"/>
    <e v="#N/A"/>
    <n v="79811"/>
    <s v="SA202507"/>
    <m/>
    <s v="Q3"/>
    <e v="#REF!"/>
    <e v="#REF!"/>
    <e v="#REF!"/>
  </r>
  <r>
    <s v="437300"/>
    <x v="6"/>
    <s v="RETRAITE"/>
    <s v="SA"/>
    <n v="-335.4"/>
    <d v="2025-10-31T00:00:00"/>
    <s v="CONTRIBUTION D'EQUILIBRE TECHNIQUE TU1"/>
    <m/>
    <e v="#N/A"/>
    <e v="#N/A"/>
    <n v="87769"/>
    <s v="SA202510"/>
    <m/>
    <s v="Q4"/>
    <e v="#REF!"/>
    <e v="#REF!"/>
    <e v="#REF!"/>
  </r>
  <r>
    <s v="437300"/>
    <x v="6"/>
    <s v="RETRAITE"/>
    <s v="SA"/>
    <n v="-335.4"/>
    <d v="2025-11-30T00:00:00"/>
    <s v="CONTRIBUTION D'EQUILIBRE TECHNIQUE TU1"/>
    <m/>
    <e v="#N/A"/>
    <e v="#N/A"/>
    <n v="92278"/>
    <s v="SA202511"/>
    <m/>
    <s v="Q4"/>
    <e v="#REF!"/>
    <e v="#REF!"/>
    <e v="#REF!"/>
  </r>
  <r>
    <s v="437300"/>
    <x v="6"/>
    <s v="RETRAITE"/>
    <s v="SA"/>
    <n v="-335.4"/>
    <d v="2025-12-31T00:00:00"/>
    <s v="CONTRIBUTION D'EQUILIBRE TECHNIQUE TU1"/>
    <m/>
    <e v="#N/A"/>
    <e v="#N/A"/>
    <n v="92737"/>
    <s v="SA202512"/>
    <m/>
    <s v="Q4"/>
    <e v="#REF!"/>
    <e v="#REF!"/>
    <e v="#REF!"/>
  </r>
  <r>
    <s v="437300"/>
    <x v="6"/>
    <s v="RETRAITE"/>
    <s v="SA"/>
    <n v="-334.96"/>
    <d v="2025-08-31T00:00:00"/>
    <s v="CONTRIBUTION D'EQUILIBRE TECHNIQUE TU1"/>
    <m/>
    <e v="#N/A"/>
    <e v="#N/A"/>
    <n v="83930"/>
    <s v="SA202508"/>
    <m/>
    <s v="Q3"/>
    <e v="#REF!"/>
    <e v="#REF!"/>
    <e v="#REF!"/>
  </r>
  <r>
    <s v="512100"/>
    <x v="6"/>
    <s v="BANQUE POPULAIRE RIVE DE PARIS"/>
    <s v="BPRI"/>
    <n v="570.6"/>
    <d v="2025-09-05T00:00:00"/>
    <s v="EVI C.P.A.M. TOULOUSE"/>
    <m/>
    <e v="#N/A"/>
    <e v="#N/A"/>
    <n v="81712"/>
    <m/>
    <m/>
    <s v="Q3"/>
    <e v="#REF!"/>
    <e v="#REF!"/>
    <e v="#REF!"/>
  </r>
  <r>
    <s v="512100"/>
    <x v="6"/>
    <s v="BANQUE POPULAIRE RIVE DE PARIS"/>
    <s v="BPRI"/>
    <n v="616.55999999999995"/>
    <d v="2025-04-02T00:00:00"/>
    <s v="Virement CPAM94"/>
    <m/>
    <e v="#N/A"/>
    <e v="#N/A"/>
    <n v="66523"/>
    <m/>
    <m/>
    <s v="Q2"/>
    <e v="#REF!"/>
    <e v="#REF!"/>
    <e v="#REF!"/>
  </r>
  <r>
    <s v="512100"/>
    <x v="6"/>
    <s v="BANQUE POPULAIRE RIVE DE PARIS"/>
    <s v="BPRI"/>
    <n v="660.6"/>
    <d v="2025-03-24T00:00:00"/>
    <s v="Virement CPAM 94"/>
    <m/>
    <e v="#N/A"/>
    <e v="#N/A"/>
    <n v="64508"/>
    <m/>
    <m/>
    <s v="Q1"/>
    <e v="#REF!"/>
    <e v="#REF!"/>
    <e v="#REF!"/>
  </r>
  <r>
    <s v="437300"/>
    <x v="6"/>
    <s v="RETRAITE"/>
    <s v="SA"/>
    <n v="-333.56"/>
    <d v="2025-09-30T00:00:00"/>
    <s v="CONTRIBUTION D'EQUILIBRE TECHNIQUE TU1"/>
    <m/>
    <e v="#N/A"/>
    <e v="#N/A"/>
    <n v="84104"/>
    <s v="SA202509"/>
    <m/>
    <s v="Q3"/>
    <e v="#REF!"/>
    <e v="#REF!"/>
    <e v="#REF!"/>
  </r>
  <r>
    <s v="437300"/>
    <x v="6"/>
    <s v="RETRAITE"/>
    <s v="SA"/>
    <n v="-312.37"/>
    <d v="2025-03-31T00:00:00"/>
    <s v="CONTRIBUTION D'EQUILIBRE TECHNIQUE TU1"/>
    <m/>
    <e v="#N/A"/>
    <e v="#N/A"/>
    <n v="80494"/>
    <s v="SA202503"/>
    <m/>
    <s v="Q1"/>
    <e v="#REF!"/>
    <e v="#REF!"/>
    <e v="#REF!"/>
  </r>
  <r>
    <s v="437300"/>
    <x v="6"/>
    <s v="RETRAITE"/>
    <s v="SA"/>
    <n v="-288.45"/>
    <d v="2025-01-31T00:00:00"/>
    <s v="CONTRIBUTION D'EQUILIBRE TECHNIQUE TU1"/>
    <m/>
    <e v="#N/A"/>
    <e v="#N/A"/>
    <n v="85386"/>
    <s v="SA202501"/>
    <m/>
    <s v="Q1"/>
    <e v="#REF!"/>
    <e v="#REF!"/>
    <e v="#REF!"/>
  </r>
  <r>
    <s v="512100"/>
    <x v="6"/>
    <s v="BANQUE POPULAIRE RIVE DE PARIS"/>
    <s v="BPRI"/>
    <n v="854.4"/>
    <d v="2025-05-30T00:00:00"/>
    <s v="Remboursement"/>
    <m/>
    <e v="#N/A"/>
    <e v="#N/A"/>
    <n v="75005"/>
    <m/>
    <s v="MORTELECQUE"/>
    <s v="Q2"/>
    <e v="#REF!"/>
    <e v="#REF!"/>
    <e v="#REF!"/>
  </r>
  <r>
    <s v="512100"/>
    <x v="6"/>
    <s v="BANQUE POPULAIRE RIVE DE PARIS"/>
    <s v="BPRI"/>
    <n v="977.56"/>
    <d v="2025-02-21T00:00:00"/>
    <s v="EVI C.P.A.M. TOULOUSE"/>
    <m/>
    <e v="#N/A"/>
    <e v="#N/A"/>
    <n v="21390"/>
    <s v="2D3887C"/>
    <m/>
    <s v="Q1"/>
    <e v="#REF!"/>
    <e v="#REF!"/>
    <e v="#REF!"/>
  </r>
  <r>
    <s v="512100"/>
    <x v="6"/>
    <s v="BANQUE POPULAIRE RIVE DE PARIS"/>
    <s v="BPRI"/>
    <n v="1000"/>
    <d v="2025-02-05T00:00:00"/>
    <s v="EVI DRFIP ILE DE FRANCE ET D"/>
    <m/>
    <e v="#N/A"/>
    <e v="#N/A"/>
    <n v="21216"/>
    <s v="1MMMTUB"/>
    <m/>
    <s v="Q1"/>
    <e v="#REF!"/>
    <e v="#REF!"/>
    <e v="#REF!"/>
  </r>
  <r>
    <s v="512100"/>
    <x v="6"/>
    <s v="BANQUE POPULAIRE RIVE DE PARIS"/>
    <s v="BPRI"/>
    <n v="1000"/>
    <d v="2025-03-06T00:00:00"/>
    <s v="Aide aux apprentis"/>
    <m/>
    <e v="#N/A"/>
    <e v="#N/A"/>
    <n v="60097"/>
    <m/>
    <m/>
    <s v="Q1"/>
    <e v="#REF!"/>
    <e v="#REF!"/>
    <e v="#REF!"/>
  </r>
  <r>
    <s v="512100"/>
    <x v="6"/>
    <s v="BANQUE POPULAIRE RIVE DE PARIS"/>
    <s v="BPRI"/>
    <n v="1000"/>
    <d v="2025-04-07T00:00:00"/>
    <s v="Règlement Aide"/>
    <m/>
    <e v="#N/A"/>
    <e v="#N/A"/>
    <n v="66638"/>
    <m/>
    <m/>
    <s v="Q2"/>
    <e v="#REF!"/>
    <e v="#REF!"/>
    <e v="#REF!"/>
  </r>
  <r>
    <s v="512100"/>
    <x v="6"/>
    <s v="BANQUE POPULAIRE RIVE DE PARIS"/>
    <s v="BPRI"/>
    <n v="1000"/>
    <d v="2025-05-08T00:00:00"/>
    <s v="Règlement DRFIP"/>
    <m/>
    <e v="#N/A"/>
    <e v="#N/A"/>
    <n v="71732"/>
    <m/>
    <m/>
    <s v="Q2"/>
    <e v="#REF!"/>
    <e v="#REF!"/>
    <e v="#REF!"/>
  </r>
  <r>
    <s v="512100"/>
    <x v="6"/>
    <s v="BANQUE POPULAIRE RIVE DE PARIS"/>
    <s v="BPRI"/>
    <n v="1000"/>
    <d v="2025-06-06T00:00:00"/>
    <s v="Virement reçu - Ministere Travail  AIDE UNIQUE APPRENTI "/>
    <m/>
    <e v="#N/A"/>
    <e v="#N/A"/>
    <n v="75642"/>
    <m/>
    <m/>
    <s v="Q2"/>
    <e v="#REF!"/>
    <e v="#REF!"/>
    <e v="#REF!"/>
  </r>
  <r>
    <s v="437300"/>
    <x v="6"/>
    <s v="RETRAITE"/>
    <s v="SA"/>
    <n v="-266.7"/>
    <d v="2025-04-30T00:00:00"/>
    <s v="CONTRIBUTION D'EQUILIBRE TECHNIQUE TU1"/>
    <m/>
    <e v="#N/A"/>
    <e v="#N/A"/>
    <n v="80324"/>
    <s v="SA202504"/>
    <m/>
    <s v="Q2"/>
    <e v="#REF!"/>
    <e v="#REF!"/>
    <e v="#REF!"/>
  </r>
  <r>
    <s v="645300"/>
    <x v="6"/>
    <s v="COTISATIONS AUX CAISSES DE RETRAITE"/>
    <s v="SA"/>
    <n v="12.71"/>
    <d v="2025-01-31T00:00:00"/>
    <s v="CONTRIBUTION D'EQUILIBRE TECHNIQUE TU1"/>
    <m/>
    <e v="#N/A"/>
    <e v="#N/A"/>
    <n v="85524"/>
    <s v="SA202501"/>
    <m/>
    <s v="Q1"/>
    <e v="#REF!"/>
    <e v="#REF!"/>
    <e v="#REF!"/>
  </r>
  <r>
    <s v="645300"/>
    <x v="6"/>
    <s v="COTISATIONS AUX CAISSES DE RETRAITE"/>
    <s v="SA"/>
    <n v="20.95"/>
    <d v="2025-03-31T00:00:00"/>
    <s v="CONTRIBUTION D'EQUILIBRE TECHNIQUE TU1"/>
    <m/>
    <e v="#N/A"/>
    <e v="#N/A"/>
    <n v="80633"/>
    <s v="SA202503"/>
    <m/>
    <s v="Q1"/>
    <e v="#REF!"/>
    <e v="#REF!"/>
    <e v="#REF!"/>
  </r>
  <r>
    <s v="512100"/>
    <x v="6"/>
    <s v="BANQUE POPULAIRE RIVE DE PARIS"/>
    <s v="BPRI"/>
    <n v="1113.42"/>
    <d v="2025-01-29T00:00:00"/>
    <s v="EVI C.P.A.M. TOULOUSE"/>
    <m/>
    <e v="#N/A"/>
    <e v="#N/A"/>
    <n v="21107"/>
    <s v="1B1WRX0"/>
    <m/>
    <s v="Q1"/>
    <e v="#REF!"/>
    <e v="#REF!"/>
    <e v="#REF!"/>
  </r>
  <r>
    <s v="645300"/>
    <x v="6"/>
    <s v="COTISATIONS AUX CAISSES DE RETRAITE"/>
    <s v="SA"/>
    <n v="20.95"/>
    <d v="2025-04-30T00:00:00"/>
    <s v="CONTRIBUTION D'EQUILIBRE TECHNIQUE TU1"/>
    <m/>
    <e v="#N/A"/>
    <e v="#N/A"/>
    <n v="80460"/>
    <s v="SA202504"/>
    <m/>
    <s v="Q2"/>
    <e v="#REF!"/>
    <e v="#REF!"/>
    <e v="#REF!"/>
  </r>
  <r>
    <s v="512100"/>
    <x v="6"/>
    <s v="BANQUE POPULAIRE RIVE DE PARIS"/>
    <s v="BPRI"/>
    <n v="1267.8399999999999"/>
    <d v="2025-01-02T00:00:00"/>
    <s v="EVI C.P.A.M. TOULOUSE"/>
    <m/>
    <e v="#N/A"/>
    <e v="#N/A"/>
    <n v="20874"/>
    <s v="GU0YSWG"/>
    <m/>
    <s v="Q1"/>
    <e v="#REF!"/>
    <e v="#REF!"/>
    <e v="#REF!"/>
  </r>
  <r>
    <s v="512100"/>
    <x v="6"/>
    <s v="BANQUE POPULAIRE RIVE DE PARIS"/>
    <s v="BPRI"/>
    <n v="1267.8399999999999"/>
    <d v="2025-01-15T00:00:00"/>
    <s v="EVI C.P.A.M. TOULOUSE"/>
    <m/>
    <e v="#N/A"/>
    <e v="#N/A"/>
    <n v="20998"/>
    <s v="0NWDV0W"/>
    <m/>
    <s v="Q1"/>
    <e v="#REF!"/>
    <e v="#REF!"/>
    <e v="#REF!"/>
  </r>
  <r>
    <s v="645300"/>
    <x v="6"/>
    <s v="COTISATIONS AUX CAISSES DE RETRAITE"/>
    <s v="SA"/>
    <n v="20.95"/>
    <d v="2025-05-31T00:00:00"/>
    <s v="CONTRIBUTION D'EQUILIBRE TECHNIQUE TU1"/>
    <m/>
    <e v="#N/A"/>
    <e v="#N/A"/>
    <n v="80290"/>
    <s v="SA202505"/>
    <m/>
    <s v="Q2"/>
    <e v="#REF!"/>
    <e v="#REF!"/>
    <e v="#REF!"/>
  </r>
  <r>
    <s v="512100"/>
    <x v="6"/>
    <s v="BANQUE POPULAIRE RIVE DE PARIS"/>
    <s v="BPRI"/>
    <n v="1331.4"/>
    <d v="2025-06-13T00:00:00"/>
    <s v="C.P.A.M. TOULOUSE"/>
    <m/>
    <e v="#N/A"/>
    <e v="#N/A"/>
    <n v="76002"/>
    <m/>
    <m/>
    <s v="Q2"/>
    <e v="#REF!"/>
    <e v="#REF!"/>
    <e v="#REF!"/>
  </r>
  <r>
    <s v="512100"/>
    <x v="6"/>
    <s v="BANQUE POPULAIRE RIVE DE PARIS"/>
    <s v="BPRI"/>
    <n v="1331.4"/>
    <d v="2025-06-27T00:00:00"/>
    <s v="C.P.A.M. TOULOUSE"/>
    <m/>
    <e v="#N/A"/>
    <e v="#N/A"/>
    <n v="76301"/>
    <m/>
    <m/>
    <s v="Q2"/>
    <e v="#REF!"/>
    <e v="#REF!"/>
    <e v="#REF!"/>
  </r>
  <r>
    <s v="645300"/>
    <x v="6"/>
    <s v="COTISATIONS AUX CAISSES DE RETRAITE"/>
    <s v="SA"/>
    <n v="20.95"/>
    <d v="2025-06-30T00:00:00"/>
    <s v="CONTRIBUTION D'EQUILIBRE TECHNIQUE TU1"/>
    <m/>
    <e v="#N/A"/>
    <e v="#N/A"/>
    <n v="80122"/>
    <s v="SA202506"/>
    <m/>
    <s v="Q2"/>
    <e v="#REF!"/>
    <e v="#REF!"/>
    <e v="#REF!"/>
  </r>
  <r>
    <s v="645300"/>
    <x v="6"/>
    <s v="COTISATIONS AUX CAISSES DE RETRAITE"/>
    <s v="SA"/>
    <n v="20.95"/>
    <d v="2025-07-31T00:00:00"/>
    <s v="CONTRIBUTION D'EQUILIBRE TECHNIQUE TU1"/>
    <m/>
    <e v="#N/A"/>
    <e v="#N/A"/>
    <n v="79950"/>
    <s v="SA202507"/>
    <m/>
    <s v="Q3"/>
    <e v="#REF!"/>
    <e v="#REF!"/>
    <e v="#REF!"/>
  </r>
  <r>
    <s v="645300"/>
    <x v="6"/>
    <s v="COTISATIONS AUX CAISSES DE RETRAITE"/>
    <s v="SA"/>
    <n v="20.95"/>
    <d v="2025-08-31T00:00:00"/>
    <s v="CONTRIBUTION D'EQUILIBRE TECHNIQUE TU1"/>
    <m/>
    <e v="#N/A"/>
    <e v="#N/A"/>
    <n v="84065"/>
    <s v="SA202508"/>
    <m/>
    <s v="Q3"/>
    <e v="#REF!"/>
    <e v="#REF!"/>
    <e v="#REF!"/>
  </r>
  <r>
    <s v="512100"/>
    <x v="6"/>
    <s v="BANQUE POPULAIRE RIVE DE PARIS"/>
    <s v="BPRI"/>
    <n v="1331.4"/>
    <d v="2025-08-22T00:00:00"/>
    <s v="EVI C.P.A.M. TOULOUSE"/>
    <m/>
    <e v="#N/A"/>
    <e v="#N/A"/>
    <n v="81651"/>
    <m/>
    <m/>
    <s v="Q3"/>
    <e v="#REF!"/>
    <e v="#REF!"/>
    <e v="#REF!"/>
  </r>
  <r>
    <s v="645300"/>
    <x v="6"/>
    <s v="COTISATIONS AUX CAISSES DE RETRAITE"/>
    <s v="SA"/>
    <n v="20.95"/>
    <d v="2025-09-30T00:00:00"/>
    <s v="CONTRIBUTION D'EQUILIBRE TECHNIQUE TU1"/>
    <m/>
    <e v="#N/A"/>
    <e v="#N/A"/>
    <n v="84239"/>
    <s v="SA202509"/>
    <m/>
    <s v="Q3"/>
    <e v="#REF!"/>
    <e v="#REF!"/>
    <e v="#REF!"/>
  </r>
  <r>
    <s v="645300"/>
    <x v="6"/>
    <s v="COTISATIONS AUX CAISSES DE RETRAITE"/>
    <s v="SA"/>
    <n v="20.95"/>
    <d v="2025-10-31T00:00:00"/>
    <s v="CONTRIBUTION D'EQUILIBRE TECHNIQUE TU1"/>
    <m/>
    <e v="#N/A"/>
    <e v="#N/A"/>
    <n v="87905"/>
    <s v="SA202510"/>
    <m/>
    <s v="Q4"/>
    <e v="#REF!"/>
    <e v="#REF!"/>
    <e v="#REF!"/>
  </r>
  <r>
    <s v="645300"/>
    <x v="6"/>
    <s v="COTISATIONS AUX CAISSES DE RETRAITE"/>
    <s v="SA"/>
    <n v="20.95"/>
    <d v="2025-11-30T00:00:00"/>
    <s v="CONTRIBUTION D'EQUILIBRE TECHNIQUE TU1"/>
    <m/>
    <e v="#N/A"/>
    <e v="#N/A"/>
    <n v="92412"/>
    <s v="SA202511"/>
    <m/>
    <s v="Q4"/>
    <e v="#REF!"/>
    <e v="#REF!"/>
    <e v="#REF!"/>
  </r>
  <r>
    <s v="512100"/>
    <x v="6"/>
    <s v="BANQUE POPULAIRE RIVE DE PARIS"/>
    <s v="BPRI"/>
    <n v="1426.5"/>
    <d v="2025-07-28T00:00:00"/>
    <s v="EVI CPAM 75 PRESTATIONS"/>
    <m/>
    <e v="#N/A"/>
    <e v="#N/A"/>
    <n v="78968"/>
    <m/>
    <m/>
    <s v="Q3"/>
    <e v="#REF!"/>
    <e v="#REF!"/>
    <e v="#REF!"/>
  </r>
  <r>
    <s v="512100"/>
    <x v="6"/>
    <s v="BANQUE POPULAIRE RIVE DE PARIS"/>
    <s v="BPRI"/>
    <n v="1570"/>
    <d v="2025-06-19T00:00:00"/>
    <s v="Virement SEPA NIG"/>
    <m/>
    <e v="#N/A"/>
    <e v="#N/A"/>
    <n v="76153"/>
    <m/>
    <s v="NIG Nahrungs-Ingenieurtechnik GmbH"/>
    <s v="Q2"/>
    <e v="#REF!"/>
    <e v="#REF!"/>
    <e v="#REF!"/>
  </r>
  <r>
    <s v="512100"/>
    <x v="6"/>
    <s v="BANQUE POPULAIRE RIVE DE PARIS"/>
    <s v="BPRI"/>
    <n v="1800"/>
    <d v="2025-05-16T00:00:00"/>
    <s v="Règlement Client"/>
    <m/>
    <e v="#N/A"/>
    <e v="#N/A"/>
    <n v="72844"/>
    <m/>
    <s v="MAINCO"/>
    <s v="Q2"/>
    <e v="#REF!"/>
    <e v="#REF!"/>
    <e v="#REF!"/>
  </r>
  <r>
    <s v="512100"/>
    <x v="6"/>
    <s v="BANQUE POPULAIRE RIVE DE PARIS"/>
    <s v="BPRI"/>
    <n v="1946.6"/>
    <d v="2025-09-11T00:00:00"/>
    <s v="EVI INITIATIVE ET RISK P REMBT DOUBLON ASSURANCE MRP AXA FRANCE IARD SA 21656350604"/>
    <m/>
    <e v="#N/A"/>
    <e v="#N/A"/>
    <n v="81971"/>
    <m/>
    <s v="INITIATIVE &amp; RISK PARTNERS"/>
    <s v="Q3"/>
    <e v="#REF!"/>
    <e v="#REF!"/>
    <e v="#REF!"/>
  </r>
  <r>
    <s v="512100"/>
    <x v="6"/>
    <s v="BANQUE POPULAIRE RIVE DE PARIS"/>
    <s v="BPRI"/>
    <n v="2092.1999999999998"/>
    <d v="2025-06-02T00:00:00"/>
    <s v="Prélèvement CPAM Toulouse"/>
    <m/>
    <e v="#N/A"/>
    <e v="#N/A"/>
    <n v="75200"/>
    <m/>
    <m/>
    <s v="Q2"/>
    <e v="#REF!"/>
    <e v="#REF!"/>
    <e v="#REF!"/>
  </r>
  <r>
    <s v="512100"/>
    <x v="6"/>
    <s v="BANQUE POPULAIRE RIVE DE PARIS"/>
    <s v="BPRI"/>
    <n v="2288.63"/>
    <d v="2025-05-02T00:00:00"/>
    <s v="Remboursement fournisseur"/>
    <m/>
    <e v="#N/A"/>
    <e v="#N/A"/>
    <n v="70659"/>
    <m/>
    <s v="Eurofins BLC Leather Technology Centre Limited"/>
    <s v="Q2"/>
    <e v="#REF!"/>
    <e v="#REF!"/>
    <e v="#REF!"/>
  </r>
  <r>
    <s v="512100"/>
    <x v="6"/>
    <s v="BANQUE POPULAIRE RIVE DE PARIS"/>
    <s v="BPRI"/>
    <n v="2340"/>
    <d v="2025-05-21T00:00:00"/>
    <s v="Remboursement doublon de règlement"/>
    <m/>
    <e v="#N/A"/>
    <e v="#N/A"/>
    <n v="73910"/>
    <m/>
    <s v="CIAMT"/>
    <s v="Q2"/>
    <e v="#REF!"/>
    <e v="#REF!"/>
    <e v="#REF!"/>
  </r>
  <r>
    <s v="645300"/>
    <x v="6"/>
    <s v="COTISATIONS AUX CAISSES DE RETRAITE"/>
    <s v="SA"/>
    <n v="20.95"/>
    <d v="2025-12-31T00:00:00"/>
    <s v="CONTRIBUTION D'EQUILIBRE TECHNIQUE TU1"/>
    <m/>
    <e v="#N/A"/>
    <e v="#N/A"/>
    <n v="92875"/>
    <s v="SA202512"/>
    <m/>
    <s v="Q4"/>
    <e v="#REF!"/>
    <e v="#REF!"/>
    <e v="#REF!"/>
  </r>
  <r>
    <s v="512100"/>
    <x v="6"/>
    <s v="BANQUE POPULAIRE RIVE DE PARIS"/>
    <s v="BPRI"/>
    <n v="2500"/>
    <d v="2025-05-08T00:00:00"/>
    <s v="Règlement BPI"/>
    <m/>
    <e v="#N/A"/>
    <e v="#N/A"/>
    <n v="71729"/>
    <m/>
    <s v="BPI FRANCE"/>
    <s v="Q2"/>
    <e v="#REF!"/>
    <e v="#REF!"/>
    <e v="#REF!"/>
  </r>
  <r>
    <s v="512100"/>
    <x v="6"/>
    <s v="BANQUE POPULAIRE RIVE DE PARIS"/>
    <s v="BPRI"/>
    <n v="3412.99"/>
    <d v="2025-01-07T00:00:00"/>
    <s v="INTERETS CREDIT"/>
    <m/>
    <e v="#N/A"/>
    <e v="#N/A"/>
    <n v="20929"/>
    <s v="R250106"/>
    <s v="Banque Populaire Rive de Paris"/>
    <s v="Q1"/>
    <e v="#REF!"/>
    <e v="#REF!"/>
    <e v="#REF!"/>
  </r>
  <r>
    <s v="512100"/>
    <x v="6"/>
    <s v="BANQUE POPULAIRE RIVE DE PARIS"/>
    <s v="BPRI"/>
    <n v="3940.98"/>
    <d v="2025-04-04T00:00:00"/>
    <s v="Intérêts créditeurs"/>
    <m/>
    <e v="#N/A"/>
    <e v="#N/A"/>
    <n v="66591"/>
    <m/>
    <s v="Banque Populaire Rive de Paris"/>
    <s v="Q2"/>
    <e v="#REF!"/>
    <e v="#REF!"/>
    <e v="#REF!"/>
  </r>
  <r>
    <s v="512100"/>
    <x v="6"/>
    <s v="BANQUE POPULAIRE RIVE DE PARIS"/>
    <s v="BPRI"/>
    <n v="4000"/>
    <d v="2025-01-20T00:00:00"/>
    <s v="EVI DRFIP ILE DE FRANCE ET D"/>
    <m/>
    <e v="#N/A"/>
    <e v="#N/A"/>
    <n v="21038"/>
    <s v="0SUY923"/>
    <m/>
    <s v="Q1"/>
    <e v="#REF!"/>
    <e v="#REF!"/>
    <e v="#REF!"/>
  </r>
  <r>
    <s v="512100"/>
    <x v="6"/>
    <s v="BANQUE POPULAIRE RIVE DE PARIS"/>
    <s v="BPRI"/>
    <n v="4015"/>
    <d v="2025-02-11T00:00:00"/>
    <s v="RAPATR ETR COMM"/>
    <m/>
    <e v="#N/A"/>
    <e v="#N/A"/>
    <n v="21281"/>
    <s v="A2B3FL1"/>
    <s v="CITIZENS OF HUMANITY LLC"/>
    <s v="Q1"/>
    <e v="#REF!"/>
    <e v="#REF!"/>
    <e v="#REF!"/>
  </r>
  <r>
    <s v="512100"/>
    <x v="6"/>
    <s v="BANQUE POPULAIRE RIVE DE PARIS"/>
    <s v="BPRI"/>
    <n v="15000"/>
    <d v="2025-01-20T00:00:00"/>
    <s v="VIR INST E.U.R.L. IN'MANAGEMENT"/>
    <s v="Non"/>
    <s v="Non"/>
    <e v="#N/A"/>
    <n v="21041"/>
    <s v="WCSK4GK"/>
    <s v="INSIDE MANAGEMENT"/>
    <s v="Q1"/>
    <e v="#REF!"/>
    <e v="#REF!"/>
    <e v="#REF!"/>
  </r>
  <r>
    <s v="512100"/>
    <x v="6"/>
    <s v="BANQUE POPULAIRE RIVE DE PARIS"/>
    <s v="BPRI"/>
    <n v="15000"/>
    <d v="2025-01-21T00:00:00"/>
    <s v="VIR INST E.U.R.L. IN'MANAGEMENT"/>
    <s v="Non"/>
    <s v="Non"/>
    <e v="#N/A"/>
    <n v="21043"/>
    <s v="WCSXGN1"/>
    <s v="INSIDE MANAGEMENT"/>
    <s v="Q1"/>
    <e v="#REF!"/>
    <e v="#REF!"/>
    <e v="#REF!"/>
  </r>
  <r>
    <s v="512100"/>
    <x v="6"/>
    <s v="BANQUE POPULAIRE RIVE DE PARIS"/>
    <s v="BPRI"/>
    <n v="16500"/>
    <d v="2025-10-22T00:00:00"/>
    <s v="EVI SIE TOULOUSE RANGUEIL - REMB. CREANCES IS - CIR/2022/811 - 524545"/>
    <m/>
    <e v="#N/A"/>
    <e v="#N/A"/>
    <n v="87314"/>
    <m/>
    <m/>
    <s v="Q4"/>
    <e v="#REF!"/>
    <e v="#REF!"/>
    <e v="#REF!"/>
  </r>
  <r>
    <s v="512100"/>
    <x v="6"/>
    <s v="BANQUE POPULAIRE RIVE DE PARIS"/>
    <s v="BPRI"/>
    <n v="31734"/>
    <d v="2025-09-11T00:00:00"/>
    <s v="EVI KAPP REMBT TROP PERCU"/>
    <s v="Non"/>
    <e v="#N/A"/>
    <e v="#N/A"/>
    <n v="81964"/>
    <m/>
    <s v="KAPP"/>
    <s v="Q3"/>
    <e v="#REF!"/>
    <e v="#REF!"/>
    <e v="#REF!"/>
  </r>
  <r>
    <s v="512100"/>
    <x v="6"/>
    <s v="BANQUE POPULAIRE RIVE DE PARIS"/>
    <s v="BPRI"/>
    <n v="131578"/>
    <d v="2025-08-14T00:00:00"/>
    <s v="EVI SIE TOULOUSE RANGUEIL REMB. DGFiP - 811524545 - TVA Q2 2025"/>
    <m/>
    <e v="#N/A"/>
    <e v="#N/A"/>
    <n v="80824"/>
    <m/>
    <m/>
    <s v="Q3"/>
    <e v="#REF!"/>
    <e v="#REF!"/>
    <e v="#REF!"/>
  </r>
  <r>
    <s v="645300"/>
    <x v="6"/>
    <s v="COTISATIONS AUX CAISSES DE RETRAITE"/>
    <s v="SA"/>
    <n v="24.71"/>
    <d v="2025-04-30T00:00:00"/>
    <s v="CONTRIBUTION D'EQUILIBRE TECHNIQUE TU1"/>
    <m/>
    <e v="#N/A"/>
    <e v="#N/A"/>
    <n v="80442"/>
    <s v="SA202504"/>
    <m/>
    <s v="Q2"/>
    <e v="#REF!"/>
    <e v="#REF!"/>
    <e v="#REF!"/>
  </r>
  <r>
    <s v="645300"/>
    <x v="6"/>
    <s v="COTISATIONS AUX CAISSES DE RETRAITE"/>
    <s v="SA"/>
    <n v="24.72"/>
    <d v="2025-03-31T00:00:00"/>
    <s v="CONTRIBUTION D'EQUILIBRE TECHNIQUE TU1"/>
    <m/>
    <e v="#N/A"/>
    <e v="#N/A"/>
    <n v="80607"/>
    <s v="SA202503"/>
    <m/>
    <s v="Q1"/>
    <e v="#REF!"/>
    <e v="#REF!"/>
    <e v="#REF!"/>
  </r>
  <r>
    <s v="512100"/>
    <x v="6"/>
    <s v="BANQUE POPULAIRE RIVE DE PARIS"/>
    <s v="BPRI"/>
    <n v="255486"/>
    <d v="2025-08-11T00:00:00"/>
    <s v="Virement reçu TVA T1 2025"/>
    <m/>
    <e v="#N/A"/>
    <e v="#N/A"/>
    <n v="80793"/>
    <m/>
    <m/>
    <s v="Q3"/>
    <e v="#REF!"/>
    <e v="#REF!"/>
    <e v="#REF!"/>
  </r>
  <r>
    <s v="645300"/>
    <x v="6"/>
    <s v="COTISATIONS AUX CAISSES DE RETRAITE"/>
    <s v="SA"/>
    <n v="24.72"/>
    <d v="2025-04-30T00:00:00"/>
    <s v="CONTRIBUTION D'EQUILIBRE TECHNIQUE TU1"/>
    <m/>
    <e v="#N/A"/>
    <e v="#N/A"/>
    <n v="80434"/>
    <s v="SA202504"/>
    <m/>
    <s v="Q2"/>
    <e v="#REF!"/>
    <e v="#REF!"/>
    <e v="#REF!"/>
  </r>
  <r>
    <s v="512100"/>
    <x v="6"/>
    <s v="BANQUE POPULAIRE RIVE DE PARIS"/>
    <s v="BPRI"/>
    <n v="314472"/>
    <d v="2025-02-07T00:00:00"/>
    <s v="EVI SIE TOULOUSE RANGUEIL"/>
    <m/>
    <e v="#N/A"/>
    <e v="#N/A"/>
    <n v="21240"/>
    <s v="1PXR2UU"/>
    <m/>
    <s v="Q1"/>
    <e v="#REF!"/>
    <e v="#REF!"/>
    <e v="#REF!"/>
  </r>
  <r>
    <s v="645300"/>
    <x v="6"/>
    <s v="COTISATIONS AUX CAISSES DE RETRAITE"/>
    <s v="SA"/>
    <n v="24.72"/>
    <d v="2025-05-31T00:00:00"/>
    <s v="CONTRIBUTION D'EQUILIBRE TECHNIQUE TU1"/>
    <m/>
    <e v="#N/A"/>
    <e v="#N/A"/>
    <n v="80264"/>
    <s v="SA202505"/>
    <m/>
    <s v="Q2"/>
    <e v="#REF!"/>
    <e v="#REF!"/>
    <e v="#REF!"/>
  </r>
  <r>
    <s v="512100"/>
    <x v="6"/>
    <s v="BANQUE POPULAIRE RIVE DE PARIS"/>
    <s v="BPRI"/>
    <n v="587212.06000000006"/>
    <d v="2025-06-02T00:00:00"/>
    <s v="Encaissement partiel CIR 2024 Neftys"/>
    <m/>
    <e v="#N/A"/>
    <e v="#N/A"/>
    <n v="75206"/>
    <m/>
    <m/>
    <s v="Q2"/>
    <e v="#REF!"/>
    <e v="#REF!"/>
    <e v="#REF!"/>
  </r>
  <r>
    <s v="645300"/>
    <x v="6"/>
    <s v="COTISATIONS AUX CAISSES DE RETRAITE"/>
    <s v="SA"/>
    <n v="29.2"/>
    <d v="2025-02-28T00:00:00"/>
    <s v="CONTRIBUTION D'EQUILIBRE TECHNIQUE TU1"/>
    <m/>
    <e v="#N/A"/>
    <e v="#N/A"/>
    <n v="85352"/>
    <s v="SA202502"/>
    <m/>
    <s v="Q1"/>
    <e v="#REF!"/>
    <e v="#REF!"/>
    <e v="#REF!"/>
  </r>
  <r>
    <s v="518600"/>
    <x v="6"/>
    <s v="INTÉRÊTS COURUS À PAYER"/>
    <s v="AC"/>
    <n v="1486.97"/>
    <d v="2025-01-01T00:00:00"/>
    <s v="FRAIS BANCAIRES"/>
    <m/>
    <e v="#N/A"/>
    <e v="#N/A"/>
    <n v="72511"/>
    <s v="2024Q1-SoldeFrais"/>
    <s v="Banque Populaire Rive de Paris"/>
    <s v="Q1"/>
    <e v="#REF!"/>
    <e v="#REF!"/>
    <e v="#REF!"/>
  </r>
  <r>
    <s v="518600"/>
    <x v="6"/>
    <s v="INTÉRÊTS COURUS À PAYER"/>
    <s v="AN"/>
    <n v="-1487"/>
    <d v="2025-01-01T00:00:00"/>
    <s v="Report à nouveau Exercice 2025"/>
    <m/>
    <e v="#N/A"/>
    <e v="#N/A"/>
    <n v="84797"/>
    <m/>
    <m/>
    <s v="Q1"/>
    <e v="#REF!"/>
    <e v="#REF!"/>
    <e v="#REF!"/>
  </r>
  <r>
    <s v="518600"/>
    <x v="6"/>
    <s v="INTÉRÊTS COURUS À PAYER"/>
    <s v="OD"/>
    <n v="-1487"/>
    <d v="2025-01-01T00:00:00"/>
    <s v="Liaison inter-établissement"/>
    <m/>
    <e v="#N/A"/>
    <e v="#N/A"/>
    <n v="88063"/>
    <m/>
    <m/>
    <s v="Q1"/>
    <e v="#REF!"/>
    <e v="#REF!"/>
    <e v="#REF!"/>
  </r>
  <r>
    <s v="518600"/>
    <x v="6"/>
    <s v="INTÉRÊTS COURUS À PAYER"/>
    <s v="OD"/>
    <n v="0.03"/>
    <d v="2025-01-31T00:00:00"/>
    <s v="Ecart de règlement"/>
    <m/>
    <e v="#N/A"/>
    <e v="#N/A"/>
    <n v="88065"/>
    <m/>
    <m/>
    <s v="Q1"/>
    <e v="#REF!"/>
    <e v="#REF!"/>
    <e v="#REF!"/>
  </r>
  <r>
    <s v="518600"/>
    <x v="6"/>
    <s v="INTÉRÊTS COURUS À PAYER"/>
    <s v="OD"/>
    <n v="1487"/>
    <d v="2025-01-01T00:00:00"/>
    <s v="Liaison inter-établissement vers KB "/>
    <m/>
    <e v="#N/A"/>
    <e v="#N/A"/>
    <n v="88062"/>
    <m/>
    <m/>
    <s v="Q1"/>
    <e v="#REF!"/>
    <e v="#REF!"/>
    <e v="#REF!"/>
  </r>
  <r>
    <s v="518700"/>
    <x v="6"/>
    <s v="INTÉRÊTS COURUS À RECEVOIR"/>
    <s v="AN"/>
    <n v="3413"/>
    <d v="2025-01-01T00:00:00"/>
    <s v="Report à nouveau Exercice 2025"/>
    <m/>
    <e v="#N/A"/>
    <e v="#N/A"/>
    <n v="84798"/>
    <m/>
    <m/>
    <s v="Q1"/>
    <e v="#REF!"/>
    <e v="#REF!"/>
    <e v="#REF!"/>
  </r>
  <r>
    <s v="518700"/>
    <x v="6"/>
    <s v="INTÉRÊTS COURUS À RECEVOIR"/>
    <s v="JC"/>
    <n v="1494.49"/>
    <d v="2025-12-31T00:00:00"/>
    <s v="Intérêts créditeurs courus à recevoir - compte BPRI - Q4 2025"/>
    <m/>
    <e v="#N/A"/>
    <e v="#N/A"/>
    <n v="94532"/>
    <m/>
    <m/>
    <s v="Q4"/>
    <e v="#REF!"/>
    <e v="#REF!"/>
    <e v="#REF!"/>
  </r>
  <r>
    <s v="518700"/>
    <x v="6"/>
    <s v="INTÉRÊTS COURUS À RECEVOIR"/>
    <s v="OD"/>
    <n v="-3412.99"/>
    <d v="2025-01-31T00:00:00"/>
    <s v="INTERETS CREDITEURS Q4 2024"/>
    <m/>
    <e v="#N/A"/>
    <e v="#N/A"/>
    <n v="82939"/>
    <m/>
    <s v="Banque Populaire Rive de Paris"/>
    <s v="Q1"/>
    <e v="#REF!"/>
    <e v="#REF!"/>
    <e v="#REF!"/>
  </r>
  <r>
    <s v="518700"/>
    <x v="6"/>
    <s v="INTÉRÊTS COURUS À RECEVOIR"/>
    <s v="OD"/>
    <n v="-0.01"/>
    <d v="2025-01-31T00:00:00"/>
    <s v="Ecart de règlement"/>
    <m/>
    <e v="#N/A"/>
    <e v="#N/A"/>
    <n v="97884"/>
    <m/>
    <m/>
    <s v="Q1"/>
    <e v="#REF!"/>
    <e v="#REF!"/>
    <e v="#REF!"/>
  </r>
  <r>
    <s v="602110"/>
    <x v="6"/>
    <s v="ACHATS - Matières Premières, Réactifs, Solvants"/>
    <s v="AC"/>
    <n v="-522"/>
    <d v="2025-11-10T00:00:00"/>
    <s v="REMBOURSEMENT DE LA FACTURE 4175054812, PRODUIT NON RÉCEPTIONNÉ SUITE À PB LIVRAISON"/>
    <m/>
    <e v="#N/A"/>
    <e v="#N/A"/>
    <n v="91058"/>
    <s v="5"/>
    <s v="FISHER SCIENTIFIC"/>
    <s v="Q4"/>
    <e v="#REF!"/>
    <e v="#REF!"/>
    <e v="#REF!"/>
  </r>
  <r>
    <s v="602110"/>
    <x v="6"/>
    <s v="ACHATS - Matières Premières, Réactifs, Solvants"/>
    <s v="AC"/>
    <n v="-9.89"/>
    <d v="2025-01-31T00:00:00"/>
    <s v="VWR 180+ ADJUSTMENT"/>
    <m/>
    <e v="#N/A"/>
    <e v="#N/A"/>
    <n v="82093"/>
    <m/>
    <s v="VWR AVANTOR"/>
    <s v="Q1"/>
    <e v="#REF!"/>
    <e v="#REF!"/>
    <e v="#REF!"/>
  </r>
  <r>
    <s v="602110"/>
    <x v="6"/>
    <s v="ACHATS - Matières Premières, Réactifs, Solvants"/>
    <s v="AC"/>
    <n v="5.75"/>
    <d v="2025-06-17T00:00:00"/>
    <s v="NACL POUR KEENY (SOLUTION BRINE POUR LES LAVAGES)"/>
    <m/>
    <e v="#N/A"/>
    <e v="#N/A"/>
    <n v="78043"/>
    <s v="29"/>
    <s v="MONDROGUISTE"/>
    <s v="Q2"/>
    <e v="#REF!"/>
    <e v="#REF!"/>
    <e v="#REF!"/>
  </r>
  <r>
    <s v="602110"/>
    <x v="6"/>
    <s v="ACHATS - Matières Premières, Réactifs, Solvants"/>
    <s v="AC"/>
    <n v="13.22"/>
    <d v="2025-04-08T00:00:00"/>
    <s v="COMMANDE CONSOMMABLE LABO"/>
    <m/>
    <e v="#N/A"/>
    <e v="#N/A"/>
    <n v="69747"/>
    <s v="4067690316"/>
    <s v="VWR AVANTOR"/>
    <s v="Q2"/>
    <e v="#REF!"/>
    <e v="#REF!"/>
    <e v="#REF!"/>
  </r>
  <r>
    <s v="602110"/>
    <x v="6"/>
    <s v="ACHATS - Matières Premières, Réactifs, Solvants"/>
    <s v="AC"/>
    <n v="15.92"/>
    <d v="2025-01-16T00:00:00"/>
    <s v="CALCIUM HYDROXIDE  MIN. 96 %, EN POUDRE"/>
    <m/>
    <e v="#N/A"/>
    <e v="#N/A"/>
    <n v="64009"/>
    <s v="4171856"/>
    <s v="ROTH SOCHIEL"/>
    <s v="Q1"/>
    <e v="#REF!"/>
    <e v="#REF!"/>
    <e v="#REF!"/>
  </r>
  <r>
    <s v="602110"/>
    <x v="6"/>
    <s v="ACHATS - Matières Premières, Réactifs, Solvants"/>
    <s v="AC"/>
    <n v="17.12"/>
    <d v="2025-02-14T00:00:00"/>
    <s v="ACIDE PROPIONIQUE"/>
    <m/>
    <e v="#N/A"/>
    <e v="#N/A"/>
    <n v="64096"/>
    <s v="4173508"/>
    <s v="ROTH SOCHIEL"/>
    <s v="Q1"/>
    <e v="#REF!"/>
    <e v="#REF!"/>
    <e v="#REF!"/>
  </r>
  <r>
    <s v="602110"/>
    <x v="6"/>
    <s v="ACHATS - Matières Premières, Réactifs, Solvants"/>
    <s v="AC"/>
    <n v="18.46"/>
    <d v="2025-11-18T00:00:00"/>
    <s v="SOLVANT LABO"/>
    <m/>
    <e v="#N/A"/>
    <e v="#N/A"/>
    <n v="91941"/>
    <s v="4067874264"/>
    <s v="VWR AVANTOR"/>
    <s v="Q4"/>
    <e v="#REF!"/>
    <e v="#REF!"/>
    <e v="#REF!"/>
  </r>
  <r>
    <s v="602110"/>
    <x v="6"/>
    <s v="ACHATS - Matières Premières, Réactifs, Solvants"/>
    <s v="AC"/>
    <n v="20.65"/>
    <d v="2025-04-15T00:00:00"/>
    <s v="COMMANDE PRODUIT KEENB"/>
    <m/>
    <e v="#N/A"/>
    <e v="#N/A"/>
    <n v="71319"/>
    <s v="8053461349"/>
    <s v="Sigma-Aldrich chimie"/>
    <s v="Q2"/>
    <e v="#REF!"/>
    <e v="#REF!"/>
    <e v="#REF!"/>
  </r>
  <r>
    <s v="602110"/>
    <x v="6"/>
    <s v="ACHATS - Matières Premières, Réactifs, Solvants"/>
    <s v="AC"/>
    <n v="20.86"/>
    <d v="2025-12-17T00:00:00"/>
    <s v="PRODUIT KEENB"/>
    <m/>
    <e v="#N/A"/>
    <e v="#N/A"/>
    <n v="93011"/>
    <s v="4067902399"/>
    <s v="VWR AVANTOR"/>
    <s v="Q4"/>
    <e v="#REF!"/>
    <e v="#REF!"/>
    <e v="#REF!"/>
  </r>
  <r>
    <s v="602110"/>
    <x v="6"/>
    <s v="ACHATS - Matières Premières, Réactifs, Solvants"/>
    <s v="AC"/>
    <n v="21.34"/>
    <d v="2025-03-04T00:00:00"/>
    <s v="ACÉTONE TECHNICAL BIDON PLASTIQUE 5L DIN42"/>
    <m/>
    <e v="#N/A"/>
    <e v="#N/A"/>
    <n v="65969"/>
    <s v="4067656490"/>
    <s v="VWR AVANTOR"/>
    <s v="Q1"/>
    <e v="#REF!"/>
    <e v="#REF!"/>
    <e v="#REF!"/>
  </r>
  <r>
    <s v="602110"/>
    <x v="6"/>
    <s v="ACHATS - Matières Premières, Réactifs, Solvants"/>
    <s v="AC"/>
    <n v="21.34"/>
    <d v="2025-11-19T00:00:00"/>
    <s v="SOLVANT LABO"/>
    <m/>
    <e v="#N/A"/>
    <e v="#N/A"/>
    <n v="91944"/>
    <s v="4067875494"/>
    <s v="VWR AVANTOR"/>
    <s v="Q4"/>
    <e v="#REF!"/>
    <e v="#REF!"/>
    <e v="#REF!"/>
  </r>
  <r>
    <s v="602110"/>
    <x v="6"/>
    <s v="ACHATS - Matières Premières, Réactifs, Solvants"/>
    <s v="AC"/>
    <n v="21.44"/>
    <d v="2025-04-30T00:00:00"/>
    <s v="ÉTHYLHEXANOL  MIN. 99,5 %, POUR LA SYNTHÈSE"/>
    <m/>
    <e v="#N/A"/>
    <e v="#N/A"/>
    <n v="72640"/>
    <s v="4177412"/>
    <s v="ROTH SOCHIEL"/>
    <s v="Q2"/>
    <e v="#REF!"/>
    <e v="#REF!"/>
    <e v="#REF!"/>
  </r>
  <r>
    <s v="602110"/>
    <x v="6"/>
    <s v="ACHATS - Matières Premières, Réactifs, Solvants"/>
    <s v="AC"/>
    <n v="22"/>
    <d v="2025-07-01T00:00:00"/>
    <s v="COMMANDE CONSOMMABLE LABO"/>
    <m/>
    <e v="#N/A"/>
    <e v="#N/A"/>
    <n v="77325"/>
    <s v="4067761025"/>
    <s v="VWR AVANTOR"/>
    <s v="Q3"/>
    <e v="#REF!"/>
    <e v="#REF!"/>
    <e v="#REF!"/>
  </r>
  <r>
    <s v="602110"/>
    <x v="6"/>
    <s v="ACHATS - Matières Premières, Réactifs, Solvants"/>
    <s v="AC"/>
    <n v="22.16"/>
    <d v="2025-02-28T00:00:00"/>
    <s v="METHYL ANTHRANILATE, 99%"/>
    <m/>
    <e v="#N/A"/>
    <e v="#N/A"/>
    <n v="64145"/>
    <s v="4067652895"/>
    <s v="VWR AVANTOR"/>
    <s v="Q1"/>
    <e v="#REF!"/>
    <e v="#REF!"/>
    <e v="#REF!"/>
  </r>
  <r>
    <s v="602110"/>
    <x v="6"/>
    <s v="ACHATS - Matières Premières, Réactifs, Solvants"/>
    <s v="AC"/>
    <n v="22.88"/>
    <d v="2025-06-27T00:00:00"/>
    <s v="COMMANDE PRODUIT KEENY POUR ÉTUDE RC1"/>
    <m/>
    <e v="#N/A"/>
    <e v="#N/A"/>
    <n v="77293"/>
    <s v="4067756761"/>
    <s v="VWR AVANTOR"/>
    <s v="Q2"/>
    <e v="#REF!"/>
    <e v="#REF!"/>
    <e v="#REF!"/>
  </r>
  <r>
    <s v="602110"/>
    <x v="6"/>
    <s v="ACHATS - Matières Premières, Réactifs, Solvants"/>
    <s v="AC"/>
    <n v="24.6"/>
    <d v="2025-06-17T00:00:00"/>
    <s v="NACL POUR KEENY (SOLUTION BRINE POUR LES LAVAGES)"/>
    <m/>
    <e v="#N/A"/>
    <e v="#N/A"/>
    <n v="78044"/>
    <s v="29"/>
    <s v="MONDROGUISTE"/>
    <s v="Q2"/>
    <e v="#REF!"/>
    <e v="#REF!"/>
    <e v="#REF!"/>
  </r>
  <r>
    <s v="602110"/>
    <x v="6"/>
    <s v="ACHATS - Matières Premières, Réactifs, Solvants"/>
    <s v="AC"/>
    <n v="24.88"/>
    <d v="2025-02-18T00:00:00"/>
    <s v="MAGNÉSIUM CHLORURE ANHYDRE POUR LA SYNTHÈSE"/>
    <m/>
    <e v="#N/A"/>
    <e v="#N/A"/>
    <n v="64102"/>
    <s v="4067642228"/>
    <s v="VWR AVANTOR"/>
    <s v="Q1"/>
    <e v="#REF!"/>
    <e v="#REF!"/>
    <e v="#REF!"/>
  </r>
  <r>
    <s v="602110"/>
    <x v="6"/>
    <s v="ACHATS - Matières Premières, Réactifs, Solvants"/>
    <s v="AC"/>
    <n v="27.43"/>
    <d v="2025-02-14T00:00:00"/>
    <s v="TETRA-N-BUTYLAMMONIUM IODIDE, 98%"/>
    <m/>
    <e v="#N/A"/>
    <e v="#N/A"/>
    <n v="61492"/>
    <s v="4067639520"/>
    <s v="VWR AVANTOR"/>
    <s v="Q1"/>
    <e v="#REF!"/>
    <e v="#REF!"/>
    <e v="#REF!"/>
  </r>
  <r>
    <s v="602110"/>
    <x v="6"/>
    <s v="ACHATS - Matières Premières, Réactifs, Solvants"/>
    <s v="AC"/>
    <n v="27.44"/>
    <d v="2025-03-05T00:00:00"/>
    <s v="TRIÉTHYLÈNEGLYCOL"/>
    <m/>
    <e v="#N/A"/>
    <e v="#N/A"/>
    <n v="66009"/>
    <s v="4174544"/>
    <s v="ROTH SOCHIEL"/>
    <s v="Q1"/>
    <e v="#REF!"/>
    <e v="#REF!"/>
    <e v="#REF!"/>
  </r>
  <r>
    <s v="602110"/>
    <x v="6"/>
    <s v="ACHATS - Matières Premières, Réactifs, Solvants"/>
    <s v="AC"/>
    <n v="29.76"/>
    <d v="2025-03-18T00:00:00"/>
    <s v="MÉTHYLAMINE (SOLUTION AQUEUSE À 40%)"/>
    <m/>
    <e v="#N/A"/>
    <e v="#N/A"/>
    <n v="66021"/>
    <s v="4067668984"/>
    <s v="VWR AVANTOR"/>
    <s v="Q1"/>
    <e v="#REF!"/>
    <e v="#REF!"/>
    <e v="#REF!"/>
  </r>
  <r>
    <s v="602110"/>
    <x v="6"/>
    <s v="ACHATS - Matières Premières, Réactifs, Solvants"/>
    <s v="AC"/>
    <n v="30.02"/>
    <d v="2025-04-25T00:00:00"/>
    <s v="HYDROGENE PEROXYDE 30% PH"/>
    <m/>
    <e v="#N/A"/>
    <e v="#N/A"/>
    <n v="71349"/>
    <s v="4067704793"/>
    <s v="VWR AVANTOR"/>
    <s v="Q2"/>
    <e v="#REF!"/>
    <e v="#REF!"/>
    <e v="#REF!"/>
  </r>
  <r>
    <s v="602110"/>
    <x v="6"/>
    <s v="ACHATS - Matières Premières, Réactifs, Solvants"/>
    <s v="AC"/>
    <n v="30.02"/>
    <d v="2025-07-02T00:00:00"/>
    <s v="COMMANDE PRODUIT KEENB"/>
    <m/>
    <e v="#N/A"/>
    <e v="#N/A"/>
    <n v="78893"/>
    <s v="4067762269"/>
    <s v="VWR AVANTOR"/>
    <s v="Q3"/>
    <e v="#REF!"/>
    <e v="#REF!"/>
    <e v="#REF!"/>
  </r>
  <r>
    <s v="602110"/>
    <x v="6"/>
    <s v="ACHATS - Matières Premières, Réactifs, Solvants"/>
    <s v="AC"/>
    <n v="30.72"/>
    <d v="2025-04-15T00:00:00"/>
    <s v="AIGUILLES 10ML (12ML) 3-PIÈCES"/>
    <m/>
    <e v="#N/A"/>
    <e v="#N/A"/>
    <n v="69811"/>
    <s v="4067696577"/>
    <s v="VWR AVANTOR"/>
    <s v="Q2"/>
    <e v="#REF!"/>
    <e v="#REF!"/>
    <e v="#REF!"/>
  </r>
  <r>
    <s v="602110"/>
    <x v="6"/>
    <s v="ACHATS - Matières Premières, Réactifs, Solvants"/>
    <s v="AC"/>
    <n v="31.68"/>
    <d v="2025-05-26T00:00:00"/>
    <s v="COMMANDE CONSOMMABLE LABO"/>
    <m/>
    <e v="#N/A"/>
    <e v="#N/A"/>
    <n v="76526"/>
    <s v="4067728862"/>
    <s v="VWR AVANTOR"/>
    <s v="Q2"/>
    <e v="#REF!"/>
    <e v="#REF!"/>
    <e v="#REF!"/>
  </r>
  <r>
    <s v="602110"/>
    <x v="6"/>
    <s v="ACHATS - Matières Premières, Réactifs, Solvants"/>
    <s v="AC"/>
    <n v="31.84"/>
    <d v="2025-03-10T00:00:00"/>
    <s v="AMMONIUM HYDROXIDE"/>
    <m/>
    <e v="#N/A"/>
    <e v="#N/A"/>
    <n v="66073"/>
    <s v="4067661159"/>
    <s v="VWR AVANTOR"/>
    <s v="Q1"/>
    <e v="#REF!"/>
    <e v="#REF!"/>
    <e v="#REF!"/>
  </r>
  <r>
    <s v="602110"/>
    <x v="6"/>
    <s v="ACHATS - Matières Premières, Réactifs, Solvants"/>
    <s v="AC"/>
    <n v="32.159999999999997"/>
    <d v="2025-07-23T00:00:00"/>
    <s v="COMMANDE PRODUIT MUSTANG"/>
    <m/>
    <e v="#N/A"/>
    <e v="#N/A"/>
    <n v="78936"/>
    <s v="4067778265"/>
    <s v="VWR AVANTOR"/>
    <s v="Q3"/>
    <e v="#REF!"/>
    <e v="#REF!"/>
    <e v="#REF!"/>
  </r>
  <r>
    <s v="602110"/>
    <x v="6"/>
    <s v="ACHATS - Matières Premières, Réactifs, Solvants"/>
    <s v="AC"/>
    <n v="33"/>
    <d v="2025-02-24T00:00:00"/>
    <s v="COMMANDE PRODUIT KEENY"/>
    <m/>
    <e v="#N/A"/>
    <e v="#N/A"/>
    <n v="61557"/>
    <s v="INGM191089"/>
    <s v="BLD PHARMATECH"/>
    <s v="Q1"/>
    <e v="#REF!"/>
    <e v="#REF!"/>
    <e v="#REF!"/>
  </r>
  <r>
    <s v="602110"/>
    <x v="6"/>
    <s v="ACHATS - Matières Premières, Réactifs, Solvants"/>
    <s v="AC"/>
    <n v="33.020000000000003"/>
    <d v="2025-07-21T00:00:00"/>
    <s v="COMMANDE PRODUIT KEENB"/>
    <m/>
    <e v="#N/A"/>
    <e v="#N/A"/>
    <n v="78927"/>
    <s v="4067776382"/>
    <s v="VWR AVANTOR"/>
    <s v="Q3"/>
    <e v="#REF!"/>
    <e v="#REF!"/>
    <e v="#REF!"/>
  </r>
  <r>
    <s v="602110"/>
    <x v="6"/>
    <s v="ACHATS - Matières Premières, Réactifs, Solvants"/>
    <s v="AC"/>
    <n v="33.299999999999997"/>
    <d v="2025-08-04T00:00:00"/>
    <s v="PRODUIT MUSTANG"/>
    <m/>
    <e v="#N/A"/>
    <e v="#N/A"/>
    <n v="81786"/>
    <s v="4067788328"/>
    <s v="VWR AVANTOR"/>
    <s v="Q3"/>
    <e v="#REF!"/>
    <e v="#REF!"/>
    <e v="#REF!"/>
  </r>
  <r>
    <s v="602110"/>
    <x v="6"/>
    <s v="ACHATS - Matières Premières, Réactifs, Solvants"/>
    <s v="AC"/>
    <n v="33.479999999999997"/>
    <d v="2025-03-04T00:00:00"/>
    <s v="SODIUM LIGNINE SULFONATE"/>
    <m/>
    <e v="#N/A"/>
    <e v="#N/A"/>
    <n v="66045"/>
    <s v="4174464"/>
    <s v="ROTH SOCHIEL"/>
    <s v="Q1"/>
    <e v="#REF!"/>
    <e v="#REF!"/>
    <e v="#REF!"/>
  </r>
  <r>
    <s v="602110"/>
    <x v="6"/>
    <s v="ACHATS - Matières Premières, Réactifs, Solvants"/>
    <s v="AC"/>
    <n v="34.64"/>
    <d v="2025-12-22T00:00:00"/>
    <s v="PRODUIT ANILINE"/>
    <m/>
    <e v="#N/A"/>
    <e v="#N/A"/>
    <n v="94296"/>
    <s v="4067905378"/>
    <s v="VWR AVANTOR"/>
    <s v="Q4"/>
    <e v="#REF!"/>
    <e v="#REF!"/>
    <e v="#REF!"/>
  </r>
  <r>
    <s v="602110"/>
    <x v="6"/>
    <s v="ACHATS - Matières Premières, Réactifs, Solvants"/>
    <s v="AC"/>
    <n v="35"/>
    <d v="2025-10-06T00:00:00"/>
    <s v="PRODUIT CONSOMMABLE LABO"/>
    <m/>
    <e v="#N/A"/>
    <e v="#N/A"/>
    <n v="85157"/>
    <s v="4067836548"/>
    <s v="VWR AVANTOR"/>
    <s v="Q4"/>
    <e v="#REF!"/>
    <e v="#REF!"/>
    <e v="#REF!"/>
  </r>
  <r>
    <s v="602110"/>
    <x v="6"/>
    <s v="ACHATS - Matières Premières, Réactifs, Solvants"/>
    <s v="AC"/>
    <n v="35.520000000000003"/>
    <d v="2025-06-10T00:00:00"/>
    <s v="COMMANDE PRODUIT LABO"/>
    <m/>
    <e v="#N/A"/>
    <e v="#N/A"/>
    <n v="76582"/>
    <s v="4067740797"/>
    <s v="VWR AVANTOR"/>
    <s v="Q2"/>
    <e v="#REF!"/>
    <e v="#REF!"/>
    <e v="#REF!"/>
  </r>
  <r>
    <s v="602110"/>
    <x v="6"/>
    <s v="ACHATS - Matières Premières, Réactifs, Solvants"/>
    <s v="AC"/>
    <n v="37.049999999999997"/>
    <d v="2025-04-23T00:00:00"/>
    <s v="COMMANDE PRODUIT KEENABIS"/>
    <m/>
    <e v="#N/A"/>
    <e v="#N/A"/>
    <n v="71334"/>
    <s v="4067702475"/>
    <s v="VWR AVANTOR"/>
    <s v="Q2"/>
    <e v="#REF!"/>
    <e v="#REF!"/>
    <e v="#REF!"/>
  </r>
  <r>
    <s v="602110"/>
    <x v="6"/>
    <s v="ACHATS - Matières Premières, Réactifs, Solvants"/>
    <s v="AC"/>
    <n v="37.22"/>
    <d v="2025-08-26T00:00:00"/>
    <s v="PRODUIT KEENB"/>
    <m/>
    <e v="#N/A"/>
    <e v="#N/A"/>
    <n v="81823"/>
    <s v="4067801247"/>
    <s v="VWR AVANTOR"/>
    <s v="Q3"/>
    <e v="#REF!"/>
    <e v="#REF!"/>
    <e v="#REF!"/>
  </r>
  <r>
    <s v="602110"/>
    <x v="6"/>
    <s v="ACHATS - Matières Premières, Réactifs, Solvants"/>
    <s v="AC"/>
    <n v="39.32"/>
    <d v="2025-02-27T00:00:00"/>
    <s v="ISOPENTYL NITRITE, 97%, STAB. WITH 0.2% ANHYD. SODIUM CARBONATE"/>
    <m/>
    <e v="#N/A"/>
    <e v="#N/A"/>
    <n v="64127"/>
    <s v="4067651001"/>
    <s v="VWR AVANTOR"/>
    <s v="Q1"/>
    <e v="#REF!"/>
    <e v="#REF!"/>
    <e v="#REF!"/>
  </r>
  <r>
    <s v="602110"/>
    <x v="6"/>
    <s v="ACHATS - Matières Premières, Réactifs, Solvants"/>
    <s v="AC"/>
    <n v="39.75"/>
    <d v="2025-08-25T00:00:00"/>
    <s v="PRODUIT KEENB"/>
    <m/>
    <e v="#N/A"/>
    <e v="#N/A"/>
    <n v="81817"/>
    <s v="4067800329"/>
    <s v="VWR AVANTOR"/>
    <s v="Q3"/>
    <e v="#REF!"/>
    <e v="#REF!"/>
    <e v="#REF!"/>
  </r>
  <r>
    <s v="602110"/>
    <x v="6"/>
    <s v="ACHATS - Matières Premières, Réactifs, Solvants"/>
    <s v="AC"/>
    <n v="40.06"/>
    <d v="2025-02-25T00:00:00"/>
    <s v="ETHANOL 96 % VOL PUR TECHNISOLV"/>
    <m/>
    <e v="#N/A"/>
    <e v="#N/A"/>
    <n v="64113"/>
    <s v="4067648478"/>
    <s v="VWR AVANTOR"/>
    <s v="Q1"/>
    <e v="#REF!"/>
    <e v="#REF!"/>
    <e v="#REF!"/>
  </r>
  <r>
    <s v="602110"/>
    <x v="6"/>
    <s v="ACHATS - Matières Premières, Réactifs, Solvants"/>
    <s v="AC"/>
    <n v="40.6"/>
    <d v="2025-05-23T00:00:00"/>
    <s v="COMMANDE PRODUIT KEENB"/>
    <m/>
    <e v="#N/A"/>
    <e v="#N/A"/>
    <n v="75964"/>
    <s v="4067727729"/>
    <s v="VWR AVANTOR"/>
    <s v="Q2"/>
    <e v="#REF!"/>
    <e v="#REF!"/>
    <e v="#REF!"/>
  </r>
  <r>
    <s v="602110"/>
    <x v="6"/>
    <s v="ACHATS - Matières Premières, Réactifs, Solvants"/>
    <s v="AC"/>
    <n v="42.48"/>
    <d v="2025-07-15T00:00:00"/>
    <s v="COMMANDE PRODUIT KEENB"/>
    <m/>
    <e v="#N/A"/>
    <e v="#N/A"/>
    <n v="78907"/>
    <s v="4067772001"/>
    <s v="VWR AVANTOR"/>
    <s v="Q3"/>
    <e v="#REF!"/>
    <e v="#REF!"/>
    <e v="#REF!"/>
  </r>
  <r>
    <s v="602110"/>
    <x v="6"/>
    <s v="ACHATS - Matières Premières, Réactifs, Solvants"/>
    <s v="AC"/>
    <n v="43.55"/>
    <d v="2025-07-18T00:00:00"/>
    <s v="COMMANDE PRODUIT KEENB"/>
    <m/>
    <e v="#N/A"/>
    <e v="#N/A"/>
    <n v="78924"/>
    <s v="4067775354"/>
    <s v="VWR AVANTOR"/>
    <s v="Q3"/>
    <e v="#REF!"/>
    <e v="#REF!"/>
    <e v="#REF!"/>
  </r>
  <r>
    <s v="602110"/>
    <x v="6"/>
    <s v="ACHATS - Matières Premières, Réactifs, Solvants"/>
    <s v="AC"/>
    <n v="46.4"/>
    <d v="2025-08-19T00:00:00"/>
    <s v="PRODUIT MUSTANG"/>
    <m/>
    <e v="#N/A"/>
    <e v="#N/A"/>
    <n v="81807"/>
    <s v="4067797082"/>
    <s v="VWR AVANTOR"/>
    <s v="Q3"/>
    <e v="#REF!"/>
    <e v="#REF!"/>
    <e v="#REF!"/>
  </r>
  <r>
    <s v="602110"/>
    <x v="6"/>
    <s v="ACHATS - Matières Premières, Réactifs, Solvants"/>
    <s v="AC"/>
    <n v="46.48"/>
    <d v="2025-09-08T00:00:00"/>
    <s v="COMMANDE PRODUIT LISA"/>
    <m/>
    <e v="#N/A"/>
    <e v="#N/A"/>
    <n v="82330"/>
    <s v="4067812304"/>
    <s v="VWR AVANTOR"/>
    <s v="Q3"/>
    <e v="#REF!"/>
    <e v="#REF!"/>
    <e v="#REF!"/>
  </r>
  <r>
    <s v="602110"/>
    <x v="6"/>
    <s v="ACHATS - Matières Premières, Réactifs, Solvants"/>
    <s v="AC"/>
    <n v="46.78"/>
    <d v="2025-02-17T00:00:00"/>
    <s v="SODIUM HYDROXYDE EN SOLUTION"/>
    <m/>
    <e v="#N/A"/>
    <e v="#N/A"/>
    <n v="64099"/>
    <s v="4067640910"/>
    <s v="VWR AVANTOR"/>
    <s v="Q1"/>
    <e v="#REF!"/>
    <e v="#REF!"/>
    <e v="#REF!"/>
  </r>
  <r>
    <s v="602110"/>
    <x v="6"/>
    <s v="ACHATS - Matières Premières, Réactifs, Solvants"/>
    <s v="AC"/>
    <n v="47.96"/>
    <d v="2025-04-10T00:00:00"/>
    <s v="ACIDE SULFURIQUE 95 % TECHNICAL FLACON VERRE 1L"/>
    <m/>
    <e v="#N/A"/>
    <e v="#N/A"/>
    <n v="69773"/>
    <s v="4067692788"/>
    <s v="VWR AVANTOR"/>
    <s v="Q2"/>
    <e v="#REF!"/>
    <e v="#REF!"/>
    <e v="#REF!"/>
  </r>
  <r>
    <s v="602110"/>
    <x v="6"/>
    <s v="ACHATS - Matières Premières, Réactifs, Solvants"/>
    <s v="AC"/>
    <n v="49"/>
    <d v="2025-03-07T00:00:00"/>
    <s v="COMMANDE PRODUIT KEENB"/>
    <m/>
    <e v="#N/A"/>
    <e v="#N/A"/>
    <n v="65981"/>
    <s v="92424016"/>
    <s v="TCI"/>
    <s v="Q1"/>
    <e v="#REF!"/>
    <e v="#REF!"/>
    <e v="#REF!"/>
  </r>
  <r>
    <s v="602110"/>
    <x v="6"/>
    <s v="ACHATS - Matières Premières, Réactifs, Solvants"/>
    <s v="AC"/>
    <n v="51.81"/>
    <d v="2025-02-14T00:00:00"/>
    <s v="COMMANDE PRODUIT KEENB"/>
    <m/>
    <e v="#N/A"/>
    <e v="#N/A"/>
    <n v="61485"/>
    <s v="8053425310"/>
    <s v="Sigma-Aldrich chimie"/>
    <s v="Q1"/>
    <e v="#REF!"/>
    <e v="#REF!"/>
    <e v="#REF!"/>
  </r>
  <r>
    <s v="602110"/>
    <x v="6"/>
    <s v="ACHATS - Matières Premières, Réactifs, Solvants"/>
    <s v="AC"/>
    <n v="53.41"/>
    <d v="2025-03-07T00:00:00"/>
    <s v="COPPER(II) SULFATE PENTAHYDRATE P.A."/>
    <m/>
    <e v="#N/A"/>
    <e v="#N/A"/>
    <n v="66147"/>
    <s v="4067659979"/>
    <s v="VWR AVANTOR"/>
    <s v="Q1"/>
    <e v="#REF!"/>
    <e v="#REF!"/>
    <e v="#REF!"/>
  </r>
  <r>
    <s v="602110"/>
    <x v="6"/>
    <s v="ACHATS - Matières Premières, Réactifs, Solvants"/>
    <s v="AC"/>
    <n v="55.9"/>
    <d v="2025-03-27T00:00:00"/>
    <s v="COMMANDE PRODUIT KEENB"/>
    <m/>
    <e v="#N/A"/>
    <e v="#N/A"/>
    <n v="67896"/>
    <s v="4067677741"/>
    <s v="VWR AVANTOR"/>
    <s v="Q1"/>
    <e v="#REF!"/>
    <e v="#REF!"/>
    <e v="#REF!"/>
  </r>
  <r>
    <s v="602110"/>
    <x v="6"/>
    <s v="ACHATS - Matières Premières, Réactifs, Solvants"/>
    <s v="AC"/>
    <n v="59.47"/>
    <d v="2025-05-21T00:00:00"/>
    <s v="COMMANDE PRODUIT KEENY"/>
    <m/>
    <e v="#N/A"/>
    <e v="#N/A"/>
    <n v="74450"/>
    <s v="4067725484"/>
    <s v="VWR AVANTOR"/>
    <s v="Q2"/>
    <e v="#REF!"/>
    <e v="#REF!"/>
    <e v="#REF!"/>
  </r>
  <r>
    <s v="602110"/>
    <x v="6"/>
    <s v="ACHATS - Matières Premières, Réactifs, Solvants"/>
    <s v="AC"/>
    <n v="59.92"/>
    <d v="2025-08-08T00:00:00"/>
    <s v="PRODUIT KEENB"/>
    <m/>
    <e v="#N/A"/>
    <e v="#N/A"/>
    <n v="81792"/>
    <s v="4067791695"/>
    <s v="VWR AVANTOR"/>
    <s v="Q3"/>
    <e v="#REF!"/>
    <e v="#REF!"/>
    <e v="#REF!"/>
  </r>
  <r>
    <s v="602110"/>
    <x v="6"/>
    <s v="ACHATS - Matières Premières, Réactifs, Solvants"/>
    <s v="AC"/>
    <n v="60"/>
    <d v="2025-09-01T00:00:00"/>
    <s v="PRODUIT KEENB"/>
    <m/>
    <e v="#N/A"/>
    <e v="#N/A"/>
    <n v="81842"/>
    <s v="0092673422"/>
    <s v="TCI"/>
    <s v="Q3"/>
    <e v="#REF!"/>
    <e v="#REF!"/>
    <e v="#REF!"/>
  </r>
  <r>
    <s v="602110"/>
    <x v="6"/>
    <s v="ACHATS - Matières Premières, Réactifs, Solvants"/>
    <s v="AC"/>
    <n v="60.56"/>
    <d v="2025-05-09T00:00:00"/>
    <s v="MATIÈRES PREMIÈRES KEENY ROUSSILLON"/>
    <m/>
    <e v="#N/A"/>
    <e v="#N/A"/>
    <n v="73778"/>
    <s v="4177718"/>
    <s v="ROTH SOCHIEL"/>
    <s v="Q2"/>
    <e v="#REF!"/>
    <e v="#REF!"/>
    <e v="#REF!"/>
  </r>
  <r>
    <s v="602110"/>
    <x v="6"/>
    <s v="ACHATS - Matières Premières, Réactifs, Solvants"/>
    <s v="AC"/>
    <n v="62.32"/>
    <d v="2025-05-20T00:00:00"/>
    <s v="PRODUITS CHIMIQUES KL"/>
    <m/>
    <e v="#N/A"/>
    <e v="#N/A"/>
    <n v="75958"/>
    <s v="4178152"/>
    <s v="ROTH SOCHIEL"/>
    <s v="Q2"/>
    <e v="#REF!"/>
    <e v="#REF!"/>
    <e v="#REF!"/>
  </r>
  <r>
    <s v="602110"/>
    <x v="6"/>
    <s v="ACHATS - Matières Premières, Réactifs, Solvants"/>
    <s v="AC"/>
    <n v="62.7"/>
    <d v="2025-02-21T00:00:00"/>
    <s v="COMMANDE PRODUIT KEENY"/>
    <m/>
    <e v="#N/A"/>
    <e v="#N/A"/>
    <n v="61544"/>
    <s v="8053429520"/>
    <s v="Sigma-Aldrich chimie"/>
    <s v="Q1"/>
    <e v="#REF!"/>
    <e v="#REF!"/>
    <e v="#REF!"/>
  </r>
  <r>
    <s v="602110"/>
    <x v="6"/>
    <s v="ACHATS - Matières Premières, Réactifs, Solvants"/>
    <s v="AC"/>
    <n v="63.21"/>
    <d v="2025-03-17T00:00:00"/>
    <s v="EAU POUR LA CHROMATOGRAPHIE"/>
    <m/>
    <e v="#N/A"/>
    <e v="#N/A"/>
    <n v="65966"/>
    <s v="4067667596"/>
    <s v="VWR AVANTOR"/>
    <s v="Q1"/>
    <e v="#REF!"/>
    <e v="#REF!"/>
    <e v="#REF!"/>
  </r>
  <r>
    <s v="602110"/>
    <x v="6"/>
    <s v="ACHATS - Matières Premières, Réactifs, Solvants"/>
    <s v="AC"/>
    <n v="64.150000000000006"/>
    <d v="2025-03-03T00:00:00"/>
    <s v="AIGUILLE HYPODERMIQUE JAUNE HENKE-JECT À USAGE UNIQUE  MÉTHANOL POUR LA CHROMATOGRAPHIE EN PHASE LIQUIDE LICHROSOLV"/>
    <m/>
    <e v="#N/A"/>
    <e v="#N/A"/>
    <n v="66088"/>
    <s v="4067655037"/>
    <s v="VWR AVANTOR"/>
    <s v="Q1"/>
    <e v="#REF!"/>
    <e v="#REF!"/>
    <e v="#REF!"/>
  </r>
  <r>
    <s v="602110"/>
    <x v="6"/>
    <s v="ACHATS - Matières Premières, Réactifs, Solvants"/>
    <s v="AC"/>
    <n v="67.08"/>
    <d v="2025-03-11T00:00:00"/>
    <s v="COMMANDE PRODUIT KEENB"/>
    <m/>
    <e v="#N/A"/>
    <e v="#N/A"/>
    <n v="66024"/>
    <s v="4067662482"/>
    <s v="VWR AVANTOR"/>
    <s v="Q1"/>
    <e v="#REF!"/>
    <e v="#REF!"/>
    <e v="#REF!"/>
  </r>
  <r>
    <s v="602110"/>
    <x v="6"/>
    <s v="ACHATS - Matières Premières, Réactifs, Solvants"/>
    <s v="AC"/>
    <n v="67.650000000000006"/>
    <d v="2025-06-05T00:00:00"/>
    <s v="COMMANDE PRODUIT KEENY"/>
    <m/>
    <e v="#N/A"/>
    <e v="#N/A"/>
    <n v="76562"/>
    <s v="4067738283"/>
    <s v="VWR AVANTOR"/>
    <s v="Q2"/>
    <e v="#REF!"/>
    <e v="#REF!"/>
    <e v="#REF!"/>
  </r>
  <r>
    <s v="602110"/>
    <x v="6"/>
    <s v="ACHATS - Matières Premières, Réactifs, Solvants"/>
    <s v="AC"/>
    <n v="68.25"/>
    <d v="2025-11-03T00:00:00"/>
    <s v="ACHAT HYDROSULFITE DE SODIUM"/>
    <m/>
    <e v="#N/A"/>
    <e v="#N/A"/>
    <n v="91413"/>
    <s v="2000125507"/>
    <s v="MONDROGUISTE"/>
    <s v="Q4"/>
    <e v="#REF!"/>
    <e v="#REF!"/>
    <e v="#REF!"/>
  </r>
  <r>
    <s v="602110"/>
    <x v="6"/>
    <s v="ACHATS - Matières Premières, Réactifs, Solvants"/>
    <s v="AC"/>
    <n v="70.56"/>
    <d v="2025-02-26T00:00:00"/>
    <s v="SOLVANTS VBIO"/>
    <m/>
    <e v="#N/A"/>
    <e v="#N/A"/>
    <n v="92972"/>
    <s v="4174161"/>
    <s v="ROTH SOCHIEL"/>
    <s v="Q1"/>
    <e v="#REF!"/>
    <e v="#REF!"/>
    <e v="#REF!"/>
  </r>
  <r>
    <s v="602110"/>
    <x v="6"/>
    <s v="ACHATS - Matières Premières, Réactifs, Solvants"/>
    <s v="AC"/>
    <n v="71.150000000000006"/>
    <d v="2025-09-03T00:00:00"/>
    <s v="PRODUIT LISA"/>
    <m/>
    <e v="#N/A"/>
    <e v="#N/A"/>
    <n v="81859"/>
    <s v="4175127897"/>
    <s v="FISHER SCIENTIFIC"/>
    <s v="Q3"/>
    <e v="#REF!"/>
    <e v="#REF!"/>
    <e v="#REF!"/>
  </r>
  <r>
    <s v="602110"/>
    <x v="6"/>
    <s v="ACHATS - Matières Premières, Réactifs, Solvants"/>
    <s v="AC"/>
    <n v="71.900000000000006"/>
    <d v="2025-06-12T00:00:00"/>
    <s v="CELITE S POUR VBIO KL"/>
    <m/>
    <e v="#N/A"/>
    <e v="#N/A"/>
    <n v="76206"/>
    <s v="8053492053"/>
    <s v="Sigma-Aldrich chimie"/>
    <s v="Q2"/>
    <e v="#REF!"/>
    <e v="#REF!"/>
    <e v="#REF!"/>
  </r>
  <r>
    <s v="602110"/>
    <x v="6"/>
    <s v="ACHATS - Matières Premières, Réactifs, Solvants"/>
    <s v="AC"/>
    <n v="75"/>
    <d v="2025-07-02T00:00:00"/>
    <s v="COMMANDE ABSORBANT POUR LABO"/>
    <m/>
    <e v="#N/A"/>
    <e v="#N/A"/>
    <n v="78890"/>
    <s v="922055769"/>
    <s v="DENIOS"/>
    <s v="Q3"/>
    <e v="#REF!"/>
    <e v="#REF!"/>
    <e v="#REF!"/>
  </r>
  <r>
    <s v="602110"/>
    <x v="6"/>
    <s v="ACHATS - Matières Premières, Réactifs, Solvants"/>
    <s v="AC"/>
    <n v="77"/>
    <d v="2025-07-31T00:00:00"/>
    <s v="EAU POUR HPLC KEENY"/>
    <m/>
    <e v="#N/A"/>
    <e v="#N/A"/>
    <n v="92975"/>
    <s v="4181060"/>
    <s v="ROTH SOCHIEL"/>
    <s v="Q3"/>
    <e v="#REF!"/>
    <e v="#REF!"/>
    <e v="#REF!"/>
  </r>
  <r>
    <s v="602110"/>
    <x v="6"/>
    <s v="ACHATS - Matières Premières, Réactifs, Solvants"/>
    <s v="AC"/>
    <n v="78.2"/>
    <d v="2025-05-30T00:00:00"/>
    <s v="&quot;GLYCEROL _x0009_ ETHYLENE GLYCOL_x0009_ 1,3-PROPANEDIOL_x0009_ CALCIUM CHLORIDE ANHYDROUS_x0009_ SODIUM SULFITE&quot;"/>
    <m/>
    <e v="#N/A"/>
    <e v="#N/A"/>
    <n v="75984"/>
    <s v="4178669"/>
    <s v="ROTH SOCHIEL"/>
    <s v="Q2"/>
    <e v="#REF!"/>
    <e v="#REF!"/>
    <e v="#REF!"/>
  </r>
  <r>
    <s v="602110"/>
    <x v="6"/>
    <s v="ACHATS - Matières Premières, Réactifs, Solvants"/>
    <s v="AC"/>
    <n v="78.25"/>
    <d v="2025-04-22T00:00:00"/>
    <s v="COMMANDE PRODUIT LABO"/>
    <m/>
    <e v="#N/A"/>
    <e v="#N/A"/>
    <n v="71331"/>
    <s v="4067701172"/>
    <s v="VWR AVANTOR"/>
    <s v="Q2"/>
    <e v="#REF!"/>
    <e v="#REF!"/>
    <e v="#REF!"/>
  </r>
  <r>
    <s v="602110"/>
    <x v="6"/>
    <s v="ACHATS - Matières Premières, Réactifs, Solvants"/>
    <s v="AC"/>
    <n v="80.739999999999995"/>
    <d v="2025-02-03T00:00:00"/>
    <s v="SODIUM HYDROXYDE EN SOLUTION"/>
    <m/>
    <e v="#N/A"/>
    <e v="#N/A"/>
    <n v="64074"/>
    <s v="4067628880"/>
    <s v="VWR AVANTOR"/>
    <s v="Q1"/>
    <e v="#REF!"/>
    <e v="#REF!"/>
    <e v="#REF!"/>
  </r>
  <r>
    <s v="602110"/>
    <x v="6"/>
    <s v="ACHATS - Matières Premières, Réactifs, Solvants"/>
    <s v="AC"/>
    <n v="84.8"/>
    <d v="2025-04-08T00:00:00"/>
    <s v="COMMANDE PRODUIT LABO"/>
    <m/>
    <e v="#N/A"/>
    <e v="#N/A"/>
    <n v="69741"/>
    <s v="4067690317"/>
    <s v="VWR AVANTOR"/>
    <s v="Q2"/>
    <e v="#REF!"/>
    <e v="#REF!"/>
    <e v="#REF!"/>
  </r>
  <r>
    <s v="602110"/>
    <x v="6"/>
    <s v="ACHATS - Matières Premières, Réactifs, Solvants"/>
    <s v="AC"/>
    <n v="85"/>
    <d v="2025-06-03T00:00:00"/>
    <s v="COMMANDE PRODUIT POUR LABO"/>
    <m/>
    <e v="#N/A"/>
    <e v="#N/A"/>
    <n v="76105"/>
    <s v="4067736064"/>
    <s v="VWR AVANTOR"/>
    <s v="Q2"/>
    <e v="#REF!"/>
    <e v="#REF!"/>
    <e v="#REF!"/>
  </r>
  <r>
    <s v="602110"/>
    <x v="6"/>
    <s v="ACHATS - Matières Premières, Réactifs, Solvants"/>
    <s v="AC"/>
    <n v="86"/>
    <d v="2025-01-20T00:00:00"/>
    <s v="COMMANDE PRODUIT KEENB  BIOP"/>
    <m/>
    <e v="#N/A"/>
    <e v="#N/A"/>
    <n v="61285"/>
    <s v="INGM183253"/>
    <s v="BLD PHARMATECH"/>
    <s v="Q1"/>
    <e v="#REF!"/>
    <e v="#REF!"/>
    <e v="#REF!"/>
  </r>
  <r>
    <s v="602110"/>
    <x v="6"/>
    <s v="ACHATS - Matières Premières, Réactifs, Solvants"/>
    <s v="AC"/>
    <n v="87.27"/>
    <d v="2025-09-05T00:00:00"/>
    <s v="SOLVANT LABO"/>
    <m/>
    <e v="#N/A"/>
    <e v="#N/A"/>
    <n v="82327"/>
    <s v="4067811318"/>
    <s v="VWR AVANTOR"/>
    <s v="Q3"/>
    <e v="#REF!"/>
    <e v="#REF!"/>
    <e v="#REF!"/>
  </r>
  <r>
    <s v="602110"/>
    <x v="6"/>
    <s v="ACHATS - Matières Premières, Réactifs, Solvants"/>
    <s v="AC"/>
    <n v="87.92"/>
    <d v="2025-05-28T00:00:00"/>
    <s v="COMMANDE SOLVANT LABO"/>
    <m/>
    <e v="#N/A"/>
    <e v="#N/A"/>
    <n v="75979"/>
    <s v="4067731075"/>
    <s v="VWR AVANTOR"/>
    <s v="Q2"/>
    <e v="#REF!"/>
    <e v="#REF!"/>
    <e v="#REF!"/>
  </r>
  <r>
    <s v="602110"/>
    <x v="6"/>
    <s v="ACHATS - Matières Premières, Réactifs, Solvants"/>
    <s v="AC"/>
    <n v="89.7"/>
    <d v="2025-04-28T00:00:00"/>
    <s v="DMSO"/>
    <m/>
    <e v="#N/A"/>
    <e v="#N/A"/>
    <n v="72618"/>
    <s v="FA032223"/>
    <s v="ARCANE INDUSTRIE"/>
    <s v="Q2"/>
    <e v="#REF!"/>
    <e v="#REF!"/>
    <e v="#REF!"/>
  </r>
  <r>
    <s v="602110"/>
    <x v="6"/>
    <s v="ACHATS - Matières Premières, Réactifs, Solvants"/>
    <s v="AC"/>
    <n v="90"/>
    <d v="2025-02-10T00:00:00"/>
    <s v="COMMANDE PRODUIT LISA"/>
    <m/>
    <e v="#N/A"/>
    <e v="#N/A"/>
    <n v="61442"/>
    <s v="92385292"/>
    <s v="TCI"/>
    <s v="Q1"/>
    <e v="#REF!"/>
    <e v="#REF!"/>
    <e v="#REF!"/>
  </r>
  <r>
    <s v="602110"/>
    <x v="6"/>
    <s v="ACHATS - Matières Premières, Réactifs, Solvants"/>
    <s v="AC"/>
    <n v="92.1"/>
    <d v="2025-05-19T00:00:00"/>
    <s v="PRODUITS POUR VBIO ET V2020 AMINOIMINOMETHANESULFINIC ACID IRON II SULFATE HEPTAHYDRATE"/>
    <m/>
    <e v="#N/A"/>
    <e v="#N/A"/>
    <n v="75955"/>
    <s v="8053478579"/>
    <s v="Sigma-Aldrich chimie"/>
    <s v="Q2"/>
    <e v="#REF!"/>
    <e v="#REF!"/>
    <e v="#REF!"/>
  </r>
  <r>
    <s v="602110"/>
    <x v="6"/>
    <s v="ACHATS - Matières Premières, Réactifs, Solvants"/>
    <s v="AC"/>
    <n v="94.2"/>
    <d v="2025-12-18T00:00:00"/>
    <s v="PRODUIT KEENABIS"/>
    <m/>
    <e v="#N/A"/>
    <e v="#N/A"/>
    <n v="93014"/>
    <s v="4067903482"/>
    <s v="VWR AVANTOR"/>
    <s v="Q4"/>
    <e v="#REF!"/>
    <e v="#REF!"/>
    <e v="#REF!"/>
  </r>
  <r>
    <s v="602110"/>
    <x v="6"/>
    <s v="ACHATS - Matières Premières, Réactifs, Solvants"/>
    <s v="AC"/>
    <n v="98.37"/>
    <d v="2025-05-20T00:00:00"/>
    <s v="COMMANDE PRODUIT LABO"/>
    <m/>
    <e v="#N/A"/>
    <e v="#N/A"/>
    <n v="74444"/>
    <s v="4067724454"/>
    <s v="VWR AVANTOR"/>
    <s v="Q2"/>
    <e v="#REF!"/>
    <e v="#REF!"/>
    <e v="#REF!"/>
  </r>
  <r>
    <s v="602110"/>
    <x v="6"/>
    <s v="ACHATS - Matières Premières, Réactifs, Solvants"/>
    <s v="AC"/>
    <n v="99.5"/>
    <d v="2025-11-18T00:00:00"/>
    <s v="SODIUM HYDROSULFITE POUR VEG EXTRA"/>
    <m/>
    <e v="#N/A"/>
    <e v="#N/A"/>
    <n v="91462"/>
    <s v="2000126585"/>
    <s v="MONDROGUISTE"/>
    <s v="Q4"/>
    <e v="#REF!"/>
    <e v="#REF!"/>
    <e v="#REF!"/>
  </r>
  <r>
    <s v="602110"/>
    <x v="6"/>
    <s v="ACHATS - Matières Premières, Réactifs, Solvants"/>
    <s v="AC"/>
    <n v="100"/>
    <d v="2025-05-03T00:00:00"/>
    <s v="AGENTS DE FILTRATIONS POUR VBIO"/>
    <m/>
    <e v="#N/A"/>
    <e v="#N/A"/>
    <n v="73763"/>
    <s v="8053470420"/>
    <s v="Sigma-Aldrich chimie"/>
    <s v="Q2"/>
    <e v="#REF!"/>
    <e v="#REF!"/>
    <e v="#REF!"/>
  </r>
  <r>
    <s v="602110"/>
    <x v="6"/>
    <s v="ACHATS - Matières Premières, Réactifs, Solvants"/>
    <s v="AC"/>
    <n v="100.3"/>
    <d v="2025-03-04T00:00:00"/>
    <s v="AMMONIUM HYDROXIDE"/>
    <m/>
    <e v="#N/A"/>
    <e v="#N/A"/>
    <n v="66095"/>
    <s v="4067656491"/>
    <s v="VWR AVANTOR"/>
    <s v="Q1"/>
    <e v="#REF!"/>
    <e v="#REF!"/>
    <e v="#REF!"/>
  </r>
  <r>
    <s v="602110"/>
    <x v="6"/>
    <s v="ACHATS - Matières Premières, Réactifs, Solvants"/>
    <s v="AC"/>
    <n v="101.54"/>
    <d v="2025-06-30T00:00:00"/>
    <s v="COMMANDE CONSOMMABLE LABO"/>
    <m/>
    <e v="#N/A"/>
    <e v="#N/A"/>
    <n v="77302"/>
    <s v="4067758784"/>
    <s v="VWR AVANTOR"/>
    <s v="Q2"/>
    <e v="#REF!"/>
    <e v="#REF!"/>
    <e v="#REF!"/>
  </r>
  <r>
    <s v="602110"/>
    <x v="6"/>
    <s v="ACHATS - Matières Premières, Réactifs, Solvants"/>
    <s v="AC"/>
    <n v="102.12"/>
    <d v="2025-02-20T00:00:00"/>
    <s v="SODIUM HYDROXIDE, PELLETS, 98%"/>
    <m/>
    <e v="#N/A"/>
    <e v="#N/A"/>
    <n v="64110"/>
    <s v="4067644636"/>
    <s v="VWR AVANTOR"/>
    <s v="Q1"/>
    <e v="#REF!"/>
    <e v="#REF!"/>
    <e v="#REF!"/>
  </r>
  <r>
    <s v="602110"/>
    <x v="6"/>
    <s v="ACHATS - Matières Premières, Réactifs, Solvants"/>
    <s v="AC"/>
    <n v="103.38"/>
    <d v="2025-07-17T00:00:00"/>
    <s v="COMMANDE PRODUITS LABO"/>
    <m/>
    <e v="#N/A"/>
    <e v="#N/A"/>
    <n v="78916"/>
    <s v="4067774391"/>
    <s v="VWR AVANTOR"/>
    <s v="Q3"/>
    <e v="#REF!"/>
    <e v="#REF!"/>
    <e v="#REF!"/>
  </r>
  <r>
    <s v="602110"/>
    <x v="6"/>
    <s v="ACHATS - Matières Premières, Réactifs, Solvants"/>
    <s v="AC"/>
    <n v="104"/>
    <d v="2025-09-08T00:00:00"/>
    <s v="PRODUIT LISA"/>
    <m/>
    <e v="#N/A"/>
    <e v="#N/A"/>
    <n v="82334"/>
    <s v="INGM232808"/>
    <s v="BLD PHARMATECH"/>
    <s v="Q3"/>
    <e v="#REF!"/>
    <e v="#REF!"/>
    <e v="#REF!"/>
  </r>
  <r>
    <s v="602110"/>
    <x v="6"/>
    <s v="ACHATS - Matières Premières, Réactifs, Solvants"/>
    <s v="AC"/>
    <n v="107.85"/>
    <d v="2025-01-20T00:00:00"/>
    <s v="ACÉTONE TECHNICAL BIDON PLASTIQUE 5L DIN42"/>
    <m/>
    <e v="#N/A"/>
    <e v="#N/A"/>
    <n v="64012"/>
    <s v="4067615587"/>
    <s v="VWR AVANTOR"/>
    <s v="Q1"/>
    <e v="#REF!"/>
    <e v="#REF!"/>
    <e v="#REF!"/>
  </r>
  <r>
    <s v="602110"/>
    <x v="6"/>
    <s v="ACHATS - Matières Premières, Réactifs, Solvants"/>
    <s v="AC"/>
    <n v="108"/>
    <d v="2025-03-03T00:00:00"/>
    <s v="COMMANDE PRODUIT KEENY"/>
    <m/>
    <e v="#N/A"/>
    <e v="#N/A"/>
    <n v="66082"/>
    <s v="INGM192596"/>
    <s v="BLD PHARMATECH"/>
    <s v="Q1"/>
    <e v="#REF!"/>
    <e v="#REF!"/>
    <e v="#REF!"/>
  </r>
  <r>
    <s v="602110"/>
    <x v="6"/>
    <s v="ACHATS - Matières Premières, Réactifs, Solvants"/>
    <s v="AC"/>
    <n v="110.4"/>
    <d v="2025-06-30T00:00:00"/>
    <s v="RÉACTIFS KL VBIO"/>
    <m/>
    <e v="#N/A"/>
    <e v="#N/A"/>
    <n v="78404"/>
    <s v="4179905"/>
    <s v="ROTH SOCHIEL"/>
    <s v="Q2"/>
    <e v="#REF!"/>
    <e v="#REF!"/>
    <e v="#REF!"/>
  </r>
  <r>
    <s v="602110"/>
    <x v="6"/>
    <s v="ACHATS - Matières Premières, Réactifs, Solvants"/>
    <s v="AC"/>
    <n v="112.3"/>
    <d v="2025-01-31T00:00:00"/>
    <s v="COMMANDE PRODUIT KEENY"/>
    <m/>
    <e v="#N/A"/>
    <e v="#N/A"/>
    <n v="61362"/>
    <s v="8053417163"/>
    <s v="Sigma-Aldrich chimie"/>
    <s v="Q1"/>
    <e v="#REF!"/>
    <e v="#REF!"/>
    <e v="#REF!"/>
  </r>
  <r>
    <s v="602110"/>
    <x v="6"/>
    <s v="ACHATS - Matières Premières, Réactifs, Solvants"/>
    <s v="AC"/>
    <n v="112.5"/>
    <d v="2025-06-02T00:00:00"/>
    <s v="ÉQUIPEMENT POUR LABO"/>
    <m/>
    <e v="#N/A"/>
    <e v="#N/A"/>
    <n v="76102"/>
    <s v="4175007551"/>
    <s v="FISHER SCIENTIFIC"/>
    <s v="Q2"/>
    <e v="#REF!"/>
    <e v="#REF!"/>
    <e v="#REF!"/>
  </r>
  <r>
    <s v="602110"/>
    <x v="6"/>
    <s v="ACHATS - Matières Premières, Réactifs, Solvants"/>
    <s v="AC"/>
    <n v="114.1"/>
    <d v="2025-01-13T00:00:00"/>
    <s v="RÉACTIFS LABO R"/>
    <m/>
    <e v="#N/A"/>
    <e v="#N/A"/>
    <n v="61253"/>
    <s v="8053408144"/>
    <s v="Sigma-Aldrich chimie"/>
    <s v="Q1"/>
    <e v="#REF!"/>
    <e v="#REF!"/>
    <e v="#REF!"/>
  </r>
  <r>
    <s v="602110"/>
    <x v="6"/>
    <s v="ACHATS - Matières Premières, Réactifs, Solvants"/>
    <s v="AC"/>
    <n v="114.2"/>
    <d v="2025-04-30T00:00:00"/>
    <s v="AGENTS DE FILTRATIONS POUR VBIO"/>
    <m/>
    <e v="#N/A"/>
    <e v="#N/A"/>
    <n v="73742"/>
    <s v="8053469180"/>
    <s v="Sigma-Aldrich chimie"/>
    <s v="Q2"/>
    <e v="#REF!"/>
    <e v="#REF!"/>
    <e v="#REF!"/>
  </r>
  <r>
    <s v="602110"/>
    <x v="6"/>
    <s v="ACHATS - Matières Premières, Réactifs, Solvants"/>
    <s v="AC"/>
    <n v="117.28"/>
    <d v="2025-03-20T00:00:00"/>
    <s v="KIT SULFITE (11741014) ET RACCORD (10430464)"/>
    <m/>
    <e v="#N/A"/>
    <e v="#N/A"/>
    <n v="66042"/>
    <s v="1173675389"/>
    <s v="FISHER SCIENTIFIC"/>
    <s v="Q1"/>
    <e v="#REF!"/>
    <e v="#REF!"/>
    <e v="#REF!"/>
  </r>
  <r>
    <s v="602110"/>
    <x v="6"/>
    <s v="ACHATS - Matières Premières, Réactifs, Solvants"/>
    <s v="AC"/>
    <n v="118"/>
    <d v="2025-02-17T00:00:00"/>
    <s v="COMMANDE PRODUIT KEENB"/>
    <m/>
    <e v="#N/A"/>
    <e v="#N/A"/>
    <n v="61516"/>
    <s v="8053426199"/>
    <s v="Sigma-Aldrich chimie"/>
    <s v="Q1"/>
    <e v="#REF!"/>
    <e v="#REF!"/>
    <e v="#REF!"/>
  </r>
  <r>
    <s v="602110"/>
    <x v="6"/>
    <s v="ACHATS - Matières Premières, Réactifs, Solvants"/>
    <s v="AC"/>
    <n v="118.4"/>
    <d v="2025-12-22T00:00:00"/>
    <s v="PRODUIT KEENB"/>
    <m/>
    <e v="#N/A"/>
    <e v="#N/A"/>
    <n v="94293"/>
    <s v="VRGG25-028287"/>
    <s v="ABCR"/>
    <s v="Q4"/>
    <e v="#REF!"/>
    <e v="#REF!"/>
    <e v="#REF!"/>
  </r>
  <r>
    <s v="602110"/>
    <x v="6"/>
    <s v="ACHATS - Matières Premières, Réactifs, Solvants"/>
    <s v="AC"/>
    <n v="118.56"/>
    <d v="2025-10-21T00:00:00"/>
    <s v="PRODUITS POUR LABO"/>
    <m/>
    <e v="#N/A"/>
    <e v="#N/A"/>
    <n v="87460"/>
    <s v="4067849964"/>
    <s v="VWR AVANTOR"/>
    <s v="Q4"/>
    <e v="#REF!"/>
    <e v="#REF!"/>
    <e v="#REF!"/>
  </r>
  <r>
    <s v="602110"/>
    <x v="6"/>
    <s v="ACHATS - Matières Premières, Réactifs, Solvants"/>
    <s v="AC"/>
    <n v="119.4"/>
    <d v="2025-04-11T00:00:00"/>
    <s v="2-AMINOBENZOATE DE MÉTHYLE 50G  CB SPENDESK 1104"/>
    <m/>
    <e v="#N/A"/>
    <e v="#N/A"/>
    <n v="69782"/>
    <s v="8053459307"/>
    <s v="Sigma-Aldrich chimie"/>
    <s v="Q2"/>
    <e v="#REF!"/>
    <e v="#REF!"/>
    <e v="#REF!"/>
  </r>
  <r>
    <s v="602110"/>
    <x v="6"/>
    <s v="ACHATS - Matières Premières, Réactifs, Solvants"/>
    <s v="AC"/>
    <n v="119.56"/>
    <d v="2025-02-10T00:00:00"/>
    <s v="MÉTHYLE-2-TÉTRAHYDROFURANE"/>
    <m/>
    <e v="#N/A"/>
    <e v="#N/A"/>
    <n v="61454"/>
    <s v="4173206"/>
    <s v="ROTH SOCHIEL"/>
    <s v="Q1"/>
    <e v="#REF!"/>
    <e v="#REF!"/>
    <e v="#REF!"/>
  </r>
  <r>
    <s v="602110"/>
    <x v="6"/>
    <s v="ACHATS - Matières Premières, Réactifs, Solvants"/>
    <s v="AC"/>
    <n v="121.72"/>
    <d v="2025-06-10T00:00:00"/>
    <s v="COMMANDE PRODUIT LABO"/>
    <m/>
    <e v="#N/A"/>
    <e v="#N/A"/>
    <n v="76571"/>
    <s v="4067740798"/>
    <s v="VWR AVANTOR"/>
    <s v="Q2"/>
    <e v="#REF!"/>
    <e v="#REF!"/>
    <e v="#REF!"/>
  </r>
  <r>
    <s v="602110"/>
    <x v="6"/>
    <s v="ACHATS - Matières Premières, Réactifs, Solvants"/>
    <s v="AC"/>
    <n v="122.19"/>
    <d v="2025-06-16T00:00:00"/>
    <s v="COMMANDE PRODUIT LABO"/>
    <m/>
    <e v="#N/A"/>
    <e v="#N/A"/>
    <n v="76603"/>
    <s v="4067746196"/>
    <s v="VWR AVANTOR"/>
    <s v="Q2"/>
    <e v="#REF!"/>
    <e v="#REF!"/>
    <e v="#REF!"/>
  </r>
  <r>
    <s v="602110"/>
    <x v="6"/>
    <s v="ACHATS - Matières Premières, Réactifs, Solvants"/>
    <s v="AC"/>
    <n v="122.6"/>
    <d v="2025-02-18T00:00:00"/>
    <s v="STANDARDS ANALYTIQUES POUR OASIS + INDIGO"/>
    <m/>
    <e v="#N/A"/>
    <e v="#N/A"/>
    <n v="67808"/>
    <s v="8053426943"/>
    <s v="Sigma-Aldrich chimie"/>
    <s v="Q1"/>
    <e v="#REF!"/>
    <e v="#REF!"/>
    <e v="#REF!"/>
  </r>
  <r>
    <s v="602110"/>
    <x v="6"/>
    <s v="ACHATS - Matières Premières, Réactifs, Solvants"/>
    <s v="AC"/>
    <n v="127"/>
    <d v="2025-06-23T00:00:00"/>
    <s v="COMMANDE PRODUIT KEENB"/>
    <m/>
    <e v="#N/A"/>
    <e v="#N/A"/>
    <n v="81747"/>
    <s v="0092577135"/>
    <s v="TCI"/>
    <s v="Q2"/>
    <e v="#REF!"/>
    <e v="#REF!"/>
    <e v="#REF!"/>
  </r>
  <r>
    <s v="602110"/>
    <x v="6"/>
    <s v="ACHATS - Matières Premières, Réactifs, Solvants"/>
    <s v="AC"/>
    <n v="127.01"/>
    <d v="2025-04-07T00:00:00"/>
    <s v="COMMANDE PRODUIT LABO"/>
    <m/>
    <e v="#N/A"/>
    <e v="#N/A"/>
    <n v="69731"/>
    <s v="4067689026"/>
    <s v="VWR AVANTOR"/>
    <s v="Q2"/>
    <e v="#REF!"/>
    <e v="#REF!"/>
    <e v="#REF!"/>
  </r>
  <r>
    <s v="602110"/>
    <x v="6"/>
    <s v="ACHATS - Matières Premières, Réactifs, Solvants"/>
    <s v="AC"/>
    <n v="128"/>
    <d v="2025-02-19T00:00:00"/>
    <s v="RÉACTIFS DEV"/>
    <m/>
    <e v="#N/A"/>
    <e v="#N/A"/>
    <n v="64107"/>
    <s v="92399319"/>
    <s v="TCI"/>
    <s v="Q1"/>
    <e v="#REF!"/>
    <e v="#REF!"/>
    <e v="#REF!"/>
  </r>
  <r>
    <s v="602110"/>
    <x v="6"/>
    <s v="ACHATS - Matières Premières, Réactifs, Solvants"/>
    <s v="AC"/>
    <n v="131"/>
    <d v="2025-01-21T00:00:00"/>
    <s v="COMMANDE ÉQUIPEMENT LABO  KB"/>
    <m/>
    <e v="#N/A"/>
    <e v="#N/A"/>
    <n v="61291"/>
    <s v="8053411469"/>
    <s v="Sigma-Aldrich chimie"/>
    <s v="Q1"/>
    <e v="#REF!"/>
    <e v="#REF!"/>
    <e v="#REF!"/>
  </r>
  <r>
    <s v="602110"/>
    <x v="6"/>
    <s v="ACHATS - Matières Premières, Réactifs, Solvants"/>
    <s v="AC"/>
    <n v="131.81"/>
    <d v="2025-11-12T00:00:00"/>
    <s v="PRODUIT KEENB"/>
    <m/>
    <e v="#N/A"/>
    <e v="#N/A"/>
    <n v="89973"/>
    <s v="4067869549"/>
    <s v="VWR AVANTOR"/>
    <s v="Q4"/>
    <e v="#REF!"/>
    <e v="#REF!"/>
    <e v="#REF!"/>
  </r>
  <r>
    <s v="602110"/>
    <x v="6"/>
    <s v="ACHATS - Matières Premières, Réactifs, Solvants"/>
    <s v="AC"/>
    <n v="133.35"/>
    <d v="2025-12-08T00:00:00"/>
    <s v="PRODUIT MUSTANG"/>
    <m/>
    <e v="#N/A"/>
    <e v="#N/A"/>
    <n v="92996"/>
    <s v="4067894030"/>
    <s v="VWR AVANTOR"/>
    <s v="Q4"/>
    <e v="#REF!"/>
    <e v="#REF!"/>
    <e v="#REF!"/>
  </r>
  <r>
    <s v="602110"/>
    <x v="6"/>
    <s v="ACHATS - Matières Premières, Réactifs, Solvants"/>
    <s v="AC"/>
    <n v="134"/>
    <d v="2025-05-06T00:00:00"/>
    <s v="HYDROXYLAMINE SULFATE"/>
    <m/>
    <e v="#N/A"/>
    <e v="#N/A"/>
    <n v="72699"/>
    <s v="8053471633"/>
    <s v="Sigma-Aldrich chimie"/>
    <s v="Q2"/>
    <e v="#REF!"/>
    <e v="#REF!"/>
    <e v="#REF!"/>
  </r>
  <r>
    <s v="602110"/>
    <x v="6"/>
    <s v="ACHATS - Matières Premières, Réactifs, Solvants"/>
    <s v="AC"/>
    <n v="134"/>
    <d v="2025-07-22T00:00:00"/>
    <s v="HYDROXYLAMINE SULFATE POUR KEENY STEP 2"/>
    <m/>
    <e v="#N/A"/>
    <e v="#N/A"/>
    <n v="81331"/>
    <s v="8053513828"/>
    <s v="Sigma-Aldrich chimie"/>
    <s v="Q3"/>
    <e v="#REF!"/>
    <e v="#REF!"/>
    <e v="#REF!"/>
  </r>
  <r>
    <s v="602110"/>
    <x v="6"/>
    <s v="ACHATS - Matières Premières, Réactifs, Solvants"/>
    <s v="AC"/>
    <n v="135.07"/>
    <d v="2025-01-15T00:00:00"/>
    <s v="COMMANDE PRODUIT PHOENIX 2023"/>
    <m/>
    <e v="#N/A"/>
    <e v="#N/A"/>
    <n v="61263"/>
    <s v="4174814735"/>
    <s v="FISHER SCIENTIFIC"/>
    <s v="Q1"/>
    <e v="#REF!"/>
    <e v="#REF!"/>
    <e v="#REF!"/>
  </r>
  <r>
    <s v="602110"/>
    <x v="6"/>
    <s v="ACHATS - Matières Premières, Réactifs, Solvants"/>
    <s v="AC"/>
    <n v="137.61000000000001"/>
    <d v="2025-04-30T00:00:00"/>
    <s v="2-HYDROXYBENZIMIDAZOLE, 98 %, THERMO SCIENTIFIC CHEMICALS 2-HYDROXYBENZIMIDAZOLE, 98%,50G MÉTHANOL, CHROMASOLV™, POUR HPLC, ? 99"/>
    <m/>
    <e v="#N/A"/>
    <e v="#N/A"/>
    <n v="72649"/>
    <s v="4174966176"/>
    <s v="FISHER SCIENTIFIC"/>
    <s v="Q2"/>
    <e v="#REF!"/>
    <e v="#REF!"/>
    <e v="#REF!"/>
  </r>
  <r>
    <s v="602110"/>
    <x v="6"/>
    <s v="ACHATS - Matières Premières, Réactifs, Solvants"/>
    <s v="AC"/>
    <n v="141.69999999999999"/>
    <d v="2025-01-13T00:00:00"/>
    <s v="SODIUM HYDROSULFITE, TECH., #85%"/>
    <m/>
    <e v="#N/A"/>
    <e v="#N/A"/>
    <n v="64001"/>
    <s v="4067609870"/>
    <s v="VWR AVANTOR"/>
    <s v="Q1"/>
    <e v="#REF!"/>
    <e v="#REF!"/>
    <e v="#REF!"/>
  </r>
  <r>
    <s v="602110"/>
    <x v="6"/>
    <s v="ACHATS - Matières Premières, Réactifs, Solvants"/>
    <s v="AC"/>
    <n v="144.62"/>
    <d v="2025-12-19T00:00:00"/>
    <s v="PRODUIT ANILINE"/>
    <m/>
    <e v="#N/A"/>
    <e v="#N/A"/>
    <n v="94290"/>
    <s v="4067904484"/>
    <s v="VWR AVANTOR"/>
    <s v="Q4"/>
    <e v="#REF!"/>
    <e v="#REF!"/>
    <e v="#REF!"/>
  </r>
  <r>
    <s v="602110"/>
    <x v="6"/>
    <s v="ACHATS - Matières Premières, Réactifs, Solvants"/>
    <s v="AC"/>
    <n v="149"/>
    <d v="2025-05-24T00:00:00"/>
    <s v="PRODUITS POUR VBIO ET V2020 AMINOIMINOMETHANESULFINIC ACID IRON II SULFATE HEPTAHYDRATE"/>
    <m/>
    <e v="#N/A"/>
    <e v="#N/A"/>
    <n v="78366"/>
    <s v="4"/>
    <s v="Sigma-Aldrich chimie"/>
    <s v="Q2"/>
    <e v="#REF!"/>
    <e v="#REF!"/>
    <e v="#REF!"/>
  </r>
  <r>
    <s v="602110"/>
    <x v="6"/>
    <s v="ACHATS - Matières Premières, Réactifs, Solvants"/>
    <s v="AC"/>
    <n v="152.4"/>
    <d v="2025-11-20T00:00:00"/>
    <s v="ISOPROPYLACETATE POUR TESTS DÉCOLORATION CHIC"/>
    <m/>
    <e v="#N/A"/>
    <e v="#N/A"/>
    <n v="91947"/>
    <s v="8053576312"/>
    <s v="Sigma-Aldrich chimie"/>
    <s v="Q4"/>
    <e v="#REF!"/>
    <e v="#REF!"/>
    <e v="#REF!"/>
  </r>
  <r>
    <s v="602110"/>
    <x v="6"/>
    <s v="ACHATS - Matières Premières, Réactifs, Solvants"/>
    <s v="AC"/>
    <n v="153.96"/>
    <d v="2025-04-10T00:00:00"/>
    <s v="CONSOMMABLES LABO R."/>
    <m/>
    <e v="#N/A"/>
    <e v="#N/A"/>
    <n v="69770"/>
    <s v="4176538"/>
    <s v="ROTH SOCHIEL"/>
    <s v="Q2"/>
    <e v="#REF!"/>
    <e v="#REF!"/>
    <e v="#REF!"/>
  </r>
  <r>
    <s v="602110"/>
    <x v="6"/>
    <s v="ACHATS - Matières Premières, Réactifs, Solvants"/>
    <s v="AC"/>
    <n v="155.35"/>
    <d v="2025-05-06T00:00:00"/>
    <s v="DODÉCYLSULFATE SEL DE SODIUM LAB"/>
    <m/>
    <e v="#N/A"/>
    <e v="#N/A"/>
    <n v="72696"/>
    <s v="4067713927"/>
    <s v="VWR AVANTOR"/>
    <s v="Q2"/>
    <e v="#REF!"/>
    <e v="#REF!"/>
    <e v="#REF!"/>
  </r>
  <r>
    <s v="602110"/>
    <x v="6"/>
    <s v="ACHATS - Matières Premières, Réactifs, Solvants"/>
    <s v="AC"/>
    <n v="157"/>
    <d v="2025-10-13T00:00:00"/>
    <s v="PRODUIT LISA"/>
    <m/>
    <e v="#N/A"/>
    <e v="#N/A"/>
    <n v="94271"/>
    <s v="INGM240404"/>
    <s v="BLD PHARMATECH"/>
    <s v="Q4"/>
    <e v="#REF!"/>
    <e v="#REF!"/>
    <e v="#REF!"/>
  </r>
  <r>
    <s v="602110"/>
    <x v="6"/>
    <s v="ACHATS - Matières Premières, Réactifs, Solvants"/>
    <s v="AC"/>
    <n v="157.1"/>
    <d v="2025-02-10T00:00:00"/>
    <s v="SODIUM CARBONATE, 98%"/>
    <m/>
    <e v="#N/A"/>
    <e v="#N/A"/>
    <n v="64087"/>
    <s v="4067634589"/>
    <s v="VWR AVANTOR"/>
    <s v="Q1"/>
    <e v="#REF!"/>
    <e v="#REF!"/>
    <e v="#REF!"/>
  </r>
  <r>
    <s v="602110"/>
    <x v="6"/>
    <s v="ACHATS - Matières Premières, Réactifs, Solvants"/>
    <s v="AC"/>
    <n v="158"/>
    <d v="2025-11-28T00:00:00"/>
    <s v="SOLVANTS POUR TESTS DÉCOLO CHIC + KEENY"/>
    <m/>
    <e v="#N/A"/>
    <e v="#N/A"/>
    <n v="91982"/>
    <s v="4185754"/>
    <s v="ROTH SOCHIEL"/>
    <s v="Q4"/>
    <e v="#REF!"/>
    <e v="#REF!"/>
    <e v="#REF!"/>
  </r>
  <r>
    <s v="602110"/>
    <x v="6"/>
    <s v="ACHATS - Matières Premières, Réactifs, Solvants"/>
    <s v="AC"/>
    <n v="161.69999999999999"/>
    <d v="2025-07-01T00:00:00"/>
    <s v="COMMANDE CONSOMMABLE LABO"/>
    <m/>
    <e v="#N/A"/>
    <e v="#N/A"/>
    <n v="77322"/>
    <s v="4067761026"/>
    <s v="VWR AVANTOR"/>
    <s v="Q3"/>
    <e v="#REF!"/>
    <e v="#REF!"/>
    <e v="#REF!"/>
  </r>
  <r>
    <s v="602110"/>
    <x v="6"/>
    <s v="ACHATS - Matières Premières, Réactifs, Solvants"/>
    <s v="AC"/>
    <n v="162.80000000000001"/>
    <d v="2025-03-06T00:00:00"/>
    <s v="COMMANDE PRODUIT KEENB"/>
    <m/>
    <e v="#N/A"/>
    <e v="#N/A"/>
    <n v="65974"/>
    <s v="8053436660"/>
    <s v="Sigma-Aldrich chimie"/>
    <s v="Q1"/>
    <e v="#REF!"/>
    <e v="#REF!"/>
    <e v="#REF!"/>
  </r>
  <r>
    <s v="602110"/>
    <x v="6"/>
    <s v="ACHATS - Matières Premières, Réactifs, Solvants"/>
    <s v="AC"/>
    <n v="165.23"/>
    <d v="2025-02-19T00:00:00"/>
    <s v="2.5LT METHANOL CHROMASOLV, GRADIENT GRADE, FOR HPL"/>
    <m/>
    <e v="#N/A"/>
    <e v="#N/A"/>
    <n v="64105"/>
    <s v="4174862464"/>
    <s v="FISHER SCIENTIFIC"/>
    <s v="Q1"/>
    <e v="#REF!"/>
    <e v="#REF!"/>
    <e v="#REF!"/>
  </r>
  <r>
    <s v="602110"/>
    <x v="6"/>
    <s v="ACHATS - Matières Premières, Réactifs, Solvants"/>
    <s v="AC"/>
    <n v="170.56"/>
    <d v="2025-04-04T00:00:00"/>
    <s v="KIT SULFITE (11741014) ET RACCORD (10430464)"/>
    <m/>
    <e v="#N/A"/>
    <e v="#N/A"/>
    <n v="69711"/>
    <s v="36"/>
    <s v="FISHER SCIENTIFIC"/>
    <s v="Q2"/>
    <e v="#REF!"/>
    <e v="#REF!"/>
    <e v="#REF!"/>
  </r>
  <r>
    <s v="602110"/>
    <x v="6"/>
    <s v="ACHATS - Matières Premières, Réactifs, Solvants"/>
    <s v="AC"/>
    <n v="171.9"/>
    <d v="2025-01-09T00:00:00"/>
    <s v="MONARCH DNA CLEANUP COLUMNS ( SITE DE TOULOUSE)"/>
    <m/>
    <e v="#N/A"/>
    <e v="#N/A"/>
    <n v="61245"/>
    <s v="5138554"/>
    <s v="BIOLABS"/>
    <s v="Q1"/>
    <e v="#REF!"/>
    <e v="#REF!"/>
    <e v="#REF!"/>
  </r>
  <r>
    <s v="602110"/>
    <x v="6"/>
    <s v="ACHATS - Matières Premières, Réactifs, Solvants"/>
    <s v="AC"/>
    <n v="180.2"/>
    <d v="2025-01-27T00:00:00"/>
    <s v="BARYUM HYDROXIYE OCTAHYDRATÉ  MIN. 98 %, EXTRA-PUR NAPHTHOL-1  MIN. 99 %"/>
    <m/>
    <e v="#N/A"/>
    <e v="#N/A"/>
    <n v="64018"/>
    <s v="4172396"/>
    <s v="ROTH SOCHIEL"/>
    <s v="Q1"/>
    <e v="#REF!"/>
    <e v="#REF!"/>
    <e v="#REF!"/>
  </r>
  <r>
    <s v="602110"/>
    <x v="6"/>
    <s v="ACHATS - Matières Premières, Réactifs, Solvants"/>
    <s v="AC"/>
    <n v="181.4"/>
    <d v="2025-11-21T00:00:00"/>
    <s v="METHYLATE DE SODIUM POUR KEENY STEP 1 + CUVES UV"/>
    <m/>
    <e v="#N/A"/>
    <e v="#N/A"/>
    <n v="91953"/>
    <s v="4175244732"/>
    <s v="FISHER SCIENTIFIC"/>
    <s v="Q4"/>
    <e v="#REF!"/>
    <e v="#REF!"/>
    <e v="#REF!"/>
  </r>
  <r>
    <s v="602110"/>
    <x v="6"/>
    <s v="ACHATS - Matières Premières, Réactifs, Solvants"/>
    <s v="AC"/>
    <n v="183.6"/>
    <d v="2025-02-10T00:00:00"/>
    <s v="DIMETHYL SULFOXIDE 99%"/>
    <m/>
    <e v="#N/A"/>
    <e v="#N/A"/>
    <n v="64084"/>
    <s v="VRGG25-003327"/>
    <s v="ABCR"/>
    <s v="Q1"/>
    <e v="#REF!"/>
    <e v="#REF!"/>
    <e v="#REF!"/>
  </r>
  <r>
    <s v="602110"/>
    <x v="6"/>
    <s v="ACHATS - Matières Premières, Réactifs, Solvants"/>
    <s v="AC"/>
    <n v="196.1"/>
    <d v="2025-02-25T00:00:00"/>
    <s v="RÉACTIFS DEV"/>
    <m/>
    <e v="#N/A"/>
    <e v="#N/A"/>
    <n v="64122"/>
    <s v="8053430930"/>
    <s v="Sigma-Aldrich chimie"/>
    <s v="Q1"/>
    <e v="#REF!"/>
    <e v="#REF!"/>
    <e v="#REF!"/>
  </r>
  <r>
    <s v="602110"/>
    <x v="6"/>
    <s v="ACHATS - Matières Premières, Réactifs, Solvants"/>
    <s v="AC"/>
    <n v="197"/>
    <d v="2025-09-26T00:00:00"/>
    <s v="COMMANDE PRODUIT KEENB"/>
    <m/>
    <e v="#N/A"/>
    <e v="#N/A"/>
    <n v="85138"/>
    <s v="4067827511"/>
    <s v="VWR AVANTOR"/>
    <s v="Q3"/>
    <e v="#REF!"/>
    <e v="#REF!"/>
    <e v="#REF!"/>
  </r>
  <r>
    <s v="602110"/>
    <x v="6"/>
    <s v="ACHATS - Matières Premières, Réactifs, Solvants"/>
    <s v="AC"/>
    <n v="199.28"/>
    <d v="2025-05-19T00:00:00"/>
    <s v="COMMANDE PRODUIT LABO"/>
    <m/>
    <e v="#N/A"/>
    <e v="#N/A"/>
    <n v="74441"/>
    <s v="4067723324"/>
    <s v="VWR AVANTOR"/>
    <s v="Q2"/>
    <e v="#REF!"/>
    <e v="#REF!"/>
    <e v="#REF!"/>
  </r>
  <r>
    <s v="602110"/>
    <x v="6"/>
    <s v="ACHATS - Matières Premières, Réactifs, Solvants"/>
    <s v="AC"/>
    <n v="203"/>
    <d v="2025-07-22T00:00:00"/>
    <s v="COMMANDE CONSOMMABLE LABO"/>
    <m/>
    <e v="#N/A"/>
    <e v="#N/A"/>
    <n v="78933"/>
    <s v="4067777337"/>
    <s v="VWR AVANTOR"/>
    <s v="Q3"/>
    <e v="#REF!"/>
    <e v="#REF!"/>
    <e v="#REF!"/>
  </r>
  <r>
    <s v="602110"/>
    <x v="6"/>
    <s v="ACHATS - Matières Premières, Réactifs, Solvants"/>
    <s v="AC"/>
    <n v="208"/>
    <d v="2025-01-30T00:00:00"/>
    <s v="RÉACTIFS DEV"/>
    <m/>
    <e v="#N/A"/>
    <e v="#N/A"/>
    <n v="64026"/>
    <s v="8053416259"/>
    <s v="Sigma-Aldrich chimie"/>
    <s v="Q1"/>
    <e v="#REF!"/>
    <e v="#REF!"/>
    <e v="#REF!"/>
  </r>
  <r>
    <s v="602110"/>
    <x v="6"/>
    <s v="ACHATS - Matières Premières, Réactifs, Solvants"/>
    <s v="AC"/>
    <n v="208.7"/>
    <d v="2025-11-12T00:00:00"/>
    <s v="PRODUIT KEENY"/>
    <m/>
    <e v="#N/A"/>
    <e v="#N/A"/>
    <n v="89970"/>
    <s v="VRGG25-025479"/>
    <s v="ABCR"/>
    <s v="Q4"/>
    <e v="#REF!"/>
    <e v="#REF!"/>
    <e v="#REF!"/>
  </r>
  <r>
    <s v="602110"/>
    <x v="6"/>
    <s v="ACHATS - Matières Premières, Réactifs, Solvants"/>
    <s v="AC"/>
    <n v="215.6"/>
    <d v="2025-01-29T00:00:00"/>
    <s v="DIMETHYL SULFOXIDE 99%"/>
    <m/>
    <e v="#N/A"/>
    <e v="#N/A"/>
    <n v="64021"/>
    <s v="VRGG25-002237"/>
    <s v="ABCR"/>
    <s v="Q1"/>
    <e v="#REF!"/>
    <e v="#REF!"/>
    <e v="#REF!"/>
  </r>
  <r>
    <s v="602110"/>
    <x v="6"/>
    <s v="ACHATS - Matières Premières, Réactifs, Solvants"/>
    <s v="AC"/>
    <n v="236.16"/>
    <d v="2025-06-24T00:00:00"/>
    <s v="COMMANDE CONSOMMABLE LABO"/>
    <m/>
    <e v="#N/A"/>
    <e v="#N/A"/>
    <n v="77284"/>
    <s v="4067753049"/>
    <s v="VWR AVANTOR"/>
    <s v="Q2"/>
    <e v="#REF!"/>
    <e v="#REF!"/>
    <e v="#REF!"/>
  </r>
  <r>
    <s v="602110"/>
    <x v="6"/>
    <s v="ACHATS - Matières Premières, Réactifs, Solvants"/>
    <s v="AC"/>
    <n v="238.4"/>
    <d v="2025-06-30T00:00:00"/>
    <s v="COMMANDE PRODUIT POUR LABO"/>
    <m/>
    <e v="#N/A"/>
    <e v="#N/A"/>
    <n v="77316"/>
    <s v="4067758783"/>
    <s v="VWR AVANTOR"/>
    <s v="Q2"/>
    <e v="#REF!"/>
    <e v="#REF!"/>
    <e v="#REF!"/>
  </r>
  <r>
    <s v="602110"/>
    <x v="6"/>
    <s v="ACHATS - Matières Premières, Réactifs, Solvants"/>
    <s v="AC"/>
    <n v="240.22"/>
    <d v="2025-10-13T00:00:00"/>
    <s v="PRODUITS LISA"/>
    <m/>
    <e v="#N/A"/>
    <e v="#N/A"/>
    <n v="87279"/>
    <s v="4067842722"/>
    <s v="VWR AVANTOR"/>
    <s v="Q4"/>
    <e v="#REF!"/>
    <e v="#REF!"/>
    <e v="#REF!"/>
  </r>
  <r>
    <s v="602110"/>
    <x v="6"/>
    <s v="ACHATS - Matières Premières, Réactifs, Solvants"/>
    <s v="AC"/>
    <n v="257.01"/>
    <d v="2025-10-06T00:00:00"/>
    <s v="CONSOMMABLE LABO"/>
    <m/>
    <e v="#N/A"/>
    <e v="#N/A"/>
    <n v="85160"/>
    <s v="4067836549"/>
    <s v="VWR AVANTOR"/>
    <s v="Q4"/>
    <e v="#REF!"/>
    <e v="#REF!"/>
    <e v="#REF!"/>
  </r>
  <r>
    <s v="602110"/>
    <x v="6"/>
    <s v="ACHATS - Matières Premières, Réactifs, Solvants"/>
    <s v="AC"/>
    <n v="261"/>
    <d v="2025-07-23T00:00:00"/>
    <s v="HYDROXYLAMINE SULFATE POUR STEP 2 KEENY"/>
    <m/>
    <e v="#N/A"/>
    <e v="#N/A"/>
    <n v="81334"/>
    <s v="4175079697"/>
    <s v="FISHER SCIENTIFIC"/>
    <s v="Q3"/>
    <e v="#REF!"/>
    <e v="#REF!"/>
    <e v="#REF!"/>
  </r>
  <r>
    <s v="602110"/>
    <x v="6"/>
    <s v="ACHATS - Matières Premières, Réactifs, Solvants"/>
    <s v="AC"/>
    <n v="261"/>
    <d v="2025-09-05T00:00:00"/>
    <s v="HYDROXYLAMINE SULFATE POUR STEP 2 KEENY"/>
    <m/>
    <e v="#N/A"/>
    <e v="#N/A"/>
    <n v="82324"/>
    <s v="4175131442"/>
    <s v="FISHER SCIENTIFIC"/>
    <s v="Q3"/>
    <e v="#REF!"/>
    <e v="#REF!"/>
    <e v="#REF!"/>
  </r>
  <r>
    <s v="602110"/>
    <x v="6"/>
    <s v="ACHATS - Matières Premières, Réactifs, Solvants"/>
    <s v="AC"/>
    <n v="266.19"/>
    <d v="2025-08-04T00:00:00"/>
    <s v="CONSOMMABLES LABO"/>
    <m/>
    <e v="#N/A"/>
    <e v="#N/A"/>
    <n v="81789"/>
    <s v="4067788329"/>
    <s v="VWR AVANTOR"/>
    <s v="Q3"/>
    <e v="#REF!"/>
    <e v="#REF!"/>
    <e v="#REF!"/>
  </r>
  <r>
    <s v="602110"/>
    <x v="6"/>
    <s v="ACHATS - Matières Premières, Réactifs, Solvants"/>
    <s v="AC"/>
    <n v="273.41000000000003"/>
    <d v="2025-08-21T00:00:00"/>
    <s v="CDE 20L DMSO"/>
    <m/>
    <e v="#N/A"/>
    <e v="#N/A"/>
    <n v="82206"/>
    <s v="FA035721"/>
    <s v="ARCANE INDUSTRIE"/>
    <s v="Q3"/>
    <e v="#REF!"/>
    <e v="#REF!"/>
    <e v="#REF!"/>
  </r>
  <r>
    <s v="602110"/>
    <x v="6"/>
    <s v="ACHATS - Matières Premières, Réactifs, Solvants"/>
    <s v="AC"/>
    <n v="273.41000000000003"/>
    <d v="2025-11-04T00:00:00"/>
    <s v="DMSO POUR ROUSSILLON"/>
    <m/>
    <e v="#N/A"/>
    <e v="#N/A"/>
    <n v="91416"/>
    <s v="FA037938"/>
    <s v="ARCANE INDUSTRIE"/>
    <s v="Q4"/>
    <e v="#REF!"/>
    <e v="#REF!"/>
    <e v="#REF!"/>
  </r>
  <r>
    <s v="602110"/>
    <x v="6"/>
    <s v="ACHATS - Matières Premières, Réactifs, Solvants"/>
    <s v="AC"/>
    <n v="288.79000000000002"/>
    <d v="2025-04-22T00:00:00"/>
    <s v="COMMANDE PRODUITS ET CONSOMMABLES LABO"/>
    <m/>
    <e v="#N/A"/>
    <e v="#N/A"/>
    <n v="71328"/>
    <s v="4067701173"/>
    <s v="VWR AVANTOR"/>
    <s v="Q2"/>
    <e v="#REF!"/>
    <e v="#REF!"/>
    <e v="#REF!"/>
  </r>
  <r>
    <s v="602110"/>
    <x v="6"/>
    <s v="ACHATS - Matières Premières, Réactifs, Solvants"/>
    <s v="AC"/>
    <n v="290.27999999999997"/>
    <d v="2025-03-19T00:00:00"/>
    <s v="EAU AVEC 0,1 % D'ACIDE FORMIQUE"/>
    <m/>
    <e v="#N/A"/>
    <e v="#N/A"/>
    <n v="66102"/>
    <s v="4175368"/>
    <s v="ROTH SOCHIEL"/>
    <s v="Q1"/>
    <e v="#REF!"/>
    <e v="#REF!"/>
    <e v="#REF!"/>
  </r>
  <r>
    <s v="602110"/>
    <x v="6"/>
    <s v="ACHATS - Matières Premières, Réactifs, Solvants"/>
    <s v="AC"/>
    <n v="292"/>
    <d v="2025-10-06T00:00:00"/>
    <s v="COMMANDE PRODUIT KEENB"/>
    <m/>
    <e v="#N/A"/>
    <e v="#N/A"/>
    <n v="85154"/>
    <s v="INGM238822"/>
    <s v="BLD PHARMATECH"/>
    <s v="Q4"/>
    <e v="#REF!"/>
    <e v="#REF!"/>
    <e v="#REF!"/>
  </r>
  <r>
    <s v="602110"/>
    <x v="6"/>
    <s v="ACHATS - Matières Premières, Réactifs, Solvants"/>
    <s v="AC"/>
    <n v="348.64"/>
    <d v="2025-12-01T00:00:00"/>
    <s v="DMSO POUR ROUSSILLON"/>
    <m/>
    <e v="#N/A"/>
    <e v="#N/A"/>
    <n v="93922"/>
    <s v="2"/>
    <s v="ARCANE INDUSTRIE"/>
    <s v="Q4"/>
    <e v="#REF!"/>
    <e v="#REF!"/>
    <e v="#REF!"/>
  </r>
  <r>
    <s v="602110"/>
    <x v="6"/>
    <s v="ACHATS - Matières Premières, Réactifs, Solvants"/>
    <s v="AC"/>
    <n v="376.68"/>
    <d v="2025-04-11T00:00:00"/>
    <s v="2-HYDROXYBENZIMIDAZOLE, 98 %, THERMO SCIENTIFIC CHEMICALS 2-HYDROXYBENZIMIDAZOLE, 98%,50G MÉTHANOL, CHROMASOLV™, POUR HPLC, ? 99"/>
    <m/>
    <e v="#N/A"/>
    <e v="#N/A"/>
    <n v="69785"/>
    <s v="4174941834"/>
    <s v="FISHER SCIENTIFIC"/>
    <s v="Q2"/>
    <e v="#REF!"/>
    <e v="#REF!"/>
    <e v="#REF!"/>
  </r>
  <r>
    <s v="602110"/>
    <x v="6"/>
    <s v="ACHATS - Matières Premières, Réactifs, Solvants"/>
    <s v="AC"/>
    <n v="381"/>
    <d v="2025-05-23T00:00:00"/>
    <s v="COMMANDE PRODUIT KEENB"/>
    <m/>
    <e v="#N/A"/>
    <e v="#N/A"/>
    <n v="75967"/>
    <s v="4067727728"/>
    <s v="VWR AVANTOR"/>
    <s v="Q2"/>
    <e v="#REF!"/>
    <e v="#REF!"/>
    <e v="#REF!"/>
  </r>
  <r>
    <s v="602110"/>
    <x v="6"/>
    <s v="ACHATS - Matières Premières, Réactifs, Solvants"/>
    <s v="AC"/>
    <n v="394.56"/>
    <d v="2025-10-27T00:00:00"/>
    <s v="CONSOMMABLE ET PRODUITS LABO"/>
    <m/>
    <e v="#N/A"/>
    <e v="#N/A"/>
    <n v="89873"/>
    <s v="4067854697"/>
    <s v="VWR AVANTOR"/>
    <s v="Q4"/>
    <e v="#REF!"/>
    <e v="#REF!"/>
    <e v="#REF!"/>
  </r>
  <r>
    <s v="602110"/>
    <x v="6"/>
    <s v="ACHATS - Matières Premières, Réactifs, Solvants"/>
    <s v="AC"/>
    <n v="406.07"/>
    <d v="2025-01-31T00:00:00"/>
    <s v="VWR ACCOUNT ADJUSTMENT"/>
    <m/>
    <e v="#N/A"/>
    <e v="#N/A"/>
    <n v="82089"/>
    <m/>
    <s v="VWR AVANTOR"/>
    <s v="Q1"/>
    <e v="#REF!"/>
    <e v="#REF!"/>
    <e v="#REF!"/>
  </r>
  <r>
    <s v="602110"/>
    <x v="6"/>
    <s v="ACHATS - Matières Premières, Réactifs, Solvants"/>
    <s v="AC"/>
    <n v="436"/>
    <d v="2025-08-01T00:00:00"/>
    <s v="HYDROXYLAMINE SULFATE POUR KEENY STEP 2"/>
    <m/>
    <e v="#N/A"/>
    <e v="#N/A"/>
    <n v="81780"/>
    <s v="8053519234"/>
    <s v="Sigma-Aldrich chimie"/>
    <s v="Q3"/>
    <e v="#REF!"/>
    <e v="#REF!"/>
    <e v="#REF!"/>
  </r>
  <r>
    <s v="602110"/>
    <x v="6"/>
    <s v="ACHATS - Matières Premières, Réactifs, Solvants"/>
    <s v="AC"/>
    <n v="441"/>
    <d v="2025-06-23T00:00:00"/>
    <s v="COMMANDE PRODUIT LABO"/>
    <m/>
    <e v="#N/A"/>
    <e v="#N/A"/>
    <n v="77278"/>
    <s v="4067751906"/>
    <s v="VWR AVANTOR"/>
    <s v="Q2"/>
    <e v="#REF!"/>
    <e v="#REF!"/>
    <e v="#REF!"/>
  </r>
  <r>
    <s v="602110"/>
    <x v="6"/>
    <s v="ACHATS - Matières Premières, Réactifs, Solvants"/>
    <s v="AC"/>
    <n v="469.32"/>
    <d v="2025-03-24T00:00:00"/>
    <s v="COMMANDE PRODUIT ET CONSOMMABLE LABO"/>
    <m/>
    <e v="#N/A"/>
    <e v="#N/A"/>
    <n v="67867"/>
    <s v="4067673846"/>
    <s v="VWR AVANTOR"/>
    <s v="Q1"/>
    <e v="#REF!"/>
    <e v="#REF!"/>
    <e v="#REF!"/>
  </r>
  <r>
    <s v="602110"/>
    <x v="6"/>
    <s v="ACHATS - Matières Premières, Réactifs, Solvants"/>
    <s v="AC"/>
    <n v="469.9"/>
    <d v="2025-06-27T00:00:00"/>
    <s v="LESSIVE DE SOUDE 30%, CARBONATE DE SODIUM, ACIDE SULFURIQUE"/>
    <m/>
    <e v="#N/A"/>
    <e v="#N/A"/>
    <n v="78062"/>
    <s v="38"/>
    <s v="ARCANE INDUSTRIE"/>
    <s v="Q2"/>
    <e v="#REF!"/>
    <e v="#REF!"/>
    <e v="#REF!"/>
  </r>
  <r>
    <s v="602110"/>
    <x v="6"/>
    <s v="ACHATS - Matières Premières, Réactifs, Solvants"/>
    <s v="AC"/>
    <n v="493"/>
    <d v="2025-08-26T00:00:00"/>
    <s v="PRODUIT LISA"/>
    <m/>
    <e v="#N/A"/>
    <e v="#N/A"/>
    <n v="81825"/>
    <s v="0092665305"/>
    <s v="TCI"/>
    <s v="Q3"/>
    <e v="#REF!"/>
    <e v="#REF!"/>
    <e v="#REF!"/>
  </r>
  <r>
    <s v="602110"/>
    <x v="6"/>
    <s v="ACHATS - Matières Premières, Réactifs, Solvants"/>
    <s v="AC"/>
    <n v="498"/>
    <d v="2025-09-16T00:00:00"/>
    <s v="DMSO POUR PURIF VBIO (2*20 KG)"/>
    <m/>
    <e v="#N/A"/>
    <e v="#N/A"/>
    <n v="83006"/>
    <s v="FA036462"/>
    <s v="ARCANE INDUSTRIE"/>
    <s v="Q3"/>
    <e v="#REF!"/>
    <e v="#REF!"/>
    <e v="#REF!"/>
  </r>
  <r>
    <s v="602110"/>
    <x v="6"/>
    <s v="ACHATS - Matières Premières, Réactifs, Solvants"/>
    <s v="AC"/>
    <n v="506.26"/>
    <d v="2025-02-05T00:00:00"/>
    <s v="2-METHYLTETRAHYDROFURAN"/>
    <m/>
    <e v="#N/A"/>
    <e v="#N/A"/>
    <n v="64077"/>
    <s v="4067631288"/>
    <s v="VWR AVANTOR"/>
    <s v="Q1"/>
    <e v="#REF!"/>
    <e v="#REF!"/>
    <e v="#REF!"/>
  </r>
  <r>
    <s v="602110"/>
    <x v="6"/>
    <s v="ACHATS - Matières Premières, Réactifs, Solvants"/>
    <s v="AC"/>
    <n v="512"/>
    <d v="2025-02-08T00:00:00"/>
    <s v="200L ÉTHANOL"/>
    <m/>
    <e v="#N/A"/>
    <e v="#N/A"/>
    <n v="61437"/>
    <s v="109"/>
    <s v="ARCANE INDUSTRIE"/>
    <s v="Q1"/>
    <e v="#REF!"/>
    <e v="#REF!"/>
    <e v="#REF!"/>
  </r>
  <r>
    <s v="602110"/>
    <x v="6"/>
    <s v="ACHATS - Matières Premières, Réactifs, Solvants"/>
    <s v="AC"/>
    <n v="522"/>
    <d v="2025-11-10T00:00:00"/>
    <s v="HYDROXYLAMINE SULFATE POUR STEP 2 KEENY  MATIÈRE PREMIÈRE NON RÉCEPTIONNÉE. AVOIR ENVOYÉ PAR FISHER EN COMPLÉMENT."/>
    <m/>
    <e v="#N/A"/>
    <e v="#N/A"/>
    <n v="91046"/>
    <s v="4175054812"/>
    <s v="FISHER SCIENTIFIC"/>
    <s v="Q4"/>
    <e v="#REF!"/>
    <e v="#REF!"/>
    <e v="#REF!"/>
  </r>
  <r>
    <s v="602110"/>
    <x v="6"/>
    <s v="ACHATS - Matières Premières, Réactifs, Solvants"/>
    <s v="AC"/>
    <n v="537.1"/>
    <d v="2025-02-19T00:00:00"/>
    <s v="COMMANDE SOLVANTS DEUTÉRÉS"/>
    <m/>
    <e v="#N/A"/>
    <e v="#N/A"/>
    <n v="61529"/>
    <s v="FVE0225-220"/>
    <s v="EURISOTOP"/>
    <s v="Q1"/>
    <e v="#REF!"/>
    <e v="#REF!"/>
    <e v="#REF!"/>
  </r>
  <r>
    <s v="602110"/>
    <x v="6"/>
    <s v="ACHATS - Matières Premières, Réactifs, Solvants"/>
    <s v="AC"/>
    <n v="543.86"/>
    <d v="2025-09-02T00:00:00"/>
    <s v="PRODUITS KEENB"/>
    <m/>
    <e v="#N/A"/>
    <e v="#N/A"/>
    <n v="81856"/>
    <s v="4067808240"/>
    <s v="VWR AVANTOR"/>
    <s v="Q3"/>
    <e v="#REF!"/>
    <e v="#REF!"/>
    <e v="#REF!"/>
  </r>
  <r>
    <s v="602110"/>
    <x v="6"/>
    <s v="ACHATS - Matières Premières, Réactifs, Solvants"/>
    <s v="AC"/>
    <n v="547.08000000000004"/>
    <d v="2025-07-17T00:00:00"/>
    <s v="METHANOL 1 FÛT DE 200L KEENY A PAYER EN PROFORMA (FACTURE PROFORMA SERA ENVOYÉE PAR MAIL À GILLES)"/>
    <m/>
    <e v="#N/A"/>
    <e v="#N/A"/>
    <n v="81325"/>
    <s v="94474214"/>
    <s v="BRENNTAG"/>
    <s v="Q3"/>
    <e v="#REF!"/>
    <e v="#REF!"/>
    <e v="#REF!"/>
  </r>
  <r>
    <s v="602110"/>
    <x v="6"/>
    <s v="ACHATS - Matières Premières, Réactifs, Solvants"/>
    <s v="AC"/>
    <n v="613.35"/>
    <d v="2025-07-18T00:00:00"/>
    <s v="BENZENE SULFONYLE CHLORURE POUR KEENY STEP 3"/>
    <m/>
    <e v="#N/A"/>
    <e v="#N/A"/>
    <n v="78921"/>
    <s v="4175074046"/>
    <s v="FISHER SCIENTIFIC"/>
    <s v="Q3"/>
    <e v="#REF!"/>
    <e v="#REF!"/>
    <e v="#REF!"/>
  </r>
  <r>
    <s v="602110"/>
    <x v="6"/>
    <s v="ACHATS - Matières Premières, Réactifs, Solvants"/>
    <s v="AC"/>
    <n v="634.02"/>
    <d v="2025-01-07T00:00:00"/>
    <s v="COMMANDE PRODUIT PHOENIX"/>
    <m/>
    <e v="#N/A"/>
    <e v="#N/A"/>
    <n v="59866"/>
    <s v="4067605669"/>
    <s v="VWR AVANTOR"/>
    <s v="Q1"/>
    <e v="#REF!"/>
    <e v="#REF!"/>
    <e v="#REF!"/>
  </r>
  <r>
    <s v="602110"/>
    <x v="6"/>
    <s v="ACHATS - Matières Premières, Réactifs, Solvants"/>
    <s v="AC"/>
    <n v="641.05999999999995"/>
    <d v="2025-02-10T00:00:00"/>
    <s v="BENZENESULFONIC ACID SODIUM SALT 98%"/>
    <m/>
    <e v="#N/A"/>
    <e v="#N/A"/>
    <n v="64090"/>
    <s v="4067634590"/>
    <s v="VWR AVANTOR"/>
    <s v="Q1"/>
    <e v="#REF!"/>
    <e v="#REF!"/>
    <e v="#REF!"/>
  </r>
  <r>
    <s v="602110"/>
    <x v="6"/>
    <s v="ACHATS - Matières Premières, Réactifs, Solvants"/>
    <s v="AC"/>
    <n v="827.27"/>
    <d v="2025-04-30T00:00:00"/>
    <s v="MÉTHANOL 2MIN. 99 % EAU 5 ROTISOLV HPLC GRADIENT GRADE MÉTHYLE-2-TÉTRAHYDROFURANE"/>
    <m/>
    <e v="#N/A"/>
    <e v="#N/A"/>
    <n v="72634"/>
    <s v="4177456"/>
    <s v="ROTH SOCHIEL"/>
    <s v="Q2"/>
    <e v="#REF!"/>
    <e v="#REF!"/>
    <e v="#REF!"/>
  </r>
  <r>
    <s v="602110"/>
    <x v="6"/>
    <s v="ACHATS - Matières Premières, Réactifs, Solvants"/>
    <s v="AC"/>
    <n v="1087.7"/>
    <d v="2025-07-17T00:00:00"/>
    <s v="SOLVANTS DEUTÉRÉS POUR ANALYSE RMN"/>
    <m/>
    <e v="#N/A"/>
    <e v="#N/A"/>
    <n v="78910"/>
    <s v="FVE0725-235"/>
    <s v="EURISOTOP"/>
    <s v="Q3"/>
    <e v="#REF!"/>
    <e v="#REF!"/>
    <e v="#REF!"/>
  </r>
  <r>
    <s v="602110"/>
    <x v="6"/>
    <s v="ACHATS - Matières Premières, Réactifs, Solvants"/>
    <s v="AC"/>
    <n v="1845"/>
    <d v="2025-03-14T00:00:00"/>
    <s v="1 M3 D'ETHANOL"/>
    <m/>
    <e v="#N/A"/>
    <e v="#N/A"/>
    <n v="66142"/>
    <s v="52"/>
    <s v="ARCANE INDUSTRIE"/>
    <s v="Q1"/>
    <e v="#REF!"/>
    <e v="#REF!"/>
    <e v="#REF!"/>
  </r>
  <r>
    <s v="602110"/>
    <x v="6"/>
    <s v="ACHATS - Matières Premières, Réactifs, Solvants"/>
    <s v="AC"/>
    <n v="3120"/>
    <d v="2025-11-28T00:00:00"/>
    <s v="DMSO SPEICHIM POUR PROD VEG EXTRA"/>
    <m/>
    <e v="#N/A"/>
    <e v="#N/A"/>
    <n v="92981"/>
    <s v="CD970003490"/>
    <s v="SPEICHIM PROCESSING"/>
    <s v="Q4"/>
    <e v="#REF!"/>
    <e v="#REF!"/>
    <e v="#REF!"/>
  </r>
  <r>
    <s v="602110"/>
    <x v="6"/>
    <s v="ACHATS - Matières Premières, Réactifs, Solvants"/>
    <s v="NDF"/>
    <n v="163.33000000000001"/>
    <d v="2025-04-15T00:00:00"/>
    <s v="NOTE DE FRAIS"/>
    <m/>
    <e v="#N/A"/>
    <e v="#N/A"/>
    <n v="74338"/>
    <s v="25000115"/>
    <s v="Eugénie Terrangle"/>
    <s v="Q2"/>
    <e v="#REF!"/>
    <e v="#REF!"/>
    <e v="#REF!"/>
  </r>
  <r>
    <s v="602110"/>
    <x v="6"/>
    <s v="ACHATS - Matières Premières, Réactifs, Solvants"/>
    <s v="OD"/>
    <n v="-7756.92"/>
    <d v="2025-01-01T00:00:00"/>
    <s v="Solde écritures Cloture Cloup"/>
    <m/>
    <e v="#N/A"/>
    <e v="#N/A"/>
    <n v="70544"/>
    <m/>
    <s v="CLOUP"/>
    <s v="Q1"/>
    <e v="#REF!"/>
    <e v="#REF!"/>
    <e v="#REF!"/>
  </r>
  <r>
    <s v="602110"/>
    <x v="6"/>
    <s v="ACHATS - Matières Premières, Réactifs, Solvants"/>
    <s v="OD"/>
    <n v="-2958.01"/>
    <d v="2025-01-31T00:00:00"/>
    <s v="REGUL TROP VERSE BRENNTAG"/>
    <m/>
    <e v="#N/A"/>
    <e v="#N/A"/>
    <n v="82267"/>
    <m/>
    <s v="BRENNTAG"/>
    <s v="Q1"/>
    <e v="#REF!"/>
    <e v="#REF!"/>
    <e v="#REF!"/>
  </r>
  <r>
    <s v="602110"/>
    <x v="6"/>
    <s v="ACHATS - Matières Premières, Réactifs, Solvants"/>
    <s v="OD"/>
    <n v="-210"/>
    <d v="2025-12-22T00:00:00"/>
    <s v="AVOIR COMMERCIAL"/>
    <m/>
    <e v="#N/A"/>
    <e v="#N/A"/>
    <n v="93024"/>
    <m/>
    <s v="ROTH SOCHIEL"/>
    <s v="Q4"/>
    <e v="#REF!"/>
    <e v="#REF!"/>
    <e v="#REF!"/>
  </r>
  <r>
    <s v="602110"/>
    <x v="6"/>
    <s v="ACHATS - Matières Premières, Réactifs, Solvants"/>
    <s v="OD"/>
    <n v="-75.78"/>
    <d v="2025-12-22T00:00:00"/>
    <s v="RAPPROCHEMENT COMPTE ROTH"/>
    <m/>
    <e v="#N/A"/>
    <e v="#N/A"/>
    <n v="93026"/>
    <m/>
    <s v="ROTH SOCHIEL"/>
    <s v="Q4"/>
    <e v="#REF!"/>
    <e v="#REF!"/>
    <e v="#REF!"/>
  </r>
  <r>
    <s v="602110"/>
    <x v="6"/>
    <s v="ACHATS - Matières Premières, Réactifs, Solvants"/>
    <s v="OD"/>
    <n v="614.4"/>
    <d v="2025-01-01T00:00:00"/>
    <s v="Arcane Industrie Ethanol"/>
    <m/>
    <e v="#N/A"/>
    <e v="#N/A"/>
    <n v="70532"/>
    <m/>
    <s v="ARCANE INDUSTRIE"/>
    <s v="Q1"/>
    <e v="#REF!"/>
    <e v="#REF!"/>
    <e v="#REF!"/>
  </r>
  <r>
    <s v="602110"/>
    <x v="6"/>
    <s v="ACHATS - Matières Premières, Réactifs, Solvants"/>
    <s v="OD"/>
    <n v="9872"/>
    <d v="2025-12-01T00:00:00"/>
    <s v="Contrat Hébergement TWB"/>
    <m/>
    <s v="Non"/>
    <e v="#N/A"/>
    <n v="77176"/>
    <m/>
    <s v="INRAE TOULOUSE"/>
    <s v="Q4"/>
    <e v="#REF!"/>
    <e v="#REF!"/>
    <e v="#REF!"/>
  </r>
  <r>
    <s v="602110"/>
    <x v="6"/>
    <s v="ACHATS - Matières Premières, Réactifs, Solvants"/>
    <s v="OD"/>
    <n v="9876"/>
    <d v="2025-01-01T00:00:00"/>
    <s v="Contrat Hébergement TWB"/>
    <m/>
    <s v="Non"/>
    <e v="#N/A"/>
    <n v="77119"/>
    <m/>
    <s v="INRAE TOULOUSE"/>
    <s v="Q1"/>
    <e v="#REF!"/>
    <e v="#REF!"/>
    <e v="#REF!"/>
  </r>
  <r>
    <s v="602110"/>
    <x v="6"/>
    <s v="ACHATS - Matières Premières, Réactifs, Solvants"/>
    <s v="OD"/>
    <n v="9876"/>
    <d v="2025-02-01T00:00:00"/>
    <s v="Contrat Hébergement TWB"/>
    <m/>
    <s v="Non"/>
    <e v="#N/A"/>
    <n v="77113"/>
    <m/>
    <s v="INRAE TOULOUSE"/>
    <s v="Q1"/>
    <e v="#REF!"/>
    <e v="#REF!"/>
    <e v="#REF!"/>
  </r>
  <r>
    <s v="602110"/>
    <x v="6"/>
    <s v="ACHATS - Matières Premières, Réactifs, Solvants"/>
    <s v="OD"/>
    <n v="9876"/>
    <d v="2025-03-01T00:00:00"/>
    <s v="Contrat Hébergement TWB"/>
    <m/>
    <s v="Non"/>
    <e v="#N/A"/>
    <n v="77116"/>
    <m/>
    <s v="INRAE TOULOUSE"/>
    <s v="Q1"/>
    <e v="#REF!"/>
    <e v="#REF!"/>
    <e v="#REF!"/>
  </r>
  <r>
    <s v="602110"/>
    <x v="6"/>
    <s v="ACHATS - Matières Premières, Réactifs, Solvants"/>
    <s v="OD"/>
    <n v="9876"/>
    <d v="2025-04-01T00:00:00"/>
    <s v="Contrat Hébergement TWB"/>
    <m/>
    <s v="Non"/>
    <e v="#N/A"/>
    <n v="77107"/>
    <m/>
    <s v="INRAE TOULOUSE"/>
    <s v="Q2"/>
    <e v="#REF!"/>
    <e v="#REF!"/>
    <e v="#REF!"/>
  </r>
  <r>
    <s v="602110"/>
    <x v="6"/>
    <s v="ACHATS - Matières Premières, Réactifs, Solvants"/>
    <s v="OD"/>
    <n v="9876"/>
    <d v="2025-05-01T00:00:00"/>
    <s v="Contrat Hébergement TWB"/>
    <m/>
    <s v="Non"/>
    <e v="#N/A"/>
    <n v="77121"/>
    <m/>
    <s v="INRAE TOULOUSE"/>
    <s v="Q2"/>
    <e v="#REF!"/>
    <e v="#REF!"/>
    <e v="#REF!"/>
  </r>
  <r>
    <s v="602110"/>
    <x v="6"/>
    <s v="ACHATS - Matières Premières, Réactifs, Solvants"/>
    <s v="OD"/>
    <n v="9876"/>
    <d v="2025-06-01T00:00:00"/>
    <s v="Contrat Hébergement TWB"/>
    <m/>
    <s v="Non"/>
    <e v="#N/A"/>
    <n v="77124"/>
    <m/>
    <s v="INRAE TOULOUSE"/>
    <s v="Q2"/>
    <e v="#REF!"/>
    <e v="#REF!"/>
    <e v="#REF!"/>
  </r>
  <r>
    <s v="602110"/>
    <x v="6"/>
    <s v="ACHATS - Matières Premières, Réactifs, Solvants"/>
    <s v="OD"/>
    <n v="9876"/>
    <d v="2025-07-01T00:00:00"/>
    <s v="Contrat Hébergement TWB"/>
    <m/>
    <s v="Non"/>
    <e v="#N/A"/>
    <n v="77161"/>
    <m/>
    <s v="INRAE TOULOUSE"/>
    <s v="Q3"/>
    <e v="#REF!"/>
    <e v="#REF!"/>
    <e v="#REF!"/>
  </r>
  <r>
    <s v="602110"/>
    <x v="6"/>
    <s v="ACHATS - Matières Premières, Réactifs, Solvants"/>
    <s v="OD"/>
    <n v="9876"/>
    <d v="2025-08-01T00:00:00"/>
    <s v="Contrat Hébergement TWB"/>
    <m/>
    <s v="Non"/>
    <e v="#N/A"/>
    <n v="77164"/>
    <m/>
    <s v="INRAE TOULOUSE"/>
    <s v="Q3"/>
    <e v="#REF!"/>
    <e v="#REF!"/>
    <e v="#REF!"/>
  </r>
  <r>
    <s v="602110"/>
    <x v="6"/>
    <s v="ACHATS - Matières Premières, Réactifs, Solvants"/>
    <s v="OD"/>
    <n v="9876"/>
    <d v="2025-09-01T00:00:00"/>
    <s v="Contrat Hébergement TWB"/>
    <m/>
    <s v="Non"/>
    <e v="#N/A"/>
    <n v="77170"/>
    <m/>
    <s v="INRAE TOULOUSE"/>
    <s v="Q3"/>
    <e v="#REF!"/>
    <e v="#REF!"/>
    <e v="#REF!"/>
  </r>
  <r>
    <s v="602110"/>
    <x v="6"/>
    <s v="ACHATS - Matières Premières, Réactifs, Solvants"/>
    <s v="OD"/>
    <n v="9876"/>
    <d v="2025-10-01T00:00:00"/>
    <s v="Contrat Hébergement TWB"/>
    <m/>
    <s v="Non"/>
    <e v="#N/A"/>
    <n v="77167"/>
    <m/>
    <s v="INRAE TOULOUSE"/>
    <s v="Q4"/>
    <e v="#REF!"/>
    <e v="#REF!"/>
    <e v="#REF!"/>
  </r>
  <r>
    <s v="602110"/>
    <x v="6"/>
    <s v="ACHATS - Matières Premières, Réactifs, Solvants"/>
    <s v="OD"/>
    <n v="9876"/>
    <d v="2025-11-01T00:00:00"/>
    <s v="Contrat Hébergement TWB"/>
    <m/>
    <s v="Non"/>
    <e v="#N/A"/>
    <n v="77173"/>
    <m/>
    <s v="INRAE TOULOUSE"/>
    <s v="Q4"/>
    <e v="#REF!"/>
    <e v="#REF!"/>
    <e v="#REF!"/>
  </r>
  <r>
    <s v="602110"/>
    <x v="6"/>
    <s v="ACHATS - Matières Premières, Réactifs, Solvants"/>
    <s v="OD"/>
    <n v="25926"/>
    <d v="2025-01-23T00:00:00"/>
    <s v="Contrat Hébergement TWB"/>
    <m/>
    <s v="Non"/>
    <e v="#N/A"/>
    <n v="77104"/>
    <m/>
    <s v="INRAE TOULOUSE"/>
    <s v="Q1"/>
    <e v="#REF!"/>
    <e v="#REF!"/>
    <e v="#REF!"/>
  </r>
  <r>
    <s v="602210"/>
    <x v="6"/>
    <s v="ACHATS - Matériel Consommable"/>
    <s v="AC"/>
    <n v="-72"/>
    <d v="2025-03-25T00:00:00"/>
    <s v="AVOIR -FILTRES EN FEUILLE ROTILABO"/>
    <m/>
    <e v="#N/A"/>
    <e v="#N/A"/>
    <n v="67876"/>
    <s v="27"/>
    <s v="ROTH SOCHIEL"/>
    <s v="Q1"/>
    <e v="#REF!"/>
    <e v="#REF!"/>
    <e v="#REF!"/>
  </r>
  <r>
    <s v="602210"/>
    <x v="6"/>
    <s v="ACHATS - Matériel Consommable"/>
    <s v="AC"/>
    <n v="13.4"/>
    <d v="2025-03-20T00:00:00"/>
    <s v="ROULEAU ABSORBANT : 872-5710 5 COMBINAISONS 2XL BLANCHES : 242-5302 5 COMBINAISONS 2XL JAUNES : 248-6476"/>
    <m/>
    <e v="#N/A"/>
    <e v="#N/A"/>
    <n v="65992"/>
    <s v="486410243"/>
    <s v="RS COMPONENT"/>
    <s v="Q1"/>
    <e v="#REF!"/>
    <e v="#REF!"/>
    <e v="#REF!"/>
  </r>
  <r>
    <s v="602210"/>
    <x v="6"/>
    <s v="ACHATS - Matériel Consommable"/>
    <s v="AC"/>
    <n v="14.6"/>
    <d v="2025-03-17T00:00:00"/>
    <s v="ROULEAU ABSORBANT : 872-5710 5 COMBINAISONS 2XL BLANCHES : 242-5302 5 COMBINAISONS 2XL JAUNES : 248-6476"/>
    <m/>
    <e v="#N/A"/>
    <e v="#N/A"/>
    <n v="66012"/>
    <s v="486410243"/>
    <s v="RS COMPONENT"/>
    <s v="Q1"/>
    <e v="#REF!"/>
    <e v="#REF!"/>
    <e v="#REF!"/>
  </r>
  <r>
    <s v="602210"/>
    <x v="6"/>
    <s v="ACHATS - Matériel Consommable"/>
    <s v="AC"/>
    <n v="16.48"/>
    <d v="2025-09-04T00:00:00"/>
    <s v="CONSOMMABLES POUR LABO"/>
    <m/>
    <e v="#N/A"/>
    <e v="#N/A"/>
    <n v="81865"/>
    <s v="4067810312"/>
    <s v="VWR AVANTOR"/>
    <s v="Q3"/>
    <e v="#REF!"/>
    <e v="#REF!"/>
    <e v="#REF!"/>
  </r>
  <r>
    <s v="602210"/>
    <x v="6"/>
    <s v="ACHATS - Matériel Consommable"/>
    <s v="AC"/>
    <n v="20.25"/>
    <d v="2025-08-27T00:00:00"/>
    <s v="BILLE POUR LE BROYEUR"/>
    <m/>
    <e v="#N/A"/>
    <e v="#N/A"/>
    <n v="81831"/>
    <s v="4175119232"/>
    <s v="FISHER SCIENTIFIC"/>
    <s v="Q3"/>
    <e v="#REF!"/>
    <e v="#REF!"/>
    <e v="#REF!"/>
  </r>
  <r>
    <s v="602210"/>
    <x v="6"/>
    <s v="ACHATS - Matériel Consommable"/>
    <s v="AC"/>
    <n v="27.36"/>
    <d v="2025-09-05T00:00:00"/>
    <s v="CONSOMMABLE LABO"/>
    <m/>
    <e v="#N/A"/>
    <e v="#N/A"/>
    <n v="82321"/>
    <s v="4067811317"/>
    <s v="VWR AVANTOR"/>
    <s v="Q3"/>
    <e v="#REF!"/>
    <e v="#REF!"/>
    <e v="#REF!"/>
  </r>
  <r>
    <s v="602210"/>
    <x v="6"/>
    <s v="ACHATS - Matériel Consommable"/>
    <s v="AC"/>
    <n v="30.17"/>
    <d v="2025-01-16T00:00:00"/>
    <s v="GANT NITRILE ÉPAIS"/>
    <m/>
    <s v="Non"/>
    <e v="#N/A"/>
    <n v="59887"/>
    <s v="21"/>
    <s v="DIVERS"/>
    <s v="Q1"/>
    <e v="#REF!"/>
    <e v="#REF!"/>
    <e v="#REF!"/>
  </r>
  <r>
    <s v="602210"/>
    <x v="6"/>
    <s v="ACHATS - Matériel Consommable"/>
    <s v="AC"/>
    <n v="30.72"/>
    <d v="2025-07-30T00:00:00"/>
    <s v="COMMANDE CONSOMMABLES LABO"/>
    <m/>
    <e v="#N/A"/>
    <e v="#N/A"/>
    <n v="81224"/>
    <s v="4067783339"/>
    <s v="VWR AVANTOR"/>
    <s v="Q3"/>
    <e v="#REF!"/>
    <e v="#REF!"/>
    <e v="#REF!"/>
  </r>
  <r>
    <s v="602210"/>
    <x v="6"/>
    <s v="ACHATS - Matériel Consommable"/>
    <s v="AC"/>
    <n v="30.72"/>
    <d v="2025-12-31T00:00:00"/>
    <s v="CONSOMMABLES LABO"/>
    <m/>
    <e v="#N/A"/>
    <e v="#N/A"/>
    <n v="94308"/>
    <s v="4067909583"/>
    <s v="VWR AVANTOR"/>
    <s v="Q4"/>
    <e v="#REF!"/>
    <e v="#REF!"/>
    <e v="#REF!"/>
  </r>
  <r>
    <s v="602210"/>
    <x v="6"/>
    <s v="ACHATS - Matériel Consommable"/>
    <s v="AC"/>
    <n v="36.479999999999997"/>
    <d v="2025-10-14T00:00:00"/>
    <s v="CONSOMMABLES LABO"/>
    <m/>
    <e v="#N/A"/>
    <e v="#N/A"/>
    <n v="87282"/>
    <s v="4067843913"/>
    <s v="VWR AVANTOR"/>
    <s v="Q4"/>
    <e v="#REF!"/>
    <e v="#REF!"/>
    <e v="#REF!"/>
  </r>
  <r>
    <s v="602210"/>
    <x v="6"/>
    <s v="ACHATS - Matériel Consommable"/>
    <s v="AC"/>
    <n v="38.24"/>
    <d v="2025-10-28T00:00:00"/>
    <s v="CONSOMMABLES LABO"/>
    <m/>
    <e v="#N/A"/>
    <e v="#N/A"/>
    <n v="89876"/>
    <s v="4067855749"/>
    <s v="VWR AVANTOR"/>
    <s v="Q4"/>
    <e v="#REF!"/>
    <e v="#REF!"/>
    <e v="#REF!"/>
  </r>
  <r>
    <s v="602210"/>
    <x v="6"/>
    <s v="ACHATS - Matériel Consommable"/>
    <s v="AC"/>
    <n v="39.4"/>
    <d v="2025-05-05T00:00:00"/>
    <s v="PAPIER FILTRE PAILLASSE"/>
    <m/>
    <e v="#N/A"/>
    <e v="#N/A"/>
    <n v="72691"/>
    <s v="4067712766"/>
    <s v="VWR AVANTOR"/>
    <s v="Q2"/>
    <e v="#REF!"/>
    <e v="#REF!"/>
    <e v="#REF!"/>
  </r>
  <r>
    <s v="602210"/>
    <x v="6"/>
    <s v="ACHATS - Matériel Consommable"/>
    <s v="AC"/>
    <n v="41.51"/>
    <d v="2025-09-24T00:00:00"/>
    <s v="PRODUIT KEENB"/>
    <m/>
    <e v="#N/A"/>
    <e v="#N/A"/>
    <n v="85135"/>
    <s v="4067825047"/>
    <s v="VWR AVANTOR"/>
    <s v="Q3"/>
    <e v="#REF!"/>
    <e v="#REF!"/>
    <e v="#REF!"/>
  </r>
  <r>
    <s v="602210"/>
    <x v="6"/>
    <s v="ACHATS - Matériel Consommable"/>
    <s v="AC"/>
    <n v="54.33"/>
    <d v="2025-09-17T00:00:00"/>
    <s v="CONSOMMABLE LABO"/>
    <m/>
    <e v="#N/A"/>
    <e v="#N/A"/>
    <n v="85123"/>
    <s v="4067819409"/>
    <s v="VWR AVANTOR"/>
    <s v="Q3"/>
    <e v="#REF!"/>
    <e v="#REF!"/>
    <e v="#REF!"/>
  </r>
  <r>
    <s v="602210"/>
    <x v="6"/>
    <s v="ACHATS - Matériel Consommable"/>
    <s v="AC"/>
    <n v="54.33"/>
    <d v="2025-09-18T00:00:00"/>
    <s v="CONSOMMABLE LABO"/>
    <m/>
    <e v="#N/A"/>
    <e v="#N/A"/>
    <n v="85126"/>
    <s v="4067820430"/>
    <s v="VWR AVANTOR"/>
    <s v="Q3"/>
    <e v="#REF!"/>
    <e v="#REF!"/>
    <e v="#REF!"/>
  </r>
  <r>
    <s v="602210"/>
    <x v="6"/>
    <s v="ACHATS - Matériel Consommable"/>
    <s v="AC"/>
    <n v="61.41"/>
    <d v="2025-10-06T00:00:00"/>
    <s v="CONSOMMABLE LABO"/>
    <m/>
    <e v="#N/A"/>
    <e v="#N/A"/>
    <n v="85152"/>
    <s v="4067836547"/>
    <s v="VWR AVANTOR"/>
    <s v="Q4"/>
    <e v="#REF!"/>
    <e v="#REF!"/>
    <e v="#REF!"/>
  </r>
  <r>
    <s v="602210"/>
    <x v="6"/>
    <s v="ACHATS - Matériel Consommable"/>
    <s v="AC"/>
    <n v="68.599999999999994"/>
    <d v="2025-11-03T00:00:00"/>
    <s v="VERRERIE DE DISTILLATION"/>
    <m/>
    <e v="#N/A"/>
    <e v="#N/A"/>
    <n v="89916"/>
    <s v="4184627"/>
    <s v="ROTH SOCHIEL"/>
    <s v="Q4"/>
    <e v="#REF!"/>
    <e v="#REF!"/>
    <e v="#REF!"/>
  </r>
  <r>
    <s v="602210"/>
    <x v="6"/>
    <s v="ACHATS - Matériel Consommable"/>
    <s v="AC"/>
    <n v="69.45"/>
    <d v="2025-08-19T00:00:00"/>
    <s v="BILLES POUR LE BROYEUR"/>
    <m/>
    <e v="#N/A"/>
    <e v="#N/A"/>
    <n v="81810"/>
    <s v="4175109842"/>
    <s v="FISHER SCIENTIFIC"/>
    <s v="Q3"/>
    <e v="#REF!"/>
    <e v="#REF!"/>
    <e v="#REF!"/>
  </r>
  <r>
    <s v="602210"/>
    <x v="6"/>
    <s v="ACHATS - Matériel Consommable"/>
    <s v="AC"/>
    <n v="72"/>
    <d v="2025-02-25T00:00:00"/>
    <s v="FILTRES EN FEUILLE ROTILABO"/>
    <m/>
    <e v="#N/A"/>
    <e v="#N/A"/>
    <n v="64116"/>
    <s v="4174060"/>
    <s v="ROTH SOCHIEL"/>
    <s v="Q1"/>
    <e v="#REF!"/>
    <e v="#REF!"/>
    <e v="#REF!"/>
  </r>
  <r>
    <s v="602210"/>
    <x v="6"/>
    <s v="ACHATS - Matériel Consommable"/>
    <s v="AC"/>
    <n v="72"/>
    <d v="2025-03-03T00:00:00"/>
    <s v="FILTRES EN FEUILLE ROTILABO"/>
    <m/>
    <e v="#N/A"/>
    <e v="#N/A"/>
    <n v="67832"/>
    <s v="4174396"/>
    <s v="ROTH SOCHIEL"/>
    <s v="Q1"/>
    <e v="#REF!"/>
    <e v="#REF!"/>
    <e v="#REF!"/>
  </r>
  <r>
    <s v="602210"/>
    <x v="6"/>
    <s v="ACHATS - Matériel Consommable"/>
    <s v="AC"/>
    <n v="74"/>
    <d v="2025-01-31T00:00:00"/>
    <s v="AMPOULE À DÉCANTER GLASSCO GIL"/>
    <m/>
    <e v="#N/A"/>
    <e v="#N/A"/>
    <n v="64032"/>
    <s v="186494"/>
    <s v="CLOUP"/>
    <s v="Q1"/>
    <e v="#REF!"/>
    <e v="#REF!"/>
    <e v="#REF!"/>
  </r>
  <r>
    <s v="602210"/>
    <x v="6"/>
    <s v="ACHATS - Matériel Consommable"/>
    <s v="AC"/>
    <n v="75.349999999999994"/>
    <d v="2025-03-18T00:00:00"/>
    <s v="ROULEAU ABSORBANT : 872-5710 5 COMBINAISONS 2XL BLANCHES : 242-5302 5 COMBINAISONS 2XL JAUNES : 248-6476"/>
    <m/>
    <e v="#N/A"/>
    <e v="#N/A"/>
    <n v="66029"/>
    <s v="486419727"/>
    <s v="RS COMPONENT"/>
    <s v="Q1"/>
    <e v="#REF!"/>
    <e v="#REF!"/>
    <e v="#REF!"/>
  </r>
  <r>
    <s v="602210"/>
    <x v="6"/>
    <s v="ACHATS - Matériel Consommable"/>
    <s v="AC"/>
    <n v="76.8"/>
    <d v="2025-07-30T00:00:00"/>
    <s v="COMMANDE CONSOMMABLES LABO"/>
    <m/>
    <e v="#N/A"/>
    <e v="#N/A"/>
    <n v="81230"/>
    <s v="4067783340"/>
    <s v="VWR AVANTOR"/>
    <s v="Q3"/>
    <e v="#REF!"/>
    <e v="#REF!"/>
    <e v="#REF!"/>
  </r>
  <r>
    <s v="602210"/>
    <x v="6"/>
    <s v="ACHATS - Matériel Consommable"/>
    <s v="AC"/>
    <n v="88.75"/>
    <d v="2025-03-17T00:00:00"/>
    <s v="ROULEAU ABSORBANT : 872-5710 5 COMBINAISONS 2XL BLANCHES : 242-5302 5 COMBINAISONS 2XL JAUNES : 248-6476"/>
    <m/>
    <e v="#N/A"/>
    <e v="#N/A"/>
    <n v="66063"/>
    <s v="486410243"/>
    <s v="RS COMPONENT"/>
    <s v="Q1"/>
    <e v="#REF!"/>
    <e v="#REF!"/>
    <e v="#REF!"/>
  </r>
  <r>
    <s v="602210"/>
    <x v="6"/>
    <s v="ACHATS - Matériel Consommable"/>
    <s v="AC"/>
    <n v="89.49"/>
    <d v="2025-09-19T00:00:00"/>
    <s v="CONSOMMABLE LABO"/>
    <m/>
    <e v="#N/A"/>
    <e v="#N/A"/>
    <n v="85132"/>
    <s v="4067821368"/>
    <s v="VWR AVANTOR"/>
    <s v="Q3"/>
    <e v="#REF!"/>
    <e v="#REF!"/>
    <e v="#REF!"/>
  </r>
  <r>
    <s v="602210"/>
    <x v="6"/>
    <s v="ACHATS - Matériel Consommable"/>
    <s v="AC"/>
    <n v="92"/>
    <d v="2025-12-05T00:00:00"/>
    <s v="CONSOMMABLE LABO"/>
    <m/>
    <e v="#N/A"/>
    <e v="#N/A"/>
    <n v="92990"/>
    <s v="4067892756"/>
    <s v="VWR AVANTOR"/>
    <s v="Q4"/>
    <e v="#REF!"/>
    <e v="#REF!"/>
    <e v="#REF!"/>
  </r>
  <r>
    <s v="602210"/>
    <x v="6"/>
    <s v="ACHATS - Matériel Consommable"/>
    <s v="AC"/>
    <n v="92.16"/>
    <d v="2025-07-30T00:00:00"/>
    <s v="COMMANDE CONSOMMABLES LABO"/>
    <m/>
    <e v="#N/A"/>
    <e v="#N/A"/>
    <n v="81227"/>
    <s v="4067783341"/>
    <s v="VWR AVANTOR"/>
    <s v="Q3"/>
    <e v="#REF!"/>
    <e v="#REF!"/>
    <e v="#REF!"/>
  </r>
  <r>
    <s v="602210"/>
    <x v="6"/>
    <s v="ACHATS - Matériel Consommable"/>
    <s v="AC"/>
    <n v="94"/>
    <d v="2025-04-08T00:00:00"/>
    <s v="ROULEAU ABSORBANT ET SURCHAUSSURE"/>
    <m/>
    <e v="#N/A"/>
    <e v="#N/A"/>
    <n v="69744"/>
    <s v="922050413"/>
    <s v="DENIOS"/>
    <s v="Q2"/>
    <e v="#REF!"/>
    <e v="#REF!"/>
    <e v="#REF!"/>
  </r>
  <r>
    <s v="602210"/>
    <x v="6"/>
    <s v="ACHATS - Matériel Consommable"/>
    <s v="AC"/>
    <n v="105.49"/>
    <d v="2025-01-26T00:00:00"/>
    <s v="COMBINAISON POUDRE ET LIQUIDE XXL"/>
    <m/>
    <e v="#N/A"/>
    <e v="#N/A"/>
    <n v="61322"/>
    <s v="64"/>
    <s v="RS COMPONENT"/>
    <s v="Q1"/>
    <e v="#REF!"/>
    <e v="#REF!"/>
    <e v="#REF!"/>
  </r>
  <r>
    <s v="602210"/>
    <x v="6"/>
    <s v="ACHATS - Matériel Consommable"/>
    <s v="AC"/>
    <n v="106.39"/>
    <d v="2025-02-07T00:00:00"/>
    <s v="RACCORDS KL"/>
    <m/>
    <e v="#N/A"/>
    <e v="#N/A"/>
    <n v="64081"/>
    <s v="273031"/>
    <s v="BOHLENDER"/>
    <s v="Q1"/>
    <e v="#REF!"/>
    <e v="#REF!"/>
    <e v="#REF!"/>
  </r>
  <r>
    <s v="602210"/>
    <x v="6"/>
    <s v="ACHATS - Matériel Consommable"/>
    <s v="AC"/>
    <n v="114"/>
    <d v="2025-03-05T00:00:00"/>
    <s v="CONSOMMABLES LABO R."/>
    <m/>
    <e v="#N/A"/>
    <e v="#N/A"/>
    <n v="67835"/>
    <s v="4174543"/>
    <s v="ROTH SOCHIEL"/>
    <s v="Q1"/>
    <e v="#REF!"/>
    <e v="#REF!"/>
    <e v="#REF!"/>
  </r>
  <r>
    <s v="602210"/>
    <x v="6"/>
    <s v="ACHATS - Matériel Consommable"/>
    <s v="AC"/>
    <n v="117.28"/>
    <d v="2025-03-26T00:00:00"/>
    <s v="SPECTROMÈTRE UV LABO ROUSSILLON"/>
    <m/>
    <e v="#N/A"/>
    <e v="#N/A"/>
    <n v="67885"/>
    <s v="4174916221"/>
    <s v="FISHER SCIENTIFIC"/>
    <s v="Q1"/>
    <e v="#REF!"/>
    <e v="#REF!"/>
    <e v="#REF!"/>
  </r>
  <r>
    <s v="602210"/>
    <x v="6"/>
    <s v="ACHATS - Matériel Consommable"/>
    <s v="AC"/>
    <n v="120"/>
    <d v="2025-01-15T00:00:00"/>
    <s v="AMPOULE À DÉCANTER GLASSCO GIL"/>
    <m/>
    <e v="#N/A"/>
    <e v="#N/A"/>
    <n v="64006"/>
    <s v="186261"/>
    <s v="CLOUP"/>
    <s v="Q1"/>
    <e v="#REF!"/>
    <e v="#REF!"/>
    <e v="#REF!"/>
  </r>
  <r>
    <s v="602210"/>
    <x v="6"/>
    <s v="ACHATS - Matériel Consommable"/>
    <s v="AC"/>
    <n v="120.86"/>
    <d v="2025-07-29T00:00:00"/>
    <s v="COMMANDE CONSOMMABLES LABO"/>
    <m/>
    <e v="#N/A"/>
    <e v="#N/A"/>
    <n v="81221"/>
    <s v="4067782413"/>
    <s v="VWR AVANTOR"/>
    <s v="Q3"/>
    <e v="#REF!"/>
    <e v="#REF!"/>
    <e v="#REF!"/>
  </r>
  <r>
    <s v="602210"/>
    <x v="6"/>
    <s v="ACHATS - Matériel Consommable"/>
    <s v="AC"/>
    <n v="129.5"/>
    <d v="2025-12-12T00:00:00"/>
    <s v="VERRERIE ET ÉQUIPEMENT POUR KEENB"/>
    <m/>
    <e v="#N/A"/>
    <e v="#N/A"/>
    <n v="92195"/>
    <s v="0190961"/>
    <s v="CLOUP"/>
    <s v="Q4"/>
    <e v="#REF!"/>
    <e v="#REF!"/>
    <e v="#REF!"/>
  </r>
  <r>
    <s v="602210"/>
    <x v="6"/>
    <s v="ACHATS - Matériel Consommable"/>
    <s v="AC"/>
    <n v="142.9"/>
    <d v="2025-11-29T00:00:00"/>
    <s v="VERRERIE POUR LABORATOIRE R. ET DIVERS PETIT MATÉRIEL POUR PILOT / KL"/>
    <m/>
    <e v="#N/A"/>
    <e v="#N/A"/>
    <n v="92984"/>
    <s v="0190628"/>
    <s v="CLOUP"/>
    <s v="Q4"/>
    <e v="#REF!"/>
    <e v="#REF!"/>
    <e v="#REF!"/>
  </r>
  <r>
    <s v="602210"/>
    <x v="6"/>
    <s v="ACHATS - Matériel Consommable"/>
    <s v="AC"/>
    <n v="143.28"/>
    <d v="2025-01-15T00:00:00"/>
    <s v="AMPOULE À DÉCANTER GLASSCO GIL ROBINET PTFE"/>
    <m/>
    <e v="#N/A"/>
    <e v="#N/A"/>
    <n v="68958"/>
    <s v="186262"/>
    <s v="CLOUP"/>
    <s v="Q1"/>
    <e v="#REF!"/>
    <e v="#REF!"/>
    <e v="#REF!"/>
  </r>
  <r>
    <s v="602210"/>
    <x v="6"/>
    <s v="ACHATS - Matériel Consommable"/>
    <s v="AC"/>
    <n v="143.28"/>
    <d v="2025-08-18T00:00:00"/>
    <s v="CONSOMMABLES LABO"/>
    <m/>
    <e v="#N/A"/>
    <e v="#N/A"/>
    <n v="81804"/>
    <s v="4067796293"/>
    <s v="VWR AVANTOR"/>
    <s v="Q3"/>
    <e v="#REF!"/>
    <e v="#REF!"/>
    <e v="#REF!"/>
  </r>
  <r>
    <s v="602210"/>
    <x v="6"/>
    <s v="ACHATS - Matériel Consommable"/>
    <s v="AC"/>
    <n v="151"/>
    <d v="2025-03-14T00:00:00"/>
    <s v="ENTONNOIR SECURITE PEHD"/>
    <m/>
    <e v="#N/A"/>
    <e v="#N/A"/>
    <n v="66105"/>
    <s v="187095"/>
    <s v="CLOUP"/>
    <s v="Q1"/>
    <e v="#REF!"/>
    <e v="#REF!"/>
    <e v="#REF!"/>
  </r>
  <r>
    <s v="602210"/>
    <x v="6"/>
    <s v="ACHATS - Matériel Consommable"/>
    <s v="AC"/>
    <n v="162.4"/>
    <d v="2025-10-28T00:00:00"/>
    <s v="CONSOMMABLES LABO"/>
    <m/>
    <e v="#N/A"/>
    <e v="#N/A"/>
    <n v="89879"/>
    <s v="4067855750"/>
    <s v="VWR AVANTOR"/>
    <s v="Q4"/>
    <e v="#REF!"/>
    <e v="#REF!"/>
    <e v="#REF!"/>
  </r>
  <r>
    <s v="602210"/>
    <x v="6"/>
    <s v="ACHATS - Matériel Consommable"/>
    <s v="AC"/>
    <n v="189"/>
    <d v="2025-06-30T00:00:00"/>
    <s v="CARTOUCHES POUR L'EAU DÉMINÉRALISÉE"/>
    <m/>
    <e v="#N/A"/>
    <e v="#N/A"/>
    <n v="78401"/>
    <s v="0188670"/>
    <s v="CLOUP"/>
    <s v="Q2"/>
    <e v="#REF!"/>
    <e v="#REF!"/>
    <e v="#REF!"/>
  </r>
  <r>
    <s v="602210"/>
    <x v="6"/>
    <s v="ACHATS - Matériel Consommable"/>
    <s v="AC"/>
    <n v="192.41"/>
    <d v="2025-07-11T00:00:00"/>
    <s v="RACCORDS"/>
    <m/>
    <e v="#N/A"/>
    <e v="#N/A"/>
    <n v="80882"/>
    <s v="487047790"/>
    <s v="RS COMPONENT"/>
    <s v="Q3"/>
    <e v="#REF!"/>
    <e v="#REF!"/>
    <e v="#REF!"/>
  </r>
  <r>
    <s v="602210"/>
    <x v="6"/>
    <s v="ACHATS - Matériel Consommable"/>
    <s v="AC"/>
    <n v="199.25"/>
    <d v="2025-05-31T00:00:00"/>
    <s v="DIVERS OSIRIS"/>
    <s v="Non"/>
    <s v="Non"/>
    <e v="#N/A"/>
    <n v="78986"/>
    <s v="93813054"/>
    <s v="OSIRIS"/>
    <s v="Q2"/>
    <e v="#REF!"/>
    <e v="#REF!"/>
    <e v="#REF!"/>
  </r>
  <r>
    <s v="602210"/>
    <x v="6"/>
    <s v="ACHATS - Matériel Consommable"/>
    <s v="AC"/>
    <n v="208.86"/>
    <d v="2025-03-17T00:00:00"/>
    <s v="SEAU TRANSPARENT"/>
    <m/>
    <e v="#N/A"/>
    <e v="#N/A"/>
    <n v="67845"/>
    <s v="16"/>
    <s v="MANUTAN"/>
    <s v="Q1"/>
    <e v="#REF!"/>
    <e v="#REF!"/>
    <e v="#REF!"/>
  </r>
  <r>
    <s v="602210"/>
    <x v="6"/>
    <s v="ACHATS - Matériel Consommable"/>
    <s v="AC"/>
    <n v="209"/>
    <d v="2025-04-01T00:00:00"/>
    <s v="ROULEAU ABSORBANT ET SURCHAUSSURE"/>
    <m/>
    <e v="#N/A"/>
    <e v="#N/A"/>
    <n v="69685"/>
    <s v="922049943"/>
    <s v="DENIOS"/>
    <s v="Q2"/>
    <e v="#REF!"/>
    <e v="#REF!"/>
    <e v="#REF!"/>
  </r>
  <r>
    <s v="602210"/>
    <x v="6"/>
    <s v="ACHATS - Matériel Consommable"/>
    <s v="AC"/>
    <n v="212.49"/>
    <d v="2025-02-20T00:00:00"/>
    <s v="GANT NITRILE ÉPAIS MANCHE LONGUE"/>
    <m/>
    <s v="Non"/>
    <e v="#N/A"/>
    <n v="61541"/>
    <s v="148"/>
    <s v="DIVERS"/>
    <s v="Q1"/>
    <e v="#REF!"/>
    <e v="#REF!"/>
    <e v="#REF!"/>
  </r>
  <r>
    <s v="602210"/>
    <x v="6"/>
    <s v="ACHATS - Matériel Consommable"/>
    <s v="AC"/>
    <n v="213.45"/>
    <d v="2025-07-02T00:00:00"/>
    <s v="FLEXIBLE 10-12MM EVENTS POMPE À VIDE KL + CONSOMMABLE PILOTE"/>
    <m/>
    <e v="#N/A"/>
    <e v="#N/A"/>
    <n v="80853"/>
    <s v="10762"/>
    <s v="PTFE TUBE SHOP"/>
    <s v="Q3"/>
    <e v="#REF!"/>
    <e v="#REF!"/>
    <e v="#REF!"/>
  </r>
  <r>
    <s v="602210"/>
    <x v="6"/>
    <s v="ACHATS - Matériel Consommable"/>
    <s v="AC"/>
    <n v="214.56"/>
    <d v="2025-04-30T00:00:00"/>
    <s v="MANCHETTES A956359 X100"/>
    <m/>
    <e v="#N/A"/>
    <e v="#N/A"/>
    <n v="72646"/>
    <s v="M010022895"/>
    <s v="MANUTAN"/>
    <s v="Q2"/>
    <e v="#REF!"/>
    <e v="#REF!"/>
    <e v="#REF!"/>
  </r>
  <r>
    <s v="602210"/>
    <x v="6"/>
    <s v="ACHATS - Matériel Consommable"/>
    <s v="AC"/>
    <n v="216"/>
    <d v="2025-01-01T00:00:00"/>
    <s v="KIT 3 JOINTS PTFE POUR GUIDE D'AGITATION"/>
    <m/>
    <e v="#N/A"/>
    <e v="#N/A"/>
    <n v="67799"/>
    <s v="742"/>
    <s v="ALGOCHEM"/>
    <s v="Q1"/>
    <e v="#REF!"/>
    <e v="#REF!"/>
    <e v="#REF!"/>
  </r>
  <r>
    <s v="602210"/>
    <x v="6"/>
    <s v="ACHATS - Matériel Consommable"/>
    <s v="AC"/>
    <n v="219.69"/>
    <d v="2025-12-22T00:00:00"/>
    <s v="DIVERS CONSOMMABLES LABO ROUSSILLON"/>
    <m/>
    <e v="#N/A"/>
    <e v="#N/A"/>
    <n v="94895"/>
    <s v="4186592"/>
    <s v="ROTH SOCHIEL"/>
    <s v="Q4"/>
    <e v="#REF!"/>
    <e v="#REF!"/>
    <e v="#REF!"/>
  </r>
  <r>
    <s v="602210"/>
    <x v="6"/>
    <s v="ACHATS - Matériel Consommable"/>
    <s v="AC"/>
    <n v="233.12"/>
    <d v="2025-07-17T00:00:00"/>
    <s v="JOINTS ÉTANCHÉITÉ KL POUR MAINTENANCE JUILLET - URGENT"/>
    <m/>
    <e v="#N/A"/>
    <e v="#N/A"/>
    <n v="82273"/>
    <s v="14003548"/>
    <s v="OPTIMUS"/>
    <s v="Q3"/>
    <e v="#REF!"/>
    <e v="#REF!"/>
    <e v="#REF!"/>
  </r>
  <r>
    <s v="602210"/>
    <x v="6"/>
    <s v="ACHATS - Matériel Consommable"/>
    <s v="AC"/>
    <n v="239.87"/>
    <d v="2025-12-12T00:00:00"/>
    <s v="ÉTIQUETTES CLP POUR ÉCHANTILLONS ROUSSILLON"/>
    <m/>
    <e v="#N/A"/>
    <e v="#N/A"/>
    <n v="93969"/>
    <s v="9302081956"/>
    <s v="BRADY GROUPE"/>
    <s v="Q4"/>
    <e v="#REF!"/>
    <e v="#REF!"/>
    <e v="#REF!"/>
  </r>
  <r>
    <s v="602210"/>
    <x v="6"/>
    <s v="ACHATS - Matériel Consommable"/>
    <s v="AC"/>
    <n v="249"/>
    <d v="2025-01-31T00:00:00"/>
    <s v="COMMANDE D'ÉQUIPEMENTS KB"/>
    <m/>
    <e v="#N/A"/>
    <e v="#N/A"/>
    <n v="61350"/>
    <s v="186495"/>
    <s v="CLOUP"/>
    <s v="Q1"/>
    <e v="#REF!"/>
    <e v="#REF!"/>
    <e v="#REF!"/>
  </r>
  <r>
    <s v="602210"/>
    <x v="6"/>
    <s v="ACHATS - Matériel Consommable"/>
    <s v="AC"/>
    <n v="252"/>
    <d v="2025-07-31T00:00:00"/>
    <s v="CONSOMMABLES LABO"/>
    <m/>
    <e v="#N/A"/>
    <e v="#N/A"/>
    <n v="81777"/>
    <s v="4067785384"/>
    <s v="VWR AVANTOR"/>
    <s v="Q3"/>
    <e v="#REF!"/>
    <e v="#REF!"/>
    <e v="#REF!"/>
  </r>
  <r>
    <s v="602210"/>
    <x v="6"/>
    <s v="ACHATS - Matériel Consommable"/>
    <s v="AC"/>
    <n v="257.60000000000002"/>
    <d v="2025-02-28T00:00:00"/>
    <s v="100 FEUILLES ABSORBANTES POUR PRODUITS CHIMIQUES THERMOMÈTRE À LIQUIDE ROUGE"/>
    <m/>
    <e v="#N/A"/>
    <e v="#N/A"/>
    <n v="64136"/>
    <s v="186913"/>
    <s v="CLOUP"/>
    <s v="Q1"/>
    <e v="#REF!"/>
    <e v="#REF!"/>
    <e v="#REF!"/>
  </r>
  <r>
    <s v="602210"/>
    <x v="6"/>
    <s v="ACHATS - Matériel Consommable"/>
    <s v="AC"/>
    <n v="258.27999999999997"/>
    <d v="2025-07-29T00:00:00"/>
    <s v="TUYAU EN PTFE 10X12MM 50M"/>
    <m/>
    <e v="#N/A"/>
    <e v="#N/A"/>
    <n v="80902"/>
    <s v="10991"/>
    <s v="PTFE TUBE SHOP"/>
    <s v="Q3"/>
    <e v="#REF!"/>
    <e v="#REF!"/>
    <e v="#REF!"/>
  </r>
  <r>
    <s v="602210"/>
    <x v="6"/>
    <s v="ACHATS - Matériel Consommable"/>
    <s v="AC"/>
    <n v="265"/>
    <d v="2025-04-29T00:00:00"/>
    <s v="CARTOUCHE AX POUR MASQUE À GAZ"/>
    <m/>
    <e v="#N/A"/>
    <e v="#N/A"/>
    <n v="71366"/>
    <s v="FC95492"/>
    <s v="GAZ DETECT"/>
    <s v="Q2"/>
    <e v="#REF!"/>
    <e v="#REF!"/>
    <e v="#REF!"/>
  </r>
  <r>
    <s v="602210"/>
    <x v="6"/>
    <s v="ACHATS - Matériel Consommable"/>
    <s v="AC"/>
    <n v="267.64999999999998"/>
    <d v="2025-11-17T00:00:00"/>
    <s v="CONSOMMABLE LABO"/>
    <m/>
    <e v="#N/A"/>
    <e v="#N/A"/>
    <n v="91938"/>
    <s v="4067873149"/>
    <s v="VWR AVANTOR"/>
    <s v="Q4"/>
    <e v="#REF!"/>
    <e v="#REF!"/>
    <e v="#REF!"/>
  </r>
  <r>
    <s v="602210"/>
    <x v="6"/>
    <s v="ACHATS - Matériel Consommable"/>
    <s v="AC"/>
    <n v="280"/>
    <d v="2025-01-31T00:00:00"/>
    <s v="Straight hose connectors Type SOL25/18/3"/>
    <m/>
    <e v="#N/A"/>
    <e v="#N/A"/>
    <n v="87997"/>
    <m/>
    <s v="SOFFIERA"/>
    <s v="Q1"/>
    <e v="#REF!"/>
    <e v="#REF!"/>
    <e v="#REF!"/>
  </r>
  <r>
    <s v="602210"/>
    <x v="6"/>
    <s v="ACHATS - Matériel Consommable"/>
    <s v="AC"/>
    <n v="299.74"/>
    <d v="2025-03-25T00:00:00"/>
    <s v="CONSOMMABLES LABO R."/>
    <m/>
    <e v="#N/A"/>
    <e v="#N/A"/>
    <n v="67879"/>
    <s v="4175654"/>
    <s v="ROTH SOCHIEL"/>
    <s v="Q1"/>
    <e v="#REF!"/>
    <e v="#REF!"/>
    <e v="#REF!"/>
  </r>
  <r>
    <s v="602210"/>
    <x v="6"/>
    <s v="ACHATS - Matériel Consommable"/>
    <s v="AC"/>
    <n v="328.27"/>
    <d v="2025-10-22T00:00:00"/>
    <s v="VERRERIE DE DISTILLATION"/>
    <m/>
    <e v="#N/A"/>
    <e v="#N/A"/>
    <n v="87463"/>
    <s v="4184079"/>
    <s v="ROTH SOCHIEL"/>
    <s v="Q4"/>
    <e v="#REF!"/>
    <e v="#REF!"/>
    <e v="#REF!"/>
  </r>
  <r>
    <s v="602210"/>
    <x v="6"/>
    <s v="ACHATS - Matériel Consommable"/>
    <s v="AC"/>
    <n v="339"/>
    <d v="2025-08-30T00:00:00"/>
    <s v="COMMANDE FILTRE POUR ANALYSE"/>
    <m/>
    <e v="#N/A"/>
    <e v="#N/A"/>
    <n v="82295"/>
    <s v="0189297"/>
    <s v="CLOUP"/>
    <s v="Q3"/>
    <e v="#REF!"/>
    <e v="#REF!"/>
    <e v="#REF!"/>
  </r>
  <r>
    <s v="602210"/>
    <x v="6"/>
    <s v="ACHATS - Matériel Consommable"/>
    <s v="AC"/>
    <n v="391.1"/>
    <d v="2025-10-23T00:00:00"/>
    <s v="VERRERIE POUR LABORATOIRE R. ET DIVERS PETIT MATÉRIEL POUR PILOT / KL"/>
    <m/>
    <e v="#N/A"/>
    <e v="#N/A"/>
    <n v="89870"/>
    <s v="0190028"/>
    <s v="CLOUP"/>
    <s v="Q4"/>
    <e v="#REF!"/>
    <e v="#REF!"/>
    <e v="#REF!"/>
  </r>
  <r>
    <s v="602210"/>
    <x v="6"/>
    <s v="ACHATS - Matériel Consommable"/>
    <s v="AC"/>
    <n v="432.32"/>
    <d v="2025-03-31T00:00:00"/>
    <s v="FACTURE OSIRIS MARS 25"/>
    <s v="Non"/>
    <s v="Non"/>
    <e v="#N/A"/>
    <n v="68995"/>
    <s v="93812623"/>
    <s v="OSIRIS"/>
    <s v="Q1"/>
    <e v="#REF!"/>
    <e v="#REF!"/>
    <e v="#REF!"/>
  </r>
  <r>
    <s v="602210"/>
    <x v="6"/>
    <s v="ACHATS - Matériel Consommable"/>
    <s v="AC"/>
    <n v="464.5"/>
    <d v="2025-08-31T00:00:00"/>
    <s v="DIVERS OSIRIS AOUT"/>
    <s v="Non"/>
    <s v="Non"/>
    <e v="#N/A"/>
    <n v="89378"/>
    <s v="93813582"/>
    <s v="OSIRIS"/>
    <s v="Q3"/>
    <e v="#REF!"/>
    <e v="#REF!"/>
    <e v="#REF!"/>
  </r>
  <r>
    <s v="602210"/>
    <x v="6"/>
    <s v="ACHATS - Matériel Consommable"/>
    <s v="AC"/>
    <n v="482.57"/>
    <d v="2025-04-09T00:00:00"/>
    <s v="PALETTES EUROPE * 10"/>
    <m/>
    <e v="#N/A"/>
    <e v="#N/A"/>
    <n v="69750"/>
    <s v="49"/>
    <s v="MANUTAN"/>
    <s v="Q2"/>
    <e v="#REF!"/>
    <e v="#REF!"/>
    <e v="#REF!"/>
  </r>
  <r>
    <s v="602210"/>
    <x v="6"/>
    <s v="ACHATS - Matériel Consommable"/>
    <s v="AC"/>
    <n v="551.41"/>
    <d v="2025-07-18T00:00:00"/>
    <s v="FILTRE DE PROTECTION POUR LA GC-MS (ARRIVÉ D'HÉLIUM + SORTIE DE LA POMPE)"/>
    <m/>
    <s v="Non"/>
    <e v="#N/A"/>
    <n v="82276"/>
    <s v="9131423883"/>
    <s v="THERMOELECTRON"/>
    <s v="Q3"/>
    <e v="#REF!"/>
    <e v="#REF!"/>
    <e v="#REF!"/>
  </r>
  <r>
    <s v="602210"/>
    <x v="6"/>
    <s v="ACHATS - Matériel Consommable"/>
    <s v="AC"/>
    <n v="605.4"/>
    <d v="2025-09-30T00:00:00"/>
    <s v="DIVERS OSIRIS FACTURE MENSUELLE"/>
    <s v="Non"/>
    <s v="Non"/>
    <e v="#N/A"/>
    <n v="85141"/>
    <s v="93813825"/>
    <s v="OSIRIS"/>
    <s v="Q3"/>
    <e v="#REF!"/>
    <e v="#REF!"/>
    <e v="#REF!"/>
  </r>
  <r>
    <s v="602210"/>
    <x v="6"/>
    <s v="ACHATS - Matériel Consommable"/>
    <s v="AC"/>
    <n v="636.5"/>
    <d v="2025-07-31T00:00:00"/>
    <s v="ELECTRODE PH + PETIT MATÉRIEL LABO"/>
    <m/>
    <e v="#N/A"/>
    <e v="#N/A"/>
    <n v="92978"/>
    <s v="4181061"/>
    <s v="ROTH SOCHIEL"/>
    <s v="Q3"/>
    <e v="#REF!"/>
    <e v="#REF!"/>
    <e v="#REF!"/>
  </r>
  <r>
    <s v="602210"/>
    <x v="6"/>
    <s v="ACHATS - Matériel Consommable"/>
    <s v="AC"/>
    <n v="668.17"/>
    <d v="2025-12-31T00:00:00"/>
    <s v="DIVERS OSIRIS DÉCEMBRE 25"/>
    <s v="Non"/>
    <s v="Non"/>
    <e v="#N/A"/>
    <n v="96080"/>
    <s v="93814456"/>
    <s v="OSIRIS"/>
    <s v="Q4"/>
    <e v="#REF!"/>
    <e v="#REF!"/>
    <e v="#REF!"/>
  </r>
  <r>
    <s v="602210"/>
    <x v="6"/>
    <s v="ACHATS - Matériel Consommable"/>
    <s v="AC"/>
    <n v="698.62"/>
    <d v="2025-01-31T00:00:00"/>
    <s v="FACTURE OSIRIS JANVIER 25"/>
    <s v="Non"/>
    <s v="Non"/>
    <e v="#N/A"/>
    <n v="72976"/>
    <s v="93812200"/>
    <s v="OSIRIS"/>
    <s v="Q1"/>
    <e v="#REF!"/>
    <e v="#REF!"/>
    <e v="#REF!"/>
  </r>
  <r>
    <s v="602210"/>
    <x v="6"/>
    <s v="ACHATS - Matériel Consommable"/>
    <s v="AC"/>
    <n v="703.5"/>
    <d v="2025-12-08T00:00:00"/>
    <s v="COLONNE LUNA + PRÉ-COLONNES"/>
    <m/>
    <e v="#N/A"/>
    <e v="#N/A"/>
    <n v="92993"/>
    <s v="CIFR-25005568"/>
    <s v="PHENOMENEX"/>
    <s v="Q4"/>
    <e v="#REF!"/>
    <e v="#REF!"/>
    <e v="#REF!"/>
  </r>
  <r>
    <s v="602210"/>
    <x v="6"/>
    <s v="ACHATS - Matériel Consommable"/>
    <s v="AC"/>
    <n v="703.94"/>
    <d v="2025-07-28T00:00:00"/>
    <s v="COMMANDE CONSOMMABLES ET SOLVANTS POUR LABO"/>
    <m/>
    <e v="#N/A"/>
    <e v="#N/A"/>
    <n v="81218"/>
    <s v="4067781492"/>
    <s v="VWR AVANTOR"/>
    <s v="Q3"/>
    <e v="#REF!"/>
    <e v="#REF!"/>
    <e v="#REF!"/>
  </r>
  <r>
    <s v="602210"/>
    <x v="6"/>
    <s v="ACHATS - Matériel Consommable"/>
    <s v="AC"/>
    <n v="733.72"/>
    <d v="2025-11-30T00:00:00"/>
    <s v="DIVERS OSIRIS"/>
    <s v="Non"/>
    <s v="Non"/>
    <e v="#N/A"/>
    <n v="92191"/>
    <s v="93814241"/>
    <s v="OSIRIS"/>
    <s v="Q4"/>
    <e v="#REF!"/>
    <e v="#REF!"/>
    <e v="#REF!"/>
  </r>
  <r>
    <s v="602210"/>
    <x v="6"/>
    <s v="ACHATS - Matériel Consommable"/>
    <s v="AC"/>
    <n v="747.97"/>
    <d v="2025-01-22T00:00:00"/>
    <s v="TUYAUX PTFE 8X10 (50M) 10X12 (50M) 9X12 (25M)"/>
    <m/>
    <s v="Non"/>
    <e v="#N/A"/>
    <n v="61295"/>
    <s v="52"/>
    <s v="DIVERS"/>
    <s v="Q1"/>
    <e v="#REF!"/>
    <e v="#REF!"/>
    <e v="#REF!"/>
  </r>
  <r>
    <s v="602210"/>
    <x v="6"/>
    <s v="ACHATS - Matériel Consommable"/>
    <s v="AC"/>
    <n v="798.96"/>
    <d v="2025-12-12T00:00:00"/>
    <s v="SABOTS DE PESÉE / POIDS ÉTALONNAGE BALANCE ANALYTIQUE / FLACONS + BOUCHONS HPLC"/>
    <m/>
    <e v="#N/A"/>
    <e v="#N/A"/>
    <n v="93002"/>
    <s v="0190962"/>
    <s v="CLOUP"/>
    <s v="Q4"/>
    <e v="#REF!"/>
    <e v="#REF!"/>
    <e v="#REF!"/>
  </r>
  <r>
    <s v="602210"/>
    <x v="6"/>
    <s v="ACHATS - Matériel Consommable"/>
    <s v="AC"/>
    <n v="903"/>
    <d v="2025-12-15T00:00:00"/>
    <s v="COLONNE LUNA + PRÉ-COLONNES"/>
    <m/>
    <e v="#N/A"/>
    <e v="#N/A"/>
    <n v="93005"/>
    <s v="CIFR-25005742"/>
    <s v="PHENOMENEX"/>
    <s v="Q4"/>
    <e v="#REF!"/>
    <e v="#REF!"/>
    <e v="#REF!"/>
  </r>
  <r>
    <s v="602210"/>
    <x v="6"/>
    <s v="ACHATS - Matériel Consommable"/>
    <s v="AC"/>
    <n v="939"/>
    <d v="2025-06-30T00:00:00"/>
    <s v="DIVERS OSIRIS : PRESTATIONS DE SERVICE, LABORATOIRE, STOCKAGE PALETTES"/>
    <s v="Non"/>
    <s v="Non"/>
    <e v="#N/A"/>
    <n v="78385"/>
    <s v="93813209"/>
    <s v="OSIRIS"/>
    <s v="Q2"/>
    <e v="#REF!"/>
    <e v="#REF!"/>
    <e v="#REF!"/>
  </r>
  <r>
    <s v="602210"/>
    <x v="6"/>
    <s v="ACHATS - Matériel Consommable"/>
    <s v="AC"/>
    <n v="1113.1500000000001"/>
    <d v="2025-09-19T00:00:00"/>
    <s v="CONSOMMABLE LABO"/>
    <m/>
    <e v="#N/A"/>
    <e v="#N/A"/>
    <n v="85129"/>
    <s v="4067821369"/>
    <s v="VWR AVANTOR"/>
    <s v="Q3"/>
    <e v="#REF!"/>
    <e v="#REF!"/>
    <e v="#REF!"/>
  </r>
  <r>
    <s v="602210"/>
    <x v="6"/>
    <s v="ACHATS - Matériel Consommable"/>
    <s v="AC"/>
    <n v="1126.6300000000001"/>
    <d v="2025-02-28T00:00:00"/>
    <s v="LABORATOIRE 02/2025 BTR 02/2025 FORFAIT 02/2025 SUITE SIGNATURE CONTRAT MOU"/>
    <s v="Non"/>
    <s v="Non"/>
    <e v="#N/A"/>
    <n v="64068"/>
    <s v="93812419"/>
    <s v="OSIRIS"/>
    <s v="Q1"/>
    <e v="#REF!"/>
    <e v="#REF!"/>
    <e v="#REF!"/>
  </r>
  <r>
    <s v="602210"/>
    <x v="6"/>
    <s v="ACHATS - Matériel Consommable"/>
    <s v="AC"/>
    <n v="1191.07"/>
    <d v="2025-11-14T00:00:00"/>
    <s v="VERRERIE POUR LABO"/>
    <m/>
    <e v="#N/A"/>
    <e v="#N/A"/>
    <n v="91935"/>
    <s v="0190376"/>
    <s v="CLOUP"/>
    <s v="Q4"/>
    <e v="#REF!"/>
    <e v="#REF!"/>
    <e v="#REF!"/>
  </r>
  <r>
    <s v="602210"/>
    <x v="6"/>
    <s v="ACHATS - Matériel Consommable"/>
    <s v="AC"/>
    <n v="1273.94"/>
    <d v="2025-04-30T00:00:00"/>
    <s v="FACTURE MENSUELLE OSIRIS"/>
    <s v="Non"/>
    <s v="Non"/>
    <e v="#N/A"/>
    <n v="73754"/>
    <s v="93812813"/>
    <s v="OSIRIS"/>
    <s v="Q2"/>
    <e v="#REF!"/>
    <e v="#REF!"/>
    <e v="#REF!"/>
  </r>
  <r>
    <s v="602210"/>
    <x v="6"/>
    <s v="ACHATS - Matériel Consommable"/>
    <s v="AC"/>
    <n v="1326.86"/>
    <d v="2025-10-31T00:00:00"/>
    <s v="DIVERS OSIRIS OCTOBRE 25"/>
    <s v="Non"/>
    <s v="Non"/>
    <e v="#N/A"/>
    <n v="89903"/>
    <s v="93814026"/>
    <s v="OSIRIS"/>
    <s v="Q4"/>
    <e v="#REF!"/>
    <e v="#REF!"/>
    <e v="#REF!"/>
  </r>
  <r>
    <s v="602210"/>
    <x v="6"/>
    <s v="ACHATS - Matériel Consommable"/>
    <s v="AC"/>
    <n v="1945.93"/>
    <d v="2025-10-31T00:00:00"/>
    <s v="COMMANDE DE VERRERIE POUR LE LABORATOIRE DU KB"/>
    <m/>
    <e v="#N/A"/>
    <e v="#N/A"/>
    <n v="89894"/>
    <s v="0190171"/>
    <s v="CLOUP"/>
    <s v="Q4"/>
    <e v="#REF!"/>
    <e v="#REF!"/>
    <e v="#REF!"/>
  </r>
  <r>
    <s v="602210"/>
    <x v="6"/>
    <s v="ACHATS - Matériel Consommable"/>
    <s v="AC"/>
    <n v="2036.87"/>
    <d v="2025-07-31T00:00:00"/>
    <s v="DIVERS OSIRIS JUILLET 25"/>
    <s v="Non"/>
    <s v="Non"/>
    <e v="#N/A"/>
    <n v="89377"/>
    <s v="93813439"/>
    <s v="OSIRIS"/>
    <s v="Q3"/>
    <e v="#REF!"/>
    <e v="#REF!"/>
    <e v="#REF!"/>
  </r>
  <r>
    <s v="604100"/>
    <x v="8"/>
    <s v="SOUS-TRAITANCE - Analyses"/>
    <s v="AC"/>
    <n v="-39645"/>
    <d v="2025-08-29T00:00:00"/>
    <s v="AVOIR SUR ACOMPTE KAPP"/>
    <s v="Non"/>
    <m/>
    <m/>
    <n v="81913"/>
    <s v="AVE000000"/>
    <s v="KAPP"/>
    <s v="Q3"/>
    <e v="#REF!"/>
    <e v="#REF!"/>
    <e v="#REF!"/>
  </r>
  <r>
    <s v="604100"/>
    <x v="8"/>
    <s v="SOUS-TRAITANCE - Analyses"/>
    <s v="AC"/>
    <n v="39645"/>
    <d v="2025-08-29T00:00:00"/>
    <s v="AVOIR SUR ACOMPTE KAPP"/>
    <s v="Non"/>
    <m/>
    <m/>
    <n v="89352"/>
    <s v="AVE000000"/>
    <s v="KAPP"/>
    <s v="Q3"/>
    <e v="#REF!"/>
    <e v="#REF!"/>
    <e v="#REF!"/>
  </r>
  <r>
    <s v="604200"/>
    <x v="8"/>
    <s v="SOUS-TRAITANCE - Production"/>
    <s v="AC"/>
    <n v="-26000"/>
    <d v="2025-07-17T00:00:00"/>
    <s v="CHAUFFAGE / CLIMATISATION LABORATOIRE + APPORT D'AIR LABORATOIRE"/>
    <s v="Non"/>
    <m/>
    <m/>
    <n v="89357"/>
    <s v="FC6781"/>
    <s v="LOPEZ PLOMBERIE ELECTRICITE"/>
    <s v="Q3"/>
    <e v="#REF!"/>
    <e v="#REF!"/>
    <e v="#REF!"/>
  </r>
  <r>
    <s v="604200"/>
    <x v="8"/>
    <s v="SOUS-TRAITANCE - Production"/>
    <s v="AC"/>
    <n v="8898"/>
    <d v="2025-02-28T00:00:00"/>
    <s v="INDIGO STADE 2"/>
    <s v="Non"/>
    <m/>
    <n v="0"/>
    <n v="67823"/>
    <s v="FC250032"/>
    <s v="INTEROR"/>
    <s v="Q1"/>
    <e v="#REF!"/>
    <e v="#REF!"/>
    <e v="#REF!"/>
  </r>
  <r>
    <s v="604200"/>
    <x v="8"/>
    <s v="SOUS-TRAITANCE - Production"/>
    <s v="AC"/>
    <n v="13207.09"/>
    <d v="2025-02-28T00:00:00"/>
    <s v="BROYAGE  AMORTISSEUR DU BROYEUR"/>
    <s v="Non"/>
    <m/>
    <n v="0"/>
    <n v="68969"/>
    <s v="FC250033"/>
    <s v="INTEROR"/>
    <s v="Q1"/>
    <e v="#REF!"/>
    <e v="#REF!"/>
    <e v="#REF!"/>
  </r>
  <r>
    <s v="604200"/>
    <x v="8"/>
    <s v="SOUS-TRAITANCE - Production"/>
    <s v="AC"/>
    <n v="20000"/>
    <d v="2025-08-12T00:00:00"/>
    <s v="POENIX V2020 - LOCATION FILTRE PRESSE 2024"/>
    <s v="Non"/>
    <m/>
    <n v="0"/>
    <n v="81798"/>
    <s v="FC250147"/>
    <s v="INTEROR"/>
    <s v="Q3"/>
    <e v="#REF!"/>
    <e v="#REF!"/>
    <e v="#REF!"/>
  </r>
  <r>
    <s v="604200"/>
    <x v="8"/>
    <s v="SOUS-TRAITANCE - Production"/>
    <s v="AC"/>
    <n v="23499"/>
    <d v="2025-11-18T00:00:00"/>
    <s v="PRODUCTION CAMPAGNE 2025 - LOT RÉSIDUEL"/>
    <s v="Non"/>
    <m/>
    <n v="0"/>
    <n v="94882"/>
    <s v="FC250231"/>
    <s v="INTEROR"/>
    <s v="Q4"/>
    <e v="#REF!"/>
    <e v="#REF!"/>
    <e v="#REF!"/>
  </r>
  <r>
    <s v="604200"/>
    <x v="8"/>
    <s v="SOUS-TRAITANCE - Production"/>
    <s v="AC"/>
    <n v="26000"/>
    <d v="2025-07-17T00:00:00"/>
    <s v="CHAUFFAGE / CLIMATISATION LABORATOIRE + APPORT D'AIR LABORATOIRE"/>
    <s v="Non"/>
    <m/>
    <m/>
    <n v="81328"/>
    <s v="FC6781"/>
    <s v="LOPEZ PLOMBERIE ELECTRICITE"/>
    <s v="Q3"/>
    <e v="#REF!"/>
    <e v="#REF!"/>
    <e v="#REF!"/>
  </r>
  <r>
    <s v="604200"/>
    <x v="8"/>
    <s v="SOUS-TRAITANCE - Production"/>
    <s v="AC"/>
    <n v="377967.9"/>
    <d v="2025-03-31T00:00:00"/>
    <s v="9 BATCHES PRODUCED DURING CAMPAIGN  ACTUAL CONSUMPTION OF RAW MATERIAL"/>
    <s v="Non"/>
    <m/>
    <m/>
    <n v="73734"/>
    <s v="91250028"/>
    <s v="BIOTIKA"/>
    <s v="Q1"/>
    <e v="#REF!"/>
    <e v="#REF!"/>
    <e v="#REF!"/>
  </r>
  <r>
    <s v="604200"/>
    <x v="8"/>
    <s v="SOUS-TRAITANCE - Production"/>
    <s v="AC"/>
    <n v="420000"/>
    <d v="2025-09-30T00:00:00"/>
    <s v=" Indigo (A00743) - 1t"/>
    <s v="Non"/>
    <m/>
    <n v="0"/>
    <n v="87160"/>
    <s v="FC250191"/>
    <s v="INTEROR"/>
    <s v="Q3"/>
    <e v="#REF!"/>
    <e v="#REF!"/>
    <e v="#REF!"/>
  </r>
  <r>
    <s v="604200"/>
    <x v="8"/>
    <s v="SOUS-TRAITANCE - Production"/>
    <s v="AC"/>
    <n v="591968"/>
    <d v="2025-02-06T00:00:00"/>
    <s v="COMMANDE 4-240154 DU 19/09/2024"/>
    <s v="Non"/>
    <m/>
    <n v="0"/>
    <n v="66160"/>
    <s v="FC250025"/>
    <s v="INTEROR"/>
    <s v="Q1"/>
    <e v="#REF!"/>
    <e v="#REF!"/>
    <e v="#REF!"/>
  </r>
  <r>
    <s v="604200"/>
    <x v="8"/>
    <s v="SOUS-TRAITANCE - Production"/>
    <s v="OD"/>
    <n v="-116480"/>
    <d v="2025-02-28T00:00:00"/>
    <s v="CCA - Indigo 280kg à 416€"/>
    <s v="Non"/>
    <m/>
    <n v="0"/>
    <n v="90474"/>
    <m/>
    <s v="INTEROR"/>
    <s v="Q1"/>
    <e v="#REF!"/>
    <e v="#REF!"/>
    <e v="#REF!"/>
  </r>
  <r>
    <s v="606110"/>
    <x v="6"/>
    <s v="ACHATS - Eau"/>
    <s v="AC"/>
    <n v="2.75"/>
    <d v="2025-05-16T00:00:00"/>
    <s v="EAU ET ASSAINISSEMENT"/>
    <m/>
    <e v="#N/A"/>
    <e v="#N/A"/>
    <n v="78359"/>
    <s v="2"/>
    <s v="EAU DU GRAND LYON"/>
    <s v="Q2"/>
    <e v="#REF!"/>
    <e v="#REF!"/>
    <e v="#REF!"/>
  </r>
  <r>
    <s v="606110"/>
    <x v="6"/>
    <s v="ACHATS - Eau"/>
    <s v="AC"/>
    <n v="2.9"/>
    <d v="2025-01-01T00:00:00"/>
    <s v="EAU LYON 2024"/>
    <m/>
    <e v="#N/A"/>
    <e v="#N/A"/>
    <n v="71259"/>
    <s v="1008829596"/>
    <s v="EAU DU GRAND LYON"/>
    <s v="Q1"/>
    <e v="#REF!"/>
    <e v="#REF!"/>
    <e v="#REF!"/>
  </r>
  <r>
    <s v="606110"/>
    <x v="6"/>
    <s v="ACHATS - Eau"/>
    <s v="AC"/>
    <n v="10.89"/>
    <d v="2025-02-22T00:00:00"/>
    <s v="COMMANDE RÉCURRENTE D'EAU - SITE ROUSSILLON"/>
    <m/>
    <e v="#N/A"/>
    <e v="#N/A"/>
    <n v="61547"/>
    <s v="150"/>
    <s v="CHATEAUDEAU"/>
    <s v="Q1"/>
    <e v="#REF!"/>
    <e v="#REF!"/>
    <e v="#REF!"/>
  </r>
  <r>
    <s v="606110"/>
    <x v="6"/>
    <s v="ACHATS - Eau"/>
    <s v="AC"/>
    <n v="15.89"/>
    <d v="2025-02-28T00:00:00"/>
    <s v="D'EAU LOYER MIDEA"/>
    <m/>
    <e v="#N/A"/>
    <e v="#N/A"/>
    <n v="67815"/>
    <s v="31/05587274"/>
    <s v="CHATEAUDEAU"/>
    <s v="Q1"/>
    <e v="#REF!"/>
    <e v="#REF!"/>
    <e v="#REF!"/>
  </r>
  <r>
    <s v="606110"/>
    <x v="6"/>
    <s v="ACHATS - Eau"/>
    <s v="AC"/>
    <n v="15.89"/>
    <d v="2025-03-31T00:00:00"/>
    <s v="FONTAINES À EAU - ROUSSILLON"/>
    <m/>
    <e v="#N/A"/>
    <e v="#N/A"/>
    <n v="67950"/>
    <s v="31/05604529"/>
    <s v="CHATEAUDEAU"/>
    <s v="Q1"/>
    <e v="#REF!"/>
    <e v="#REF!"/>
    <e v="#REF!"/>
  </r>
  <r>
    <s v="606110"/>
    <x v="6"/>
    <s v="ACHATS - Eau"/>
    <s v="AC"/>
    <n v="15.89"/>
    <d v="2025-05-30T00:00:00"/>
    <s v="LIVRAISON EAU ROUSSILLON"/>
    <m/>
    <e v="#N/A"/>
    <e v="#N/A"/>
    <n v="75988"/>
    <s v="31/05634007"/>
    <s v="CHATEAUDEAU"/>
    <s v="Q2"/>
    <e v="#REF!"/>
    <e v="#REF!"/>
    <e v="#REF!"/>
  </r>
  <r>
    <s v="606110"/>
    <x v="6"/>
    <s v="ACHATS - Eau"/>
    <s v="AC"/>
    <n v="15.89"/>
    <d v="2025-06-30T00:00:00"/>
    <s v="PAIEMENT DE LA FACTURE DE JUIN (LIVRAISON FONTAINE À EAU)"/>
    <m/>
    <e v="#N/A"/>
    <e v="#N/A"/>
    <n v="82172"/>
    <s v="31/05651466"/>
    <s v="CHATEAUDEAU"/>
    <s v="Q2"/>
    <e v="#REF!"/>
    <e v="#REF!"/>
    <e v="#REF!"/>
  </r>
  <r>
    <s v="606110"/>
    <x v="6"/>
    <s v="ACHATS - Eau"/>
    <s v="AC"/>
    <n v="15.89"/>
    <d v="2025-08-29T00:00:00"/>
    <s v="LIVRAISON EAU ROUSSILLON"/>
    <m/>
    <e v="#N/A"/>
    <e v="#N/A"/>
    <n v="82718"/>
    <s v="3105680616"/>
    <s v="CHATEAUDEAU"/>
    <s v="Q3"/>
    <e v="#REF!"/>
    <e v="#REF!"/>
    <e v="#REF!"/>
  </r>
  <r>
    <s v="606110"/>
    <x v="6"/>
    <s v="ACHATS - Eau"/>
    <s v="AC"/>
    <n v="15.89"/>
    <d v="2025-09-30T00:00:00"/>
    <s v="LIVRAISON EAU SUR SITE ROUSSILLON"/>
    <m/>
    <e v="#N/A"/>
    <e v="#N/A"/>
    <n v="87065"/>
    <s v="31/05697643"/>
    <s v="CHATEAUDEAU"/>
    <s v="Q3"/>
    <e v="#REF!"/>
    <e v="#REF!"/>
    <e v="#REF!"/>
  </r>
  <r>
    <s v="606110"/>
    <x v="6"/>
    <s v="ACHATS - Eau"/>
    <s v="AC"/>
    <n v="26.4"/>
    <d v="2025-01-01T00:00:00"/>
    <s v="EAU LYON 2024"/>
    <m/>
    <e v="#N/A"/>
    <e v="#N/A"/>
    <n v="71260"/>
    <s v="1008829596"/>
    <s v="EAU DU GRAND LYON"/>
    <s v="Q1"/>
    <e v="#REF!"/>
    <e v="#REF!"/>
    <e v="#REF!"/>
  </r>
  <r>
    <s v="606110"/>
    <x v="6"/>
    <s v="ACHATS - Eau"/>
    <s v="AC"/>
    <n v="27.06"/>
    <d v="2025-05-16T00:00:00"/>
    <s v="EAU ET ASSAINISSEMENT"/>
    <m/>
    <e v="#N/A"/>
    <e v="#N/A"/>
    <n v="78360"/>
    <s v="2"/>
    <s v="EAU DU GRAND LYON"/>
    <s v="Q2"/>
    <e v="#REF!"/>
    <e v="#REF!"/>
    <e v="#REF!"/>
  </r>
  <r>
    <s v="606110"/>
    <x v="6"/>
    <s v="ACHATS - Eau"/>
    <s v="AC"/>
    <n v="46.75"/>
    <d v="2025-03-31T00:00:00"/>
    <s v="FONTAINES À EAU - ROUSSILLON"/>
    <m/>
    <e v="#N/A"/>
    <e v="#N/A"/>
    <n v="67949"/>
    <s v="31/05604529"/>
    <s v="CHATEAUDEAU"/>
    <s v="Q1"/>
    <e v="#REF!"/>
    <e v="#REF!"/>
    <e v="#REF!"/>
  </r>
  <r>
    <s v="606110"/>
    <x v="6"/>
    <s v="ACHATS - Eau"/>
    <s v="AC"/>
    <n v="46.75"/>
    <d v="2025-05-30T00:00:00"/>
    <s v="LIVRAISON EAU ROUSSILLON"/>
    <m/>
    <e v="#N/A"/>
    <e v="#N/A"/>
    <n v="75989"/>
    <s v="31/05634007"/>
    <s v="CHATEAUDEAU"/>
    <s v="Q2"/>
    <e v="#REF!"/>
    <e v="#REF!"/>
    <e v="#REF!"/>
  </r>
  <r>
    <s v="606110"/>
    <x v="6"/>
    <s v="ACHATS - Eau"/>
    <s v="AC"/>
    <n v="56.1"/>
    <d v="2025-08-29T00:00:00"/>
    <s v="LIVRAISON EAU ROUSSILLON"/>
    <m/>
    <e v="#N/A"/>
    <e v="#N/A"/>
    <n v="82719"/>
    <s v="3105680616"/>
    <s v="CHATEAUDEAU"/>
    <s v="Q3"/>
    <e v="#REF!"/>
    <e v="#REF!"/>
    <e v="#REF!"/>
  </r>
  <r>
    <s v="606110"/>
    <x v="6"/>
    <s v="ACHATS - Eau"/>
    <s v="AC"/>
    <n v="62.64"/>
    <d v="2025-04-30T00:00:00"/>
    <s v="EAU LIVRÉE AUX ALGÉCOS ROUSSILLON"/>
    <m/>
    <e v="#N/A"/>
    <e v="#N/A"/>
    <n v="73745"/>
    <s v="3105619632"/>
    <s v="CHATEAUDEAU"/>
    <s v="Q2"/>
    <e v="#REF!"/>
    <e v="#REF!"/>
    <e v="#REF!"/>
  </r>
  <r>
    <s v="606110"/>
    <x v="6"/>
    <s v="ACHATS - Eau"/>
    <s v="AC"/>
    <n v="65.45"/>
    <d v="2025-06-30T00:00:00"/>
    <s v="PAIEMENT DE LA FACTURE DE JUIN (LIVRAISON FONTAINE À EAU)"/>
    <m/>
    <e v="#N/A"/>
    <e v="#N/A"/>
    <n v="82173"/>
    <s v="31/05651466"/>
    <s v="CHATEAUDEAU"/>
    <s v="Q2"/>
    <e v="#REF!"/>
    <e v="#REF!"/>
    <e v="#REF!"/>
  </r>
  <r>
    <s v="606110"/>
    <x v="6"/>
    <s v="ACHATS - Eau"/>
    <s v="AC"/>
    <n v="65.45"/>
    <d v="2025-09-30T00:00:00"/>
    <s v="LIVRAISON EAU SUR SITE ROUSSILLON"/>
    <m/>
    <e v="#N/A"/>
    <e v="#N/A"/>
    <n v="87066"/>
    <s v="31/05697643"/>
    <s v="CHATEAUDEAU"/>
    <s v="Q3"/>
    <e v="#REF!"/>
    <e v="#REF!"/>
    <e v="#REF!"/>
  </r>
  <r>
    <s v="606110"/>
    <x v="6"/>
    <s v="ACHATS - Eau"/>
    <s v="AC"/>
    <n v="74.8"/>
    <d v="2025-02-28T00:00:00"/>
    <s v="D'EAU LOYER MIDEA"/>
    <m/>
    <e v="#N/A"/>
    <e v="#N/A"/>
    <n v="67816"/>
    <s v="31/05587274"/>
    <s v="CHATEAUDEAU"/>
    <s v="Q1"/>
    <e v="#REF!"/>
    <e v="#REF!"/>
    <e v="#REF!"/>
  </r>
  <r>
    <s v="606110"/>
    <x v="6"/>
    <s v="ACHATS - Eau"/>
    <s v="AC"/>
    <n v="92.54"/>
    <d v="2025-02-22T00:00:00"/>
    <s v="FACTURE RÉCEPTION RÉCURRENTE D'EAU - SITE ROUSSILLON"/>
    <m/>
    <e v="#N/A"/>
    <e v="#N/A"/>
    <n v="61550"/>
    <s v="151"/>
    <s v="CHATEAUDEAU"/>
    <s v="Q1"/>
    <e v="#REF!"/>
    <e v="#REF!"/>
    <e v="#REF!"/>
  </r>
  <r>
    <s v="606120"/>
    <x v="6"/>
    <s v="ACHATS - Air liquide"/>
    <s v="AC"/>
    <n v="37.22"/>
    <d v="2025-12-31T00:00:00"/>
    <s v="LOCATION BOUTEILLE GAZ SPÉCIAUX SMART"/>
    <m/>
    <e v="#N/A"/>
    <e v="#N/A"/>
    <n v="94299"/>
    <s v="5801116529"/>
    <s v="AIR LIQUIDE"/>
    <s v="Q4"/>
    <e v="#REF!"/>
    <e v="#REF!"/>
    <e v="#REF!"/>
  </r>
  <r>
    <s v="606120"/>
    <x v="6"/>
    <s v="ACHATS - Air liquide"/>
    <s v="AC"/>
    <n v="55.83"/>
    <d v="2025-10-31T00:00:00"/>
    <s v="LOCATION BOUTEILLE GAZ SPÉCIAUX SMART"/>
    <m/>
    <e v="#N/A"/>
    <e v="#N/A"/>
    <n v="89663"/>
    <s v="5800971725"/>
    <s v="AIR LIQUIDE"/>
    <s v="Q4"/>
    <e v="#REF!"/>
    <e v="#REF!"/>
    <e v="#REF!"/>
  </r>
  <r>
    <s v="606120"/>
    <x v="6"/>
    <s v="ACHATS - Air liquide"/>
    <s v="AC"/>
    <n v="73.84"/>
    <d v="2025-02-28T00:00:00"/>
    <s v="ALPHAGAZ 1 AZOTE BOUTEILLE SMARTOP 50L 200 BA"/>
    <m/>
    <e v="#N/A"/>
    <e v="#N/A"/>
    <n v="87005"/>
    <s v="5800405584"/>
    <s v="AIR LIQUIDE"/>
    <s v="Q1"/>
    <e v="#REF!"/>
    <e v="#REF!"/>
    <e v="#REF!"/>
  </r>
  <r>
    <s v="606120"/>
    <x v="6"/>
    <s v="ACHATS - Air liquide"/>
    <s v="AC"/>
    <n v="74.42"/>
    <d v="2025-12-31T00:00:00"/>
    <s v="LOCATION BOUTEILLE GAZ SPÉCIAUX SMART"/>
    <m/>
    <e v="#N/A"/>
    <e v="#N/A"/>
    <n v="94302"/>
    <s v="5801121469"/>
    <s v="AIR LIQUIDE"/>
    <s v="Q4"/>
    <e v="#REF!"/>
    <e v="#REF!"/>
    <e v="#REF!"/>
  </r>
  <r>
    <s v="606120"/>
    <x v="6"/>
    <s v="ACHATS - Air liquide"/>
    <s v="AC"/>
    <n v="94.38"/>
    <d v="2025-01-31T00:00:00"/>
    <s v="LOCATION BOUTEILLE GAZ SPÉCIAUX SMART"/>
    <m/>
    <e v="#N/A"/>
    <e v="#N/A"/>
    <n v="86999"/>
    <s v="5800327193"/>
    <s v="AIR LIQUIDE"/>
    <s v="Q1"/>
    <e v="#REF!"/>
    <e v="#REF!"/>
    <e v="#REF!"/>
  </r>
  <r>
    <s v="606120"/>
    <x v="6"/>
    <s v="ACHATS - Air liquide"/>
    <s v="AC"/>
    <n v="94.38"/>
    <d v="2025-02-28T00:00:00"/>
    <s v="LOCATION BOUTEILLE GAZ SPÉCIAUX SMART"/>
    <m/>
    <e v="#N/A"/>
    <e v="#N/A"/>
    <n v="87011"/>
    <s v="5800405617"/>
    <s v="AIR LIQUIDE"/>
    <s v="Q1"/>
    <e v="#REF!"/>
    <e v="#REF!"/>
    <e v="#REF!"/>
  </r>
  <r>
    <s v="606120"/>
    <x v="6"/>
    <s v="ACHATS - Air liquide"/>
    <s v="AC"/>
    <n v="94.38"/>
    <d v="2025-03-31T00:00:00"/>
    <s v="MMOBILISATION BOUTEILLE GAZ SPÉCIAUX SMART"/>
    <m/>
    <e v="#N/A"/>
    <e v="#N/A"/>
    <n v="67909"/>
    <s v="5800479141"/>
    <s v="AIR LIQUIDE"/>
    <s v="Q1"/>
    <e v="#REF!"/>
    <e v="#REF!"/>
    <e v="#REF!"/>
  </r>
  <r>
    <s v="606120"/>
    <x v="6"/>
    <s v="ACHATS - Air liquide"/>
    <s v="AC"/>
    <n v="94.38"/>
    <d v="2025-04-30T00:00:00"/>
    <s v="IMMOBILISATION BOUTEILLE GAZ SPÉCIAUX SMART LOCATION BOUTEILLE GAZ SPÉCIAUX SMART"/>
    <m/>
    <e v="#N/A"/>
    <e v="#N/A"/>
    <n v="72643"/>
    <s v="5800552847"/>
    <s v="AIR LIQUIDE"/>
    <s v="Q2"/>
    <e v="#REF!"/>
    <e v="#REF!"/>
    <e v="#REF!"/>
  </r>
  <r>
    <s v="606120"/>
    <x v="6"/>
    <s v="ACHATS - Air liquide"/>
    <s v="AC"/>
    <n v="116.24"/>
    <d v="2025-01-31T00:00:00"/>
    <s v="LIVRAISON INCLUSE JUSQU'À 8 EMBALLAGES"/>
    <m/>
    <e v="#N/A"/>
    <e v="#N/A"/>
    <n v="87002"/>
    <s v="5800327175"/>
    <s v="AIR LIQUIDE"/>
    <s v="Q1"/>
    <e v="#REF!"/>
    <e v="#REF!"/>
    <e v="#REF!"/>
  </r>
  <r>
    <s v="606120"/>
    <x v="6"/>
    <s v="ACHATS - Air liquide"/>
    <s v="AC"/>
    <n v="116.24"/>
    <d v="2025-06-30T00:00:00"/>
    <s v="LIVRAISON INCLUSE JUSQU'À 8 EMBALLAGES PRE FIXE BT RÉGLEMENTATIONS-ENVIRONNEMENT"/>
    <m/>
    <e v="#N/A"/>
    <e v="#N/A"/>
    <n v="78398"/>
    <s v="5800692943"/>
    <s v="AIR LIQUIDE"/>
    <s v="Q2"/>
    <e v="#REF!"/>
    <e v="#REF!"/>
    <e v="#REF!"/>
  </r>
  <r>
    <s v="606120"/>
    <x v="6"/>
    <s v="ACHATS - Air liquide"/>
    <s v="AC"/>
    <n v="116.24"/>
    <d v="2025-07-31T00:00:00"/>
    <s v="IMMOBILISATION BOUTEILLE GAZ SPÉCIAUX SMART"/>
    <m/>
    <e v="#N/A"/>
    <e v="#N/A"/>
    <n v="80663"/>
    <s v="5800760438"/>
    <s v="AIR LIQUIDE"/>
    <s v="Q3"/>
    <e v="#REF!"/>
    <e v="#REF!"/>
    <e v="#REF!"/>
  </r>
  <r>
    <s v="606120"/>
    <x v="6"/>
    <s v="ACHATS - Air liquide"/>
    <s v="AC"/>
    <n v="138.44"/>
    <d v="2025-01-01T00:00:00"/>
    <s v="LOCATION BOUTEILLE GAZ SPÉCIAUX SMART"/>
    <m/>
    <e v="#N/A"/>
    <e v="#N/A"/>
    <n v="86990"/>
    <s v="5800263688"/>
    <s v="AIR LIQUIDE"/>
    <s v="Q1"/>
    <e v="#REF!"/>
    <e v="#REF!"/>
    <e v="#REF!"/>
  </r>
  <r>
    <s v="606120"/>
    <x v="6"/>
    <s v="ACHATS - Air liquide"/>
    <s v="AC"/>
    <n v="148.84"/>
    <d v="2025-02-28T00:00:00"/>
    <s v="BOUTEILLE GAZ SPÉCIAUX"/>
    <m/>
    <e v="#N/A"/>
    <e v="#N/A"/>
    <n v="76185"/>
    <s v="5800408744"/>
    <s v="AIR LIQUIDE"/>
    <s v="Q1"/>
    <e v="#REF!"/>
    <e v="#REF!"/>
    <e v="#REF!"/>
  </r>
  <r>
    <s v="606120"/>
    <x v="6"/>
    <s v="ACHATS - Air liquide"/>
    <s v="AC"/>
    <n v="148.84"/>
    <d v="2025-04-30T00:00:00"/>
    <s v="IMMOBILISATION BOUTEILLE GAZ SPÉCIAUX  LOCATION BOUTEILLE GAZ SPÉCIAUX"/>
    <m/>
    <e v="#N/A"/>
    <e v="#N/A"/>
    <n v="72637"/>
    <s v="5800549781"/>
    <s v="AIR LIQUIDE"/>
    <s v="Q2"/>
    <e v="#REF!"/>
    <e v="#REF!"/>
    <e v="#REF!"/>
  </r>
  <r>
    <s v="606120"/>
    <x v="6"/>
    <s v="ACHATS - Air liquide"/>
    <s v="AC"/>
    <n v="148.84"/>
    <d v="2025-06-30T00:00:00"/>
    <s v="LOCATION BOUTEILLE GAZ SPÉCIAUX SMART"/>
    <m/>
    <e v="#N/A"/>
    <e v="#N/A"/>
    <n v="78392"/>
    <s v="5800692163"/>
    <s v="AIR LIQUIDE"/>
    <s v="Q2"/>
    <e v="#REF!"/>
    <e v="#REF!"/>
    <e v="#REF!"/>
  </r>
  <r>
    <s v="606120"/>
    <x v="6"/>
    <s v="ACHATS - Air liquide"/>
    <s v="AC"/>
    <n v="148.84"/>
    <d v="2025-08-31T00:00:00"/>
    <s v="LOCATION BOUTEILLE GAZ SPÉCIAUX SMART"/>
    <m/>
    <e v="#N/A"/>
    <e v="#N/A"/>
    <n v="81882"/>
    <s v="5800831067"/>
    <s v="AIR LIQUIDE"/>
    <s v="Q3"/>
    <e v="#REF!"/>
    <e v="#REF!"/>
    <e v="#REF!"/>
  </r>
  <r>
    <s v="606120"/>
    <x v="6"/>
    <s v="ACHATS - Air liquide"/>
    <s v="AC"/>
    <n v="148.84"/>
    <d v="2025-11-30T00:00:00"/>
    <s v="LOCATION BOUTEILLE GAZ SPÉCIAUX SMART"/>
    <m/>
    <e v="#N/A"/>
    <e v="#N/A"/>
    <n v="94947"/>
    <s v="5801057271"/>
    <s v="AIR LIQUIDE"/>
    <s v="Q4"/>
    <e v="#REF!"/>
    <e v="#REF!"/>
    <e v="#REF!"/>
  </r>
  <r>
    <s v="606120"/>
    <x v="6"/>
    <s v="ACHATS - Air liquide"/>
    <s v="AC"/>
    <n v="151.55000000000001"/>
    <d v="2025-06-30T00:00:00"/>
    <s v="IMMOBILISATION BOUTEILLE GAZ SPÉCIAUX LOCATION BOUTEILLE GAZ SPÉCIAUX"/>
    <m/>
    <e v="#N/A"/>
    <e v="#N/A"/>
    <n v="78413"/>
    <s v="5800692918"/>
    <s v="AIR LIQUIDE"/>
    <s v="Q2"/>
    <e v="#REF!"/>
    <e v="#REF!"/>
    <e v="#REF!"/>
  </r>
  <r>
    <s v="606120"/>
    <x v="6"/>
    <s v="ACHATS - Air liquide"/>
    <s v="AC"/>
    <n v="175.58"/>
    <d v="2025-01-01T00:00:00"/>
    <s v="BOUTEILLE GAZ SPÉCIAUX"/>
    <m/>
    <e v="#N/A"/>
    <e v="#N/A"/>
    <n v="76173"/>
    <s v="5800265918"/>
    <s v="AIR LIQUIDE"/>
    <s v="Q1"/>
    <e v="#REF!"/>
    <e v="#REF!"/>
    <e v="#REF!"/>
  </r>
  <r>
    <s v="606120"/>
    <x v="6"/>
    <s v="ACHATS - Air liquide"/>
    <s v="AC"/>
    <n v="190.08"/>
    <d v="2025-02-28T00:00:00"/>
    <s v="ALPHAGAZ 1 AZOTE BOUTEILLE SMARTOP 50L 200 BAR"/>
    <m/>
    <e v="#N/A"/>
    <e v="#N/A"/>
    <n v="87008"/>
    <s v="5800405597"/>
    <s v="AIR LIQUIDE"/>
    <s v="Q1"/>
    <e v="#REF!"/>
    <e v="#REF!"/>
    <e v="#REF!"/>
  </r>
  <r>
    <s v="606120"/>
    <x v="6"/>
    <s v="ACHATS - Air liquide"/>
    <s v="AC"/>
    <n v="190.08"/>
    <d v="2025-03-31T00:00:00"/>
    <s v="ALPHAGAZ 1 AZOTE BOUTEILLE SMARTOP 50L 200 BAR"/>
    <m/>
    <e v="#N/A"/>
    <e v="#N/A"/>
    <n v="67924"/>
    <s v="5800479122"/>
    <s v="AIR LIQUIDE"/>
    <s v="Q1"/>
    <e v="#REF!"/>
    <e v="#REF!"/>
    <e v="#REF!"/>
  </r>
  <r>
    <s v="606120"/>
    <x v="6"/>
    <s v="ACHATS - Air liquide"/>
    <s v="AC"/>
    <n v="190.08"/>
    <d v="2025-03-31T00:00:00"/>
    <s v="ALPHAGAZ 1 AZOTE BOUTEILLE SMARTOP 50L 200 BAR"/>
    <m/>
    <e v="#N/A"/>
    <e v="#N/A"/>
    <n v="87020"/>
    <s v="5800479131"/>
    <s v="AIR LIQUIDE"/>
    <s v="Q1"/>
    <e v="#REF!"/>
    <e v="#REF!"/>
    <e v="#REF!"/>
  </r>
  <r>
    <s v="606120"/>
    <x v="6"/>
    <s v="ACHATS - Air liquide"/>
    <s v="AC"/>
    <n v="190.08"/>
    <d v="2025-04-30T00:00:00"/>
    <s v="ALPHAGAZ 1 AZOTE BOUTEILLE SMARTOP 50L 200 BAR LIVRAISON INCLUSE JUSQU'À 8 EMBALLAGES"/>
    <m/>
    <e v="#N/A"/>
    <e v="#N/A"/>
    <n v="72659"/>
    <s v="5800552826"/>
    <s v="AIR LIQUIDE"/>
    <s v="Q2"/>
    <e v="#REF!"/>
    <e v="#REF!"/>
    <e v="#REF!"/>
  </r>
  <r>
    <s v="606120"/>
    <x v="6"/>
    <s v="ACHATS - Air liquide"/>
    <s v="AC"/>
    <n v="263.92"/>
    <d v="2025-01-31T00:00:00"/>
    <s v="ALPHAGAZ 1 AZOTE BOUTEILLE SMARTOP 50L 200 BAR"/>
    <m/>
    <e v="#N/A"/>
    <e v="#N/A"/>
    <n v="86993"/>
    <s v="5800327183"/>
    <s v="AIR LIQUIDE"/>
    <s v="Q1"/>
    <e v="#REF!"/>
    <e v="#REF!"/>
    <e v="#REF!"/>
  </r>
  <r>
    <s v="606120"/>
    <x v="6"/>
    <s v="ACHATS - Air liquide"/>
    <s v="AC"/>
    <n v="342.68"/>
    <d v="2025-01-31T00:00:00"/>
    <s v="ALPHAGAZ AUTO IV AIR BOUTEILLE SMARTOP 50L 200 BAR"/>
    <m/>
    <e v="#N/A"/>
    <e v="#N/A"/>
    <n v="86996"/>
    <s v="5800327157"/>
    <s v="AIR LIQUIDE"/>
    <s v="Q1"/>
    <e v="#REF!"/>
    <e v="#REF!"/>
    <e v="#REF!"/>
  </r>
  <r>
    <s v="606120"/>
    <x v="6"/>
    <s v="ACHATS - Air liquide"/>
    <s v="AC"/>
    <n v="882.76"/>
    <d v="2025-01-28T00:00:00"/>
    <s v="RACCORD INOX DÉTENDEUR"/>
    <m/>
    <e v="#N/A"/>
    <e v="#N/A"/>
    <n v="76179"/>
    <s v="5800302424"/>
    <s v="AIR LIQUIDE"/>
    <s v="Q1"/>
    <e v="#REF!"/>
    <e v="#REF!"/>
    <e v="#REF!"/>
  </r>
  <r>
    <s v="606120"/>
    <x v="6"/>
    <s v="ACHATS - Air liquide"/>
    <s v="AC"/>
    <n v="1010.56"/>
    <d v="2025-09-30T00:00:00"/>
    <s v="LIVRAISON DE DEUX BOUTEILLES DE GAZ HÉLIUM ENLÈVEMENT DE DEUX BOUTEILLES DE GAZ"/>
    <m/>
    <e v="#N/A"/>
    <e v="#N/A"/>
    <n v="82779"/>
    <s v="5800906723"/>
    <s v="AIR LIQUIDE"/>
    <s v="Q3"/>
    <e v="#REF!"/>
    <e v="#REF!"/>
    <e v="#REF!"/>
  </r>
  <r>
    <s v="606120"/>
    <x v="6"/>
    <s v="ACHATS - Air liquide"/>
    <s v="OD"/>
    <n v="608.58000000000004"/>
    <d v="2025-01-31T00:00:00"/>
    <s v="AIRLIQUIDE DECEMBRE"/>
    <m/>
    <e v="#N/A"/>
    <e v="#N/A"/>
    <n v="87144"/>
    <m/>
    <s v="AIR LIQUIDE"/>
    <s v="Q1"/>
    <e v="#REF!"/>
    <e v="#REF!"/>
    <e v="#REF!"/>
  </r>
  <r>
    <s v="606130"/>
    <x v="6"/>
    <s v="ACHATS - Electricité"/>
    <s v="AC"/>
    <n v="3.48"/>
    <d v="2025-04-01T00:00:00"/>
    <s v="Solde Engie"/>
    <m/>
    <e v="#N/A"/>
    <e v="#N/A"/>
    <n v="74973"/>
    <m/>
    <s v="ENGIE"/>
    <s v="Q2"/>
    <e v="#REF!"/>
    <e v="#REF!"/>
    <e v="#REF!"/>
  </r>
  <r>
    <s v="606130"/>
    <x v="6"/>
    <s v="ACHATS - Electricité"/>
    <s v="AC"/>
    <n v="3.58"/>
    <d v="2025-09-01T00:00:00"/>
    <s v="ELECTRICITÉ KB - 6E - AOUT25"/>
    <m/>
    <e v="#N/A"/>
    <e v="#N/A"/>
    <n v="81891"/>
    <s v="120010018682"/>
    <s v="ENGIE"/>
    <s v="Q3"/>
    <e v="#REF!"/>
    <e v="#REF!"/>
    <e v="#REF!"/>
  </r>
  <r>
    <s v="606130"/>
    <x v="6"/>
    <s v="ACHATS - Electricité"/>
    <s v="AC"/>
    <n v="4.24"/>
    <d v="2025-07-21T00:00:00"/>
    <s v="GAZ LYON"/>
    <m/>
    <e v="#N/A"/>
    <e v="#N/A"/>
    <n v="87030"/>
    <s v="320008109274"/>
    <s v="ENGIE"/>
    <s v="Q3"/>
    <e v="#REF!"/>
    <e v="#REF!"/>
    <e v="#REF!"/>
  </r>
  <r>
    <s v="606130"/>
    <x v="6"/>
    <s v="ACHATS - Electricité"/>
    <s v="AC"/>
    <n v="5.39"/>
    <d v="2025-09-01T00:00:00"/>
    <s v="ELECTRICITÉ KB - 7E - AOUT25"/>
    <m/>
    <e v="#N/A"/>
    <e v="#N/A"/>
    <n v="81886"/>
    <s v="120010018681"/>
    <s v="ENGIE"/>
    <s v="Q3"/>
    <e v="#REF!"/>
    <e v="#REF!"/>
    <e v="#REF!"/>
  </r>
  <r>
    <s v="606130"/>
    <x v="6"/>
    <s v="ACHATS - Electricité"/>
    <s v="AC"/>
    <n v="7.66"/>
    <d v="2025-08-21T00:00:00"/>
    <s v="GAZ LYON"/>
    <m/>
    <e v="#N/A"/>
    <e v="#N/A"/>
    <n v="87043"/>
    <s v="820000567975"/>
    <s v="ENGIE"/>
    <s v="Q3"/>
    <e v="#REF!"/>
    <e v="#REF!"/>
    <e v="#REF!"/>
  </r>
  <r>
    <s v="606130"/>
    <x v="6"/>
    <s v="ACHATS - Electricité"/>
    <s v="AC"/>
    <n v="8.09"/>
    <d v="2025-07-23T00:00:00"/>
    <s v="ELECTRICITÉ LYON"/>
    <m/>
    <e v="#N/A"/>
    <e v="#N/A"/>
    <n v="87035"/>
    <s v="420007162957"/>
    <s v="ENGIE"/>
    <s v="Q3"/>
    <e v="#REF!"/>
    <e v="#REF!"/>
    <e v="#REF!"/>
  </r>
  <r>
    <s v="606130"/>
    <x v="6"/>
    <s v="ACHATS - Electricité"/>
    <s v="AC"/>
    <n v="8.14"/>
    <d v="2025-05-23T00:00:00"/>
    <s v="ELECTRICITÉ LYON"/>
    <m/>
    <e v="#N/A"/>
    <e v="#N/A"/>
    <n v="78765"/>
    <s v="850005168540"/>
    <s v="ENGIE"/>
    <s v="Q2"/>
    <e v="#REF!"/>
    <e v="#REF!"/>
    <e v="#REF!"/>
  </r>
  <r>
    <s v="606130"/>
    <x v="6"/>
    <s v="ACHATS - Electricité"/>
    <s v="AC"/>
    <n v="8.6"/>
    <d v="2025-06-21T00:00:00"/>
    <s v="GAZ LYON"/>
    <m/>
    <e v="#N/A"/>
    <e v="#N/A"/>
    <n v="78370"/>
    <s v="5"/>
    <s v="ENGIE"/>
    <s v="Q2"/>
    <e v="#REF!"/>
    <e v="#REF!"/>
    <e v="#REF!"/>
  </r>
  <r>
    <s v="606130"/>
    <x v="6"/>
    <s v="ACHATS - Electricité"/>
    <s v="AC"/>
    <n v="8.93"/>
    <d v="2025-06-23T00:00:00"/>
    <s v="ELECTRICITÉ LYON"/>
    <m/>
    <e v="#N/A"/>
    <e v="#N/A"/>
    <n v="78375"/>
    <s v="6"/>
    <s v="ENGIE"/>
    <s v="Q2"/>
    <e v="#REF!"/>
    <e v="#REF!"/>
    <e v="#REF!"/>
  </r>
  <r>
    <s v="606130"/>
    <x v="6"/>
    <s v="ACHATS - Electricité"/>
    <s v="AC"/>
    <n v="9.81"/>
    <d v="2025-08-23T00:00:00"/>
    <s v="ÉLECTRICITÉ LYON"/>
    <m/>
    <e v="#N/A"/>
    <e v="#N/A"/>
    <n v="81875"/>
    <s v="620000906597"/>
    <s v="ENGIE"/>
    <s v="Q3"/>
    <e v="#REF!"/>
    <e v="#REF!"/>
    <e v="#REF!"/>
  </r>
  <r>
    <s v="606130"/>
    <x v="6"/>
    <s v="ACHATS - Electricité"/>
    <s v="AC"/>
    <n v="10.93"/>
    <d v="2025-02-24T00:00:00"/>
    <s v="ELECTRICITÉ LYON"/>
    <m/>
    <e v="#N/A"/>
    <e v="#N/A"/>
    <n v="73702"/>
    <s v="9,80E+11"/>
    <s v="ENGIE"/>
    <s v="Q1"/>
    <e v="#REF!"/>
    <e v="#REF!"/>
    <e v="#REF!"/>
  </r>
  <r>
    <s v="606130"/>
    <x v="6"/>
    <s v="ACHATS - Electricité"/>
    <s v="AC"/>
    <n v="11.54"/>
    <d v="2025-04-23T00:00:00"/>
    <s v="ELECTRICITÉ LYON"/>
    <m/>
    <e v="#N/A"/>
    <e v="#N/A"/>
    <n v="78743"/>
    <s v="720000560953"/>
    <s v="ENGIE"/>
    <s v="Q2"/>
    <e v="#REF!"/>
    <e v="#REF!"/>
    <e v="#REF!"/>
  </r>
  <r>
    <s v="606130"/>
    <x v="6"/>
    <s v="ACHATS - Electricité"/>
    <s v="AC"/>
    <n v="12.36"/>
    <d v="2025-02-03T00:00:00"/>
    <s v="ELECTRICITÉ KB - 6E - JAN25"/>
    <m/>
    <e v="#N/A"/>
    <e v="#N/A"/>
    <n v="73663"/>
    <s v="5,20E+11"/>
    <s v="ENGIE"/>
    <s v="Q1"/>
    <e v="#REF!"/>
    <e v="#REF!"/>
    <e v="#REF!"/>
  </r>
  <r>
    <s v="606130"/>
    <x v="6"/>
    <s v="ACHATS - Electricité"/>
    <s v="AC"/>
    <n v="13.1"/>
    <d v="2025-01-23T00:00:00"/>
    <s v="ELECTRICITÉ LYON 202501"/>
    <m/>
    <e v="#N/A"/>
    <e v="#N/A"/>
    <n v="73633"/>
    <s v="3,20E+11"/>
    <s v="ENGIE"/>
    <s v="Q1"/>
    <e v="#REF!"/>
    <e v="#REF!"/>
    <e v="#REF!"/>
  </r>
  <r>
    <s v="606130"/>
    <x v="6"/>
    <s v="ACHATS - Electricité"/>
    <s v="AC"/>
    <n v="14.93"/>
    <d v="2025-03-24T00:00:00"/>
    <s v="ELECTRICITE LYON"/>
    <m/>
    <e v="#N/A"/>
    <e v="#N/A"/>
    <n v="72571"/>
    <s v="8,20E+11"/>
    <s v="ENGIE"/>
    <s v="Q1"/>
    <e v="#REF!"/>
    <e v="#REF!"/>
    <e v="#REF!"/>
  </r>
  <r>
    <s v="606130"/>
    <x v="6"/>
    <s v="ACHATS - Electricité"/>
    <s v="AC"/>
    <n v="16.23"/>
    <d v="2025-03-21T00:00:00"/>
    <s v="ELECTRICITE LYON"/>
    <m/>
    <e v="#N/A"/>
    <e v="#N/A"/>
    <n v="72566"/>
    <s v="5,20E+11"/>
    <s v="ENGIE"/>
    <s v="Q1"/>
    <e v="#REF!"/>
    <e v="#REF!"/>
    <e v="#REF!"/>
  </r>
  <r>
    <s v="606130"/>
    <x v="6"/>
    <s v="ACHATS - Electricité"/>
    <s v="AC"/>
    <n v="16.39"/>
    <d v="2025-08-21T00:00:00"/>
    <s v="GAZ LYON"/>
    <m/>
    <e v="#N/A"/>
    <e v="#N/A"/>
    <n v="87044"/>
    <s v="820000567975"/>
    <s v="ENGIE"/>
    <s v="Q3"/>
    <e v="#REF!"/>
    <e v="#REF!"/>
    <e v="#REF!"/>
  </r>
  <r>
    <s v="606130"/>
    <x v="6"/>
    <s v="ACHATS - Electricité"/>
    <s v="AC"/>
    <n v="17.39"/>
    <d v="2025-04-21T00:00:00"/>
    <s v="GAZ LYON"/>
    <m/>
    <e v="#N/A"/>
    <e v="#N/A"/>
    <n v="78738"/>
    <s v="980005285371"/>
    <s v="ENGIE"/>
    <s v="Q2"/>
    <e v="#REF!"/>
    <e v="#REF!"/>
    <e v="#REF!"/>
  </r>
  <r>
    <s v="606130"/>
    <x v="6"/>
    <s v="ACHATS - Electricité"/>
    <s v="AC"/>
    <n v="17.559999999999999"/>
    <d v="2025-07-21T00:00:00"/>
    <s v="GAZ LYON"/>
    <m/>
    <e v="#N/A"/>
    <e v="#N/A"/>
    <n v="87031"/>
    <s v="320008109274"/>
    <s v="ENGIE"/>
    <s v="Q3"/>
    <e v="#REF!"/>
    <e v="#REF!"/>
    <e v="#REF!"/>
  </r>
  <r>
    <s v="606130"/>
    <x v="6"/>
    <s v="ACHATS - Electricité"/>
    <s v="AC"/>
    <n v="17.96"/>
    <d v="2025-01-20T00:00:00"/>
    <s v="ELECTRICITE LYON"/>
    <m/>
    <e v="#N/A"/>
    <e v="#N/A"/>
    <n v="72521"/>
    <s v="4,20E+11"/>
    <s v="ENGIE"/>
    <s v="Q1"/>
    <e v="#REF!"/>
    <e v="#REF!"/>
    <e v="#REF!"/>
  </r>
  <r>
    <s v="606130"/>
    <x v="6"/>
    <s v="ACHATS - Electricité"/>
    <s v="AC"/>
    <n v="17.96"/>
    <d v="2025-02-21T00:00:00"/>
    <s v="ELECTRICITÉ LYON"/>
    <m/>
    <e v="#N/A"/>
    <e v="#N/A"/>
    <n v="73694"/>
    <s v="4,20E+11"/>
    <s v="ENGIE"/>
    <s v="Q1"/>
    <e v="#REF!"/>
    <e v="#REF!"/>
    <e v="#REF!"/>
  </r>
  <r>
    <s v="606130"/>
    <x v="6"/>
    <s v="ACHATS - Electricité"/>
    <s v="AC"/>
    <n v="17.96"/>
    <d v="2025-05-21T00:00:00"/>
    <s v="GAZ LYON"/>
    <m/>
    <e v="#N/A"/>
    <e v="#N/A"/>
    <n v="78760"/>
    <s v="620000836126"/>
    <s v="ENGIE"/>
    <s v="Q2"/>
    <e v="#REF!"/>
    <e v="#REF!"/>
    <e v="#REF!"/>
  </r>
  <r>
    <s v="606130"/>
    <x v="6"/>
    <s v="ACHATS - Electricité"/>
    <s v="AC"/>
    <n v="17.96"/>
    <d v="2025-06-21T00:00:00"/>
    <s v="GAZ LYON"/>
    <m/>
    <e v="#N/A"/>
    <e v="#N/A"/>
    <n v="78371"/>
    <s v="5"/>
    <s v="ENGIE"/>
    <s v="Q2"/>
    <e v="#REF!"/>
    <e v="#REF!"/>
    <e v="#REF!"/>
  </r>
  <r>
    <s v="606130"/>
    <x v="6"/>
    <s v="ACHATS - Electricité"/>
    <s v="AC"/>
    <n v="20.65"/>
    <d v="2025-03-31T00:00:00"/>
    <s v="ELECTRICITÉ KB - 6E - MAR25"/>
    <m/>
    <e v="#N/A"/>
    <e v="#N/A"/>
    <n v="72595"/>
    <s v="4,20E+11"/>
    <s v="ENGIE"/>
    <s v="Q1"/>
    <e v="#REF!"/>
    <e v="#REF!"/>
    <e v="#REF!"/>
  </r>
  <r>
    <s v="606130"/>
    <x v="6"/>
    <s v="ACHATS - Electricité"/>
    <s v="AC"/>
    <n v="22.5"/>
    <d v="2025-02-03T00:00:00"/>
    <s v="ELECTRICITÉ KB - 7E - JAN25"/>
    <m/>
    <e v="#N/A"/>
    <e v="#N/A"/>
    <n v="73658"/>
    <s v="5,20E+11"/>
    <s v="ENGIE"/>
    <s v="Q1"/>
    <e v="#REF!"/>
    <e v="#REF!"/>
    <e v="#REF!"/>
  </r>
  <r>
    <s v="606130"/>
    <x v="6"/>
    <s v="ACHATS - Electricité"/>
    <s v="AC"/>
    <n v="22.7"/>
    <d v="2025-03-03T00:00:00"/>
    <s v="ELECTRICITÉ KB - 6E - FEV25"/>
    <m/>
    <e v="#N/A"/>
    <e v="#N/A"/>
    <n v="72551"/>
    <s v="40017294812"/>
    <s v="ENGIE"/>
    <s v="Q1"/>
    <e v="#REF!"/>
    <e v="#REF!"/>
    <e v="#REF!"/>
  </r>
  <r>
    <s v="606130"/>
    <x v="6"/>
    <s v="ACHATS - Electricité"/>
    <s v="AC"/>
    <n v="23.3"/>
    <d v="2025-10-20T00:00:00"/>
    <s v="GAZ LYON"/>
    <m/>
    <e v="#N/A"/>
    <e v="#N/A"/>
    <n v="90068"/>
    <s v="120010051276"/>
    <s v="ENGIE"/>
    <s v="Q4"/>
    <e v="#REF!"/>
    <e v="#REF!"/>
    <e v="#REF!"/>
  </r>
  <r>
    <s v="606130"/>
    <x v="6"/>
    <s v="ACHATS - Electricité"/>
    <s v="AC"/>
    <n v="24.98"/>
    <d v="2025-03-24T00:00:00"/>
    <s v="ELECTRICITE LYON"/>
    <m/>
    <e v="#N/A"/>
    <e v="#N/A"/>
    <n v="72572"/>
    <s v="8,20E+11"/>
    <s v="ENGIE"/>
    <s v="Q1"/>
    <e v="#REF!"/>
    <e v="#REF!"/>
    <e v="#REF!"/>
  </r>
  <r>
    <s v="606130"/>
    <x v="6"/>
    <s v="ACHATS - Electricité"/>
    <s v="AC"/>
    <n v="25.19"/>
    <d v="2025-09-22T00:00:00"/>
    <s v="GAZ LYON"/>
    <m/>
    <e v="#N/A"/>
    <e v="#N/A"/>
    <n v="82773"/>
    <s v="970005481454"/>
    <s v="ENGIE"/>
    <s v="Q3"/>
    <e v="#REF!"/>
    <e v="#REF!"/>
    <e v="#REF!"/>
  </r>
  <r>
    <s v="606130"/>
    <x v="6"/>
    <s v="ACHATS - Electricité"/>
    <s v="AC"/>
    <n v="25.67"/>
    <d v="2025-08-23T00:00:00"/>
    <s v="ÉLECTRICITÉ LYON"/>
    <m/>
    <e v="#N/A"/>
    <e v="#N/A"/>
    <n v="81876"/>
    <s v="620000906597"/>
    <s v="ENGIE"/>
    <s v="Q3"/>
    <e v="#REF!"/>
    <e v="#REF!"/>
    <e v="#REF!"/>
  </r>
  <r>
    <s v="606130"/>
    <x v="6"/>
    <s v="ACHATS - Electricité"/>
    <s v="AC"/>
    <n v="26.76"/>
    <d v="2025-05-23T00:00:00"/>
    <s v="ELECTRICITÉ LYON"/>
    <m/>
    <e v="#N/A"/>
    <e v="#N/A"/>
    <n v="78766"/>
    <s v="850005168540"/>
    <s v="ENGIE"/>
    <s v="Q2"/>
    <e v="#REF!"/>
    <e v="#REF!"/>
    <e v="#REF!"/>
  </r>
  <r>
    <s v="606130"/>
    <x v="6"/>
    <s v="ACHATS - Electricité"/>
    <s v="AC"/>
    <n v="26.76"/>
    <d v="2025-07-23T00:00:00"/>
    <s v="ELECTRICITÉ LYON"/>
    <m/>
    <e v="#N/A"/>
    <e v="#N/A"/>
    <n v="87036"/>
    <s v="420007162957"/>
    <s v="ENGIE"/>
    <s v="Q3"/>
    <e v="#REF!"/>
    <e v="#REF!"/>
    <e v="#REF!"/>
  </r>
  <r>
    <s v="606130"/>
    <x v="6"/>
    <s v="ACHATS - Electricité"/>
    <s v="AC"/>
    <n v="26.93"/>
    <d v="2025-01-23T00:00:00"/>
    <s v="ELECTRICITÉ LYON 202501"/>
    <m/>
    <e v="#N/A"/>
    <e v="#N/A"/>
    <n v="73634"/>
    <s v="3,20E+11"/>
    <s v="ENGIE"/>
    <s v="Q1"/>
    <e v="#REF!"/>
    <e v="#REF!"/>
    <e v="#REF!"/>
  </r>
  <r>
    <s v="606130"/>
    <x v="6"/>
    <s v="ACHATS - Electricité"/>
    <s v="AC"/>
    <n v="27.34"/>
    <d v="2025-02-24T00:00:00"/>
    <s v="ELECTRICITÉ LYON"/>
    <m/>
    <e v="#N/A"/>
    <e v="#N/A"/>
    <n v="73703"/>
    <s v="9,80E+11"/>
    <s v="ENGIE"/>
    <s v="Q1"/>
    <e v="#REF!"/>
    <e v="#REF!"/>
    <e v="#REF!"/>
  </r>
  <r>
    <s v="606130"/>
    <x v="6"/>
    <s v="ACHATS - Electricité"/>
    <s v="AC"/>
    <n v="27.65"/>
    <d v="2025-04-23T00:00:00"/>
    <s v="ELECTRICITÉ LYON"/>
    <m/>
    <e v="#N/A"/>
    <e v="#N/A"/>
    <n v="78744"/>
    <s v="720000560953"/>
    <s v="ENGIE"/>
    <s v="Q2"/>
    <e v="#REF!"/>
    <e v="#REF!"/>
    <e v="#REF!"/>
  </r>
  <r>
    <s v="606130"/>
    <x v="6"/>
    <s v="ACHATS - Electricité"/>
    <s v="AC"/>
    <n v="27.65"/>
    <d v="2025-06-23T00:00:00"/>
    <s v="ELECTRICITÉ LYON"/>
    <m/>
    <e v="#N/A"/>
    <e v="#N/A"/>
    <n v="78376"/>
    <s v="6"/>
    <s v="ENGIE"/>
    <s v="Q2"/>
    <e v="#REF!"/>
    <e v="#REF!"/>
    <e v="#REF!"/>
  </r>
  <r>
    <s v="606130"/>
    <x v="6"/>
    <s v="ACHATS - Electricité"/>
    <s v="AC"/>
    <n v="30.5"/>
    <d v="2025-05-21T00:00:00"/>
    <s v="GAZ LYON"/>
    <m/>
    <e v="#N/A"/>
    <e v="#N/A"/>
    <n v="78761"/>
    <s v="620000836126"/>
    <s v="ENGIE"/>
    <s v="Q2"/>
    <e v="#REF!"/>
    <e v="#REF!"/>
    <e v="#REF!"/>
  </r>
  <r>
    <s v="606130"/>
    <x v="6"/>
    <s v="ACHATS - Electricité"/>
    <s v="AC"/>
    <n v="30.65"/>
    <d v="2025-05-02T00:00:00"/>
    <s v="ELECTRICITÉ KB - 6E - APR25"/>
    <m/>
    <e v="#N/A"/>
    <e v="#N/A"/>
    <n v="78748"/>
    <s v="970005348107"/>
    <s v="ENGIE"/>
    <s v="Q2"/>
    <e v="#REF!"/>
    <e v="#REF!"/>
    <e v="#REF!"/>
  </r>
  <r>
    <s v="606130"/>
    <x v="6"/>
    <s v="ACHATS - Electricité"/>
    <s v="AC"/>
    <n v="35.65"/>
    <d v="2025-10-23T00:00:00"/>
    <s v="ÉLECTRICITÉ LYON"/>
    <m/>
    <e v="#N/A"/>
    <e v="#N/A"/>
    <n v="90071"/>
    <s v="320008164129"/>
    <s v="ENGIE"/>
    <s v="Q4"/>
    <e v="#REF!"/>
    <e v="#REF!"/>
    <e v="#REF!"/>
  </r>
  <r>
    <s v="606130"/>
    <x v="6"/>
    <s v="ACHATS - Electricité"/>
    <s v="AC"/>
    <n v="35.79"/>
    <d v="2025-09-23T00:00:00"/>
    <s v="ELECTRICITÉ LYON"/>
    <m/>
    <e v="#N/A"/>
    <e v="#N/A"/>
    <n v="82776"/>
    <s v="320008150541"/>
    <s v="ENGIE"/>
    <s v="Q3"/>
    <e v="#REF!"/>
    <e v="#REF!"/>
    <e v="#REF!"/>
  </r>
  <r>
    <s v="606130"/>
    <x v="6"/>
    <s v="ACHATS - Electricité"/>
    <s v="AC"/>
    <n v="35.82"/>
    <d v="2025-07-31T00:00:00"/>
    <s v="ELECTRICITÉ KB - 6E - JUIL25"/>
    <m/>
    <e v="#N/A"/>
    <e v="#N/A"/>
    <n v="81756"/>
    <s v="720000616366"/>
    <s v="ENGIE"/>
    <s v="Q3"/>
    <e v="#REF!"/>
    <e v="#REF!"/>
    <e v="#REF!"/>
  </r>
  <r>
    <s v="606130"/>
    <x v="6"/>
    <s v="ACHATS - Electricité"/>
    <s v="AC"/>
    <n v="35.85"/>
    <d v="2025-05-31T00:00:00"/>
    <s v="ELECTRICITÉ KB - 6E - MAI25"/>
    <m/>
    <e v="#N/A"/>
    <e v="#N/A"/>
    <n v="78775"/>
    <s v="520001657014"/>
    <s v="ENGIE"/>
    <s v="Q2"/>
    <e v="#REF!"/>
    <e v="#REF!"/>
    <e v="#REF!"/>
  </r>
  <r>
    <s v="606130"/>
    <x v="6"/>
    <s v="ACHATS - Electricité"/>
    <s v="AC"/>
    <n v="37.049999999999997"/>
    <d v="2025-07-01T00:00:00"/>
    <s v="ELECTRICITÉ KB - 6E - JUIN25"/>
    <m/>
    <e v="#N/A"/>
    <e v="#N/A"/>
    <n v="78783"/>
    <s v="420007146056"/>
    <s v="ENGIE"/>
    <s v="Q3"/>
    <e v="#REF!"/>
    <e v="#REF!"/>
    <e v="#REF!"/>
  </r>
  <r>
    <s v="606130"/>
    <x v="6"/>
    <s v="ACHATS - Electricité"/>
    <s v="AC"/>
    <n v="37.630000000000003"/>
    <d v="2025-03-31T00:00:00"/>
    <s v="ELECTRICITÉ KB - 7E - MAR25"/>
    <m/>
    <e v="#N/A"/>
    <e v="#N/A"/>
    <n v="72578"/>
    <s v="4,20E+11"/>
    <s v="ENGIE"/>
    <s v="Q1"/>
    <e v="#REF!"/>
    <e v="#REF!"/>
    <e v="#REF!"/>
  </r>
  <r>
    <s v="606130"/>
    <x v="6"/>
    <s v="ACHATS - Electricité"/>
    <s v="AC"/>
    <n v="38.159999999999997"/>
    <d v="2025-12-23T00:00:00"/>
    <s v="ÉLECTRICITÉ LYON"/>
    <m/>
    <e v="#N/A"/>
    <e v="#N/A"/>
    <n v="94851"/>
    <s v="6,20001E+11"/>
    <s v="ENGIE"/>
    <s v="Q4"/>
    <e v="#REF!"/>
    <e v="#REF!"/>
    <e v="#REF!"/>
  </r>
  <r>
    <s v="606130"/>
    <x v="6"/>
    <s v="ACHATS - Electricité"/>
    <s v="AC"/>
    <n v="39.130000000000003"/>
    <d v="2025-11-24T00:00:00"/>
    <s v="ÉLECTRICITÉ"/>
    <m/>
    <e v="#N/A"/>
    <e v="#N/A"/>
    <n v="91819"/>
    <s v="980005480995"/>
    <s v="ENGIE"/>
    <s v="Q4"/>
    <e v="#REF!"/>
    <e v="#REF!"/>
    <e v="#REF!"/>
  </r>
  <r>
    <s v="606130"/>
    <x v="6"/>
    <s v="ACHATS - Electricité"/>
    <s v="AC"/>
    <n v="41.37"/>
    <d v="2025-03-03T00:00:00"/>
    <s v="ELECTRICITÉ KB - 7E - FEV25"/>
    <m/>
    <e v="#N/A"/>
    <e v="#N/A"/>
    <n v="72556"/>
    <s v="40017294811"/>
    <s v="ENGIE"/>
    <s v="Q1"/>
    <e v="#REF!"/>
    <e v="#REF!"/>
    <e v="#REF!"/>
  </r>
  <r>
    <s v="606130"/>
    <x v="6"/>
    <s v="ACHATS - Electricité"/>
    <s v="AC"/>
    <n v="42.34"/>
    <d v="2025-04-21T00:00:00"/>
    <s v="GAZ LYON"/>
    <m/>
    <e v="#N/A"/>
    <e v="#N/A"/>
    <n v="78739"/>
    <s v="980005285371"/>
    <s v="ENGIE"/>
    <s v="Q2"/>
    <e v="#REF!"/>
    <e v="#REF!"/>
    <e v="#REF!"/>
  </r>
  <r>
    <s v="606130"/>
    <x v="6"/>
    <s v="ACHATS - Electricité"/>
    <s v="AC"/>
    <n v="49.44"/>
    <d v="2025-05-02T00:00:00"/>
    <s v="ELECTRICITÉ KB - 7E - AVR25"/>
    <m/>
    <e v="#N/A"/>
    <e v="#N/A"/>
    <n v="78753"/>
    <s v="970005348106"/>
    <s v="ENGIE"/>
    <s v="Q2"/>
    <e v="#REF!"/>
    <e v="#REF!"/>
    <e v="#REF!"/>
  </r>
  <r>
    <s v="606130"/>
    <x v="6"/>
    <s v="ACHATS - Electricité"/>
    <s v="AC"/>
    <n v="54"/>
    <d v="2025-07-31T00:00:00"/>
    <s v="ELECTRICITÉ KB - 7E - JUIL25"/>
    <m/>
    <e v="#N/A"/>
    <e v="#N/A"/>
    <n v="81773"/>
    <s v="720000616365"/>
    <s v="ENGIE"/>
    <s v="Q3"/>
    <e v="#REF!"/>
    <e v="#REF!"/>
    <e v="#REF!"/>
  </r>
  <r>
    <s v="606130"/>
    <x v="6"/>
    <s v="ACHATS - Electricité"/>
    <s v="AC"/>
    <n v="54.04"/>
    <d v="2025-05-31T00:00:00"/>
    <s v="ELECTRICITÉ KB - 7E - MAI25"/>
    <m/>
    <e v="#N/A"/>
    <e v="#N/A"/>
    <n v="78770"/>
    <s v="520001657013"/>
    <s v="ENGIE"/>
    <s v="Q2"/>
    <e v="#REF!"/>
    <e v="#REF!"/>
    <e v="#REF!"/>
  </r>
  <r>
    <s v="606130"/>
    <x v="6"/>
    <s v="ACHATS - Electricité"/>
    <s v="AC"/>
    <n v="55.32"/>
    <d v="2025-11-21T00:00:00"/>
    <s v="GAZ NATUREL"/>
    <m/>
    <e v="#N/A"/>
    <e v="#N/A"/>
    <n v="91813"/>
    <s v="40017459099"/>
    <s v="ENGIE"/>
    <s v="Q4"/>
    <e v="#REF!"/>
    <e v="#REF!"/>
    <e v="#REF!"/>
  </r>
  <r>
    <s v="606130"/>
    <x v="6"/>
    <s v="ACHATS - Electricité"/>
    <s v="AC"/>
    <n v="55.84"/>
    <d v="2025-07-01T00:00:00"/>
    <s v="ELECTRICITÉ KB - 7E - JUIN25"/>
    <m/>
    <e v="#N/A"/>
    <e v="#N/A"/>
    <n v="78791"/>
    <s v="420007146055"/>
    <s v="ENGIE"/>
    <s v="Q3"/>
    <e v="#REF!"/>
    <e v="#REF!"/>
    <e v="#REF!"/>
  </r>
  <r>
    <s v="606130"/>
    <x v="6"/>
    <s v="ACHATS - Electricité"/>
    <s v="AC"/>
    <n v="74.58"/>
    <d v="2025-02-21T00:00:00"/>
    <s v="ELECTRICITÉ LYON"/>
    <m/>
    <e v="#N/A"/>
    <e v="#N/A"/>
    <n v="73695"/>
    <s v="4,20E+11"/>
    <s v="ENGIE"/>
    <s v="Q1"/>
    <e v="#REF!"/>
    <e v="#REF!"/>
    <e v="#REF!"/>
  </r>
  <r>
    <s v="606130"/>
    <x v="6"/>
    <s v="ACHATS - Electricité"/>
    <s v="AC"/>
    <n v="80.91"/>
    <d v="2025-03-21T00:00:00"/>
    <s v="ELECTRICITE LYON"/>
    <m/>
    <e v="#N/A"/>
    <e v="#N/A"/>
    <n v="72567"/>
    <s v="5,20E+11"/>
    <s v="ENGIE"/>
    <s v="Q1"/>
    <e v="#REF!"/>
    <e v="#REF!"/>
    <e v="#REF!"/>
  </r>
  <r>
    <s v="606130"/>
    <x v="6"/>
    <s v="ACHATS - Electricité"/>
    <s v="AC"/>
    <n v="114.41"/>
    <d v="2025-01-20T00:00:00"/>
    <s v="ELECTRICITE LYON"/>
    <m/>
    <e v="#N/A"/>
    <e v="#N/A"/>
    <n v="72522"/>
    <s v="4,20E+11"/>
    <s v="ENGIE"/>
    <s v="Q1"/>
    <e v="#REF!"/>
    <e v="#REF!"/>
    <e v="#REF!"/>
  </r>
  <r>
    <s v="606130"/>
    <x v="6"/>
    <s v="ACHATS - Electricité"/>
    <s v="AC"/>
    <n v="120.55"/>
    <d v="2025-12-22T00:00:00"/>
    <s v="GAZ NATUREL LYON"/>
    <m/>
    <e v="#N/A"/>
    <e v="#N/A"/>
    <n v="94848"/>
    <s v="1,2001E+11"/>
    <s v="ENGIE"/>
    <s v="Q4"/>
    <e v="#REF!"/>
    <e v="#REF!"/>
    <e v="#REF!"/>
  </r>
  <r>
    <s v="606130"/>
    <x v="6"/>
    <s v="ACHATS - Electricité"/>
    <s v="AC"/>
    <n v="186.74"/>
    <d v="2025-02-03T00:00:00"/>
    <s v="ELECTRICITÉ KB - 6E - JAN25"/>
    <m/>
    <e v="#N/A"/>
    <e v="#N/A"/>
    <n v="73664"/>
    <s v="5,20E+11"/>
    <s v="ENGIE"/>
    <s v="Q1"/>
    <e v="#REF!"/>
    <e v="#REF!"/>
    <e v="#REF!"/>
  </r>
  <r>
    <s v="606130"/>
    <x v="6"/>
    <s v="ACHATS - Electricité"/>
    <s v="AC"/>
    <n v="187.56"/>
    <d v="2025-05-02T00:00:00"/>
    <s v="ELECTRICITÉ KB - 6E - APR25"/>
    <m/>
    <e v="#N/A"/>
    <e v="#N/A"/>
    <n v="78749"/>
    <s v="970005348107"/>
    <s v="ENGIE"/>
    <s v="Q2"/>
    <e v="#REF!"/>
    <e v="#REF!"/>
    <e v="#REF!"/>
  </r>
  <r>
    <s v="606130"/>
    <x v="6"/>
    <s v="ACHATS - Electricité"/>
    <s v="AC"/>
    <n v="198.99"/>
    <d v="2025-05-31T00:00:00"/>
    <s v="ELECTRICITÉ KB - 6E - MAI25"/>
    <m/>
    <e v="#N/A"/>
    <e v="#N/A"/>
    <n v="78776"/>
    <s v="520001657014"/>
    <s v="ENGIE"/>
    <s v="Q2"/>
    <e v="#REF!"/>
    <e v="#REF!"/>
    <e v="#REF!"/>
  </r>
  <r>
    <s v="606130"/>
    <x v="6"/>
    <s v="ACHATS - Electricité"/>
    <s v="AC"/>
    <n v="220.01"/>
    <d v="2025-07-01T00:00:00"/>
    <s v="ELECTRICITÉ KB - 6E - JUIN25"/>
    <m/>
    <e v="#N/A"/>
    <e v="#N/A"/>
    <n v="78784"/>
    <s v="420007146056"/>
    <s v="ENGIE"/>
    <s v="Q3"/>
    <e v="#REF!"/>
    <e v="#REF!"/>
    <e v="#REF!"/>
  </r>
  <r>
    <s v="606130"/>
    <x v="6"/>
    <s v="ACHATS - Electricité"/>
    <s v="AC"/>
    <n v="238.73"/>
    <d v="2025-03-31T00:00:00"/>
    <s v="ELECTRICITÉ KB - 6E - MAR25"/>
    <m/>
    <e v="#N/A"/>
    <e v="#N/A"/>
    <n v="72596"/>
    <s v="4,20E+11"/>
    <s v="ENGIE"/>
    <s v="Q1"/>
    <e v="#REF!"/>
    <e v="#REF!"/>
    <e v="#REF!"/>
  </r>
  <r>
    <s v="606130"/>
    <x v="6"/>
    <s v="ACHATS - Electricité"/>
    <s v="AC"/>
    <n v="242.84"/>
    <d v="2025-07-31T00:00:00"/>
    <s v="ELECTRICITÉ KB - 6E - JUIL25"/>
    <m/>
    <e v="#N/A"/>
    <e v="#N/A"/>
    <n v="81757"/>
    <s v="720000616366"/>
    <s v="ENGIE"/>
    <s v="Q3"/>
    <e v="#REF!"/>
    <e v="#REF!"/>
    <e v="#REF!"/>
  </r>
  <r>
    <s v="606130"/>
    <x v="6"/>
    <s v="ACHATS - Electricité"/>
    <s v="AC"/>
    <n v="254.93"/>
    <d v="2025-10-01T00:00:00"/>
    <s v="ELECTRICITÉ KB - 6E - SEP25"/>
    <m/>
    <e v="#N/A"/>
    <e v="#N/A"/>
    <n v="82785"/>
    <s v="850005285735"/>
    <s v="ENGIE"/>
    <s v="Q4"/>
    <e v="#REF!"/>
    <e v="#REF!"/>
    <e v="#REF!"/>
  </r>
  <r>
    <s v="606130"/>
    <x v="6"/>
    <s v="ACHATS - Electricité"/>
    <s v="AC"/>
    <n v="317.3"/>
    <d v="2025-03-03T00:00:00"/>
    <s v="ELECTRICITÉ KB - 6E - FEV25"/>
    <m/>
    <e v="#N/A"/>
    <e v="#N/A"/>
    <n v="72552"/>
    <s v="40017294812"/>
    <s v="ENGIE"/>
    <s v="Q1"/>
    <e v="#REF!"/>
    <e v="#REF!"/>
    <e v="#REF!"/>
  </r>
  <r>
    <s v="606130"/>
    <x v="6"/>
    <s v="ACHATS - Electricité"/>
    <s v="AC"/>
    <n v="323.88"/>
    <d v="2025-09-01T00:00:00"/>
    <s v="ELECTRICITÉ KB - 6E - AOUT25"/>
    <m/>
    <e v="#N/A"/>
    <e v="#N/A"/>
    <n v="81892"/>
    <s v="120010018682"/>
    <s v="ENGIE"/>
    <s v="Q3"/>
    <e v="#REF!"/>
    <e v="#REF!"/>
    <e v="#REF!"/>
  </r>
  <r>
    <s v="606130"/>
    <x v="6"/>
    <s v="ACHATS - Electricité"/>
    <s v="AC"/>
    <n v="335.67"/>
    <d v="2025-10-31T00:00:00"/>
    <s v="ELECTRICITÉ KB - 6E ÉTAGE"/>
    <m/>
    <e v="#N/A"/>
    <e v="#N/A"/>
    <n v="90080"/>
    <s v="980005457003"/>
    <s v="ENGIE"/>
    <s v="Q4"/>
    <e v="#REF!"/>
    <e v="#REF!"/>
    <e v="#REF!"/>
  </r>
  <r>
    <s v="606130"/>
    <x v="6"/>
    <s v="ACHATS - Electricité"/>
    <s v="AC"/>
    <n v="424.97"/>
    <d v="2025-12-01T00:00:00"/>
    <s v="ÉLECTRICITÉ KB 6E"/>
    <m/>
    <e v="#N/A"/>
    <e v="#N/A"/>
    <n v="91839"/>
    <s v="850005343738"/>
    <s v="ENGIE"/>
    <s v="Q4"/>
    <e v="#REF!"/>
    <e v="#REF!"/>
    <e v="#REF!"/>
  </r>
  <r>
    <s v="606130"/>
    <x v="6"/>
    <s v="ACHATS - Electricité"/>
    <s v="AC"/>
    <n v="430.51"/>
    <d v="2025-12-31T00:00:00"/>
    <s v="ELECTRICITÉ KB 6E ÉTAGE"/>
    <m/>
    <e v="#N/A"/>
    <e v="#N/A"/>
    <n v="94857"/>
    <s v="8,50005E+11"/>
    <s v="ENGIE"/>
    <s v="Q4"/>
    <e v="#REF!"/>
    <e v="#REF!"/>
    <e v="#REF!"/>
  </r>
  <r>
    <s v="606130"/>
    <x v="6"/>
    <s v="ACHATS - Electricité"/>
    <s v="AC"/>
    <n v="794.84"/>
    <d v="2025-05-31T00:00:00"/>
    <s v="ELECTRICITÉ KB - 7E - MAI25"/>
    <m/>
    <e v="#N/A"/>
    <e v="#N/A"/>
    <n v="78771"/>
    <s v="520001657013"/>
    <s v="ENGIE"/>
    <s v="Q2"/>
    <e v="#REF!"/>
    <e v="#REF!"/>
    <e v="#REF!"/>
  </r>
  <r>
    <s v="606130"/>
    <x v="6"/>
    <s v="ACHATS - Electricité"/>
    <s v="AC"/>
    <n v="899.29"/>
    <d v="2025-05-02T00:00:00"/>
    <s v="ELECTRICITÉ KB - 7E - AVR25"/>
    <m/>
    <e v="#N/A"/>
    <e v="#N/A"/>
    <n v="78754"/>
    <s v="970005348106"/>
    <s v="ENGIE"/>
    <s v="Q2"/>
    <e v="#REF!"/>
    <e v="#REF!"/>
    <e v="#REF!"/>
  </r>
  <r>
    <s v="606130"/>
    <x v="6"/>
    <s v="ACHATS - Electricité"/>
    <s v="AC"/>
    <n v="975.13"/>
    <d v="2025-10-31T00:00:00"/>
    <s v="ELECTRICITÉ KB - 7E ÉTAGE"/>
    <m/>
    <e v="#N/A"/>
    <e v="#N/A"/>
    <n v="90077"/>
    <s v="980005457002"/>
    <s v="ENGIE"/>
    <s v="Q4"/>
    <e v="#REF!"/>
    <e v="#REF!"/>
    <e v="#REF!"/>
  </r>
  <r>
    <s v="606130"/>
    <x v="6"/>
    <s v="ACHATS - Electricité"/>
    <s v="AC"/>
    <n v="1004.98"/>
    <d v="2025-02-03T00:00:00"/>
    <s v="ELECTRICITÉ KB - 7E - JAN25"/>
    <m/>
    <e v="#N/A"/>
    <e v="#N/A"/>
    <n v="73659"/>
    <s v="5,20E+11"/>
    <s v="ENGIE"/>
    <s v="Q1"/>
    <e v="#REF!"/>
    <e v="#REF!"/>
    <e v="#REF!"/>
  </r>
  <r>
    <s v="606130"/>
    <x v="6"/>
    <s v="ACHATS - Electricité"/>
    <s v="AC"/>
    <n v="1048.44"/>
    <d v="2025-07-01T00:00:00"/>
    <s v="ELECTRICITÉ KB - 7E - JUIN25"/>
    <m/>
    <e v="#N/A"/>
    <e v="#N/A"/>
    <n v="78792"/>
    <s v="420007146055"/>
    <s v="ENGIE"/>
    <s v="Q3"/>
    <e v="#REF!"/>
    <e v="#REF!"/>
    <e v="#REF!"/>
  </r>
  <r>
    <s v="606130"/>
    <x v="6"/>
    <s v="ACHATS - Electricité"/>
    <s v="AC"/>
    <n v="1128.47"/>
    <d v="2025-07-31T00:00:00"/>
    <s v="ELECTRICITÉ KB - 7E - JUIL25"/>
    <m/>
    <e v="#N/A"/>
    <e v="#N/A"/>
    <n v="81774"/>
    <s v="720000616365"/>
    <s v="ENGIE"/>
    <s v="Q3"/>
    <e v="#REF!"/>
    <e v="#REF!"/>
    <e v="#REF!"/>
  </r>
  <r>
    <s v="606130"/>
    <x v="6"/>
    <s v="ACHATS - Electricité"/>
    <s v="AC"/>
    <n v="1140.3"/>
    <d v="2025-03-31T00:00:00"/>
    <s v="ELECTRICITÉ KB - 7E - MAR25"/>
    <m/>
    <e v="#N/A"/>
    <e v="#N/A"/>
    <n v="72579"/>
    <s v="4,20E+11"/>
    <s v="ENGIE"/>
    <s v="Q1"/>
    <e v="#REF!"/>
    <e v="#REF!"/>
    <e v="#REF!"/>
  </r>
  <r>
    <s v="606130"/>
    <x v="6"/>
    <s v="ACHATS - Electricité"/>
    <s v="AC"/>
    <n v="1240.79"/>
    <d v="2025-10-01T00:00:00"/>
    <s v="ELECTRICITÉ KB - 7E - SEP25"/>
    <m/>
    <e v="#N/A"/>
    <e v="#N/A"/>
    <n v="82794"/>
    <s v="850005285734"/>
    <s v="ENGIE"/>
    <s v="Q4"/>
    <e v="#REF!"/>
    <e v="#REF!"/>
    <e v="#REF!"/>
  </r>
  <r>
    <s v="606130"/>
    <x v="6"/>
    <s v="ACHATS - Electricité"/>
    <s v="AC"/>
    <n v="1266.6099999999999"/>
    <d v="2025-09-01T00:00:00"/>
    <s v="ELECTRICITÉ KB - 7E - AOUT25"/>
    <m/>
    <e v="#N/A"/>
    <e v="#N/A"/>
    <n v="81887"/>
    <s v="120010018681"/>
    <s v="ENGIE"/>
    <s v="Q3"/>
    <e v="#REF!"/>
    <e v="#REF!"/>
    <e v="#REF!"/>
  </r>
  <r>
    <s v="606130"/>
    <x v="6"/>
    <s v="ACHATS - Electricité"/>
    <s v="AC"/>
    <n v="1399.18"/>
    <d v="2025-12-01T00:00:00"/>
    <s v="ÉLECTRICITÉ KB 7E"/>
    <m/>
    <e v="#N/A"/>
    <e v="#N/A"/>
    <n v="91836"/>
    <s v="850005343737"/>
    <s v="ENGIE"/>
    <s v="Q4"/>
    <e v="#REF!"/>
    <e v="#REF!"/>
    <e v="#REF!"/>
  </r>
  <r>
    <s v="606130"/>
    <x v="6"/>
    <s v="ACHATS - Electricité"/>
    <s v="AC"/>
    <n v="1545.4"/>
    <d v="2025-12-31T00:00:00"/>
    <s v="ELECTRICITÉ KB 7E ÉTAGE"/>
    <m/>
    <e v="#N/A"/>
    <e v="#N/A"/>
    <n v="94854"/>
    <s v="8,50005E+11"/>
    <s v="ENGIE"/>
    <s v="Q4"/>
    <e v="#REF!"/>
    <e v="#REF!"/>
    <e v="#REF!"/>
  </r>
  <r>
    <s v="606130"/>
    <x v="6"/>
    <s v="ACHATS - Electricité"/>
    <s v="AC"/>
    <n v="1594.59"/>
    <d v="2025-03-03T00:00:00"/>
    <s v="ELECTRICITÉ KB - 7E - FEV25"/>
    <m/>
    <e v="#N/A"/>
    <e v="#N/A"/>
    <n v="72557"/>
    <s v="40017294811"/>
    <s v="ENGIE"/>
    <s v="Q1"/>
    <e v="#REF!"/>
    <e v="#REF!"/>
    <e v="#REF!"/>
  </r>
  <r>
    <s v="606130"/>
    <x v="6"/>
    <s v="ACHATS - Electricité"/>
    <s v="OD"/>
    <n v="-1636"/>
    <d v="2025-03-01T00:00:00"/>
    <s v="ELECTRICITÉ KB - 7E - FEV25"/>
    <m/>
    <e v="#N/A"/>
    <e v="#N/A"/>
    <n v="77415"/>
    <m/>
    <s v="ENGIE"/>
    <s v="Q1"/>
    <e v="#REF!"/>
    <e v="#REF!"/>
    <e v="#REF!"/>
  </r>
  <r>
    <s v="606130"/>
    <x v="6"/>
    <s v="ACHATS - Electricité"/>
    <s v="OD"/>
    <n v="-1240.79"/>
    <d v="2025-10-01T00:00:00"/>
    <s v="ELECTRICITÉ KB - 7E - SEP25"/>
    <m/>
    <e v="#N/A"/>
    <e v="#N/A"/>
    <n v="89450"/>
    <m/>
    <s v="ENGIE"/>
    <s v="Q4"/>
    <e v="#REF!"/>
    <e v="#REF!"/>
    <e v="#REF!"/>
  </r>
  <r>
    <s v="606130"/>
    <x v="6"/>
    <s v="ACHATS - Electricité"/>
    <s v="OD"/>
    <n v="-1027"/>
    <d v="2025-02-01T00:00:00"/>
    <s v="ELECTRICITÉ KB - 7E - JAN25"/>
    <m/>
    <e v="#N/A"/>
    <e v="#N/A"/>
    <n v="77409"/>
    <m/>
    <s v="ENGIE"/>
    <s v="Q1"/>
    <e v="#REF!"/>
    <e v="#REF!"/>
    <e v="#REF!"/>
  </r>
  <r>
    <s v="606130"/>
    <x v="6"/>
    <s v="ACHATS - Electricité"/>
    <s v="OD"/>
    <n v="-267.22000000000003"/>
    <d v="2025-02-28T00:00:00"/>
    <s v="REGUL COMPTE AIRLIQUIDE"/>
    <m/>
    <e v="#N/A"/>
    <e v="#N/A"/>
    <n v="90105"/>
    <m/>
    <s v="AIR LIQUIDE"/>
    <s v="Q1"/>
    <e v="#REF!"/>
    <e v="#REF!"/>
    <e v="#REF!"/>
  </r>
  <r>
    <s v="606130"/>
    <x v="6"/>
    <s v="ACHATS - Electricité"/>
    <s v="OD"/>
    <n v="-254.93"/>
    <d v="2025-10-01T00:00:00"/>
    <s v="ELECTRICITÉ KB - 6E - SEP25"/>
    <m/>
    <e v="#N/A"/>
    <e v="#N/A"/>
    <n v="89449"/>
    <m/>
    <s v="ENGIE"/>
    <s v="Q4"/>
    <e v="#REF!"/>
    <e v="#REF!"/>
    <e v="#REF!"/>
  </r>
  <r>
    <s v="606130"/>
    <x v="6"/>
    <s v="ACHATS - Electricité"/>
    <s v="OD"/>
    <n v="-35.79"/>
    <d v="2025-09-30T00:00:00"/>
    <s v="ELECTRICITE LYON"/>
    <m/>
    <e v="#N/A"/>
    <e v="#N/A"/>
    <n v="89456"/>
    <m/>
    <s v="ENGIE"/>
    <s v="Q3"/>
    <e v="#REF!"/>
    <e v="#REF!"/>
    <e v="#REF!"/>
  </r>
  <r>
    <s v="606130"/>
    <x v="6"/>
    <s v="ACHATS - Electricité"/>
    <s v="OD"/>
    <n v="-3.48"/>
    <d v="2025-04-01T00:00:00"/>
    <s v="SOLDE ENGIE"/>
    <m/>
    <e v="#N/A"/>
    <e v="#N/A"/>
    <n v="89444"/>
    <m/>
    <s v="ENGIE"/>
    <s v="Q2"/>
    <e v="#REF!"/>
    <e v="#REF!"/>
    <e v="#REF!"/>
  </r>
  <r>
    <s v="606130"/>
    <x v="6"/>
    <s v="ACHATS - Electricité"/>
    <s v="OD"/>
    <n v="3.48"/>
    <d v="2025-04-01T00:00:00"/>
    <s v="SOLDE ENGIE"/>
    <m/>
    <e v="#N/A"/>
    <e v="#N/A"/>
    <n v="89442"/>
    <m/>
    <s v="ENGIE"/>
    <s v="Q2"/>
    <e v="#REF!"/>
    <e v="#REF!"/>
    <e v="#REF!"/>
  </r>
  <r>
    <s v="606130"/>
    <x v="6"/>
    <s v="ACHATS - Electricité"/>
    <s v="OD"/>
    <n v="35.79"/>
    <d v="2025-09-30T00:00:00"/>
    <s v="ELECTRICITE LYON"/>
    <m/>
    <e v="#N/A"/>
    <e v="#N/A"/>
    <n v="89459"/>
    <m/>
    <s v="ENGIE"/>
    <s v="Q3"/>
    <e v="#REF!"/>
    <e v="#REF!"/>
    <e v="#REF!"/>
  </r>
  <r>
    <s v="606130"/>
    <x v="6"/>
    <s v="ACHATS - Electricité"/>
    <s v="OD"/>
    <n v="254.93"/>
    <d v="2025-09-30T00:00:00"/>
    <s v="ELECTRICITÉ KB - 6E - SEP25"/>
    <m/>
    <e v="#N/A"/>
    <e v="#N/A"/>
    <n v="89446"/>
    <m/>
    <s v="ENGIE"/>
    <s v="Q3"/>
    <e v="#REF!"/>
    <e v="#REF!"/>
    <e v="#REF!"/>
  </r>
  <r>
    <s v="606130"/>
    <x v="6"/>
    <s v="ACHATS - Electricité"/>
    <s v="OD"/>
    <n v="1027"/>
    <d v="2025-01-01T00:00:00"/>
    <s v="ELECTRICITÉ KB - 7E - JAN25"/>
    <m/>
    <e v="#N/A"/>
    <e v="#N/A"/>
    <n v="77411"/>
    <m/>
    <s v="ENGIE"/>
    <s v="Q1"/>
    <e v="#REF!"/>
    <e v="#REF!"/>
    <e v="#REF!"/>
  </r>
  <r>
    <s v="606130"/>
    <x v="6"/>
    <s v="ACHATS - Electricité"/>
    <s v="OD"/>
    <n v="1240.79"/>
    <d v="2025-09-30T00:00:00"/>
    <s v="ELECTRICITÉ KB - 7E - SEP25"/>
    <m/>
    <e v="#N/A"/>
    <e v="#N/A"/>
    <n v="89447"/>
    <m/>
    <s v="ENGIE"/>
    <s v="Q3"/>
    <e v="#REF!"/>
    <e v="#REF!"/>
    <e v="#REF!"/>
  </r>
  <r>
    <s v="606130"/>
    <x v="6"/>
    <s v="ACHATS - Electricité"/>
    <s v="OD"/>
    <n v="1636"/>
    <d v="2025-02-01T00:00:00"/>
    <s v="ELECTRICITÉ KB - 7E - FEV25"/>
    <m/>
    <e v="#N/A"/>
    <e v="#N/A"/>
    <n v="77413"/>
    <m/>
    <s v="ENGIE"/>
    <s v="Q1"/>
    <e v="#REF!"/>
    <e v="#REF!"/>
    <e v="#REF!"/>
  </r>
  <r>
    <s v="606310"/>
    <x v="6"/>
    <s v="FOURNITURES D'ENTRETIEN"/>
    <s v="AC"/>
    <n v="-2133.42"/>
    <d v="2025-09-03T00:00:00"/>
    <s v="DÉTECTEUR DE GAZ DRÄGER"/>
    <m/>
    <e v="#N/A"/>
    <e v="#N/A"/>
    <n v="81902"/>
    <s v="923003074"/>
    <s v="DENIOS"/>
    <s v="Q3"/>
    <e v="#REF!"/>
    <e v="#REF!"/>
    <e v="#REF!"/>
  </r>
  <r>
    <s v="606310"/>
    <x v="6"/>
    <s v="FOURNITURES D'ENTRETIEN"/>
    <s v="AC"/>
    <n v="2133.42"/>
    <d v="2025-08-06T00:00:00"/>
    <s v="DÉTECTEUR DE GAZ DRÄGER"/>
    <m/>
    <e v="#N/A"/>
    <e v="#N/A"/>
    <n v="81910"/>
    <s v="922057887"/>
    <s v="DENIOS"/>
    <s v="Q3"/>
    <e v="#REF!"/>
    <e v="#REF!"/>
    <e v="#REF!"/>
  </r>
  <r>
    <s v="606310"/>
    <x v="6"/>
    <s v="FOURNITURES D'ENTRETIEN"/>
    <s v="OD"/>
    <n v="-2133.42"/>
    <d v="2025-08-31T00:00:00"/>
    <s v="AAR - DENIOS"/>
    <m/>
    <e v="#N/A"/>
    <e v="#N/A"/>
    <n v="89302"/>
    <m/>
    <s v="DENIOS"/>
    <s v="Q3"/>
    <e v="#REF!"/>
    <e v="#REF!"/>
    <e v="#REF!"/>
  </r>
  <r>
    <s v="606310"/>
    <x v="6"/>
    <s v="FOURNITURES D'ENTRETIEN"/>
    <s v="OD"/>
    <n v="2133.42"/>
    <d v="2025-09-01T00:00:00"/>
    <s v="AAR - DENIOS"/>
    <m/>
    <e v="#N/A"/>
    <e v="#N/A"/>
    <n v="89304"/>
    <m/>
    <s v="DENIOS"/>
    <s v="Q3"/>
    <e v="#REF!"/>
    <e v="#REF!"/>
    <e v="#REF!"/>
  </r>
  <r>
    <s v="606320"/>
    <x v="6"/>
    <s v="ACHATS - Petits Equipements"/>
    <s v="AC"/>
    <n v="-126.94"/>
    <d v="2025-02-07T00:00:00"/>
    <s v="CISEAUX EXPERT PLASTIFIEUSE CISEAUX EXPERT"/>
    <m/>
    <e v="#N/A"/>
    <e v="#N/A"/>
    <n v="71281"/>
    <s v="11"/>
    <s v="OFFICE DEPOT"/>
    <s v="Q1"/>
    <e v="#REF!"/>
    <e v="#REF!"/>
    <e v="#REF!"/>
  </r>
  <r>
    <s v="606320"/>
    <x v="6"/>
    <s v="ACHATS - Petits Equipements"/>
    <s v="AC"/>
    <n v="12.41"/>
    <d v="2025-11-14T00:00:00"/>
    <s v="CROCHETS PORTE-MANTEAUX POUR SANITAIRES"/>
    <m/>
    <e v="#N/A"/>
    <e v="#N/A"/>
    <n v="91444"/>
    <s v="539089"/>
    <s v="LEROY MERLIN"/>
    <s v="Q4"/>
    <e v="#REF!"/>
    <e v="#REF!"/>
    <e v="#REF!"/>
  </r>
  <r>
    <s v="606320"/>
    <x v="6"/>
    <s v="ACHATS - Petits Equipements"/>
    <s v="AC"/>
    <n v="15.7"/>
    <d v="2025-04-01T00:00:00"/>
    <s v="TÉ RACCORDEMENT ASPIRATION"/>
    <m/>
    <e v="#N/A"/>
    <e v="#N/A"/>
    <n v="68979"/>
    <s v="10"/>
    <s v="MANUTAN"/>
    <s v="Q2"/>
    <e v="#REF!"/>
    <e v="#REF!"/>
    <e v="#REF!"/>
  </r>
  <r>
    <s v="606320"/>
    <x v="6"/>
    <s v="ACHATS - Petits Equipements"/>
    <s v="AC"/>
    <n v="23.07"/>
    <d v="2025-07-10T00:00:00"/>
    <s v="CRÉATION ARRIVÉE D'AIR ENTRÉE BÂTIMENT (POMPE DÉCHETS + KL + LABORATOIRE) + CHANGEMENT FILTRE ARRIVÉE PILOTE"/>
    <m/>
    <e v="#N/A"/>
    <e v="#N/A"/>
    <n v="80876"/>
    <s v="487019486"/>
    <s v="RS COMPONENT"/>
    <s v="Q3"/>
    <e v="#REF!"/>
    <e v="#REF!"/>
    <e v="#REF!"/>
  </r>
  <r>
    <s v="606320"/>
    <x v="6"/>
    <s v="ACHATS - Petits Equipements"/>
    <s v="AC"/>
    <n v="26.1"/>
    <d v="2025-02-10T00:00:00"/>
    <s v="FLACON PE POUR LA POMPE DE PRÉLÈVEMENT"/>
    <m/>
    <e v="#N/A"/>
    <e v="#N/A"/>
    <n v="61445"/>
    <s v="4173205"/>
    <s v="ROTH SOCHIEL"/>
    <s v="Q1"/>
    <e v="#REF!"/>
    <e v="#REF!"/>
    <e v="#REF!"/>
  </r>
  <r>
    <s v="606320"/>
    <x v="6"/>
    <s v="ACHATS - Petits Equipements"/>
    <s v="AC"/>
    <n v="27.6"/>
    <d v="2025-02-23T00:00:00"/>
    <s v="ENVOI COLIS VINCENT ET BENOÎT"/>
    <m/>
    <s v="Non"/>
    <e v="#N/A"/>
    <n v="61552"/>
    <s v="152"/>
    <s v="DIVERS"/>
    <s v="Q1"/>
    <e v="#REF!"/>
    <e v="#REF!"/>
    <e v="#REF!"/>
  </r>
  <r>
    <s v="606320"/>
    <x v="6"/>
    <s v="ACHATS - Petits Equipements"/>
    <s v="AC"/>
    <n v="36.299999999999997"/>
    <d v="2025-03-22T00:00:00"/>
    <s v="ARDOISE ET AIMANTS CHIMISTES"/>
    <m/>
    <s v="Non"/>
    <e v="#N/A"/>
    <n v="67864"/>
    <s v="23"/>
    <s v="DIVERS"/>
    <s v="Q1"/>
    <e v="#REF!"/>
    <e v="#REF!"/>
    <e v="#REF!"/>
  </r>
  <r>
    <s v="606320"/>
    <x v="6"/>
    <s v="ACHATS - Petits Equipements"/>
    <s v="AC"/>
    <n v="42.8"/>
    <d v="2025-03-03T00:00:00"/>
    <s v="ELECTROLYTE"/>
    <m/>
    <e v="#N/A"/>
    <e v="#N/A"/>
    <n v="67829"/>
    <s v="4174395"/>
    <s v="ROTH SOCHIEL"/>
    <s v="Q1"/>
    <e v="#REF!"/>
    <e v="#REF!"/>
    <e v="#REF!"/>
  </r>
  <r>
    <s v="606320"/>
    <x v="6"/>
    <s v="ACHATS - Petits Equipements"/>
    <s v="AC"/>
    <n v="45.99"/>
    <d v="2025-08-22T00:00:00"/>
    <s v="COMPARTIMENTS POUR CAISSES DE TRANSPORT DE BOUTEILLES EN VERRE (POUR LE TRANSPORT DES BOUTEILLES EN VERRE ENTRE LE STOCKAGE ET L"/>
    <m/>
    <e v="#N/A"/>
    <e v="#N/A"/>
    <n v="82211"/>
    <s v="AR1937586"/>
    <s v="AUER"/>
    <s v="Q3"/>
    <e v="#REF!"/>
    <e v="#REF!"/>
    <e v="#REF!"/>
  </r>
  <r>
    <s v="606320"/>
    <x v="6"/>
    <s v="ACHATS - Petits Equipements"/>
    <s v="AC"/>
    <n v="46.56"/>
    <d v="2025-05-28T00:00:00"/>
    <s v="DÉTENDEURS FILTRE À PLAQUES : DÉTENDEUR CASSÉ +&gt; ACHAT D'UN DÉTENDEUR POUR LE REMPLACER + 1 EN SPARE PARTS"/>
    <m/>
    <e v="#N/A"/>
    <e v="#N/A"/>
    <n v="77988"/>
    <s v="11"/>
    <s v="RS COMPONENT"/>
    <s v="Q2"/>
    <e v="#REF!"/>
    <e v="#REF!"/>
    <e v="#REF!"/>
  </r>
  <r>
    <s v="606320"/>
    <x v="6"/>
    <s v="ACHATS - Petits Equipements"/>
    <s v="AC"/>
    <n v="49.62"/>
    <d v="2025-08-26T00:00:00"/>
    <s v="JEU DE CLÉS TORX 6 - 15 (TCU KILOLAB)"/>
    <m/>
    <e v="#N/A"/>
    <e v="#N/A"/>
    <n v="82358"/>
    <s v="487240865"/>
    <s v="RS COMPONENT"/>
    <s v="Q3"/>
    <e v="#REF!"/>
    <e v="#REF!"/>
    <e v="#REF!"/>
  </r>
  <r>
    <s v="606320"/>
    <x v="6"/>
    <s v="ACHATS - Petits Equipements"/>
    <s v="AC"/>
    <n v="66.83"/>
    <d v="2025-04-24T00:00:00"/>
    <s v="CHARGEUR BATTERIE ASPIRATEUR (MAINTENANCE TCU KILOLAB - PILOTE) VU AVEC ASG"/>
    <m/>
    <e v="#N/A"/>
    <e v="#N/A"/>
    <n v="73737"/>
    <s v="M010016112"/>
    <s v="MANUTAN"/>
    <s v="Q2"/>
    <e v="#REF!"/>
    <e v="#REF!"/>
    <e v="#REF!"/>
  </r>
  <r>
    <s v="606320"/>
    <x v="6"/>
    <s v="ACHATS - Petits Equipements"/>
    <s v="AC"/>
    <n v="69.900000000000006"/>
    <d v="2025-05-13T00:00:00"/>
    <s v="SPOT DE CHANTIER (POUR INSTALLATION NUIT BLANCHE PASTEUR)"/>
    <m/>
    <e v="#N/A"/>
    <e v="#N/A"/>
    <n v="78756"/>
    <s v="5"/>
    <s v="LEROY MERLIN"/>
    <s v="Q2"/>
    <e v="#REF!"/>
    <e v="#REF!"/>
    <e v="#REF!"/>
  </r>
  <r>
    <s v="606320"/>
    <x v="6"/>
    <s v="ACHATS - Petits Equipements"/>
    <s v="AC"/>
    <n v="83.1"/>
    <d v="2025-09-09T00:00:00"/>
    <s v="REVÊTEMENT SERVANTES"/>
    <m/>
    <e v="#N/A"/>
    <e v="#N/A"/>
    <n v="82976"/>
    <s v="1670"/>
    <s v="RAPTOR FRANCE"/>
    <s v="Q3"/>
    <e v="#REF!"/>
    <e v="#REF!"/>
    <e v="#REF!"/>
  </r>
  <r>
    <s v="606320"/>
    <x v="6"/>
    <s v="ACHATS - Petits Equipements"/>
    <s v="AC"/>
    <n v="93.19"/>
    <d v="2025-07-10T00:00:00"/>
    <s v="CRÉATION ARRIVÉE D'AIR ENTRÉE BÂTIMENT (POMPE DÉCHETS + KL + LABORATOIRE) + CHANGEMENT FILTRE ARRIVÉE PILOTE"/>
    <m/>
    <e v="#N/A"/>
    <e v="#N/A"/>
    <n v="80871"/>
    <s v="487019486"/>
    <s v="RS COMPONENT"/>
    <s v="Q3"/>
    <e v="#REF!"/>
    <e v="#REF!"/>
    <e v="#REF!"/>
  </r>
  <r>
    <s v="606320"/>
    <x v="6"/>
    <s v="ACHATS - Petits Equipements"/>
    <s v="AC"/>
    <n v="101.16"/>
    <d v="2025-01-30T00:00:00"/>
    <s v="RACCORD BOUCHON POMPE À VIDE D582-02 X 11"/>
    <m/>
    <e v="#N/A"/>
    <e v="#N/A"/>
    <n v="61339"/>
    <s v="70"/>
    <s v="BOHLENDER"/>
    <s v="Q1"/>
    <e v="#REF!"/>
    <e v="#REF!"/>
    <e v="#REF!"/>
  </r>
  <r>
    <s v="606320"/>
    <x v="6"/>
    <s v="ACHATS - Petits Equipements"/>
    <s v="AC"/>
    <n v="102.13"/>
    <d v="2025-01-07T00:00:00"/>
    <s v="POMPE DE PRÉLÈVEMENT D'ÉCHANTILLONS"/>
    <m/>
    <e v="#N/A"/>
    <e v="#N/A"/>
    <n v="59857"/>
    <s v="4171344"/>
    <s v="ROTH SOCHIEL"/>
    <s v="Q1"/>
    <e v="#REF!"/>
    <e v="#REF!"/>
    <e v="#REF!"/>
  </r>
  <r>
    <s v="606320"/>
    <x v="6"/>
    <s v="ACHATS - Petits Equipements"/>
    <s v="AC"/>
    <n v="121.75"/>
    <d v="2025-05-23T00:00:00"/>
    <s v="TOURNEVIS DYNAMOMÉTRIQUE 1-5 NM (ÉQUIPEMENTS POUR MAINTENANCE POMPES À VIDE / POMPE DE CHARGEMENT)"/>
    <m/>
    <e v="#N/A"/>
    <e v="#N/A"/>
    <n v="78363"/>
    <s v="3"/>
    <s v="WURTH FRANCE"/>
    <s v="Q2"/>
    <e v="#REF!"/>
    <e v="#REF!"/>
    <e v="#REF!"/>
  </r>
  <r>
    <s v="606320"/>
    <x v="6"/>
    <s v="ACHATS - Petits Equipements"/>
    <s v="AC"/>
    <n v="126.94"/>
    <d v="2025-02-11T00:00:00"/>
    <s v="PETIT ÉQUIPEMENT BUREAUX CHIMISTES (PLASTIFIEUSE, FEUILLES DE PLASTIQUES, ...)"/>
    <m/>
    <e v="#N/A"/>
    <e v="#N/A"/>
    <n v="61460"/>
    <s v="117"/>
    <s v="OFFICE DEPOT"/>
    <s v="Q1"/>
    <e v="#REF!"/>
    <e v="#REF!"/>
    <e v="#REF!"/>
  </r>
  <r>
    <s v="606320"/>
    <x v="6"/>
    <s v="ACHATS - Petits Equipements"/>
    <s v="AC"/>
    <n v="128.83000000000001"/>
    <d v="2025-05-30T00:00:00"/>
    <s v="MATÉRIEL MARIE-SARAH EXPOSITION PASTEUR JUIN 2025"/>
    <m/>
    <e v="#N/A"/>
    <e v="#N/A"/>
    <n v="77996"/>
    <s v="13"/>
    <s v="ROUGIER ET PIE"/>
    <s v="Q2"/>
    <e v="#REF!"/>
    <e v="#REF!"/>
    <e v="#REF!"/>
  </r>
  <r>
    <s v="606320"/>
    <x v="6"/>
    <s v="ACHATS - Petits Equipements"/>
    <s v="AC"/>
    <n v="131"/>
    <d v="2025-05-14T00:00:00"/>
    <s v="ACCESSOIRE LABO ANALYSES R."/>
    <m/>
    <e v="#N/A"/>
    <e v="#N/A"/>
    <n v="73784"/>
    <s v="8053475547"/>
    <s v="Sigma-Aldrich chimie"/>
    <s v="Q2"/>
    <e v="#REF!"/>
    <e v="#REF!"/>
    <e v="#REF!"/>
  </r>
  <r>
    <s v="606320"/>
    <x v="6"/>
    <s v="ACHATS - Petits Equipements"/>
    <s v="AC"/>
    <n v="139.83000000000001"/>
    <d v="2025-06-19T00:00:00"/>
    <s v="DIPHOTÉRINE POUR ACCIDENT ACIDE OU BASE"/>
    <m/>
    <e v="#N/A"/>
    <e v="#N/A"/>
    <n v="78047"/>
    <s v="30"/>
    <s v="NMMEDICAL"/>
    <s v="Q2"/>
    <e v="#REF!"/>
    <e v="#REF!"/>
    <e v="#REF!"/>
  </r>
  <r>
    <s v="606320"/>
    <x v="6"/>
    <s v="ACHATS - Petits Equipements"/>
    <s v="AC"/>
    <n v="141.66"/>
    <d v="2025-01-01T00:00:00"/>
    <s v="ASPIRATEUR BATTERIE PETITES SURFACES"/>
    <m/>
    <e v="#N/A"/>
    <e v="#N/A"/>
    <n v="63996"/>
    <s v="7"/>
    <s v="MANO MANO"/>
    <s v="Q1"/>
    <e v="#REF!"/>
    <e v="#REF!"/>
    <e v="#REF!"/>
  </r>
  <r>
    <s v="606320"/>
    <x v="6"/>
    <s v="ACHATS - Petits Equipements"/>
    <s v="AC"/>
    <n v="144"/>
    <d v="2025-07-16T00:00:00"/>
    <s v="SACS DE SABLES POUR LES CHIMISTES"/>
    <m/>
    <e v="#N/A"/>
    <e v="#N/A"/>
    <n v="82178"/>
    <s v="7"/>
    <s v="MANUTAN"/>
    <s v="Q3"/>
    <e v="#REF!"/>
    <e v="#REF!"/>
    <e v="#REF!"/>
  </r>
  <r>
    <s v="606320"/>
    <x v="6"/>
    <s v="ACHATS - Petits Equipements"/>
    <s v="AC"/>
    <n v="148.63"/>
    <d v="2025-07-10T00:00:00"/>
    <s v="CRÉATION ARRIVÉE D'AIR ENTRÉE BÂTIMENT (POMPE DÉCHETS + KL + LABORATOIRE) + CHANGEMENT FILTRE ARRIVÉE PILOTE"/>
    <m/>
    <e v="#N/A"/>
    <e v="#N/A"/>
    <n v="80879"/>
    <s v="487019486"/>
    <s v="RS COMPONENT"/>
    <s v="Q3"/>
    <e v="#REF!"/>
    <e v="#REF!"/>
    <e v="#REF!"/>
  </r>
  <r>
    <s v="606320"/>
    <x v="6"/>
    <s v="ACHATS - Petits Equipements"/>
    <s v="AC"/>
    <n v="153.6"/>
    <d v="2025-07-31T00:00:00"/>
    <s v="CLARINETTE POUR KL"/>
    <m/>
    <e v="#N/A"/>
    <e v="#N/A"/>
    <n v="82283"/>
    <s v="14003587"/>
    <s v="OPTIMUS"/>
    <s v="Q3"/>
    <e v="#REF!"/>
    <e v="#REF!"/>
    <e v="#REF!"/>
  </r>
  <r>
    <s v="606320"/>
    <x v="6"/>
    <s v="ACHATS - Petits Equipements"/>
    <s v="AC"/>
    <n v="154.72"/>
    <d v="2025-04-03T00:00:00"/>
    <s v="VANNE 3 VOIES R1000 (E654-08)"/>
    <m/>
    <e v="#N/A"/>
    <e v="#N/A"/>
    <n v="69903"/>
    <s v="22502"/>
    <s v="BOHLENDER"/>
    <s v="Q2"/>
    <e v="#REF!"/>
    <e v="#REF!"/>
    <e v="#REF!"/>
  </r>
  <r>
    <s v="606320"/>
    <x v="6"/>
    <s v="ACHATS - Petits Equipements"/>
    <s v="AC"/>
    <n v="155.02000000000001"/>
    <d v="2025-10-13T00:00:00"/>
    <s v="FLEXIBLE PU ANTISTATIQUE POUR RACCORDEMENT EN AIR DES VANNES TOR CADENAS DISJONCTEUR"/>
    <m/>
    <e v="#N/A"/>
    <e v="#N/A"/>
    <n v="89609"/>
    <s v="17"/>
    <s v="RS COMPONENT"/>
    <s v="Q4"/>
    <e v="#REF!"/>
    <e v="#REF!"/>
    <e v="#REF!"/>
  </r>
  <r>
    <s v="606320"/>
    <x v="6"/>
    <s v="ACHATS - Petits Equipements"/>
    <s v="AC"/>
    <n v="175"/>
    <d v="2025-02-05T00:00:00"/>
    <s v="COLONNE HPLC LABO ROUSSILLON"/>
    <m/>
    <e v="#N/A"/>
    <e v="#N/A"/>
    <n v="61412"/>
    <s v="CIFR-25000477"/>
    <s v="PHENOMENEX"/>
    <s v="Q1"/>
    <e v="#REF!"/>
    <e v="#REF!"/>
    <e v="#REF!"/>
  </r>
  <r>
    <s v="606320"/>
    <x v="6"/>
    <s v="ACHATS - Petits Equipements"/>
    <s v="AC"/>
    <n v="175"/>
    <d v="2025-02-28T00:00:00"/>
    <s v="CHARIOT À PLATEAUX ROTILABO ACIER INOX. 18/0, AVEC 2 PLATEAUX"/>
    <m/>
    <e v="#N/A"/>
    <e v="#N/A"/>
    <n v="64133"/>
    <s v="4174305"/>
    <s v="ROTH SOCHIEL"/>
    <s v="Q1"/>
    <e v="#REF!"/>
    <e v="#REF!"/>
    <e v="#REF!"/>
  </r>
  <r>
    <s v="606320"/>
    <x v="6"/>
    <s v="ACHATS - Petits Equipements"/>
    <s v="AC"/>
    <n v="195.83"/>
    <d v="2025-02-06T00:00:00"/>
    <s v="PHMÈTRE REF: 701012"/>
    <m/>
    <s v="Non"/>
    <e v="#N/A"/>
    <n v="61434"/>
    <s v="108"/>
    <s v="DIVERS"/>
    <s v="Q1"/>
    <e v="#REF!"/>
    <e v="#REF!"/>
    <e v="#REF!"/>
  </r>
  <r>
    <s v="606320"/>
    <x v="6"/>
    <s v="ACHATS - Petits Equipements"/>
    <s v="AC"/>
    <n v="201.78"/>
    <d v="2025-02-04T00:00:00"/>
    <s v="ACCESSOIRE KL - FLACONS LAVEURS -  VERRERIE VILLERUBANNE"/>
    <m/>
    <s v="Non"/>
    <e v="#N/A"/>
    <n v="64542"/>
    <s v="10000516"/>
    <s v="DIVERS"/>
    <s v="Q1"/>
    <e v="#REF!"/>
    <e v="#REF!"/>
    <e v="#REF!"/>
  </r>
  <r>
    <s v="606320"/>
    <x v="6"/>
    <s v="ACHATS - Petits Equipements"/>
    <s v="AC"/>
    <n v="208.86"/>
    <d v="2025-07-24T00:00:00"/>
    <s v="SEAUX 5L"/>
    <m/>
    <e v="#N/A"/>
    <e v="#N/A"/>
    <n v="80890"/>
    <s v="M010330293"/>
    <s v="MANUTAN"/>
    <s v="Q3"/>
    <e v="#REF!"/>
    <e v="#REF!"/>
    <e v="#REF!"/>
  </r>
  <r>
    <s v="606320"/>
    <x v="6"/>
    <s v="ACHATS - Petits Equipements"/>
    <s v="AC"/>
    <n v="220.98"/>
    <d v="2025-05-21T00:00:00"/>
    <s v="BOUCHONS MOULÉS"/>
    <m/>
    <e v="#N/A"/>
    <e v="#N/A"/>
    <n v="94879"/>
    <s v="FRFQ24183"/>
    <s v="COTRAL LAB"/>
    <s v="Q2"/>
    <e v="#REF!"/>
    <e v="#REF!"/>
    <e v="#REF!"/>
  </r>
  <r>
    <s v="606320"/>
    <x v="6"/>
    <s v="ACHATS - Petits Equipements"/>
    <s v="AC"/>
    <n v="244.62"/>
    <d v="2025-01-17T00:00:00"/>
    <s v="ACCESSOIRES SITE ROUSSILLON"/>
    <m/>
    <e v="#N/A"/>
    <e v="#N/A"/>
    <n v="59890"/>
    <s v="M009631483du"/>
    <s v="MANUTAN"/>
    <s v="Q1"/>
    <e v="#REF!"/>
    <e v="#REF!"/>
    <e v="#REF!"/>
  </r>
  <r>
    <s v="606320"/>
    <x v="6"/>
    <s v="ACHATS - Petits Equipements"/>
    <s v="AC"/>
    <n v="261"/>
    <d v="2025-04-01T00:00:00"/>
    <s v="TUBE BRUN RAJA D60 LONG500"/>
    <m/>
    <e v="#N/A"/>
    <e v="#N/A"/>
    <n v="71302"/>
    <s v="25F075847"/>
    <s v="RAJA"/>
    <s v="Q2"/>
    <e v="#REF!"/>
    <e v="#REF!"/>
    <e v="#REF!"/>
  </r>
  <r>
    <s v="606320"/>
    <x v="6"/>
    <s v="ACHATS - Petits Equipements"/>
    <s v="AC"/>
    <n v="263.92"/>
    <d v="2025-03-21T00:00:00"/>
    <s v="BOUCHON REMPLISSAGE IBC DÉCHETS AVEC RACCORDS POMPE"/>
    <m/>
    <s v="Non"/>
    <e v="#N/A"/>
    <n v="66085"/>
    <s v="69"/>
    <s v="DIVERS"/>
    <s v="Q1"/>
    <e v="#REF!"/>
    <e v="#REF!"/>
    <e v="#REF!"/>
  </r>
  <r>
    <s v="606320"/>
    <x v="6"/>
    <s v="ACHATS - Petits Equipements"/>
    <s v="AC"/>
    <n v="280.72000000000003"/>
    <d v="2025-02-12T00:00:00"/>
    <s v="ACCESSOIRES LABO &amp; KL"/>
    <m/>
    <e v="#N/A"/>
    <e v="#N/A"/>
    <n v="61477"/>
    <s v="M009726521du"/>
    <s v="MANUTAN"/>
    <s v="Q1"/>
    <e v="#REF!"/>
    <e v="#REF!"/>
    <e v="#REF!"/>
  </r>
  <r>
    <s v="606320"/>
    <x v="6"/>
    <s v="ACHATS - Petits Equipements"/>
    <s v="AC"/>
    <n v="292.02999999999997"/>
    <d v="2025-10-07T00:00:00"/>
    <s v="PALETTES EUROPE, ORGANISEURS POUR RANGER RACCORDS, BAC RÉTENTION LABO"/>
    <m/>
    <e v="#N/A"/>
    <e v="#N/A"/>
    <n v="89596"/>
    <s v="11"/>
    <s v="MANUTAN"/>
    <s v="Q4"/>
    <e v="#REF!"/>
    <e v="#REF!"/>
    <e v="#REF!"/>
  </r>
  <r>
    <s v="606320"/>
    <x v="6"/>
    <s v="ACHATS - Petits Equipements"/>
    <s v="AC"/>
    <n v="330.5"/>
    <d v="2025-03-26T00:00:00"/>
    <s v="GAINE D'ASPIRATION POUR ÉTUVES REF: 136-9517"/>
    <m/>
    <e v="#N/A"/>
    <e v="#N/A"/>
    <n v="66068"/>
    <s v="3010224843"/>
    <s v="RS COMPONENT"/>
    <s v="Q1"/>
    <e v="#REF!"/>
    <e v="#REF!"/>
    <e v="#REF!"/>
  </r>
  <r>
    <s v="606320"/>
    <x v="6"/>
    <s v="ACHATS - Petits Equipements"/>
    <s v="AC"/>
    <n v="341.1"/>
    <d v="2025-12-19T00:00:00"/>
    <s v="COMMANDE DE VERRERIE POUR LE LABORATOIRE DU KB"/>
    <m/>
    <e v="#N/A"/>
    <e v="#N/A"/>
    <n v="95137"/>
    <s v="0191130"/>
    <s v="CLOUP"/>
    <s v="Q4"/>
    <e v="#REF!"/>
    <e v="#REF!"/>
    <e v="#REF!"/>
  </r>
  <r>
    <s v="606320"/>
    <x v="6"/>
    <s v="ACHATS - Petits Equipements"/>
    <s v="AC"/>
    <n v="341.51"/>
    <d v="2025-09-15T00:00:00"/>
    <s v="VERRERIE POUR LABORATOIRE R. ET DIVERS PETIT MATÉRIEL POUR PILOT / KL"/>
    <m/>
    <e v="#N/A"/>
    <e v="#N/A"/>
    <n v="82349"/>
    <s v="0189538"/>
    <s v="CLOUP"/>
    <s v="Q3"/>
    <e v="#REF!"/>
    <e v="#REF!"/>
    <e v="#REF!"/>
  </r>
  <r>
    <s v="606320"/>
    <x v="6"/>
    <s v="ACHATS - Petits Equipements"/>
    <s v="AC"/>
    <n v="429.74"/>
    <d v="2025-02-25T00:00:00"/>
    <s v="BALLONS GRAD. BLAUBRAND, CL.A, BOUCH. PP FIOLES À VIDE ROTILABO FIOLES À VIDE ROTILABO JEU GUKO, EPDM"/>
    <m/>
    <e v="#N/A"/>
    <e v="#N/A"/>
    <n v="64119"/>
    <s v="4174059"/>
    <s v="ROTH SOCHIEL"/>
    <s v="Q1"/>
    <e v="#REF!"/>
    <e v="#REF!"/>
    <e v="#REF!"/>
  </r>
  <r>
    <s v="606320"/>
    <x v="6"/>
    <s v="ACHATS - Petits Equipements"/>
    <s v="AC"/>
    <n v="468.24"/>
    <d v="2025-02-22T00:00:00"/>
    <s v="EQUIPEMENT CHIMISTE (SABLE, PELLES, BACS DE TRANSPORT SPÉCIFIQUES, ...)"/>
    <m/>
    <e v="#N/A"/>
    <e v="#N/A"/>
    <n v="67811"/>
    <s v="5"/>
    <s v="MANUTAN"/>
    <s v="Q1"/>
    <e v="#REF!"/>
    <e v="#REF!"/>
    <e v="#REF!"/>
  </r>
  <r>
    <s v="606320"/>
    <x v="6"/>
    <s v="ACHATS - Petits Equipements"/>
    <s v="AC"/>
    <n v="537.36"/>
    <d v="2025-01-09T00:00:00"/>
    <s v="ARMOIRE EPI ATELIER PILOTE / KL"/>
    <m/>
    <e v="#N/A"/>
    <e v="#N/A"/>
    <n v="59880"/>
    <s v="18"/>
    <s v="DENIOS"/>
    <s v="Q1"/>
    <e v="#REF!"/>
    <e v="#REF!"/>
    <e v="#REF!"/>
  </r>
  <r>
    <s v="606320"/>
    <x v="6"/>
    <s v="ACHATS - Petits Equipements"/>
    <s v="AC"/>
    <n v="543"/>
    <d v="2025-01-24T00:00:00"/>
    <s v="FOURNITURE FILTRES A POCHE 287*592*25 F7"/>
    <m/>
    <e v="#N/A"/>
    <e v="#N/A"/>
    <n v="64015"/>
    <s v="FA005083"/>
    <s v="3BCLIM"/>
    <s v="Q1"/>
    <e v="#REF!"/>
    <e v="#REF!"/>
    <e v="#REF!"/>
  </r>
  <r>
    <s v="606320"/>
    <x v="6"/>
    <s v="ACHATS - Petits Equipements"/>
    <s v="AC"/>
    <n v="544.78"/>
    <d v="2025-01-01T00:00:00"/>
    <s v="COMPLEMENT COTECOTE TRAVAUX D'ÉLECTRICITÉ DANS LE LABO + RACCORDEMENT AÉROTHERME"/>
    <m/>
    <e v="#N/A"/>
    <e v="#N/A"/>
    <n v="90197"/>
    <m/>
    <s v="COTE"/>
    <s v="Q1"/>
    <e v="#REF!"/>
    <e v="#REF!"/>
    <e v="#REF!"/>
  </r>
  <r>
    <s v="606320"/>
    <x v="6"/>
    <s v="ACHATS - Petits Equipements"/>
    <s v="AC"/>
    <n v="597.25"/>
    <d v="2025-03-07T00:00:00"/>
    <s v="ELECTRODE PH POUR KL"/>
    <m/>
    <e v="#N/A"/>
    <e v="#N/A"/>
    <n v="68974"/>
    <s v="788139642"/>
    <s v="METTLER TOLEDO"/>
    <s v="Q1"/>
    <e v="#REF!"/>
    <e v="#REF!"/>
    <e v="#REF!"/>
  </r>
  <r>
    <s v="606320"/>
    <x v="6"/>
    <s v="ACHATS - Petits Equipements"/>
    <s v="AC"/>
    <n v="682"/>
    <d v="2025-06-27T00:00:00"/>
    <s v="PAC 6500 SO2 0-100 PPM STANDARD"/>
    <m/>
    <e v="#N/A"/>
    <e v="#N/A"/>
    <n v="77296"/>
    <s v="FC96819"/>
    <s v="GAZ DETECT"/>
    <s v="Q2"/>
    <e v="#REF!"/>
    <e v="#REF!"/>
    <e v="#REF!"/>
  </r>
  <r>
    <s v="606320"/>
    <x v="6"/>
    <s v="ACHATS - Petits Equipements"/>
    <s v="AC"/>
    <n v="715.89"/>
    <d v="2025-07-31T00:00:00"/>
    <s v="PETIT MATÉRIEL POUR MAINTENANCE ROUSSILLON : PERCEUSE, TOURNEVIS,..."/>
    <m/>
    <e v="#N/A"/>
    <e v="#N/A"/>
    <n v="80907"/>
    <s v="4 471 111"/>
    <s v="MAXOUTILS"/>
    <s v="Q3"/>
    <e v="#REF!"/>
    <e v="#REF!"/>
    <e v="#REF!"/>
  </r>
  <r>
    <s v="606320"/>
    <x v="6"/>
    <s v="ACHATS - Petits Equipements"/>
    <s v="AC"/>
    <n v="750"/>
    <d v="2025-03-14T00:00:00"/>
    <s v="AGITATEUR MAGNÉTIQUE CHAUFFANT LABO R."/>
    <m/>
    <e v="#N/A"/>
    <e v="#N/A"/>
    <n v="66039"/>
    <s v="187096"/>
    <s v="CLOUP"/>
    <s v="Q1"/>
    <e v="#REF!"/>
    <e v="#REF!"/>
    <e v="#REF!"/>
  </r>
  <r>
    <s v="606320"/>
    <x v="6"/>
    <s v="ACHATS - Petits Equipements"/>
    <s v="AC"/>
    <n v="765"/>
    <d v="2025-02-17T00:00:00"/>
    <s v="COLONNE HPLC LABO ROUSSILLON"/>
    <m/>
    <e v="#N/A"/>
    <e v="#N/A"/>
    <n v="61507"/>
    <s v="CIFR-25000680"/>
    <s v="PHENOMENEX"/>
    <s v="Q1"/>
    <e v="#REF!"/>
    <e v="#REF!"/>
    <e v="#REF!"/>
  </r>
  <r>
    <s v="606320"/>
    <x v="6"/>
    <s v="ACHATS - Petits Equipements"/>
    <s v="AC"/>
    <n v="855"/>
    <d v="2025-02-18T00:00:00"/>
    <s v="COLONNE HPLC LABO ROUSSILLON"/>
    <m/>
    <e v="#N/A"/>
    <e v="#N/A"/>
    <n v="61526"/>
    <s v="CIFR-25000698"/>
    <s v="PHENOMENEX"/>
    <s v="Q1"/>
    <e v="#REF!"/>
    <e v="#REF!"/>
    <e v="#REF!"/>
  </r>
  <r>
    <s v="606320"/>
    <x v="6"/>
    <s v="ACHATS - Petits Equipements"/>
    <s v="AC"/>
    <n v="864.5"/>
    <d v="2025-02-03T00:00:00"/>
    <s v="BAC DE RÉTENTION DE FÛTS D'EFFLUENTS DANS L'ATELIER"/>
    <m/>
    <e v="#N/A"/>
    <e v="#N/A"/>
    <n v="68961"/>
    <s v="922045638"/>
    <s v="DENIOS"/>
    <s v="Q1"/>
    <e v="#REF!"/>
    <e v="#REF!"/>
    <e v="#REF!"/>
  </r>
  <r>
    <s v="606320"/>
    <x v="6"/>
    <s v="ACHATS - Petits Equipements"/>
    <s v="AC"/>
    <n v="941"/>
    <d v="2025-03-03T00:00:00"/>
    <s v="DÉTECTEUR NO2 AVEC OPTION MAINTENANCE"/>
    <m/>
    <e v="#N/A"/>
    <e v="#N/A"/>
    <n v="66048"/>
    <s v="FC94298"/>
    <s v="GAZ DETECT"/>
    <s v="Q1"/>
    <e v="#REF!"/>
    <e v="#REF!"/>
    <e v="#REF!"/>
  </r>
  <r>
    <s v="606320"/>
    <x v="6"/>
    <s v="ACHATS - Petits Equipements"/>
    <s v="AC"/>
    <n v="1057.0999999999999"/>
    <d v="2025-04-16T00:00:00"/>
    <s v="TURBINE RUSHTON - KL - PROJET KEENY ET AUTRES PROJETS"/>
    <m/>
    <e v="#N/A"/>
    <e v="#N/A"/>
    <n v="69820"/>
    <s v="14003367"/>
    <s v="OPTIMUS"/>
    <s v="Q2"/>
    <e v="#REF!"/>
    <e v="#REF!"/>
    <e v="#REF!"/>
  </r>
  <r>
    <s v="606320"/>
    <x v="6"/>
    <s v="ACHATS - Petits Equipements"/>
    <s v="AC"/>
    <n v="1067.04"/>
    <d v="2025-12-18T00:00:00"/>
    <s v="POSE TÉLÉPHONE LISA BÂTIMENT E46"/>
    <s v="Non"/>
    <s v="Non"/>
    <e v="#N/A"/>
    <n v="93647"/>
    <s v="93814306"/>
    <s v="OSIRIS"/>
    <s v="Q4"/>
    <e v="#REF!"/>
    <e v="#REF!"/>
    <e v="#REF!"/>
  </r>
  <r>
    <s v="606320"/>
    <x v="6"/>
    <s v="ACHATS - Petits Equipements"/>
    <s v="AC"/>
    <n v="1253.5"/>
    <d v="2025-07-24T00:00:00"/>
    <s v="MODIFICATION FILTRE À PLAQUES :  - AJOUT BAC DE RÉTENTION - AJOUT SUPPORT SEAU 30L"/>
    <m/>
    <e v="#N/A"/>
    <e v="#N/A"/>
    <n v="81337"/>
    <s v="RMG-020255"/>
    <s v="RIVOIRE"/>
    <s v="Q3"/>
    <e v="#REF!"/>
    <e v="#REF!"/>
    <e v="#REF!"/>
  </r>
  <r>
    <s v="606320"/>
    <x v="6"/>
    <s v="ACHATS - Petits Equipements"/>
    <s v="AC"/>
    <n v="2237.1799999999998"/>
    <d v="2025-07-31T00:00:00"/>
    <s v="VERRERIE POUR LABORATOIRE R. ET DIVERS PETIT MATÉRIEL POUR PILOT / KL"/>
    <m/>
    <e v="#N/A"/>
    <e v="#N/A"/>
    <n v="81769"/>
    <s v="0189108"/>
    <s v="CLOUP"/>
    <s v="Q3"/>
    <e v="#REF!"/>
    <e v="#REF!"/>
    <e v="#REF!"/>
  </r>
  <r>
    <s v="606320"/>
    <x v="6"/>
    <s v="ACHATS - Petits Equipements"/>
    <s v="AC"/>
    <n v="13200"/>
    <d v="2025-08-29T00:00:00"/>
    <s v="DEMO : ÉCHANGEURS VAPEUR / FLUIDE THERMIQUE (SKIDS THERMIQUES RÉACTEURS) + CONDENSEURS  PAIEMENT : 30% À LA COMMANDE (SEPTEMBRE)"/>
    <s v="Non"/>
    <e v="#N/A"/>
    <e v="#N/A"/>
    <n v="81879"/>
    <s v="VE000170"/>
    <s v="KAPP"/>
    <s v="Q3"/>
    <e v="#REF!"/>
    <e v="#REF!"/>
    <e v="#REF!"/>
  </r>
  <r>
    <s v="606320"/>
    <x v="6"/>
    <s v="ACHATS - Petits Equipements"/>
    <s v="NDF"/>
    <n v="5.58"/>
    <d v="2025-05-16T00:00:00"/>
    <s v="PETIT ÉQUIPEMENT / FOURNITURE - STYLOS"/>
    <m/>
    <e v="#N/A"/>
    <e v="#N/A"/>
    <n v="89187"/>
    <s v="25000111"/>
    <s v="Pauline Rullière"/>
    <s v="Q2"/>
    <e v="#REF!"/>
    <e v="#REF!"/>
    <e v="#REF!"/>
  </r>
  <r>
    <s v="606320"/>
    <x v="6"/>
    <s v="ACHATS - Petits Equipements"/>
    <s v="NDF"/>
    <n v="8.58"/>
    <d v="2025-05-07T00:00:00"/>
    <s v="PETIT ÉQUIPEMENT / FOURNITURE - CAHIERS"/>
    <m/>
    <e v="#N/A"/>
    <e v="#N/A"/>
    <n v="89185"/>
    <s v="25000111"/>
    <s v="Pauline Rullière"/>
    <s v="Q2"/>
    <e v="#REF!"/>
    <e v="#REF!"/>
    <e v="#REF!"/>
  </r>
  <r>
    <s v="606320"/>
    <x v="6"/>
    <s v="ACHATS - Petits Equipements"/>
    <s v="NDF"/>
    <n v="9.99"/>
    <d v="2025-10-16T00:00:00"/>
    <s v="PETIT ÉQUIPEMENT / FOURNITURE - AUCHAN OKABE"/>
    <m/>
    <e v="#N/A"/>
    <e v="#N/A"/>
    <n v="88909"/>
    <s v="25000280"/>
    <s v="Vincent Blanchard"/>
    <s v="Q4"/>
    <e v="#REF!"/>
    <e v="#REF!"/>
    <e v="#REF!"/>
  </r>
  <r>
    <s v="606320"/>
    <x v="6"/>
    <s v="ACHATS - Petits Equipements"/>
    <s v="NDF"/>
    <n v="10.52"/>
    <d v="2025-04-24T00:00:00"/>
    <s v="NOTE DE FRAIS"/>
    <m/>
    <e v="#N/A"/>
    <e v="#N/A"/>
    <n v="74364"/>
    <s v="25000125"/>
    <s v="Filipe Gomes"/>
    <s v="Q2"/>
    <e v="#REF!"/>
    <e v="#REF!"/>
    <e v="#REF!"/>
  </r>
  <r>
    <s v="606320"/>
    <x v="6"/>
    <s v="ACHATS - Petits Equipements"/>
    <s v="NDF"/>
    <n v="11.65"/>
    <d v="2025-06-23T00:00:00"/>
    <s v="PETIT ÉQUIPEMENT / FOURNITURE - CABLE USBC POUR SALLE DE RÉUNION ROUSSILLON"/>
    <m/>
    <e v="#N/A"/>
    <e v="#N/A"/>
    <n v="88782"/>
    <s v="25000200"/>
    <s v="Anne-Sophie Goutierre"/>
    <s v="Q2"/>
    <e v="#REF!"/>
    <e v="#REF!"/>
    <e v="#REF!"/>
  </r>
  <r>
    <s v="606320"/>
    <x v="6"/>
    <s v="ACHATS - Petits Equipements"/>
    <s v="NDF"/>
    <n v="12.46"/>
    <d v="2025-01-01T00:00:00"/>
    <s v="NOTE DE FRAIS"/>
    <m/>
    <e v="#N/A"/>
    <e v="#N/A"/>
    <n v="74151"/>
    <s v="24000391"/>
    <s v="Vincent Blanchard"/>
    <s v="Q1"/>
    <e v="#REF!"/>
    <e v="#REF!"/>
    <e v="#REF!"/>
  </r>
  <r>
    <s v="606320"/>
    <x v="6"/>
    <s v="ACHATS - Petits Equipements"/>
    <s v="NDF"/>
    <n v="12.73"/>
    <d v="2025-12-15T00:00:00"/>
    <s v="PETIT ÉQUIPEMENT / FOURNITURE - CAFÉ ROUSSILLON"/>
    <m/>
    <e v="#N/A"/>
    <e v="#N/A"/>
    <n v="95771"/>
    <s v="25000325"/>
    <s v="Marie Rézeau"/>
    <s v="Q4"/>
    <e v="#REF!"/>
    <e v="#REF!"/>
    <e v="#REF!"/>
  </r>
  <r>
    <s v="606320"/>
    <x v="6"/>
    <s v="ACHATS - Petits Equipements"/>
    <s v="NDF"/>
    <n v="15.67"/>
    <d v="2025-09-26T00:00:00"/>
    <s v="TÉLÉPHONE PORTABLE - REMPLACEMENT ÉCOUTEURS"/>
    <m/>
    <e v="#N/A"/>
    <e v="#N/A"/>
    <n v="89000"/>
    <s v="25000270"/>
    <s v="Kevin Cottet"/>
    <s v="Q3"/>
    <e v="#REF!"/>
    <e v="#REF!"/>
    <e v="#REF!"/>
  </r>
  <r>
    <s v="606320"/>
    <x v="6"/>
    <s v="ACHATS - Petits Equipements"/>
    <s v="NDF"/>
    <n v="16.28"/>
    <d v="2025-07-09T00:00:00"/>
    <s v="PETIT ÉQUIPEMENT / FOURNITURE - JOINTS PÀV (VU AVEC ALAIN)"/>
    <m/>
    <e v="#N/A"/>
    <e v="#N/A"/>
    <n v="88875"/>
    <s v="25000194"/>
    <s v="Marie Rézeau"/>
    <s v="Q3"/>
    <e v="#REF!"/>
    <e v="#REF!"/>
    <e v="#REF!"/>
  </r>
  <r>
    <s v="606320"/>
    <x v="6"/>
    <s v="ACHATS - Petits Equipements"/>
    <s v="NDF"/>
    <n v="17.48"/>
    <d v="2025-12-01T00:00:00"/>
    <s v="PETIT ÉQUIPEMENT / FOURNITURE - AFFICHAGE POSTERS KB ET LYON"/>
    <m/>
    <e v="#N/A"/>
    <e v="#N/A"/>
    <n v="93350"/>
    <s v="25000304"/>
    <s v="Julie Lacondemine"/>
    <s v="Q4"/>
    <e v="#REF!"/>
    <e v="#REF!"/>
    <e v="#REF!"/>
  </r>
  <r>
    <s v="606320"/>
    <x v="6"/>
    <s v="ACHATS - Petits Equipements"/>
    <s v="NDF"/>
    <n v="24.92"/>
    <d v="2025-09-24T00:00:00"/>
    <s v="PETIT ÉQUIPEMENT / FOURNITURE - REMPLACEMENT DE LA SOURIS"/>
    <m/>
    <e v="#N/A"/>
    <e v="#N/A"/>
    <n v="88998"/>
    <s v="25000270"/>
    <s v="Kevin Cottet"/>
    <s v="Q3"/>
    <e v="#REF!"/>
    <e v="#REF!"/>
    <e v="#REF!"/>
  </r>
  <r>
    <s v="606320"/>
    <x v="6"/>
    <s v="ACHATS - Petits Equipements"/>
    <s v="NDF"/>
    <n v="25.37"/>
    <d v="2025-07-16T00:00:00"/>
    <s v="PETIT ÉQUIPEMENT / FOURNITURE - ACHAT VIS URGENT MAINTENANCE"/>
    <m/>
    <e v="#N/A"/>
    <e v="#N/A"/>
    <n v="88867"/>
    <s v="25000194"/>
    <s v="Marie Rézeau"/>
    <s v="Q3"/>
    <e v="#REF!"/>
    <e v="#REF!"/>
    <e v="#REF!"/>
  </r>
  <r>
    <s v="606320"/>
    <x v="6"/>
    <s v="ACHATS - Petits Equipements"/>
    <s v="NDF"/>
    <n v="29.95"/>
    <d v="2025-06-13T00:00:00"/>
    <s v="PETIT ÉQUIPEMENT / FOURNITURE - INSERTS EN MOUSSE POUR RANGEMENT VERRERIE DANS TIROIRS LABO"/>
    <m/>
    <e v="#N/A"/>
    <e v="#N/A"/>
    <n v="88760"/>
    <s v="25000200"/>
    <s v="Anne-Sophie Goutierre"/>
    <s v="Q2"/>
    <e v="#REF!"/>
    <e v="#REF!"/>
    <e v="#REF!"/>
  </r>
  <r>
    <s v="606320"/>
    <x v="6"/>
    <s v="ACHATS - Petits Equipements"/>
    <s v="NDF"/>
    <n v="30.83"/>
    <d v="2025-06-13T00:00:00"/>
    <s v="PETIT ÉQUIPEMENT / FOURNITURE - 2 LIVRES SUR ÉCOLOGIE"/>
    <m/>
    <e v="#N/A"/>
    <e v="#N/A"/>
    <n v="88802"/>
    <s v="25000190"/>
    <s v="Marie-Sarah Adenis"/>
    <s v="Q2"/>
    <e v="#REF!"/>
    <e v="#REF!"/>
    <e v="#REF!"/>
  </r>
  <r>
    <s v="606320"/>
    <x v="6"/>
    <s v="ACHATS - Petits Equipements"/>
    <s v="NDF"/>
    <n v="40.380000000000003"/>
    <d v="2025-11-24T00:00:00"/>
    <s v="PETIT ÉQUIPEMENT / FOURNITURE - DIVERS FOURNITURES BUREAU ROUSSILLON (CAFÉ,...)"/>
    <m/>
    <e v="#N/A"/>
    <e v="#N/A"/>
    <n v="90999"/>
    <s v="25000199"/>
    <s v="Anne-Sophie Goutierre"/>
    <s v="Q4"/>
    <e v="#REF!"/>
    <e v="#REF!"/>
    <e v="#REF!"/>
  </r>
  <r>
    <s v="606320"/>
    <x v="6"/>
    <s v="ACHATS - Petits Equipements"/>
    <s v="NDF"/>
    <n v="41.65"/>
    <d v="2025-11-27T00:00:00"/>
    <s v="PETIT ÉQUIPEMENT / FOURNITURE - CONNECTIQUE POUR PICO PROJECTEUR"/>
    <m/>
    <e v="#N/A"/>
    <e v="#N/A"/>
    <n v="93338"/>
    <s v="25000304"/>
    <s v="Julie Lacondemine"/>
    <s v="Q4"/>
    <e v="#REF!"/>
    <e v="#REF!"/>
    <e v="#REF!"/>
  </r>
  <r>
    <s v="606320"/>
    <x v="6"/>
    <s v="ACHATS - Petits Equipements"/>
    <s v="NDF"/>
    <n v="41.66"/>
    <d v="2025-02-21T00:00:00"/>
    <s v="NOTE DE FRAIS"/>
    <m/>
    <e v="#N/A"/>
    <e v="#N/A"/>
    <n v="73698"/>
    <s v="25000049"/>
    <s v="Anne-Sophie Goutierre"/>
    <s v="Q1"/>
    <e v="#REF!"/>
    <e v="#REF!"/>
    <e v="#REF!"/>
  </r>
  <r>
    <s v="606320"/>
    <x v="6"/>
    <s v="ACHATS - Petits Equipements"/>
    <s v="NDF"/>
    <n v="47.8"/>
    <d v="2025-07-21T00:00:00"/>
    <s v="PETIT ÉQUIPEMENT / FOURNITURE - COURSES ROUSSILLON (CAFÉ, ÉPONGES, SACS POUBELLE,...)"/>
    <m/>
    <e v="#N/A"/>
    <e v="#N/A"/>
    <n v="88772"/>
    <s v="25000200"/>
    <s v="Anne-Sophie Goutierre"/>
    <s v="Q3"/>
    <e v="#REF!"/>
    <e v="#REF!"/>
    <e v="#REF!"/>
  </r>
  <r>
    <s v="606320"/>
    <x v="6"/>
    <s v="ACHATS - Petits Equipements"/>
    <s v="NDF"/>
    <n v="50.15"/>
    <d v="2025-01-07T00:00:00"/>
    <s v="NOTE DE FRAIS"/>
    <m/>
    <e v="#N/A"/>
    <e v="#N/A"/>
    <n v="74171"/>
    <s v="25000014"/>
    <s v="Anne-Sophie Goutierre"/>
    <s v="Q1"/>
    <e v="#REF!"/>
    <e v="#REF!"/>
    <e v="#REF!"/>
  </r>
  <r>
    <s v="606320"/>
    <x v="6"/>
    <s v="ACHATS - Petits Equipements"/>
    <s v="NDF"/>
    <n v="55.09"/>
    <d v="2025-06-13T00:00:00"/>
    <s v="PETIT ÉQUIPEMENT / FOURNITURE - COURSES ROUSSILLON (CAFÉ, ÉPONGES, SACS POUBELLE,...)"/>
    <m/>
    <e v="#N/A"/>
    <e v="#N/A"/>
    <n v="88775"/>
    <s v="25000200"/>
    <s v="Anne-Sophie Goutierre"/>
    <s v="Q2"/>
    <e v="#REF!"/>
    <e v="#REF!"/>
    <e v="#REF!"/>
  </r>
  <r>
    <s v="606320"/>
    <x v="6"/>
    <s v="ACHATS - Petits Equipements"/>
    <s v="NDF"/>
    <n v="56.75"/>
    <d v="2025-07-11T00:00:00"/>
    <s v="PETIT ÉQUIPEMENT / FOURNITURE - DIVERS TRAVAUX (RÉPARATION VITRES CASSÉES POUR ÉVITER LES PIGEONS)"/>
    <m/>
    <e v="#N/A"/>
    <e v="#N/A"/>
    <n v="88855"/>
    <s v="25000194"/>
    <s v="Marie Rézeau"/>
    <s v="Q3"/>
    <e v="#REF!"/>
    <e v="#REF!"/>
    <e v="#REF!"/>
  </r>
  <r>
    <s v="606320"/>
    <x v="6"/>
    <s v="ACHATS - Petits Equipements"/>
    <s v="NDF"/>
    <n v="78.709999999999994"/>
    <d v="2025-02-24T00:00:00"/>
    <s v="NDF"/>
    <m/>
    <e v="#N/A"/>
    <e v="#N/A"/>
    <n v="75446"/>
    <s v="25000085"/>
    <s v="Yves Combret"/>
    <s v="Q1"/>
    <e v="#REF!"/>
    <e v="#REF!"/>
    <e v="#REF!"/>
  </r>
  <r>
    <s v="606320"/>
    <x v="6"/>
    <s v="ACHATS - Petits Equipements"/>
    <s v="NDF"/>
    <n v="80.349999999999994"/>
    <d v="2025-01-14T00:00:00"/>
    <s v="NOTE DE FRAIS"/>
    <m/>
    <e v="#N/A"/>
    <e v="#N/A"/>
    <n v="73623"/>
    <s v="25000010"/>
    <s v="Clément Perrocheau"/>
    <s v="Q1"/>
    <e v="#REF!"/>
    <e v="#REF!"/>
    <e v="#REF!"/>
  </r>
  <r>
    <s v="606320"/>
    <x v="6"/>
    <s v="ACHATS - Petits Equipements"/>
    <s v="NDF"/>
    <n v="85.17"/>
    <d v="2025-07-01T00:00:00"/>
    <s v="PETIT ÉQUIPEMENT / FOURNITURE - ACHAT VENTILATEUR BUREAU LYON"/>
    <m/>
    <e v="#N/A"/>
    <e v="#N/A"/>
    <n v="88811"/>
    <s v="25000202"/>
    <s v="Pierre-Yves Bolle"/>
    <s v="Q3"/>
    <e v="#REF!"/>
    <e v="#REF!"/>
    <e v="#REF!"/>
  </r>
  <r>
    <s v="606320"/>
    <x v="6"/>
    <s v="ACHATS - Petits Equipements"/>
    <s v="NDF"/>
    <n v="165"/>
    <d v="2025-11-24T00:00:00"/>
    <s v="TÉLÉPHONE PORTABLE - RÉPARATION ÉCRAN TÉLÉPHONE"/>
    <m/>
    <e v="#N/A"/>
    <e v="#N/A"/>
    <n v="90921"/>
    <s v="25000288"/>
    <s v="Guillaume Boissonnat-Wu"/>
    <s v="Q4"/>
    <e v="#REF!"/>
    <e v="#REF!"/>
    <e v="#REF!"/>
  </r>
  <r>
    <s v="606320"/>
    <x v="6"/>
    <s v="ACHATS - Petits Equipements"/>
    <s v="NDF"/>
    <n v="271.06"/>
    <d v="2025-01-01T00:00:00"/>
    <s v="NDF"/>
    <m/>
    <e v="#N/A"/>
    <e v="#N/A"/>
    <n v="76452"/>
    <s v="24000392"/>
    <s v="Yves Combret"/>
    <s v="Q1"/>
    <e v="#REF!"/>
    <e v="#REF!"/>
    <e v="#REF!"/>
  </r>
  <r>
    <s v="606320"/>
    <x v="6"/>
    <s v="ACHATS - Petits Equipements"/>
    <s v="NDF"/>
    <n v="274.45999999999998"/>
    <d v="2025-05-19T00:00:00"/>
    <s v="NDF"/>
    <m/>
    <e v="#N/A"/>
    <e v="#N/A"/>
    <n v="76517"/>
    <s v="25000169"/>
    <s v="Marie-Sarah Adenis"/>
    <s v="Q2"/>
    <e v="#REF!"/>
    <e v="#REF!"/>
    <e v="#REF!"/>
  </r>
  <r>
    <s v="606320"/>
    <x v="6"/>
    <s v="ACHATS - Petits Equipements"/>
    <s v="OD"/>
    <n v="803"/>
    <d v="2025-01-31T00:00:00"/>
    <s v="ACI SOMAGEP - VANNE DE FOND QUART DE TOUR R1000 - VARIANTE 2 - PLATEFORME CHIMIQUE DE ROUSSILLON"/>
    <m/>
    <e v="#N/A"/>
    <e v="#N/A"/>
    <n v="90519"/>
    <m/>
    <s v="ACI"/>
    <s v="Q1"/>
    <e v="#REF!"/>
    <e v="#REF!"/>
    <e v="#REF!"/>
  </r>
  <r>
    <s v="606320"/>
    <x v="6"/>
    <s v="ACHATS - Petits Equipements"/>
    <s v="OD"/>
    <n v="5095.8900000000003"/>
    <d v="2025-01-31T00:00:00"/>
    <s v="OPTIMUS - VANNE DE FOND HWS TYPE  T ARBRE D'AGITATION INOX/PTFE ADAPTATEUR DN15/M1"/>
    <m/>
    <e v="#N/A"/>
    <e v="#N/A"/>
    <n v="90535"/>
    <m/>
    <s v="OPTIMUS"/>
    <s v="Q1"/>
    <e v="#REF!"/>
    <e v="#REF!"/>
    <e v="#REF!"/>
  </r>
  <r>
    <s v="606330"/>
    <x v="6"/>
    <s v="ACHATS - Vêtements de travail"/>
    <s v="AC"/>
    <n v="97.5"/>
    <d v="2025-04-03T00:00:00"/>
    <s v="FLOCAGE VÊTEMENTS DE TRAVAIL"/>
    <m/>
    <e v="#N/A"/>
    <e v="#N/A"/>
    <n v="69708"/>
    <s v="2504003"/>
    <s v="RUF POSEUR D'EMPREINTES"/>
    <s v="Q2"/>
    <e v="#REF!"/>
    <e v="#REF!"/>
    <e v="#REF!"/>
  </r>
  <r>
    <s v="606330"/>
    <x v="6"/>
    <s v="ACHATS - Vêtements de travail"/>
    <s v="AC"/>
    <n v="145.80000000000001"/>
    <d v="2025-02-15T00:00:00"/>
    <s v="PARKAS THIBAULT + ANNE-SOPHIE"/>
    <m/>
    <e v="#N/A"/>
    <e v="#N/A"/>
    <n v="61498"/>
    <s v="132"/>
    <s v="PROLIANS"/>
    <s v="Q1"/>
    <e v="#REF!"/>
    <e v="#REF!"/>
    <e v="#REF!"/>
  </r>
  <r>
    <s v="606330"/>
    <x v="6"/>
    <s v="ACHATS - Vêtements de travail"/>
    <s v="AC"/>
    <n v="303.98"/>
    <d v="2025-01-01T00:00:00"/>
    <s v="LUNETTES DE SÉCURITÉ MAUD ET ANNE-SOPHIE"/>
    <m/>
    <e v="#N/A"/>
    <e v="#N/A"/>
    <n v="63994"/>
    <s v="FRFP57903"/>
    <s v="COTRAL LAB"/>
    <s v="Q1"/>
    <e v="#REF!"/>
    <e v="#REF!"/>
    <e v="#REF!"/>
  </r>
  <r>
    <s v="606330"/>
    <x v="6"/>
    <s v="ACHATS - Vêtements de travail"/>
    <s v="AC"/>
    <n v="1826"/>
    <d v="2025-03-03T00:00:00"/>
    <s v="TECHPROTECT PANTALON GENOUILLERES TECHPROTECT VESTE-BLOUSON CHEMISE KENDAL"/>
    <m/>
    <e v="#N/A"/>
    <e v="#N/A"/>
    <n v="65979"/>
    <s v="F12114"/>
    <s v="LE CURIEUX PROMOTION"/>
    <s v="Q1"/>
    <e v="#REF!"/>
    <e v="#REF!"/>
    <e v="#REF!"/>
  </r>
  <r>
    <s v="606400"/>
    <x v="6"/>
    <s v="ACHATS - Fournitures de bureau"/>
    <s v="AC"/>
    <n v="-797.01"/>
    <d v="2025-11-21T00:00:00"/>
    <s v="Remboursement Maxiburo"/>
    <m/>
    <e v="#N/A"/>
    <e v="#N/A"/>
    <n v="97983"/>
    <m/>
    <s v="MAXIBURO"/>
    <s v="Q4"/>
    <e v="#REF!"/>
    <e v="#REF!"/>
    <e v="#REF!"/>
  </r>
  <r>
    <s v="606400"/>
    <x v="6"/>
    <s v="ACHATS - Fournitures de bureau"/>
    <s v="AC"/>
    <n v="-7.08"/>
    <d v="2025-04-28T00:00:00"/>
    <s v="PEINTURE DEBOUCHEUR MANCHE EN BOIS"/>
    <m/>
    <e v="#N/A"/>
    <e v="#N/A"/>
    <n v="81016"/>
    <s v="624505 - DOUBLON"/>
    <s v="LEROY MERLIN"/>
    <s v="Q2"/>
    <e v="#REF!"/>
    <e v="#REF!"/>
    <e v="#REF!"/>
  </r>
  <r>
    <s v="606400"/>
    <x v="6"/>
    <s v="ACHATS - Fournitures de bureau"/>
    <s v="AC"/>
    <n v="2.67"/>
    <d v="2025-10-21T00:00:00"/>
    <s v="COMMANDE DE KBIS"/>
    <s v="Non"/>
    <s v="Non"/>
    <e v="#N/A"/>
    <n v="89634"/>
    <s v="28"/>
    <s v="INFOGREFFE"/>
    <s v="Q4"/>
    <e v="#REF!"/>
    <e v="#REF!"/>
    <e v="#REF!"/>
  </r>
  <r>
    <s v="606400"/>
    <x v="6"/>
    <s v="ACHATS - Fournitures de bureau"/>
    <s v="AC"/>
    <n v="2.75"/>
    <d v="2025-11-18T00:00:00"/>
    <s v="EAU COURANTE LYON"/>
    <m/>
    <e v="#N/A"/>
    <e v="#N/A"/>
    <n v="92953"/>
    <s v="1009543685"/>
    <s v="EAU DU GRAND LYON"/>
    <s v="Q4"/>
    <e v="#REF!"/>
    <e v="#REF!"/>
    <e v="#REF!"/>
  </r>
  <r>
    <s v="606400"/>
    <x v="6"/>
    <s v="ACHATS - Fournitures de bureau"/>
    <s v="AC"/>
    <n v="6.24"/>
    <d v="2025-04-15T00:00:00"/>
    <s v="CHEVILLES DE BOIS (POUR MONTAGE ÉTAGÈRE DES TOILETTES), TORCHONS, SERVIETTES, ÉPLUCHEUR"/>
    <m/>
    <e v="#N/A"/>
    <e v="#N/A"/>
    <n v="69801"/>
    <s v="67"/>
    <s v="LEROY MERLIN"/>
    <s v="Q2"/>
    <e v="#REF!"/>
    <e v="#REF!"/>
    <e v="#REF!"/>
  </r>
  <r>
    <s v="606400"/>
    <x v="6"/>
    <s v="ACHATS - Fournitures de bureau"/>
    <s v="AC"/>
    <n v="6.36"/>
    <d v="2025-06-13T00:00:00"/>
    <s v="CONSOMMABLE ET ENTRETIEN"/>
    <m/>
    <e v="#N/A"/>
    <e v="#N/A"/>
    <n v="78027"/>
    <s v="24"/>
    <s v="LA FOURCHE"/>
    <s v="Q2"/>
    <e v="#REF!"/>
    <e v="#REF!"/>
    <e v="#REF!"/>
  </r>
  <r>
    <s v="606400"/>
    <x v="6"/>
    <s v="ACHATS - Fournitures de bureau"/>
    <s v="AC"/>
    <n v="7.08"/>
    <d v="2025-04-25T00:00:00"/>
    <s v="BALAI + SERPILLÈRES (MANCHE CASSÉ, SERPILLÈRE USÉE)"/>
    <m/>
    <e v="#N/A"/>
    <e v="#N/A"/>
    <n v="71346"/>
    <s v="624505"/>
    <s v="LEROY MERLIN"/>
    <s v="Q2"/>
    <e v="#REF!"/>
    <e v="#REF!"/>
    <e v="#REF!"/>
  </r>
  <r>
    <s v="606400"/>
    <x v="6"/>
    <s v="ACHATS - Fournitures de bureau"/>
    <s v="AC"/>
    <n v="7.08"/>
    <d v="2025-04-28T00:00:00"/>
    <s v="PEINTURE DEBOUCHEUR MANCHE EN BOIS"/>
    <m/>
    <e v="#N/A"/>
    <e v="#N/A"/>
    <n v="71357"/>
    <s v="624505"/>
    <s v="LEROY MERLIN"/>
    <s v="Q2"/>
    <e v="#REF!"/>
    <e v="#REF!"/>
    <e v="#REF!"/>
  </r>
  <r>
    <s v="606400"/>
    <x v="6"/>
    <s v="ACHATS - Fournitures de bureau"/>
    <s v="AC"/>
    <n v="9.27"/>
    <d v="2025-05-30T00:00:00"/>
    <s v="CONSOMMABLE ET ENTRETIEN"/>
    <m/>
    <e v="#N/A"/>
    <e v="#N/A"/>
    <n v="77992"/>
    <s v="12"/>
    <s v="LA FOURCHE"/>
    <s v="Q2"/>
    <e v="#REF!"/>
    <e v="#REF!"/>
    <e v="#REF!"/>
  </r>
  <r>
    <s v="606400"/>
    <x v="6"/>
    <s v="ACHATS - Fournitures de bureau"/>
    <s v="AC"/>
    <n v="10.73"/>
    <d v="2025-05-02T00:00:00"/>
    <s v="CONSOMMABLE ET ENTRETIEN"/>
    <m/>
    <e v="#N/A"/>
    <e v="#N/A"/>
    <n v="72677"/>
    <s v="2025/05/001630880"/>
    <s v="LA FOURCHE"/>
    <s v="Q2"/>
    <e v="#REF!"/>
    <e v="#REF!"/>
    <e v="#REF!"/>
  </r>
  <r>
    <s v="606400"/>
    <x v="6"/>
    <s v="ACHATS - Fournitures de bureau"/>
    <s v="AC"/>
    <n v="11.62"/>
    <d v="2025-04-25T00:00:00"/>
    <s v="BALAI + SERPILLÈRES (MANCHE CASSÉ, SERPILLÈRE USÉE)"/>
    <m/>
    <e v="#N/A"/>
    <e v="#N/A"/>
    <n v="71343"/>
    <s v="FA#2121326"/>
    <s v="LEROY MERLIN"/>
    <s v="Q2"/>
    <e v="#REF!"/>
    <e v="#REF!"/>
    <e v="#REF!"/>
  </r>
  <r>
    <s v="606400"/>
    <x v="6"/>
    <s v="ACHATS - Fournitures de bureau"/>
    <s v="AC"/>
    <n v="11.83"/>
    <d v="2025-08-20T00:00:00"/>
    <s v="FOURNITURES DE BUREAU (STOCK DE BASE)"/>
    <m/>
    <e v="#N/A"/>
    <e v="#N/A"/>
    <n v="82203"/>
    <s v="26.322.359"/>
    <s v="BRUNEAU"/>
    <s v="Q3"/>
    <e v="#REF!"/>
    <e v="#REF!"/>
    <e v="#REF!"/>
  </r>
  <r>
    <s v="606400"/>
    <x v="6"/>
    <s v="ACHATS - Fournitures de bureau"/>
    <s v="AC"/>
    <n v="15.46"/>
    <d v="2025-12-05T00:00:00"/>
    <s v="BOULES À THÉ, ESSUIE-TOUT, PAPIER TOILETTE, PETITS CAHIERS, POCHETTES PLASTIQUES"/>
    <m/>
    <e v="#N/A"/>
    <e v="#N/A"/>
    <n v="93947"/>
    <s v="26.756.109"/>
    <s v="BRUNEAU"/>
    <s v="Q4"/>
    <e v="#REF!"/>
    <e v="#REF!"/>
    <e v="#REF!"/>
  </r>
  <r>
    <s v="606400"/>
    <x v="6"/>
    <s v="ACHATS - Fournitures de bureau"/>
    <s v="AC"/>
    <n v="15.7"/>
    <d v="2025-04-12T00:00:00"/>
    <s v="CHEVILLES DE BOIS (POUR MONTAGE ÉTAGÈRE DES TOILETTES), TORCHONS, SERVIETTES, ÉPLUCHEUR"/>
    <m/>
    <e v="#N/A"/>
    <e v="#N/A"/>
    <n v="69788"/>
    <s v="FC90002"/>
    <s v="LEROY MERLIN"/>
    <s v="Q2"/>
    <e v="#REF!"/>
    <e v="#REF!"/>
    <e v="#REF!"/>
  </r>
  <r>
    <s v="606400"/>
    <x v="6"/>
    <s v="ACHATS - Fournitures de bureau"/>
    <s v="AC"/>
    <n v="15.89"/>
    <d v="2025-10-31T00:00:00"/>
    <s v="LIVRAISON EAU ROUSSILLON"/>
    <m/>
    <e v="#N/A"/>
    <e v="#N/A"/>
    <n v="90047"/>
    <s v="31/05713557"/>
    <s v="CHATEAUDEAU"/>
    <s v="Q4"/>
    <e v="#REF!"/>
    <e v="#REF!"/>
    <e v="#REF!"/>
  </r>
  <r>
    <s v="606400"/>
    <x v="6"/>
    <s v="ACHATS - Fournitures de bureau"/>
    <s v="AC"/>
    <n v="16.66"/>
    <d v="2025-08-13T00:00:00"/>
    <s v="MATÉRIEL BUREAUTIQUE"/>
    <m/>
    <e v="#N/A"/>
    <e v="#N/A"/>
    <n v="82195"/>
    <s v="2522550058"/>
    <s v="FNAC"/>
    <s v="Q3"/>
    <e v="#REF!"/>
    <e v="#REF!"/>
    <e v="#REF!"/>
  </r>
  <r>
    <s v="606400"/>
    <x v="6"/>
    <s v="ACHATS - Fournitures de bureau"/>
    <s v="AC"/>
    <n v="18.32"/>
    <d v="2025-08-13T00:00:00"/>
    <s v="MATÉRIEL BUREAUTIQUE"/>
    <m/>
    <e v="#N/A"/>
    <e v="#N/A"/>
    <n v="82198"/>
    <s v="2522550057"/>
    <s v="FNAC"/>
    <s v="Q3"/>
    <e v="#REF!"/>
    <e v="#REF!"/>
    <e v="#REF!"/>
  </r>
  <r>
    <s v="606400"/>
    <x v="6"/>
    <s v="ACHATS - Fournitures de bureau"/>
    <s v="AC"/>
    <n v="18.7"/>
    <d v="2025-10-31T00:00:00"/>
    <s v="LIVRAISON EAU ROUSSILLON"/>
    <m/>
    <e v="#N/A"/>
    <e v="#N/A"/>
    <n v="90048"/>
    <s v="31/05713557"/>
    <s v="CHATEAUDEAU"/>
    <s v="Q4"/>
    <e v="#REF!"/>
    <e v="#REF!"/>
    <e v="#REF!"/>
  </r>
  <r>
    <s v="606400"/>
    <x v="6"/>
    <s v="ACHATS - Fournitures de bureau"/>
    <s v="AC"/>
    <n v="18.71"/>
    <d v="2025-02-12T00:00:00"/>
    <s v="FOURNITURES ET CONSOMMABLES (ESSUIE-TOUT, PAPIER TOILETTE, PILES, CISEAUX, ...)"/>
    <m/>
    <e v="#N/A"/>
    <e v="#N/A"/>
    <n v="61471"/>
    <s v="122"/>
    <s v="BRUNEAU"/>
    <s v="Q1"/>
    <e v="#REF!"/>
    <e v="#REF!"/>
    <e v="#REF!"/>
  </r>
  <r>
    <s v="606400"/>
    <x v="6"/>
    <s v="ACHATS - Fournitures de bureau"/>
    <s v="AC"/>
    <n v="19.39"/>
    <d v="2025-07-31T00:00:00"/>
    <s v="FOURNITURES DE BUREAU ET PETIT CONSOMMABLE"/>
    <m/>
    <e v="#N/A"/>
    <e v="#N/A"/>
    <n v="82184"/>
    <s v="26.282.179"/>
    <s v="BRUNEAU"/>
    <s v="Q3"/>
    <e v="#REF!"/>
    <e v="#REF!"/>
    <e v="#REF!"/>
  </r>
  <r>
    <s v="606400"/>
    <x v="6"/>
    <s v="ACHATS - Fournitures de bureau"/>
    <s v="AC"/>
    <n v="19.77"/>
    <d v="2025-01-30T00:00:00"/>
    <s v="PAPIER TOILETTE, ESSUIE TOUT, LIQUIDE VAISSELLE, ETC."/>
    <m/>
    <e v="#N/A"/>
    <e v="#N/A"/>
    <n v="61345"/>
    <s v="72"/>
    <s v="BRUNEAU"/>
    <s v="Q1"/>
    <e v="#REF!"/>
    <e v="#REF!"/>
    <e v="#REF!"/>
  </r>
  <r>
    <s v="606400"/>
    <x v="6"/>
    <s v="ACHATS - Fournitures de bureau"/>
    <s v="AC"/>
    <n v="20"/>
    <d v="2025-02-24T00:00:00"/>
    <s v="ABONNEMENT CAFÉ"/>
    <m/>
    <e v="#N/A"/>
    <e v="#N/A"/>
    <n v="68966"/>
    <s v="I0000575"/>
    <s v="CAWATOES"/>
    <s v="Q1"/>
    <e v="#REF!"/>
    <e v="#REF!"/>
    <e v="#REF!"/>
  </r>
  <r>
    <s v="606400"/>
    <x v="6"/>
    <s v="ACHATS - Fournitures de bureau"/>
    <s v="AC"/>
    <n v="20.36"/>
    <d v="2025-11-28T00:00:00"/>
    <s v="CONSOMMABLE ET ENTRETIEN"/>
    <m/>
    <e v="#N/A"/>
    <e v="#N/A"/>
    <n v="91479"/>
    <s v="2025/11/002132104"/>
    <s v="LA FOURCHE"/>
    <s v="Q4"/>
    <e v="#REF!"/>
    <e v="#REF!"/>
    <e v="#REF!"/>
  </r>
  <r>
    <s v="606400"/>
    <x v="6"/>
    <s v="ACHATS - Fournitures de bureau"/>
    <s v="AC"/>
    <n v="20.82"/>
    <d v="2025-08-13T00:00:00"/>
    <s v="MATÉRIEL BUREAUTIQUE"/>
    <m/>
    <e v="#N/A"/>
    <e v="#N/A"/>
    <n v="82192"/>
    <s v="2522550059"/>
    <s v="FNAC"/>
    <s v="Q3"/>
    <e v="#REF!"/>
    <e v="#REF!"/>
    <e v="#REF!"/>
  </r>
  <r>
    <s v="606400"/>
    <x v="6"/>
    <s v="ACHATS - Fournitures de bureau"/>
    <s v="AC"/>
    <n v="20.89"/>
    <d v="2025-04-25T00:00:00"/>
    <s v="BALAI + SERPILLÈRES (MANCHE CASSÉ, SERPILLÈRE USÉE)"/>
    <m/>
    <e v="#N/A"/>
    <e v="#N/A"/>
    <n v="72613"/>
    <s v="001-25115L30383-A"/>
    <s v="LEROY MERLIN"/>
    <s v="Q2"/>
    <e v="#REF!"/>
    <e v="#REF!"/>
    <e v="#REF!"/>
  </r>
  <r>
    <s v="606400"/>
    <x v="6"/>
    <s v="ACHATS - Fournitures de bureau"/>
    <s v="AC"/>
    <n v="21.95"/>
    <d v="2025-10-23T00:00:00"/>
    <s v="RÉAPPROVISIONNEMENT DES STOCKS DE PETIT CONSOMMABLE  GANTS DE MÉNAGE (POUR NOTRE TECHNICIEN ABEL) PRODUIT WC  RECHARGES SWIFFER"/>
    <m/>
    <e v="#N/A"/>
    <e v="#N/A"/>
    <n v="89640"/>
    <s v="30"/>
    <s v="BRUNEAU"/>
    <s v="Q4"/>
    <e v="#REF!"/>
    <e v="#REF!"/>
    <e v="#REF!"/>
  </r>
  <r>
    <s v="606400"/>
    <x v="6"/>
    <s v="ACHATS - Fournitures de bureau"/>
    <s v="AC"/>
    <n v="26.49"/>
    <d v="2025-01-18T00:00:00"/>
    <s v="ENTRETIEN ET DEMANDE PONCTUELLE PLANTES PLANTES (TERREAU, CACHE POTS, SOUCOUPE)"/>
    <m/>
    <s v="Non"/>
    <e v="#N/A"/>
    <n v="59906"/>
    <s v="28"/>
    <s v="DIVERS"/>
    <s v="Q1"/>
    <e v="#REF!"/>
    <e v="#REF!"/>
    <e v="#REF!"/>
  </r>
  <r>
    <s v="606400"/>
    <x v="6"/>
    <s v="ACHATS - Fournitures de bureau"/>
    <s v="AC"/>
    <n v="26.57"/>
    <d v="2025-03-27T00:00:00"/>
    <s v="DOUBLON"/>
    <m/>
    <e v="#N/A"/>
    <e v="#N/A"/>
    <n v="67892"/>
    <s v="25.868.404"/>
    <s v="BRUNEAU"/>
    <s v="Q1"/>
    <e v="#REF!"/>
    <e v="#REF!"/>
    <e v="#REF!"/>
  </r>
  <r>
    <s v="606400"/>
    <x v="6"/>
    <s v="ACHATS - Fournitures de bureau"/>
    <s v="AC"/>
    <n v="26.57"/>
    <d v="2025-03-28T00:00:00"/>
    <s v="EPONGES VAISSELLE, ÉPONGES À RÉCURER, MOUCHOIRS, THÉ"/>
    <m/>
    <e v="#N/A"/>
    <e v="#N/A"/>
    <n v="67905"/>
    <s v="36"/>
    <s v="BRUNEAU"/>
    <s v="Q1"/>
    <e v="#REF!"/>
    <e v="#REF!"/>
    <e v="#REF!"/>
  </r>
  <r>
    <s v="606400"/>
    <x v="6"/>
    <s v="ACHATS - Fournitures de bureau"/>
    <s v="AC"/>
    <n v="27.23"/>
    <d v="2025-05-02T00:00:00"/>
    <s v="CONSOMMABLE ET ENTRETIEN"/>
    <m/>
    <e v="#N/A"/>
    <e v="#N/A"/>
    <n v="72678"/>
    <s v="2025/05/001630880"/>
    <s v="LA FOURCHE"/>
    <s v="Q2"/>
    <e v="#REF!"/>
    <e v="#REF!"/>
    <e v="#REF!"/>
  </r>
  <r>
    <s v="606400"/>
    <x v="6"/>
    <s v="ACHATS - Fournitures de bureau"/>
    <s v="AC"/>
    <n v="27.48"/>
    <d v="2025-11-18T00:00:00"/>
    <s v="EAU COURANTE LYON"/>
    <m/>
    <e v="#N/A"/>
    <e v="#N/A"/>
    <n v="92954"/>
    <s v="1009543685"/>
    <s v="EAU DU GRAND LYON"/>
    <s v="Q4"/>
    <e v="#REF!"/>
    <e v="#REF!"/>
    <e v="#REF!"/>
  </r>
  <r>
    <s v="606400"/>
    <x v="6"/>
    <s v="ACHATS - Fournitures de bureau"/>
    <s v="AC"/>
    <n v="27.85"/>
    <d v="2025-03-01T00:00:00"/>
    <s v="PANNEAU POUR TROUSSE DE SECOURS"/>
    <m/>
    <e v="#N/A"/>
    <e v="#N/A"/>
    <n v="66032"/>
    <s v="3"/>
    <s v="MANUTAN"/>
    <s v="Q1"/>
    <e v="#REF!"/>
    <e v="#REF!"/>
    <e v="#REF!"/>
  </r>
  <r>
    <s v="606400"/>
    <x v="6"/>
    <s v="ACHATS - Fournitures de bureau"/>
    <s v="AC"/>
    <n v="27.99"/>
    <d v="2025-10-21T00:00:00"/>
    <s v="RÉAPPROVISIONNEMENT DES STOCKS DE PETIT CONSOMMABLE  GANTS DE MÉNAGE (POUR NOTRE TECHNICIEN ABEL) PRODUIT WC  RECHARGES SWIFFER"/>
    <m/>
    <e v="#N/A"/>
    <e v="#N/A"/>
    <n v="89631"/>
    <s v="27"/>
    <s v="BRUNEAU"/>
    <s v="Q4"/>
    <e v="#REF!"/>
    <e v="#REF!"/>
    <e v="#REF!"/>
  </r>
  <r>
    <s v="606400"/>
    <x v="6"/>
    <s v="ACHATS - Fournitures de bureau"/>
    <s v="AC"/>
    <n v="29"/>
    <d v="2025-12-23T00:00:00"/>
    <s v="TÉLÉDÉCLARATION EN LIGNE - PILI - DÉCLARATION DE CVAE (1330-CVAE) 2024"/>
    <m/>
    <e v="#N/A"/>
    <e v="#N/A"/>
    <n v="93978"/>
    <s v="T311530"/>
    <s v="LPI CONSEIL"/>
    <s v="Q4"/>
    <e v="#REF!"/>
    <e v="#REF!"/>
    <e v="#REF!"/>
  </r>
  <r>
    <s v="606400"/>
    <x v="6"/>
    <s v="ACHATS - Fournitures de bureau"/>
    <s v="AC"/>
    <n v="29.99"/>
    <d v="2025-07-30T00:00:00"/>
    <s v="FORFAIT UTILISATION DU MATÉRIEL AVANT DÉMARRAGE SELON CLAUSE M2"/>
    <m/>
    <e v="#N/A"/>
    <e v="#N/A"/>
    <n v="80657"/>
    <s v="75987067"/>
    <s v="RICOH"/>
    <s v="Q3"/>
    <e v="#REF!"/>
    <e v="#REF!"/>
    <e v="#REF!"/>
  </r>
  <r>
    <s v="606400"/>
    <x v="6"/>
    <s v="ACHATS - Fournitures de bureau"/>
    <s v="AC"/>
    <n v="30.05"/>
    <d v="2025-01-18T00:00:00"/>
    <s v="DEMANDE COLLABORATEURS (AMPOULE, PILES, RUBAN ADHÉSIF, ETC.)"/>
    <m/>
    <s v="Non"/>
    <e v="#N/A"/>
    <n v="59901"/>
    <s v="26"/>
    <s v="DIVERS"/>
    <s v="Q1"/>
    <e v="#REF!"/>
    <e v="#REF!"/>
    <e v="#REF!"/>
  </r>
  <r>
    <s v="606400"/>
    <x v="6"/>
    <s v="ACHATS - Fournitures de bureau"/>
    <s v="AC"/>
    <n v="31.9"/>
    <d v="2025-01-01T00:00:00"/>
    <s v="LAMPADAIRE, LAMPES DE BUREAU"/>
    <m/>
    <e v="#N/A"/>
    <e v="#N/A"/>
    <n v="59844"/>
    <s v="4"/>
    <s v="BRUNEAU"/>
    <s v="Q1"/>
    <e v="#REF!"/>
    <e v="#REF!"/>
    <e v="#REF!"/>
  </r>
  <r>
    <s v="606400"/>
    <x v="6"/>
    <s v="ACHATS - Fournitures de bureau"/>
    <s v="AC"/>
    <n v="32.44"/>
    <d v="2025-03-27T00:00:00"/>
    <s v="DOUBLON"/>
    <m/>
    <e v="#N/A"/>
    <e v="#N/A"/>
    <n v="67893"/>
    <s v="25.868.404"/>
    <s v="BRUNEAU"/>
    <s v="Q1"/>
    <e v="#REF!"/>
    <e v="#REF!"/>
    <e v="#REF!"/>
  </r>
  <r>
    <s v="606400"/>
    <x v="6"/>
    <s v="ACHATS - Fournitures de bureau"/>
    <s v="AC"/>
    <n v="32.44"/>
    <d v="2025-03-28T00:00:00"/>
    <s v="EPONGES VAISSELLE, ÉPONGES À RÉCURER, MOUCHOIRS, THÉ"/>
    <m/>
    <e v="#N/A"/>
    <e v="#N/A"/>
    <n v="67906"/>
    <s v="36"/>
    <s v="BRUNEAU"/>
    <s v="Q1"/>
    <e v="#REF!"/>
    <e v="#REF!"/>
    <e v="#REF!"/>
  </r>
  <r>
    <s v="606400"/>
    <x v="6"/>
    <s v="ACHATS - Fournitures de bureau"/>
    <s v="AC"/>
    <n v="33.119999999999997"/>
    <d v="2025-01-18T00:00:00"/>
    <s v="ENTRETIEN ET DEMANDE PONCTUELLE PLANTES PLANTES (TERREAU, CACHE POTS, SOUCOUPE)"/>
    <m/>
    <e v="#N/A"/>
    <e v="#N/A"/>
    <n v="61271"/>
    <s v="43"/>
    <s v="TRUFFAUT"/>
    <s v="Q1"/>
    <e v="#REF!"/>
    <e v="#REF!"/>
    <e v="#REF!"/>
  </r>
  <r>
    <s v="606400"/>
    <x v="6"/>
    <s v="ACHATS - Fournitures de bureau"/>
    <s v="AC"/>
    <n v="37.5"/>
    <d v="2025-01-19T00:00:00"/>
    <s v="ETUIS SMARTPHONES ROUSSILLON - DEVAIENT ÊTRE RECOMMANDÉS SUITE À L'OUBLI DE LIVRAISON DE BOULANGER (QUI AVAIT REMBOURSÉ)"/>
    <m/>
    <e v="#N/A"/>
    <e v="#N/A"/>
    <n v="61277"/>
    <s v="45"/>
    <s v="BOULANGER"/>
    <s v="Q1"/>
    <e v="#REF!"/>
    <e v="#REF!"/>
    <e v="#REF!"/>
  </r>
  <r>
    <s v="606400"/>
    <x v="6"/>
    <s v="ACHATS - Fournitures de bureau"/>
    <s v="AC"/>
    <n v="39.619999999999997"/>
    <d v="2025-03-20T00:00:00"/>
    <s v="COMMANDE SUITE À REMBOURSEMENT OFFICE DÉPÔT (PORTE-DOCUMENTS, PLASTIFIEUSE, POCHETTES POUR PLASTIFIEUSE) + BESOINS EN CONSOMABLE"/>
    <m/>
    <e v="#N/A"/>
    <e v="#N/A"/>
    <n v="66136"/>
    <s v="25.842.918"/>
    <s v="BRUNEAU"/>
    <s v="Q1"/>
    <e v="#REF!"/>
    <e v="#REF!"/>
    <e v="#REF!"/>
  </r>
  <r>
    <s v="606400"/>
    <x v="6"/>
    <s v="ACHATS - Fournitures de bureau"/>
    <s v="AC"/>
    <n v="39.880000000000003"/>
    <d v="2025-01-25T00:00:00"/>
    <s v="PETIT CONSOMMABLE (HUILE D'OLIVE, CHOCOLAT EN POUDRE, ETC.)"/>
    <m/>
    <e v="#N/A"/>
    <e v="#N/A"/>
    <n v="61319"/>
    <s v="63"/>
    <s v="AUCHAN"/>
    <s v="Q1"/>
    <e v="#REF!"/>
    <e v="#REF!"/>
    <e v="#REF!"/>
  </r>
  <r>
    <s v="606400"/>
    <x v="6"/>
    <s v="ACHATS - Fournitures de bureau"/>
    <s v="AC"/>
    <n v="48.34"/>
    <d v="2025-03-31T00:00:00"/>
    <s v="CONSOMMABLE CAFÉ BONJOUR DRINK"/>
    <m/>
    <e v="#N/A"/>
    <e v="#N/A"/>
    <n v="67945"/>
    <s v="49"/>
    <s v="BONJOUR DRINK"/>
    <s v="Q1"/>
    <e v="#REF!"/>
    <e v="#REF!"/>
    <e v="#REF!"/>
  </r>
  <r>
    <s v="606400"/>
    <x v="6"/>
    <s v="ACHATS - Fournitures de bureau"/>
    <s v="AC"/>
    <n v="51.26"/>
    <d v="2025-06-13T00:00:00"/>
    <s v="CONSOMMABLE ET ENTRETIEN"/>
    <m/>
    <e v="#N/A"/>
    <e v="#N/A"/>
    <n v="78028"/>
    <s v="24"/>
    <s v="LA FOURCHE"/>
    <s v="Q2"/>
    <e v="#REF!"/>
    <e v="#REF!"/>
    <e v="#REF!"/>
  </r>
  <r>
    <s v="606400"/>
    <x v="6"/>
    <s v="ACHATS - Fournitures de bureau"/>
    <s v="AC"/>
    <n v="51.69"/>
    <d v="2025-11-28T00:00:00"/>
    <s v="CONSOMMABLE ET ENTRETIEN"/>
    <m/>
    <e v="#N/A"/>
    <e v="#N/A"/>
    <n v="91480"/>
    <s v="2025/11/002132104"/>
    <s v="LA FOURCHE"/>
    <s v="Q4"/>
    <e v="#REF!"/>
    <e v="#REF!"/>
    <e v="#REF!"/>
  </r>
  <r>
    <s v="606400"/>
    <x v="6"/>
    <s v="ACHATS - Fournitures de bureau"/>
    <s v="AC"/>
    <n v="53.04"/>
    <d v="2025-04-05T00:00:00"/>
    <s v="7 NEDIS RALLONGE POUR PC, MONITEUR ET ONDULEUR NOIR - 2 MÈTRES - DEMANDE COLLABORATEURS"/>
    <m/>
    <e v="#N/A"/>
    <e v="#N/A"/>
    <n v="69716"/>
    <s v="FV202500010890"/>
    <s v="GROUPE LDLC"/>
    <s v="Q2"/>
    <e v="#REF!"/>
    <e v="#REF!"/>
    <e v="#REF!"/>
  </r>
  <r>
    <s v="606400"/>
    <x v="6"/>
    <s v="ACHATS - Fournitures de bureau"/>
    <s v="AC"/>
    <n v="59.9"/>
    <d v="2025-08-05T00:00:00"/>
    <s v="AFFICHE"/>
    <m/>
    <e v="#N/A"/>
    <e v="#N/A"/>
    <n v="81281"/>
    <s v="26.296.061"/>
    <s v="BRUNEAU"/>
    <s v="Q3"/>
    <e v="#REF!"/>
    <e v="#REF!"/>
    <e v="#REF!"/>
  </r>
  <r>
    <s v="606400"/>
    <x v="6"/>
    <s v="ACHATS - Fournitures de bureau"/>
    <s v="AC"/>
    <n v="67.75"/>
    <d v="2025-05-30T00:00:00"/>
    <s v="CONSOMMABLE ET ENTRETIEN"/>
    <m/>
    <e v="#N/A"/>
    <e v="#N/A"/>
    <n v="77993"/>
    <s v="12"/>
    <s v="LA FOURCHE"/>
    <s v="Q2"/>
    <e v="#REF!"/>
    <e v="#REF!"/>
    <e v="#REF!"/>
  </r>
  <r>
    <s v="606400"/>
    <x v="6"/>
    <s v="ACHATS - Fournitures de bureau"/>
    <s v="AC"/>
    <n v="75.17"/>
    <d v="2025-04-12T00:00:00"/>
    <s v="CHEVILLES DE BOIS (POUR MONTAGE ÉTAGÈRE DES TOILETTES), TORCHONS, SERVIETTES, ÉPLUCHEUR"/>
    <m/>
    <e v="#N/A"/>
    <e v="#N/A"/>
    <n v="69791"/>
    <s v="525162-042025"/>
    <s v="LEROY MERLIN"/>
    <s v="Q2"/>
    <e v="#REF!"/>
    <e v="#REF!"/>
    <e v="#REF!"/>
  </r>
  <r>
    <s v="606400"/>
    <x v="6"/>
    <s v="ACHATS - Fournitures de bureau"/>
    <s v="AC"/>
    <n v="85.82"/>
    <d v="2025-06-20T00:00:00"/>
    <s v="COMMANDE DE ROUSSILLON : BESOIN DE MATÉRIEL SUPPLÉMENTAIRE (CAHIERS, CARTOUCHES, RUBAN, CLÉ USB) - CONTACT MARIE REZEAU - TEAMS"/>
    <m/>
    <e v="#N/A"/>
    <e v="#N/A"/>
    <n v="82162"/>
    <s v="1"/>
    <s v="BRUNEAU"/>
    <s v="Q2"/>
    <e v="#REF!"/>
    <e v="#REF!"/>
    <e v="#REF!"/>
  </r>
  <r>
    <s v="606400"/>
    <x v="6"/>
    <s v="ACHATS - Fournitures de bureau"/>
    <s v="AC"/>
    <n v="89.02"/>
    <d v="2025-12-11T00:00:00"/>
    <s v="BOULES À THÉ, ESSUIE-TOUT, PAPIER TOILETTE, PETITS CAHIERS, POCHETTES PLASTIQUES"/>
    <m/>
    <e v="#N/A"/>
    <e v="#N/A"/>
    <n v="93960"/>
    <s v="26.762.569"/>
    <s v="BRUNEAU"/>
    <s v="Q4"/>
    <e v="#REF!"/>
    <e v="#REF!"/>
    <e v="#REF!"/>
  </r>
  <r>
    <s v="606400"/>
    <x v="6"/>
    <s v="ACHATS - Fournitures de bureau"/>
    <s v="AC"/>
    <n v="90.68"/>
    <d v="2025-08-21T00:00:00"/>
    <s v="FOURNITURES DE BUREAU (STOCK DE BASE)"/>
    <m/>
    <e v="#N/A"/>
    <e v="#N/A"/>
    <n v="82209"/>
    <s v="26.322.946"/>
    <s v="BRUNEAU"/>
    <s v="Q3"/>
    <e v="#REF!"/>
    <e v="#REF!"/>
    <e v="#REF!"/>
  </r>
  <r>
    <s v="606400"/>
    <x v="6"/>
    <s v="ACHATS - Fournitures de bureau"/>
    <s v="AC"/>
    <n v="94.78"/>
    <d v="2025-07-31T00:00:00"/>
    <s v="ABONNEMENT BONBONNES D'EAU ROUSSILLON"/>
    <m/>
    <e v="#N/A"/>
    <e v="#N/A"/>
    <n v="91380"/>
    <s v="1"/>
    <s v="CHATEAUDEAU"/>
    <s v="Q3"/>
    <e v="#REF!"/>
    <e v="#REF!"/>
    <e v="#REF!"/>
  </r>
  <r>
    <s v="606400"/>
    <x v="6"/>
    <s v="ACHATS - Fournitures de bureau"/>
    <s v="AC"/>
    <n v="95.32"/>
    <d v="2025-03-25T00:00:00"/>
    <s v="AFFICHAGE MAGNÉTIQUE SALLE DE PAUSE (KPI) CÂBLE ROTAVAP"/>
    <m/>
    <e v="#N/A"/>
    <e v="#N/A"/>
    <n v="66108"/>
    <s v="70"/>
    <s v="MANUTAN"/>
    <s v="Q1"/>
    <e v="#REF!"/>
    <e v="#REF!"/>
    <e v="#REF!"/>
  </r>
  <r>
    <s v="606400"/>
    <x v="6"/>
    <s v="ACHATS - Fournitures de bureau"/>
    <s v="AC"/>
    <n v="97.11"/>
    <d v="2025-09-18T00:00:00"/>
    <s v="PAPIER TOILETTE, LESSIVE (POUR MACHINE 7ÈME), LIQUIDE VAISSELLE, ÉPONGES, ESSUIE-TOUT"/>
    <m/>
    <e v="#N/A"/>
    <e v="#N/A"/>
    <n v="83015"/>
    <s v="26.427.240"/>
    <s v="BRUNEAU"/>
    <s v="Q3"/>
    <e v="#REF!"/>
    <e v="#REF!"/>
    <e v="#REF!"/>
  </r>
  <r>
    <s v="606400"/>
    <x v="6"/>
    <s v="ACHATS - Fournitures de bureau"/>
    <s v="AC"/>
    <n v="99.99"/>
    <d v="2025-02-09T00:00:00"/>
    <s v="ECRAN THIBAULT ROUSSILLON - NOUVEAU COLLAB (RUPTURE DE STOCK DE L'ANCIEN MODÈLE, DARTY AVAIT REMBOURSÉ)"/>
    <m/>
    <e v="#N/A"/>
    <e v="#N/A"/>
    <n v="61440"/>
    <s v="110"/>
    <s v="DARTY"/>
    <s v="Q1"/>
    <e v="#REF!"/>
    <e v="#REF!"/>
    <e v="#REF!"/>
  </r>
  <r>
    <s v="606400"/>
    <x v="6"/>
    <s v="ACHATS - Fournitures de bureau"/>
    <s v="AC"/>
    <n v="115.21"/>
    <d v="2025-07-04T00:00:00"/>
    <s v="NOUVEAU BALAI ABEL, PRODUITS ENTRETIEN, (+ UN PETIT PEU DE CONSOMMABLES FOURNITURES DE BUREAU CHIMISTES)"/>
    <m/>
    <e v="#N/A"/>
    <e v="#N/A"/>
    <n v="82175"/>
    <s v="6"/>
    <s v="CASTORAMA"/>
    <s v="Q3"/>
    <e v="#REF!"/>
    <e v="#REF!"/>
    <e v="#REF!"/>
  </r>
  <r>
    <s v="606400"/>
    <x v="6"/>
    <s v="ACHATS - Fournitures de bureau"/>
    <s v="AC"/>
    <n v="119.05"/>
    <d v="2025-11-13T00:00:00"/>
    <s v="&quot;-_x0009_SURLIGNEURS -_x0009_STYLOS BLEUS -_x0009_CLASSEURS (X2) -_x0009_PETITS CAHIERS -_x0009_RAMETTES DE PAPIER -_x0009_STYLOS 4 COULEURS -_x0009_POT À STYLOS -_x0009_LIQUID"/>
    <m/>
    <e v="#N/A"/>
    <e v="#N/A"/>
    <n v="91439"/>
    <s v="26.638.348"/>
    <s v="BRUNEAU"/>
    <s v="Q4"/>
    <e v="#REF!"/>
    <e v="#REF!"/>
    <e v="#REF!"/>
  </r>
  <r>
    <s v="606400"/>
    <x v="6"/>
    <s v="ACHATS - Fournitures de bureau"/>
    <s v="AC"/>
    <n v="120"/>
    <d v="2025-11-07T00:00:00"/>
    <s v="FORFAIT SERVICE ET MAINTENANCE POUR LA PÉRIODE DU 01-NOV-2025 AU 31-JAN-2026"/>
    <m/>
    <e v="#N/A"/>
    <e v="#N/A"/>
    <n v="94845"/>
    <s v="927364008"/>
    <s v="RICOH"/>
    <s v="Q4"/>
    <e v="#REF!"/>
    <e v="#REF!"/>
    <e v="#REF!"/>
  </r>
  <r>
    <s v="606400"/>
    <x v="6"/>
    <s v="ACHATS - Fournitures de bureau"/>
    <s v="AC"/>
    <n v="132.91999999999999"/>
    <d v="2025-04-29T00:00:00"/>
    <s v="PC HP ELITE 8100 TOUR INTEL I5-650 RAM 16GO HDD 500GO W10 WIFI"/>
    <m/>
    <s v="Non"/>
    <e v="#N/A"/>
    <n v="72628"/>
    <s v="403-3068210-5169135"/>
    <s v="DIVERS"/>
    <s v="Q2"/>
    <e v="#REF!"/>
    <e v="#REF!"/>
    <e v="#REF!"/>
  </r>
  <r>
    <s v="606400"/>
    <x v="6"/>
    <s v="ACHATS - Fournitures de bureau"/>
    <s v="AC"/>
    <n v="143.65"/>
    <d v="2025-10-23T00:00:00"/>
    <s v="RÉAPPROVISIONNEMENT DES STOCKS DE PETIT CONSOMMABLE  GANTS DE MÉNAGE (POUR NOTRE TECHNICIEN ABEL) PRODUIT WC  RECHARGES SWIFFER"/>
    <m/>
    <e v="#N/A"/>
    <e v="#N/A"/>
    <n v="89641"/>
    <s v="30"/>
    <s v="BRUNEAU"/>
    <s v="Q4"/>
    <e v="#REF!"/>
    <e v="#REF!"/>
    <e v="#REF!"/>
  </r>
  <r>
    <s v="606400"/>
    <x v="6"/>
    <s v="ACHATS - Fournitures de bureau"/>
    <s v="AC"/>
    <n v="157.25"/>
    <d v="2025-07-31T00:00:00"/>
    <s v="FOURNITURES DE BUREAU ET PETIT CONSOMMABLE"/>
    <m/>
    <e v="#N/A"/>
    <e v="#N/A"/>
    <n v="82185"/>
    <s v="26.282.179"/>
    <s v="BRUNEAU"/>
    <s v="Q3"/>
    <e v="#REF!"/>
    <e v="#REF!"/>
    <e v="#REF!"/>
  </r>
  <r>
    <s v="606400"/>
    <x v="6"/>
    <s v="ACHATS - Fournitures de bureau"/>
    <s v="AC"/>
    <n v="166.11"/>
    <d v="2025-02-14T00:00:00"/>
    <s v="FOURNITURES ET CONSOMMABLES (ESSUIE-TOUT, PAPIER TOILETTE, PILES, CISEAUX, ...)"/>
    <m/>
    <e v="#N/A"/>
    <e v="#N/A"/>
    <n v="61495"/>
    <s v="131"/>
    <s v="BRUNEAU"/>
    <s v="Q1"/>
    <e v="#REF!"/>
    <e v="#REF!"/>
    <e v="#REF!"/>
  </r>
  <r>
    <s v="606400"/>
    <x v="6"/>
    <s v="ACHATS - Fournitures de bureau"/>
    <s v="AC"/>
    <n v="168"/>
    <d v="2025-02-24T00:00:00"/>
    <s v="ABONNEMENT CAFÉ"/>
    <m/>
    <e v="#N/A"/>
    <e v="#N/A"/>
    <n v="68965"/>
    <s v="I0000575"/>
    <s v="CAWATOES"/>
    <s v="Q1"/>
    <e v="#REF!"/>
    <e v="#REF!"/>
    <e v="#REF!"/>
  </r>
  <r>
    <s v="606400"/>
    <x v="6"/>
    <s v="ACHATS - Fournitures de bureau"/>
    <s v="AC"/>
    <n v="177.3"/>
    <d v="2025-06-06T00:00:00"/>
    <s v="CONSOMMABLE ET ENTRETIEN"/>
    <m/>
    <e v="#N/A"/>
    <e v="#N/A"/>
    <n v="78007"/>
    <s v="17"/>
    <s v="LA FOURCHE"/>
    <s v="Q2"/>
    <e v="#REF!"/>
    <e v="#REF!"/>
    <e v="#REF!"/>
  </r>
  <r>
    <s v="606400"/>
    <x v="6"/>
    <s v="ACHATS - Fournitures de bureau"/>
    <s v="AC"/>
    <n v="178.75"/>
    <d v="2025-01-01T00:00:00"/>
    <s v="COMMANDE RÉCURRENTE CAFÉ"/>
    <m/>
    <e v="#N/A"/>
    <e v="#N/A"/>
    <n v="59835"/>
    <s v="I0000105"/>
    <s v="CAWATOES"/>
    <s v="Q1"/>
    <e v="#REF!"/>
    <e v="#REF!"/>
    <e v="#REF!"/>
  </r>
  <r>
    <s v="606400"/>
    <x v="6"/>
    <s v="ACHATS - Fournitures de bureau"/>
    <s v="AC"/>
    <n v="190.75"/>
    <d v="2025-01-29T00:00:00"/>
    <s v="COMMANDE AUTOMATIQUE CAFÉ ET ACCESSOIRES"/>
    <m/>
    <e v="#N/A"/>
    <e v="#N/A"/>
    <n v="61334"/>
    <s v="I0000418"/>
    <s v="CAWATOES"/>
    <s v="Q1"/>
    <e v="#REF!"/>
    <e v="#REF!"/>
    <e v="#REF!"/>
  </r>
  <r>
    <s v="606400"/>
    <x v="6"/>
    <s v="ACHATS - Fournitures de bureau"/>
    <s v="AC"/>
    <n v="193.04"/>
    <d v="2025-03-21T00:00:00"/>
    <s v="COPIEURS"/>
    <m/>
    <e v="#N/A"/>
    <e v="#N/A"/>
    <n v="81199"/>
    <s v="927033166"/>
    <s v="RICOH"/>
    <s v="Q1"/>
    <e v="#REF!"/>
    <e v="#REF!"/>
    <e v="#REF!"/>
  </r>
  <r>
    <s v="606400"/>
    <x v="6"/>
    <s v="ACHATS - Fournitures de bureau"/>
    <s v="AC"/>
    <n v="194.26"/>
    <d v="2025-01-31T00:00:00"/>
    <s v="PAPIER TOILETTE, ESSUIE TOUT, LIQUIDE VAISSELLE, ETC."/>
    <m/>
    <e v="#N/A"/>
    <e v="#N/A"/>
    <n v="61359"/>
    <s v="77"/>
    <s v="BRUNEAU"/>
    <s v="Q1"/>
    <e v="#REF!"/>
    <e v="#REF!"/>
    <e v="#REF!"/>
  </r>
  <r>
    <s v="606400"/>
    <x v="6"/>
    <s v="ACHATS - Fournitures de bureau"/>
    <s v="AC"/>
    <n v="194.73"/>
    <d v="2025-06-20T00:00:00"/>
    <s v="COMMANDE DE ROUSSILLON : BESOIN DE MATÉRIEL SUPPLÉMENTAIRE (CAHIERS, CARTOUCHES, RUBAN, CLÉ USB) - CONTACT MARIE REZEAU - TEAMS"/>
    <m/>
    <e v="#N/A"/>
    <e v="#N/A"/>
    <n v="78050"/>
    <s v="31"/>
    <s v="BRUNEAU"/>
    <s v="Q2"/>
    <e v="#REF!"/>
    <e v="#REF!"/>
    <e v="#REF!"/>
  </r>
  <r>
    <s v="606400"/>
    <x v="6"/>
    <s v="ACHATS - Fournitures de bureau"/>
    <s v="AC"/>
    <n v="201.11"/>
    <d v="2025-06-25T00:00:00"/>
    <s v="COPIEURS"/>
    <m/>
    <e v="#N/A"/>
    <e v="#N/A"/>
    <n v="78779"/>
    <s v="927157818"/>
    <s v="RICOH"/>
    <s v="Q2"/>
    <e v="#REF!"/>
    <e v="#REF!"/>
    <e v="#REF!"/>
  </r>
  <r>
    <s v="606400"/>
    <x v="6"/>
    <s v="ACHATS - Fournitures de bureau"/>
    <s v="AC"/>
    <n v="204.45"/>
    <d v="2025-09-15T00:00:00"/>
    <s v="BOISSONS SÉMINAIRE"/>
    <m/>
    <e v="#N/A"/>
    <e v="#N/A"/>
    <n v="82996"/>
    <s v="945460859"/>
    <s v="INTERMARCHE"/>
    <s v="Q3"/>
    <e v="#REF!"/>
    <e v="#REF!"/>
    <e v="#REF!"/>
  </r>
  <r>
    <s v="606400"/>
    <x v="6"/>
    <s v="ACHATS - Fournitures de bureau"/>
    <s v="AC"/>
    <n v="214.03"/>
    <d v="2025-09-08T00:00:00"/>
    <s v="PORTANT POUR VÊTEMENTS"/>
    <m/>
    <e v="#N/A"/>
    <e v="#N/A"/>
    <n v="89580"/>
    <s v="3"/>
    <s v="LITFAD"/>
    <s v="Q3"/>
    <e v="#REF!"/>
    <e v="#REF!"/>
    <e v="#REF!"/>
  </r>
  <r>
    <s v="606400"/>
    <x v="6"/>
    <s v="ACHATS - Fournitures de bureau"/>
    <s v="AC"/>
    <n v="230.19"/>
    <d v="2025-09-15T00:00:00"/>
    <s v="BOISSONS SÉMINAIRE"/>
    <m/>
    <e v="#N/A"/>
    <e v="#N/A"/>
    <n v="82997"/>
    <s v="945460859"/>
    <s v="INTERMARCHE"/>
    <s v="Q3"/>
    <e v="#REF!"/>
    <e v="#REF!"/>
    <e v="#REF!"/>
  </r>
  <r>
    <s v="606400"/>
    <x v="6"/>
    <s v="ACHATS - Fournitures de bureau"/>
    <s v="AC"/>
    <n v="243.98"/>
    <d v="2025-03-04T00:00:00"/>
    <s v="ACHAT TABLETTE POUR LE SERVICE SALES (+ HOUSSE DE PROTECTION)"/>
    <m/>
    <s v="Non"/>
    <e v="#N/A"/>
    <n v="66090"/>
    <s v="20"/>
    <s v="DIVERS"/>
    <s v="Q1"/>
    <e v="#REF!"/>
    <e v="#REF!"/>
    <e v="#REF!"/>
  </r>
  <r>
    <s v="606400"/>
    <x v="6"/>
    <s v="ACHATS - Fournitures de bureau"/>
    <s v="AC"/>
    <n v="275.17"/>
    <d v="2025-03-20T00:00:00"/>
    <s v="COMMANDE SUITE À REMBOURSEMENT OFFICE DÉPÔT (PORTE-DOCUMENTS, PLASTIFIEUSE, POCHETTES POUR PLASTIFIEUSE) + BESOINS EN CONSOMABLE"/>
    <m/>
    <e v="#N/A"/>
    <e v="#N/A"/>
    <n v="66155"/>
    <s v="25.842.920"/>
    <s v="BRUNEAU"/>
    <s v="Q1"/>
    <e v="#REF!"/>
    <e v="#REF!"/>
    <e v="#REF!"/>
  </r>
  <r>
    <s v="606400"/>
    <x v="6"/>
    <s v="ACHATS - Fournitures de bureau"/>
    <s v="AC"/>
    <n v="278.49"/>
    <d v="2025-09-26T00:00:00"/>
    <s v="PACK TRANQUILLITÉ AVANTAGE POUR LA PÉRIODE DU 01-SEP-2025 AU 30-NOV-2025"/>
    <m/>
    <e v="#N/A"/>
    <e v="#N/A"/>
    <n v="94842"/>
    <s v="927279859"/>
    <s v="RICOH"/>
    <s v="Q3"/>
    <e v="#REF!"/>
    <e v="#REF!"/>
    <e v="#REF!"/>
  </r>
  <r>
    <s v="606400"/>
    <x v="6"/>
    <s v="ACHATS - Fournitures de bureau"/>
    <s v="AC"/>
    <n v="279.01"/>
    <d v="2025-06-25T00:00:00"/>
    <s v="LIVRE INDUSTRIAL ORGANIC PIGMENTS"/>
    <m/>
    <e v="#N/A"/>
    <e v="#N/A"/>
    <n v="82164"/>
    <s v="2"/>
    <s v="FNAC"/>
    <s v="Q2"/>
    <e v="#REF!"/>
    <e v="#REF!"/>
    <e v="#REF!"/>
  </r>
  <r>
    <s v="606400"/>
    <x v="6"/>
    <s v="ACHATS - Fournitures de bureau"/>
    <s v="AC"/>
    <n v="295.79000000000002"/>
    <d v="2025-03-06T00:00:00"/>
    <s v="POST-IT SANYTOL SPRAY SANYTOL LINGETTES PILES AA PILES AAA BOÎTES DE MOUCHOIRS CISEAUX BOÎTE DE THÉ VERT MENTHE BOUTEILLES DE LA"/>
    <m/>
    <e v="#N/A"/>
    <e v="#N/A"/>
    <n v="66118"/>
    <s v="25.790.561"/>
    <s v="BRUNEAU"/>
    <s v="Q1"/>
    <e v="#REF!"/>
    <e v="#REF!"/>
    <e v="#REF!"/>
  </r>
  <r>
    <s v="606400"/>
    <x v="6"/>
    <s v="ACHATS - Fournitures de bureau"/>
    <s v="AC"/>
    <n v="404.49"/>
    <d v="2025-10-29T00:00:00"/>
    <s v="PICO PROJECTEUR POUR L'ANNIVERSAIRE DES 10 ANS DE PILI ET POUR L'EXPO INDIGO AVEC C4C. A PRENDRE SUR LE BUDGET C4C"/>
    <m/>
    <e v="#N/A"/>
    <e v="#N/A"/>
    <n v="91783"/>
    <s v="FAC0107"/>
    <s v="BACKMARKET"/>
    <s v="Q4"/>
    <e v="#REF!"/>
    <e v="#REF!"/>
    <e v="#REF!"/>
  </r>
  <r>
    <s v="606400"/>
    <x v="6"/>
    <s v="ACHATS - Fournitures de bureau"/>
    <s v="AC"/>
    <n v="420"/>
    <d v="2025-04-24T00:00:00"/>
    <s v="CAFÉ DES TERROIRS"/>
    <m/>
    <e v="#N/A"/>
    <e v="#N/A"/>
    <n v="71337"/>
    <s v="I0000859"/>
    <s v="CAWATOES"/>
    <s v="Q2"/>
    <e v="#REF!"/>
    <e v="#REF!"/>
    <e v="#REF!"/>
  </r>
  <r>
    <s v="606400"/>
    <x v="6"/>
    <s v="ACHATS - Fournitures de bureau"/>
    <s v="AC"/>
    <n v="1030.72"/>
    <d v="2025-01-01T00:00:00"/>
    <s v="RÈGLEMENT 100% EN AVANCE MALLE OPEN ROAD SUR MESURE DIM.  760X520X H700 INT SERRURE AVEC 2 CLES POUR COUVERCLE  OPEN ROAD"/>
    <m/>
    <e v="#N/A"/>
    <e v="#N/A"/>
    <n v="61242"/>
    <s v="12401666"/>
    <s v="RYTHMES ET SONS"/>
    <s v="Q1"/>
    <e v="#REF!"/>
    <e v="#REF!"/>
    <e v="#REF!"/>
  </r>
  <r>
    <s v="606400"/>
    <x v="6"/>
    <s v="ACHATS - Fournitures de bureau"/>
    <s v="AC"/>
    <n v="1130.4000000000001"/>
    <d v="2025-02-15T00:00:00"/>
    <s v="ANNULE ET REMPLACE DEMANDE CB MANUTAN DE LA SEMAINE DERNIERE  VESTIAIRE + 20 CHAISES EMPILABLES (SALLE DE RÉUNION + SALLE DE PAU"/>
    <m/>
    <e v="#N/A"/>
    <e v="#N/A"/>
    <n v="61501"/>
    <s v="133"/>
    <s v="MANUTAN"/>
    <s v="Q1"/>
    <e v="#REF!"/>
    <e v="#REF!"/>
    <e v="#REF!"/>
  </r>
  <r>
    <s v="606400"/>
    <x v="6"/>
    <s v="ACHATS - Fournitures de bureau"/>
    <s v="AC"/>
    <n v="2214.87"/>
    <d v="2025-02-15T00:00:00"/>
    <s v="AMÉNAGEMENT NOUVEAUX BUNGALOW :  10 TABLES DE RÉUNION PLIANTES (5 PAR BUNGALOW) : 209.35€HT/TABLE JABRA : 121.37€HT"/>
    <m/>
    <s v="Non"/>
    <e v="#N/A"/>
    <n v="61504"/>
    <s v="134"/>
    <s v="DIVERS"/>
    <s v="Q1"/>
    <e v="#REF!"/>
    <e v="#REF!"/>
    <e v="#REF!"/>
  </r>
  <r>
    <s v="606400"/>
    <x v="6"/>
    <s v="ACHATS - Fournitures de bureau"/>
    <s v="AC"/>
    <n v="2885.62"/>
    <d v="2025-02-25T00:00:00"/>
    <s v="PAIEMENT EN AVANCE 100% FORFAIT CAISSE AMERICAINE + DIBOND 2MM +"/>
    <m/>
    <e v="#N/A"/>
    <e v="#N/A"/>
    <n v="72537"/>
    <s v="FA608976"/>
    <s v="NEGATIF -"/>
    <s v="Q1"/>
    <e v="#REF!"/>
    <e v="#REF!"/>
    <e v="#REF!"/>
  </r>
  <r>
    <s v="606400"/>
    <x v="6"/>
    <s v="ACHATS - Fournitures de bureau"/>
    <s v="NDF"/>
    <n v="9.99"/>
    <d v="2025-01-18T00:00:00"/>
    <s v="NOTE DE FRAIS"/>
    <m/>
    <e v="#N/A"/>
    <e v="#N/A"/>
    <n v="73629"/>
    <s v="25000015"/>
    <s v="Nicolas Canu"/>
    <s v="Q1"/>
    <e v="#REF!"/>
    <e v="#REF!"/>
    <e v="#REF!"/>
  </r>
  <r>
    <s v="606400"/>
    <x v="6"/>
    <s v="ACHATS - Fournitures de bureau"/>
    <s v="NDF"/>
    <n v="13.35"/>
    <d v="2025-01-25T00:00:00"/>
    <s v="NOTE DE FRAIS"/>
    <m/>
    <e v="#N/A"/>
    <e v="#N/A"/>
    <n v="73637"/>
    <s v="25000018"/>
    <s v="Anthony Martinez"/>
    <s v="Q1"/>
    <e v="#REF!"/>
    <e v="#REF!"/>
    <e v="#REF!"/>
  </r>
  <r>
    <s v="606400"/>
    <x v="6"/>
    <s v="ACHATS - Fournitures de bureau"/>
    <s v="NDF"/>
    <n v="16.66"/>
    <d v="2025-02-07T00:00:00"/>
    <s v="NOTE DE FRAIS"/>
    <m/>
    <e v="#N/A"/>
    <e v="#N/A"/>
    <n v="73670"/>
    <s v="25000033"/>
    <s v="Vincent Blanchard"/>
    <s v="Q1"/>
    <e v="#REF!"/>
    <e v="#REF!"/>
    <e v="#REF!"/>
  </r>
  <r>
    <s v="606400"/>
    <x v="6"/>
    <s v="ACHATS - Fournitures de bureau"/>
    <s v="NDF"/>
    <n v="18.739999999999998"/>
    <d v="2025-01-01T00:00:00"/>
    <s v="NDF"/>
    <m/>
    <e v="#N/A"/>
    <e v="#N/A"/>
    <n v="75435"/>
    <s v="24000113"/>
    <s v="Marie-Sarah Adenis"/>
    <s v="Q1"/>
    <e v="#REF!"/>
    <e v="#REF!"/>
    <e v="#REF!"/>
  </r>
  <r>
    <s v="606400"/>
    <x v="6"/>
    <s v="ACHATS - Fournitures de bureau"/>
    <s v="NDF"/>
    <n v="24.92"/>
    <d v="2025-04-14T00:00:00"/>
    <s v="NOTE DE FRAIS"/>
    <m/>
    <e v="#N/A"/>
    <e v="#N/A"/>
    <n v="74335"/>
    <s v="25000133"/>
    <s v="Thibault Dejardin"/>
    <s v="Q2"/>
    <e v="#REF!"/>
    <e v="#REF!"/>
    <e v="#REF!"/>
  </r>
  <r>
    <s v="606400"/>
    <x v="6"/>
    <s v="ACHATS - Fournitures de bureau"/>
    <s v="NDF"/>
    <n v="41.65"/>
    <d v="2025-01-01T00:00:00"/>
    <s v="NOTE DE FRAIS"/>
    <m/>
    <e v="#N/A"/>
    <e v="#N/A"/>
    <n v="73606"/>
    <s v="25000013"/>
    <s v="Jérémie Blache"/>
    <s v="Q1"/>
    <e v="#REF!"/>
    <e v="#REF!"/>
    <e v="#REF!"/>
  </r>
  <r>
    <s v="606400"/>
    <x v="6"/>
    <s v="ACHATS - Fournitures de bureau"/>
    <s v="NDF"/>
    <n v="42"/>
    <d v="2025-03-20T00:00:00"/>
    <s v="NOTE DE FRAIS"/>
    <m/>
    <e v="#N/A"/>
    <e v="#N/A"/>
    <n v="74203"/>
    <s v="25000077"/>
    <s v="Clément Perrocheau"/>
    <s v="Q1"/>
    <e v="#REF!"/>
    <e v="#REF!"/>
    <e v="#REF!"/>
  </r>
  <r>
    <s v="606400"/>
    <x v="6"/>
    <s v="ACHATS - Fournitures de bureau"/>
    <s v="NDF"/>
    <n v="54.9"/>
    <d v="2025-01-17T00:00:00"/>
    <s v="NOTE DE FRAIS"/>
    <m/>
    <e v="#N/A"/>
    <e v="#N/A"/>
    <n v="73626"/>
    <s v="25000017"/>
    <s v="Julie Lacondemine"/>
    <s v="Q1"/>
    <e v="#REF!"/>
    <e v="#REF!"/>
    <e v="#REF!"/>
  </r>
  <r>
    <s v="606400"/>
    <x v="6"/>
    <s v="ACHATS - Fournitures de bureau"/>
    <s v="NDF"/>
    <n v="73.31"/>
    <d v="2025-04-10T00:00:00"/>
    <s v="NOTE DE FRAIS"/>
    <m/>
    <e v="#N/A"/>
    <e v="#N/A"/>
    <n v="74316"/>
    <s v="25000112"/>
    <s v="Marie Rézeau"/>
    <s v="Q2"/>
    <e v="#REF!"/>
    <e v="#REF!"/>
    <e v="#REF!"/>
  </r>
  <r>
    <s v="606400"/>
    <x v="6"/>
    <s v="ACHATS - Fournitures de bureau"/>
    <s v="NDF"/>
    <n v="150"/>
    <d v="2025-04-01T00:00:00"/>
    <s v="NDF"/>
    <m/>
    <e v="#N/A"/>
    <e v="#N/A"/>
    <n v="76500"/>
    <s v="25000100"/>
    <s v="Julie Lacondemine"/>
    <s v="Q2"/>
    <e v="#REF!"/>
    <e v="#REF!"/>
    <e v="#REF!"/>
  </r>
  <r>
    <s v="613200"/>
    <x v="6"/>
    <s v="LOCATIONS - Immobilier"/>
    <s v="AC"/>
    <n v="-15442.59"/>
    <d v="2025-06-03T00:00:00"/>
    <s v="LOYER KB (AVEC FRANCHISE)"/>
    <m/>
    <e v="#N/A"/>
    <e v="#N/A"/>
    <n v="86440"/>
    <s v="0049020250021"/>
    <s v="LIBERTY PM"/>
    <s v="Q2"/>
    <e v="#REF!"/>
    <e v="#REF!"/>
    <e v="#REF!"/>
  </r>
  <r>
    <s v="613200"/>
    <x v="6"/>
    <s v="LOCATIONS - Immobilier"/>
    <s v="AC"/>
    <n v="34.76"/>
    <d v="2025-06-23T00:00:00"/>
    <s v="LOYER JUILLET 2025"/>
    <m/>
    <e v="#N/A"/>
    <e v="#N/A"/>
    <n v="78056"/>
    <s v="36"/>
    <s v="REGIE CONSEIL"/>
    <s v="Q2"/>
    <e v="#REF!"/>
    <e v="#REF!"/>
    <e v="#REF!"/>
  </r>
  <r>
    <s v="613200"/>
    <x v="6"/>
    <s v="LOCATIONS - Immobilier"/>
    <s v="AC"/>
    <n v="35"/>
    <d v="2025-12-23T00:00:00"/>
    <s v="LOYER LYON JANVIER 26"/>
    <m/>
    <e v="#N/A"/>
    <e v="#N/A"/>
    <n v="93612"/>
    <s v="JANVIER 2026"/>
    <s v="REGIE CONSEIL"/>
    <s v="Q4"/>
    <e v="#REF!"/>
    <e v="#REF!"/>
    <e v="#REF!"/>
  </r>
  <r>
    <s v="613200"/>
    <x v="6"/>
    <s v="LOCATIONS - Immobilier"/>
    <s v="AC"/>
    <n v="1000"/>
    <d v="2025-06-23T00:00:00"/>
    <s v="LOYER ANNUEL OSIRIS"/>
    <s v="Non"/>
    <s v="Non"/>
    <e v="#N/A"/>
    <n v="77281"/>
    <s v="93813093"/>
    <s v="OSIRIS"/>
    <s v="Q2"/>
    <e v="#REF!"/>
    <e v="#REF!"/>
    <e v="#REF!"/>
  </r>
  <r>
    <s v="613200"/>
    <x v="6"/>
    <s v="LOCATIONS - Immobilier"/>
    <s v="AC"/>
    <n v="1044.47"/>
    <d v="2025-09-01T00:00:00"/>
    <s v="LOYER LYON"/>
    <m/>
    <e v="#N/A"/>
    <e v="#N/A"/>
    <n v="81896"/>
    <s v="000931000101"/>
    <s v="REGIE CONSEIL"/>
    <s v="Q3"/>
    <e v="#REF!"/>
    <e v="#REF!"/>
    <e v="#REF!"/>
  </r>
  <r>
    <s v="613200"/>
    <x v="6"/>
    <s v="LOCATIONS - Immobilier"/>
    <s v="AC"/>
    <n v="1044.47"/>
    <d v="2025-10-01T00:00:00"/>
    <s v="LOYER LYON"/>
    <m/>
    <e v="#N/A"/>
    <e v="#N/A"/>
    <n v="82798"/>
    <s v="OCTOBRE 2025"/>
    <s v="REGIE CONSEIL"/>
    <s v="Q4"/>
    <e v="#REF!"/>
    <e v="#REF!"/>
    <e v="#REF!"/>
  </r>
  <r>
    <s v="613200"/>
    <x v="6"/>
    <s v="LOCATIONS - Immobilier"/>
    <s v="AC"/>
    <n v="1044.47"/>
    <d v="2025-11-01T00:00:00"/>
    <s v="LOYER LYON"/>
    <m/>
    <e v="#N/A"/>
    <e v="#N/A"/>
    <n v="87469"/>
    <s v="000931000101 - NOVEMBRE 2025"/>
    <s v="REGIE CONSEIL"/>
    <s v="Q4"/>
    <e v="#REF!"/>
    <e v="#REF!"/>
    <e v="#REF!"/>
  </r>
  <r>
    <s v="613200"/>
    <x v="6"/>
    <s v="LOCATIONS - Immobilier"/>
    <s v="AC"/>
    <n v="1049.83"/>
    <d v="2025-12-23T00:00:00"/>
    <s v="LOYER LYON JANVIER 26"/>
    <m/>
    <e v="#N/A"/>
    <e v="#N/A"/>
    <n v="93613"/>
    <s v="JANVIER 2026"/>
    <s v="REGIE CONSEIL"/>
    <s v="Q4"/>
    <e v="#REF!"/>
    <e v="#REF!"/>
    <e v="#REF!"/>
  </r>
  <r>
    <s v="613200"/>
    <x v="6"/>
    <s v="LOCATIONS - Immobilier"/>
    <s v="AC"/>
    <n v="1056.23"/>
    <d v="2025-12-01T00:00:00"/>
    <s v="LOYER DÉCEMBRE 2025 LYON"/>
    <m/>
    <e v="#N/A"/>
    <e v="#N/A"/>
    <n v="92145"/>
    <s v="DECEMBRE 2025"/>
    <s v="REGIE CONSEIL"/>
    <s v="Q4"/>
    <e v="#REF!"/>
    <e v="#REF!"/>
    <e v="#REF!"/>
  </r>
  <r>
    <s v="613200"/>
    <x v="6"/>
    <s v="LOCATIONS - Immobilier"/>
    <s v="AC"/>
    <n v="1088.3"/>
    <d v="2025-02-01T00:00:00"/>
    <s v="LOYER LYON -FÉVRIER"/>
    <m/>
    <e v="#N/A"/>
    <e v="#N/A"/>
    <n v="64064"/>
    <s v="5087"/>
    <s v="REGIE CONSEIL"/>
    <s v="Q1"/>
    <e v="#REF!"/>
    <e v="#REF!"/>
    <e v="#REF!"/>
  </r>
  <r>
    <s v="613200"/>
    <x v="6"/>
    <s v="LOCATIONS - Immobilier"/>
    <s v="AC"/>
    <n v="1088.3"/>
    <d v="2025-03-05T00:00:00"/>
    <s v="LOYER LYON- MARS"/>
    <m/>
    <e v="#N/A"/>
    <e v="#N/A"/>
    <n v="66098"/>
    <s v="5087"/>
    <s v="REGIE CONSEIL"/>
    <s v="Q1"/>
    <e v="#REF!"/>
    <e v="#REF!"/>
    <e v="#REF!"/>
  </r>
  <r>
    <s v="613200"/>
    <x v="6"/>
    <s v="LOCATIONS - Immobilier"/>
    <s v="AC"/>
    <n v="1088.3"/>
    <d v="2025-04-01T00:00:00"/>
    <s v="Location Lyon 202504"/>
    <m/>
    <e v="#N/A"/>
    <e v="#N/A"/>
    <n v="72918"/>
    <m/>
    <s v="REGIE CONSEIL"/>
    <s v="Q2"/>
    <e v="#REF!"/>
    <e v="#REF!"/>
    <e v="#REF!"/>
  </r>
  <r>
    <s v="613200"/>
    <x v="6"/>
    <s v="LOCATIONS - Immobilier"/>
    <s v="AC"/>
    <n v="1088.3"/>
    <d v="2025-05-01T00:00:00"/>
    <s v="LOCATION LYON 202505"/>
    <m/>
    <e v="#N/A"/>
    <e v="#N/A"/>
    <n v="72624"/>
    <s v="202505"/>
    <s v="REGIE CONSEIL"/>
    <s v="Q2"/>
    <e v="#REF!"/>
    <e v="#REF!"/>
    <e v="#REF!"/>
  </r>
  <r>
    <s v="613200"/>
    <x v="6"/>
    <s v="LOCATIONS - Immobilier"/>
    <s v="AC"/>
    <n v="1088.3"/>
    <d v="2025-06-01T00:00:00"/>
    <s v="LOYER LYON 2025_06"/>
    <m/>
    <e v="#N/A"/>
    <e v="#N/A"/>
    <n v="75169"/>
    <s v="202506"/>
    <s v="REGIE CONSEIL"/>
    <s v="Q2"/>
    <e v="#REF!"/>
    <e v="#REF!"/>
    <e v="#REF!"/>
  </r>
  <r>
    <s v="613200"/>
    <x v="6"/>
    <s v="LOCATIONS - Immobilier"/>
    <s v="AC"/>
    <n v="1088.5"/>
    <d v="2025-06-23T00:00:00"/>
    <s v="LOYER JUILLET 2025"/>
    <m/>
    <e v="#N/A"/>
    <e v="#N/A"/>
    <n v="78057"/>
    <s v="36"/>
    <s v="REGIE CONSEIL"/>
    <s v="Q2"/>
    <e v="#REF!"/>
    <e v="#REF!"/>
    <e v="#REF!"/>
  </r>
  <r>
    <s v="613200"/>
    <x v="6"/>
    <s v="LOCATIONS - Immobilier"/>
    <s v="AC"/>
    <n v="1139.8900000000001"/>
    <d v="2025-07-23T00:00:00"/>
    <s v="LOYER AOUT LYON"/>
    <m/>
    <e v="#N/A"/>
    <e v="#N/A"/>
    <n v="78812"/>
    <s v="000931000101 - AOUT 25"/>
    <s v="REGIE CONSEIL"/>
    <s v="Q3"/>
    <e v="#REF!"/>
    <e v="#REF!"/>
    <e v="#REF!"/>
  </r>
  <r>
    <s v="613200"/>
    <x v="6"/>
    <s v="LOCATIONS - Immobilier"/>
    <s v="AC"/>
    <n v="15442.59"/>
    <d v="2025-06-03T00:00:00"/>
    <s v="LOYER KB (AVEC FRANCHISE)"/>
    <m/>
    <e v="#N/A"/>
    <e v="#N/A"/>
    <n v="77268"/>
    <s v="0049020250021"/>
    <s v="LIBERTY PM"/>
    <s v="Q2"/>
    <e v="#REF!"/>
    <e v="#REF!"/>
    <e v="#REF!"/>
  </r>
  <r>
    <s v="613200"/>
    <x v="6"/>
    <s v="LOCATIONS - Immobilier"/>
    <s v="AC"/>
    <n v="53933.75"/>
    <d v="2025-03-05T00:00:00"/>
    <s v="LOYER KB 2025_Q2"/>
    <m/>
    <e v="#N/A"/>
    <e v="#N/A"/>
    <n v="66060"/>
    <s v="49020250011"/>
    <s v="LIBERTY PM"/>
    <s v="Q1"/>
    <e v="#REF!"/>
    <e v="#REF!"/>
    <e v="#REF!"/>
  </r>
  <r>
    <s v="613200"/>
    <x v="6"/>
    <s v="LOCATIONS - Immobilier"/>
    <s v="JC"/>
    <n v="-1294.8"/>
    <d v="2025-12-31T00:00:00"/>
    <s v="Prepaid Expenses - REGIE CONSEIL - loyer Décembre 2025 Lyon "/>
    <m/>
    <e v="#N/A"/>
    <e v="#N/A"/>
    <n v="94923"/>
    <m/>
    <s v="REGIE CONSEIL"/>
    <s v="Q4"/>
    <e v="#REF!"/>
    <e v="#REF!"/>
    <e v="#REF!"/>
  </r>
  <r>
    <s v="613200"/>
    <x v="6"/>
    <s v="LOCATIONS - Immobilier"/>
    <s v="JC"/>
    <n v="1113"/>
    <d v="2025-01-01T00:00:00"/>
    <s v="CCA LOYER LYON"/>
    <m/>
    <e v="#N/A"/>
    <e v="#N/A"/>
    <n v="86513"/>
    <m/>
    <s v="REGIE CONSEIL"/>
    <s v="Q1"/>
    <e v="#REF!"/>
    <e v="#REF!"/>
    <e v="#REF!"/>
  </r>
  <r>
    <s v="613200"/>
    <x v="6"/>
    <s v="LOCATIONS - Immobilier"/>
    <s v="JC"/>
    <n v="2003.17"/>
    <d v="2025-01-01T00:00:00"/>
    <s v="LOYER INSA TWB - 2025"/>
    <m/>
    <e v="#N/A"/>
    <e v="#N/A"/>
    <n v="77137"/>
    <s v="LOYER INSA TWB - 2025"/>
    <s v="INSA TOULOUSE"/>
    <s v="Q1"/>
    <e v="#REF!"/>
    <e v="#REF!"/>
    <e v="#REF!"/>
  </r>
  <r>
    <s v="613200"/>
    <x v="6"/>
    <s v="LOCATIONS - Immobilier"/>
    <s v="JC"/>
    <n v="2003.17"/>
    <d v="2025-02-01T00:00:00"/>
    <s v="LOYER INSA TWB - 2025"/>
    <m/>
    <e v="#N/A"/>
    <e v="#N/A"/>
    <n v="77139"/>
    <s v="LOYER INSA TWB - 2025"/>
    <s v="INSA TOULOUSE"/>
    <s v="Q1"/>
    <e v="#REF!"/>
    <e v="#REF!"/>
    <e v="#REF!"/>
  </r>
  <r>
    <s v="613200"/>
    <x v="6"/>
    <s v="LOCATIONS - Immobilier"/>
    <s v="JC"/>
    <n v="2003.17"/>
    <d v="2025-03-01T00:00:00"/>
    <s v="LOYER INSA TWB - 2025"/>
    <m/>
    <e v="#N/A"/>
    <e v="#N/A"/>
    <n v="77141"/>
    <s v="LOYER INSA TWB - 2025"/>
    <s v="INSA TOULOUSE"/>
    <s v="Q1"/>
    <e v="#REF!"/>
    <e v="#REF!"/>
    <e v="#REF!"/>
  </r>
  <r>
    <s v="613200"/>
    <x v="6"/>
    <s v="LOCATIONS - Immobilier"/>
    <s v="JC"/>
    <n v="2003.17"/>
    <d v="2025-04-01T00:00:00"/>
    <s v="LOYER INSA TWB - 2025"/>
    <m/>
    <e v="#N/A"/>
    <e v="#N/A"/>
    <n v="77143"/>
    <s v="LOYER INSA TWB - 2025"/>
    <s v="INSA TOULOUSE"/>
    <s v="Q2"/>
    <e v="#REF!"/>
    <e v="#REF!"/>
    <e v="#REF!"/>
  </r>
  <r>
    <s v="613200"/>
    <x v="6"/>
    <s v="LOCATIONS - Immobilier"/>
    <s v="JC"/>
    <n v="2003.17"/>
    <d v="2025-05-01T00:00:00"/>
    <s v="LOYER INSA TWB - 2025"/>
    <m/>
    <e v="#N/A"/>
    <e v="#N/A"/>
    <n v="77145"/>
    <s v="LOYER INSA TWB - 2025"/>
    <s v="INSA TOULOUSE"/>
    <s v="Q2"/>
    <e v="#REF!"/>
    <e v="#REF!"/>
    <e v="#REF!"/>
  </r>
  <r>
    <s v="613200"/>
    <x v="6"/>
    <s v="LOCATIONS - Immobilier"/>
    <s v="JC"/>
    <n v="2003.17"/>
    <d v="2025-06-01T00:00:00"/>
    <s v="LOYER INSA TWB - 2025"/>
    <m/>
    <e v="#N/A"/>
    <e v="#N/A"/>
    <n v="77147"/>
    <s v="LOYER INSA TWB - 2025"/>
    <s v="INSA TOULOUSE"/>
    <s v="Q2"/>
    <e v="#REF!"/>
    <e v="#REF!"/>
    <e v="#REF!"/>
  </r>
  <r>
    <s v="613200"/>
    <x v="6"/>
    <s v="LOCATIONS - Immobilier"/>
    <s v="JC"/>
    <n v="2003.17"/>
    <d v="2025-07-01T00:00:00"/>
    <s v="LOYER INSA TWB - 2025"/>
    <m/>
    <e v="#N/A"/>
    <e v="#N/A"/>
    <n v="77149"/>
    <s v="LOYER INSA TWB - 2025"/>
    <s v="INSA TOULOUSE"/>
    <s v="Q3"/>
    <e v="#REF!"/>
    <e v="#REF!"/>
    <e v="#REF!"/>
  </r>
  <r>
    <s v="613200"/>
    <x v="6"/>
    <s v="LOCATIONS - Immobilier"/>
    <s v="JC"/>
    <n v="2003.17"/>
    <d v="2025-08-01T00:00:00"/>
    <s v="LOYER INSA TWB - 2025"/>
    <m/>
    <e v="#N/A"/>
    <e v="#N/A"/>
    <n v="77151"/>
    <s v="LOYER INSA TWB - 2025"/>
    <s v="INSA TOULOUSE"/>
    <s v="Q3"/>
    <e v="#REF!"/>
    <e v="#REF!"/>
    <e v="#REF!"/>
  </r>
  <r>
    <s v="613200"/>
    <x v="6"/>
    <s v="LOCATIONS - Immobilier"/>
    <s v="JC"/>
    <n v="2003.17"/>
    <d v="2025-09-01T00:00:00"/>
    <s v="LOYER INSA TWB - 2025"/>
    <m/>
    <e v="#N/A"/>
    <e v="#N/A"/>
    <n v="77153"/>
    <s v="LOYER INSA TWB - 2025"/>
    <s v="INSA TOULOUSE"/>
    <s v="Q3"/>
    <e v="#REF!"/>
    <e v="#REF!"/>
    <e v="#REF!"/>
  </r>
  <r>
    <s v="613200"/>
    <x v="6"/>
    <s v="LOCATIONS - Immobilier"/>
    <s v="JC"/>
    <n v="2003.17"/>
    <d v="2025-10-01T00:00:00"/>
    <s v="LOYER INSA TWB - 2025"/>
    <m/>
    <e v="#N/A"/>
    <e v="#N/A"/>
    <n v="77155"/>
    <s v="LOYER INSA TWB - 2025"/>
    <s v="INSA TOULOUSE"/>
    <s v="Q4"/>
    <e v="#REF!"/>
    <e v="#REF!"/>
    <e v="#REF!"/>
  </r>
  <r>
    <s v="613200"/>
    <x v="6"/>
    <s v="LOCATIONS - Immobilier"/>
    <s v="JC"/>
    <n v="2003.17"/>
    <d v="2025-11-01T00:00:00"/>
    <s v="LOYER INSA TWB - 2025"/>
    <m/>
    <e v="#N/A"/>
    <e v="#N/A"/>
    <n v="77157"/>
    <s v="LOYER INSA TWB - 2025"/>
    <s v="INSA TOULOUSE"/>
    <s v="Q4"/>
    <e v="#REF!"/>
    <e v="#REF!"/>
    <e v="#REF!"/>
  </r>
  <r>
    <s v="613200"/>
    <x v="6"/>
    <s v="LOCATIONS - Immobilier"/>
    <s v="JC"/>
    <n v="2003.17"/>
    <d v="2025-12-01T00:00:00"/>
    <s v="LOYER INSA TWB - 2025"/>
    <m/>
    <e v="#N/A"/>
    <e v="#N/A"/>
    <n v="77159"/>
    <s v="LOYER INSA TWB - 2025"/>
    <s v="INSA TOULOUSE"/>
    <s v="Q4"/>
    <e v="#REF!"/>
    <e v="#REF!"/>
    <e v="#REF!"/>
  </r>
  <r>
    <s v="613200"/>
    <x v="6"/>
    <s v="LOCATIONS - Immobilier"/>
    <s v="JC"/>
    <n v="8439"/>
    <d v="2025-01-01T00:00:00"/>
    <s v="CCA LOYERS KB"/>
    <m/>
    <e v="#N/A"/>
    <e v="#N/A"/>
    <n v="86403"/>
    <m/>
    <s v="LIBERTY PM"/>
    <s v="Q1"/>
    <e v="#REF!"/>
    <e v="#REF!"/>
    <e v="#REF!"/>
  </r>
  <r>
    <s v="613200"/>
    <x v="6"/>
    <s v="LOCATIONS - Immobilier"/>
    <s v="JC"/>
    <n v="8439"/>
    <d v="2025-02-01T00:00:00"/>
    <s v="CCA LOYERS KB"/>
    <m/>
    <e v="#N/A"/>
    <e v="#N/A"/>
    <n v="86379"/>
    <m/>
    <s v="LIBERTY PM"/>
    <s v="Q1"/>
    <e v="#REF!"/>
    <e v="#REF!"/>
    <e v="#REF!"/>
  </r>
  <r>
    <s v="613200"/>
    <x v="6"/>
    <s v="LOCATIONS - Immobilier"/>
    <s v="JC"/>
    <n v="8439"/>
    <d v="2025-03-01T00:00:00"/>
    <s v="CCA LOYERS KB"/>
    <m/>
    <e v="#N/A"/>
    <e v="#N/A"/>
    <n v="86383"/>
    <m/>
    <s v="LIBERTY PM"/>
    <s v="Q1"/>
    <e v="#REF!"/>
    <e v="#REF!"/>
    <e v="#REF!"/>
  </r>
  <r>
    <s v="613200"/>
    <x v="6"/>
    <s v="LOCATIONS - Immobilier"/>
    <s v="JC"/>
    <n v="8439"/>
    <d v="2025-04-01T00:00:00"/>
    <s v="CCA LOYERS KB"/>
    <m/>
    <e v="#N/A"/>
    <e v="#N/A"/>
    <n v="86387"/>
    <m/>
    <s v="LIBERTY PM"/>
    <s v="Q2"/>
    <e v="#REF!"/>
    <e v="#REF!"/>
    <e v="#REF!"/>
  </r>
  <r>
    <s v="613200"/>
    <x v="6"/>
    <s v="LOCATIONS - Immobilier"/>
    <s v="JC"/>
    <n v="8439"/>
    <d v="2025-05-01T00:00:00"/>
    <s v="CCA LOYERS KB"/>
    <m/>
    <e v="#N/A"/>
    <e v="#N/A"/>
    <n v="86399"/>
    <m/>
    <s v="LIBERTY PM"/>
    <s v="Q2"/>
    <e v="#REF!"/>
    <e v="#REF!"/>
    <e v="#REF!"/>
  </r>
  <r>
    <s v="613200"/>
    <x v="6"/>
    <s v="LOCATIONS - Immobilier"/>
    <s v="JC"/>
    <n v="8439"/>
    <d v="2025-06-01T00:00:00"/>
    <s v="CCA LOYERS KB"/>
    <m/>
    <e v="#N/A"/>
    <e v="#N/A"/>
    <n v="86407"/>
    <m/>
    <s v="LIBERTY PM"/>
    <s v="Q2"/>
    <e v="#REF!"/>
    <e v="#REF!"/>
    <e v="#REF!"/>
  </r>
  <r>
    <s v="613200"/>
    <x v="6"/>
    <s v="LOCATIONS - Immobilier"/>
    <s v="JC"/>
    <n v="8439"/>
    <d v="2025-07-01T00:00:00"/>
    <s v="CCA LOYERS KB"/>
    <m/>
    <e v="#N/A"/>
    <e v="#N/A"/>
    <n v="86411"/>
    <m/>
    <s v="LIBERTY PM"/>
    <s v="Q3"/>
    <e v="#REF!"/>
    <e v="#REF!"/>
    <e v="#REF!"/>
  </r>
  <r>
    <s v="613200"/>
    <x v="6"/>
    <s v="LOCATIONS - Immobilier"/>
    <s v="JC"/>
    <n v="8439"/>
    <d v="2025-08-01T00:00:00"/>
    <s v="CCA LOYERS KB"/>
    <m/>
    <e v="#N/A"/>
    <e v="#N/A"/>
    <n v="86415"/>
    <m/>
    <s v="LIBERTY PM"/>
    <s v="Q3"/>
    <e v="#REF!"/>
    <e v="#REF!"/>
    <e v="#REF!"/>
  </r>
  <r>
    <s v="613200"/>
    <x v="6"/>
    <s v="LOCATIONS - Immobilier"/>
    <s v="JC"/>
    <n v="8439"/>
    <d v="2025-09-01T00:00:00"/>
    <s v="CCA LOYERS KB"/>
    <m/>
    <e v="#N/A"/>
    <e v="#N/A"/>
    <n v="86419"/>
    <m/>
    <s v="LIBERTY PM"/>
    <s v="Q3"/>
    <e v="#REF!"/>
    <e v="#REF!"/>
    <e v="#REF!"/>
  </r>
  <r>
    <s v="613200"/>
    <x v="6"/>
    <s v="LOCATIONS - Immobilier"/>
    <s v="JC"/>
    <n v="8439"/>
    <d v="2025-10-01T00:00:00"/>
    <s v="CCA LOYERS KB"/>
    <m/>
    <e v="#N/A"/>
    <e v="#N/A"/>
    <n v="86423"/>
    <m/>
    <s v="LIBERTY PM"/>
    <s v="Q4"/>
    <e v="#REF!"/>
    <e v="#REF!"/>
    <e v="#REF!"/>
  </r>
  <r>
    <s v="613200"/>
    <x v="6"/>
    <s v="LOCATIONS - Immobilier"/>
    <s v="JC"/>
    <n v="8439"/>
    <d v="2025-11-01T00:00:00"/>
    <s v="CCA LOYERS KB"/>
    <m/>
    <e v="#N/A"/>
    <e v="#N/A"/>
    <n v="86427"/>
    <m/>
    <s v="LIBERTY PM"/>
    <s v="Q4"/>
    <e v="#REF!"/>
    <e v="#REF!"/>
    <e v="#REF!"/>
  </r>
  <r>
    <s v="613200"/>
    <x v="6"/>
    <s v="LOCATIONS - Immobilier"/>
    <s v="JC"/>
    <n v="8439"/>
    <d v="2025-12-01T00:00:00"/>
    <s v="CCA LOYERS KB"/>
    <m/>
    <e v="#N/A"/>
    <e v="#N/A"/>
    <n v="86431"/>
    <m/>
    <s v="LIBERTY PM"/>
    <s v="Q4"/>
    <e v="#REF!"/>
    <e v="#REF!"/>
    <e v="#REF!"/>
  </r>
  <r>
    <s v="613200"/>
    <x v="6"/>
    <s v="LOCATIONS - Immobilier"/>
    <s v="OD"/>
    <n v="-53933.75"/>
    <d v="2025-03-05T00:00:00"/>
    <s v="CCA LOYERS KB FACTURE Q2 2025"/>
    <m/>
    <e v="#N/A"/>
    <e v="#N/A"/>
    <n v="86480"/>
    <m/>
    <s v="LIBERTY PM"/>
    <s v="Q1"/>
    <e v="#REF!"/>
    <e v="#REF!"/>
    <e v="#REF!"/>
  </r>
  <r>
    <s v="613200"/>
    <x v="6"/>
    <s v="LOCATIONS - Immobilier"/>
    <s v="OD"/>
    <n v="-1088.3"/>
    <d v="2025-04-01T00:00:00"/>
    <s v="LOCATION LYON 202504"/>
    <m/>
    <e v="#N/A"/>
    <e v="#N/A"/>
    <n v="89847"/>
    <s v="FNP REGIE CONSEIL"/>
    <s v="REGIE CONSEIL"/>
    <s v="Q2"/>
    <e v="#REF!"/>
    <e v="#REF!"/>
    <e v="#REF!"/>
  </r>
  <r>
    <s v="613200"/>
    <x v="6"/>
    <s v="LOCATIONS - Immobilier"/>
    <s v="OD"/>
    <n v="458.41"/>
    <d v="2025-03-31T00:00:00"/>
    <s v="LOYER INSA TWB - 2024 - REPRISE FNP"/>
    <m/>
    <e v="#N/A"/>
    <e v="#N/A"/>
    <n v="77532"/>
    <m/>
    <s v="INSA TOULOUSE"/>
    <s v="Q1"/>
    <e v="#REF!"/>
    <e v="#REF!"/>
    <e v="#REF!"/>
  </r>
  <r>
    <s v="613200"/>
    <x v="6"/>
    <s v="LOCATIONS - Immobilier"/>
    <s v="OD"/>
    <n v="1088.3"/>
    <d v="2025-04-01T00:00:00"/>
    <s v="LOCATION LYON 202504"/>
    <m/>
    <e v="#N/A"/>
    <e v="#N/A"/>
    <n v="89844"/>
    <s v="FNP REGIE CONSEIL"/>
    <s v="REGIE CONSEIL"/>
    <s v="Q2"/>
    <e v="#REF!"/>
    <e v="#REF!"/>
    <e v="#REF!"/>
  </r>
  <r>
    <s v="613300"/>
    <x v="6"/>
    <s v="LOCATIONS - Logiciels, Abonnements SaaS, Cloud, On-Premises"/>
    <s v="AC"/>
    <n v="-30840"/>
    <d v="2025-05-31T00:00:00"/>
    <s v="LICENCES DOTMATICS 2026 - 1 READ ONLY - 21 CHEMISTRY - 7 BIOREGISTER"/>
    <s v="Non"/>
    <e v="#N/A"/>
    <e v="#N/A"/>
    <n v="77390"/>
    <s v="INV24946"/>
    <s v="DOTMATICS LIMITED"/>
    <s v="Q2"/>
    <e v="#REF!"/>
    <e v="#REF!"/>
    <e v="#REF!"/>
  </r>
  <r>
    <s v="613300"/>
    <x v="6"/>
    <s v="LOCATIONS - Logiciels, Abonnements SaaS, Cloud, On-Premises"/>
    <s v="AC"/>
    <n v="-9283.92"/>
    <d v="2025-09-20T00:00:00"/>
    <s v="SIRH"/>
    <m/>
    <e v="#N/A"/>
    <e v="#N/A"/>
    <n v="86588"/>
    <s v="IN-20250920-010001-03806"/>
    <s v="EURECIA"/>
    <s v="Q3"/>
    <e v="#REF!"/>
    <e v="#REF!"/>
    <e v="#REF!"/>
  </r>
  <r>
    <s v="613300"/>
    <x v="6"/>
    <s v="LOCATIONS - Logiciels, Abonnements SaaS, Cloud, On-Premises"/>
    <s v="AC"/>
    <n v="-9000"/>
    <d v="2025-02-28T00:00:00"/>
    <s v="HÉBERGEMENT AXE CLOUD SERVEUR, LE MOIS ENGAGEMENT SUR 12 MOIS MINIMUM FRAIS DE MISE EN SERVICE MACHINE VIRTUELLE"/>
    <m/>
    <s v="Non"/>
    <e v="#N/A"/>
    <n v="89308"/>
    <s v="FAP10637"/>
    <s v="AXE GESCOM"/>
    <s v="Q1"/>
    <e v="#REF!"/>
    <e v="#REF!"/>
    <e v="#REF!"/>
  </r>
  <r>
    <s v="613300"/>
    <x v="6"/>
    <s v="LOCATIONS - Logiciels, Abonnements SaaS, Cloud, On-Premises"/>
    <s v="AC"/>
    <n v="-6610"/>
    <d v="2025-05-31T00:00:00"/>
    <s v="LICENCES DOTMATICS 2025_06 À 2026_05 - 1 READ ONLY - 5 ADDITIONAL CHEMISTRY"/>
    <s v="Non"/>
    <e v="#N/A"/>
    <e v="#N/A"/>
    <n v="77387"/>
    <s v="INV24947"/>
    <s v="DOTMATICS LIMITED"/>
    <s v="Q2"/>
    <e v="#REF!"/>
    <e v="#REF!"/>
    <e v="#REF!"/>
  </r>
  <r>
    <s v="613300"/>
    <x v="6"/>
    <s v="LOCATIONS - Logiciels, Abonnements SaaS, Cloud, On-Premises"/>
    <s v="AC"/>
    <n v="-2320"/>
    <d v="2025-05-31T00:00:00"/>
    <s v="LICENCES DOTMATICS 2026 - 2 ADDITIONAL CHEMISTRY"/>
    <s v="Non"/>
    <e v="#N/A"/>
    <e v="#N/A"/>
    <n v="77384"/>
    <s v="INV24949"/>
    <s v="DOTMATICS LIMITED"/>
    <s v="Q2"/>
    <e v="#REF!"/>
    <e v="#REF!"/>
    <e v="#REF!"/>
  </r>
  <r>
    <s v="613300"/>
    <x v="6"/>
    <s v="LOCATIONS - Logiciels, Abonnements SaaS, Cloud, On-Premises"/>
    <s v="AC"/>
    <n v="0.86"/>
    <d v="2025-12-02T00:00:00"/>
    <s v="HÉBERGEMENT SITE GAM"/>
    <m/>
    <e v="#N/A"/>
    <e v="#N/A"/>
    <n v="93930"/>
    <s v="2196DFD1-0023"/>
    <s v="SANITY"/>
    <s v="Q4"/>
    <e v="#REF!"/>
    <e v="#REF!"/>
    <e v="#REF!"/>
  </r>
  <r>
    <s v="613300"/>
    <x v="6"/>
    <s v="LOCATIONS - Logiciels, Abonnements SaaS, Cloud, On-Premises"/>
    <s v="AC"/>
    <n v="0.88"/>
    <d v="2025-06-01T00:00:00"/>
    <s v="ABONNEMENT SHOPIFY + ABONNEMENT ORDER PRINTER (POUR ENVOI AUTO DES FACTURES)"/>
    <m/>
    <e v="#N/A"/>
    <e v="#N/A"/>
    <n v="75481"/>
    <s v="2196DFD1 0018"/>
    <s v="SHOPIFY"/>
    <s v="Q2"/>
    <e v="#REF!"/>
    <e v="#REF!"/>
    <e v="#REF!"/>
  </r>
  <r>
    <s v="613300"/>
    <x v="6"/>
    <s v="LOCATIONS - Logiciels, Abonnements SaaS, Cloud, On-Premises"/>
    <s v="AC"/>
    <n v="0.88"/>
    <d v="2025-08-01T00:00:00"/>
    <s v="ABONNEMENT SHOPIFY + ABONNEMENT ORDER PRINTER (POUR ENVOI AUTO DES FACTURES)"/>
    <m/>
    <e v="#N/A"/>
    <e v="#N/A"/>
    <n v="81238"/>
    <s v="2196DFD1-0020"/>
    <s v="SANITY"/>
    <s v="Q3"/>
    <e v="#REF!"/>
    <e v="#REF!"/>
    <e v="#REF!"/>
  </r>
  <r>
    <s v="613300"/>
    <x v="6"/>
    <s v="LOCATIONS - Logiciels, Abonnements SaaS, Cloud, On-Premises"/>
    <s v="AC"/>
    <n v="0.89"/>
    <d v="2025-05-02T00:00:00"/>
    <s v="ABONNEMENT SHOPIFY + ABONNEMENT ORDER PRINTER (POUR ENVOI AUTO DES FACTURES)"/>
    <m/>
    <e v="#N/A"/>
    <e v="#N/A"/>
    <n v="72680"/>
    <s v="2196DFD1-0017"/>
    <s v="SANITY"/>
    <s v="Q2"/>
    <e v="#REF!"/>
    <e v="#REF!"/>
    <e v="#REF!"/>
  </r>
  <r>
    <s v="613300"/>
    <x v="6"/>
    <s v="LOCATIONS - Logiciels, Abonnements SaaS, Cloud, On-Premises"/>
    <s v="AC"/>
    <n v="0.93"/>
    <d v="2025-04-01T00:00:00"/>
    <s v="ABONNEMENT SHOPIFY + ABONNEMENT ORDER PRINTER (POUR ENVOI AUTO DES FACTURES)"/>
    <m/>
    <e v="#N/A"/>
    <e v="#N/A"/>
    <n v="69661"/>
    <s v="2196DFD1 0016"/>
    <s v="SHOPIFY"/>
    <s v="Q2"/>
    <e v="#REF!"/>
    <e v="#REF!"/>
    <e v="#REF!"/>
  </r>
  <r>
    <s v="613300"/>
    <x v="6"/>
    <s v="LOCATIONS - Logiciels, Abonnements SaaS, Cloud, On-Premises"/>
    <s v="AC"/>
    <n v="0.97"/>
    <d v="2025-01-02T00:00:00"/>
    <s v="ABONNEMENT SHOPIFY + ABONNEMENT ORDER PRINTER (POUR ENVOI AUTO DES FACTURES)"/>
    <m/>
    <e v="#N/A"/>
    <e v="#N/A"/>
    <n v="59846"/>
    <s v="5"/>
    <s v="SANITY"/>
    <s v="Q1"/>
    <e v="#REF!"/>
    <e v="#REF!"/>
    <e v="#REF!"/>
  </r>
  <r>
    <s v="613300"/>
    <x v="6"/>
    <s v="LOCATIONS - Logiciels, Abonnements SaaS, Cloud, On-Premises"/>
    <s v="AC"/>
    <n v="0.97"/>
    <d v="2025-02-02T00:00:00"/>
    <s v="ABONNEMENT SHOPIFY + ABONNEMENT ORDER PRINTER (POUR ENVOI AUTO DES FACTURES)"/>
    <m/>
    <e v="#N/A"/>
    <e v="#N/A"/>
    <n v="61397"/>
    <s v="92"/>
    <s v="SANITY"/>
    <s v="Q1"/>
    <e v="#REF!"/>
    <e v="#REF!"/>
    <e v="#REF!"/>
  </r>
  <r>
    <s v="613300"/>
    <x v="6"/>
    <s v="LOCATIONS - Logiciels, Abonnements SaaS, Cloud, On-Premises"/>
    <s v="AC"/>
    <n v="1"/>
    <d v="2025-03-02T00:00:00"/>
    <s v="ABONNEMENT SHOPIFY + ABONNEMENT ORDER PRINTER (POUR ENVOI AUTO DES FACTURES)"/>
    <m/>
    <e v="#N/A"/>
    <e v="#N/A"/>
    <n v="66034"/>
    <s v="7"/>
    <s v="SANITY"/>
    <s v="Q1"/>
    <e v="#REF!"/>
    <e v="#REF!"/>
    <e v="#REF!"/>
  </r>
  <r>
    <s v="613300"/>
    <x v="6"/>
    <s v="LOCATIONS - Logiciels, Abonnements SaaS, Cloud, On-Premises"/>
    <s v="AC"/>
    <n v="1.71"/>
    <d v="2025-10-01T00:00:00"/>
    <s v="HÉBERGEMENT SITE GAM"/>
    <m/>
    <e v="#N/A"/>
    <e v="#N/A"/>
    <n v="83038"/>
    <s v="2196DFD1-0021"/>
    <s v="SANITY"/>
    <s v="Q4"/>
    <e v="#REF!"/>
    <e v="#REF!"/>
    <e v="#REF!"/>
  </r>
  <r>
    <s v="613300"/>
    <x v="6"/>
    <s v="LOCATIONS - Logiciels, Abonnements SaaS, Cloud, On-Premises"/>
    <s v="AC"/>
    <n v="1.74"/>
    <d v="2025-11-01T00:00:00"/>
    <s v="HÉBERGEMENT SITE GAM"/>
    <m/>
    <e v="#N/A"/>
    <e v="#N/A"/>
    <n v="91405"/>
    <s v="2196DFD1-0022"/>
    <s v="SANITY"/>
    <s v="Q4"/>
    <e v="#REF!"/>
    <e v="#REF!"/>
    <e v="#REF!"/>
  </r>
  <r>
    <s v="613300"/>
    <x v="6"/>
    <s v="LOCATIONS - Logiciels, Abonnements SaaS, Cloud, On-Premises"/>
    <s v="AC"/>
    <n v="2.5499999999999998"/>
    <d v="2025-07-02T00:00:00"/>
    <s v="ABONNEMENT SHOPIFY + ABONNEMENT ORDER PRINTER (POUR ENVOI AUTO DES FACTURES)"/>
    <m/>
    <e v="#N/A"/>
    <e v="#N/A"/>
    <n v="80849"/>
    <s v="2196DFD1-0019"/>
    <s v="SANITY"/>
    <s v="Q3"/>
    <e v="#REF!"/>
    <e v="#REF!"/>
    <e v="#REF!"/>
  </r>
  <r>
    <s v="613300"/>
    <x v="6"/>
    <s v="LOCATIONS - Logiciels, Abonnements SaaS, Cloud, On-Premises"/>
    <s v="AC"/>
    <n v="2.64"/>
    <d v="2025-03-17T00:00:00"/>
    <s v="ABONNEMENT SOLUTION LOGISTIQUE EXPÉDITIONS GAM + FRAIS D'EXPÉ"/>
    <m/>
    <e v="#N/A"/>
    <e v="#N/A"/>
    <n v="66122"/>
    <s v="25-FR0022388"/>
    <s v="SENDCLOUD"/>
    <s v="Q1"/>
    <e v="#REF!"/>
    <e v="#REF!"/>
    <e v="#REF!"/>
  </r>
  <r>
    <s v="613300"/>
    <x v="6"/>
    <s v="LOCATIONS - Logiciels, Abonnements SaaS, Cloud, On-Premises"/>
    <s v="AC"/>
    <n v="3.96"/>
    <d v="2025-09-29T00:00:00"/>
    <s v="ABONNEMENT SOLUTION LOGISTIQUE EXPÉDITIONS GAM + FRAIS D'EXPÉ"/>
    <m/>
    <e v="#N/A"/>
    <e v="#N/A"/>
    <n v="83032"/>
    <s v="3-25-FR0056203"/>
    <s v="SENDCLOUD"/>
    <s v="Q3"/>
    <e v="#REF!"/>
    <e v="#REF!"/>
    <e v="#REF!"/>
  </r>
  <r>
    <s v="613300"/>
    <x v="6"/>
    <s v="LOCATIONS - Logiciels, Abonnements SaaS, Cloud, On-Premises"/>
    <s v="AC"/>
    <n v="5.45"/>
    <d v="2025-06-23T00:00:00"/>
    <s v="ABONNEMENT SOLUTION LOGISTIQUE EXPÉDITIONS GAM + FRAIS D'EXPÉ"/>
    <m/>
    <e v="#N/A"/>
    <e v="#N/A"/>
    <n v="78053"/>
    <s v="35"/>
    <s v="SENDCLOUD"/>
    <s v="Q2"/>
    <e v="#REF!"/>
    <e v="#REF!"/>
    <e v="#REF!"/>
  </r>
  <r>
    <s v="613300"/>
    <x v="6"/>
    <s v="LOCATIONS - Logiciels, Abonnements SaaS, Cloud, On-Premises"/>
    <s v="AC"/>
    <n v="6.46"/>
    <d v="2025-04-01T00:00:00"/>
    <s v="LICENCES OFFICE 365 1 MICROSOFT 365 APPS FOR ENTREPRISE"/>
    <m/>
    <e v="#N/A"/>
    <e v="#N/A"/>
    <n v="69667"/>
    <s v="141259"/>
    <s v="ARESCOM"/>
    <s v="Q2"/>
    <e v="#REF!"/>
    <e v="#REF!"/>
    <e v="#REF!"/>
  </r>
  <r>
    <s v="613300"/>
    <x v="6"/>
    <s v="LOCATIONS - Logiciels, Abonnements SaaS, Cloud, On-Premises"/>
    <s v="AC"/>
    <n v="6.7"/>
    <d v="2025-07-21T00:00:00"/>
    <s v="ABONNEMENT SOLUTION LOGISTIQUE EXPÉDITIONS GAM + FRAIS D'EXPÉ"/>
    <m/>
    <e v="#N/A"/>
    <e v="#N/A"/>
    <n v="80887"/>
    <s v="3-25-FR0035057"/>
    <s v="SENDCLOUD"/>
    <s v="Q3"/>
    <e v="#REF!"/>
    <e v="#REF!"/>
    <e v="#REF!"/>
  </r>
  <r>
    <s v="613300"/>
    <x v="6"/>
    <s v="LOCATIONS - Logiciels, Abonnements SaaS, Cloud, On-Premises"/>
    <s v="AC"/>
    <n v="6.7"/>
    <d v="2025-09-01T00:00:00"/>
    <s v="ABONNEMENT SOLUTION LOGISTIQUE EXPÉDITIONS GAM + FRAIS D'EXPÉ"/>
    <m/>
    <e v="#N/A"/>
    <e v="#N/A"/>
    <n v="82953"/>
    <s v="3-25-FR0048856"/>
    <s v="SENDCLOUD"/>
    <s v="Q3"/>
    <e v="#REF!"/>
    <e v="#REF!"/>
    <e v="#REF!"/>
  </r>
  <r>
    <s v="613300"/>
    <x v="6"/>
    <s v="LOCATIONS - Logiciels, Abonnements SaaS, Cloud, On-Premises"/>
    <s v="AC"/>
    <n v="7.16"/>
    <d v="2025-03-31T00:00:00"/>
    <s v="ABONNEMENT SOLUTION LOGISTIQUE EXPÉDITIONS GAM + FRAIS D'EXPÉ"/>
    <m/>
    <e v="#N/A"/>
    <e v="#N/A"/>
    <n v="67939"/>
    <s v="25-FR0000808"/>
    <s v="SENDCLOUD"/>
    <s v="Q1"/>
    <e v="#REF!"/>
    <e v="#REF!"/>
    <e v="#REF!"/>
  </r>
  <r>
    <s v="613300"/>
    <x v="6"/>
    <s v="LOCATIONS - Logiciels, Abonnements SaaS, Cloud, On-Premises"/>
    <s v="AC"/>
    <n v="7.16"/>
    <d v="2025-07-07T00:00:00"/>
    <s v="ABONNEMENT SOLUTION LOGISTIQUE EXPÉDITIONS GAM + FRAIS D'EXPÉ"/>
    <m/>
    <e v="#N/A"/>
    <e v="#N/A"/>
    <n v="80868"/>
    <s v="3-25-FR0031728"/>
    <s v="SENDCLOUD"/>
    <s v="Q3"/>
    <e v="#REF!"/>
    <e v="#REF!"/>
    <e v="#REF!"/>
  </r>
  <r>
    <s v="613300"/>
    <x v="6"/>
    <s v="LOCATIONS - Logiciels, Abonnements SaaS, Cloud, On-Premises"/>
    <s v="AC"/>
    <n v="7.65"/>
    <d v="2025-04-14T00:00:00"/>
    <s v="ABONNEMENT SOLUTION LOGISTIQUE EXPÉDITIONS GAM + FRAIS D'EXPÉ"/>
    <m/>
    <e v="#N/A"/>
    <e v="#N/A"/>
    <n v="69798"/>
    <s v="25-FR0006020"/>
    <s v="SENDCLOUD"/>
    <s v="Q2"/>
    <e v="#REF!"/>
    <e v="#REF!"/>
    <e v="#REF!"/>
  </r>
  <r>
    <s v="613300"/>
    <x v="6"/>
    <s v="LOCATIONS - Logiciels, Abonnements SaaS, Cloud, On-Premises"/>
    <s v="AC"/>
    <n v="7.65"/>
    <d v="2025-10-13T00:00:00"/>
    <s v="ABONNEMENT SOLUTION LOGISTIQUE EXPÉDITIONS GAM + FRAIS D'EXPÉ"/>
    <m/>
    <e v="#N/A"/>
    <e v="#N/A"/>
    <n v="89614"/>
    <s v="19"/>
    <s v="SENDCLOUD"/>
    <s v="Q4"/>
    <e v="#REF!"/>
    <e v="#REF!"/>
    <e v="#REF!"/>
  </r>
  <r>
    <s v="613300"/>
    <x v="6"/>
    <s v="LOCATIONS - Logiciels, Abonnements SaaS, Cloud, On-Premises"/>
    <s v="AC"/>
    <n v="8.26"/>
    <d v="2025-11-01T00:00:00"/>
    <s v="ABONNEMENT SOLUTION LOGISTIQUE EXPÉDITIONS GAM + FRAIS D'EXPÉ"/>
    <m/>
    <e v="#N/A"/>
    <e v="#N/A"/>
    <n v="91403"/>
    <s v="3-25-FR0067313"/>
    <s v="SENDCLOUD"/>
    <s v="Q4"/>
    <e v="#REF!"/>
    <e v="#REF!"/>
    <e v="#REF!"/>
  </r>
  <r>
    <s v="613300"/>
    <x v="6"/>
    <s v="LOCATIONS - Logiciels, Abonnements SaaS, Cloud, On-Premises"/>
    <s v="AC"/>
    <n v="8.2799999999999994"/>
    <d v="2025-03-17T00:00:00"/>
    <s v="ABONNEMENT SOLUTION LOGISTIQUE EXPÉDITIONS GAM + FRAIS D'EXPÉ"/>
    <m/>
    <e v="#N/A"/>
    <e v="#N/A"/>
    <n v="66121"/>
    <s v="25-FR0022388"/>
    <s v="SENDCLOUD"/>
    <s v="Q1"/>
    <e v="#REF!"/>
    <e v="#REF!"/>
    <e v="#REF!"/>
  </r>
  <r>
    <s v="613300"/>
    <x v="6"/>
    <s v="LOCATIONS - Logiciels, Abonnements SaaS, Cloud, On-Premises"/>
    <s v="AC"/>
    <n v="8.33"/>
    <d v="2025-01-28T00:00:00"/>
    <s v="LA PREMIÈRE CARTE GÉNÉRÉE POUR CET ABONNEMENT N'A PAS FONCTIONNÉ. LE PAYEMENT EST REFUSÉ. JE RETENTE"/>
    <m/>
    <e v="#N/A"/>
    <e v="#N/A"/>
    <n v="61328"/>
    <s v="66"/>
    <s v="ORSON.IO"/>
    <s v="Q1"/>
    <e v="#REF!"/>
    <e v="#REF!"/>
    <e v="#REF!"/>
  </r>
  <r>
    <s v="613300"/>
    <x v="6"/>
    <s v="LOCATIONS - Logiciels, Abonnements SaaS, Cloud, On-Premises"/>
    <s v="AC"/>
    <n v="15"/>
    <d v="2025-01-12T00:00:00"/>
    <s v="GESTIONNAIRE COOKIES SITE WEB PILI"/>
    <m/>
    <e v="#N/A"/>
    <e v="#N/A"/>
    <n v="59882"/>
    <s v="5125789"/>
    <s v="COOKIEBOT"/>
    <s v="Q1"/>
    <e v="#REF!"/>
    <e v="#REF!"/>
    <e v="#REF!"/>
  </r>
  <r>
    <s v="613300"/>
    <x v="6"/>
    <s v="LOCATIONS - Logiciels, Abonnements SaaS, Cloud, On-Premises"/>
    <s v="AC"/>
    <n v="15"/>
    <d v="2025-02-03T00:00:00"/>
    <s v="GESTIONNAIRE COOKIES SITE WEB PILI"/>
    <m/>
    <e v="#N/A"/>
    <e v="#N/A"/>
    <n v="61399"/>
    <s v="93"/>
    <s v="COOKIEBOT"/>
    <s v="Q1"/>
    <e v="#REF!"/>
    <e v="#REF!"/>
    <e v="#REF!"/>
  </r>
  <r>
    <s v="613300"/>
    <x v="6"/>
    <s v="LOCATIONS - Logiciels, Abonnements SaaS, Cloud, On-Premises"/>
    <s v="AC"/>
    <n v="15"/>
    <d v="2025-03-03T00:00:00"/>
    <s v="GESTIONNAIRE COOKIES SITE WEB PILI"/>
    <m/>
    <e v="#N/A"/>
    <e v="#N/A"/>
    <n v="65976"/>
    <s v="8"/>
    <s v="COOKIEBOT"/>
    <s v="Q1"/>
    <e v="#REF!"/>
    <e v="#REF!"/>
    <e v="#REF!"/>
  </r>
  <r>
    <s v="613300"/>
    <x v="6"/>
    <s v="LOCATIONS - Logiciels, Abonnements SaaS, Cloud, On-Premises"/>
    <s v="AC"/>
    <n v="15"/>
    <d v="2025-04-02T00:00:00"/>
    <s v="GESTIONNAIRE COOKIES SITE WEB PILI"/>
    <m/>
    <e v="#N/A"/>
    <e v="#N/A"/>
    <n v="69689"/>
    <s v="5354897"/>
    <s v="COOKIEBOT"/>
    <s v="Q2"/>
    <e v="#REF!"/>
    <e v="#REF!"/>
    <e v="#REF!"/>
  </r>
  <r>
    <s v="613300"/>
    <x v="6"/>
    <s v="LOCATIONS - Logiciels, Abonnements SaaS, Cloud, On-Premises"/>
    <s v="AC"/>
    <n v="15"/>
    <d v="2025-05-02T00:00:00"/>
    <s v="GESTIONNAIRE COOKIES SITE WEB PILI"/>
    <m/>
    <e v="#N/A"/>
    <e v="#N/A"/>
    <n v="72670"/>
    <s v="544031"/>
    <s v="COOKIEBOT"/>
    <s v="Q2"/>
    <e v="#REF!"/>
    <e v="#REF!"/>
    <e v="#REF!"/>
  </r>
  <r>
    <s v="613300"/>
    <x v="6"/>
    <s v="LOCATIONS - Logiciels, Abonnements SaaS, Cloud, On-Premises"/>
    <s v="AC"/>
    <n v="15"/>
    <d v="2025-06-03T00:00:00"/>
    <s v="GESTIONNAIRE COOKIES SITE WEB PILI"/>
    <m/>
    <e v="#N/A"/>
    <e v="#N/A"/>
    <n v="78000"/>
    <s v="14"/>
    <s v="COOKIEBOT"/>
    <s v="Q2"/>
    <e v="#REF!"/>
    <e v="#REF!"/>
    <e v="#REF!"/>
  </r>
  <r>
    <s v="613300"/>
    <x v="6"/>
    <s v="LOCATIONS - Logiciels, Abonnements SaaS, Cloud, On-Premises"/>
    <s v="AC"/>
    <n v="15"/>
    <d v="2025-07-03T00:00:00"/>
    <s v="GESTIONNAIRE COOKIES SITE WEB PILI"/>
    <m/>
    <e v="#N/A"/>
    <e v="#N/A"/>
    <n v="80861"/>
    <s v="5609782"/>
    <s v="COOKIEBOT"/>
    <s v="Q3"/>
    <e v="#REF!"/>
    <e v="#REF!"/>
    <e v="#REF!"/>
  </r>
  <r>
    <s v="613300"/>
    <x v="6"/>
    <s v="LOCATIONS - Logiciels, Abonnements SaaS, Cloud, On-Premises"/>
    <s v="AC"/>
    <n v="15"/>
    <d v="2025-08-02T00:00:00"/>
    <s v="GESTIONNAIRE COOKIES SITE WEB PILI"/>
    <m/>
    <e v="#N/A"/>
    <e v="#N/A"/>
    <n v="82187"/>
    <s v="5692661"/>
    <s v="COOKIEBOT"/>
    <s v="Q3"/>
    <e v="#REF!"/>
    <e v="#REF!"/>
    <e v="#REF!"/>
  </r>
  <r>
    <s v="613300"/>
    <x v="6"/>
    <s v="LOCATIONS - Logiciels, Abonnements SaaS, Cloud, On-Premises"/>
    <s v="AC"/>
    <n v="16.670000000000002"/>
    <d v="2025-01-09T00:00:00"/>
    <s v="ABONNEMENT ILLIMITÉ POUR LE SITE PILI DU 09/01/2025 AU 09/02/2025 - CB PASSIM"/>
    <m/>
    <e v="#N/A"/>
    <e v="#N/A"/>
    <n v="67802"/>
    <s v="2025-49"/>
    <s v="ORSON.IO"/>
    <s v="Q1"/>
    <e v="#REF!"/>
    <e v="#REF!"/>
    <e v="#REF!"/>
  </r>
  <r>
    <s v="613300"/>
    <x v="6"/>
    <s v="LOCATIONS - Logiciels, Abonnements SaaS, Cloud, On-Premises"/>
    <s v="AC"/>
    <n v="24.96"/>
    <d v="2025-07-24T00:00:00"/>
    <s v="ABONNEMENT OUTIL ENVOI DE NEWSLETTERS"/>
    <m/>
    <e v="#N/A"/>
    <e v="#N/A"/>
    <n v="80893"/>
    <s v="8934624"/>
    <s v="MAILJET"/>
    <s v="Q3"/>
    <e v="#REF!"/>
    <e v="#REF!"/>
    <e v="#REF!"/>
  </r>
  <r>
    <s v="613300"/>
    <x v="6"/>
    <s v="LOCATIONS - Logiciels, Abonnements SaaS, Cloud, On-Premises"/>
    <s v="AC"/>
    <n v="25"/>
    <d v="2025-08-24T00:00:00"/>
    <s v="ABONNEMENT OUTIL ENVOI DE NEWSLETTERS"/>
    <m/>
    <e v="#N/A"/>
    <e v="#N/A"/>
    <n v="82214"/>
    <s v="9144913"/>
    <s v="MAILJET"/>
    <s v="Q3"/>
    <e v="#REF!"/>
    <e v="#REF!"/>
    <e v="#REF!"/>
  </r>
  <r>
    <s v="613300"/>
    <x v="6"/>
    <s v="LOCATIONS - Logiciels, Abonnements SaaS, Cloud, On-Premises"/>
    <s v="AC"/>
    <n v="25"/>
    <d v="2025-09-24T00:00:00"/>
    <s v="ABONNEMENT OUTIL ENVOI DE NEWSLETTERS"/>
    <m/>
    <e v="#N/A"/>
    <e v="#N/A"/>
    <n v="83023"/>
    <s v="9360292"/>
    <s v="MAILJET"/>
    <s v="Q3"/>
    <e v="#REF!"/>
    <e v="#REF!"/>
    <e v="#REF!"/>
  </r>
  <r>
    <s v="613300"/>
    <x v="6"/>
    <s v="LOCATIONS - Logiciels, Abonnements SaaS, Cloud, On-Premises"/>
    <s v="AC"/>
    <n v="25"/>
    <d v="2025-11-24T00:00:00"/>
    <s v="ABONNEMENT OUTIL ENVOI DE NEWSLETTERS"/>
    <m/>
    <e v="#N/A"/>
    <e v="#N/A"/>
    <n v="91467"/>
    <s v="539089"/>
    <s v="MAILJET"/>
    <s v="Q4"/>
    <e v="#REF!"/>
    <e v="#REF!"/>
    <e v="#REF!"/>
  </r>
  <r>
    <s v="613300"/>
    <x v="6"/>
    <s v="LOCATIONS - Logiciels, Abonnements SaaS, Cloud, On-Premises"/>
    <s v="AC"/>
    <n v="29"/>
    <d v="2025-01-01T00:00:00"/>
    <s v="ABONNEMENT SOLUTION LOGISTIQUE EXPÉDITIONS GAM + FRAIS D'EXPÉ"/>
    <m/>
    <e v="#N/A"/>
    <e v="#N/A"/>
    <n v="59838"/>
    <s v="25-FR0000533"/>
    <s v="SENDCLOUD"/>
    <s v="Q1"/>
    <e v="#REF!"/>
    <e v="#REF!"/>
    <e v="#REF!"/>
  </r>
  <r>
    <s v="613300"/>
    <x v="6"/>
    <s v="LOCATIONS - Logiciels, Abonnements SaaS, Cloud, On-Premises"/>
    <s v="AC"/>
    <n v="29"/>
    <d v="2025-02-02T00:00:00"/>
    <s v="ABONNEMENT SOLUTION LOGISTIQUE EXPÉDITIONS GAM + FRAIS D'EXPÉ"/>
    <m/>
    <e v="#N/A"/>
    <e v="#N/A"/>
    <n v="61395"/>
    <s v="91"/>
    <s v="SENDCLOUD"/>
    <s v="Q1"/>
    <e v="#REF!"/>
    <e v="#REF!"/>
    <e v="#REF!"/>
  </r>
  <r>
    <s v="613300"/>
    <x v="6"/>
    <s v="LOCATIONS - Logiciels, Abonnements SaaS, Cloud, On-Premises"/>
    <s v="AC"/>
    <n v="29"/>
    <d v="2025-03-02T00:00:00"/>
    <s v="ABONNEMENT SOLUTION LOGISTIQUE EXPÉDITIONS GAM + FRAIS D'EXPÉ"/>
    <m/>
    <e v="#N/A"/>
    <e v="#N/A"/>
    <n v="66015"/>
    <s v="6"/>
    <s v="SENDCLOUD"/>
    <s v="Q1"/>
    <e v="#REF!"/>
    <e v="#REF!"/>
    <e v="#REF!"/>
  </r>
  <r>
    <s v="613300"/>
    <x v="6"/>
    <s v="LOCATIONS - Logiciels, Abonnements SaaS, Cloud, On-Premises"/>
    <s v="AC"/>
    <n v="29"/>
    <d v="2025-05-01T00:00:00"/>
    <s v="ABONNEMENT SOLUTION LOGISTIQUE EXPÉDITIONS GAM + FRAIS D'EXPÉ"/>
    <m/>
    <e v="#N/A"/>
    <e v="#N/A"/>
    <n v="72668"/>
    <s v="25-FR0010091"/>
    <s v="SENDCLOUD"/>
    <s v="Q2"/>
    <e v="#REF!"/>
    <e v="#REF!"/>
    <e v="#REF!"/>
  </r>
  <r>
    <s v="613300"/>
    <x v="6"/>
    <s v="LOCATIONS - Logiciels, Abonnements SaaS, Cloud, On-Premises"/>
    <s v="AC"/>
    <n v="29"/>
    <d v="2025-06-01T00:00:00"/>
    <s v="ABONNEMENT SOLUTION LOGISTIQUE EXPÉDITIONS GAM + FRAIS D'EXPÉ"/>
    <m/>
    <e v="#N/A"/>
    <e v="#N/A"/>
    <n v="75484"/>
    <s v="3-25-FR0020559"/>
    <s v="SENDCLOUD"/>
    <s v="Q2"/>
    <e v="#REF!"/>
    <e v="#REF!"/>
    <e v="#REF!"/>
  </r>
  <r>
    <s v="613300"/>
    <x v="6"/>
    <s v="LOCATIONS - Logiciels, Abonnements SaaS, Cloud, On-Premises"/>
    <s v="AC"/>
    <n v="29"/>
    <d v="2025-08-01T00:00:00"/>
    <s v="ABONNEMENT SOLUTION LOGISTIQUE EXPÉDITIONS GAM + FRAIS D'EXPÉ"/>
    <m/>
    <e v="#N/A"/>
    <e v="#N/A"/>
    <n v="81244"/>
    <s v=" 3-25-FR0039050"/>
    <s v="SENDCLOUD"/>
    <s v="Q3"/>
    <e v="#REF!"/>
    <e v="#REF!"/>
    <e v="#REF!"/>
  </r>
  <r>
    <s v="613300"/>
    <x v="6"/>
    <s v="LOCATIONS - Logiciels, Abonnements SaaS, Cloud, On-Premises"/>
    <s v="AC"/>
    <n v="29.2"/>
    <d v="2025-04-01T00:00:00"/>
    <s v="ABONNEMENT SOLUTION LOGISTIQUE EXPÉDITIONS GAM + FRAIS D'EXPÉ"/>
    <m/>
    <e v="#N/A"/>
    <e v="#N/A"/>
    <n v="69670"/>
    <s v="25-FR0001817"/>
    <s v="SENDCLOUD"/>
    <s v="Q2"/>
    <e v="#REF!"/>
    <e v="#REF!"/>
    <e v="#REF!"/>
  </r>
  <r>
    <s v="613300"/>
    <x v="6"/>
    <s v="LOCATIONS - Logiciels, Abonnements SaaS, Cloud, On-Premises"/>
    <s v="AC"/>
    <n v="29.2"/>
    <d v="2025-07-01T00:00:00"/>
    <s v="ABONNEMENT SOLUTION LOGISTIQUE EXPÉDITIONS GAM + FRAIS D'EXPÉ"/>
    <m/>
    <e v="#N/A"/>
    <e v="#N/A"/>
    <n v="80847"/>
    <s v="2"/>
    <s v="SENDCLOUD"/>
    <s v="Q3"/>
    <e v="#REF!"/>
    <e v="#REF!"/>
    <e v="#REF!"/>
  </r>
  <r>
    <s v="613300"/>
    <x v="6"/>
    <s v="LOCATIONS - Logiciels, Abonnements SaaS, Cloud, On-Premises"/>
    <s v="AC"/>
    <n v="30"/>
    <d v="2025-10-24T00:00:00"/>
    <s v="ABONNEMENT OUTIL ENVOI DE NEWSLETTERS"/>
    <m/>
    <e v="#N/A"/>
    <e v="#N/A"/>
    <n v="89643"/>
    <s v="31"/>
    <s v="MAILJET"/>
    <s v="Q4"/>
    <e v="#REF!"/>
    <e v="#REF!"/>
    <e v="#REF!"/>
  </r>
  <r>
    <s v="613300"/>
    <x v="6"/>
    <s v="LOCATIONS - Logiciels, Abonnements SaaS, Cloud, On-Premises"/>
    <s v="AC"/>
    <n v="30"/>
    <d v="2025-11-02T00:00:00"/>
    <s v="GESTIONNAIRE COOKIES SITE WEB PILI"/>
    <m/>
    <e v="#N/A"/>
    <e v="#N/A"/>
    <n v="91407"/>
    <s v="5944117"/>
    <s v="COOKIEBOT"/>
    <s v="Q4"/>
    <e v="#REF!"/>
    <e v="#REF!"/>
    <e v="#REF!"/>
  </r>
  <r>
    <s v="613300"/>
    <x v="6"/>
    <s v="LOCATIONS - Logiciels, Abonnements SaaS, Cloud, On-Premises"/>
    <s v="AC"/>
    <n v="30"/>
    <d v="2025-12-02T00:00:00"/>
    <s v="GESTIONNAIRE COOKIES SITE WEB PILI"/>
    <m/>
    <e v="#N/A"/>
    <e v="#N/A"/>
    <n v="93928"/>
    <s v="6033065"/>
    <s v="COOKIEBOT"/>
    <s v="Q4"/>
    <e v="#REF!"/>
    <e v="#REF!"/>
    <e v="#REF!"/>
  </r>
  <r>
    <s v="613300"/>
    <x v="6"/>
    <s v="LOCATIONS - Logiciels, Abonnements SaaS, Cloud, On-Premises"/>
    <s v="AC"/>
    <n v="30"/>
    <d v="2025-12-24T00:00:00"/>
    <s v="ABONNEMENT OUTIL ENVOI DE NEWSLETTERS"/>
    <m/>
    <e v="#N/A"/>
    <e v="#N/A"/>
    <n v="93980"/>
    <s v="10028025"/>
    <s v="MAILJET"/>
    <s v="Q4"/>
    <e v="#REF!"/>
    <e v="#REF!"/>
    <e v="#REF!"/>
  </r>
  <r>
    <s v="613300"/>
    <x v="6"/>
    <s v="LOCATIONS - Logiciels, Abonnements SaaS, Cloud, On-Premises"/>
    <s v="AC"/>
    <n v="33"/>
    <d v="2025-09-01T00:00:00"/>
    <s v="ABONNEMENT SOLUTION LOGISTIQUE EXPÉDITIONS GAM + FRAIS D'EXPÉ"/>
    <m/>
    <e v="#N/A"/>
    <e v="#N/A"/>
    <n v="82950"/>
    <s v="3-25-FR0047380"/>
    <s v="SENDCLOUD"/>
    <s v="Q3"/>
    <e v="#REF!"/>
    <e v="#REF!"/>
    <e v="#REF!"/>
  </r>
  <r>
    <s v="613300"/>
    <x v="6"/>
    <s v="LOCATIONS - Logiciels, Abonnements SaaS, Cloud, On-Premises"/>
    <s v="AC"/>
    <n v="33"/>
    <d v="2025-12-01T00:00:00"/>
    <s v="ABONNEMENT SOLUTION LOGISTIQUE EXPÉDITIONS GAM + FRAIS D'EXPÉ"/>
    <m/>
    <e v="#N/A"/>
    <e v="#N/A"/>
    <n v="91842"/>
    <s v="3-25-FR0077207"/>
    <s v="SENDCLOUD"/>
    <s v="Q4"/>
    <e v="#REF!"/>
    <e v="#REF!"/>
    <e v="#REF!"/>
  </r>
  <r>
    <s v="613300"/>
    <x v="6"/>
    <s v="LOCATIONS - Logiciels, Abonnements SaaS, Cloud, On-Premises"/>
    <s v="AC"/>
    <n v="33.549999999999997"/>
    <d v="2025-10-01T00:00:00"/>
    <s v="ABONNEMENT SOLUTION LOGISTIQUE EXPÉDITIONS GAM + FRAIS D'EXPÉ"/>
    <m/>
    <e v="#N/A"/>
    <e v="#N/A"/>
    <n v="83036"/>
    <s v="3-25-FR0057769"/>
    <s v="SENDCLOUD"/>
    <s v="Q4"/>
    <e v="#REF!"/>
    <e v="#REF!"/>
    <e v="#REF!"/>
  </r>
  <r>
    <s v="613300"/>
    <x v="6"/>
    <s v="LOCATIONS - Logiciels, Abonnements SaaS, Cloud, On-Premises"/>
    <s v="AC"/>
    <n v="34.6"/>
    <d v="2025-09-29T00:00:00"/>
    <s v="ABONNEMENT SOLUTION LOGISTIQUE EXPÉDITIONS GAM + FRAIS D'EXPÉ"/>
    <m/>
    <e v="#N/A"/>
    <e v="#N/A"/>
    <n v="83033"/>
    <s v="3-25-FR0056203"/>
    <s v="SENDCLOUD"/>
    <s v="Q3"/>
    <e v="#REF!"/>
    <e v="#REF!"/>
    <e v="#REF!"/>
  </r>
  <r>
    <s v="613300"/>
    <x v="6"/>
    <s v="LOCATIONS - Logiciels, Abonnements SaaS, Cloud, On-Premises"/>
    <s v="AC"/>
    <n v="43.78"/>
    <d v="2025-10-14T00:00:00"/>
    <s v="ABONNEMENT SHOPIFY + ABONNEMENT ORDER PRINTER (POUR ENVOI AUTO DES FACTURES)"/>
    <m/>
    <e v="#N/A"/>
    <e v="#N/A"/>
    <n v="89618"/>
    <s v="21"/>
    <s v="SHOPIFY"/>
    <s v="Q4"/>
    <e v="#REF!"/>
    <e v="#REF!"/>
    <e v="#REF!"/>
  </r>
  <r>
    <s v="613300"/>
    <x v="6"/>
    <s v="LOCATIONS - Logiciels, Abonnements SaaS, Cloud, On-Premises"/>
    <s v="AC"/>
    <n v="43.79"/>
    <d v="2025-09-14T00:00:00"/>
    <s v="ABONNEMENT SHOPIFY + ABONNEMENT ORDER PRINTER (POUR ENVOI AUTO DES FACTURES)"/>
    <m/>
    <e v="#N/A"/>
    <e v="#N/A"/>
    <n v="82992"/>
    <s v="417665619"/>
    <s v="SHOPIFY"/>
    <s v="Q3"/>
    <e v="#REF!"/>
    <e v="#REF!"/>
    <e v="#REF!"/>
  </r>
  <r>
    <s v="613300"/>
    <x v="6"/>
    <s v="LOCATIONS - Logiciels, Abonnements SaaS, Cloud, On-Premises"/>
    <s v="AC"/>
    <n v="43.82"/>
    <d v="2025-08-15T00:00:00"/>
    <s v="ABONNEMENT SHOPIFY + ABONNEMENT ORDER PRINTER (POUR ENVOI AUTO DES FACTURES)"/>
    <m/>
    <e v="#N/A"/>
    <e v="#N/A"/>
    <n v="82200"/>
    <s v="404597801"/>
    <s v="SHOPIFY"/>
    <s v="Q3"/>
    <e v="#REF!"/>
    <e v="#REF!"/>
    <e v="#REF!"/>
  </r>
  <r>
    <s v="613300"/>
    <x v="6"/>
    <s v="LOCATIONS - Logiciels, Abonnements SaaS, Cloud, On-Premises"/>
    <s v="AC"/>
    <n v="43.86"/>
    <d v="2025-11-13T00:00:00"/>
    <s v="ABONNEMENT SHOPIFY + ABONNEMENT ORDER PRINTER (POUR ENVOI AUTO DES FACTURES)"/>
    <m/>
    <e v="#N/A"/>
    <e v="#N/A"/>
    <n v="91436"/>
    <s v="444308128"/>
    <s v="SHOPIFY"/>
    <s v="Q4"/>
    <e v="#REF!"/>
    <e v="#REF!"/>
    <e v="#REF!"/>
  </r>
  <r>
    <s v="613300"/>
    <x v="6"/>
    <s v="LOCATIONS - Logiciels, Abonnements SaaS, Cloud, On-Premises"/>
    <s v="AC"/>
    <n v="43.88"/>
    <d v="2025-12-13T00:00:00"/>
    <s v="ABONNEMENT SHOPIFY + ABONNEMENT ORDER PRINTER (POUR ENVOI AUTO DES FACTURES)"/>
    <m/>
    <e v="#N/A"/>
    <e v="#N/A"/>
    <n v="93971"/>
    <s v="458356712"/>
    <s v="SHOPIFY"/>
    <s v="Q4"/>
    <e v="#REF!"/>
    <e v="#REF!"/>
    <e v="#REF!"/>
  </r>
  <r>
    <s v="613300"/>
    <x v="6"/>
    <s v="LOCATIONS - Logiciels, Abonnements SaaS, Cloud, On-Premises"/>
    <s v="AC"/>
    <n v="43.9"/>
    <d v="2025-07-16T00:00:00"/>
    <s v="ABONNEMENT SHOPIFY + ABONNEMENT ORDER PRINTER (POUR ENVOI AUTO DES FACTURES)"/>
    <m/>
    <e v="#N/A"/>
    <e v="#N/A"/>
    <n v="80884"/>
    <s v="391655293"/>
    <s v="SHOPIFY"/>
    <s v="Q3"/>
    <e v="#REF!"/>
    <e v="#REF!"/>
    <e v="#REF!"/>
  </r>
  <r>
    <s v="613300"/>
    <x v="6"/>
    <s v="LOCATIONS - Logiciels, Abonnements SaaS, Cloud, On-Premises"/>
    <s v="AC"/>
    <n v="44.08"/>
    <d v="2025-05-17T00:00:00"/>
    <s v="ABONNEMENT SHOPIFY + ABONNEMENT ORDER PRINTER (POUR ENVOI AUTO DES FACTURES)"/>
    <m/>
    <e v="#N/A"/>
    <e v="#N/A"/>
    <n v="74435"/>
    <s v="366906616"/>
    <s v="SHOPIFY"/>
    <s v="Q2"/>
    <e v="#REF!"/>
    <e v="#REF!"/>
    <e v="#REF!"/>
  </r>
  <r>
    <s v="613300"/>
    <x v="6"/>
    <s v="LOCATIONS - Logiciels, Abonnements SaaS, Cloud, On-Premises"/>
    <s v="AC"/>
    <n v="44.15"/>
    <d v="2025-06-16T00:00:00"/>
    <s v="ABONNEMENT SHOPIFY + ABONNEMENT ORDER PRINTER (POUR ENVOI AUTO DES FACTURES)"/>
    <m/>
    <e v="#N/A"/>
    <e v="#N/A"/>
    <n v="78036"/>
    <s v="27"/>
    <s v="SHOPIFY"/>
    <s v="Q2"/>
    <e v="#REF!"/>
    <e v="#REF!"/>
    <e v="#REF!"/>
  </r>
  <r>
    <s v="613300"/>
    <x v="6"/>
    <s v="LOCATIONS - Logiciels, Abonnements SaaS, Cloud, On-Premises"/>
    <s v="AC"/>
    <n v="44.39"/>
    <d v="2025-04-18T00:00:00"/>
    <s v="ABONNEMENT SHOPIFY + ABONNEMENT ORDER PRINTER (POUR ENVOI AUTO DES FACTURES)"/>
    <m/>
    <e v="#N/A"/>
    <e v="#N/A"/>
    <n v="69827"/>
    <s v="319204665"/>
    <s v="SHOPIFY"/>
    <s v="Q2"/>
    <e v="#REF!"/>
    <e v="#REF!"/>
    <e v="#REF!"/>
  </r>
  <r>
    <s v="613300"/>
    <x v="6"/>
    <s v="LOCATIONS - Logiciels, Abonnements SaaS, Cloud, On-Premises"/>
    <s v="AC"/>
    <n v="44.68"/>
    <d v="2025-01-18T00:00:00"/>
    <s v="ABONNEMENT SHOPIFY + ABONNEMENT ORDER PRINTER (POUR ENVOI AUTO DES FACTURES)"/>
    <m/>
    <e v="#N/A"/>
    <e v="#N/A"/>
    <n v="59903"/>
    <s v="27"/>
    <s v="SANITY"/>
    <s v="Q1"/>
    <e v="#REF!"/>
    <e v="#REF!"/>
    <e v="#REF!"/>
  </r>
  <r>
    <s v="613300"/>
    <x v="6"/>
    <s v="LOCATIONS - Logiciels, Abonnements SaaS, Cloud, On-Premises"/>
    <s v="AC"/>
    <n v="44.69"/>
    <d v="2025-03-18T00:00:00"/>
    <s v="ABONNEMENT SHOPIFY + ABONNEMENT ORDER PRINTER (POUR ENVOI AUTO DES FACTURES)"/>
    <m/>
    <e v="#N/A"/>
    <e v="#N/A"/>
    <n v="66152"/>
    <s v="342869483"/>
    <s v="SHOPIFY"/>
    <s v="Q1"/>
    <e v="#REF!"/>
    <e v="#REF!"/>
    <e v="#REF!"/>
  </r>
  <r>
    <s v="613300"/>
    <x v="6"/>
    <s v="LOCATIONS - Logiciels, Abonnements SaaS, Cloud, On-Premises"/>
    <s v="AC"/>
    <n v="44.86"/>
    <d v="2025-02-17T00:00:00"/>
    <s v="ABONNEMENT SHOPIFY + ABONNEMENT ORDER PRINTER (POUR ENVOI AUTO DES FACTURES)"/>
    <m/>
    <e v="#N/A"/>
    <e v="#N/A"/>
    <n v="61511"/>
    <s v="137"/>
    <s v="SHOPIFY"/>
    <s v="Q1"/>
    <e v="#REF!"/>
    <e v="#REF!"/>
    <e v="#REF!"/>
  </r>
  <r>
    <s v="613300"/>
    <x v="6"/>
    <s v="LOCATIONS - Logiciels, Abonnements SaaS, Cloud, On-Premises"/>
    <s v="AC"/>
    <n v="59.88"/>
    <d v="2025-06-10T00:00:00"/>
    <s v="RENOUVELLEMENT BOÎTE MAIL GAM"/>
    <m/>
    <e v="#N/A"/>
    <e v="#N/A"/>
    <n v="78010"/>
    <s v="18"/>
    <s v="GANDI"/>
    <s v="Q2"/>
    <e v="#REF!"/>
    <e v="#REF!"/>
    <e v="#REF!"/>
  </r>
  <r>
    <s v="613300"/>
    <x v="6"/>
    <s v="LOCATIONS - Logiciels, Abonnements SaaS, Cloud, On-Premises"/>
    <s v="AC"/>
    <n v="60"/>
    <d v="2025-10-17T00:00:00"/>
    <s v="GESTIONNAIRE COOKIES SITE WEB PILI"/>
    <m/>
    <e v="#N/A"/>
    <e v="#N/A"/>
    <n v="89622"/>
    <s v="23"/>
    <s v="COOKIEBOT"/>
    <s v="Q4"/>
    <e v="#REF!"/>
    <e v="#REF!"/>
    <e v="#REF!"/>
  </r>
  <r>
    <s v="613300"/>
    <x v="6"/>
    <s v="LOCATIONS - Logiciels, Abonnements SaaS, Cloud, On-Premises"/>
    <s v="AC"/>
    <n v="89.99"/>
    <d v="2025-01-09T00:00:00"/>
    <s v="HÉBERGEMENT 2025_01"/>
    <m/>
    <e v="#N/A"/>
    <e v="#N/A"/>
    <n v="71272"/>
    <s v="20250117479"/>
    <s v="DATACAMPUS"/>
    <s v="Q1"/>
    <e v="#REF!"/>
    <e v="#REF!"/>
    <e v="#REF!"/>
  </r>
  <r>
    <s v="613300"/>
    <x v="6"/>
    <s v="LOCATIONS - Logiciels, Abonnements SaaS, Cloud, On-Premises"/>
    <s v="AC"/>
    <n v="89.99"/>
    <d v="2025-02-09T00:00:00"/>
    <s v="HÉBERGEMENT PILI 2025_02"/>
    <m/>
    <e v="#N/A"/>
    <e v="#N/A"/>
    <n v="71284"/>
    <s v="20250217801"/>
    <s v="DATACAMPUS"/>
    <s v="Q1"/>
    <e v="#REF!"/>
    <e v="#REF!"/>
    <e v="#REF!"/>
  </r>
  <r>
    <s v="613300"/>
    <x v="6"/>
    <s v="LOCATIONS - Logiciels, Abonnements SaaS, Cloud, On-Premises"/>
    <s v="AC"/>
    <n v="89.99"/>
    <d v="2025-03-09T00:00:00"/>
    <s v="HÉBERGEMENT 2025_03"/>
    <m/>
    <e v="#N/A"/>
    <e v="#N/A"/>
    <n v="71289"/>
    <s v="20250318101"/>
    <s v="DATACAMPUS"/>
    <s v="Q1"/>
    <e v="#REF!"/>
    <e v="#REF!"/>
    <e v="#REF!"/>
  </r>
  <r>
    <s v="613300"/>
    <x v="6"/>
    <s v="LOCATIONS - Logiciels, Abonnements SaaS, Cloud, On-Premises"/>
    <s v="AC"/>
    <n v="89.99"/>
    <d v="2025-04-09T00:00:00"/>
    <s v="HÉBERGEMENT SITE PILI"/>
    <m/>
    <e v="#N/A"/>
    <e v="#N/A"/>
    <n v="69755"/>
    <s v="20250418401"/>
    <s v="DATACAMPUS"/>
    <s v="Q2"/>
    <e v="#REF!"/>
    <e v="#REF!"/>
    <e v="#REF!"/>
  </r>
  <r>
    <s v="613300"/>
    <x v="6"/>
    <s v="LOCATIONS - Logiciels, Abonnements SaaS, Cloud, On-Premises"/>
    <s v="AC"/>
    <n v="89.99"/>
    <d v="2025-05-09T00:00:00"/>
    <s v="HÉBERGEMENT 2025_05"/>
    <m/>
    <e v="#N/A"/>
    <e v="#N/A"/>
    <n v="72707"/>
    <s v="20250518691"/>
    <s v="DATACAMPUS"/>
    <s v="Q2"/>
    <e v="#REF!"/>
    <e v="#REF!"/>
    <e v="#REF!"/>
  </r>
  <r>
    <s v="613300"/>
    <x v="6"/>
    <s v="LOCATIONS - Logiciels, Abonnements SaaS, Cloud, On-Premises"/>
    <s v="AC"/>
    <n v="89.99"/>
    <d v="2025-06-09T00:00:00"/>
    <s v="HÉBERGEMENT SITE PILI  2025_05"/>
    <m/>
    <e v="#N/A"/>
    <e v="#N/A"/>
    <n v="76203"/>
    <s v="20250618994"/>
    <s v="DATACAMPUS"/>
    <s v="Q2"/>
    <e v="#REF!"/>
    <e v="#REF!"/>
    <e v="#REF!"/>
  </r>
  <r>
    <s v="613300"/>
    <x v="6"/>
    <s v="LOCATIONS - Logiciels, Abonnements SaaS, Cloud, On-Premises"/>
    <s v="AC"/>
    <n v="89.99"/>
    <d v="2025-07-09T00:00:00"/>
    <s v="COMPTE #2706: SERVEURS DÉDIÉS - VPS SSD IM 2023.1 - PILI-VT-PROD-LAMP01"/>
    <m/>
    <e v="#N/A"/>
    <e v="#N/A"/>
    <n v="78801"/>
    <s v="20250719313"/>
    <s v="DATACAMPUS"/>
    <s v="Q3"/>
    <e v="#REF!"/>
    <e v="#REF!"/>
    <e v="#REF!"/>
  </r>
  <r>
    <s v="613300"/>
    <x v="6"/>
    <s v="LOCATIONS - Logiciels, Abonnements SaaS, Cloud, On-Premises"/>
    <s v="AC"/>
    <n v="89.99"/>
    <d v="2025-08-09T00:00:00"/>
    <s v="COMPTE #2706: SERVEURS DÉDIÉS - VPS SSD IM 2023.1 - PILI-VT-PROD-LAMP01"/>
    <m/>
    <e v="#N/A"/>
    <e v="#N/A"/>
    <n v="82241"/>
    <s v="20250819568"/>
    <s v="DATACAMPUS"/>
    <s v="Q3"/>
    <e v="#REF!"/>
    <e v="#REF!"/>
    <e v="#REF!"/>
  </r>
  <r>
    <s v="613300"/>
    <x v="6"/>
    <s v="LOCATIONS - Logiciels, Abonnements SaaS, Cloud, On-Premises"/>
    <s v="AC"/>
    <n v="89.99"/>
    <d v="2025-09-09T00:00:00"/>
    <s v="COMPTE #2706: SERVEURS DÉDIÉS - VPS SSD IM 2023.1 - PILI-VT-PROD-LAMP01"/>
    <m/>
    <e v="#N/A"/>
    <e v="#N/A"/>
    <n v="81908"/>
    <s v="20250919793"/>
    <s v="DATACAMPUS"/>
    <s v="Q3"/>
    <e v="#REF!"/>
    <e v="#REF!"/>
    <e v="#REF!"/>
  </r>
  <r>
    <s v="613300"/>
    <x v="6"/>
    <s v="LOCATIONS - Logiciels, Abonnements SaaS, Cloud, On-Premises"/>
    <s v="AC"/>
    <n v="89.99"/>
    <d v="2025-10-09T00:00:00"/>
    <s v="COMPTE #2706: SERVEURS DÉDIÉS - VPS SSD IM 2023.1 - PILI-VT-PROD-LAMP01"/>
    <m/>
    <e v="#N/A"/>
    <e v="#N/A"/>
    <n v="85000"/>
    <s v="20251020049"/>
    <s v="DATACAMPUS"/>
    <s v="Q4"/>
    <e v="#REF!"/>
    <e v="#REF!"/>
    <e v="#REF!"/>
  </r>
  <r>
    <s v="613300"/>
    <x v="6"/>
    <s v="LOCATIONS - Logiciels, Abonnements SaaS, Cloud, On-Premises"/>
    <s v="AC"/>
    <n v="89.99"/>
    <d v="2025-11-09T00:00:00"/>
    <s v="COMPTE #2706: SERVEURS DÉDIÉS - VPS SSD IM 2023.1 - PILI-VT-PROD-LAMP01"/>
    <m/>
    <e v="#N/A"/>
    <e v="#N/A"/>
    <n v="89672"/>
    <s v="20251120290"/>
    <s v="DATACAMPUS"/>
    <s v="Q4"/>
    <e v="#REF!"/>
    <e v="#REF!"/>
    <e v="#REF!"/>
  </r>
  <r>
    <s v="613300"/>
    <x v="6"/>
    <s v="LOCATIONS - Logiciels, Abonnements SaaS, Cloud, On-Premises"/>
    <s v="AC"/>
    <n v="89.99"/>
    <d v="2025-12-09T00:00:00"/>
    <s v="COMPTE #2706: SERVEURS DÉDIÉS - VPS SSD IM 2023.1 - PILI-VT-PROD-LAMP01"/>
    <m/>
    <e v="#N/A"/>
    <e v="#N/A"/>
    <n v="92018"/>
    <s v="20251220548"/>
    <s v="DATACAMPUS"/>
    <s v="Q4"/>
    <e v="#REF!"/>
    <e v="#REF!"/>
    <e v="#REF!"/>
  </r>
  <r>
    <s v="613300"/>
    <x v="6"/>
    <s v="LOCATIONS - Logiciels, Abonnements SaaS, Cloud, On-Premises"/>
    <s v="AC"/>
    <n v="111.92"/>
    <d v="2025-05-12T00:00:00"/>
    <s v="RENOUVELLEMENT NOMS DE DOMAINE GAM"/>
    <m/>
    <e v="#N/A"/>
    <e v="#N/A"/>
    <n v="72712"/>
    <s v="2,03E+12"/>
    <s v="GANDI"/>
    <s v="Q2"/>
    <e v="#REF!"/>
    <e v="#REF!"/>
    <e v="#REF!"/>
  </r>
  <r>
    <s v="613300"/>
    <x v="6"/>
    <s v="LOCATIONS - Logiciels, Abonnements SaaS, Cloud, On-Premises"/>
    <s v="AC"/>
    <n v="113.8"/>
    <d v="2025-01-01T00:00:00"/>
    <s v="ABONNEMENT HELLOCSE FORFAIT 2 ANS PÉRIODE DU 01/12/2024 AU 31/12/2024"/>
    <m/>
    <s v="Non"/>
    <e v="#N/A"/>
    <n v="72514"/>
    <s v="2025-01-2408"/>
    <s v="HELLOCSE"/>
    <s v="Q1"/>
    <e v="#REF!"/>
    <e v="#REF!"/>
    <e v="#REF!"/>
  </r>
  <r>
    <s v="613300"/>
    <x v="6"/>
    <s v="LOCATIONS - Logiciels, Abonnements SaaS, Cloud, On-Premises"/>
    <s v="AC"/>
    <n v="113.8"/>
    <d v="2025-02-01T00:00:00"/>
    <s v="ABONNEMENT HELLOCSE FORFAIT 2 ANS PÉRIODE DU 01/01/2025 AU 31/01/2025"/>
    <m/>
    <s v="Non"/>
    <e v="#N/A"/>
    <n v="72534"/>
    <s v="2025-02-2373"/>
    <s v="HELLOCSE"/>
    <s v="Q1"/>
    <e v="#REF!"/>
    <e v="#REF!"/>
    <e v="#REF!"/>
  </r>
  <r>
    <s v="613300"/>
    <x v="6"/>
    <s v="LOCATIONS - Logiciels, Abonnements SaaS, Cloud, On-Premises"/>
    <s v="AC"/>
    <n v="113.8"/>
    <d v="2025-03-01T00:00:00"/>
    <s v="ABONNEMENT HELLOCSE FORFAIT 2 ANS PÉRIODE DU 01/02/2025 AU 28/02/2025"/>
    <m/>
    <s v="Non"/>
    <e v="#N/A"/>
    <n v="72547"/>
    <s v="2025-03-2362"/>
    <s v="HELLOCSE"/>
    <s v="Q1"/>
    <e v="#REF!"/>
    <e v="#REF!"/>
    <e v="#REF!"/>
  </r>
  <r>
    <s v="613300"/>
    <x v="6"/>
    <s v="LOCATIONS - Logiciels, Abonnements SaaS, Cloud, On-Premises"/>
    <s v="AC"/>
    <n v="113.8"/>
    <d v="2025-04-01T00:00:00"/>
    <s v="ABONNEMENT HELLOCSE FORFAIT 2 ANS PÉRIODE DU 01/03/2025 AU 31/03/2025"/>
    <m/>
    <s v="Non"/>
    <e v="#N/A"/>
    <n v="72599"/>
    <s v="2025-04-2345"/>
    <s v="HELLOCSE"/>
    <s v="Q2"/>
    <e v="#REF!"/>
    <e v="#REF!"/>
    <e v="#REF!"/>
  </r>
  <r>
    <s v="613300"/>
    <x v="6"/>
    <s v="LOCATIONS - Logiciels, Abonnements SaaS, Cloud, On-Premises"/>
    <s v="AC"/>
    <n v="143.97999999999999"/>
    <d v="2025-12-03T00:00:00"/>
    <s v="RENOUVELLEMENT NOM DE DOMAINE"/>
    <m/>
    <e v="#N/A"/>
    <e v="#N/A"/>
    <n v="93933"/>
    <s v="2,02512E+12"/>
    <s v="GANDI"/>
    <s v="Q4"/>
    <e v="#REF!"/>
    <e v="#REF!"/>
    <e v="#REF!"/>
  </r>
  <r>
    <s v="613300"/>
    <x v="6"/>
    <s v="LOCATIONS - Logiciels, Abonnements SaaS, Cloud, On-Premises"/>
    <s v="AC"/>
    <n v="154.97999999999999"/>
    <d v="2025-01-05T00:00:00"/>
    <s v="ABONNEMENT CREATIVE CLOUD PACK COMPLET, LOGICIELS DE PAO"/>
    <m/>
    <e v="#N/A"/>
    <e v="#N/A"/>
    <n v="59852"/>
    <s v="IEE2025000194521"/>
    <s v="ADOBE"/>
    <s v="Q1"/>
    <e v="#REF!"/>
    <e v="#REF!"/>
    <e v="#REF!"/>
  </r>
  <r>
    <s v="613300"/>
    <x v="6"/>
    <s v="LOCATIONS - Logiciels, Abonnements SaaS, Cloud, On-Premises"/>
    <s v="AC"/>
    <n v="154.97999999999999"/>
    <d v="2025-02-05T00:00:00"/>
    <s v="ABONNEMENT CREATIVE CLOUD PACK COMPLET, LOGICIELS DE PAO"/>
    <m/>
    <e v="#N/A"/>
    <e v="#N/A"/>
    <n v="61418"/>
    <s v="IEE2025001492778"/>
    <s v="ADOBE"/>
    <s v="Q1"/>
    <e v="#REF!"/>
    <e v="#REF!"/>
    <e v="#REF!"/>
  </r>
  <r>
    <s v="613300"/>
    <x v="6"/>
    <s v="LOCATIONS - Logiciels, Abonnements SaaS, Cloud, On-Premises"/>
    <s v="AC"/>
    <n v="154.97999999999999"/>
    <d v="2025-03-05T00:00:00"/>
    <s v="ABONNEMENT CREATIVE CLOUD PACK COMPLET, LOGICIELS DE PAO"/>
    <m/>
    <e v="#N/A"/>
    <e v="#N/A"/>
    <n v="66065"/>
    <s v="IEE2025002779714"/>
    <s v="ADOBE"/>
    <s v="Q1"/>
    <e v="#REF!"/>
    <e v="#REF!"/>
    <e v="#REF!"/>
  </r>
  <r>
    <s v="613300"/>
    <x v="6"/>
    <s v="LOCATIONS - Logiciels, Abonnements SaaS, Cloud, On-Premises"/>
    <s v="AC"/>
    <n v="154.97999999999999"/>
    <d v="2025-04-06T00:00:00"/>
    <s v="ABONNEMENT CREATIVE CLOUD PACK COMPLET, LOGICIELS DE PAO"/>
    <m/>
    <e v="#N/A"/>
    <e v="#N/A"/>
    <n v="69725"/>
    <s v="40"/>
    <s v="ADOBE"/>
    <s v="Q2"/>
    <e v="#REF!"/>
    <e v="#REF!"/>
    <e v="#REF!"/>
  </r>
  <r>
    <s v="613300"/>
    <x v="6"/>
    <s v="LOCATIONS - Logiciels, Abonnements SaaS, Cloud, On-Premises"/>
    <s v="AC"/>
    <n v="154.97999999999999"/>
    <d v="2025-05-05T00:00:00"/>
    <s v="ABONNEMENT CREATIVE CLOUD PACK COMPLET, LOGICIELS DE PAO"/>
    <m/>
    <e v="#N/A"/>
    <e v="#N/A"/>
    <n v="72685"/>
    <s v="IEE2025005153767"/>
    <s v="ADOBE"/>
    <s v="Q2"/>
    <e v="#REF!"/>
    <e v="#REF!"/>
    <e v="#REF!"/>
  </r>
  <r>
    <s v="613300"/>
    <x v="6"/>
    <s v="LOCATIONS - Logiciels, Abonnements SaaS, Cloud, On-Premises"/>
    <s v="AC"/>
    <n v="154.97999999999999"/>
    <d v="2025-06-05T00:00:00"/>
    <s v="ABONNEMENT CREATIVE CLOUD PACK COMPLET, LOGICIELS DE PAO"/>
    <m/>
    <e v="#N/A"/>
    <e v="#N/A"/>
    <n v="78004"/>
    <s v="16"/>
    <s v="ADOBE"/>
    <s v="Q2"/>
    <e v="#REF!"/>
    <e v="#REF!"/>
    <e v="#REF!"/>
  </r>
  <r>
    <s v="613300"/>
    <x v="6"/>
    <s v="LOCATIONS - Logiciels, Abonnements SaaS, Cloud, On-Premises"/>
    <s v="AC"/>
    <n v="154.97999999999999"/>
    <d v="2025-07-05T00:00:00"/>
    <s v="ABONNEMENT CREATIVE CLOUD PACK COMPLET, LOGICIELS DE PAO"/>
    <m/>
    <e v="#N/A"/>
    <e v="#N/A"/>
    <n v="80865"/>
    <s v="IEE2025009000468"/>
    <s v="ADOBE"/>
    <s v="Q3"/>
    <e v="#REF!"/>
    <e v="#REF!"/>
    <e v="#REF!"/>
  </r>
  <r>
    <s v="613300"/>
    <x v="6"/>
    <s v="LOCATIONS - Logiciels, Abonnements SaaS, Cloud, On-Premises"/>
    <s v="AC"/>
    <n v="154.97999999999999"/>
    <d v="2025-08-05T00:00:00"/>
    <s v="ABONNEMENT CREATIVE CLOUD PACK COMPLET, LOGICIELS DE PAO"/>
    <m/>
    <e v="#N/A"/>
    <e v="#N/A"/>
    <n v="82189"/>
    <s v="IEE2025010947575"/>
    <s v="ADOBE"/>
    <s v="Q3"/>
    <e v="#REF!"/>
    <e v="#REF!"/>
    <e v="#REF!"/>
  </r>
  <r>
    <s v="613300"/>
    <x v="6"/>
    <s v="LOCATIONS - Logiciels, Abonnements SaaS, Cloud, On-Premises"/>
    <s v="AC"/>
    <n v="154.97999999999999"/>
    <d v="2025-09-05T00:00:00"/>
    <s v="ABONNEMENT CREATIVE CLOUD PACK COMPLET, LOGICIELS DE PAO"/>
    <m/>
    <e v="#N/A"/>
    <e v="#N/A"/>
    <n v="82963"/>
    <s v="IEE2025012909265"/>
    <s v="ADOBE"/>
    <s v="Q3"/>
    <e v="#REF!"/>
    <e v="#REF!"/>
    <e v="#REF!"/>
  </r>
  <r>
    <s v="613300"/>
    <x v="6"/>
    <s v="LOCATIONS - Logiciels, Abonnements SaaS, Cloud, On-Premises"/>
    <s v="AC"/>
    <n v="154.97999999999999"/>
    <d v="2025-10-05T00:00:00"/>
    <s v="ABONNEMENT CREATIVE CLOUD PACK COMPLET, LOGICIELS DE PAO"/>
    <m/>
    <e v="#N/A"/>
    <e v="#N/A"/>
    <n v="89593"/>
    <s v="9"/>
    <s v="ADOBE"/>
    <s v="Q4"/>
    <e v="#REF!"/>
    <e v="#REF!"/>
    <e v="#REF!"/>
  </r>
  <r>
    <s v="613300"/>
    <x v="6"/>
    <s v="LOCATIONS - Logiciels, Abonnements SaaS, Cloud, On-Premises"/>
    <s v="AC"/>
    <n v="154.97999999999999"/>
    <d v="2025-11-05T00:00:00"/>
    <s v="ABONNEMENT CREATIVE CLOUD PACK COMPLET, LOGICIELS DE PAO"/>
    <m/>
    <e v="#N/A"/>
    <e v="#N/A"/>
    <n v="91422"/>
    <s v="IEE2025016882392"/>
    <s v="ADOBE"/>
    <s v="Q4"/>
    <e v="#REF!"/>
    <e v="#REF!"/>
    <e v="#REF!"/>
  </r>
  <r>
    <s v="613300"/>
    <x v="6"/>
    <s v="LOCATIONS - Logiciels, Abonnements SaaS, Cloud, On-Premises"/>
    <s v="AC"/>
    <n v="154.97999999999999"/>
    <d v="2025-12-05T00:00:00"/>
    <s v="ABONNEMENT CREATIVE CLOUD PACK COMPLET, LOGICIELS DE PAO"/>
    <m/>
    <e v="#N/A"/>
    <e v="#N/A"/>
    <n v="93939"/>
    <s v="IEE2025018903546"/>
    <s v="ADOBE"/>
    <s v="Q4"/>
    <e v="#REF!"/>
    <e v="#REF!"/>
    <e v="#REF!"/>
  </r>
  <r>
    <s v="613300"/>
    <x v="6"/>
    <s v="LOCATIONS - Logiciels, Abonnements SaaS, Cloud, On-Premises"/>
    <s v="AC"/>
    <n v="300"/>
    <d v="2025-11-03T00:00:00"/>
    <s v="ABONNEMENT YOUSIGN"/>
    <m/>
    <e v="#N/A"/>
    <e v="#N/A"/>
    <n v="91410"/>
    <s v="430521"/>
    <s v="YOUSIGN"/>
    <s v="Q4"/>
    <e v="#REF!"/>
    <e v="#REF!"/>
    <e v="#REF!"/>
  </r>
  <r>
    <s v="613300"/>
    <x v="6"/>
    <s v="LOCATIONS - Logiciels, Abonnements SaaS, Cloud, On-Premises"/>
    <s v="AC"/>
    <n v="426.7"/>
    <d v="2025-11-06T00:00:00"/>
    <s v="(NCE) MICROSOFT COPILOT FOR MICROSOFT 365 PREPAID FOR 12 MONTH(S) PER UNIT"/>
    <m/>
    <e v="#N/A"/>
    <e v="#N/A"/>
    <n v="89929"/>
    <s v="145295"/>
    <s v="ARESCOM"/>
    <s v="Q4"/>
    <e v="#REF!"/>
    <e v="#REF!"/>
    <e v="#REF!"/>
  </r>
  <r>
    <s v="613300"/>
    <x v="6"/>
    <s v="LOCATIONS - Logiciels, Abonnements SaaS, Cloud, On-Premises"/>
    <s v="AC"/>
    <n v="600"/>
    <d v="2025-03-05T00:00:00"/>
    <s v="STARTER - PACK 5 EMPLACEMENTS SUPPLÉMENTAIRES - 3 MOIS"/>
    <m/>
    <e v="#N/A"/>
    <e v="#N/A"/>
    <n v="72562"/>
    <s v="OD-20250305-172248-XX227"/>
    <s v="EURECIA"/>
    <s v="Q1"/>
    <e v="#REF!"/>
    <e v="#REF!"/>
    <e v="#REF!"/>
  </r>
  <r>
    <s v="613300"/>
    <x v="6"/>
    <s v="LOCATIONS - Logiciels, Abonnements SaaS, Cloud, On-Premises"/>
    <s v="AC"/>
    <n v="649"/>
    <d v="2025-01-01T00:00:00"/>
    <s v="SPENDESK INVOICE #CB-202501-2246"/>
    <m/>
    <e v="#N/A"/>
    <e v="#N/A"/>
    <n v="59841"/>
    <s v="3"/>
    <s v="SPENDESK"/>
    <s v="Q1"/>
    <e v="#REF!"/>
    <e v="#REF!"/>
    <e v="#REF!"/>
  </r>
  <r>
    <s v="613300"/>
    <x v="6"/>
    <s v="LOCATIONS - Logiciels, Abonnements SaaS, Cloud, On-Premises"/>
    <s v="AC"/>
    <n v="649"/>
    <d v="2025-02-01T00:00:00"/>
    <s v="SPENDESK INVOICE #CB-202502-6989"/>
    <m/>
    <e v="#N/A"/>
    <e v="#N/A"/>
    <n v="61388"/>
    <s v="88"/>
    <s v="SPENDESK"/>
    <s v="Q1"/>
    <e v="#REF!"/>
    <e v="#REF!"/>
    <e v="#REF!"/>
  </r>
  <r>
    <s v="613300"/>
    <x v="6"/>
    <s v="LOCATIONS - Logiciels, Abonnements SaaS, Cloud, On-Premises"/>
    <s v="AC"/>
    <n v="649"/>
    <d v="2025-03-01T00:00:00"/>
    <s v="SPENDESK INVOICE #CB-202503-11702"/>
    <m/>
    <e v="#N/A"/>
    <e v="#N/A"/>
    <n v="66018"/>
    <s v="2"/>
    <s v="SPENDESK"/>
    <s v="Q1"/>
    <e v="#REF!"/>
    <e v="#REF!"/>
    <e v="#REF!"/>
  </r>
  <r>
    <s v="613300"/>
    <x v="6"/>
    <s v="LOCATIONS - Logiciels, Abonnements SaaS, Cloud, On-Premises"/>
    <s v="AC"/>
    <n v="649"/>
    <d v="2025-04-01T00:00:00"/>
    <s v="SPENDESK INVOICE #CB-202504-16483"/>
    <m/>
    <e v="#N/A"/>
    <e v="#N/A"/>
    <n v="69656"/>
    <s v="17"/>
    <s v="SPENDESK"/>
    <s v="Q2"/>
    <e v="#REF!"/>
    <e v="#REF!"/>
    <e v="#REF!"/>
  </r>
  <r>
    <s v="613300"/>
    <x v="6"/>
    <s v="LOCATIONS - Logiciels, Abonnements SaaS, Cloud, On-Premises"/>
    <s v="AC"/>
    <n v="649"/>
    <d v="2025-05-01T00:00:00"/>
    <s v="SPENDESK INVOICE #CB-202505-20932"/>
    <m/>
    <e v="#N/A"/>
    <e v="#N/A"/>
    <n v="72665"/>
    <s v="202505-20932"/>
    <s v="SPENDESK"/>
    <s v="Q2"/>
    <e v="#REF!"/>
    <e v="#REF!"/>
    <e v="#REF!"/>
  </r>
  <r>
    <s v="613300"/>
    <x v="6"/>
    <s v="LOCATIONS - Logiciels, Abonnements SaaS, Cloud, On-Premises"/>
    <s v="AC"/>
    <n v="649"/>
    <d v="2025-06-01T00:00:00"/>
    <s v="SPENDESK INVOICE #CB-202506-25305"/>
    <m/>
    <e v="#N/A"/>
    <e v="#N/A"/>
    <n v="76543"/>
    <s v="CB-202506-25305"/>
    <s v="SPENDESK"/>
    <s v="Q2"/>
    <e v="#REF!"/>
    <e v="#REF!"/>
    <e v="#REF!"/>
  </r>
  <r>
    <s v="613300"/>
    <x v="6"/>
    <s v="LOCATIONS - Logiciels, Abonnements SaaS, Cloud, On-Premises"/>
    <s v="AC"/>
    <n v="649"/>
    <d v="2025-07-01T00:00:00"/>
    <s v="SPENDESK INVOICE #CB-202507-29783"/>
    <m/>
    <e v="#N/A"/>
    <e v="#N/A"/>
    <n v="78795"/>
    <s v="CB-202507-29783"/>
    <s v="SPENDESK"/>
    <s v="Q3"/>
    <e v="#REF!"/>
    <e v="#REF!"/>
    <e v="#REF!"/>
  </r>
  <r>
    <s v="613300"/>
    <x v="6"/>
    <s v="LOCATIONS - Logiciels, Abonnements SaaS, Cloud, On-Premises"/>
    <s v="AC"/>
    <n v="649"/>
    <d v="2025-08-01T00:00:00"/>
    <s v="SPENDESK INVOICE #CB-202508-34181"/>
    <m/>
    <e v="#N/A"/>
    <e v="#N/A"/>
    <n v="80669"/>
    <s v="CB-202508-34181"/>
    <s v="SPENDESK"/>
    <s v="Q3"/>
    <e v="#REF!"/>
    <e v="#REF!"/>
    <e v="#REF!"/>
  </r>
  <r>
    <s v="613300"/>
    <x v="6"/>
    <s v="LOCATIONS - Logiciels, Abonnements SaaS, Cloud, On-Premises"/>
    <s v="AC"/>
    <n v="649"/>
    <d v="2025-09-01T00:00:00"/>
    <s v="SPENDESK INVOICE #CB-202509-38674"/>
    <m/>
    <e v="#N/A"/>
    <e v="#N/A"/>
    <n v="81899"/>
    <s v="CB-202509-38674"/>
    <s v="SPENDESK"/>
    <s v="Q3"/>
    <e v="#REF!"/>
    <e v="#REF!"/>
    <e v="#REF!"/>
  </r>
  <r>
    <s v="613300"/>
    <x v="6"/>
    <s v="LOCATIONS - Logiciels, Abonnements SaaS, Cloud, On-Premises"/>
    <s v="AC"/>
    <n v="649"/>
    <d v="2025-10-01T00:00:00"/>
    <s v="SPENDESK INVOICE #CB-202510-42829"/>
    <m/>
    <e v="#N/A"/>
    <e v="#N/A"/>
    <n v="82788"/>
    <s v="CB-202510-42829"/>
    <s v="SPENDESK"/>
    <s v="Q4"/>
    <e v="#REF!"/>
    <e v="#REF!"/>
    <e v="#REF!"/>
  </r>
  <r>
    <s v="613300"/>
    <x v="6"/>
    <s v="LOCATIONS - Logiciels, Abonnements SaaS, Cloud, On-Premises"/>
    <s v="AC"/>
    <n v="649"/>
    <d v="2025-11-01T00:00:00"/>
    <s v="SPENDESK INVOICE #CB-202511-47184"/>
    <m/>
    <e v="#N/A"/>
    <e v="#N/A"/>
    <n v="89669"/>
    <s v="CB-202511-47184"/>
    <s v="SPENDESK"/>
    <s v="Q4"/>
    <e v="#REF!"/>
    <e v="#REF!"/>
    <e v="#REF!"/>
  </r>
  <r>
    <s v="613300"/>
    <x v="6"/>
    <s v="LOCATIONS - Logiciels, Abonnements SaaS, Cloud, On-Premises"/>
    <s v="AC"/>
    <n v="649"/>
    <d v="2025-12-01T00:00:00"/>
    <s v="SPENDESK INVOICE #CB-202512-51443"/>
    <m/>
    <e v="#N/A"/>
    <e v="#N/A"/>
    <n v="91831"/>
    <s v="CB-202512-51443"/>
    <s v="SPENDESK"/>
    <s v="Q4"/>
    <e v="#REF!"/>
    <e v="#REF!"/>
    <e v="#REF!"/>
  </r>
  <r>
    <s v="613300"/>
    <x v="6"/>
    <s v="LOCATIONS - Logiciels, Abonnements SaaS, Cloud, On-Premises"/>
    <s v="AC"/>
    <n v="660"/>
    <d v="2025-05-07T00:00:00"/>
    <s v="ELECTIONS CSE PAR VOIE ÉLECTRONIQUE SUR LA BASE DE 40 ÉLECTEURS"/>
    <m/>
    <s v="Non"/>
    <e v="#N/A"/>
    <n v="72704"/>
    <s v="F2025-10241"/>
    <s v="AGRUME"/>
    <s v="Q2"/>
    <e v="#REF!"/>
    <e v="#REF!"/>
    <e v="#REF!"/>
  </r>
  <r>
    <s v="613300"/>
    <x v="6"/>
    <s v="LOCATIONS - Logiciels, Abonnements SaaS, Cloud, On-Premises"/>
    <s v="AC"/>
    <n v="1200"/>
    <d v="2025-08-11T00:00:00"/>
    <s v="MONTANT MINIMUM LORS DE LA PROLONGATION (PAR MOIS)"/>
    <m/>
    <e v="#N/A"/>
    <e v="#N/A"/>
    <n v="81795"/>
    <s v="1459938-FR"/>
    <s v="DROOMS"/>
    <s v="Q3"/>
    <e v="#REF!"/>
    <e v="#REF!"/>
    <e v="#REF!"/>
  </r>
  <r>
    <s v="613300"/>
    <x v="6"/>
    <s v="LOCATIONS - Logiciels, Abonnements SaaS, Cloud, On-Premises"/>
    <s v="AC"/>
    <n v="1200"/>
    <d v="2025-09-09T00:00:00"/>
    <s v="MONTANT MINIMUM LORS DE LA PROLONGATION (PAR MOIS)"/>
    <m/>
    <e v="#N/A"/>
    <e v="#N/A"/>
    <n v="81868"/>
    <s v="1460091-FR"/>
    <s v="DROOMS"/>
    <s v="Q3"/>
    <e v="#REF!"/>
    <e v="#REF!"/>
    <e v="#REF!"/>
  </r>
  <r>
    <s v="613300"/>
    <x v="6"/>
    <s v="LOCATIONS - Logiciels, Abonnements SaaS, Cloud, On-Premises"/>
    <s v="AC"/>
    <n v="1200"/>
    <d v="2025-10-09T00:00:00"/>
    <s v="MONTANT MINIMUM LORS DE LA PROLONGATION (PAR MOIS)"/>
    <m/>
    <e v="#N/A"/>
    <e v="#N/A"/>
    <n v="85166"/>
    <s v="1460273-FR"/>
    <s v="DROOMS"/>
    <s v="Q4"/>
    <e v="#REF!"/>
    <e v="#REF!"/>
    <e v="#REF!"/>
  </r>
  <r>
    <s v="613300"/>
    <x v="6"/>
    <s v="LOCATIONS - Logiciels, Abonnements SaaS, Cloud, On-Premises"/>
    <s v="AC"/>
    <n v="1200"/>
    <d v="2025-11-10T00:00:00"/>
    <s v="MONTANT MINIMUM LORS DE LA PROLONGATION (PAR MOIS)"/>
    <m/>
    <e v="#N/A"/>
    <e v="#N/A"/>
    <n v="89932"/>
    <s v="1460452-FR"/>
    <s v="DROOMS"/>
    <s v="Q4"/>
    <e v="#REF!"/>
    <e v="#REF!"/>
    <e v="#REF!"/>
  </r>
  <r>
    <s v="613300"/>
    <x v="6"/>
    <s v="LOCATIONS - Logiciels, Abonnements SaaS, Cloud, On-Premises"/>
    <s v="AC"/>
    <n v="1200"/>
    <d v="2025-12-09T00:00:00"/>
    <s v="MONTANT MINIMUM LORS DE LA PROLONGATION (PAR MOIS)"/>
    <m/>
    <e v="#N/A"/>
    <e v="#N/A"/>
    <n v="92013"/>
    <s v="1460653-FR"/>
    <s v="DROOMS"/>
    <s v="Q4"/>
    <e v="#REF!"/>
    <e v="#REF!"/>
    <e v="#REF!"/>
  </r>
  <r>
    <s v="613300"/>
    <x v="6"/>
    <s v="LOCATIONS - Logiciels, Abonnements SaaS, Cloud, On-Premises"/>
    <s v="AC"/>
    <n v="1360.12"/>
    <d v="2025-01-07T00:00:00"/>
    <s v="LICENCES OFFICE 365"/>
    <m/>
    <e v="#N/A"/>
    <e v="#N/A"/>
    <n v="59869"/>
    <s v="139963"/>
    <s v="ARESCOM"/>
    <s v="Q1"/>
    <e v="#REF!"/>
    <e v="#REF!"/>
    <e v="#REF!"/>
  </r>
  <r>
    <s v="613300"/>
    <x v="6"/>
    <s v="LOCATIONS - Logiciels, Abonnements SaaS, Cloud, On-Premises"/>
    <s v="AC"/>
    <n v="1364.6"/>
    <d v="2025-03-03T00:00:00"/>
    <s v="LICENCES OFFICE 365 1 EXCHANGE ONLINE P1 / 50 MICROSOFT 365 BUSINESS PREMIUM / 3 POWER BI PRO / 7 PROJECT PLAN 3 / 4 VISIO P2"/>
    <m/>
    <e v="#N/A"/>
    <e v="#N/A"/>
    <n v="66000"/>
    <s v="140962"/>
    <s v="ARESCOM"/>
    <s v="Q1"/>
    <e v="#REF!"/>
    <e v="#REF!"/>
    <e v="#REF!"/>
  </r>
  <r>
    <s v="613300"/>
    <x v="6"/>
    <s v="LOCATIONS - Logiciels, Abonnements SaaS, Cloud, On-Premises"/>
    <s v="AC"/>
    <n v="1380.88"/>
    <d v="2025-02-04T00:00:00"/>
    <s v="LICENCES OFFICE 365"/>
    <m/>
    <e v="#N/A"/>
    <e v="#N/A"/>
    <n v="61404"/>
    <s v="140475"/>
    <s v="ARESCOM"/>
    <s v="Q1"/>
    <e v="#REF!"/>
    <e v="#REF!"/>
    <e v="#REF!"/>
  </r>
  <r>
    <s v="613300"/>
    <x v="6"/>
    <s v="LOCATIONS - Logiciels, Abonnements SaaS, Cloud, On-Premises"/>
    <s v="AC"/>
    <n v="1459.57"/>
    <d v="2025-04-02T00:00:00"/>
    <s v="LICENCES OFFICE 365 1 EXCHANGE ONLINE P1 / 1 MICROSOFT 365 APPS FOR ENTREPRISE / 50 MICROSOFT 365 BUSINESS PREMIUM / 3 POWER BI"/>
    <m/>
    <e v="#N/A"/>
    <e v="#N/A"/>
    <n v="69702"/>
    <s v="141572"/>
    <s v="ARESCOM"/>
    <s v="Q2"/>
    <e v="#REF!"/>
    <e v="#REF!"/>
    <e v="#REF!"/>
  </r>
  <r>
    <s v="613300"/>
    <x v="6"/>
    <s v="LOCATIONS - Logiciels, Abonnements SaaS, Cloud, On-Premises"/>
    <s v="AC"/>
    <n v="1503.37"/>
    <d v="2025-06-02T00:00:00"/>
    <s v="LICENCES OFFICE365"/>
    <m/>
    <e v="#N/A"/>
    <e v="#N/A"/>
    <n v="75487"/>
    <s v="142594"/>
    <s v="ARESCOM"/>
    <s v="Q2"/>
    <e v="#REF!"/>
    <e v="#REF!"/>
    <e v="#REF!"/>
  </r>
  <r>
    <s v="613300"/>
    <x v="6"/>
    <s v="LOCATIONS - Logiciels, Abonnements SaaS, Cloud, On-Premises"/>
    <s v="AC"/>
    <n v="1503.37"/>
    <d v="2025-07-02T00:00:00"/>
    <s v="LICENCES OFFICE 365"/>
    <m/>
    <e v="#N/A"/>
    <e v="#N/A"/>
    <n v="77331"/>
    <s v="143106"/>
    <s v="ARESCOM"/>
    <s v="Q3"/>
    <e v="#REF!"/>
    <e v="#REF!"/>
    <e v="#REF!"/>
  </r>
  <r>
    <s v="613300"/>
    <x v="6"/>
    <s v="LOCATIONS - Logiciels, Abonnements SaaS, Cloud, On-Premises"/>
    <s v="AC"/>
    <n v="1524.14"/>
    <d v="2025-05-02T00:00:00"/>
    <s v="LICENCES OFFICE 365LICENCES OFFICE 365 1 EXCHANGE ONLINE P1 / 3 MICROSOFT 365 APPS FOR ENTREPRISE / 50 MICROSOFT 365 BUSINESS PR"/>
    <m/>
    <e v="#N/A"/>
    <e v="#N/A"/>
    <n v="72673"/>
    <s v="142087"/>
    <s v="ARESCOM"/>
    <s v="Q2"/>
    <e v="#REF!"/>
    <e v="#REF!"/>
    <e v="#REF!"/>
  </r>
  <r>
    <s v="613300"/>
    <x v="6"/>
    <s v="LOCATIONS - Logiciels, Abonnements SaaS, Cloud, On-Premises"/>
    <s v="AC"/>
    <n v="1650.92"/>
    <d v="2025-09-02T00:00:00"/>
    <s v="LICENCES OFFICE 365"/>
    <m/>
    <e v="#N/A"/>
    <e v="#N/A"/>
    <n v="82311"/>
    <s v="144119"/>
    <s v="ARESCOM"/>
    <s v="Q3"/>
    <e v="#REF!"/>
    <e v="#REF!"/>
    <e v="#REF!"/>
  </r>
  <r>
    <s v="613300"/>
    <x v="6"/>
    <s v="LOCATIONS - Logiciels, Abonnements SaaS, Cloud, On-Premises"/>
    <s v="AC"/>
    <n v="1650.92"/>
    <d v="2025-10-03T00:00:00"/>
    <s v="LICENCES OFFICE 365"/>
    <m/>
    <e v="#N/A"/>
    <e v="#N/A"/>
    <n v="84982"/>
    <s v="144642"/>
    <s v="ARESCOM"/>
    <s v="Q4"/>
    <e v="#REF!"/>
    <e v="#REF!"/>
    <e v="#REF!"/>
  </r>
  <r>
    <s v="613300"/>
    <x v="6"/>
    <s v="LOCATIONS - Logiciels, Abonnements SaaS, Cloud, On-Premises"/>
    <s v="AC"/>
    <n v="1650.92"/>
    <d v="2025-11-03T00:00:00"/>
    <s v="LICENCES OFFICE 365"/>
    <m/>
    <e v="#N/A"/>
    <e v="#N/A"/>
    <n v="89913"/>
    <s v="145166"/>
    <s v="ARESCOM"/>
    <s v="Q4"/>
    <e v="#REF!"/>
    <e v="#REF!"/>
    <e v="#REF!"/>
  </r>
  <r>
    <s v="613300"/>
    <x v="6"/>
    <s v="LOCATIONS - Logiciels, Abonnements SaaS, Cloud, On-Premises"/>
    <s v="AC"/>
    <n v="1650.92"/>
    <d v="2025-12-02T00:00:00"/>
    <s v="LICENCES OFFICE 365"/>
    <m/>
    <e v="#N/A"/>
    <e v="#N/A"/>
    <n v="92157"/>
    <s v="145679"/>
    <s v="ARESCOM"/>
    <s v="Q4"/>
    <e v="#REF!"/>
    <e v="#REF!"/>
    <e v="#REF!"/>
  </r>
  <r>
    <s v="613300"/>
    <x v="6"/>
    <s v="LOCATIONS - Logiciels, Abonnements SaaS, Cloud, On-Premises"/>
    <s v="AC"/>
    <n v="1755.63"/>
    <d v="2025-08-01T00:00:00"/>
    <s v="LICENCES OFFICE 365"/>
    <m/>
    <e v="#N/A"/>
    <e v="#N/A"/>
    <n v="81247"/>
    <s v="143651"/>
    <s v="ARESCOM"/>
    <s v="Q3"/>
    <e v="#REF!"/>
    <e v="#REF!"/>
    <e v="#REF!"/>
  </r>
  <r>
    <s v="613300"/>
    <x v="6"/>
    <s v="LOCATIONS - Logiciels, Abonnements SaaS, Cloud, On-Premises"/>
    <s v="AC"/>
    <n v="2320"/>
    <d v="2025-05-31T00:00:00"/>
    <s v="LICENCES DOTMATICS 2026 - 2 ADDITIONAL CHEMISTRY"/>
    <s v="Non"/>
    <e v="#N/A"/>
    <e v="#N/A"/>
    <n v="75185"/>
    <s v="INV24949"/>
    <s v="DOTMATICS LIMITED"/>
    <s v="Q2"/>
    <e v="#REF!"/>
    <e v="#REF!"/>
    <e v="#REF!"/>
  </r>
  <r>
    <s v="613300"/>
    <x v="6"/>
    <s v="LOCATIONS - Logiciels, Abonnements SaaS, Cloud, On-Premises"/>
    <s v="AC"/>
    <n v="3800"/>
    <d v="2025-02-10T00:00:00"/>
    <s v="FORFAIT POUR PAGES TÉLÉCHARGÉES"/>
    <m/>
    <e v="#N/A"/>
    <e v="#N/A"/>
    <n v="61448"/>
    <s v="1459019-FR"/>
    <s v="DROOMS"/>
    <s v="Q1"/>
    <e v="#REF!"/>
    <e v="#REF!"/>
    <e v="#REF!"/>
  </r>
  <r>
    <s v="613300"/>
    <x v="6"/>
    <s v="LOCATIONS - Logiciels, Abonnements SaaS, Cloud, On-Premises"/>
    <s v="AC"/>
    <n v="6610"/>
    <d v="2025-05-31T00:00:00"/>
    <s v="LICENCES DOTMATICS 2025_06 À 2026_05 - 1 READ ONLY - 5 ADDITIONAL CHEMISTRY"/>
    <s v="Non"/>
    <e v="#N/A"/>
    <e v="#N/A"/>
    <n v="75189"/>
    <s v="INV24947"/>
    <s v="DOTMATICS LIMITED"/>
    <s v="Q2"/>
    <e v="#REF!"/>
    <e v="#REF!"/>
    <e v="#REF!"/>
  </r>
  <r>
    <s v="613300"/>
    <x v="6"/>
    <s v="LOCATIONS - Logiciels, Abonnements SaaS, Cloud, On-Premises"/>
    <s v="AC"/>
    <n v="9283.92"/>
    <d v="2025-09-20T00:00:00"/>
    <s v="SIRH"/>
    <m/>
    <e v="#N/A"/>
    <e v="#N/A"/>
    <n v="82767"/>
    <s v="IN-20250920-010001-03806"/>
    <s v="EURECIA"/>
    <s v="Q3"/>
    <e v="#REF!"/>
    <e v="#REF!"/>
    <e v="#REF!"/>
  </r>
  <r>
    <s v="613300"/>
    <x v="6"/>
    <s v="LOCATIONS - Logiciels, Abonnements SaaS, Cloud, On-Premises"/>
    <s v="AC"/>
    <n v="9540"/>
    <d v="2025-12-16T00:00:00"/>
    <s v="HÉBERGEMENT AXE CLOUD SERVEUR"/>
    <m/>
    <s v="Non"/>
    <e v="#N/A"/>
    <n v="93604"/>
    <s v="FAP11606"/>
    <s v="AXE GESCOM"/>
    <s v="Q4"/>
    <e v="#REF!"/>
    <e v="#REF!"/>
    <e v="#REF!"/>
  </r>
  <r>
    <s v="613300"/>
    <x v="6"/>
    <s v="LOCATIONS - Logiciels, Abonnements SaaS, Cloud, On-Premises"/>
    <s v="AC"/>
    <n v="9950"/>
    <d v="2025-02-28T00:00:00"/>
    <s v="HÉBERGEMENT AXE CLOUD SERVEUR, LE MOIS ENGAGEMENT SUR 12 MOIS MINIMUM FRAIS DE MISE EN SERVICE MACHINE VIRTUELLE"/>
    <m/>
    <s v="Non"/>
    <e v="#N/A"/>
    <n v="61573"/>
    <s v="FAP10637"/>
    <s v="AXE GESCOM"/>
    <s v="Q1"/>
    <e v="#REF!"/>
    <e v="#REF!"/>
    <e v="#REF!"/>
  </r>
  <r>
    <s v="613300"/>
    <x v="6"/>
    <s v="LOCATIONS - Logiciels, Abonnements SaaS, Cloud, On-Premises"/>
    <s v="AC"/>
    <n v="14942.28"/>
    <d v="2025-12-16T00:00:00"/>
    <s v="DROITS D'UTILISATION ANNUELS SAGE"/>
    <m/>
    <s v="Non"/>
    <e v="#N/A"/>
    <n v="93607"/>
    <s v="FAP11604"/>
    <s v="AXE GESCOM"/>
    <s v="Q4"/>
    <e v="#REF!"/>
    <e v="#REF!"/>
    <e v="#REF!"/>
  </r>
  <r>
    <s v="613300"/>
    <x v="6"/>
    <s v="LOCATIONS - Logiciels, Abonnements SaaS, Cloud, On-Premises"/>
    <s v="AC"/>
    <n v="30840"/>
    <d v="2025-05-31T00:00:00"/>
    <s v="LICENCES DOTMATICS 2026 - 1 READ ONLY - 21 CHEMISTRY - 7 BIOREGISTER"/>
    <s v="Non"/>
    <e v="#N/A"/>
    <e v="#N/A"/>
    <n v="75187"/>
    <s v="INV24946"/>
    <s v="DOTMATICS LIMITED"/>
    <s v="Q2"/>
    <e v="#REF!"/>
    <e v="#REF!"/>
    <e v="#REF!"/>
  </r>
  <r>
    <s v="613300"/>
    <x v="6"/>
    <s v="LOCATIONS - Logiciels, Abonnements SaaS, Cloud, On-Premises"/>
    <s v="JC"/>
    <n v="675"/>
    <d v="2025-01-01T00:00:00"/>
    <s v="CCA EURECIA"/>
    <m/>
    <e v="#N/A"/>
    <e v="#N/A"/>
    <n v="86571"/>
    <m/>
    <s v="EURECIA"/>
    <s v="Q1"/>
    <e v="#REF!"/>
    <e v="#REF!"/>
    <e v="#REF!"/>
  </r>
  <r>
    <s v="613300"/>
    <x v="6"/>
    <s v="LOCATIONS - Logiciels, Abonnements SaaS, Cloud, On-Premises"/>
    <s v="JC"/>
    <n v="675"/>
    <d v="2025-02-01T00:00:00"/>
    <s v="CCA EURECIA"/>
    <m/>
    <e v="#N/A"/>
    <e v="#N/A"/>
    <n v="86572"/>
    <m/>
    <s v="EURECIA"/>
    <s v="Q1"/>
    <e v="#REF!"/>
    <e v="#REF!"/>
    <e v="#REF!"/>
  </r>
  <r>
    <s v="613300"/>
    <x v="6"/>
    <s v="LOCATIONS - Logiciels, Abonnements SaaS, Cloud, On-Premises"/>
    <s v="JC"/>
    <n v="675"/>
    <d v="2025-03-01T00:00:00"/>
    <s v="CCA EURECIA"/>
    <m/>
    <e v="#N/A"/>
    <e v="#N/A"/>
    <n v="86575"/>
    <m/>
    <s v="EURECIA"/>
    <s v="Q1"/>
    <e v="#REF!"/>
    <e v="#REF!"/>
    <e v="#REF!"/>
  </r>
  <r>
    <s v="613300"/>
    <x v="6"/>
    <s v="LOCATIONS - Logiciels, Abonnements SaaS, Cloud, On-Premises"/>
    <s v="JC"/>
    <n v="675"/>
    <d v="2025-04-01T00:00:00"/>
    <s v="CCA EURECIA"/>
    <m/>
    <e v="#N/A"/>
    <e v="#N/A"/>
    <n v="86577"/>
    <m/>
    <s v="EURECIA"/>
    <s v="Q2"/>
    <e v="#REF!"/>
    <e v="#REF!"/>
    <e v="#REF!"/>
  </r>
  <r>
    <s v="613300"/>
    <x v="6"/>
    <s v="LOCATIONS - Logiciels, Abonnements SaaS, Cloud, On-Premises"/>
    <s v="JC"/>
    <n v="675"/>
    <d v="2025-05-01T00:00:00"/>
    <s v="CCA EURECIA"/>
    <m/>
    <e v="#N/A"/>
    <e v="#N/A"/>
    <n v="86579"/>
    <m/>
    <s v="EURECIA"/>
    <s v="Q2"/>
    <e v="#REF!"/>
    <e v="#REF!"/>
    <e v="#REF!"/>
  </r>
  <r>
    <s v="613300"/>
    <x v="6"/>
    <s v="LOCATIONS - Logiciels, Abonnements SaaS, Cloud, On-Premises"/>
    <s v="JC"/>
    <n v="675"/>
    <d v="2025-06-01T00:00:00"/>
    <s v="CCA EURECIA"/>
    <m/>
    <e v="#N/A"/>
    <e v="#N/A"/>
    <n v="86581"/>
    <m/>
    <s v="EURECIA"/>
    <s v="Q2"/>
    <e v="#REF!"/>
    <e v="#REF!"/>
    <e v="#REF!"/>
  </r>
  <r>
    <s v="613300"/>
    <x v="6"/>
    <s v="LOCATIONS - Logiciels, Abonnements SaaS, Cloud, On-Premises"/>
    <s v="JC"/>
    <n v="675"/>
    <d v="2025-07-01T00:00:00"/>
    <s v="CCA EURECIA"/>
    <m/>
    <e v="#N/A"/>
    <e v="#N/A"/>
    <n v="86583"/>
    <m/>
    <s v="EURECIA"/>
    <s v="Q3"/>
    <e v="#REF!"/>
    <e v="#REF!"/>
    <e v="#REF!"/>
  </r>
  <r>
    <s v="613300"/>
    <x v="6"/>
    <s v="LOCATIONS - Logiciels, Abonnements SaaS, Cloud, On-Premises"/>
    <s v="JC"/>
    <n v="675"/>
    <d v="2025-08-01T00:00:00"/>
    <s v="CCA EURECIA"/>
    <m/>
    <e v="#N/A"/>
    <e v="#N/A"/>
    <n v="86585"/>
    <m/>
    <s v="EURECIA"/>
    <s v="Q3"/>
    <e v="#REF!"/>
    <e v="#REF!"/>
    <e v="#REF!"/>
  </r>
  <r>
    <s v="613300"/>
    <x v="6"/>
    <s v="LOCATIONS - Logiciels, Abonnements SaaS, Cloud, On-Premises"/>
    <s v="JC"/>
    <n v="675"/>
    <d v="2025-09-01T00:00:00"/>
    <s v="CCA EURECIA"/>
    <m/>
    <e v="#N/A"/>
    <e v="#N/A"/>
    <n v="86587"/>
    <m/>
    <s v="EURECIA"/>
    <s v="Q3"/>
    <e v="#REF!"/>
    <e v="#REF!"/>
    <e v="#REF!"/>
  </r>
  <r>
    <s v="613300"/>
    <x v="6"/>
    <s v="LOCATIONS - Logiciels, Abonnements SaaS, Cloud, On-Premises"/>
    <s v="JC"/>
    <n v="750"/>
    <d v="2025-02-01T00:00:00"/>
    <s v="CCA - AXEINFO - SAGE FRP1000"/>
    <m/>
    <s v="Non"/>
    <e v="#N/A"/>
    <n v="89310"/>
    <m/>
    <s v="AXE GESCOM"/>
    <s v="Q1"/>
    <e v="#REF!"/>
    <e v="#REF!"/>
    <e v="#REF!"/>
  </r>
  <r>
    <s v="613300"/>
    <x v="6"/>
    <s v="LOCATIONS - Logiciels, Abonnements SaaS, Cloud, On-Premises"/>
    <s v="JC"/>
    <n v="750"/>
    <d v="2025-03-01T00:00:00"/>
    <s v="CCA - AXEINFO - SAGE FRP1000"/>
    <m/>
    <s v="Non"/>
    <e v="#N/A"/>
    <n v="89312"/>
    <m/>
    <s v="AXE GESCOM"/>
    <s v="Q1"/>
    <e v="#REF!"/>
    <e v="#REF!"/>
    <e v="#REF!"/>
  </r>
  <r>
    <s v="613300"/>
    <x v="6"/>
    <s v="LOCATIONS - Logiciels, Abonnements SaaS, Cloud, On-Premises"/>
    <s v="JC"/>
    <n v="750"/>
    <d v="2025-04-01T00:00:00"/>
    <s v="CCA - AXEINFO - SAGE FRP1000"/>
    <m/>
    <s v="Non"/>
    <e v="#N/A"/>
    <n v="89314"/>
    <m/>
    <s v="AXE GESCOM"/>
    <s v="Q2"/>
    <e v="#REF!"/>
    <e v="#REF!"/>
    <e v="#REF!"/>
  </r>
  <r>
    <s v="613300"/>
    <x v="6"/>
    <s v="LOCATIONS - Logiciels, Abonnements SaaS, Cloud, On-Premises"/>
    <s v="JC"/>
    <n v="750"/>
    <d v="2025-05-01T00:00:00"/>
    <s v="CCA - AXEINFO - SAGE FRP1000"/>
    <m/>
    <s v="Non"/>
    <e v="#N/A"/>
    <n v="89316"/>
    <m/>
    <s v="AXE GESCOM"/>
    <s v="Q2"/>
    <e v="#REF!"/>
    <e v="#REF!"/>
    <e v="#REF!"/>
  </r>
  <r>
    <s v="613300"/>
    <x v="6"/>
    <s v="LOCATIONS - Logiciels, Abonnements SaaS, Cloud, On-Premises"/>
    <s v="JC"/>
    <n v="750"/>
    <d v="2025-06-01T00:00:00"/>
    <s v="CCA - AXEINFO - SAGE FRP1000"/>
    <m/>
    <s v="Non"/>
    <e v="#N/A"/>
    <n v="89318"/>
    <m/>
    <s v="AXE GESCOM"/>
    <s v="Q2"/>
    <e v="#REF!"/>
    <e v="#REF!"/>
    <e v="#REF!"/>
  </r>
  <r>
    <s v="613300"/>
    <x v="6"/>
    <s v="LOCATIONS - Logiciels, Abonnements SaaS, Cloud, On-Premises"/>
    <s v="JC"/>
    <n v="750"/>
    <d v="2025-07-01T00:00:00"/>
    <s v="CCA - AXEINFO - SAGE FRP1000"/>
    <m/>
    <s v="Non"/>
    <e v="#N/A"/>
    <n v="89320"/>
    <m/>
    <s v="AXE GESCOM"/>
    <s v="Q3"/>
    <e v="#REF!"/>
    <e v="#REF!"/>
    <e v="#REF!"/>
  </r>
  <r>
    <s v="613300"/>
    <x v="6"/>
    <s v="LOCATIONS - Logiciels, Abonnements SaaS, Cloud, On-Premises"/>
    <s v="JC"/>
    <n v="750"/>
    <d v="2025-08-01T00:00:00"/>
    <s v="CCA - AXEINFO - SAGE FRP1000"/>
    <m/>
    <s v="Non"/>
    <e v="#N/A"/>
    <n v="89322"/>
    <m/>
    <s v="AXE GESCOM"/>
    <s v="Q3"/>
    <e v="#REF!"/>
    <e v="#REF!"/>
    <e v="#REF!"/>
  </r>
  <r>
    <s v="613300"/>
    <x v="6"/>
    <s v="LOCATIONS - Logiciels, Abonnements SaaS, Cloud, On-Premises"/>
    <s v="JC"/>
    <n v="750"/>
    <d v="2025-09-01T00:00:00"/>
    <s v="CCA - AXEINFO - SAGE FRP1000"/>
    <m/>
    <s v="Non"/>
    <e v="#N/A"/>
    <n v="89324"/>
    <m/>
    <s v="AXE GESCOM"/>
    <s v="Q3"/>
    <e v="#REF!"/>
    <e v="#REF!"/>
    <e v="#REF!"/>
  </r>
  <r>
    <s v="613300"/>
    <x v="6"/>
    <s v="LOCATIONS - Logiciels, Abonnements SaaS, Cloud, On-Premises"/>
    <s v="JC"/>
    <n v="750"/>
    <d v="2025-10-01T00:00:00"/>
    <s v="CCA - AXEINFO - SAGE FRP1000"/>
    <m/>
    <s v="Non"/>
    <e v="#N/A"/>
    <n v="89326"/>
    <m/>
    <s v="AXE GESCOM"/>
    <s v="Q4"/>
    <e v="#REF!"/>
    <e v="#REF!"/>
    <e v="#REF!"/>
  </r>
  <r>
    <s v="613300"/>
    <x v="6"/>
    <s v="LOCATIONS - Logiciels, Abonnements SaaS, Cloud, On-Premises"/>
    <s v="JC"/>
    <n v="750"/>
    <d v="2025-11-01T00:00:00"/>
    <s v="CCA - AXEINFO - SAGE FRP1000"/>
    <m/>
    <s v="Non"/>
    <e v="#N/A"/>
    <n v="89328"/>
    <m/>
    <s v="AXE GESCOM"/>
    <s v="Q4"/>
    <e v="#REF!"/>
    <e v="#REF!"/>
    <e v="#REF!"/>
  </r>
  <r>
    <s v="613300"/>
    <x v="6"/>
    <s v="LOCATIONS - Logiciels, Abonnements SaaS, Cloud, On-Premises"/>
    <s v="JC"/>
    <n v="750"/>
    <d v="2025-12-01T00:00:00"/>
    <s v="CCA - AXEINFO - SAGE FRP1000"/>
    <m/>
    <s v="Non"/>
    <e v="#N/A"/>
    <n v="89330"/>
    <m/>
    <s v="AXE GESCOM"/>
    <s v="Q4"/>
    <e v="#REF!"/>
    <e v="#REF!"/>
    <e v="#REF!"/>
  </r>
  <r>
    <s v="613300"/>
    <x v="6"/>
    <s v="LOCATIONS - Logiciels, Abonnements SaaS, Cloud, On-Premises"/>
    <s v="JC"/>
    <n v="773.66"/>
    <d v="2025-10-01T00:00:00"/>
    <s v="CCA EURECIA - 2025 2026"/>
    <m/>
    <e v="#N/A"/>
    <e v="#N/A"/>
    <n v="86591"/>
    <s v="IN-20250920-010001-03806"/>
    <s v="EURECIA"/>
    <s v="Q4"/>
    <e v="#REF!"/>
    <e v="#REF!"/>
    <e v="#REF!"/>
  </r>
  <r>
    <s v="613300"/>
    <x v="6"/>
    <s v="LOCATIONS - Logiciels, Abonnements SaaS, Cloud, On-Premises"/>
    <s v="JC"/>
    <n v="773.66"/>
    <d v="2025-11-01T00:00:00"/>
    <s v="CCA EURECIA - 2025 2026"/>
    <m/>
    <e v="#N/A"/>
    <e v="#N/A"/>
    <n v="86594"/>
    <s v="IN-20250920-010001-03806"/>
    <s v="EURECIA"/>
    <s v="Q4"/>
    <e v="#REF!"/>
    <e v="#REF!"/>
    <e v="#REF!"/>
  </r>
  <r>
    <s v="613300"/>
    <x v="6"/>
    <s v="LOCATIONS - Logiciels, Abonnements SaaS, Cloud, On-Premises"/>
    <s v="JC"/>
    <n v="773.66"/>
    <d v="2025-12-01T00:00:00"/>
    <s v="CCA EURECIA - 2025 2026"/>
    <m/>
    <e v="#N/A"/>
    <e v="#N/A"/>
    <n v="86592"/>
    <s v="IN-20250920-010001-03806"/>
    <s v="EURECIA"/>
    <s v="Q4"/>
    <e v="#REF!"/>
    <e v="#REF!"/>
    <e v="#REF!"/>
  </r>
  <r>
    <s v="613300"/>
    <x v="6"/>
    <s v="LOCATIONS - Logiciels, Abonnements SaaS, Cloud, On-Premises"/>
    <s v="JC"/>
    <n v="1242"/>
    <d v="2025-03-01T00:00:00"/>
    <s v="CCA RITME LICENCES CHEMDRAW"/>
    <m/>
    <e v="#N/A"/>
    <e v="#N/A"/>
    <n v="86621"/>
    <m/>
    <s v="RITME"/>
    <s v="Q1"/>
    <e v="#REF!"/>
    <e v="#REF!"/>
    <e v="#REF!"/>
  </r>
  <r>
    <s v="613300"/>
    <x v="6"/>
    <s v="LOCATIONS - Logiciels, Abonnements SaaS, Cloud, On-Premises"/>
    <s v="JC"/>
    <n v="2315.19"/>
    <d v="2025-07-01T00:00:00"/>
    <s v="PREPAID EXPENSE - AMERICAN CHEMICAL SOCIETY - LICENCES SCIFINDER"/>
    <m/>
    <e v="#N/A"/>
    <e v="#N/A"/>
    <n v="94586"/>
    <s v="91148976"/>
    <s v="AMERICAN CHEMICAL SOCIETY"/>
    <s v="Q3"/>
    <e v="#REF!"/>
    <e v="#REF!"/>
    <e v="#REF!"/>
  </r>
  <r>
    <s v="613300"/>
    <x v="6"/>
    <s v="LOCATIONS - Logiciels, Abonnements SaaS, Cloud, On-Premises"/>
    <s v="JC"/>
    <n v="2315.19"/>
    <d v="2025-08-01T00:00:00"/>
    <s v="PREPAID EXPENSE - AMERICAN CHEMICAL SOCIETY - LICENCES SCIFINDER"/>
    <m/>
    <e v="#N/A"/>
    <e v="#N/A"/>
    <n v="94588"/>
    <s v="91148976"/>
    <s v="AMERICAN CHEMICAL SOCIETY"/>
    <s v="Q3"/>
    <e v="#REF!"/>
    <e v="#REF!"/>
    <e v="#REF!"/>
  </r>
  <r>
    <s v="613300"/>
    <x v="6"/>
    <s v="LOCATIONS - Logiciels, Abonnements SaaS, Cloud, On-Premises"/>
    <s v="JC"/>
    <n v="2315.19"/>
    <d v="2025-09-01T00:00:00"/>
    <s v="PREPAID EXPENSE - AMERICAN CHEMICAL SOCIETY - LICENCES SCIFINDER"/>
    <m/>
    <e v="#N/A"/>
    <e v="#N/A"/>
    <n v="94590"/>
    <s v="91148976"/>
    <s v="AMERICAN CHEMICAL SOCIETY"/>
    <s v="Q3"/>
    <e v="#REF!"/>
    <e v="#REF!"/>
    <e v="#REF!"/>
  </r>
  <r>
    <s v="613300"/>
    <x v="6"/>
    <s v="LOCATIONS - Logiciels, Abonnements SaaS, Cloud, On-Premises"/>
    <s v="JC"/>
    <n v="2315.19"/>
    <d v="2025-10-01T00:00:00"/>
    <s v="PREPAID EXPENSE - AMERICAN CHEMICAL SOCIETY - LICENCES SCIFINDER"/>
    <m/>
    <e v="#N/A"/>
    <e v="#N/A"/>
    <n v="94592"/>
    <s v="91148976"/>
    <s v="AMERICAN CHEMICAL SOCIETY"/>
    <s v="Q4"/>
    <e v="#REF!"/>
    <e v="#REF!"/>
    <e v="#REF!"/>
  </r>
  <r>
    <s v="613300"/>
    <x v="6"/>
    <s v="LOCATIONS - Logiciels, Abonnements SaaS, Cloud, On-Premises"/>
    <s v="JC"/>
    <n v="2315.19"/>
    <d v="2025-11-01T00:00:00"/>
    <s v="PREPAID EXPENSE - AMERICAN CHEMICAL SOCIETY - LICENCES SCIFINDER"/>
    <m/>
    <e v="#N/A"/>
    <e v="#N/A"/>
    <n v="94594"/>
    <s v="91148976"/>
    <s v="AMERICAN CHEMICAL SOCIETY"/>
    <s v="Q4"/>
    <e v="#REF!"/>
    <e v="#REF!"/>
    <e v="#REF!"/>
  </r>
  <r>
    <s v="613300"/>
    <x v="6"/>
    <s v="LOCATIONS - Logiciels, Abonnements SaaS, Cloud, On-Premises"/>
    <s v="JC"/>
    <n v="2315.19"/>
    <d v="2025-12-01T00:00:00"/>
    <s v="PREPAID EXPENSE - AMERICAN CHEMICAL SOCIETY - LICENCES SCIFINDER"/>
    <m/>
    <e v="#N/A"/>
    <e v="#N/A"/>
    <n v="94596"/>
    <s v="91148976"/>
    <s v="AMERICAN CHEMICAL SOCIETY"/>
    <s v="Q4"/>
    <e v="#REF!"/>
    <e v="#REF!"/>
    <e v="#REF!"/>
  </r>
  <r>
    <s v="613300"/>
    <x v="6"/>
    <s v="LOCATIONS - Logiciels, Abonnements SaaS, Cloud, On-Premises"/>
    <s v="JC"/>
    <n v="2484"/>
    <d v="2025-01-01T00:00:00"/>
    <s v="CCA RITME LICENCES CHEMDRAW"/>
    <m/>
    <e v="#N/A"/>
    <e v="#N/A"/>
    <n v="86615"/>
    <m/>
    <s v="RITME"/>
    <s v="Q1"/>
    <e v="#REF!"/>
    <e v="#REF!"/>
    <e v="#REF!"/>
  </r>
  <r>
    <s v="613300"/>
    <x v="6"/>
    <s v="LOCATIONS - Logiciels, Abonnements SaaS, Cloud, On-Premises"/>
    <s v="JC"/>
    <n v="2484"/>
    <d v="2025-02-01T00:00:00"/>
    <s v="CCA RITME LICENCES CHEMDRAW"/>
    <m/>
    <e v="#N/A"/>
    <e v="#N/A"/>
    <n v="86616"/>
    <m/>
    <s v="RITME"/>
    <s v="Q1"/>
    <e v="#REF!"/>
    <e v="#REF!"/>
    <e v="#REF!"/>
  </r>
  <r>
    <s v="613300"/>
    <x v="6"/>
    <s v="LOCATIONS - Logiciels, Abonnements SaaS, Cloud, On-Premises"/>
    <s v="JC"/>
    <n v="3299.8"/>
    <d v="2025-01-01T00:00:00"/>
    <s v="CCA 2024-2025 - DOTMATICS"/>
    <s v="Non"/>
    <e v="#N/A"/>
    <e v="#N/A"/>
    <n v="86501"/>
    <m/>
    <s v="DOTMATICS LIMITED"/>
    <s v="Q1"/>
    <e v="#REF!"/>
    <e v="#REF!"/>
    <e v="#REF!"/>
  </r>
  <r>
    <s v="613300"/>
    <x v="6"/>
    <s v="LOCATIONS - Logiciels, Abonnements SaaS, Cloud, On-Premises"/>
    <s v="JC"/>
    <n v="3299.8"/>
    <d v="2025-02-01T00:00:00"/>
    <s v="CCA 2024-2025 - DOTMATICS"/>
    <s v="Non"/>
    <e v="#N/A"/>
    <e v="#N/A"/>
    <n v="86204"/>
    <m/>
    <s v="DOTMATICS LIMITED"/>
    <s v="Q1"/>
    <e v="#REF!"/>
    <e v="#REF!"/>
    <e v="#REF!"/>
  </r>
  <r>
    <s v="613300"/>
    <x v="6"/>
    <s v="LOCATIONS - Logiciels, Abonnements SaaS, Cloud, On-Premises"/>
    <s v="JC"/>
    <n v="3299.8"/>
    <d v="2025-03-01T00:00:00"/>
    <s v="CCA 2024-2025 - DOTMATICS"/>
    <s v="Non"/>
    <e v="#N/A"/>
    <e v="#N/A"/>
    <n v="86503"/>
    <m/>
    <s v="DOTMATICS LIMITED"/>
    <s v="Q1"/>
    <e v="#REF!"/>
    <e v="#REF!"/>
    <e v="#REF!"/>
  </r>
  <r>
    <s v="613300"/>
    <x v="6"/>
    <s v="LOCATIONS - Logiciels, Abonnements SaaS, Cloud, On-Premises"/>
    <s v="JC"/>
    <n v="3299.8"/>
    <d v="2025-04-01T00:00:00"/>
    <s v="CCA 2024-2025 - DOTMATICS"/>
    <s v="Non"/>
    <e v="#N/A"/>
    <e v="#N/A"/>
    <n v="86507"/>
    <m/>
    <s v="DOTMATICS LIMITED"/>
    <s v="Q2"/>
    <e v="#REF!"/>
    <e v="#REF!"/>
    <e v="#REF!"/>
  </r>
  <r>
    <s v="613300"/>
    <x v="6"/>
    <s v="LOCATIONS - Logiciels, Abonnements SaaS, Cloud, On-Premises"/>
    <s v="JC"/>
    <n v="3299.8"/>
    <d v="2025-05-01T00:00:00"/>
    <s v="CCA 2024-2025 - DOTMATICS"/>
    <s v="Non"/>
    <e v="#N/A"/>
    <e v="#N/A"/>
    <n v="86509"/>
    <m/>
    <s v="DOTMATICS LIMITED"/>
    <s v="Q2"/>
    <e v="#REF!"/>
    <e v="#REF!"/>
    <e v="#REF!"/>
  </r>
  <r>
    <s v="613300"/>
    <x v="6"/>
    <s v="LOCATIONS - Logiciels, Abonnements SaaS, Cloud, On-Premises"/>
    <s v="OD"/>
    <n v="-14942.28"/>
    <d v="2025-12-16T00:00:00"/>
    <s v="DROITS D'UTILISATION ANNUELS SAGE"/>
    <m/>
    <s v="Non"/>
    <e v="#N/A"/>
    <n v="96210"/>
    <s v="FAP11604"/>
    <s v="AXE GESCOM"/>
    <s v="Q4"/>
    <e v="#REF!"/>
    <e v="#REF!"/>
    <e v="#REF!"/>
  </r>
  <r>
    <s v="613300"/>
    <x v="6"/>
    <s v="LOCATIONS - Logiciels, Abonnements SaaS, Cloud, On-Premises"/>
    <s v="OD"/>
    <n v="-9540"/>
    <d v="2025-12-16T00:00:00"/>
    <s v="HÉBERGEMENT AXE CLOUD SERVEUR"/>
    <m/>
    <s v="Non"/>
    <e v="#N/A"/>
    <n v="96212"/>
    <s v="FAP11606"/>
    <s v="AXE GESCOM"/>
    <s v="Q4"/>
    <e v="#REF!"/>
    <e v="#REF!"/>
    <e v="#REF!"/>
  </r>
  <r>
    <s v="613300"/>
    <x v="6"/>
    <s v="LOCATIONS - Logiciels, Abonnements SaaS, Cloud, On-Premises"/>
    <s v="OD"/>
    <n v="3314.17"/>
    <d v="2025-06-01T00:00:00"/>
    <s v="DOTMATICS CHEMISTRY"/>
    <s v="Non"/>
    <e v="#N/A"/>
    <e v="#N/A"/>
    <n v="77394"/>
    <s v="LicencesDotmatics25-26"/>
    <s v="DOTMATICS LIMITED"/>
    <s v="Q2"/>
    <e v="#REF!"/>
    <e v="#REF!"/>
    <e v="#REF!"/>
  </r>
  <r>
    <s v="613300"/>
    <x v="6"/>
    <s v="LOCATIONS - Logiciels, Abonnements SaaS, Cloud, On-Premises"/>
    <s v="OD"/>
    <n v="3314.17"/>
    <d v="2025-07-01T00:00:00"/>
    <s v="DOTMATICS CHEMISTRY"/>
    <s v="Non"/>
    <e v="#N/A"/>
    <e v="#N/A"/>
    <n v="77396"/>
    <s v="LicencesDotmatics25-26"/>
    <s v="DOTMATICS LIMITED"/>
    <s v="Q3"/>
    <e v="#REF!"/>
    <e v="#REF!"/>
    <e v="#REF!"/>
  </r>
  <r>
    <s v="613300"/>
    <x v="6"/>
    <s v="LOCATIONS - Logiciels, Abonnements SaaS, Cloud, On-Premises"/>
    <s v="OD"/>
    <n v="3314.17"/>
    <d v="2025-08-01T00:00:00"/>
    <s v="DOTMATICS CHEMISTRY"/>
    <s v="Non"/>
    <e v="#N/A"/>
    <e v="#N/A"/>
    <n v="77398"/>
    <s v="LicencesDotmatics25-26"/>
    <s v="DOTMATICS LIMITED"/>
    <s v="Q3"/>
    <e v="#REF!"/>
    <e v="#REF!"/>
    <e v="#REF!"/>
  </r>
  <r>
    <s v="613300"/>
    <x v="6"/>
    <s v="LOCATIONS - Logiciels, Abonnements SaaS, Cloud, On-Premises"/>
    <s v="OD"/>
    <n v="3314.17"/>
    <d v="2025-09-01T00:00:00"/>
    <s v="DOTMATICS CHEMISTRY"/>
    <s v="Non"/>
    <e v="#N/A"/>
    <e v="#N/A"/>
    <n v="77400"/>
    <s v="LicencesDotmatics25-26"/>
    <s v="DOTMATICS LIMITED"/>
    <s v="Q3"/>
    <e v="#REF!"/>
    <e v="#REF!"/>
    <e v="#REF!"/>
  </r>
  <r>
    <s v="613300"/>
    <x v="6"/>
    <s v="LOCATIONS - Logiciels, Abonnements SaaS, Cloud, On-Premises"/>
    <s v="OD"/>
    <n v="3314.17"/>
    <d v="2025-10-01T00:00:00"/>
    <s v="DOTMATICS CHEMISTRY"/>
    <s v="Non"/>
    <e v="#N/A"/>
    <e v="#N/A"/>
    <n v="77402"/>
    <s v="LicencesDotmatics25-26"/>
    <s v="DOTMATICS LIMITED"/>
    <s v="Q4"/>
    <e v="#REF!"/>
    <e v="#REF!"/>
    <e v="#REF!"/>
  </r>
  <r>
    <s v="613300"/>
    <x v="6"/>
    <s v="LOCATIONS - Logiciels, Abonnements SaaS, Cloud, On-Premises"/>
    <s v="OD"/>
    <n v="3314.17"/>
    <d v="2025-11-01T00:00:00"/>
    <s v="DOTMATICS CHEMISTRY"/>
    <s v="Non"/>
    <e v="#N/A"/>
    <e v="#N/A"/>
    <n v="77404"/>
    <s v="LicencesDotmatics25-26"/>
    <s v="DOTMATICS LIMITED"/>
    <s v="Q4"/>
    <e v="#REF!"/>
    <e v="#REF!"/>
    <e v="#REF!"/>
  </r>
  <r>
    <s v="613300"/>
    <x v="6"/>
    <s v="LOCATIONS - Logiciels, Abonnements SaaS, Cloud, On-Premises"/>
    <s v="OD"/>
    <n v="3314.17"/>
    <d v="2025-12-01T00:00:00"/>
    <s v="DOTMATICS CHEMISTRY"/>
    <s v="Non"/>
    <e v="#N/A"/>
    <e v="#N/A"/>
    <n v="77406"/>
    <s v="LicencesDotmatics25-26"/>
    <s v="DOTMATICS LIMITED"/>
    <s v="Q4"/>
    <e v="#REF!"/>
    <e v="#REF!"/>
    <e v="#REF!"/>
  </r>
  <r>
    <s v="613500"/>
    <x v="6"/>
    <s v="LOCATIONS - Mobilier"/>
    <s v="AC"/>
    <n v="-23000"/>
    <d v="2025-03-07T00:00:00"/>
    <s v="LOYER INSA TWB - 2024 - REPRISE FNP"/>
    <m/>
    <e v="#N/A"/>
    <e v="#N/A"/>
    <n v="77133"/>
    <s v="FAR-2025-000149"/>
    <m/>
    <s v="Q1"/>
    <e v="#REF!"/>
    <e v="#REF!"/>
    <e v="#REF!"/>
  </r>
  <r>
    <s v="613500"/>
    <x v="6"/>
    <s v="LOCATIONS - Mobilier"/>
    <s v="AC"/>
    <n v="60"/>
    <d v="2025-03-31T00:00:00"/>
    <s v="DEMO : POSE ÉTAYAGE POUR SÉCURISATION POTEAUX  2900€HT  POSE / DÉPOSE 240€ : LOCATION 16 SEMAINES"/>
    <m/>
    <e v="#N/A"/>
    <e v="#N/A"/>
    <n v="67927"/>
    <s v="FC0022447"/>
    <s v="ECHAFAUDAGE"/>
    <s v="Q1"/>
    <e v="#REF!"/>
    <e v="#REF!"/>
    <e v="#REF!"/>
  </r>
  <r>
    <s v="613500"/>
    <x v="6"/>
    <s v="LOCATIONS - Mobilier"/>
    <s v="AC"/>
    <n v="132.21"/>
    <d v="2025-01-31T00:00:00"/>
    <s v="LOYER FENWICK 2025_01"/>
    <m/>
    <e v="#N/A"/>
    <e v="#N/A"/>
    <n v="73070"/>
    <m/>
    <s v="FENWICK FINANCIAL SERVICES"/>
    <s v="Q1"/>
    <e v="#REF!"/>
    <e v="#REF!"/>
    <e v="#REF!"/>
  </r>
  <r>
    <s v="613500"/>
    <x v="6"/>
    <s v="LOCATIONS - Mobilier"/>
    <s v="AC"/>
    <n v="132.21"/>
    <d v="2025-02-28T00:00:00"/>
    <s v="LOYER FENWICK 2025_02"/>
    <m/>
    <e v="#N/A"/>
    <e v="#N/A"/>
    <n v="73074"/>
    <m/>
    <s v="FENWICK FINANCIAL SERVICES"/>
    <s v="Q1"/>
    <e v="#REF!"/>
    <e v="#REF!"/>
    <e v="#REF!"/>
  </r>
  <r>
    <s v="613500"/>
    <x v="6"/>
    <s v="LOCATIONS - Mobilier"/>
    <s v="AC"/>
    <n v="132.21"/>
    <d v="2025-03-31T00:00:00"/>
    <s v="LOYER FENWICK 2025_03"/>
    <m/>
    <e v="#N/A"/>
    <e v="#N/A"/>
    <n v="73077"/>
    <m/>
    <s v="FENWICK FINANCIAL SERVICES"/>
    <s v="Q1"/>
    <e v="#REF!"/>
    <e v="#REF!"/>
    <e v="#REF!"/>
  </r>
  <r>
    <s v="613500"/>
    <x v="6"/>
    <s v="LOCATIONS - Mobilier"/>
    <s v="AC"/>
    <n v="132.21"/>
    <d v="2025-04-01T00:00:00"/>
    <s v="LOYER FENWICK 2025_04"/>
    <m/>
    <e v="#N/A"/>
    <e v="#N/A"/>
    <n v="69676"/>
    <s v="2071581760"/>
    <s v="FENWICK FINANCIAL SERVICES"/>
    <s v="Q2"/>
    <e v="#REF!"/>
    <e v="#REF!"/>
    <e v="#REF!"/>
  </r>
  <r>
    <s v="613500"/>
    <x v="6"/>
    <s v="LOCATIONS - Mobilier"/>
    <s v="AC"/>
    <n v="132.21"/>
    <d v="2025-05-01T00:00:00"/>
    <s v="LOYER FENWICK 2025_05"/>
    <m/>
    <e v="#N/A"/>
    <e v="#N/A"/>
    <n v="72662"/>
    <s v="2071600116"/>
    <s v="FENWICK FINANCIAL SERVICES"/>
    <s v="Q2"/>
    <e v="#REF!"/>
    <e v="#REF!"/>
    <e v="#REF!"/>
  </r>
  <r>
    <s v="613500"/>
    <x v="6"/>
    <s v="LOCATIONS - Mobilier"/>
    <s v="AC"/>
    <n v="132.21"/>
    <d v="2025-06-30T00:00:00"/>
    <s v="LOYER FENWICK 2025_06"/>
    <m/>
    <e v="#N/A"/>
    <e v="#N/A"/>
    <n v="73083"/>
    <m/>
    <s v="FENWICK FINANCIAL SERVICES"/>
    <s v="Q2"/>
    <e v="#REF!"/>
    <e v="#REF!"/>
    <e v="#REF!"/>
  </r>
  <r>
    <s v="613500"/>
    <x v="6"/>
    <s v="LOCATIONS - Mobilier"/>
    <s v="AC"/>
    <n v="132.21"/>
    <d v="2025-07-01T00:00:00"/>
    <s v="LOYER 2025 07"/>
    <m/>
    <e v="#N/A"/>
    <e v="#N/A"/>
    <n v="78787"/>
    <s v="2071634575"/>
    <s v="FENWICK FINANCIAL SERVICES"/>
    <s v="Q3"/>
    <e v="#REF!"/>
    <e v="#REF!"/>
    <e v="#REF!"/>
  </r>
  <r>
    <s v="613500"/>
    <x v="6"/>
    <s v="LOCATIONS - Mobilier"/>
    <s v="AC"/>
    <n v="132.21"/>
    <d v="2025-08-31T00:00:00"/>
    <s v="LOYER FENWICK 2025_08"/>
    <m/>
    <e v="#N/A"/>
    <e v="#N/A"/>
    <n v="73089"/>
    <m/>
    <s v="FENWICK FINANCIAL SERVICES"/>
    <s v="Q3"/>
    <e v="#REF!"/>
    <e v="#REF!"/>
    <e v="#REF!"/>
  </r>
  <r>
    <s v="613500"/>
    <x v="6"/>
    <s v="LOCATIONS - Mobilier"/>
    <s v="AC"/>
    <n v="132.21"/>
    <d v="2025-09-30T00:00:00"/>
    <s v="LOYER FENWICK 2025_09"/>
    <m/>
    <e v="#N/A"/>
    <e v="#N/A"/>
    <n v="73092"/>
    <m/>
    <s v="FENWICK FINANCIAL SERVICES"/>
    <s v="Q3"/>
    <e v="#REF!"/>
    <e v="#REF!"/>
    <e v="#REF!"/>
  </r>
  <r>
    <s v="613500"/>
    <x v="6"/>
    <s v="LOCATIONS - Mobilier"/>
    <s v="AC"/>
    <n v="132.21"/>
    <d v="2025-10-01T00:00:00"/>
    <s v="LOYER FINANCIER"/>
    <m/>
    <e v="#N/A"/>
    <e v="#N/A"/>
    <n v="82791"/>
    <s v="2071687888"/>
    <s v="FENWICK FINANCIAL SERVICES"/>
    <s v="Q4"/>
    <e v="#REF!"/>
    <e v="#REF!"/>
    <e v="#REF!"/>
  </r>
  <r>
    <s v="613500"/>
    <x v="6"/>
    <s v="LOCATIONS - Mobilier"/>
    <s v="AC"/>
    <n v="132.21"/>
    <d v="2025-11-01T00:00:00"/>
    <s v="LOYER FINANCIER"/>
    <m/>
    <e v="#N/A"/>
    <e v="#N/A"/>
    <n v="89666"/>
    <s v="2071707682"/>
    <s v="FENWICK FINANCIAL SERVICES"/>
    <s v="Q4"/>
    <e v="#REF!"/>
    <e v="#REF!"/>
    <e v="#REF!"/>
  </r>
  <r>
    <s v="613500"/>
    <x v="6"/>
    <s v="LOCATIONS - Mobilier"/>
    <s v="AC"/>
    <n v="132.21"/>
    <d v="2025-12-31T00:00:00"/>
    <s v="LOYER FENWICK 2025_12"/>
    <m/>
    <e v="#N/A"/>
    <e v="#N/A"/>
    <n v="73101"/>
    <m/>
    <s v="FENWICK FINANCIAL SERVICES"/>
    <s v="Q4"/>
    <e v="#REF!"/>
    <e v="#REF!"/>
    <e v="#REF!"/>
  </r>
  <r>
    <s v="613500"/>
    <x v="6"/>
    <s v="LOCATIONS - Mobilier"/>
    <s v="AC"/>
    <n v="149.94"/>
    <d v="2025-01-15T00:00:00"/>
    <s v="Facture Ricoh SEP 2024 - NOV 24"/>
    <m/>
    <e v="#N/A"/>
    <e v="#N/A"/>
    <n v="80817"/>
    <m/>
    <s v="RICOH"/>
    <s v="Q1"/>
    <e v="#REF!"/>
    <e v="#REF!"/>
    <e v="#REF!"/>
  </r>
  <r>
    <s v="613500"/>
    <x v="6"/>
    <s v="LOCATIONS - Mobilier"/>
    <s v="AC"/>
    <n v="205.8"/>
    <d v="2025-02-15T00:00:00"/>
    <s v="Facture Ricoh DEC 2024 - FEV 25"/>
    <m/>
    <e v="#N/A"/>
    <e v="#N/A"/>
    <n v="80813"/>
    <m/>
    <s v="RICOH"/>
    <s v="Q1"/>
    <e v="#REF!"/>
    <e v="#REF!"/>
    <e v="#REF!"/>
  </r>
  <r>
    <s v="613500"/>
    <x v="6"/>
    <s v="LOCATIONS - Mobilier"/>
    <s v="AC"/>
    <n v="206.95"/>
    <d v="2025-12-22T00:00:00"/>
    <s v="PACK TRANQUILLITÉ AVANTAGE COPIEURS"/>
    <m/>
    <e v="#N/A"/>
    <e v="#N/A"/>
    <n v="97057"/>
    <s v="927401445"/>
    <s v="RICOH"/>
    <s v="Q4"/>
    <e v="#REF!"/>
    <e v="#REF!"/>
    <e v="#REF!"/>
  </r>
  <r>
    <s v="613500"/>
    <x v="6"/>
    <s v="LOCATIONS - Mobilier"/>
    <s v="AC"/>
    <n v="300"/>
    <d v="2025-12-30T00:00:00"/>
    <s v="LOCATION ESSOREUSE PILOTE +&gt; BUDGET POUR 2 MOIS DE LOCATION + LIVRAISON"/>
    <s v="Non"/>
    <e v="#N/A"/>
    <e v="#N/A"/>
    <n v="94898"/>
    <s v="FA006796"/>
    <s v="ROUSSELET CENTRIFUGATION"/>
    <s v="Q4"/>
    <e v="#REF!"/>
    <e v="#REF!"/>
    <e v="#REF!"/>
  </r>
  <r>
    <s v="613500"/>
    <x v="6"/>
    <s v="LOCATIONS - Mobilier"/>
    <s v="AC"/>
    <n v="390"/>
    <d v="2025-03-31T00:00:00"/>
    <s v="LIVRAISON ET INSTALLATION DE DEUX NOUVEAUX ALGECOS _x0009_LOCATION DES 4 ALGECOS ACTUELS + 2 NOUVEAUX PENDANT 1 AN _x0009_DÉMONTAGE DES"/>
    <m/>
    <e v="#N/A"/>
    <e v="#N/A"/>
    <n v="68989"/>
    <s v="F2503/1118"/>
    <s v="COFICIEL"/>
    <s v="Q1"/>
    <e v="#REF!"/>
    <e v="#REF!"/>
    <e v="#REF!"/>
  </r>
  <r>
    <s v="613500"/>
    <x v="6"/>
    <s v="LOCATIONS - Mobilier"/>
    <s v="AC"/>
    <n v="390"/>
    <d v="2025-04-30T00:00:00"/>
    <s v="LIVRAISON ET INSTALLATION DE DEUX NOUVEAUX ALGECOS LOCATION DES 4 ALGECOS ACTUELS + 2 NOUVEAUX PENDANT 1 AN _x0009_DÉMONTAGE DES"/>
    <m/>
    <e v="#N/A"/>
    <e v="#N/A"/>
    <n v="71372"/>
    <s v="F2504/0497"/>
    <s v="COFICIEL"/>
    <s v="Q2"/>
    <e v="#REF!"/>
    <e v="#REF!"/>
    <e v="#REF!"/>
  </r>
  <r>
    <s v="613500"/>
    <x v="6"/>
    <s v="LOCATIONS - Mobilier"/>
    <s v="AC"/>
    <n v="390"/>
    <d v="2025-05-31T00:00:00"/>
    <s v="LOCATION ALGECO ROUSSILLON (PÉRIODE TRAVAUX)"/>
    <m/>
    <e v="#N/A"/>
    <e v="#N/A"/>
    <n v="75176"/>
    <s v="F2505/1515"/>
    <s v="COFICIEL"/>
    <s v="Q2"/>
    <e v="#REF!"/>
    <e v="#REF!"/>
    <e v="#REF!"/>
  </r>
  <r>
    <s v="613500"/>
    <x v="6"/>
    <s v="LOCATIONS - Mobilier"/>
    <s v="AC"/>
    <n v="390"/>
    <d v="2025-07-31T00:00:00"/>
    <s v="LOCATION ALGECO ROUSSILLON (PÉRIODE TRAVAUX)"/>
    <m/>
    <e v="#N/A"/>
    <e v="#N/A"/>
    <n v="81340"/>
    <s v="F2507/0533"/>
    <s v="COFICIEL"/>
    <s v="Q3"/>
    <e v="#REF!"/>
    <e v="#REF!"/>
    <e v="#REF!"/>
  </r>
  <r>
    <s v="613500"/>
    <x v="6"/>
    <s v="LOCATIONS - Mobilier"/>
    <s v="AC"/>
    <n v="390"/>
    <d v="2025-08-31T00:00:00"/>
    <s v="MODIFICATION ALGECO"/>
    <m/>
    <e v="#N/A"/>
    <e v="#N/A"/>
    <n v="82304"/>
    <s v="F2508/0405"/>
    <s v="COFICIEL"/>
    <s v="Q3"/>
    <e v="#REF!"/>
    <e v="#REF!"/>
    <e v="#REF!"/>
  </r>
  <r>
    <s v="613500"/>
    <x v="6"/>
    <s v="LOCATIONS - Mobilier"/>
    <s v="AC"/>
    <n v="390"/>
    <d v="2025-09-30T00:00:00"/>
    <s v="&quot;•_x0009_LIVRAISON ET INSTALLATION DE DEUX NOUVEAUX ALGECOS •_x0009_LOCATION DES 4 ALGECOS ACTUELS + 2 NOUVEAUX PENDANT 1 AN •_x0009_DÉMONTAGE DES"/>
    <m/>
    <e v="#N/A"/>
    <e v="#N/A"/>
    <n v="82752"/>
    <s v="F2509/0833"/>
    <s v="COFICIEL"/>
    <s v="Q3"/>
    <e v="#REF!"/>
    <e v="#REF!"/>
    <e v="#REF!"/>
  </r>
  <r>
    <s v="613500"/>
    <x v="6"/>
    <s v="LOCATIONS - Mobilier"/>
    <s v="AC"/>
    <n v="390"/>
    <d v="2025-10-31T00:00:00"/>
    <s v="&quot;•_x0009_LIVRAISON ET INSTALLATION DE DEUX NOUVEAUX ALGECOS •_x0009_LOCATION DES 4 ALGECOS ACTUELS + 2 NOUVEAUX PENDANT 1 AN •_x0009_DÉMONTAGE DES"/>
    <m/>
    <e v="#N/A"/>
    <e v="#N/A"/>
    <n v="89907"/>
    <s v="F2510/0736"/>
    <s v="COFICIEL"/>
    <s v="Q4"/>
    <e v="#REF!"/>
    <e v="#REF!"/>
    <e v="#REF!"/>
  </r>
  <r>
    <s v="613500"/>
    <x v="6"/>
    <s v="LOCATIONS - Mobilier"/>
    <s v="AC"/>
    <n v="390"/>
    <d v="2025-11-30T00:00:00"/>
    <s v="MODIFICATION ALGECO"/>
    <m/>
    <e v="#N/A"/>
    <e v="#N/A"/>
    <n v="91997"/>
    <s v="F2511/1367"/>
    <s v="COFICIEL"/>
    <s v="Q4"/>
    <e v="#REF!"/>
    <e v="#REF!"/>
    <e v="#REF!"/>
  </r>
  <r>
    <s v="613500"/>
    <x v="6"/>
    <s v="LOCATIONS - Mobilier"/>
    <s v="AC"/>
    <n v="390"/>
    <d v="2025-12-31T00:00:00"/>
    <s v="ALGECO ROUSSILLON"/>
    <m/>
    <e v="#N/A"/>
    <e v="#N/A"/>
    <n v="95152"/>
    <s v="F2512/1222"/>
    <s v="COFICIEL"/>
    <s v="Q4"/>
    <e v="#REF!"/>
    <e v="#REF!"/>
    <e v="#REF!"/>
  </r>
  <r>
    <s v="613500"/>
    <x v="6"/>
    <s v="LOCATIONS - Mobilier"/>
    <s v="AC"/>
    <n v="397.1"/>
    <d v="2025-01-01T00:00:00"/>
    <s v="LOYER COPIEUR MULTIFONCTION"/>
    <m/>
    <e v="#N/A"/>
    <e v="#N/A"/>
    <n v="86987"/>
    <s v="FLG6G869125"/>
    <s v="BNP PARIBAS LEASE GROUP"/>
    <s v="Q1"/>
    <e v="#REF!"/>
    <e v="#REF!"/>
    <e v="#REF!"/>
  </r>
  <r>
    <s v="613500"/>
    <x v="6"/>
    <s v="LOCATIONS - Mobilier"/>
    <s v="AC"/>
    <n v="397.1"/>
    <d v="2025-04-01T00:00:00"/>
    <s v="LOYER COPIEUR MULTIFONCTION"/>
    <m/>
    <e v="#N/A"/>
    <e v="#N/A"/>
    <n v="87014"/>
    <s v="FLG7G851903"/>
    <s v="BNP PARIBAS LEASE GROUP"/>
    <s v="Q2"/>
    <e v="#REF!"/>
    <e v="#REF!"/>
    <e v="#REF!"/>
  </r>
  <r>
    <s v="613500"/>
    <x v="6"/>
    <s v="LOCATIONS - Mobilier"/>
    <s v="AC"/>
    <n v="397.1"/>
    <d v="2025-07-01T00:00:00"/>
    <s v="LOYER COPIEUR MULTIFONCTION"/>
    <m/>
    <e v="#N/A"/>
    <e v="#N/A"/>
    <n v="87023"/>
    <s v="FLG8G834291"/>
    <s v="BNP PARIBAS LEASE GROUP"/>
    <s v="Q3"/>
    <e v="#REF!"/>
    <e v="#REF!"/>
    <e v="#REF!"/>
  </r>
  <r>
    <s v="613500"/>
    <x v="6"/>
    <s v="LOCATIONS - Mobilier"/>
    <s v="AC"/>
    <n v="397.1"/>
    <d v="2025-10-01T00:00:00"/>
    <s v="LOYER COPIEUR MULTIFONCTION"/>
    <m/>
    <e v="#N/A"/>
    <e v="#N/A"/>
    <n v="87047"/>
    <s v="FLG9G556178"/>
    <s v="BNP PARIBAS LEASE GROUP"/>
    <s v="Q4"/>
    <e v="#REF!"/>
    <e v="#REF!"/>
    <e v="#REF!"/>
  </r>
  <r>
    <s v="613500"/>
    <x v="6"/>
    <s v="LOCATIONS - Mobilier"/>
    <s v="AC"/>
    <n v="550"/>
    <d v="2025-06-30T00:00:00"/>
    <s v="CONTRAT DE LOCATION N° CT25/0186 ALGECOS"/>
    <m/>
    <e v="#N/A"/>
    <e v="#N/A"/>
    <n v="78407"/>
    <s v="F2506/0476"/>
    <s v="COFICIEL"/>
    <s v="Q2"/>
    <e v="#REF!"/>
    <e v="#REF!"/>
    <e v="#REF!"/>
  </r>
  <r>
    <s v="613500"/>
    <x v="6"/>
    <s v="LOCATIONS - Mobilier"/>
    <s v="AC"/>
    <n v="760"/>
    <d v="2025-01-31T00:00:00"/>
    <s v="CONTRAT DE LOCATION ALGECOS N° CT24/1025"/>
    <m/>
    <e v="#N/A"/>
    <e v="#N/A"/>
    <n v="96077"/>
    <s v="F2501/0298"/>
    <s v="COFICIEL"/>
    <s v="Q1"/>
    <e v="#REF!"/>
    <e v="#REF!"/>
    <e v="#REF!"/>
  </r>
  <r>
    <s v="613500"/>
    <x v="6"/>
    <s v="LOCATIONS - Mobilier"/>
    <s v="AC"/>
    <n v="760"/>
    <d v="2025-02-28T00:00:00"/>
    <s v="LIVRAISON ET INSTALLATION DE DEUX NOUVEAUX ALGECOS _x0009_LOCATION DES 4 ALGECOS ACTUELS + 2 NOUVEAUX PENDANT 1 AN _x0009_DÉMONTAGE DES"/>
    <m/>
    <e v="#N/A"/>
    <e v="#N/A"/>
    <n v="61576"/>
    <s v="F2502/0987"/>
    <s v="COFICIEL"/>
    <s v="Q1"/>
    <e v="#REF!"/>
    <e v="#REF!"/>
    <e v="#REF!"/>
  </r>
  <r>
    <s v="613500"/>
    <x v="6"/>
    <s v="LOCATIONS - Mobilier"/>
    <s v="AC"/>
    <n v="760"/>
    <d v="2025-03-31T00:00:00"/>
    <s v="LOCATION ALGECO ROUSSILLON (PÉRIODE TRAVAUX)"/>
    <m/>
    <e v="#N/A"/>
    <e v="#N/A"/>
    <n v="67912"/>
    <s v="F2503/1120"/>
    <s v="COFICIEL"/>
    <s v="Q1"/>
    <e v="#REF!"/>
    <e v="#REF!"/>
    <e v="#REF!"/>
  </r>
  <r>
    <s v="613500"/>
    <x v="6"/>
    <s v="LOCATIONS - Mobilier"/>
    <s v="AC"/>
    <n v="760"/>
    <d v="2025-04-30T00:00:00"/>
    <s v="LIVRAISON ET INSTALLATION DE DEUX NOUVEAUX ALGECOS LOCATION DES 4 ALGECOS ACTUELS + 2 NOUVEAUX PENDANT 1 AN DÉMONTAGE DES"/>
    <m/>
    <e v="#N/A"/>
    <e v="#N/A"/>
    <n v="71375"/>
    <s v="F2504/0496"/>
    <s v="COFICIEL"/>
    <s v="Q2"/>
    <e v="#REF!"/>
    <e v="#REF!"/>
    <e v="#REF!"/>
  </r>
  <r>
    <s v="613500"/>
    <x v="6"/>
    <s v="LOCATIONS - Mobilier"/>
    <s v="AC"/>
    <n v="760"/>
    <d v="2025-05-31T00:00:00"/>
    <s v="LOCATION ALGECO ROUSSILLON (PÉRIODE TRAVAUX)"/>
    <m/>
    <e v="#N/A"/>
    <e v="#N/A"/>
    <n v="75179"/>
    <s v="F2505/1514"/>
    <s v="COFICIEL"/>
    <s v="Q2"/>
    <e v="#REF!"/>
    <e v="#REF!"/>
    <e v="#REF!"/>
  </r>
  <r>
    <s v="613500"/>
    <x v="6"/>
    <s v="LOCATIONS - Mobilier"/>
    <s v="AC"/>
    <n v="760"/>
    <d v="2025-06-30T00:00:00"/>
    <s v="LOCATION ALGECO ROUSSILLON (PÉRIODE TRAVAUX)"/>
    <m/>
    <e v="#N/A"/>
    <e v="#N/A"/>
    <n v="81316"/>
    <s v="F2506/0477"/>
    <s v="COFICIEL"/>
    <s v="Q2"/>
    <e v="#REF!"/>
    <e v="#REF!"/>
    <e v="#REF!"/>
  </r>
  <r>
    <s v="613500"/>
    <x v="6"/>
    <s v="LOCATIONS - Mobilier"/>
    <s v="AC"/>
    <n v="760"/>
    <d v="2025-07-31T00:00:00"/>
    <s v="&quot;•_x0009_LIVRAISON ET INSTALLATION DE DEUX NOUVEAUX ALGECOS •_x0009_LOCATION DES 4 ALGECOS ACTUELS + 2 NOUVEAUX PENDANT 1 AN •_x0009_DÉMONTAGE DES"/>
    <m/>
    <e v="#N/A"/>
    <e v="#N/A"/>
    <n v="81763"/>
    <s v="F2507/0532"/>
    <s v="COFICIEL"/>
    <s v="Q3"/>
    <e v="#REF!"/>
    <e v="#REF!"/>
    <e v="#REF!"/>
  </r>
  <r>
    <s v="613500"/>
    <x v="6"/>
    <s v="LOCATIONS - Mobilier"/>
    <s v="AC"/>
    <n v="760"/>
    <d v="2025-08-31T00:00:00"/>
    <s v="LOCATION ALGECO ROUSSILLON (PÉRIODE TRAVAUX)"/>
    <m/>
    <e v="#N/A"/>
    <e v="#N/A"/>
    <n v="82301"/>
    <s v="F2508/0404"/>
    <s v="COFICIEL"/>
    <s v="Q3"/>
    <e v="#REF!"/>
    <e v="#REF!"/>
    <e v="#REF!"/>
  </r>
  <r>
    <s v="613500"/>
    <x v="6"/>
    <s v="LOCATIONS - Mobilier"/>
    <s v="AC"/>
    <n v="760"/>
    <d v="2025-09-30T00:00:00"/>
    <s v="LOCATION ALGECO ROUSSILLON (PÉRIODE TRAVAUX)"/>
    <m/>
    <e v="#N/A"/>
    <e v="#N/A"/>
    <n v="87069"/>
    <s v="F2509/0832"/>
    <s v="COFICIEL"/>
    <s v="Q3"/>
    <e v="#REF!"/>
    <e v="#REF!"/>
    <e v="#REF!"/>
  </r>
  <r>
    <s v="613500"/>
    <x v="6"/>
    <s v="LOCATIONS - Mobilier"/>
    <s v="AC"/>
    <n v="760"/>
    <d v="2025-10-31T00:00:00"/>
    <s v="LOCATION ALGECO ROUSSILLON (PÉRIODE TRAVAUX)"/>
    <m/>
    <e v="#N/A"/>
    <e v="#N/A"/>
    <n v="89888"/>
    <s v="F2510/0735"/>
    <s v="COFICIEL"/>
    <s v="Q4"/>
    <e v="#REF!"/>
    <e v="#REF!"/>
    <e v="#REF!"/>
  </r>
  <r>
    <s v="613500"/>
    <x v="6"/>
    <s v="LOCATIONS - Mobilier"/>
    <s v="AC"/>
    <n v="760"/>
    <d v="2025-11-30T00:00:00"/>
    <s v="LOCATION ALGECO ROUSSILLON (PÉRIODE TRAVAUX)"/>
    <m/>
    <e v="#N/A"/>
    <e v="#N/A"/>
    <n v="91988"/>
    <s v="F2511/1366"/>
    <s v="COFICIEL"/>
    <s v="Q4"/>
    <e v="#REF!"/>
    <e v="#REF!"/>
    <e v="#REF!"/>
  </r>
  <r>
    <s v="613500"/>
    <x v="6"/>
    <s v="LOCATIONS - Mobilier"/>
    <s v="AC"/>
    <n v="760"/>
    <d v="2025-12-31T00:00:00"/>
    <s v="LOCATION ALGÉCO"/>
    <m/>
    <e v="#N/A"/>
    <e v="#N/A"/>
    <n v="95149"/>
    <s v="F2512/1221"/>
    <s v="COFICIEL"/>
    <s v="Q4"/>
    <e v="#REF!"/>
    <e v="#REF!"/>
    <e v="#REF!"/>
  </r>
  <r>
    <s v="613500"/>
    <x v="6"/>
    <s v="LOCATIONS - Mobilier"/>
    <s v="AC"/>
    <n v="880"/>
    <d v="2025-03-31T00:00:00"/>
    <s v="DEMO : SUPPRESSION ÉTAYAGE   2900€HT  POSE / DÉPOSE 240€ : LOCATION 16 SEMAINES"/>
    <m/>
    <e v="#N/A"/>
    <e v="#N/A"/>
    <n v="69001"/>
    <s v="FC0022485"/>
    <s v="ECHAFAUDAGE"/>
    <s v="Q1"/>
    <e v="#REF!"/>
    <e v="#REF!"/>
    <e v="#REF!"/>
  </r>
  <r>
    <s v="613500"/>
    <x v="6"/>
    <s v="LOCATIONS - Mobilier"/>
    <s v="AC"/>
    <n v="1641.44"/>
    <d v="2025-02-28T00:00:00"/>
    <s v="LIVRAISON ET INSTALLATION DE DEUX NOUVEAUX ALGECOS _x0009_LOCATION DES 4 ALGECOS ACTUELS + 2 NOUVEAUX PENDANT 1 AN _x0009_DÉMONTAGE DES"/>
    <m/>
    <e v="#N/A"/>
    <e v="#N/A"/>
    <n v="61588"/>
    <s v="F2502/1041"/>
    <s v="COFICIEL"/>
    <s v="Q1"/>
    <e v="#REF!"/>
    <e v="#REF!"/>
    <e v="#REF!"/>
  </r>
  <r>
    <s v="613500"/>
    <x v="6"/>
    <s v="LOCATIONS - Mobilier"/>
    <s v="AC"/>
    <n v="1800"/>
    <d v="2025-04-30T00:00:00"/>
    <s v="LIVRAISON ET INSTALLATION DE DEUX NOUVEAUX ALGECOS -_x0009_LOCATION DES 4 ALGECOS ACTUELS + 2 NOUVEAUX PENDANT 1 AN _x0009_DÉMONTAGE DES"/>
    <m/>
    <e v="#N/A"/>
    <e v="#N/A"/>
    <n v="71369"/>
    <s v="F2504/1780"/>
    <s v="COFICIEL"/>
    <s v="Q2"/>
    <e v="#REF!"/>
    <e v="#REF!"/>
    <e v="#REF!"/>
  </r>
  <r>
    <s v="613500"/>
    <x v="6"/>
    <s v="LOCATIONS - Mobilier"/>
    <s v="AC"/>
    <n v="1800"/>
    <d v="2025-09-30T00:00:00"/>
    <s v="LOCATION ESSOREUSE LABORATOIRE PENDANT 2MOIS AVEC DEUX PANIERS (300ML ET 1,2L) POUR ESSAIS DE SCREENING DE SOLVANTS POUR FINISHI"/>
    <s v="Non"/>
    <e v="#N/A"/>
    <e v="#N/A"/>
    <n v="87442"/>
    <s v="FA006538"/>
    <s v="ROUSSELET CENTRIFUGATION"/>
    <s v="Q3"/>
    <e v="#REF!"/>
    <e v="#REF!"/>
    <e v="#REF!"/>
  </r>
  <r>
    <s v="613500"/>
    <x v="6"/>
    <s v="LOCATIONS - Mobilier"/>
    <s v="AC"/>
    <n v="1800"/>
    <d v="2025-10-31T00:00:00"/>
    <s v="DÉPASSEMENT DU MONTANT DE LA COMMANDE CAR ALLONGEMENT DE LA DURÉE DE LOCATION  LOCATION ESSOREUSE LABORATOIRE PENDANT 2MOIS AVEC"/>
    <s v="Non"/>
    <e v="#N/A"/>
    <e v="#N/A"/>
    <n v="89900"/>
    <s v="FA006635"/>
    <s v="ROUSSELET CENTRIFUGATION"/>
    <s v="Q4"/>
    <e v="#REF!"/>
    <e v="#REF!"/>
    <e v="#REF!"/>
  </r>
  <r>
    <s v="613500"/>
    <x v="6"/>
    <s v="LOCATIONS - Mobilier"/>
    <s v="AC"/>
    <n v="1979.5"/>
    <d v="2025-11-01T00:00:00"/>
    <s v="INSTALLATION RÉACTEURS PILOTE"/>
    <m/>
    <e v="#N/A"/>
    <e v="#N/A"/>
    <n v="91074"/>
    <s v="202201976"/>
    <s v="MANUTENTION LEVAGE"/>
    <s v="Q4"/>
    <e v="#REF!"/>
    <e v="#REF!"/>
    <e v="#REF!"/>
  </r>
  <r>
    <s v="613500"/>
    <x v="6"/>
    <s v="LOCATIONS - Mobilier"/>
    <s v="AC"/>
    <n v="2764"/>
    <d v="2025-01-31T00:00:00"/>
    <s v="Loyer Mensuel Actea"/>
    <m/>
    <e v="#N/A"/>
    <e v="#N/A"/>
    <n v="63945"/>
    <m/>
    <s v="ACTEA"/>
    <s v="Q1"/>
    <e v="#REF!"/>
    <e v="#REF!"/>
    <e v="#REF!"/>
  </r>
  <r>
    <s v="613500"/>
    <x v="6"/>
    <s v="LOCATIONS - Mobilier"/>
    <s v="AC"/>
    <n v="2764"/>
    <d v="2025-02-28T00:00:00"/>
    <s v="Loyer Mensuel Actea"/>
    <m/>
    <e v="#N/A"/>
    <e v="#N/A"/>
    <n v="63949"/>
    <m/>
    <s v="ACTEA"/>
    <s v="Q1"/>
    <e v="#REF!"/>
    <e v="#REF!"/>
    <e v="#REF!"/>
  </r>
  <r>
    <s v="613500"/>
    <x v="6"/>
    <s v="LOCATIONS - Mobilier"/>
    <s v="AC"/>
    <n v="2764"/>
    <d v="2025-03-31T00:00:00"/>
    <s v="Loyer Mensuel Actea"/>
    <m/>
    <e v="#N/A"/>
    <e v="#N/A"/>
    <n v="63953"/>
    <m/>
    <s v="ACTEA"/>
    <s v="Q1"/>
    <e v="#REF!"/>
    <e v="#REF!"/>
    <e v="#REF!"/>
  </r>
  <r>
    <s v="613500"/>
    <x v="6"/>
    <s v="LOCATIONS - Mobilier"/>
    <s v="AC"/>
    <n v="2764"/>
    <d v="2025-04-30T00:00:00"/>
    <s v="Loyer Mensuel Actea"/>
    <m/>
    <e v="#N/A"/>
    <e v="#N/A"/>
    <n v="63957"/>
    <m/>
    <s v="ACTEA"/>
    <s v="Q2"/>
    <e v="#REF!"/>
    <e v="#REF!"/>
    <e v="#REF!"/>
  </r>
  <r>
    <s v="613500"/>
    <x v="6"/>
    <s v="LOCATIONS - Mobilier"/>
    <s v="AC"/>
    <n v="2764"/>
    <d v="2025-05-31T00:00:00"/>
    <s v="Loyer Mensuel Actea"/>
    <m/>
    <e v="#N/A"/>
    <e v="#N/A"/>
    <n v="63961"/>
    <m/>
    <s v="ACTEA"/>
    <s v="Q2"/>
    <e v="#REF!"/>
    <e v="#REF!"/>
    <e v="#REF!"/>
  </r>
  <r>
    <s v="613500"/>
    <x v="6"/>
    <s v="LOCATIONS - Mobilier"/>
    <s v="AC"/>
    <n v="2764"/>
    <d v="2025-06-30T00:00:00"/>
    <s v="Loyer Mensuel Actea"/>
    <m/>
    <e v="#N/A"/>
    <e v="#N/A"/>
    <n v="63965"/>
    <m/>
    <s v="ACTEA"/>
    <s v="Q2"/>
    <e v="#REF!"/>
    <e v="#REF!"/>
    <e v="#REF!"/>
  </r>
  <r>
    <s v="613500"/>
    <x v="6"/>
    <s v="LOCATIONS - Mobilier"/>
    <s v="AC"/>
    <n v="2764"/>
    <d v="2025-07-01T00:00:00"/>
    <s v="Loyer Mensuel Actea"/>
    <m/>
    <e v="#N/A"/>
    <e v="#N/A"/>
    <n v="63969"/>
    <m/>
    <s v="ACTEA"/>
    <s v="Q3"/>
    <e v="#REF!"/>
    <e v="#REF!"/>
    <e v="#REF!"/>
  </r>
  <r>
    <s v="613500"/>
    <x v="6"/>
    <s v="LOCATIONS - Mobilier"/>
    <s v="AC"/>
    <n v="2764"/>
    <d v="2025-08-01T00:00:00"/>
    <s v="Loyer Mensuel Actea"/>
    <m/>
    <e v="#N/A"/>
    <e v="#N/A"/>
    <n v="63973"/>
    <m/>
    <s v="ACTEA"/>
    <s v="Q3"/>
    <e v="#REF!"/>
    <e v="#REF!"/>
    <e v="#REF!"/>
  </r>
  <r>
    <s v="613500"/>
    <x v="6"/>
    <s v="LOCATIONS - Mobilier"/>
    <s v="AC"/>
    <n v="2764"/>
    <d v="2025-09-01T00:00:00"/>
    <s v="Loyer Mensuel Actea"/>
    <m/>
    <e v="#N/A"/>
    <e v="#N/A"/>
    <n v="63977"/>
    <m/>
    <s v="ACTEA"/>
    <s v="Q3"/>
    <e v="#REF!"/>
    <e v="#REF!"/>
    <e v="#REF!"/>
  </r>
  <r>
    <s v="613500"/>
    <x v="6"/>
    <s v="LOCATIONS - Mobilier"/>
    <s v="AC"/>
    <n v="2764"/>
    <d v="2025-10-01T00:00:00"/>
    <s v="Loyer Mensuel Actea"/>
    <m/>
    <e v="#N/A"/>
    <e v="#N/A"/>
    <n v="63981"/>
    <m/>
    <s v="ACTEA"/>
    <s v="Q4"/>
    <e v="#REF!"/>
    <e v="#REF!"/>
    <e v="#REF!"/>
  </r>
  <r>
    <s v="613500"/>
    <x v="6"/>
    <s v="LOCATIONS - Mobilier"/>
    <s v="AC"/>
    <n v="2764"/>
    <d v="2025-11-01T00:00:00"/>
    <s v="Loyer Mensuel Actea"/>
    <m/>
    <e v="#N/A"/>
    <e v="#N/A"/>
    <n v="63985"/>
    <m/>
    <s v="ACTEA"/>
    <s v="Q4"/>
    <e v="#REF!"/>
    <e v="#REF!"/>
    <e v="#REF!"/>
  </r>
  <r>
    <s v="613500"/>
    <x v="6"/>
    <s v="LOCATIONS - Mobilier"/>
    <s v="AC"/>
    <n v="2764"/>
    <d v="2025-12-01T00:00:00"/>
    <s v="Loyer Mensuel Actea"/>
    <m/>
    <e v="#N/A"/>
    <e v="#N/A"/>
    <n v="63989"/>
    <m/>
    <s v="ACTEA"/>
    <s v="Q4"/>
    <e v="#REF!"/>
    <e v="#REF!"/>
    <e v="#REF!"/>
  </r>
  <r>
    <s v="613500"/>
    <x v="6"/>
    <s v="LOCATIONS - Mobilier"/>
    <s v="AC"/>
    <n v="3070"/>
    <d v="2025-08-29T00:00:00"/>
    <s v="LOCATION ESSOREUSE LABORATOIRE PENDANT 2MOIS AVEC DEUX PANIERS (300ML ET 1,2L) POUR ESSAIS DE SCREENING DE SOLVANTS POUR FINISHI"/>
    <s v="Non"/>
    <e v="#N/A"/>
    <e v="#N/A"/>
    <n v="82292"/>
    <s v="FA006465"/>
    <s v="ROUSSELET CENTRIFUGATION"/>
    <s v="Q3"/>
    <e v="#REF!"/>
    <e v="#REF!"/>
    <e v="#REF!"/>
  </r>
  <r>
    <s v="613500"/>
    <x v="6"/>
    <s v="LOCATIONS - Mobilier"/>
    <s v="AC"/>
    <n v="23458.41"/>
    <d v="2025-03-07T00:00:00"/>
    <s v="LOYER INSA TWB - 2024"/>
    <m/>
    <e v="#N/A"/>
    <e v="#N/A"/>
    <n v="68971"/>
    <s v="FAR-2025-000149"/>
    <m/>
    <s v="Q1"/>
    <e v="#REF!"/>
    <e v="#REF!"/>
    <e v="#REF!"/>
  </r>
  <r>
    <s v="613500"/>
    <x v="6"/>
    <s v="LOCATIONS - Mobilier"/>
    <s v="AC"/>
    <n v="34869.589999999997"/>
    <d v="2025-09-01T00:00:00"/>
    <s v="LOYER Q4 2025"/>
    <m/>
    <e v="#N/A"/>
    <e v="#N/A"/>
    <n v="87273"/>
    <s v="0049020250041"/>
    <s v="LIBERTY PM"/>
    <s v="Q3"/>
    <e v="#REF!"/>
    <e v="#REF!"/>
    <e v="#REF!"/>
  </r>
  <r>
    <s v="613500"/>
    <x v="6"/>
    <s v="LOCATIONS - Mobilier"/>
    <s v="AC"/>
    <n v="38609.43"/>
    <d v="2025-12-05T00:00:00"/>
    <s v="LOYER Q1 2026 KB"/>
    <m/>
    <e v="#N/A"/>
    <e v="#N/A"/>
    <n v="92006"/>
    <s v="0049020260006"/>
    <s v="LIBERTY PM"/>
    <s v="Q4"/>
    <e v="#REF!"/>
    <e v="#REF!"/>
    <e v="#REF!"/>
  </r>
  <r>
    <s v="613500"/>
    <x v="6"/>
    <s v="LOCATIONS - Mobilier"/>
    <s v="OD"/>
    <n v="-38609.43"/>
    <d v="2025-12-05T00:00:00"/>
    <s v="LOYER Q1 2026 KB"/>
    <m/>
    <e v="#N/A"/>
    <e v="#N/A"/>
    <n v="96203"/>
    <s v="0049020260006"/>
    <s v="LIBERTY PM"/>
    <s v="Q4"/>
    <e v="#REF!"/>
    <e v="#REF!"/>
    <e v="#REF!"/>
  </r>
  <r>
    <s v="613500"/>
    <x v="6"/>
    <s v="LOCATIONS - Mobilier"/>
    <s v="OD"/>
    <n v="-492.8"/>
    <d v="2025-01-31T00:00:00"/>
    <s v="Regul caution Kiloutou"/>
    <m/>
    <e v="#N/A"/>
    <e v="#N/A"/>
    <n v="82143"/>
    <m/>
    <s v="KILOUTOU"/>
    <s v="Q1"/>
    <e v="#REF!"/>
    <e v="#REF!"/>
    <e v="#REF!"/>
  </r>
  <r>
    <s v="613500"/>
    <x v="6"/>
    <s v="LOCATIONS - Mobilier"/>
    <s v="OD"/>
    <n v="-458.41"/>
    <d v="2025-03-31T00:00:00"/>
    <s v="LOYER INSA TWB - 2024 - REPRISE FNP"/>
    <m/>
    <e v="#N/A"/>
    <e v="#N/A"/>
    <n v="77530"/>
    <m/>
    <m/>
    <s v="Q1"/>
    <e v="#REF!"/>
    <e v="#REF!"/>
    <e v="#REF!"/>
  </r>
  <r>
    <s v="614000"/>
    <x v="6"/>
    <s v="LOCATIONS - Charges Locatives"/>
    <s v="AC"/>
    <n v="-24353.360000000001"/>
    <d v="2025-09-16T00:00:00"/>
    <s v="TAXE FONCIERE"/>
    <m/>
    <e v="#N/A"/>
    <e v="#N/A"/>
    <n v="86434"/>
    <s v="023692"/>
    <s v="LIBERTY PM"/>
    <s v="Q3"/>
    <e v="#REF!"/>
    <e v="#REF!"/>
    <e v="#REF!"/>
  </r>
  <r>
    <s v="614000"/>
    <x v="6"/>
    <s v="LOCATIONS - Charges Locatives"/>
    <s v="AC"/>
    <n v="7.69"/>
    <d v="2025-04-01T00:00:00"/>
    <s v="RÉGULARISATION DE CHARGES"/>
    <m/>
    <e v="#N/A"/>
    <e v="#N/A"/>
    <n v="69673"/>
    <s v="SE250099"/>
    <s v="SEDIST"/>
    <s v="Q2"/>
    <e v="#REF!"/>
    <e v="#REF!"/>
    <e v="#REF!"/>
  </r>
  <r>
    <s v="614000"/>
    <x v="6"/>
    <s v="LOCATIONS - Charges Locatives"/>
    <s v="AC"/>
    <n v="35"/>
    <d v="2025-02-01T00:00:00"/>
    <s v="LOYER LYON -FÉVRIER"/>
    <m/>
    <e v="#N/A"/>
    <e v="#N/A"/>
    <n v="64065"/>
    <s v="5087"/>
    <s v="REGIE CONSEIL"/>
    <s v="Q1"/>
    <e v="#REF!"/>
    <e v="#REF!"/>
    <e v="#REF!"/>
  </r>
  <r>
    <s v="614000"/>
    <x v="6"/>
    <s v="LOCATIONS - Charges Locatives"/>
    <s v="AC"/>
    <n v="35"/>
    <d v="2025-03-05T00:00:00"/>
    <s v="LOYER LYON- MARS"/>
    <m/>
    <e v="#N/A"/>
    <e v="#N/A"/>
    <n v="66099"/>
    <s v="5087"/>
    <s v="REGIE CONSEIL"/>
    <s v="Q1"/>
    <e v="#REF!"/>
    <e v="#REF!"/>
    <e v="#REF!"/>
  </r>
  <r>
    <s v="614000"/>
    <x v="6"/>
    <s v="LOCATIONS - Charges Locatives"/>
    <s v="AC"/>
    <n v="35"/>
    <d v="2025-04-01T00:00:00"/>
    <s v="Location Lyon 202504"/>
    <m/>
    <e v="#N/A"/>
    <e v="#N/A"/>
    <n v="72920"/>
    <m/>
    <s v="REGIE CONSEIL"/>
    <s v="Q2"/>
    <e v="#REF!"/>
    <e v="#REF!"/>
    <e v="#REF!"/>
  </r>
  <r>
    <s v="614000"/>
    <x v="6"/>
    <s v="LOCATIONS - Charges Locatives"/>
    <s v="AC"/>
    <n v="35"/>
    <d v="2025-05-01T00:00:00"/>
    <s v="LOCATION LYON 202505"/>
    <m/>
    <e v="#N/A"/>
    <e v="#N/A"/>
    <n v="72625"/>
    <s v="202505"/>
    <s v="REGIE CONSEIL"/>
    <s v="Q2"/>
    <e v="#REF!"/>
    <e v="#REF!"/>
    <e v="#REF!"/>
  </r>
  <r>
    <s v="614000"/>
    <x v="6"/>
    <s v="LOCATIONS - Charges Locatives"/>
    <s v="AC"/>
    <n v="35"/>
    <d v="2025-06-01T00:00:00"/>
    <s v="LOYER LYON 2025_06"/>
    <m/>
    <e v="#N/A"/>
    <e v="#N/A"/>
    <n v="75170"/>
    <s v="202506"/>
    <s v="REGIE CONSEIL"/>
    <s v="Q2"/>
    <e v="#REF!"/>
    <e v="#REF!"/>
    <e v="#REF!"/>
  </r>
  <r>
    <s v="614000"/>
    <x v="6"/>
    <s v="LOCATIONS - Charges Locatives"/>
    <s v="AC"/>
    <n v="35"/>
    <d v="2025-09-01T00:00:00"/>
    <s v="LOYER LYON"/>
    <m/>
    <e v="#N/A"/>
    <e v="#N/A"/>
    <n v="81895"/>
    <s v="000931000101"/>
    <s v="REGIE CONSEIL"/>
    <s v="Q3"/>
    <e v="#REF!"/>
    <e v="#REF!"/>
    <e v="#REF!"/>
  </r>
  <r>
    <s v="614000"/>
    <x v="6"/>
    <s v="LOCATIONS - Charges Locatives"/>
    <s v="AC"/>
    <n v="35"/>
    <d v="2025-11-01T00:00:00"/>
    <s v="LOYER LYON"/>
    <m/>
    <e v="#N/A"/>
    <e v="#N/A"/>
    <n v="87470"/>
    <s v="000931000101 - NOVEMBRE 2025"/>
    <s v="REGIE CONSEIL"/>
    <s v="Q4"/>
    <e v="#REF!"/>
    <e v="#REF!"/>
    <e v="#REF!"/>
  </r>
  <r>
    <s v="614000"/>
    <x v="6"/>
    <s v="LOCATIONS - Charges Locatives"/>
    <s v="AC"/>
    <n v="35"/>
    <d v="2025-12-01T00:00:00"/>
    <s v="LOYER DÉCEMBRE 2025 LYON"/>
    <m/>
    <e v="#N/A"/>
    <e v="#N/A"/>
    <n v="92146"/>
    <s v="DECEMBRE 2025"/>
    <s v="REGIE CONSEIL"/>
    <s v="Q4"/>
    <e v="#REF!"/>
    <e v="#REF!"/>
    <e v="#REF!"/>
  </r>
  <r>
    <s v="614000"/>
    <x v="6"/>
    <s v="LOCATIONS - Charges Locatives"/>
    <s v="AC"/>
    <n v="58.24"/>
    <d v="2025-07-23T00:00:00"/>
    <s v="LOYER AOUT LYON"/>
    <m/>
    <e v="#N/A"/>
    <e v="#N/A"/>
    <n v="78811"/>
    <s v="000931000101 - AOUT 25"/>
    <s v="REGIE CONSEIL"/>
    <s v="Q3"/>
    <e v="#REF!"/>
    <e v="#REF!"/>
    <e v="#REF!"/>
  </r>
  <r>
    <s v="614000"/>
    <x v="6"/>
    <s v="LOCATIONS - Charges Locatives"/>
    <s v="AC"/>
    <n v="135.94"/>
    <d v="2025-10-01T00:00:00"/>
    <s v="LOYER LYON"/>
    <m/>
    <e v="#N/A"/>
    <e v="#N/A"/>
    <n v="82797"/>
    <s v="OCTOBRE 2025"/>
    <s v="REGIE CONSEIL"/>
    <s v="Q4"/>
    <e v="#REF!"/>
    <e v="#REF!"/>
    <e v="#REF!"/>
  </r>
  <r>
    <s v="614000"/>
    <x v="6"/>
    <s v="LOCATIONS - Charges Locatives"/>
    <s v="AC"/>
    <n v="12119.4"/>
    <d v="2025-12-05T00:00:00"/>
    <s v="LOYER Q1 2026 KB"/>
    <m/>
    <e v="#N/A"/>
    <e v="#N/A"/>
    <n v="92007"/>
    <s v="0049020260006"/>
    <s v="LIBERTY PM"/>
    <s v="Q4"/>
    <e v="#REF!"/>
    <e v="#REF!"/>
    <e v="#REF!"/>
  </r>
  <r>
    <s v="614000"/>
    <x v="6"/>
    <s v="LOCATIONS - Charges Locatives"/>
    <s v="AC"/>
    <n v="24353.360000000001"/>
    <d v="2025-09-16T00:00:00"/>
    <s v="TAXE FONCIERE"/>
    <m/>
    <e v="#N/A"/>
    <e v="#N/A"/>
    <n v="82722"/>
    <s v="023692"/>
    <s v="LIBERTY PM"/>
    <s v="Q3"/>
    <e v="#REF!"/>
    <e v="#REF!"/>
    <e v="#REF!"/>
  </r>
  <r>
    <s v="614000"/>
    <x v="6"/>
    <s v="LOCATIONS - Charges Locatives"/>
    <s v="AC"/>
    <n v="32622.799999999999"/>
    <d v="2025-08-13T00:00:00"/>
    <s v="APUREMENT CHARGES 2024"/>
    <m/>
    <e v="#N/A"/>
    <e v="#N/A"/>
    <n v="81801"/>
    <s v="023381"/>
    <s v="LIBERTY PM"/>
    <s v="Q3"/>
    <e v="#REF!"/>
    <e v="#REF!"/>
    <e v="#REF!"/>
  </r>
  <r>
    <s v="614000"/>
    <x v="6"/>
    <s v="LOCATIONS - Charges Locatives"/>
    <s v="JC"/>
    <n v="-279.41000000000003"/>
    <d v="2025-12-01T00:00:00"/>
    <s v="CCA LOYERS KB"/>
    <m/>
    <e v="#N/A"/>
    <e v="#N/A"/>
    <n v="90181"/>
    <m/>
    <s v="LIBERTY PM"/>
    <s v="Q4"/>
    <e v="#REF!"/>
    <e v="#REF!"/>
    <e v="#REF!"/>
  </r>
  <r>
    <s v="614000"/>
    <x v="6"/>
    <s v="LOCATIONS - Charges Locatives"/>
    <s v="JC"/>
    <n v="3334"/>
    <d v="2025-01-01T00:00:00"/>
    <s v="CCA LOYERS KB"/>
    <m/>
    <e v="#N/A"/>
    <e v="#N/A"/>
    <n v="86404"/>
    <m/>
    <s v="LIBERTY PM"/>
    <s v="Q1"/>
    <e v="#REF!"/>
    <e v="#REF!"/>
    <e v="#REF!"/>
  </r>
  <r>
    <s v="614000"/>
    <x v="6"/>
    <s v="LOCATIONS - Charges Locatives"/>
    <s v="JC"/>
    <n v="3334"/>
    <d v="2025-02-01T00:00:00"/>
    <s v="CCA LOYERS KB"/>
    <m/>
    <e v="#N/A"/>
    <e v="#N/A"/>
    <n v="86380"/>
    <m/>
    <s v="LIBERTY PM"/>
    <s v="Q1"/>
    <e v="#REF!"/>
    <e v="#REF!"/>
    <e v="#REF!"/>
  </r>
  <r>
    <s v="614000"/>
    <x v="6"/>
    <s v="LOCATIONS - Charges Locatives"/>
    <s v="JC"/>
    <n v="3334"/>
    <d v="2025-03-01T00:00:00"/>
    <s v="CCA LOYERS KB"/>
    <m/>
    <e v="#N/A"/>
    <e v="#N/A"/>
    <n v="86384"/>
    <m/>
    <s v="LIBERTY PM"/>
    <s v="Q1"/>
    <e v="#REF!"/>
    <e v="#REF!"/>
    <e v="#REF!"/>
  </r>
  <r>
    <s v="614000"/>
    <x v="6"/>
    <s v="LOCATIONS - Charges Locatives"/>
    <s v="JC"/>
    <n v="3334"/>
    <d v="2025-04-01T00:00:00"/>
    <s v="CCA LOYERS KB"/>
    <m/>
    <e v="#N/A"/>
    <e v="#N/A"/>
    <n v="86388"/>
    <m/>
    <s v="LIBERTY PM"/>
    <s v="Q2"/>
    <e v="#REF!"/>
    <e v="#REF!"/>
    <e v="#REF!"/>
  </r>
  <r>
    <s v="614000"/>
    <x v="6"/>
    <s v="LOCATIONS - Charges Locatives"/>
    <s v="JC"/>
    <n v="3334"/>
    <d v="2025-05-01T00:00:00"/>
    <s v="CCA LOYERS KB"/>
    <m/>
    <e v="#N/A"/>
    <e v="#N/A"/>
    <n v="86400"/>
    <m/>
    <s v="LIBERTY PM"/>
    <s v="Q2"/>
    <e v="#REF!"/>
    <e v="#REF!"/>
    <e v="#REF!"/>
  </r>
  <r>
    <s v="614000"/>
    <x v="6"/>
    <s v="LOCATIONS - Charges Locatives"/>
    <s v="JC"/>
    <n v="3334"/>
    <d v="2025-06-01T00:00:00"/>
    <s v="CCA LOYERS KB"/>
    <m/>
    <e v="#N/A"/>
    <e v="#N/A"/>
    <n v="86408"/>
    <m/>
    <s v="LIBERTY PM"/>
    <s v="Q2"/>
    <e v="#REF!"/>
    <e v="#REF!"/>
    <e v="#REF!"/>
  </r>
  <r>
    <s v="614000"/>
    <x v="6"/>
    <s v="LOCATIONS - Charges Locatives"/>
    <s v="JC"/>
    <n v="3334"/>
    <d v="2025-07-01T00:00:00"/>
    <s v="CCA LOYERS KB"/>
    <m/>
    <e v="#N/A"/>
    <e v="#N/A"/>
    <n v="86412"/>
    <m/>
    <s v="LIBERTY PM"/>
    <s v="Q3"/>
    <e v="#REF!"/>
    <e v="#REF!"/>
    <e v="#REF!"/>
  </r>
  <r>
    <s v="614000"/>
    <x v="6"/>
    <s v="LOCATIONS - Charges Locatives"/>
    <s v="JC"/>
    <n v="3334"/>
    <d v="2025-08-01T00:00:00"/>
    <s v="CCA LOYERS KB"/>
    <m/>
    <e v="#N/A"/>
    <e v="#N/A"/>
    <n v="86416"/>
    <m/>
    <s v="LIBERTY PM"/>
    <s v="Q3"/>
    <e v="#REF!"/>
    <e v="#REF!"/>
    <e v="#REF!"/>
  </r>
  <r>
    <s v="614000"/>
    <x v="6"/>
    <s v="LOCATIONS - Charges Locatives"/>
    <s v="JC"/>
    <n v="3334"/>
    <d v="2025-09-01T00:00:00"/>
    <s v="CCA LOYERS KB"/>
    <m/>
    <e v="#N/A"/>
    <e v="#N/A"/>
    <n v="86420"/>
    <m/>
    <s v="LIBERTY PM"/>
    <s v="Q3"/>
    <e v="#REF!"/>
    <e v="#REF!"/>
    <e v="#REF!"/>
  </r>
  <r>
    <s v="614000"/>
    <x v="6"/>
    <s v="LOCATIONS - Charges Locatives"/>
    <s v="JC"/>
    <n v="5334"/>
    <d v="2025-10-01T00:00:00"/>
    <s v="CCA LOYERS KB"/>
    <m/>
    <e v="#N/A"/>
    <e v="#N/A"/>
    <n v="86424"/>
    <m/>
    <s v="LIBERTY PM"/>
    <s v="Q4"/>
    <e v="#REF!"/>
    <e v="#REF!"/>
    <e v="#REF!"/>
  </r>
  <r>
    <s v="614000"/>
    <x v="6"/>
    <s v="LOCATIONS - Charges Locatives"/>
    <s v="JC"/>
    <n v="5334"/>
    <d v="2025-11-01T00:00:00"/>
    <s v="CCA LOYERS KB"/>
    <m/>
    <e v="#N/A"/>
    <e v="#N/A"/>
    <n v="86428"/>
    <m/>
    <s v="LIBERTY PM"/>
    <s v="Q4"/>
    <e v="#REF!"/>
    <e v="#REF!"/>
    <e v="#REF!"/>
  </r>
  <r>
    <s v="614000"/>
    <x v="6"/>
    <s v="LOCATIONS - Charges Locatives"/>
    <s v="JC"/>
    <n v="5334"/>
    <d v="2025-12-01T00:00:00"/>
    <s v="CCA LOYERS KB"/>
    <m/>
    <e v="#N/A"/>
    <e v="#N/A"/>
    <n v="86432"/>
    <m/>
    <s v="LIBERTY PM"/>
    <s v="Q4"/>
    <e v="#REF!"/>
    <e v="#REF!"/>
    <e v="#REF!"/>
  </r>
  <r>
    <s v="614000"/>
    <x v="6"/>
    <s v="LOCATIONS - Charges Locatives"/>
    <s v="OD"/>
    <n v="-12119.4"/>
    <d v="2025-12-05T00:00:00"/>
    <s v="LOYER Q1 2026 KB"/>
    <m/>
    <e v="#N/A"/>
    <e v="#N/A"/>
    <n v="96204"/>
    <s v="0049020260006"/>
    <s v="LIBERTY PM"/>
    <s v="Q4"/>
    <e v="#REF!"/>
    <e v="#REF!"/>
    <e v="#REF!"/>
  </r>
  <r>
    <s v="614000"/>
    <x v="6"/>
    <s v="LOCATIONS - Charges Locatives"/>
    <s v="OD"/>
    <n v="-35"/>
    <d v="2025-04-01T00:00:00"/>
    <s v="LOCATION LYON 202504"/>
    <m/>
    <e v="#N/A"/>
    <e v="#N/A"/>
    <n v="89848"/>
    <s v="FNP REGIE CONSEIL"/>
    <s v="REGIE CONSEIL"/>
    <s v="Q2"/>
    <e v="#REF!"/>
    <e v="#REF!"/>
    <e v="#REF!"/>
  </r>
  <r>
    <s v="614000"/>
    <x v="6"/>
    <s v="LOCATIONS - Charges Locatives"/>
    <s v="OD"/>
    <n v="35"/>
    <d v="2025-04-01T00:00:00"/>
    <s v="LOCATION LYON 202504"/>
    <m/>
    <e v="#N/A"/>
    <e v="#N/A"/>
    <n v="89845"/>
    <s v="FNP REGIE CONSEIL"/>
    <s v="REGIE CONSEIL"/>
    <s v="Q2"/>
    <e v="#REF!"/>
    <e v="#REF!"/>
    <e v="#REF!"/>
  </r>
  <r>
    <s v="615200"/>
    <x v="6"/>
    <s v="MAINTENANCE - Entretien et Réparations - Actifs Immobiliers"/>
    <s v="AC"/>
    <n v="-4149.82"/>
    <d v="2025-07-31T00:00:00"/>
    <s v="PRISES LABORATOIRE : 1775.13€ PRISES ATEX : 4130.91€ ALIMENTATION CLIM + AIR : 1501.94€ PLANS : 872.75€"/>
    <m/>
    <e v="#N/A"/>
    <e v="#N/A"/>
    <n v="89361"/>
    <s v="FCA21251507"/>
    <s v="COTE"/>
    <s v="Q3"/>
    <e v="#REF!"/>
    <e v="#REF!"/>
    <e v="#REF!"/>
  </r>
  <r>
    <s v="615200"/>
    <x v="6"/>
    <s v="MAINTENANCE - Entretien et Réparations - Actifs Immobiliers"/>
    <s v="AC"/>
    <n v="88"/>
    <d v="2025-01-31T00:00:00"/>
    <s v="MÉNAGE LYON"/>
    <m/>
    <e v="#N/A"/>
    <e v="#N/A"/>
    <n v="73649"/>
    <s v="CB20250201030561"/>
    <s v="HOPER"/>
    <s v="Q1"/>
    <e v="#REF!"/>
    <e v="#REF!"/>
    <e v="#REF!"/>
  </r>
  <r>
    <s v="615200"/>
    <x v="6"/>
    <s v="MAINTENANCE - Entretien et Réparations - Actifs Immobiliers"/>
    <s v="AC"/>
    <n v="88"/>
    <d v="2025-02-28T00:00:00"/>
    <s v="MÉNAGE LYON 2025_02"/>
    <m/>
    <e v="#N/A"/>
    <e v="#N/A"/>
    <n v="71286"/>
    <s v="CB20250302031084"/>
    <s v="HOPER"/>
    <s v="Q1"/>
    <e v="#REF!"/>
    <e v="#REF!"/>
    <e v="#REF!"/>
  </r>
  <r>
    <s v="615200"/>
    <x v="6"/>
    <s v="MAINTENANCE - Entretien et Réparations - Actifs Immobiliers"/>
    <s v="AC"/>
    <n v="128.56"/>
    <d v="2025-12-01T00:00:00"/>
    <s v="LOYER DÉCEMBRE 2025 LYON"/>
    <m/>
    <e v="#N/A"/>
    <e v="#N/A"/>
    <n v="92147"/>
    <s v="DECEMBRE 2025"/>
    <s v="REGIE CONSEIL"/>
    <s v="Q4"/>
    <e v="#REF!"/>
    <e v="#REF!"/>
    <e v="#REF!"/>
  </r>
  <r>
    <s v="615200"/>
    <x v="6"/>
    <s v="MAINTENANCE - Entretien et Réparations - Actifs Immobiliers"/>
    <s v="AC"/>
    <n v="132"/>
    <d v="2025-01-01T00:00:00"/>
    <s v="MÉNAGE LYON"/>
    <m/>
    <e v="#N/A"/>
    <e v="#N/A"/>
    <n v="73601"/>
    <s v="CB20250102030229"/>
    <s v="HOPER"/>
    <s v="Q1"/>
    <e v="#REF!"/>
    <e v="#REF!"/>
    <e v="#REF!"/>
  </r>
  <r>
    <s v="615200"/>
    <x v="6"/>
    <s v="MAINTENANCE - Entretien et Réparations - Actifs Immobiliers"/>
    <s v="AC"/>
    <n v="132"/>
    <d v="2025-03-31T00:00:00"/>
    <s v="MÉNAGE LYON 2025_03"/>
    <m/>
    <e v="#N/A"/>
    <e v="#N/A"/>
    <n v="71296"/>
    <s v="CB20250401031672"/>
    <s v="HOPER"/>
    <s v="Q1"/>
    <e v="#REF!"/>
    <e v="#REF!"/>
    <e v="#REF!"/>
  </r>
  <r>
    <s v="615200"/>
    <x v="6"/>
    <s v="MAINTENANCE - Entretien et Réparations - Actifs Immobiliers"/>
    <s v="AC"/>
    <n v="240"/>
    <d v="2025-07-31T00:00:00"/>
    <s v="JUILLET DÉCAPAGE DES SOLS"/>
    <m/>
    <e v="#N/A"/>
    <e v="#N/A"/>
    <n v="81760"/>
    <s v="251P1197"/>
    <s v="GSF"/>
    <s v="Q3"/>
    <e v="#REF!"/>
    <e v="#REF!"/>
    <e v="#REF!"/>
  </r>
  <r>
    <s v="615200"/>
    <x v="6"/>
    <s v="MAINTENANCE - Entretien et Réparations - Actifs Immobiliers"/>
    <s v="AC"/>
    <n v="311"/>
    <d v="2025-03-01T00:00:00"/>
    <s v="CONTRAT DE NETTOYAGE DES ALGECOS - ROUSSILLON"/>
    <m/>
    <e v="#N/A"/>
    <e v="#N/A"/>
    <n v="66003"/>
    <s v="251P0438"/>
    <s v="GSF"/>
    <s v="Q1"/>
    <e v="#REF!"/>
    <e v="#REF!"/>
    <e v="#REF!"/>
  </r>
  <r>
    <s v="615200"/>
    <x v="6"/>
    <s v="MAINTENANCE - Entretien et Réparations - Actifs Immobiliers"/>
    <s v="AC"/>
    <n v="311"/>
    <d v="2025-04-01T00:00:00"/>
    <s v="ENTRETIEN DES LOCAUX ROUSSILLON AVRIL 2025"/>
    <m/>
    <e v="#N/A"/>
    <e v="#N/A"/>
    <n v="69659"/>
    <s v="251P0617"/>
    <s v="GSF"/>
    <s v="Q2"/>
    <e v="#REF!"/>
    <e v="#REF!"/>
    <e v="#REF!"/>
  </r>
  <r>
    <s v="615200"/>
    <x v="6"/>
    <s v="MAINTENANCE - Entretien et Réparations - Actifs Immobiliers"/>
    <s v="AC"/>
    <n v="311"/>
    <d v="2025-05-01T00:00:00"/>
    <s v="ENTRETIEN LOCAUX ROUSSILLON"/>
    <m/>
    <e v="#N/A"/>
    <e v="#N/A"/>
    <n v="73760"/>
    <s v="251P0757"/>
    <s v="GSF"/>
    <s v="Q2"/>
    <e v="#REF!"/>
    <e v="#REF!"/>
    <e v="#REF!"/>
  </r>
  <r>
    <s v="615200"/>
    <x v="6"/>
    <s v="MAINTENANCE - Entretien et Réparations - Actifs Immobiliers"/>
    <s v="AC"/>
    <n v="311"/>
    <d v="2025-06-01T00:00:00"/>
    <s v="CONTRAT DE NETTOYAGE DES ALGECOS - ROUSSILLON"/>
    <m/>
    <e v="#N/A"/>
    <e v="#N/A"/>
    <n v="76551"/>
    <s v="251P0951"/>
    <s v="GSF"/>
    <s v="Q2"/>
    <e v="#REF!"/>
    <e v="#REF!"/>
    <e v="#REF!"/>
  </r>
  <r>
    <s v="615200"/>
    <x v="6"/>
    <s v="MAINTENANCE - Entretien et Réparations - Actifs Immobiliers"/>
    <s v="AC"/>
    <n v="311"/>
    <d v="2025-07-01T00:00:00"/>
    <s v="PRESTATION DE NETTOYAGE - SITE ROUSSILLON"/>
    <m/>
    <e v="#N/A"/>
    <e v="#N/A"/>
    <n v="81209"/>
    <s v="251P1156"/>
    <s v="GSF"/>
    <s v="Q3"/>
    <e v="#REF!"/>
    <e v="#REF!"/>
    <e v="#REF!"/>
  </r>
  <r>
    <s v="615200"/>
    <x v="6"/>
    <s v="MAINTENANCE - Entretien et Réparations - Actifs Immobiliers"/>
    <s v="AC"/>
    <n v="311"/>
    <d v="2025-08-08T00:00:00"/>
    <s v="ENTRETIEN DES ALGÉCOS"/>
    <m/>
    <e v="#N/A"/>
    <e v="#N/A"/>
    <n v="81250"/>
    <s v="251P1302"/>
    <s v="GSF"/>
    <s v="Q3"/>
    <e v="#REF!"/>
    <e v="#REF!"/>
    <e v="#REF!"/>
  </r>
  <r>
    <s v="615200"/>
    <x v="6"/>
    <s v="MAINTENANCE - Entretien et Réparations - Actifs Immobiliers"/>
    <s v="AC"/>
    <n v="311"/>
    <d v="2025-09-09T00:00:00"/>
    <s v="MÉNAGE ROUSSILLON"/>
    <m/>
    <e v="#N/A"/>
    <e v="#N/A"/>
    <n v="82337"/>
    <s v="251P1464"/>
    <s v="GSF"/>
    <s v="Q3"/>
    <e v="#REF!"/>
    <e v="#REF!"/>
    <e v="#REF!"/>
  </r>
  <r>
    <s v="615200"/>
    <x v="6"/>
    <s v="MAINTENANCE - Entretien et Réparations - Actifs Immobiliers"/>
    <s v="AC"/>
    <n v="311"/>
    <d v="2025-10-01T00:00:00"/>
    <s v="OCTOBRE 2025 PRESTATION D'ENTRETIEN HEBDOMADAIRE DES LOCAUX BÂTIMENT 37: MODULES BUREAUX, RÉFECTOIRE, VESTIAIRE"/>
    <m/>
    <e v="#N/A"/>
    <e v="#N/A"/>
    <n v="89859"/>
    <s v="251P1661"/>
    <s v="GSF"/>
    <s v="Q4"/>
    <e v="#REF!"/>
    <e v="#REF!"/>
    <e v="#REF!"/>
  </r>
  <r>
    <s v="615200"/>
    <x v="6"/>
    <s v="MAINTENANCE - Entretien et Réparations - Actifs Immobiliers"/>
    <s v="AC"/>
    <n v="311"/>
    <d v="2025-11-01T00:00:00"/>
    <s v="ENTRETIEN ALGÉCOS ROUSSILLON"/>
    <m/>
    <e v="#N/A"/>
    <e v="#N/A"/>
    <n v="90051"/>
    <s v="251P1830"/>
    <s v="GSF"/>
    <s v="Q4"/>
    <e v="#REF!"/>
    <e v="#REF!"/>
    <e v="#REF!"/>
  </r>
  <r>
    <s v="615200"/>
    <x v="6"/>
    <s v="MAINTENANCE - Entretien et Réparations - Actifs Immobiliers"/>
    <s v="AC"/>
    <n v="311"/>
    <d v="2025-12-23T00:00:00"/>
    <s v="ENTRETIEN ALGÉCO ROUSSILLON"/>
    <m/>
    <e v="#N/A"/>
    <e v="#N/A"/>
    <n v="95143"/>
    <s v="251P2013"/>
    <s v="GSF"/>
    <s v="Q4"/>
    <e v="#REF!"/>
    <e v="#REF!"/>
    <e v="#REF!"/>
  </r>
  <r>
    <s v="615200"/>
    <x v="6"/>
    <s v="MAINTENANCE - Entretien et Réparations - Actifs Immobiliers"/>
    <s v="AC"/>
    <n v="554"/>
    <d v="2025-02-28T00:00:00"/>
    <s v="CONTRAT DE NETTOYAGE DES ALGECOS - ROUSSILLON"/>
    <m/>
    <e v="#N/A"/>
    <e v="#N/A"/>
    <n v="64139"/>
    <s v="251P0144"/>
    <s v="GSF"/>
    <s v="Q1"/>
    <e v="#REF!"/>
    <e v="#REF!"/>
    <e v="#REF!"/>
  </r>
  <r>
    <s v="615200"/>
    <x v="6"/>
    <s v="MAINTENANCE - Entretien et Réparations - Actifs Immobiliers"/>
    <s v="AC"/>
    <n v="564"/>
    <d v="2025-08-15T00:00:00"/>
    <s v="ENTRETIEN MÉNAGER"/>
    <m/>
    <e v="#N/A"/>
    <e v="#N/A"/>
    <n v="81349"/>
    <s v="PILI-150825"/>
    <s v="ABEL CHRIST SOMPLEI"/>
    <s v="Q3"/>
    <e v="#REF!"/>
    <e v="#REF!"/>
    <e v="#REF!"/>
  </r>
  <r>
    <s v="615200"/>
    <x v="6"/>
    <s v="MAINTENANCE - Entretien et Réparations - Actifs Immobiliers"/>
    <s v="AC"/>
    <n v="752"/>
    <d v="2025-09-17T00:00:00"/>
    <s v="ENTRETIEN MÉNAGER"/>
    <m/>
    <e v="#N/A"/>
    <e v="#N/A"/>
    <n v="82729"/>
    <s v="PILI-170925"/>
    <s v="ABEL CHRIST SOMPLEI"/>
    <s v="Q3"/>
    <e v="#REF!"/>
    <e v="#REF!"/>
    <e v="#REF!"/>
  </r>
  <r>
    <s v="615200"/>
    <x v="6"/>
    <s v="MAINTENANCE - Entretien et Réparations - Actifs Immobiliers"/>
    <s v="AC"/>
    <n v="752"/>
    <d v="2025-11-17T00:00:00"/>
    <s v="ENTRETIEN MÉNAGER"/>
    <m/>
    <e v="#N/A"/>
    <e v="#N/A"/>
    <n v="91120"/>
    <s v="PILI-171125"/>
    <s v="ABEL CHRIST SOMPLEI"/>
    <s v="Q4"/>
    <e v="#REF!"/>
    <e v="#REF!"/>
    <e v="#REF!"/>
  </r>
  <r>
    <s v="615200"/>
    <x v="6"/>
    <s v="MAINTENANCE - Entretien et Réparations - Actifs Immobiliers"/>
    <s v="AC"/>
    <n v="940"/>
    <d v="2025-10-22T00:00:00"/>
    <s v="ENTRETIEN MÉNAGER"/>
    <m/>
    <e v="#N/A"/>
    <e v="#N/A"/>
    <n v="87290"/>
    <s v="PILI-221025"/>
    <s v="ABEL CHRIST SOMPLEI"/>
    <s v="Q4"/>
    <e v="#REF!"/>
    <e v="#REF!"/>
    <e v="#REF!"/>
  </r>
  <r>
    <s v="615200"/>
    <x v="6"/>
    <s v="MAINTENANCE - Entretien et Réparations - Actifs Immobiliers"/>
    <s v="AC"/>
    <n v="940"/>
    <d v="2025-12-23T00:00:00"/>
    <s v="ENTRETIEN MÉNAGER"/>
    <m/>
    <e v="#N/A"/>
    <e v="#N/A"/>
    <n v="93609"/>
    <s v="PILI-231225"/>
    <s v="ABEL CHRIST SOMPLEI"/>
    <s v="Q4"/>
    <e v="#REF!"/>
    <e v="#REF!"/>
    <e v="#REF!"/>
  </r>
  <r>
    <s v="615200"/>
    <x v="6"/>
    <s v="MAINTENANCE - Entretien et Réparations - Actifs Immobiliers"/>
    <s v="AC"/>
    <n v="1034"/>
    <d v="2025-02-17T00:00:00"/>
    <s v="ENTRETIEN MÉNAGER FÉVRIER"/>
    <m/>
    <e v="#N/A"/>
    <e v="#N/A"/>
    <n v="61513"/>
    <s v="PILI-170225"/>
    <s v="ABEL CHRIST SOMPLEI"/>
    <s v="Q1"/>
    <e v="#REF!"/>
    <e v="#REF!"/>
    <e v="#REF!"/>
  </r>
  <r>
    <s v="615200"/>
    <x v="6"/>
    <s v="MAINTENANCE - Entretien et Réparations - Actifs Immobiliers"/>
    <s v="AC"/>
    <n v="1034"/>
    <d v="2025-03-28T00:00:00"/>
    <s v="MÉNAGE KB"/>
    <m/>
    <e v="#N/A"/>
    <e v="#N/A"/>
    <n v="67901"/>
    <s v="280325"/>
    <s v="ABEL CHRIST SOMPLEI"/>
    <s v="Q1"/>
    <e v="#REF!"/>
    <e v="#REF!"/>
    <e v="#REF!"/>
  </r>
  <r>
    <s v="615200"/>
    <x v="6"/>
    <s v="MAINTENANCE - Entretien et Réparations - Actifs Immobiliers"/>
    <s v="AC"/>
    <n v="1034"/>
    <d v="2025-06-25T00:00:00"/>
    <s v="ENTRETIEN MÉNAGER"/>
    <m/>
    <e v="#N/A"/>
    <e v="#N/A"/>
    <n v="76622"/>
    <s v="PILI-230625"/>
    <s v="ABEL CHRIST SOMPLEI"/>
    <s v="Q2"/>
    <e v="#REF!"/>
    <e v="#REF!"/>
    <e v="#REF!"/>
  </r>
  <r>
    <s v="615200"/>
    <x v="6"/>
    <s v="MAINTENANCE - Entretien et Réparations - Actifs Immobiliers"/>
    <s v="AC"/>
    <n v="1104.5"/>
    <d v="2025-01-13T00:00:00"/>
    <s v="MÉNAGE KB JANVIER 25"/>
    <m/>
    <e v="#N/A"/>
    <e v="#N/A"/>
    <n v="61250"/>
    <s v="PILI-130125"/>
    <s v="ABEL CHRIST SOMPLEI"/>
    <s v="Q1"/>
    <e v="#REF!"/>
    <e v="#REF!"/>
    <e v="#REF!"/>
  </r>
  <r>
    <s v="615200"/>
    <x v="6"/>
    <s v="MAINTENANCE - Entretien et Réparations - Actifs Immobiliers"/>
    <s v="AC"/>
    <n v="1104.5"/>
    <d v="2025-05-21T00:00:00"/>
    <s v="KB MÉNAGE MAI"/>
    <m/>
    <e v="#N/A"/>
    <e v="#N/A"/>
    <n v="74452"/>
    <s v="PILI-210525"/>
    <s v="ABEL CHRIST SOMPLEI"/>
    <s v="Q2"/>
    <e v="#REF!"/>
    <e v="#REF!"/>
    <e v="#REF!"/>
  </r>
  <r>
    <s v="615200"/>
    <x v="6"/>
    <s v="MAINTENANCE - Entretien et Réparations - Actifs Immobiliers"/>
    <s v="AC"/>
    <n v="1222"/>
    <d v="2025-04-22T00:00:00"/>
    <s v="MÉNAGE KB AVRIL"/>
    <m/>
    <e v="#N/A"/>
    <e v="#N/A"/>
    <n v="69832"/>
    <s v="PILI-220425"/>
    <s v="ABEL CHRIST SOMPLEI"/>
    <s v="Q2"/>
    <e v="#REF!"/>
    <e v="#REF!"/>
    <e v="#REF!"/>
  </r>
  <r>
    <s v="615200"/>
    <x v="6"/>
    <s v="MAINTENANCE - Entretien et Réparations - Actifs Immobiliers"/>
    <s v="AC"/>
    <n v="1292.5"/>
    <d v="2025-07-23T00:00:00"/>
    <s v="ENTRETIEN MÉNAGER"/>
    <m/>
    <e v="#N/A"/>
    <e v="#N/A"/>
    <n v="78938"/>
    <s v="PILI-230725"/>
    <s v="ABEL CHRIST SOMPLEI"/>
    <s v="Q3"/>
    <e v="#REF!"/>
    <e v="#REF!"/>
    <e v="#REF!"/>
  </r>
  <r>
    <s v="615200"/>
    <x v="6"/>
    <s v="MAINTENANCE - Entretien et Réparations - Actifs Immobiliers"/>
    <s v="AC"/>
    <n v="4149.82"/>
    <d v="2025-07-31T00:00:00"/>
    <s v="PRISES LABORATOIRE : 1775.13€ PRISES ATEX : 4130.91€ ALIMENTATION CLIM + AIR : 1501.94€ PLANS : 872.75€"/>
    <m/>
    <e v="#N/A"/>
    <e v="#N/A"/>
    <n v="81343"/>
    <s v="FCA21251507"/>
    <s v="COTE"/>
    <s v="Q3"/>
    <e v="#REF!"/>
    <e v="#REF!"/>
    <e v="#REF!"/>
  </r>
  <r>
    <s v="615500"/>
    <x v="6"/>
    <s v="MAINTENANCE - Entretien et Réparations - Actifs Mobiliers"/>
    <s v="AC"/>
    <n v="1718.89"/>
    <d v="2025-02-24T00:00:00"/>
    <s v="RACCORDEMENT ÉLECTRIQUE ALGECOS ROUSSILLON (MAIN D'ŒUVRE + MATÉRIEL) + POSE BAES (BLOC AUTONOME D'ÉCLAIRAGE DE SÉCURITÉ) AU NIVE"/>
    <m/>
    <e v="#N/A"/>
    <e v="#N/A"/>
    <n v="90205"/>
    <s v="FCA21250276"/>
    <s v="COTE"/>
    <s v="Q1"/>
    <e v="#REF!"/>
    <e v="#REF!"/>
    <e v="#REF!"/>
  </r>
  <r>
    <s v="615500"/>
    <x v="6"/>
    <s v="MAINTENANCE - Entretien et Réparations - Actifs Mobiliers"/>
    <s v="OD"/>
    <n v="-34869.589999999997"/>
    <d v="2025-09-01T00:00:00"/>
    <s v="LOYER Q4 2025"/>
    <m/>
    <e v="#N/A"/>
    <e v="#N/A"/>
    <n v="96207"/>
    <s v="0049020250041"/>
    <s v="LIBERTY PM"/>
    <s v="Q3"/>
    <e v="#REF!"/>
    <e v="#REF!"/>
    <e v="#REF!"/>
  </r>
  <r>
    <s v="615600"/>
    <x v="6"/>
    <s v="MAINTENANCE"/>
    <s v="AC"/>
    <n v="-6198"/>
    <d v="2025-03-01T00:00:00"/>
    <s v="CONTRAT DE MAINTENANCE N°CT0662 - PÉRIODE DU 01/03/2025 AU 28/02/2026"/>
    <m/>
    <e v="#N/A"/>
    <e v="#N/A"/>
    <n v="77420"/>
    <s v="FA005214"/>
    <s v="3BCLIM"/>
    <s v="Q1"/>
    <e v="#REF!"/>
    <e v="#REF!"/>
    <e v="#REF!"/>
  </r>
  <r>
    <s v="615600"/>
    <x v="6"/>
    <s v="MAINTENANCE"/>
    <s v="AC"/>
    <n v="-4510"/>
    <d v="2025-08-29T00:00:00"/>
    <s v="CHANGEMENT PORTE ATELIER"/>
    <m/>
    <e v="#N/A"/>
    <e v="#N/A"/>
    <n v="89368"/>
    <s v="FA25-08-15222"/>
    <s v="SCMI"/>
    <s v="Q3"/>
    <e v="#REF!"/>
    <e v="#REF!"/>
    <e v="#REF!"/>
  </r>
  <r>
    <s v="615600"/>
    <x v="6"/>
    <s v="MAINTENANCE"/>
    <s v="AC"/>
    <n v="63.8"/>
    <d v="2025-11-30T00:00:00"/>
    <s v="FACTURE MAINTENANCE OSIRIS"/>
    <s v="Non"/>
    <s v="Non"/>
    <e v="#N/A"/>
    <n v="92188"/>
    <s v="93814171"/>
    <s v="OSIRIS"/>
    <s v="Q4"/>
    <e v="#REF!"/>
    <e v="#REF!"/>
    <e v="#REF!"/>
  </r>
  <r>
    <s v="615600"/>
    <x v="6"/>
    <s v="MAINTENANCE"/>
    <s v="AC"/>
    <n v="157"/>
    <d v="2025-01-29T00:00:00"/>
    <s v="INSTALLATION DU NOUVEAU POSTE À DISTANCE INSTALLATION DE L'AGENT DE SUPERVISIONS INSTALLATION DE L' ANTIVIRUS ENREGISTREMENT DAN"/>
    <m/>
    <e v="#N/A"/>
    <e v="#N/A"/>
    <n v="61337"/>
    <s v="140136"/>
    <s v="ARESCOM"/>
    <s v="Q1"/>
    <e v="#REF!"/>
    <e v="#REF!"/>
    <e v="#REF!"/>
  </r>
  <r>
    <s v="615600"/>
    <x v="6"/>
    <s v="MAINTENANCE"/>
    <s v="AC"/>
    <n v="168.9"/>
    <d v="2025-02-28T00:00:00"/>
    <s v="VÉRIFICATION PÉRIODIQUE GERBEUR ÉLECTRIQUE"/>
    <m/>
    <e v="#N/A"/>
    <e v="#N/A"/>
    <n v="61562"/>
    <s v="VE/2025/00637"/>
    <s v="ACRITEC"/>
    <s v="Q1"/>
    <e v="#REF!"/>
    <e v="#REF!"/>
    <e v="#REF!"/>
  </r>
  <r>
    <s v="615600"/>
    <x v="6"/>
    <s v="MAINTENANCE"/>
    <s v="AC"/>
    <n v="185.4"/>
    <d v="2025-04-23T00:00:00"/>
    <s v="MAINTENANCE GERBEUR : RÉPARATION BOUTON MONTÉE-BAISSE"/>
    <m/>
    <e v="#N/A"/>
    <e v="#N/A"/>
    <n v="82270"/>
    <s v="8802106422"/>
    <s v="FENWICK-LINDE"/>
    <s v="Q2"/>
    <e v="#REF!"/>
    <e v="#REF!"/>
    <e v="#REF!"/>
  </r>
  <r>
    <s v="615600"/>
    <x v="6"/>
    <s v="MAINTENANCE"/>
    <s v="AC"/>
    <n v="190"/>
    <d v="2025-10-21T00:00:00"/>
    <s v="MIGRATION WINDOWS 11"/>
    <m/>
    <e v="#N/A"/>
    <e v="#N/A"/>
    <n v="87288"/>
    <s v="144835"/>
    <s v="ARESCOM"/>
    <s v="Q4"/>
    <e v="#REF!"/>
    <e v="#REF!"/>
    <e v="#REF!"/>
  </r>
  <r>
    <s v="615600"/>
    <x v="6"/>
    <s v="MAINTENANCE"/>
    <s v="AC"/>
    <n v="190.88"/>
    <d v="2025-08-22T00:00:00"/>
    <s v="RACCORD DÉTENDEUR"/>
    <m/>
    <e v="#N/A"/>
    <e v="#N/A"/>
    <n v="81871"/>
    <s v="5800795390"/>
    <s v="AIR LIQUIDE"/>
    <s v="Q3"/>
    <e v="#REF!"/>
    <e v="#REF!"/>
    <e v="#REF!"/>
  </r>
  <r>
    <s v="615600"/>
    <x v="6"/>
    <s v="MAINTENANCE"/>
    <s v="AC"/>
    <n v="208"/>
    <d v="2025-07-07T00:00:00"/>
    <s v="MAINTENANCE/RÉPARATION DES 4 DÉTECTEURS HCN DU LABO"/>
    <m/>
    <e v="#N/A"/>
    <e v="#N/A"/>
    <n v="78983"/>
    <s v="FC96970"/>
    <s v="GAZ DETECT"/>
    <s v="Q3"/>
    <e v="#REF!"/>
    <e v="#REF!"/>
    <e v="#REF!"/>
  </r>
  <r>
    <s v="615600"/>
    <x v="6"/>
    <s v="MAINTENANCE"/>
    <s v="AC"/>
    <n v="220.73"/>
    <d v="2025-03-06T00:00:00"/>
    <s v="MAINTENANCE GERBEUR : RÉPARATION BOUTON MONTÉE-BAISSE"/>
    <m/>
    <e v="#N/A"/>
    <e v="#N/A"/>
    <n v="81310"/>
    <s v="8802089097"/>
    <s v="FENWICK-LINDE"/>
    <s v="Q1"/>
    <e v="#REF!"/>
    <e v="#REF!"/>
    <e v="#REF!"/>
  </r>
  <r>
    <s v="615600"/>
    <x v="6"/>
    <s v="MAINTENANCE"/>
    <s v="AC"/>
    <n v="228.8"/>
    <d v="2025-10-31T00:00:00"/>
    <s v="MAINTENANCE OSIRIS CARDANS KL"/>
    <s v="Non"/>
    <s v="Non"/>
    <e v="#N/A"/>
    <n v="89885"/>
    <s v="93813939"/>
    <s v="OSIRIS"/>
    <s v="Q4"/>
    <e v="#REF!"/>
    <e v="#REF!"/>
    <e v="#REF!"/>
  </r>
  <r>
    <s v="615600"/>
    <x v="6"/>
    <s v="MAINTENANCE"/>
    <s v="AC"/>
    <n v="240"/>
    <d v="2025-01-23T00:00:00"/>
    <s v="PRISE EN MAIN MOTS DE PASSES FINANCE, CDG ET OFFICE MANAGEMENT DANS COFFRE FORT CRYPTÉ"/>
    <m/>
    <s v="Non"/>
    <e v="#N/A"/>
    <n v="61302"/>
    <s v="55"/>
    <s v="DIVERS"/>
    <s v="Q1"/>
    <e v="#REF!"/>
    <e v="#REF!"/>
    <e v="#REF!"/>
  </r>
  <r>
    <s v="615600"/>
    <x v="6"/>
    <s v="MAINTENANCE"/>
    <s v="AC"/>
    <n v="276.20999999999998"/>
    <d v="2025-12-04T00:00:00"/>
    <s v="GARNITURE EN VERRE KL"/>
    <m/>
    <e v="#N/A"/>
    <e v="#N/A"/>
    <n v="92987"/>
    <s v="14003797"/>
    <s v="OPTIMUS"/>
    <s v="Q4"/>
    <e v="#REF!"/>
    <e v="#REF!"/>
    <e v="#REF!"/>
  </r>
  <r>
    <s v="615600"/>
    <x v="6"/>
    <s v="MAINTENANCE"/>
    <s v="AC"/>
    <n v="338.34"/>
    <d v="2025-01-31T00:00:00"/>
    <s v="DÉBRANCHEMENT ET REBRANCHEMENT SONDES DE TEMPÉRATURE (1 SONDE R1000 ET 1 SONDE R2000)"/>
    <m/>
    <e v="#N/A"/>
    <e v="#N/A"/>
    <n v="61377"/>
    <s v="FCA21250182"/>
    <s v="COTE"/>
    <s v="Q1"/>
    <e v="#REF!"/>
    <e v="#REF!"/>
    <e v="#REF!"/>
  </r>
  <r>
    <s v="615600"/>
    <x v="6"/>
    <s v="MAINTENANCE"/>
    <s v="AC"/>
    <n v="395"/>
    <d v="2025-11-29T00:00:00"/>
    <s v="RÉPARATION DOME RÉACTEUR 10L"/>
    <m/>
    <e v="#N/A"/>
    <e v="#N/A"/>
    <n v="94889"/>
    <s v="0190629"/>
    <s v="CLOUP"/>
    <s v="Q4"/>
    <e v="#REF!"/>
    <e v="#REF!"/>
    <e v="#REF!"/>
  </r>
  <r>
    <s v="615600"/>
    <x v="6"/>
    <s v="MAINTENANCE"/>
    <s v="AC"/>
    <n v="401.7"/>
    <d v="2025-01-01T00:00:00"/>
    <s v="PRESTATION : SPS"/>
    <m/>
    <e v="#N/A"/>
    <e v="#N/A"/>
    <n v="81307"/>
    <s v="202301269"/>
    <s v="EXELL SECURITE"/>
    <s v="Q1"/>
    <e v="#REF!"/>
    <e v="#REF!"/>
    <e v="#REF!"/>
  </r>
  <r>
    <s v="615600"/>
    <x v="6"/>
    <s v="MAINTENANCE"/>
    <s v="AC"/>
    <n v="420"/>
    <d v="2025-11-01T00:00:00"/>
    <s v="ENTRETIEN ANNUEL POUR LA DÉTECTION DE GAZ AU LABO"/>
    <m/>
    <e v="#N/A"/>
    <e v="#N/A"/>
    <n v="91077"/>
    <s v="25-212"/>
    <s v="FMGE"/>
    <s v="Q4"/>
    <e v="#REF!"/>
    <e v="#REF!"/>
    <e v="#REF!"/>
  </r>
  <r>
    <s v="645300"/>
    <x v="6"/>
    <s v="COTISATIONS AUX CAISSES DE RETRAITE"/>
    <s v="SA"/>
    <n v="31.86"/>
    <d v="2025-09-30T00:00:00"/>
    <s v="CONTRIBUTION D'EQUILIBRE TECHNIQUE TU1"/>
    <m/>
    <e v="#N/A"/>
    <e v="#N/A"/>
    <n v="84213"/>
    <s v="SA202509"/>
    <m/>
    <s v="Q3"/>
    <e v="#REF!"/>
    <e v="#REF!"/>
    <e v="#REF!"/>
  </r>
  <r>
    <s v="615600"/>
    <x v="6"/>
    <s v="MAINTENANCE"/>
    <s v="AC"/>
    <n v="507.7"/>
    <d v="2025-08-28T00:00:00"/>
    <s v="CONTRÔLE ANNUEL ÉLECTRIQUE + VGP GERBEUR ÉLECTRIQUE"/>
    <m/>
    <e v="#N/A"/>
    <e v="#N/A"/>
    <n v="82286"/>
    <s v="VE/2025/02804"/>
    <s v="ACRITEC"/>
    <s v="Q3"/>
    <e v="#REF!"/>
    <e v="#REF!"/>
    <e v="#REF!"/>
  </r>
  <r>
    <s v="615600"/>
    <x v="6"/>
    <s v="MAINTENANCE"/>
    <s v="AC"/>
    <n v="591.5"/>
    <d v="2025-04-28T00:00:00"/>
    <s v="MODIFICATION BUTÉE MONORAIL RÉACTEUR INOX"/>
    <m/>
    <e v="#N/A"/>
    <e v="#N/A"/>
    <n v="71360"/>
    <s v="25040370"/>
    <s v="FOURE LAGADEC"/>
    <s v="Q2"/>
    <e v="#REF!"/>
    <e v="#REF!"/>
    <e v="#REF!"/>
  </r>
  <r>
    <s v="615600"/>
    <x v="6"/>
    <s v="MAINTENANCE"/>
    <s v="AC"/>
    <n v="603"/>
    <d v="2025-09-30T00:00:00"/>
    <s v="VÉRIFICATION + RÉGLAGE SOUPAPES ET DÉTENDEURS"/>
    <m/>
    <e v="#N/A"/>
    <e v="#N/A"/>
    <n v="87436"/>
    <s v="F00034250900145"/>
    <s v="EIFFAGE ENERGIE SYSTEMES"/>
    <s v="Q3"/>
    <e v="#REF!"/>
    <e v="#REF!"/>
    <e v="#REF!"/>
  </r>
  <r>
    <s v="615600"/>
    <x v="6"/>
    <s v="MAINTENANCE"/>
    <s v="AC"/>
    <n v="710"/>
    <d v="2025-08-04T00:00:00"/>
    <s v="URGENT PIÈCES MAINTENANCE POMPE À VIDE PILOTE"/>
    <m/>
    <e v="#N/A"/>
    <e v="#N/A"/>
    <n v="81783"/>
    <s v="#910"/>
    <s v="ALGOCHEM"/>
    <s v="Q3"/>
    <e v="#REF!"/>
    <e v="#REF!"/>
    <e v="#REF!"/>
  </r>
  <r>
    <s v="615600"/>
    <x v="6"/>
    <s v="MAINTENANCE"/>
    <s v="AC"/>
    <n v="773.06"/>
    <d v="2025-11-20T00:00:00"/>
    <s v="ARBRE AGITATION KL + JOINTS +&gt; AJOUT D'UN 3ÈME ARBRE PAR RAPPORT À LA DEMANDE INITIALE"/>
    <m/>
    <e v="#N/A"/>
    <e v="#N/A"/>
    <n v="91950"/>
    <s v="14003762"/>
    <s v="OPTIMUS"/>
    <s v="Q4"/>
    <e v="#REF!"/>
    <e v="#REF!"/>
    <e v="#REF!"/>
  </r>
  <r>
    <s v="615600"/>
    <x v="6"/>
    <s v="MAINTENANCE"/>
    <s v="AC"/>
    <n v="965"/>
    <d v="2025-05-20T00:00:00"/>
    <s v="CONTRÔLE ANNUEL DES SORBONNES ET DES ARMOIRES"/>
    <m/>
    <e v="#N/A"/>
    <e v="#N/A"/>
    <n v="74447"/>
    <s v="2025F017"/>
    <s v="CONTROL'AIR"/>
    <s v="Q2"/>
    <e v="#REF!"/>
    <e v="#REF!"/>
    <e v="#REF!"/>
  </r>
  <r>
    <s v="615600"/>
    <x v="6"/>
    <s v="MAINTENANCE"/>
    <s v="AC"/>
    <n v="1100.5999999999999"/>
    <d v="2025-05-26T00:00:00"/>
    <s v="ACCESSOIRES MAINTENANCE KL"/>
    <m/>
    <e v="#N/A"/>
    <e v="#N/A"/>
    <n v="75972"/>
    <s v="14003423"/>
    <s v="OPTIMUS"/>
    <s v="Q2"/>
    <e v="#REF!"/>
    <e v="#REF!"/>
    <e v="#REF!"/>
  </r>
  <r>
    <s v="615600"/>
    <x v="6"/>
    <s v="MAINTENANCE"/>
    <s v="AC"/>
    <n v="1107.4000000000001"/>
    <d v="2025-06-27T00:00:00"/>
    <s v="MAINTENANCE GERBEUR ÉLECTRIQUE : CHANGEMENT CARTE DE COMMANDE ÉLECTRONIQUE"/>
    <m/>
    <e v="#N/A"/>
    <e v="#N/A"/>
    <n v="81206"/>
    <s v="8802128819"/>
    <s v="FENWICK-LINDE"/>
    <s v="Q2"/>
    <e v="#REF!"/>
    <e v="#REF!"/>
    <e v="#REF!"/>
  </r>
  <r>
    <s v="615600"/>
    <x v="6"/>
    <s v="MAINTENANCE"/>
    <s v="AC"/>
    <n v="1142.3"/>
    <d v="2025-05-23T00:00:00"/>
    <s v="COUVERCLE DE RÉACTEUR 10L, EN REMPLACEMENT DU COUVERCLE CASSÉ QUI SERA ENVOYÉ EN RÉPARATION ET MIS EN STOCK MAINTENANCE"/>
    <m/>
    <e v="#N/A"/>
    <e v="#N/A"/>
    <n v="75961"/>
    <s v="14003415"/>
    <s v="OPTIMUS"/>
    <s v="Q2"/>
    <e v="#REF!"/>
    <e v="#REF!"/>
    <e v="#REF!"/>
  </r>
  <r>
    <s v="615600"/>
    <x v="6"/>
    <s v="MAINTENANCE"/>
    <s v="AC"/>
    <n v="1173.8"/>
    <d v="2025-01-31T00:00:00"/>
    <s v="MAINTENANCE AGITATEUR R2000"/>
    <s v="Non"/>
    <s v="Non"/>
    <e v="#N/A"/>
    <n v="61356"/>
    <s v="93812122"/>
    <s v="OSIRIS"/>
    <s v="Q1"/>
    <e v="#REF!"/>
    <e v="#REF!"/>
    <e v="#REF!"/>
  </r>
  <r>
    <s v="615600"/>
    <x v="6"/>
    <s v="MAINTENANCE"/>
    <s v="AC"/>
    <n v="1180"/>
    <d v="2025-05-20T00:00:00"/>
    <s v="CONTRÔLE AÉRAULIQUE D'ÉQUIPEMENTS DE PROTECTION COLLECTIVE VENTILÉS SUR SITE"/>
    <m/>
    <e v="#N/A"/>
    <e v="#N/A"/>
    <n v="73813"/>
    <s v="2025F016"/>
    <s v="CONTROL'AIR"/>
    <s v="Q2"/>
    <e v="#REF!"/>
    <e v="#REF!"/>
    <e v="#REF!"/>
  </r>
  <r>
    <s v="615600"/>
    <x v="6"/>
    <s v="MAINTENANCE"/>
    <s v="AC"/>
    <n v="1190"/>
    <d v="2025-03-05T00:00:00"/>
    <s v="RACCORD / FLEXIBLE TCU F3000"/>
    <m/>
    <e v="#N/A"/>
    <e v="#N/A"/>
    <n v="78355"/>
    <s v="878"/>
    <s v="ALGOCHEM"/>
    <s v="Q1"/>
    <e v="#REF!"/>
    <e v="#REF!"/>
    <e v="#REF!"/>
  </r>
  <r>
    <s v="615600"/>
    <x v="6"/>
    <s v="MAINTENANCE"/>
    <s v="AC"/>
    <n v="1288.5"/>
    <d v="2025-09-02T00:00:00"/>
    <s v="CONTRAT DE MAINTENANCE PRO"/>
    <m/>
    <e v="#N/A"/>
    <e v="#N/A"/>
    <n v="82314"/>
    <s v="143995"/>
    <s v="ARESCOM"/>
    <s v="Q3"/>
    <e v="#REF!"/>
    <e v="#REF!"/>
    <e v="#REF!"/>
  </r>
  <r>
    <s v="615600"/>
    <x v="6"/>
    <s v="MAINTENANCE"/>
    <s v="AC"/>
    <n v="1302"/>
    <d v="2025-06-02T00:00:00"/>
    <s v="MAINTENANCE ARESCOM"/>
    <m/>
    <e v="#N/A"/>
    <e v="#N/A"/>
    <n v="75490"/>
    <s v="142470"/>
    <s v="ARESCOM"/>
    <s v="Q2"/>
    <e v="#REF!"/>
    <e v="#REF!"/>
    <e v="#REF!"/>
  </r>
  <r>
    <s v="615600"/>
    <x v="6"/>
    <s v="MAINTENANCE"/>
    <s v="AC"/>
    <n v="1302"/>
    <d v="2025-07-02T00:00:00"/>
    <s v="CONTRAT DE MAINTENANCE PRO"/>
    <m/>
    <e v="#N/A"/>
    <e v="#N/A"/>
    <n v="77334"/>
    <s v="142982"/>
    <s v="ARESCOM"/>
    <s v="Q3"/>
    <e v="#REF!"/>
    <e v="#REF!"/>
    <e v="#REF!"/>
  </r>
  <r>
    <s v="615600"/>
    <x v="6"/>
    <s v="MAINTENANCE"/>
    <s v="AC"/>
    <n v="1302"/>
    <d v="2025-08-01T00:00:00"/>
    <s v="CONTRAT DE MAINTENANCE PRO"/>
    <m/>
    <e v="#N/A"/>
    <e v="#N/A"/>
    <n v="81241"/>
    <s v="143526"/>
    <s v="ARESCOM"/>
    <s v="Q3"/>
    <e v="#REF!"/>
    <e v="#REF!"/>
    <e v="#REF!"/>
  </r>
  <r>
    <s v="615600"/>
    <x v="6"/>
    <s v="MAINTENANCE"/>
    <s v="AC"/>
    <n v="1324.4"/>
    <d v="2025-11-03T00:00:00"/>
    <s v="CONTRAT DE MAINTENANCE PRO"/>
    <m/>
    <e v="#N/A"/>
    <e v="#N/A"/>
    <n v="89910"/>
    <s v="145044"/>
    <s v="ARESCOM"/>
    <s v="Q4"/>
    <e v="#REF!"/>
    <e v="#REF!"/>
    <e v="#REF!"/>
  </r>
  <r>
    <s v="615600"/>
    <x v="6"/>
    <s v="MAINTENANCE"/>
    <s v="AC"/>
    <n v="1331.58"/>
    <d v="2025-10-03T00:00:00"/>
    <s v="CONTRAT DE MAINTENANCE PRO"/>
    <m/>
    <e v="#N/A"/>
    <e v="#N/A"/>
    <n v="84979"/>
    <s v="144519"/>
    <s v="ARESCOM"/>
    <s v="Q4"/>
    <e v="#REF!"/>
    <e v="#REF!"/>
    <e v="#REF!"/>
  </r>
  <r>
    <s v="615600"/>
    <x v="6"/>
    <s v="MAINTENANCE"/>
    <s v="AC"/>
    <n v="1363.38"/>
    <d v="2025-01-07T00:00:00"/>
    <s v="CONTRAT DE MAINTENANCE PRO ANTIVIRUS ET FILTRAGE WEB MANAGÉ CLOUD CHIFFREMENT DISQUES DURS MANAGÉ - CLOUD"/>
    <m/>
    <e v="#N/A"/>
    <e v="#N/A"/>
    <n v="59860"/>
    <s v="139834"/>
    <s v="ARESCOM"/>
    <s v="Q1"/>
    <e v="#REF!"/>
    <e v="#REF!"/>
    <e v="#REF!"/>
  </r>
  <r>
    <s v="615600"/>
    <x v="6"/>
    <s v="MAINTENANCE"/>
    <s v="AC"/>
    <n v="1372.27"/>
    <d v="2025-12-02T00:00:00"/>
    <s v="CONTRAT DE MAINTENANCE PRO"/>
    <m/>
    <e v="#N/A"/>
    <e v="#N/A"/>
    <n v="92160"/>
    <s v="145557"/>
    <s v="ARESCOM"/>
    <s v="Q4"/>
    <e v="#REF!"/>
    <e v="#REF!"/>
    <e v="#REF!"/>
  </r>
  <r>
    <s v="615600"/>
    <x v="6"/>
    <s v="MAINTENANCE"/>
    <s v="AC"/>
    <n v="1373.8"/>
    <d v="2025-03-03T00:00:00"/>
    <s v="CONTRAT DE MAINTENANCE PRO ANTIVIRUS ET FILTRAGE WEB MANAGÉ CLOUD SECURITY FOR MSP CHIFFREMENT DISQUES DURS MANAGÉ - CLOUD SECUR"/>
    <m/>
    <e v="#N/A"/>
    <e v="#N/A"/>
    <n v="65989"/>
    <s v="140833"/>
    <s v="ARESCOM"/>
    <s v="Q1"/>
    <e v="#REF!"/>
    <e v="#REF!"/>
    <e v="#REF!"/>
  </r>
  <r>
    <s v="615600"/>
    <x v="6"/>
    <s v="MAINTENANCE"/>
    <s v="AC"/>
    <n v="1373.8"/>
    <d v="2025-04-02T00:00:00"/>
    <s v="CONTRAT DE MAINTENANCE PRO ANTIVIRUS ET FILTRAGE WEB MANAGÉ CLOUD SECURITY FOR MSP CHIFFREMENT DISQUES DURS MANAGÉ - CLOUD SECUR"/>
    <m/>
    <e v="#N/A"/>
    <e v="#N/A"/>
    <n v="69692"/>
    <s v="141448"/>
    <s v="ARESCOM"/>
    <s v="Q2"/>
    <e v="#REF!"/>
    <e v="#REF!"/>
    <e v="#REF!"/>
  </r>
  <r>
    <s v="615600"/>
    <x v="6"/>
    <s v="MAINTENANCE"/>
    <s v="AC"/>
    <n v="1373.8"/>
    <d v="2025-05-02T00:00:00"/>
    <s v="CONTRAT DE MAINTENANCE PRO ANTIVIRUS ET FILTRAGE WEB MANAGÉ CLOUD SECURITY FOR MSP CHIFFREMENT DISQUES DURS MANAGÉ - CLOUD SECUR"/>
    <m/>
    <e v="#N/A"/>
    <e v="#N/A"/>
    <n v="72683"/>
    <s v="141961"/>
    <s v="ARESCOM"/>
    <s v="Q2"/>
    <e v="#REF!"/>
    <e v="#REF!"/>
    <e v="#REF!"/>
  </r>
  <r>
    <s v="615600"/>
    <x v="6"/>
    <s v="MAINTENANCE"/>
    <s v="AC"/>
    <n v="1377.28"/>
    <d v="2025-02-04T00:00:00"/>
    <s v="CONTRAT DE MAINTENANCE PRO ANTIVIRUS ET FILTRAGE WEB MANAGÉ CLOUD SECURITY FOR MSP CHIFFREMENT DISQUES DURS MANAGÉ"/>
    <m/>
    <e v="#N/A"/>
    <e v="#N/A"/>
    <n v="61407"/>
    <s v="140346"/>
    <s v="ARESCOM"/>
    <s v="Q1"/>
    <e v="#REF!"/>
    <e v="#REF!"/>
    <e v="#REF!"/>
  </r>
  <r>
    <s v="615600"/>
    <x v="6"/>
    <s v="MAINTENANCE"/>
    <s v="AC"/>
    <n v="1710"/>
    <d v="2025-09-30T00:00:00"/>
    <s v="VÉRIFICATION + RÉGLAGE SOUPAPES ET DÉTENDEURS"/>
    <m/>
    <e v="#N/A"/>
    <e v="#N/A"/>
    <n v="87439"/>
    <s v="F00034250900143"/>
    <s v="EIFFAGE ENERGIE SYSTEMES"/>
    <s v="Q3"/>
    <e v="#REF!"/>
    <e v="#REF!"/>
    <e v="#REF!"/>
  </r>
  <r>
    <s v="615600"/>
    <x v="6"/>
    <s v="MAINTENANCE"/>
    <s v="AC"/>
    <n v="1850"/>
    <d v="2025-07-17T00:00:00"/>
    <s v="RÉPARATION DOME REACTEUR VERRE + MANCHETTE TROU DE POING"/>
    <m/>
    <e v="#N/A"/>
    <e v="#N/A"/>
    <n v="78913"/>
    <s v="0017360"/>
    <s v="PIGNAT"/>
    <s v="Q3"/>
    <e v="#REF!"/>
    <e v="#REF!"/>
    <e v="#REF!"/>
  </r>
  <r>
    <s v="615600"/>
    <x v="6"/>
    <s v="MAINTENANCE"/>
    <s v="AC"/>
    <n v="1923.63"/>
    <d v="2025-07-01T00:00:00"/>
    <s v="INTERVENTION SUR HPLC ROUSSILLON"/>
    <m/>
    <e v="#N/A"/>
    <e v="#N/A"/>
    <n v="77328"/>
    <s v="FACT-20250701-171"/>
    <s v="C.J. LAB"/>
    <s v="Q3"/>
    <e v="#REF!"/>
    <e v="#REF!"/>
    <e v="#REF!"/>
  </r>
  <r>
    <s v="615600"/>
    <x v="6"/>
    <s v="MAINTENANCE"/>
    <s v="AC"/>
    <n v="2400"/>
    <d v="2025-06-30T00:00:00"/>
    <s v="DÉMONTAGE DÔME RÉACTEUR"/>
    <m/>
    <e v="#N/A"/>
    <e v="#N/A"/>
    <n v="77305"/>
    <s v="FACT1901"/>
    <s v="DMI"/>
    <s v="Q2"/>
    <e v="#REF!"/>
    <e v="#REF!"/>
    <e v="#REF!"/>
  </r>
  <r>
    <s v="615600"/>
    <x v="6"/>
    <s v="MAINTENANCE"/>
    <s v="AC"/>
    <n v="2405.1999999999998"/>
    <d v="2025-07-22T00:00:00"/>
    <s v="ETALONNAGE :  - BALANCE (4) - SONDE DE TEMPÉRATURE (7 - CAPTEURS DE PRESSION (5) - MANOMÈTRE (7)"/>
    <m/>
    <e v="#N/A"/>
    <e v="#N/A"/>
    <n v="78930"/>
    <s v="LSE-049745"/>
    <s v="LABSERVICES"/>
    <s v="Q3"/>
    <e v="#REF!"/>
    <e v="#REF!"/>
    <e v="#REF!"/>
  </r>
  <r>
    <s v="615600"/>
    <x v="6"/>
    <s v="MAINTENANCE"/>
    <s v="AC"/>
    <n v="4200"/>
    <d v="2025-07-02T00:00:00"/>
    <s v="REMONTAGE DÔME RÉACTEUR VERRE + TESTS ÉTANCHÉITÉ FOURNITURE JOINTS"/>
    <m/>
    <e v="#N/A"/>
    <e v="#N/A"/>
    <n v="78887"/>
    <s v="FACT1903"/>
    <s v="DMI"/>
    <s v="Q3"/>
    <e v="#REF!"/>
    <e v="#REF!"/>
    <e v="#REF!"/>
  </r>
  <r>
    <s v="615600"/>
    <x v="6"/>
    <s v="MAINTENANCE"/>
    <s v="AC"/>
    <n v="4510"/>
    <d v="2025-08-29T00:00:00"/>
    <s v="CHANGEMENT PORTE ATELIER"/>
    <m/>
    <e v="#N/A"/>
    <e v="#N/A"/>
    <n v="82289"/>
    <s v="FA25-08-15222"/>
    <s v="SCMI"/>
    <s v="Q3"/>
    <e v="#REF!"/>
    <e v="#REF!"/>
    <e v="#REF!"/>
  </r>
  <r>
    <s v="615600"/>
    <x v="6"/>
    <s v="MAINTENANCE"/>
    <s v="AC"/>
    <n v="6198"/>
    <d v="2025-03-01T00:00:00"/>
    <s v="CONTRAT DE MAINTENANCE N°CT0662 - PÉRIODE DU 01/03/2025 AU 28/02/2026"/>
    <m/>
    <e v="#N/A"/>
    <e v="#N/A"/>
    <n v="66111"/>
    <s v="FA005214"/>
    <s v="3BCLIM"/>
    <s v="Q1"/>
    <e v="#REF!"/>
    <e v="#REF!"/>
    <e v="#REF!"/>
  </r>
  <r>
    <s v="615600"/>
    <x v="6"/>
    <s v="MAINTENANCE"/>
    <s v="OD"/>
    <n v="516.5"/>
    <d v="2025-03-01T00:00:00"/>
    <s v="CONTRAT MAINTENANCE CLIM LABO"/>
    <m/>
    <e v="#N/A"/>
    <e v="#N/A"/>
    <n v="77422"/>
    <s v="FA005214"/>
    <s v="3BCLIM"/>
    <s v="Q1"/>
    <e v="#REF!"/>
    <e v="#REF!"/>
    <e v="#REF!"/>
  </r>
  <r>
    <s v="615600"/>
    <x v="6"/>
    <s v="MAINTENANCE"/>
    <s v="OD"/>
    <n v="516.5"/>
    <d v="2025-04-01T00:00:00"/>
    <s v="CONTRAT MAINTENANCE CLIM LABO"/>
    <m/>
    <e v="#N/A"/>
    <e v="#N/A"/>
    <n v="77424"/>
    <s v="FA005214"/>
    <s v="3BCLIM"/>
    <s v="Q2"/>
    <e v="#REF!"/>
    <e v="#REF!"/>
    <e v="#REF!"/>
  </r>
  <r>
    <s v="615600"/>
    <x v="6"/>
    <s v="MAINTENANCE"/>
    <s v="OD"/>
    <n v="516.5"/>
    <d v="2025-05-01T00:00:00"/>
    <s v="CONTRAT MAINTENANCE CLIM LABO"/>
    <m/>
    <e v="#N/A"/>
    <e v="#N/A"/>
    <n v="77426"/>
    <s v="FA005214"/>
    <s v="3BCLIM"/>
    <s v="Q2"/>
    <e v="#REF!"/>
    <e v="#REF!"/>
    <e v="#REF!"/>
  </r>
  <r>
    <s v="615600"/>
    <x v="6"/>
    <s v="MAINTENANCE"/>
    <s v="OD"/>
    <n v="516.5"/>
    <d v="2025-06-01T00:00:00"/>
    <s v="CONTRAT MAINTENANCE CLIM LABO"/>
    <m/>
    <e v="#N/A"/>
    <e v="#N/A"/>
    <n v="77428"/>
    <s v="FA005214"/>
    <s v="3BCLIM"/>
    <s v="Q2"/>
    <e v="#REF!"/>
    <e v="#REF!"/>
    <e v="#REF!"/>
  </r>
  <r>
    <s v="615600"/>
    <x v="6"/>
    <s v="MAINTENANCE"/>
    <s v="OD"/>
    <n v="516.5"/>
    <d v="2025-07-01T00:00:00"/>
    <s v="CONTRAT MAINTENANCE CLIM LABO"/>
    <m/>
    <e v="#N/A"/>
    <e v="#N/A"/>
    <n v="77430"/>
    <s v="FA005214"/>
    <s v="3BCLIM"/>
    <s v="Q3"/>
    <e v="#REF!"/>
    <e v="#REF!"/>
    <e v="#REF!"/>
  </r>
  <r>
    <s v="615600"/>
    <x v="6"/>
    <s v="MAINTENANCE"/>
    <s v="OD"/>
    <n v="516.5"/>
    <d v="2025-08-01T00:00:00"/>
    <s v="CONTRAT MAINTENANCE CLIM LABO"/>
    <m/>
    <e v="#N/A"/>
    <e v="#N/A"/>
    <n v="77432"/>
    <s v="FA005214"/>
    <s v="3BCLIM"/>
    <s v="Q3"/>
    <e v="#REF!"/>
    <e v="#REF!"/>
    <e v="#REF!"/>
  </r>
  <r>
    <s v="615600"/>
    <x v="6"/>
    <s v="MAINTENANCE"/>
    <s v="OD"/>
    <n v="516.5"/>
    <d v="2025-09-01T00:00:00"/>
    <s v="CONTRAT MAINTENANCE CLIM LABO"/>
    <m/>
    <e v="#N/A"/>
    <e v="#N/A"/>
    <n v="77434"/>
    <s v="FA005214"/>
    <s v="3BCLIM"/>
    <s v="Q3"/>
    <e v="#REF!"/>
    <e v="#REF!"/>
    <e v="#REF!"/>
  </r>
  <r>
    <s v="615600"/>
    <x v="6"/>
    <s v="MAINTENANCE"/>
    <s v="OD"/>
    <n v="516.5"/>
    <d v="2025-10-01T00:00:00"/>
    <s v="CONTRAT MAINTENANCE CLIM LABO"/>
    <m/>
    <e v="#N/A"/>
    <e v="#N/A"/>
    <n v="77436"/>
    <s v="FA005214"/>
    <s v="3BCLIM"/>
    <s v="Q4"/>
    <e v="#REF!"/>
    <e v="#REF!"/>
    <e v="#REF!"/>
  </r>
  <r>
    <s v="615600"/>
    <x v="6"/>
    <s v="MAINTENANCE"/>
    <s v="OD"/>
    <n v="516.5"/>
    <d v="2025-11-01T00:00:00"/>
    <s v="CONTRAT MAINTENANCE CLIM LABO"/>
    <m/>
    <e v="#N/A"/>
    <e v="#N/A"/>
    <n v="77438"/>
    <s v="FA005214"/>
    <s v="3BCLIM"/>
    <s v="Q4"/>
    <e v="#REF!"/>
    <e v="#REF!"/>
    <e v="#REF!"/>
  </r>
  <r>
    <s v="615600"/>
    <x v="6"/>
    <s v="MAINTENANCE"/>
    <s v="OD"/>
    <n v="516.5"/>
    <d v="2025-12-01T00:00:00"/>
    <s v="CONTRAT MAINTENANCE CLIM LABO"/>
    <m/>
    <e v="#N/A"/>
    <e v="#N/A"/>
    <n v="77440"/>
    <s v="FA005214"/>
    <s v="3BCLIM"/>
    <s v="Q4"/>
    <e v="#REF!"/>
    <e v="#REF!"/>
    <e v="#REF!"/>
  </r>
  <r>
    <s v="615600"/>
    <x v="6"/>
    <s v="MAINTENANCE"/>
    <s v="OD"/>
    <n v="1271.1600000000001"/>
    <d v="2025-01-31T00:00:00"/>
    <s v="COTE - TRAVAUX D'ÉLECTRICITÉ DANS LE LABO + RACCORDEMENT AÉROTHERME"/>
    <m/>
    <e v="#N/A"/>
    <e v="#N/A"/>
    <n v="90507"/>
    <m/>
    <s v="COTE"/>
    <s v="Q1"/>
    <e v="#REF!"/>
    <e v="#REF!"/>
    <e v="#REF!"/>
  </r>
  <r>
    <s v="615600"/>
    <x v="6"/>
    <s v="MAINTENANCE"/>
    <s v="OD"/>
    <n v="1521.51"/>
    <d v="2025-05-19T00:00:00"/>
    <s v="R1000 - VANNE À BOISSEAU SPHÉRIQUE KK/F DN40"/>
    <m/>
    <e v="#N/A"/>
    <e v="#N/A"/>
    <n v="79025"/>
    <m/>
    <m/>
    <s v="Q2"/>
    <e v="#REF!"/>
    <e v="#REF!"/>
    <e v="#REF!"/>
  </r>
  <r>
    <s v="616100"/>
    <x v="6"/>
    <s v="Assurances"/>
    <s v="JC"/>
    <n v="27.1"/>
    <d v="2025-01-01T00:00:00"/>
    <s v="CCA - IR&amp;P - MRP LYON"/>
    <m/>
    <e v="#N/A"/>
    <e v="#N/A"/>
    <n v="86717"/>
    <m/>
    <s v="INITIATIVE &amp; RISK PARTNERS"/>
    <s v="Q1"/>
    <e v="#REF!"/>
    <e v="#REF!"/>
    <e v="#REF!"/>
  </r>
  <r>
    <s v="616100"/>
    <x v="6"/>
    <s v="Assurances"/>
    <s v="JC"/>
    <n v="27.1"/>
    <d v="2025-02-01T00:00:00"/>
    <s v="CCA - IR&amp;P - MRP LYON"/>
    <m/>
    <e v="#N/A"/>
    <e v="#N/A"/>
    <n v="86720"/>
    <m/>
    <s v="INITIATIVE &amp; RISK PARTNERS"/>
    <s v="Q1"/>
    <e v="#REF!"/>
    <e v="#REF!"/>
    <e v="#REF!"/>
  </r>
  <r>
    <s v="616100"/>
    <x v="6"/>
    <s v="Assurances"/>
    <s v="JC"/>
    <n v="27.1"/>
    <d v="2025-03-01T00:00:00"/>
    <s v="CCA - IR&amp;P - MRP LYON"/>
    <m/>
    <e v="#N/A"/>
    <e v="#N/A"/>
    <n v="86721"/>
    <m/>
    <s v="INITIATIVE &amp; RISK PARTNERS"/>
    <s v="Q1"/>
    <e v="#REF!"/>
    <e v="#REF!"/>
    <e v="#REF!"/>
  </r>
  <r>
    <s v="616100"/>
    <x v="6"/>
    <s v="Assurances"/>
    <s v="JC"/>
    <n v="27.1"/>
    <d v="2025-04-01T00:00:00"/>
    <s v="CCA - IR&amp;P - MRP LYON"/>
    <m/>
    <e v="#N/A"/>
    <e v="#N/A"/>
    <n v="86724"/>
    <m/>
    <s v="INITIATIVE &amp; RISK PARTNERS"/>
    <s v="Q2"/>
    <e v="#REF!"/>
    <e v="#REF!"/>
    <e v="#REF!"/>
  </r>
  <r>
    <s v="616100"/>
    <x v="6"/>
    <s v="Assurances"/>
    <s v="JC"/>
    <n v="27.1"/>
    <d v="2025-05-01T00:00:00"/>
    <s v="CCA - IR&amp;P - MRP LYON"/>
    <m/>
    <e v="#N/A"/>
    <e v="#N/A"/>
    <n v="86726"/>
    <m/>
    <s v="INITIATIVE &amp; RISK PARTNERS"/>
    <s v="Q2"/>
    <e v="#REF!"/>
    <e v="#REF!"/>
    <e v="#REF!"/>
  </r>
  <r>
    <s v="616100"/>
    <x v="6"/>
    <s v="Assurances"/>
    <s v="JC"/>
    <n v="27.1"/>
    <d v="2025-06-01T00:00:00"/>
    <s v="CCA - IR&amp;P - MRP LYON"/>
    <m/>
    <e v="#N/A"/>
    <e v="#N/A"/>
    <n v="86728"/>
    <m/>
    <s v="INITIATIVE &amp; RISK PARTNERS"/>
    <s v="Q2"/>
    <e v="#REF!"/>
    <e v="#REF!"/>
    <e v="#REF!"/>
  </r>
  <r>
    <s v="616100"/>
    <x v="6"/>
    <s v="Assurances"/>
    <s v="JC"/>
    <n v="27.1"/>
    <d v="2025-07-01T00:00:00"/>
    <s v="CCA - IR&amp;P - MRP LYON"/>
    <m/>
    <e v="#N/A"/>
    <e v="#N/A"/>
    <n v="86730"/>
    <m/>
    <s v="INITIATIVE &amp; RISK PARTNERS"/>
    <s v="Q3"/>
    <e v="#REF!"/>
    <e v="#REF!"/>
    <e v="#REF!"/>
  </r>
  <r>
    <s v="616100"/>
    <x v="6"/>
    <s v="Assurances"/>
    <s v="JC"/>
    <n v="27.1"/>
    <d v="2025-08-01T00:00:00"/>
    <s v="CCA - IR&amp;P - MRP LYON"/>
    <m/>
    <e v="#N/A"/>
    <e v="#N/A"/>
    <n v="86732"/>
    <m/>
    <s v="INITIATIVE &amp; RISK PARTNERS"/>
    <s v="Q3"/>
    <e v="#REF!"/>
    <e v="#REF!"/>
    <e v="#REF!"/>
  </r>
  <r>
    <s v="616100"/>
    <x v="6"/>
    <s v="Assurances"/>
    <s v="JC"/>
    <n v="27.1"/>
    <d v="2025-09-01T00:00:00"/>
    <s v="CCA - IR&amp;P - MRP LYON"/>
    <m/>
    <e v="#N/A"/>
    <e v="#N/A"/>
    <n v="86734"/>
    <m/>
    <s v="INITIATIVE &amp; RISK PARTNERS"/>
    <s v="Q3"/>
    <e v="#REF!"/>
    <e v="#REF!"/>
    <e v="#REF!"/>
  </r>
  <r>
    <s v="616100"/>
    <x v="6"/>
    <s v="Assurances"/>
    <s v="JC"/>
    <n v="27.1"/>
    <d v="2025-10-01T00:00:00"/>
    <s v="CCA - IR&amp;P - MRP LYON"/>
    <m/>
    <e v="#N/A"/>
    <e v="#N/A"/>
    <n v="86736"/>
    <m/>
    <s v="INITIATIVE &amp; RISK PARTNERS"/>
    <s v="Q4"/>
    <e v="#REF!"/>
    <e v="#REF!"/>
    <e v="#REF!"/>
  </r>
  <r>
    <s v="616100"/>
    <x v="6"/>
    <s v="Assurances"/>
    <s v="JC"/>
    <n v="30.02"/>
    <d v="2025-11-01T00:00:00"/>
    <s v="PREPAID EXPENSE - INITIATIVE - MRP LYON 2025-2026"/>
    <m/>
    <e v="#N/A"/>
    <e v="#N/A"/>
    <n v="94656"/>
    <s v="2025-Q100485"/>
    <s v="INITIATIVE &amp; RISK PARTNERS"/>
    <s v="Q4"/>
    <e v="#REF!"/>
    <e v="#REF!"/>
    <e v="#REF!"/>
  </r>
  <r>
    <s v="616100"/>
    <x v="6"/>
    <s v="Assurances"/>
    <s v="JC"/>
    <n v="30.02"/>
    <d v="2025-12-01T00:00:00"/>
    <s v="PREPAID EXPENSE - INITIATIVE - MRP LYON 2025-2026"/>
    <m/>
    <e v="#N/A"/>
    <e v="#N/A"/>
    <n v="94658"/>
    <s v="2025-Q100485"/>
    <s v="INITIATIVE &amp; RISK PARTNERS"/>
    <s v="Q4"/>
    <e v="#REF!"/>
    <e v="#REF!"/>
    <e v="#REF!"/>
  </r>
  <r>
    <s v="616100"/>
    <x v="6"/>
    <s v="Assurances"/>
    <s v="JC"/>
    <n v="76.010000000000005"/>
    <d v="2025-01-01T00:00:00"/>
    <s v="CCA - IR&amp;P - APRIL - ASSURANCE HC 2025 (BLACHE ET BOISSONNAT)"/>
    <m/>
    <e v="#N/A"/>
    <e v="#N/A"/>
    <n v="86799"/>
    <m/>
    <s v="INITIATIVE &amp; RISK PARTNERS"/>
    <s v="Q1"/>
    <e v="#REF!"/>
    <e v="#REF!"/>
    <e v="#REF!"/>
  </r>
  <r>
    <s v="616100"/>
    <x v="6"/>
    <s v="Assurances"/>
    <s v="JC"/>
    <n v="76.010000000000005"/>
    <d v="2025-02-01T00:00:00"/>
    <s v="CCA - IR&amp;P - APRIL - ASSURANCE HC 2025 (BLACHE ET BOISSONNAT)"/>
    <m/>
    <e v="#N/A"/>
    <e v="#N/A"/>
    <n v="86800"/>
    <m/>
    <s v="INITIATIVE &amp; RISK PARTNERS"/>
    <s v="Q1"/>
    <e v="#REF!"/>
    <e v="#REF!"/>
    <e v="#REF!"/>
  </r>
  <r>
    <s v="616100"/>
    <x v="6"/>
    <s v="Assurances"/>
    <s v="JC"/>
    <n v="76.010000000000005"/>
    <d v="2025-03-01T00:00:00"/>
    <s v="CCA - IR&amp;P - APRIL - ASSURANCE HC 2025 (BLACHE ET BOISSONNAT)"/>
    <m/>
    <e v="#N/A"/>
    <e v="#N/A"/>
    <n v="86803"/>
    <m/>
    <s v="INITIATIVE &amp; RISK PARTNERS"/>
    <s v="Q1"/>
    <e v="#REF!"/>
    <e v="#REF!"/>
    <e v="#REF!"/>
  </r>
  <r>
    <s v="616100"/>
    <x v="6"/>
    <s v="Assurances"/>
    <s v="JC"/>
    <n v="76.010000000000005"/>
    <d v="2025-04-01T00:00:00"/>
    <s v="CCA - IR&amp;P - APRIL - ASSURANCE HC 2025 (BLACHE ET BOISSONNAT)"/>
    <m/>
    <e v="#N/A"/>
    <e v="#N/A"/>
    <n v="86805"/>
    <m/>
    <s v="INITIATIVE &amp; RISK PARTNERS"/>
    <s v="Q2"/>
    <e v="#REF!"/>
    <e v="#REF!"/>
    <e v="#REF!"/>
  </r>
  <r>
    <s v="616100"/>
    <x v="6"/>
    <s v="Assurances"/>
    <s v="JC"/>
    <n v="76.010000000000005"/>
    <d v="2025-05-01T00:00:00"/>
    <s v="CCA - IR&amp;P - APRIL - ASSURANCE HC 2025 (BLACHE ET BOISSONNAT)"/>
    <m/>
    <e v="#N/A"/>
    <e v="#N/A"/>
    <n v="86807"/>
    <m/>
    <s v="INITIATIVE &amp; RISK PARTNERS"/>
    <s v="Q2"/>
    <e v="#REF!"/>
    <e v="#REF!"/>
    <e v="#REF!"/>
  </r>
  <r>
    <s v="616100"/>
    <x v="6"/>
    <s v="Assurances"/>
    <s v="JC"/>
    <n v="76.010000000000005"/>
    <d v="2025-06-01T00:00:00"/>
    <s v="CCA - IR&amp;P - APRIL - ASSURANCE HC 2025 (BLACHE ET BOISSONNAT)"/>
    <m/>
    <e v="#N/A"/>
    <e v="#N/A"/>
    <n v="86809"/>
    <m/>
    <s v="INITIATIVE &amp; RISK PARTNERS"/>
    <s v="Q2"/>
    <e v="#REF!"/>
    <e v="#REF!"/>
    <e v="#REF!"/>
  </r>
  <r>
    <s v="616100"/>
    <x v="6"/>
    <s v="Assurances"/>
    <s v="JC"/>
    <n v="76.010000000000005"/>
    <d v="2025-07-01T00:00:00"/>
    <s v="CCA - IR&amp;P - APRIL - ASSURANCE HC 2025 (BLACHE ET BOISSONNAT)"/>
    <m/>
    <e v="#N/A"/>
    <e v="#N/A"/>
    <n v="86811"/>
    <m/>
    <s v="INITIATIVE &amp; RISK PARTNERS"/>
    <s v="Q3"/>
    <e v="#REF!"/>
    <e v="#REF!"/>
    <e v="#REF!"/>
  </r>
  <r>
    <s v="616100"/>
    <x v="6"/>
    <s v="Assurances"/>
    <s v="JC"/>
    <n v="76.010000000000005"/>
    <d v="2025-08-01T00:00:00"/>
    <s v="CCA - IR&amp;P - APRIL - ASSURANCE HC 2025 (BLACHE ET BOISSONNAT)"/>
    <m/>
    <e v="#N/A"/>
    <e v="#N/A"/>
    <n v="86813"/>
    <m/>
    <s v="INITIATIVE &amp; RISK PARTNERS"/>
    <s v="Q3"/>
    <e v="#REF!"/>
    <e v="#REF!"/>
    <e v="#REF!"/>
  </r>
  <r>
    <s v="616100"/>
    <x v="6"/>
    <s v="Assurances"/>
    <s v="JC"/>
    <n v="76.010000000000005"/>
    <d v="2025-09-01T00:00:00"/>
    <s v="CCA - IR&amp;P - APRIL - ASSURANCE HC 2025 (BLACHE ET BOISSONNAT)"/>
    <m/>
    <e v="#N/A"/>
    <e v="#N/A"/>
    <n v="86815"/>
    <m/>
    <s v="INITIATIVE &amp; RISK PARTNERS"/>
    <s v="Q3"/>
    <e v="#REF!"/>
    <e v="#REF!"/>
    <e v="#REF!"/>
  </r>
  <r>
    <s v="616100"/>
    <x v="6"/>
    <s v="Assurances"/>
    <s v="JC"/>
    <n v="76.010000000000005"/>
    <d v="2025-10-01T00:00:00"/>
    <s v="CCA - IR&amp;P - APRIL - ASSURANCE HC 2025 (BLACHE ET BOISSONNAT)"/>
    <m/>
    <e v="#N/A"/>
    <e v="#N/A"/>
    <n v="86817"/>
    <m/>
    <s v="INITIATIVE &amp; RISK PARTNERS"/>
    <s v="Q4"/>
    <e v="#REF!"/>
    <e v="#REF!"/>
    <e v="#REF!"/>
  </r>
  <r>
    <s v="616100"/>
    <x v="6"/>
    <s v="Assurances"/>
    <s v="JC"/>
    <n v="76.010000000000005"/>
    <d v="2025-11-01T00:00:00"/>
    <s v="CCA - IR&amp;P - APRIL - ASSURANCE HC 2025 (BLACHE ET BOISSONNAT)"/>
    <m/>
    <e v="#N/A"/>
    <e v="#N/A"/>
    <n v="86819"/>
    <m/>
    <s v="INITIATIVE &amp; RISK PARTNERS"/>
    <s v="Q4"/>
    <e v="#REF!"/>
    <e v="#REF!"/>
    <e v="#REF!"/>
  </r>
  <r>
    <s v="616100"/>
    <x v="6"/>
    <s v="Assurances"/>
    <s v="JC"/>
    <n v="76.010000000000005"/>
    <d v="2025-12-01T00:00:00"/>
    <s v="CCA - IR&amp;P - APRIL - ASSURANCE HC 2025 (BLACHE ET BOISSONNAT)"/>
    <m/>
    <e v="#N/A"/>
    <e v="#N/A"/>
    <n v="86821"/>
    <m/>
    <s v="INITIATIVE &amp; RISK PARTNERS"/>
    <s v="Q4"/>
    <e v="#REF!"/>
    <e v="#REF!"/>
    <e v="#REF!"/>
  </r>
  <r>
    <s v="616100"/>
    <x v="6"/>
    <s v="Assurances"/>
    <s v="JC"/>
    <n v="96"/>
    <d v="2025-01-01T00:00:00"/>
    <s v="CCA IR&amp;P - RCE"/>
    <m/>
    <e v="#N/A"/>
    <e v="#N/A"/>
    <n v="86663"/>
    <m/>
    <s v="INITIATIVE &amp; RISK PARTNERS"/>
    <s v="Q1"/>
    <e v="#REF!"/>
    <e v="#REF!"/>
    <e v="#REF!"/>
  </r>
  <r>
    <s v="616100"/>
    <x v="6"/>
    <s v="Assurances"/>
    <s v="JC"/>
    <n v="96"/>
    <d v="2025-02-01T00:00:00"/>
    <s v="CCA IR&amp;P - RCE"/>
    <m/>
    <e v="#N/A"/>
    <e v="#N/A"/>
    <n v="86647"/>
    <m/>
    <s v="INITIATIVE &amp; RISK PARTNERS"/>
    <s v="Q1"/>
    <e v="#REF!"/>
    <e v="#REF!"/>
    <e v="#REF!"/>
  </r>
  <r>
    <s v="616100"/>
    <x v="6"/>
    <s v="Assurances"/>
    <s v="JC"/>
    <n v="96"/>
    <d v="2025-03-01T00:00:00"/>
    <s v="CCA IR&amp;P - RCE"/>
    <m/>
    <e v="#N/A"/>
    <e v="#N/A"/>
    <n v="86649"/>
    <m/>
    <s v="INITIATIVE &amp; RISK PARTNERS"/>
    <s v="Q1"/>
    <e v="#REF!"/>
    <e v="#REF!"/>
    <e v="#REF!"/>
  </r>
  <r>
    <s v="616100"/>
    <x v="6"/>
    <s v="Assurances"/>
    <s v="JC"/>
    <n v="96"/>
    <d v="2025-04-01T00:00:00"/>
    <s v="CCA IR&amp;P - RCE"/>
    <m/>
    <e v="#N/A"/>
    <e v="#N/A"/>
    <n v="86651"/>
    <m/>
    <s v="INITIATIVE &amp; RISK PARTNERS"/>
    <s v="Q2"/>
    <e v="#REF!"/>
    <e v="#REF!"/>
    <e v="#REF!"/>
  </r>
  <r>
    <s v="616100"/>
    <x v="6"/>
    <s v="Assurances"/>
    <s v="JC"/>
    <n v="96"/>
    <d v="2025-05-01T00:00:00"/>
    <s v="CCA IR&amp;P - RCE"/>
    <m/>
    <e v="#N/A"/>
    <e v="#N/A"/>
    <n v="86653"/>
    <m/>
    <s v="INITIATIVE &amp; RISK PARTNERS"/>
    <s v="Q2"/>
    <e v="#REF!"/>
    <e v="#REF!"/>
    <e v="#REF!"/>
  </r>
  <r>
    <s v="616100"/>
    <x v="6"/>
    <s v="Assurances"/>
    <s v="JC"/>
    <n v="96"/>
    <d v="2025-06-01T00:00:00"/>
    <s v="CCA IR&amp;P - RCE"/>
    <m/>
    <e v="#N/A"/>
    <e v="#N/A"/>
    <n v="86655"/>
    <m/>
    <s v="INITIATIVE &amp; RISK PARTNERS"/>
    <s v="Q2"/>
    <e v="#REF!"/>
    <e v="#REF!"/>
    <e v="#REF!"/>
  </r>
  <r>
    <s v="616100"/>
    <x v="6"/>
    <s v="Assurances"/>
    <s v="JC"/>
    <n v="96"/>
    <d v="2025-07-01T00:00:00"/>
    <s v="CCA IR&amp;P - RCE"/>
    <m/>
    <e v="#N/A"/>
    <e v="#N/A"/>
    <n v="86657"/>
    <m/>
    <s v="INITIATIVE &amp; RISK PARTNERS"/>
    <s v="Q3"/>
    <e v="#REF!"/>
    <e v="#REF!"/>
    <e v="#REF!"/>
  </r>
  <r>
    <s v="616100"/>
    <x v="6"/>
    <s v="Assurances"/>
    <s v="JC"/>
    <n v="96"/>
    <d v="2025-08-01T00:00:00"/>
    <s v="CCA IR&amp;P - RCE"/>
    <m/>
    <e v="#N/A"/>
    <e v="#N/A"/>
    <n v="86659"/>
    <m/>
    <s v="INITIATIVE &amp; RISK PARTNERS"/>
    <s v="Q3"/>
    <e v="#REF!"/>
    <e v="#REF!"/>
    <e v="#REF!"/>
  </r>
  <r>
    <s v="616100"/>
    <x v="6"/>
    <s v="Assurances"/>
    <s v="JC"/>
    <n v="96"/>
    <d v="2025-09-01T00:00:00"/>
    <s v="CCA IR&amp;P - RCE"/>
    <m/>
    <e v="#N/A"/>
    <e v="#N/A"/>
    <n v="86661"/>
    <m/>
    <s v="INITIATIVE &amp; RISK PARTNERS"/>
    <s v="Q3"/>
    <e v="#REF!"/>
    <e v="#REF!"/>
    <e v="#REF!"/>
  </r>
  <r>
    <s v="616100"/>
    <x v="6"/>
    <s v="Assurances"/>
    <s v="JC"/>
    <n v="96"/>
    <d v="2025-10-01T00:00:00"/>
    <s v="CCA IR&amp;P - RCE"/>
    <m/>
    <e v="#N/A"/>
    <e v="#N/A"/>
    <n v="86645"/>
    <m/>
    <s v="INITIATIVE &amp; RISK PARTNERS"/>
    <s v="Q4"/>
    <e v="#REF!"/>
    <e v="#REF!"/>
    <e v="#REF!"/>
  </r>
  <r>
    <s v="616100"/>
    <x v="6"/>
    <s v="Assurances"/>
    <s v="JC"/>
    <n v="96"/>
    <d v="2025-11-01T00:00:00"/>
    <s v="CCA IR&amp;P - RCE"/>
    <m/>
    <e v="#N/A"/>
    <e v="#N/A"/>
    <n v="86665"/>
    <m/>
    <s v="INITIATIVE &amp; RISK PARTNERS"/>
    <s v="Q4"/>
    <e v="#REF!"/>
    <e v="#REF!"/>
    <e v="#REF!"/>
  </r>
  <r>
    <s v="616100"/>
    <x v="6"/>
    <s v="Assurances"/>
    <s v="JC"/>
    <n v="104.1"/>
    <d v="2025-12-01T00:00:00"/>
    <s v="PREPAID EXPENSE - IR&amp;P - RCE 2025-2026"/>
    <m/>
    <e v="#N/A"/>
    <e v="#N/A"/>
    <n v="94410"/>
    <s v="2025-Q100527"/>
    <s v="INITIATIVE &amp; RISK PARTNERS"/>
    <s v="Q4"/>
    <e v="#REF!"/>
    <e v="#REF!"/>
    <e v="#REF!"/>
  </r>
  <r>
    <s v="616100"/>
    <x v="6"/>
    <s v="Assurances"/>
    <s v="JC"/>
    <n v="107.25"/>
    <d v="2025-01-01T00:00:00"/>
    <s v="CCA 2025 ASCONA DOMMAGES CHANTIER"/>
    <m/>
    <e v="#N/A"/>
    <e v="#N/A"/>
    <n v="86337"/>
    <s v="POLICE DOMMAGES CHANTIER"/>
    <s v="ASCONA"/>
    <s v="Q1"/>
    <e v="#REF!"/>
    <e v="#REF!"/>
    <e v="#REF!"/>
  </r>
  <r>
    <s v="616100"/>
    <x v="6"/>
    <s v="Assurances"/>
    <s v="JC"/>
    <n v="107.25"/>
    <d v="2025-02-01T00:00:00"/>
    <s v="CCA 2025 ASCONA DOMMAGES CHANTIER"/>
    <m/>
    <e v="#N/A"/>
    <e v="#N/A"/>
    <n v="86335"/>
    <s v="POLICE DOMMAGES CHANTIER"/>
    <s v="ASCONA"/>
    <s v="Q1"/>
    <e v="#REF!"/>
    <e v="#REF!"/>
    <e v="#REF!"/>
  </r>
  <r>
    <s v="616100"/>
    <x v="6"/>
    <s v="Assurances"/>
    <s v="JC"/>
    <n v="107.25"/>
    <d v="2025-03-01T00:00:00"/>
    <s v="CCA 2025 ASCONA DOMMAGES CHANTIER"/>
    <m/>
    <e v="#N/A"/>
    <e v="#N/A"/>
    <n v="86339"/>
    <s v="POLICE DOMMAGES CHANTIER"/>
    <s v="ASCONA"/>
    <s v="Q1"/>
    <e v="#REF!"/>
    <e v="#REF!"/>
    <e v="#REF!"/>
  </r>
  <r>
    <s v="616100"/>
    <x v="6"/>
    <s v="Assurances"/>
    <s v="JC"/>
    <n v="107.25"/>
    <d v="2025-04-01T00:00:00"/>
    <s v="CCA 2025 ASCONA DOMMAGES CHANTIER"/>
    <m/>
    <e v="#N/A"/>
    <e v="#N/A"/>
    <n v="86341"/>
    <s v="POLICE DOMMAGES CHANTIER"/>
    <s v="ASCONA"/>
    <s v="Q2"/>
    <e v="#REF!"/>
    <e v="#REF!"/>
    <e v="#REF!"/>
  </r>
  <r>
    <s v="616100"/>
    <x v="6"/>
    <s v="Assurances"/>
    <s v="JC"/>
    <n v="107.25"/>
    <d v="2025-05-01T00:00:00"/>
    <s v="CCA 2025 ASCONA DOMMAGES CHANTIER"/>
    <m/>
    <e v="#N/A"/>
    <e v="#N/A"/>
    <n v="86343"/>
    <s v="POLICE DOMMAGES CHANTIER"/>
    <s v="ASCONA"/>
    <s v="Q2"/>
    <e v="#REF!"/>
    <e v="#REF!"/>
    <e v="#REF!"/>
  </r>
  <r>
    <s v="616100"/>
    <x v="6"/>
    <s v="Assurances"/>
    <s v="JC"/>
    <n v="107.25"/>
    <d v="2025-06-01T00:00:00"/>
    <s v="CCA 2025 ASCONA DOMMAGES CHANTIER"/>
    <m/>
    <e v="#N/A"/>
    <e v="#N/A"/>
    <n v="86345"/>
    <s v="POLICE DOMMAGES CHANTIER"/>
    <s v="ASCONA"/>
    <s v="Q2"/>
    <e v="#REF!"/>
    <e v="#REF!"/>
    <e v="#REF!"/>
  </r>
  <r>
    <s v="616100"/>
    <x v="6"/>
    <s v="Assurances"/>
    <s v="JC"/>
    <n v="107.25"/>
    <d v="2025-07-01T00:00:00"/>
    <s v="CCA 2025 ASCONA DOMMAGES CHANTIER"/>
    <m/>
    <e v="#N/A"/>
    <e v="#N/A"/>
    <n v="86347"/>
    <s v="POLICE DOMMAGES CHANTIER"/>
    <s v="ASCONA"/>
    <s v="Q3"/>
    <e v="#REF!"/>
    <e v="#REF!"/>
    <e v="#REF!"/>
  </r>
  <r>
    <s v="616100"/>
    <x v="6"/>
    <s v="Assurances"/>
    <s v="JC"/>
    <n v="107.25"/>
    <d v="2025-08-01T00:00:00"/>
    <s v="CCA 2025 ASCONA DOMMAGES CHANTIER"/>
    <m/>
    <e v="#N/A"/>
    <e v="#N/A"/>
    <n v="86349"/>
    <s v="POLICE DOMMAGES CHANTIER"/>
    <s v="ASCONA"/>
    <s v="Q3"/>
    <e v="#REF!"/>
    <e v="#REF!"/>
    <e v="#REF!"/>
  </r>
  <r>
    <s v="616100"/>
    <x v="6"/>
    <s v="Assurances"/>
    <s v="JC"/>
    <n v="107.25"/>
    <d v="2025-09-01T00:00:00"/>
    <s v="CCA 2025 ASCONA DOMMAGES CHANTIER"/>
    <m/>
    <e v="#N/A"/>
    <e v="#N/A"/>
    <n v="86351"/>
    <s v="POLICE DOMMAGES CHANTIER"/>
    <s v="ASCONA"/>
    <s v="Q3"/>
    <e v="#REF!"/>
    <e v="#REF!"/>
    <e v="#REF!"/>
  </r>
  <r>
    <s v="616100"/>
    <x v="6"/>
    <s v="Assurances"/>
    <s v="JC"/>
    <n v="107.25"/>
    <d v="2025-10-01T00:00:00"/>
    <s v="CCA 2025 ASCONA DOMMAGES CHANTIER"/>
    <m/>
    <e v="#N/A"/>
    <e v="#N/A"/>
    <n v="86353"/>
    <s v="POLICE DOMMAGES CHANTIER"/>
    <s v="ASCONA"/>
    <s v="Q4"/>
    <e v="#REF!"/>
    <e v="#REF!"/>
    <e v="#REF!"/>
  </r>
  <r>
    <s v="616100"/>
    <x v="6"/>
    <s v="Assurances"/>
    <s v="JC"/>
    <n v="107.25"/>
    <d v="2025-11-01T00:00:00"/>
    <s v="CCA 2025 ASCONA DOMMAGES CHANTIER"/>
    <m/>
    <e v="#N/A"/>
    <e v="#N/A"/>
    <n v="86355"/>
    <s v="POLICE DOMMAGES CHANTIER"/>
    <s v="ASCONA"/>
    <s v="Q4"/>
    <e v="#REF!"/>
    <e v="#REF!"/>
    <e v="#REF!"/>
  </r>
  <r>
    <s v="616100"/>
    <x v="6"/>
    <s v="Assurances"/>
    <s v="JC"/>
    <n v="107.25"/>
    <d v="2025-12-01T00:00:00"/>
    <s v="CCA 2025 ASCONA DOMMAGES CHANTIER"/>
    <m/>
    <e v="#N/A"/>
    <e v="#N/A"/>
    <n v="86357"/>
    <s v="POLICE DOMMAGES CHANTIER"/>
    <s v="ASCONA"/>
    <s v="Q4"/>
    <e v="#REF!"/>
    <e v="#REF!"/>
    <e v="#REF!"/>
  </r>
  <r>
    <s v="616100"/>
    <x v="6"/>
    <s v="Assurances"/>
    <s v="JC"/>
    <n v="147.6"/>
    <d v="2025-01-01T00:00:00"/>
    <s v="CCA - IR&amp;P - MRP KB"/>
    <m/>
    <e v="#N/A"/>
    <e v="#N/A"/>
    <n v="86748"/>
    <m/>
    <s v="INITIATIVE &amp; RISK PARTNERS"/>
    <s v="Q1"/>
    <e v="#REF!"/>
    <e v="#REF!"/>
    <e v="#REF!"/>
  </r>
  <r>
    <s v="616100"/>
    <x v="6"/>
    <s v="Assurances"/>
    <s v="JC"/>
    <n v="147.6"/>
    <d v="2025-02-01T00:00:00"/>
    <s v="CCA - IR&amp;P - MRP KB"/>
    <m/>
    <e v="#N/A"/>
    <e v="#N/A"/>
    <n v="86749"/>
    <m/>
    <s v="INITIATIVE &amp; RISK PARTNERS"/>
    <s v="Q1"/>
    <e v="#REF!"/>
    <e v="#REF!"/>
    <e v="#REF!"/>
  </r>
  <r>
    <s v="616100"/>
    <x v="6"/>
    <s v="Assurances"/>
    <s v="JC"/>
    <n v="147.6"/>
    <d v="2025-03-01T00:00:00"/>
    <s v="CCA - IR&amp;P - MRP KB"/>
    <m/>
    <e v="#N/A"/>
    <e v="#N/A"/>
    <n v="86752"/>
    <m/>
    <s v="INITIATIVE &amp; RISK PARTNERS"/>
    <s v="Q1"/>
    <e v="#REF!"/>
    <e v="#REF!"/>
    <e v="#REF!"/>
  </r>
  <r>
    <s v="616100"/>
    <x v="6"/>
    <s v="Assurances"/>
    <s v="JC"/>
    <n v="147.6"/>
    <d v="2025-04-01T00:00:00"/>
    <s v="CCA - IR&amp;P - MRP KB"/>
    <m/>
    <e v="#N/A"/>
    <e v="#N/A"/>
    <n v="86754"/>
    <m/>
    <s v="INITIATIVE &amp; RISK PARTNERS"/>
    <s v="Q2"/>
    <e v="#REF!"/>
    <e v="#REF!"/>
    <e v="#REF!"/>
  </r>
  <r>
    <s v="616100"/>
    <x v="6"/>
    <s v="Assurances"/>
    <s v="JC"/>
    <n v="147.6"/>
    <d v="2025-05-01T00:00:00"/>
    <s v="CCA - IR&amp;P - MRP KB"/>
    <m/>
    <e v="#N/A"/>
    <e v="#N/A"/>
    <n v="86756"/>
    <m/>
    <s v="INITIATIVE &amp; RISK PARTNERS"/>
    <s v="Q2"/>
    <e v="#REF!"/>
    <e v="#REF!"/>
    <e v="#REF!"/>
  </r>
  <r>
    <s v="616100"/>
    <x v="6"/>
    <s v="Assurances"/>
    <s v="JC"/>
    <n v="162.22"/>
    <d v="2025-06-01T00:00:00"/>
    <s v="PREPAID EXPENSE - INITIATIVE - MRP KB 2025-2026"/>
    <m/>
    <e v="#N/A"/>
    <e v="#N/A"/>
    <n v="94704"/>
    <s v="2025-Q100272"/>
    <s v="INITIATIVE &amp; RISK PARTNERS"/>
    <s v="Q2"/>
    <e v="#REF!"/>
    <e v="#REF!"/>
    <e v="#REF!"/>
  </r>
  <r>
    <s v="616100"/>
    <x v="6"/>
    <s v="Assurances"/>
    <s v="JC"/>
    <n v="162.22"/>
    <d v="2025-07-01T00:00:00"/>
    <s v="PREPAID EXPENSE - INITIATIVE - MRP KB 2025-2026"/>
    <m/>
    <e v="#N/A"/>
    <e v="#N/A"/>
    <n v="94706"/>
    <s v="2025-Q100272"/>
    <s v="INITIATIVE &amp; RISK PARTNERS"/>
    <s v="Q3"/>
    <e v="#REF!"/>
    <e v="#REF!"/>
    <e v="#REF!"/>
  </r>
  <r>
    <s v="616100"/>
    <x v="6"/>
    <s v="Assurances"/>
    <s v="JC"/>
    <n v="162.22"/>
    <d v="2025-08-01T00:00:00"/>
    <s v="PREPAID EXPENSE - INITIATIVE - MRP KB 2025-2026"/>
    <m/>
    <e v="#N/A"/>
    <e v="#N/A"/>
    <n v="94708"/>
    <s v="2025-Q100272"/>
    <s v="INITIATIVE &amp; RISK PARTNERS"/>
    <s v="Q3"/>
    <e v="#REF!"/>
    <e v="#REF!"/>
    <e v="#REF!"/>
  </r>
  <r>
    <s v="616100"/>
    <x v="6"/>
    <s v="Assurances"/>
    <s v="JC"/>
    <n v="162.22"/>
    <d v="2025-09-01T00:00:00"/>
    <s v="PREPAID EXPENSE - INITIATIVE - MRP KB 2025-2026"/>
    <m/>
    <e v="#N/A"/>
    <e v="#N/A"/>
    <n v="94710"/>
    <s v="2025-Q100272"/>
    <s v="INITIATIVE &amp; RISK PARTNERS"/>
    <s v="Q3"/>
    <e v="#REF!"/>
    <e v="#REF!"/>
    <e v="#REF!"/>
  </r>
  <r>
    <s v="616100"/>
    <x v="6"/>
    <s v="Assurances"/>
    <s v="JC"/>
    <n v="162.22"/>
    <d v="2025-10-01T00:00:00"/>
    <s v="PREPAID EXPENSE - INITIATIVE - MRP KB 2025-2026"/>
    <m/>
    <e v="#N/A"/>
    <e v="#N/A"/>
    <n v="94712"/>
    <s v="2025-Q100272"/>
    <s v="INITIATIVE &amp; RISK PARTNERS"/>
    <s v="Q4"/>
    <e v="#REF!"/>
    <e v="#REF!"/>
    <e v="#REF!"/>
  </r>
  <r>
    <s v="616100"/>
    <x v="6"/>
    <s v="Assurances"/>
    <s v="JC"/>
    <n v="162.22"/>
    <d v="2025-11-01T00:00:00"/>
    <s v="PREPAID EXPENSE - INITIATIVE - MRP KB 2025-2026"/>
    <m/>
    <e v="#N/A"/>
    <e v="#N/A"/>
    <n v="94714"/>
    <s v="2025-Q100272"/>
    <s v="INITIATIVE &amp; RISK PARTNERS"/>
    <s v="Q4"/>
    <e v="#REF!"/>
    <e v="#REF!"/>
    <e v="#REF!"/>
  </r>
  <r>
    <s v="616100"/>
    <x v="6"/>
    <s v="Assurances"/>
    <s v="JC"/>
    <n v="162.22"/>
    <d v="2025-12-01T00:00:00"/>
    <s v="PREPAID EXPENSE - INITIATIVE - MRP KB 2025-2026"/>
    <m/>
    <e v="#N/A"/>
    <e v="#N/A"/>
    <n v="94716"/>
    <s v="2025-Q100272"/>
    <s v="INITIATIVE &amp; RISK PARTNERS"/>
    <s v="Q4"/>
    <e v="#REF!"/>
    <e v="#REF!"/>
    <e v="#REF!"/>
  </r>
  <r>
    <s v="616100"/>
    <x v="6"/>
    <s v="Assurances"/>
    <s v="JC"/>
    <n v="222.42"/>
    <d v="2025-07-01T00:00:00"/>
    <s v="CCA - IR&amp;P - RC DIRIGEANTS"/>
    <m/>
    <e v="#N/A"/>
    <e v="#N/A"/>
    <n v="86686"/>
    <m/>
    <s v="INITIATIVE &amp; RISK PARTNERS"/>
    <s v="Q3"/>
    <e v="#REF!"/>
    <e v="#REF!"/>
    <e v="#REF!"/>
  </r>
  <r>
    <s v="616100"/>
    <x v="6"/>
    <s v="Assurances"/>
    <s v="JC"/>
    <n v="222.43"/>
    <d v="2025-01-01T00:00:00"/>
    <s v="CCA - IR&amp;P - RC DIRIGEANTS"/>
    <m/>
    <e v="#N/A"/>
    <e v="#N/A"/>
    <n v="86674"/>
    <m/>
    <s v="INITIATIVE &amp; RISK PARTNERS"/>
    <s v="Q1"/>
    <e v="#REF!"/>
    <e v="#REF!"/>
    <e v="#REF!"/>
  </r>
  <r>
    <s v="616100"/>
    <x v="6"/>
    <s v="Assurances"/>
    <s v="JC"/>
    <n v="222.43"/>
    <d v="2025-02-01T00:00:00"/>
    <s v="CCA - IR&amp;P - RC DIRIGEANTS"/>
    <m/>
    <e v="#N/A"/>
    <e v="#N/A"/>
    <n v="86675"/>
    <m/>
    <s v="INITIATIVE &amp; RISK PARTNERS"/>
    <s v="Q1"/>
    <e v="#REF!"/>
    <e v="#REF!"/>
    <e v="#REF!"/>
  </r>
  <r>
    <s v="616100"/>
    <x v="6"/>
    <s v="Assurances"/>
    <s v="JC"/>
    <n v="222.43"/>
    <d v="2025-03-01T00:00:00"/>
    <s v="CCA - IR&amp;P - RC DIRIGEANTS"/>
    <m/>
    <e v="#N/A"/>
    <e v="#N/A"/>
    <n v="86678"/>
    <m/>
    <s v="INITIATIVE &amp; RISK PARTNERS"/>
    <s v="Q1"/>
    <e v="#REF!"/>
    <e v="#REF!"/>
    <e v="#REF!"/>
  </r>
  <r>
    <s v="616100"/>
    <x v="6"/>
    <s v="Assurances"/>
    <s v="JC"/>
    <n v="222.43"/>
    <d v="2025-04-01T00:00:00"/>
    <s v="CCA - IR&amp;P - RC DIRIGEANTS"/>
    <m/>
    <e v="#N/A"/>
    <e v="#N/A"/>
    <n v="86680"/>
    <m/>
    <s v="INITIATIVE &amp; RISK PARTNERS"/>
    <s v="Q2"/>
    <e v="#REF!"/>
    <e v="#REF!"/>
    <e v="#REF!"/>
  </r>
  <r>
    <s v="616100"/>
    <x v="6"/>
    <s v="Assurances"/>
    <s v="JC"/>
    <n v="222.43"/>
    <d v="2025-05-01T00:00:00"/>
    <s v="CCA - IR&amp;P - RC DIRIGEANTS"/>
    <m/>
    <e v="#N/A"/>
    <e v="#N/A"/>
    <n v="86682"/>
    <m/>
    <s v="INITIATIVE &amp; RISK PARTNERS"/>
    <s v="Q2"/>
    <e v="#REF!"/>
    <e v="#REF!"/>
    <e v="#REF!"/>
  </r>
  <r>
    <s v="616100"/>
    <x v="6"/>
    <s v="Assurances"/>
    <s v="JC"/>
    <n v="222.43"/>
    <d v="2025-06-01T00:00:00"/>
    <s v="CCA - IR&amp;P - RC DIRIGEANTS"/>
    <m/>
    <e v="#N/A"/>
    <e v="#N/A"/>
    <n v="86684"/>
    <m/>
    <s v="INITIATIVE &amp; RISK PARTNERS"/>
    <s v="Q2"/>
    <e v="#REF!"/>
    <e v="#REF!"/>
    <e v="#REF!"/>
  </r>
  <r>
    <s v="616100"/>
    <x v="6"/>
    <s v="Assurances"/>
    <s v="JC"/>
    <n v="227.08"/>
    <d v="2025-08-01T00:00:00"/>
    <s v="PREPAID EXPENSE - INITIATIVE - RC DIRIGEANTS 2025-2026"/>
    <m/>
    <e v="#N/A"/>
    <e v="#N/A"/>
    <n v="94680"/>
    <s v="2025-Q100406"/>
    <s v="INITIATIVE &amp; RISK PARTNERS"/>
    <s v="Q3"/>
    <e v="#REF!"/>
    <e v="#REF!"/>
    <e v="#REF!"/>
  </r>
  <r>
    <s v="616100"/>
    <x v="6"/>
    <s v="Assurances"/>
    <s v="JC"/>
    <n v="227.08"/>
    <d v="2025-09-01T00:00:00"/>
    <s v="PREPAID EXPENSE - INITIATIVE - RC DIRIGEANTS 2025-2026"/>
    <m/>
    <e v="#N/A"/>
    <e v="#N/A"/>
    <n v="94682"/>
    <s v="2025-Q100406"/>
    <s v="INITIATIVE &amp; RISK PARTNERS"/>
    <s v="Q3"/>
    <e v="#REF!"/>
    <e v="#REF!"/>
    <e v="#REF!"/>
  </r>
  <r>
    <s v="616100"/>
    <x v="6"/>
    <s v="Assurances"/>
    <s v="JC"/>
    <n v="227.08"/>
    <d v="2025-10-01T00:00:00"/>
    <s v="PREPAID EXPENSE - INITIATIVE - RC DIRIGEANTS 2025-2026"/>
    <m/>
    <e v="#N/A"/>
    <e v="#N/A"/>
    <n v="94684"/>
    <s v="2025-Q100406"/>
    <s v="INITIATIVE &amp; RISK PARTNERS"/>
    <s v="Q4"/>
    <e v="#REF!"/>
    <e v="#REF!"/>
    <e v="#REF!"/>
  </r>
  <r>
    <s v="616100"/>
    <x v="6"/>
    <s v="Assurances"/>
    <s v="JC"/>
    <n v="227.08"/>
    <d v="2025-11-01T00:00:00"/>
    <s v="PREPAID EXPENSE - INITIATIVE - RC DIRIGEANTS 2025-2026"/>
    <m/>
    <e v="#N/A"/>
    <e v="#N/A"/>
    <n v="94686"/>
    <s v="2025-Q100406"/>
    <s v="INITIATIVE &amp; RISK PARTNERS"/>
    <s v="Q4"/>
    <e v="#REF!"/>
    <e v="#REF!"/>
    <e v="#REF!"/>
  </r>
  <r>
    <s v="616100"/>
    <x v="6"/>
    <s v="Assurances"/>
    <s v="JC"/>
    <n v="227.08"/>
    <d v="2025-12-01T00:00:00"/>
    <s v="PREPAID EXPENSE - INITIATIVE - RC DIRIGEANTS 2025-2026"/>
    <m/>
    <e v="#N/A"/>
    <e v="#N/A"/>
    <n v="94688"/>
    <s v="2025-Q100406"/>
    <s v="INITIATIVE &amp; RISK PARTNERS"/>
    <s v="Q4"/>
    <e v="#REF!"/>
    <e v="#REF!"/>
    <e v="#REF!"/>
  </r>
  <r>
    <s v="616100"/>
    <x v="6"/>
    <s v="Assurances"/>
    <s v="JC"/>
    <n v="439.65"/>
    <d v="2025-06-01T00:00:00"/>
    <s v="CCA ASCONA - MRP RO"/>
    <m/>
    <e v="#N/A"/>
    <e v="#N/A"/>
    <n v="86555"/>
    <m/>
    <s v="ASCONA"/>
    <s v="Q2"/>
    <e v="#REF!"/>
    <e v="#REF!"/>
    <e v="#REF!"/>
  </r>
  <r>
    <s v="616100"/>
    <x v="6"/>
    <s v="Assurances"/>
    <s v="JC"/>
    <n v="439.67"/>
    <d v="2025-01-01T00:00:00"/>
    <s v="CCA ASCONA - MRP RO"/>
    <m/>
    <e v="#N/A"/>
    <e v="#N/A"/>
    <n v="86541"/>
    <m/>
    <s v="ASCONA"/>
    <s v="Q1"/>
    <e v="#REF!"/>
    <e v="#REF!"/>
    <e v="#REF!"/>
  </r>
  <r>
    <s v="616100"/>
    <x v="6"/>
    <s v="Assurances"/>
    <s v="JC"/>
    <n v="439.67"/>
    <d v="2025-02-01T00:00:00"/>
    <s v="CCA ASCONA - MRP RO"/>
    <m/>
    <e v="#N/A"/>
    <e v="#N/A"/>
    <n v="86547"/>
    <m/>
    <s v="ASCONA"/>
    <s v="Q1"/>
    <e v="#REF!"/>
    <e v="#REF!"/>
    <e v="#REF!"/>
  </r>
  <r>
    <s v="616100"/>
    <x v="6"/>
    <s v="Assurances"/>
    <s v="JC"/>
    <n v="439.67"/>
    <d v="2025-03-01T00:00:00"/>
    <s v="CCA ASCONA - MRP RO"/>
    <m/>
    <e v="#N/A"/>
    <e v="#N/A"/>
    <n v="86548"/>
    <m/>
    <s v="ASCONA"/>
    <s v="Q1"/>
    <e v="#REF!"/>
    <e v="#REF!"/>
    <e v="#REF!"/>
  </r>
  <r>
    <s v="616100"/>
    <x v="6"/>
    <s v="Assurances"/>
    <s v="JC"/>
    <n v="439.67"/>
    <d v="2025-04-01T00:00:00"/>
    <s v="CCA ASCONA - MRP RO"/>
    <m/>
    <e v="#N/A"/>
    <e v="#N/A"/>
    <n v="86551"/>
    <m/>
    <s v="ASCONA"/>
    <s v="Q2"/>
    <e v="#REF!"/>
    <e v="#REF!"/>
    <e v="#REF!"/>
  </r>
  <r>
    <s v="616100"/>
    <x v="6"/>
    <s v="Assurances"/>
    <s v="JC"/>
    <n v="439.67"/>
    <d v="2025-05-01T00:00:00"/>
    <s v="CCA ASCONA - MRP RO"/>
    <m/>
    <e v="#N/A"/>
    <e v="#N/A"/>
    <n v="86553"/>
    <m/>
    <s v="ASCONA"/>
    <s v="Q2"/>
    <e v="#REF!"/>
    <e v="#REF!"/>
    <e v="#REF!"/>
  </r>
  <r>
    <s v="616100"/>
    <x v="6"/>
    <s v="Assurances"/>
    <s v="JC"/>
    <n v="486.75"/>
    <d v="2025-07-01T00:00:00"/>
    <s v="CCA ASCONA - MRP RO - 2025 2026"/>
    <m/>
    <e v="#N/A"/>
    <e v="#N/A"/>
    <n v="86557"/>
    <s v="APPEL PRIME CMMA 2025.061"/>
    <s v="ASCONA"/>
    <s v="Q3"/>
    <e v="#REF!"/>
    <e v="#REF!"/>
    <e v="#REF!"/>
  </r>
  <r>
    <s v="616100"/>
    <x v="6"/>
    <s v="Assurances"/>
    <s v="JC"/>
    <n v="486.75"/>
    <d v="2025-08-01T00:00:00"/>
    <s v="CCA ASCONA - MRP RO - 2025 2026"/>
    <m/>
    <e v="#N/A"/>
    <e v="#N/A"/>
    <n v="86559"/>
    <s v="APPEL PRIME CMMA 2025.061"/>
    <s v="ASCONA"/>
    <s v="Q3"/>
    <e v="#REF!"/>
    <e v="#REF!"/>
    <e v="#REF!"/>
  </r>
  <r>
    <s v="616100"/>
    <x v="6"/>
    <s v="Assurances"/>
    <s v="JC"/>
    <n v="486.75"/>
    <d v="2025-09-01T00:00:00"/>
    <s v="CCA ASCONA - MRP RO - 2025 2026"/>
    <m/>
    <e v="#N/A"/>
    <e v="#N/A"/>
    <n v="86561"/>
    <s v="APPEL PRIME CMMA 2025.061"/>
    <s v="ASCONA"/>
    <s v="Q3"/>
    <e v="#REF!"/>
    <e v="#REF!"/>
    <e v="#REF!"/>
  </r>
  <r>
    <s v="616100"/>
    <x v="6"/>
    <s v="Assurances"/>
    <s v="JC"/>
    <n v="486.75"/>
    <d v="2025-10-01T00:00:00"/>
    <s v="CCA ASCONA - MRP RO - 2025 2026"/>
    <m/>
    <e v="#N/A"/>
    <e v="#N/A"/>
    <n v="86563"/>
    <s v="APPEL PRIME CMMA 2025.061"/>
    <s v="ASCONA"/>
    <s v="Q4"/>
    <e v="#REF!"/>
    <e v="#REF!"/>
    <e v="#REF!"/>
  </r>
  <r>
    <s v="616100"/>
    <x v="6"/>
    <s v="Assurances"/>
    <s v="JC"/>
    <n v="486.75"/>
    <d v="2025-11-01T00:00:00"/>
    <s v="CCA ASCONA - MRP RO - 2025 2026"/>
    <m/>
    <e v="#N/A"/>
    <e v="#N/A"/>
    <n v="86565"/>
    <s v="APPEL PRIME CMMA 2025.061"/>
    <s v="ASCONA"/>
    <s v="Q4"/>
    <e v="#REF!"/>
    <e v="#REF!"/>
    <e v="#REF!"/>
  </r>
  <r>
    <s v="616100"/>
    <x v="6"/>
    <s v="Assurances"/>
    <s v="JC"/>
    <n v="486.75"/>
    <d v="2025-12-01T00:00:00"/>
    <s v="CCA ASCONA - MRP RO - 2025 2026"/>
    <m/>
    <e v="#N/A"/>
    <e v="#N/A"/>
    <n v="86567"/>
    <s v="APPEL PRIME CMMA 2025.061"/>
    <s v="ASCONA"/>
    <s v="Q4"/>
    <e v="#REF!"/>
    <e v="#REF!"/>
    <e v="#REF!"/>
  </r>
  <r>
    <s v="616100"/>
    <x v="6"/>
    <s v="Assurances"/>
    <s v="OD"/>
    <n v="1071.8399999999999"/>
    <d v="2025-03-05T00:00:00"/>
    <s v="Assurance Bureaux KB 2025"/>
    <m/>
    <e v="#N/A"/>
    <e v="#N/A"/>
    <n v="90178"/>
    <m/>
    <s v="LIBERTY PM"/>
    <s v="Q1"/>
    <e v="#REF!"/>
    <e v="#REF!"/>
    <e v="#REF!"/>
  </r>
  <r>
    <s v="617000"/>
    <x v="9"/>
    <s v="ETUDES - Recherche"/>
    <s v="AC"/>
    <n v="-363089"/>
    <d v="2025-12-03T00:00:00"/>
    <s v="AVENANT 11 CONTRAT RECHERCHE TWB - 2E ET 3E VERSEMENTS"/>
    <s v="Oui"/>
    <s v="Non"/>
    <e v="#N/A"/>
    <n v="92014"/>
    <s v="2110011866"/>
    <s v="INRAE TOULOUSE"/>
    <s v="Q4"/>
    <e v="#REF!"/>
    <e v="#REF!"/>
    <e v="#REF!"/>
  </r>
  <r>
    <s v="617000"/>
    <x v="9"/>
    <s v="ETUDES - Recherche"/>
    <s v="AC"/>
    <n v="-181545"/>
    <d v="2025-04-29T00:00:00"/>
    <s v="AVENANT 11 AU CONTRAT DE RECHERCHE TWB SIGNÉ LE 30/01/2018 1ER VERSEMENT AU 01/05/2025"/>
    <s v="Oui"/>
    <s v="Non"/>
    <e v="#N/A"/>
    <n v="77126"/>
    <s v="2110002592"/>
    <s v="INRAE TOULOUSE"/>
    <s v="Q2"/>
    <e v="#REF!"/>
    <e v="#REF!"/>
    <e v="#REF!"/>
  </r>
  <r>
    <s v="617000"/>
    <x v="9"/>
    <s v="ETUDES - Recherche"/>
    <s v="AC"/>
    <n v="-17444"/>
    <d v="2025-07-16T00:00:00"/>
    <s v="SYNTHÈSE ET DÉVELOPPEMENT DE 1KG-V2 DE 2-CBA - KEENB"/>
    <s v="Oui"/>
    <e v="#N/A"/>
    <e v="#N/A"/>
    <n v="87185"/>
    <s v="INV/2025/00193"/>
    <s v="Taros Chemicals GmbH &amp; Co. KG"/>
    <s v="Q3"/>
    <e v="#REF!"/>
    <e v="#REF!"/>
    <e v="#REF!"/>
  </r>
  <r>
    <s v="617000"/>
    <x v="9"/>
    <s v="ETUDES - Recherche"/>
    <s v="AC"/>
    <n v="218.75"/>
    <d v="2025-03-04T00:00:00"/>
    <s v="SOW (5 DAYS ) FOR DSP PROTOCOL"/>
    <s v="Non"/>
    <e v="#N/A"/>
    <e v="#N/A"/>
    <n v="72559"/>
    <s v="7348"/>
    <s v="DOTMATICS LIMITED"/>
    <s v="Q1"/>
    <e v="#REF!"/>
    <e v="#REF!"/>
    <e v="#REF!"/>
  </r>
  <r>
    <s v="617000"/>
    <x v="9"/>
    <s v="ETUDES - Recherche"/>
    <s v="AC"/>
    <n v="249.9"/>
    <d v="2025-06-03T00:00:00"/>
    <s v="RMN UPS"/>
    <s v="Oui"/>
    <e v="#N/A"/>
    <e v="#N/A"/>
    <n v="81745"/>
    <s v="210121995"/>
    <s v="UNIVERSITE DE TOULOUSE"/>
    <s v="Q2"/>
    <e v="#REF!"/>
    <e v="#REF!"/>
    <e v="#REF!"/>
  </r>
  <r>
    <s v="617000"/>
    <x v="9"/>
    <s v="ETUDES - Recherche"/>
    <s v="AC"/>
    <n v="297"/>
    <d v="2025-07-28T00:00:00"/>
    <s v="ANALYSE RMN ESPCI - AVR-JUIN 2025"/>
    <s v="Oui"/>
    <e v="#N/A"/>
    <e v="#N/A"/>
    <n v="78941"/>
    <s v="78"/>
    <s v="SAESPCI"/>
    <s v="Q3"/>
    <e v="#REF!"/>
    <e v="#REF!"/>
    <e v="#REF!"/>
  </r>
  <r>
    <s v="617000"/>
    <x v="9"/>
    <s v="ETUDES - Recherche"/>
    <s v="AC"/>
    <n v="315"/>
    <d v="2025-02-06T00:00:00"/>
    <s v="RMN ESPCI NOV-DÉC 2024"/>
    <s v="Oui"/>
    <e v="#N/A"/>
    <e v="#N/A"/>
    <n v="61431"/>
    <s v="8"/>
    <s v="SAESPCI"/>
    <s v="Q1"/>
    <e v="#REF!"/>
    <e v="#REF!"/>
    <e v="#REF!"/>
  </r>
  <r>
    <s v="617000"/>
    <x v="9"/>
    <s v="ETUDES - Recherche"/>
    <s v="AC"/>
    <n v="500"/>
    <d v="2025-05-30T00:00:00"/>
    <s v="TESTING OF MATERIAL BY MARINER"/>
    <s v="Non"/>
    <e v="#N/A"/>
    <e v="#N/A"/>
    <n v="75991"/>
    <s v="91250076"/>
    <s v="BIOTIKA"/>
    <s v="Q2"/>
    <e v="#REF!"/>
    <e v="#REF!"/>
    <e v="#REF!"/>
  </r>
  <r>
    <s v="617000"/>
    <x v="9"/>
    <s v="ETUDES - Recherche"/>
    <s v="AC"/>
    <n v="500"/>
    <d v="2025-06-23T00:00:00"/>
    <s v="TESTING OF MATERIAL BY MARINER"/>
    <s v="Non"/>
    <e v="#N/A"/>
    <e v="#N/A"/>
    <n v="76615"/>
    <s v="91250085"/>
    <s v="BIOTIKA"/>
    <s v="Q2"/>
    <e v="#REF!"/>
    <e v="#REF!"/>
    <e v="#REF!"/>
  </r>
  <r>
    <s v="617000"/>
    <x v="9"/>
    <s v="ETUDES - Recherche"/>
    <s v="AC"/>
    <n v="667.76"/>
    <d v="2025-12-31T00:00:00"/>
    <s v="RMN ESPCI"/>
    <s v="Oui"/>
    <e v="#N/A"/>
    <e v="#N/A"/>
    <n v="95155"/>
    <s v="122"/>
    <s v="SAESPCI"/>
    <s v="Q4"/>
    <e v="#REF!"/>
    <e v="#REF!"/>
    <e v="#REF!"/>
  </r>
  <r>
    <s v="617000"/>
    <x v="9"/>
    <s v="ETUDES - Recherche"/>
    <s v="AC"/>
    <n v="693.5"/>
    <d v="2025-04-10T00:00:00"/>
    <s v="ANALYSE RMN ESPCI"/>
    <s v="Oui"/>
    <e v="#N/A"/>
    <e v="#N/A"/>
    <n v="69767"/>
    <s v="25"/>
    <s v="SAESPCI"/>
    <s v="Q2"/>
    <e v="#REF!"/>
    <e v="#REF!"/>
    <e v="#REF!"/>
  </r>
  <r>
    <s v="617000"/>
    <x v="9"/>
    <s v="ETUDES - Recherche"/>
    <s v="AC"/>
    <n v="695"/>
    <d v="2025-10-08T00:00:00"/>
    <s v="RMN ESPCI"/>
    <s v="Oui"/>
    <e v="#N/A"/>
    <e v="#N/A"/>
    <n v="85163"/>
    <s v="92"/>
    <s v="SAESPCI"/>
    <s v="Q4"/>
    <e v="#REF!"/>
    <e v="#REF!"/>
    <e v="#REF!"/>
  </r>
  <r>
    <s v="617000"/>
    <x v="9"/>
    <s v="ETUDES - Recherche"/>
    <s v="AC"/>
    <n v="1170"/>
    <d v="2025-06-26T00:00:00"/>
    <s v="ESSAI ROUSSELET (APRÈS LYSE SOUDE)"/>
    <s v="Non"/>
    <e v="#N/A"/>
    <e v="#N/A"/>
    <n v="77290"/>
    <s v="FA006303"/>
    <s v="ROUSSELET CENTRIFUGATION"/>
    <s v="Q2"/>
    <e v="#REF!"/>
    <e v="#REF!"/>
    <e v="#REF!"/>
  </r>
  <r>
    <s v="617000"/>
    <x v="9"/>
    <s v="ETUDES - Recherche"/>
    <s v="AC"/>
    <n v="1200"/>
    <d v="2025-07-30T00:00:00"/>
    <s v="ETUDE ACV"/>
    <s v="Oui"/>
    <e v="#N/A"/>
    <e v="#N/A"/>
    <n v="78944"/>
    <s v="FT25-4209"/>
    <s v="EVEA"/>
    <s v="Q3"/>
    <e v="#REF!"/>
    <e v="#REF!"/>
    <e v="#REF!"/>
  </r>
  <r>
    <s v="617000"/>
    <x v="9"/>
    <s v="ETUDES - Recherche"/>
    <s v="AC"/>
    <n v="1280"/>
    <d v="2025-10-13T00:00:00"/>
    <s v="4 DSC"/>
    <s v="Oui"/>
    <e v="#N/A"/>
    <e v="#N/A"/>
    <n v="87083"/>
    <s v="FAR-2025-000748"/>
    <s v="INSA ROUEN"/>
    <s v="Q4"/>
    <e v="#REF!"/>
    <e v="#REF!"/>
    <e v="#REF!"/>
  </r>
  <r>
    <s v="617000"/>
    <x v="9"/>
    <s v="ETUDES - Recherche"/>
    <s v="AC"/>
    <n v="1340"/>
    <d v="2025-06-13T00:00:00"/>
    <s v="ESSAIS LABORATOIRE ESSOREUSE / DECANTEUSE À BOL POUR SÉPARATION INDIGO ET MOÛT DE FERMENTATION"/>
    <s v="Non"/>
    <e v="#N/A"/>
    <e v="#N/A"/>
    <n v="76597"/>
    <s v="FA006275"/>
    <s v="ROUSSELET CENTRIFUGATION"/>
    <s v="Q2"/>
    <e v="#REF!"/>
    <e v="#REF!"/>
    <e v="#REF!"/>
  </r>
  <r>
    <s v="617000"/>
    <x v="9"/>
    <s v="ETUDES - Recherche"/>
    <s v="AC"/>
    <n v="1400"/>
    <d v="2025-02-04T00:00:00"/>
    <s v="SOW (5 DAYS ) FOR DSP PROTOCOL"/>
    <s v="Non"/>
    <e v="#N/A"/>
    <e v="#N/A"/>
    <n v="66157"/>
    <s v="7289"/>
    <s v="DOTMATICS LIMITED"/>
    <s v="Q1"/>
    <e v="#REF!"/>
    <e v="#REF!"/>
    <e v="#REF!"/>
  </r>
  <r>
    <s v="617000"/>
    <x v="9"/>
    <s v="ETUDES - Recherche"/>
    <s v="AC"/>
    <n v="2142.5"/>
    <d v="2025-01-15T00:00:00"/>
    <s v="INSCRIPTION SUR LE SITE DE ZDHC - ENREGISTREMENT INDIGO"/>
    <s v="Non"/>
    <e v="#N/A"/>
    <e v="#N/A"/>
    <n v="59884"/>
    <s v="147037"/>
    <s v="ZDHC Gateway B.V."/>
    <s v="Q1"/>
    <e v="#REF!"/>
    <e v="#REF!"/>
    <e v="#REF!"/>
  </r>
  <r>
    <s v="617000"/>
    <x v="9"/>
    <s v="ETUDES - Recherche"/>
    <s v="AC"/>
    <n v="2350.5"/>
    <d v="2025-01-24T00:00:00"/>
    <s v="FACTURE FINALE ZDHC LEVEL 1 INDIGO"/>
    <s v="Oui"/>
    <e v="#N/A"/>
    <e v="#N/A"/>
    <n v="61308"/>
    <s v="INV-0177"/>
    <s v="Eurofins BLC Leather Technology Centre Limited"/>
    <s v="Q1"/>
    <e v="#REF!"/>
    <e v="#REF!"/>
    <e v="#REF!"/>
  </r>
  <r>
    <s v="617000"/>
    <x v="9"/>
    <s v="ETUDES - Recherche"/>
    <s v="AC"/>
    <n v="2420"/>
    <d v="2025-04-01T00:00:00"/>
    <s v="RC1 ET DSC"/>
    <s v="Oui"/>
    <e v="#N/A"/>
    <e v="#N/A"/>
    <n v="69682"/>
    <s v="FAR-2025-000189"/>
    <s v="INSA ROUEN"/>
    <s v="Q2"/>
    <e v="#REF!"/>
    <e v="#REF!"/>
    <e v="#REF!"/>
  </r>
  <r>
    <s v="617000"/>
    <x v="9"/>
    <s v="ETUDES - Recherche"/>
    <s v="AC"/>
    <n v="2420"/>
    <d v="2025-07-07T00:00:00"/>
    <s v="RC1 - DSC KEEN Y STEP 2"/>
    <s v="Oui"/>
    <e v="#N/A"/>
    <e v="#N/A"/>
    <n v="81750"/>
    <s v="FAR-2025-000562"/>
    <s v="INSA ROUEN"/>
    <s v="Q3"/>
    <e v="#REF!"/>
    <e v="#REF!"/>
    <e v="#REF!"/>
  </r>
  <r>
    <s v="617000"/>
    <x v="9"/>
    <s v="ETUDES - Recherche"/>
    <s v="AC"/>
    <n v="2420"/>
    <d v="2025-10-13T00:00:00"/>
    <s v="DCS ET RC 1 KEEN Y STEP 3"/>
    <s v="Oui"/>
    <e v="#N/A"/>
    <e v="#N/A"/>
    <n v="87075"/>
    <s v="FAR-2025-000749"/>
    <s v="INSA ROUEN"/>
    <s v="Q4"/>
    <e v="#REF!"/>
    <e v="#REF!"/>
    <e v="#REF!"/>
  </r>
  <r>
    <s v="617000"/>
    <x v="9"/>
    <s v="ETUDES - Recherche"/>
    <s v="AC"/>
    <n v="3550"/>
    <d v="2025-11-26T00:00:00"/>
    <s v="ASSEMBLAGE QUEUES DE LOTS INDIGO BROYÉ POUR 1 LOT 185KG"/>
    <s v="Oui"/>
    <e v="#N/A"/>
    <e v="#N/A"/>
    <n v="91825"/>
    <s v="F1125486"/>
    <s v="SD TECH"/>
    <s v="Q4"/>
    <e v="#REF!"/>
    <e v="#REF!"/>
    <e v="#REF!"/>
  </r>
  <r>
    <s v="617000"/>
    <x v="9"/>
    <s v="ETUDES - Recherche"/>
    <s v="AC"/>
    <n v="4418.75"/>
    <d v="2025-01-17T00:00:00"/>
    <s v="SOW (5 DAYS ) FOR DSP PROTOCOL"/>
    <s v="Non"/>
    <e v="#N/A"/>
    <e v="#N/A"/>
    <n v="59898"/>
    <s v="7230"/>
    <s v="DOTMATICS LIMITED"/>
    <s v="Q1"/>
    <e v="#REF!"/>
    <e v="#REF!"/>
    <e v="#REF!"/>
  </r>
  <r>
    <s v="617000"/>
    <x v="9"/>
    <s v="ETUDES - Recherche"/>
    <s v="AC"/>
    <n v="4500"/>
    <d v="2025-01-31T00:00:00"/>
    <s v="CONTRAT DE PRESTATIONS R&amp;D"/>
    <s v="Oui"/>
    <s v="Non"/>
    <e v="#N/A"/>
    <n v="64029"/>
    <s v="FAC0253"/>
    <s v="CONSEIL CPP"/>
    <s v="Q1"/>
    <e v="#REF!"/>
    <e v="#REF!"/>
    <e v="#REF!"/>
  </r>
  <r>
    <s v="617000"/>
    <x v="9"/>
    <s v="ETUDES - Recherche"/>
    <s v="AC"/>
    <n v="5100"/>
    <d v="2025-12-31T00:00:00"/>
    <s v="TEST HYDROGÉNATION AMINATION RÉDUCTRICE (V23) EN FLUX CONTINU AU CNAM"/>
    <s v="Oui"/>
    <e v="#N/A"/>
    <e v="#N/A"/>
    <n v="96592"/>
    <s v="240010195"/>
    <s v="CNAM"/>
    <s v="Q4"/>
    <e v="#REF!"/>
    <e v="#REF!"/>
    <e v="#REF!"/>
  </r>
  <r>
    <s v="617000"/>
    <x v="9"/>
    <s v="ETUDES - Recherche"/>
    <s v="AC"/>
    <n v="5320.35"/>
    <d v="2025-05-31T00:00:00"/>
    <s v="DIVERS OSIRIS"/>
    <s v="Non"/>
    <s v="Non"/>
    <e v="#N/A"/>
    <n v="75997"/>
    <s v="93813054"/>
    <s v="OSIRIS"/>
    <s v="Q2"/>
    <e v="#REF!"/>
    <e v="#REF!"/>
    <e v="#REF!"/>
  </r>
  <r>
    <s v="617000"/>
    <x v="9"/>
    <s v="ETUDES - Recherche"/>
    <s v="AC"/>
    <n v="5545.57"/>
    <d v="2025-06-30T00:00:00"/>
    <s v="DIVERS OSIRIS : PRESTATIONS DE SERVICE, LABORATOIRE, STOCKAGE PALETTES"/>
    <s v="Non"/>
    <s v="Non"/>
    <e v="#N/A"/>
    <n v="78386"/>
    <s v="93813209"/>
    <s v="OSIRIS"/>
    <s v="Q2"/>
    <e v="#REF!"/>
    <e v="#REF!"/>
    <e v="#REF!"/>
  </r>
  <r>
    <s v="617000"/>
    <x v="9"/>
    <s v="ETUDES - Recherche"/>
    <s v="AC"/>
    <n v="6596.56"/>
    <d v="2025-04-30T00:00:00"/>
    <s v="FACTURE MENSUELLE OSIRIS"/>
    <s v="Non"/>
    <s v="Non"/>
    <e v="#N/A"/>
    <n v="73757"/>
    <s v="93812813"/>
    <s v="OSIRIS"/>
    <s v="Q2"/>
    <e v="#REF!"/>
    <e v="#REF!"/>
    <e v="#REF!"/>
  </r>
  <r>
    <s v="617000"/>
    <x v="9"/>
    <s v="ETUDES - Recherche"/>
    <s v="AC"/>
    <n v="6600"/>
    <d v="2025-05-06T00:00:00"/>
    <s v="ACTIVITÉ DE CONSEIL RÉALISÉE SOUS LA DIRECTION DE MONSIEUR GUILLAUME BOISSONNAT"/>
    <s v="Oui"/>
    <s v="Non"/>
    <e v="#N/A"/>
    <n v="73766"/>
    <s v="FAC0261"/>
    <s v="CONSEIL CPP"/>
    <s v="Q2"/>
    <e v="#REF!"/>
    <e v="#REF!"/>
    <e v="#REF!"/>
  </r>
  <r>
    <s v="617000"/>
    <x v="9"/>
    <s v="ETUDES - Recherche"/>
    <s v="AC"/>
    <n v="6842.4"/>
    <d v="2025-03-31T00:00:00"/>
    <s v="FACTURE OSIRIS MARS 25"/>
    <s v="Non"/>
    <s v="Non"/>
    <e v="#N/A"/>
    <n v="68996"/>
    <s v="93812623"/>
    <s v="OSIRIS"/>
    <s v="Q1"/>
    <e v="#REF!"/>
    <e v="#REF!"/>
    <e v="#REF!"/>
  </r>
  <r>
    <s v="617000"/>
    <x v="9"/>
    <s v="ETUDES - Recherche"/>
    <s v="AC"/>
    <n v="7014.22"/>
    <d v="2025-07-31T00:00:00"/>
    <s v="DIVERS OSIRIS JUILLET 25"/>
    <s v="Non"/>
    <s v="Non"/>
    <e v="#N/A"/>
    <n v="81766"/>
    <s v="93813439"/>
    <s v="OSIRIS"/>
    <s v="Q3"/>
    <e v="#REF!"/>
    <e v="#REF!"/>
    <e v="#REF!"/>
  </r>
  <r>
    <s v="617000"/>
    <x v="9"/>
    <s v="ETUDES - Recherche"/>
    <s v="AC"/>
    <n v="7500"/>
    <d v="2025-05-07T00:00:00"/>
    <s v="CONTRAT DE COLLABORATION DE RECHERCHE"/>
    <s v="Oui"/>
    <e v="#N/A"/>
    <e v="#N/A"/>
    <n v="73772"/>
    <s v="2110000565"/>
    <s v="CNAM"/>
    <s v="Q2"/>
    <e v="#REF!"/>
    <e v="#REF!"/>
    <e v="#REF!"/>
  </r>
  <r>
    <s v="617000"/>
    <x v="9"/>
    <s v="ETUDES - Recherche"/>
    <s v="AC"/>
    <n v="8301.2199999999993"/>
    <d v="2025-08-31T00:00:00"/>
    <s v="DIVERS OSIRIS AOUT"/>
    <s v="Non"/>
    <s v="Non"/>
    <e v="#N/A"/>
    <n v="81837"/>
    <s v="93813582"/>
    <s v="OSIRIS"/>
    <s v="Q3"/>
    <e v="#REF!"/>
    <e v="#REF!"/>
    <e v="#REF!"/>
  </r>
  <r>
    <s v="617000"/>
    <x v="9"/>
    <s v="ETUDES - Recherche"/>
    <s v="AC"/>
    <n v="8500"/>
    <d v="2025-01-20T00:00:00"/>
    <s v="ANALYSE MACHINE LEARNING DU STEP 1 DE PHOENIX V2020"/>
    <s v="Non"/>
    <e v="#N/A"/>
    <e v="#N/A"/>
    <n v="61288"/>
    <s v="F-2025-01-20-01"/>
    <s v="MAMA DATA"/>
    <s v="Q1"/>
    <e v="#REF!"/>
    <e v="#REF!"/>
    <e v="#REF!"/>
  </r>
  <r>
    <s v="617000"/>
    <x v="9"/>
    <s v="ETUDES - Recherche"/>
    <s v="AC"/>
    <n v="8507.0300000000007"/>
    <d v="2025-12-31T00:00:00"/>
    <s v="DIVERS OSIRIS DÉCEMBRE 25"/>
    <s v="Non"/>
    <s v="Non"/>
    <e v="#N/A"/>
    <n v="96081"/>
    <s v="93814456"/>
    <s v="OSIRIS"/>
    <s v="Q4"/>
    <e v="#REF!"/>
    <e v="#REF!"/>
    <e v="#REF!"/>
  </r>
  <r>
    <s v="617000"/>
    <x v="9"/>
    <s v="ETUDES - Recherche"/>
    <s v="AC"/>
    <n v="8981.2000000000007"/>
    <d v="2025-02-28T00:00:00"/>
    <s v="LABORATOIRE 02/2025 BTR 02/2025 FORFAIT 02/2025 SUITE SIGNATURE CONTRAT MOU"/>
    <s v="Non"/>
    <s v="Non"/>
    <e v="#N/A"/>
    <n v="64071"/>
    <s v="93812419"/>
    <s v="OSIRIS"/>
    <s v="Q1"/>
    <e v="#REF!"/>
    <e v="#REF!"/>
    <e v="#REF!"/>
  </r>
  <r>
    <s v="617000"/>
    <x v="9"/>
    <s v="ETUDES - Recherche"/>
    <s v="AC"/>
    <n v="9023.3700000000008"/>
    <d v="2025-09-30T00:00:00"/>
    <s v="DIVERS OSIRIS FACTURE MENSUELLE"/>
    <s v="Non"/>
    <s v="Non"/>
    <e v="#N/A"/>
    <n v="85142"/>
    <s v="93813825"/>
    <s v="OSIRIS"/>
    <s v="Q3"/>
    <e v="#REF!"/>
    <e v="#REF!"/>
    <e v="#REF!"/>
  </r>
  <r>
    <s v="617000"/>
    <x v="9"/>
    <s v="ETUDES - Recherche"/>
    <s v="AC"/>
    <n v="9173.52"/>
    <d v="2025-11-30T00:00:00"/>
    <s v="DIVERS OSIRIS"/>
    <s v="Non"/>
    <s v="Non"/>
    <e v="#N/A"/>
    <n v="92192"/>
    <s v="93814241"/>
    <s v="OSIRIS"/>
    <s v="Q4"/>
    <e v="#REF!"/>
    <e v="#REF!"/>
    <e v="#REF!"/>
  </r>
  <r>
    <s v="617000"/>
    <x v="9"/>
    <s v="ETUDES - Recherche"/>
    <s v="AC"/>
    <n v="9380"/>
    <d v="2025-03-18T00:00:00"/>
    <s v="ETUDES R&amp;D FLUX CONTINU - PARTIE 2 - ACTIVATION (HORS TEST SUR 48H)"/>
    <s v="Oui"/>
    <e v="#N/A"/>
    <e v="#N/A"/>
    <n v="67853"/>
    <s v="25/03/124/143"/>
    <s v="ACTIVATION"/>
    <s v="Q1"/>
    <e v="#REF!"/>
    <e v="#REF!"/>
    <e v="#REF!"/>
  </r>
  <r>
    <s v="617000"/>
    <x v="9"/>
    <s v="ETUDES - Recherche"/>
    <s v="AC"/>
    <n v="9581.07"/>
    <d v="2025-10-31T00:00:00"/>
    <s v="DIVERS OSIRIS OCTOBRE 25"/>
    <s v="Non"/>
    <s v="Non"/>
    <e v="#N/A"/>
    <n v="89904"/>
    <s v="93814026"/>
    <s v="OSIRIS"/>
    <s v="Q4"/>
    <e v="#REF!"/>
    <e v="#REF!"/>
    <e v="#REF!"/>
  </r>
  <r>
    <s v="617000"/>
    <x v="9"/>
    <s v="ETUDES - Recherche"/>
    <s v="AC"/>
    <n v="9793"/>
    <d v="2025-01-23T00:00:00"/>
    <s v="SYNTHÈSE ET DÉVELOPPEMENT DE 1KG CYANOBENZOIC ACID - KEENB"/>
    <s v="Oui"/>
    <e v="#N/A"/>
    <e v="#N/A"/>
    <n v="61299"/>
    <s v="RE250012"/>
    <s v="Taros Chemicals GmbH &amp; Co. KG"/>
    <s v="Q1"/>
    <e v="#REF!"/>
    <e v="#REF!"/>
    <e v="#REF!"/>
  </r>
  <r>
    <s v="617000"/>
    <x v="9"/>
    <s v="ETUDES - Recherche"/>
    <s v="AC"/>
    <n v="10714"/>
    <d v="2025-02-26T00:00:00"/>
    <s v="SYNTHÈSE ET DÉVELOPPEMENT DE 1KG CYANOBENZOIC ACID - KEENB"/>
    <s v="Oui"/>
    <e v="#N/A"/>
    <e v="#N/A"/>
    <n v="64124"/>
    <s v="INV/2025/00046"/>
    <s v="Taros Chemicals GmbH &amp; Co. KG"/>
    <s v="Q1"/>
    <e v="#REF!"/>
    <e v="#REF!"/>
    <e v="#REF!"/>
  </r>
  <r>
    <s v="617000"/>
    <x v="9"/>
    <s v="ETUDES - Recherche"/>
    <s v="AC"/>
    <n v="10715"/>
    <d v="2025-04-29T00:00:00"/>
    <s v="FIN DE LA SYNTHÈSE ET DÉVELOPPEMENT DE 1KG CYANOBENZOIC ACID - KEENB"/>
    <s v="Oui"/>
    <e v="#N/A"/>
    <e v="#N/A"/>
    <n v="76099"/>
    <s v="INV/2025/00106"/>
    <s v="Taros Chemicals GmbH &amp; Co. KG"/>
    <s v="Q2"/>
    <e v="#REF!"/>
    <e v="#REF!"/>
    <e v="#REF!"/>
  </r>
  <r>
    <s v="617000"/>
    <x v="9"/>
    <s v="ETUDES - Recherche"/>
    <s v="AC"/>
    <n v="14020"/>
    <d v="2025-03-18T00:00:00"/>
    <s v="ETUDES R&amp;D FLUX CONTINU - PARTIE 1 - ACTIVATION"/>
    <s v="Oui"/>
    <e v="#N/A"/>
    <e v="#N/A"/>
    <n v="67856"/>
    <s v="25/03/123/142"/>
    <s v="ACTIVATION"/>
    <s v="Q1"/>
    <e v="#REF!"/>
    <e v="#REF!"/>
    <e v="#REF!"/>
  </r>
  <r>
    <s v="617000"/>
    <x v="9"/>
    <s v="ETUDES - Recherche"/>
    <s v="AC"/>
    <n v="17443"/>
    <d v="2025-09-16T00:00:00"/>
    <s v="DÉV ET SYNTHÈSE INTERMÉDIAIRE KEENB KG-SCALE - 2E PARTIE"/>
    <s v="Oui"/>
    <e v="#N/A"/>
    <e v="#N/A"/>
    <n v="85120"/>
    <s v="INV/2025/00261"/>
    <s v="Taros Chemicals GmbH &amp; Co. KG"/>
    <s v="Q3"/>
    <e v="#REF!"/>
    <e v="#REF!"/>
    <e v="#REF!"/>
  </r>
  <r>
    <s v="617000"/>
    <x v="9"/>
    <s v="ETUDES - Recherche"/>
    <s v="AC"/>
    <n v="17444"/>
    <d v="2025-07-16T00:00:00"/>
    <s v="SYNTHÈSE ET DÉVELOPPEMENT DE 1KG-V2 DE 2-CBA - KEENB"/>
    <s v="Oui"/>
    <e v="#N/A"/>
    <e v="#N/A"/>
    <n v="81752"/>
    <s v="INV/2025/00193"/>
    <s v="Taros Chemicals GmbH &amp; Co. KG"/>
    <s v="Q3"/>
    <e v="#REF!"/>
    <e v="#REF!"/>
    <e v="#REF!"/>
  </r>
  <r>
    <s v="617000"/>
    <x v="9"/>
    <s v="ETUDES - Recherche"/>
    <s v="AC"/>
    <n v="17444"/>
    <d v="2025-07-16T00:00:00"/>
    <s v="SYNTHÈSE ET DÉVELOPPEMENT DE 1KG-V2 DE 2-CBA - KEENB"/>
    <s v="Oui"/>
    <e v="#N/A"/>
    <e v="#N/A"/>
    <n v="87180"/>
    <s v="INV/2025/00193"/>
    <s v="Taros Chemicals GmbH &amp; Co. KG"/>
    <s v="Q3"/>
    <e v="#REF!"/>
    <e v="#REF!"/>
    <e v="#REF!"/>
  </r>
  <r>
    <s v="617000"/>
    <x v="9"/>
    <s v="ETUDES - Recherche"/>
    <s v="AC"/>
    <n v="19945.28"/>
    <d v="2025-01-31T00:00:00"/>
    <s v="FACTURE OSIRIS JANVIER 25"/>
    <s v="Non"/>
    <s v="Non"/>
    <e v="#N/A"/>
    <n v="61371"/>
    <s v="93812200"/>
    <s v="OSIRIS"/>
    <s v="Q1"/>
    <e v="#REF!"/>
    <e v="#REF!"/>
    <e v="#REF!"/>
  </r>
  <r>
    <s v="617000"/>
    <x v="9"/>
    <s v="ETUDES - Recherche"/>
    <s v="AC"/>
    <n v="25000"/>
    <d v="2025-01-01T00:00:00"/>
    <s v="PRESTATION CIFRE N° 2021/1540 CNAM P ZIMBERLIN 2024 #3/3"/>
    <s v="Oui"/>
    <e v="#N/A"/>
    <e v="#N/A"/>
    <n v="73609"/>
    <s v="240011005"/>
    <s v="CNAM"/>
    <s v="Q1"/>
    <e v="#REF!"/>
    <e v="#REF!"/>
    <e v="#REF!"/>
  </r>
  <r>
    <s v="617000"/>
    <x v="9"/>
    <s v="ETUDES - Recherche"/>
    <s v="AC"/>
    <n v="76080"/>
    <d v="2025-11-06T00:00:00"/>
    <s v="ETUDE DE FAISABILITÉ DE L’HYDROGÉNATION DU PABA EN TOLUIDINE"/>
    <s v="Oui"/>
    <e v="#N/A"/>
    <e v="#N/A"/>
    <n v="91929"/>
    <s v="25/11/070/581"/>
    <s v="ACTIVATION"/>
    <s v="Q4"/>
    <e v="#REF!"/>
    <e v="#REF!"/>
    <e v="#REF!"/>
  </r>
  <r>
    <s v="617000"/>
    <x v="9"/>
    <s v="ETUDES - Recherche"/>
    <s v="AC"/>
    <n v="181545"/>
    <d v="2025-04-29T00:00:00"/>
    <s v="AVENANT 11 AU CONTRAT DE RECHERCHE TWB SIGNÉ LE 30/01/2018 1ER VERSEMENT AU 01/05/2025"/>
    <s v="Oui"/>
    <s v="Non"/>
    <e v="#N/A"/>
    <n v="71363"/>
    <s v="2110002592"/>
    <s v="INRAE TOULOUSE"/>
    <s v="Q2"/>
    <e v="#REF!"/>
    <e v="#REF!"/>
    <e v="#REF!"/>
  </r>
  <r>
    <s v="617000"/>
    <x v="9"/>
    <s v="ETUDES - Recherche"/>
    <s v="AC"/>
    <n v="363089"/>
    <d v="2025-12-03T00:00:00"/>
    <s v="AVENANT 11 CONTRAT RECHERCHE TWB - 2E ET 3E VERSEMENTS"/>
    <s v="Oui"/>
    <s v="Non"/>
    <e v="#N/A"/>
    <n v="92000"/>
    <s v="2110011866"/>
    <s v="INRAE TOULOUSE"/>
    <s v="Q4"/>
    <e v="#REF!"/>
    <e v="#REF!"/>
    <e v="#REF!"/>
  </r>
  <r>
    <s v="617000"/>
    <x v="9"/>
    <s v="ETUDES - Recherche"/>
    <s v="OD"/>
    <n v="-2750"/>
    <d v="2025-04-01T00:00:00"/>
    <s v="FNP TAROS SYNTHÈSE ET DÉVELOPPEMENT DE 1KG CYANOBENZOIC ACID - KEENB"/>
    <s v="Oui"/>
    <e v="#N/A"/>
    <e v="#N/A"/>
    <n v="77486"/>
    <m/>
    <s v="Taros Chemicals GmbH &amp; Co. KG"/>
    <s v="Q2"/>
    <e v="#REF!"/>
    <e v="#REF!"/>
    <e v="#REF!"/>
  </r>
  <r>
    <s v="617000"/>
    <x v="9"/>
    <s v="ETUDES - Recherche"/>
    <s v="OD"/>
    <n v="1800"/>
    <d v="2025-01-31T00:00:00"/>
    <s v="FREWITT - ESSAIS BROYAGE À SEC"/>
    <s v="Non"/>
    <e v="#N/A"/>
    <e v="#N/A"/>
    <n v="90531"/>
    <m/>
    <s v="FREWITT"/>
    <s v="Q1"/>
    <e v="#REF!"/>
    <e v="#REF!"/>
    <e v="#REF!"/>
  </r>
  <r>
    <s v="617000"/>
    <x v="9"/>
    <s v="ETUDES - Recherche"/>
    <s v="OD"/>
    <n v="2750"/>
    <d v="2025-03-31T00:00:00"/>
    <s v="FNP TAROS SYNTHÈSE ET DÉVELOPPEMENT DE 1KG CYANOBENZOIC ACID - KEENB"/>
    <s v="Oui"/>
    <e v="#N/A"/>
    <e v="#N/A"/>
    <n v="77488"/>
    <m/>
    <s v="Taros Chemicals GmbH &amp; Co. KG"/>
    <s v="Q1"/>
    <e v="#REF!"/>
    <e v="#REF!"/>
    <e v="#REF!"/>
  </r>
  <r>
    <s v="617000"/>
    <x v="9"/>
    <s v="ETUDES - Recherche"/>
    <s v="OD"/>
    <n v="2850"/>
    <d v="2025-01-31T00:00:00"/>
    <s v="CHILWORTH FRANCE SAS - ANALYSES ÉNERGIE MINIMALE D'INFLAMMATION (AA + INDIGO)"/>
    <s v="Oui"/>
    <e v="#N/A"/>
    <e v="#N/A"/>
    <n v="90511"/>
    <m/>
    <s v="CHILWORTH FRANCE SAS"/>
    <s v="Q1"/>
    <e v="#REF!"/>
    <e v="#REF!"/>
    <e v="#REF!"/>
  </r>
  <r>
    <s v="617000"/>
    <x v="9"/>
    <s v="ETUDES - Recherche"/>
    <s v="OD"/>
    <n v="3960"/>
    <d v="2025-01-31T00:00:00"/>
    <s v="CHILWORTH FRANCE SAS - ANALYSES TEMPÉRATURE MINIMALE D'INFLAMMATION (INDIGO + AA)"/>
    <s v="Oui"/>
    <e v="#N/A"/>
    <e v="#N/A"/>
    <n v="90515"/>
    <m/>
    <s v="CHILWORTH FRANCE SAS"/>
    <s v="Q1"/>
    <e v="#REF!"/>
    <e v="#REF!"/>
    <e v="#REF!"/>
  </r>
  <r>
    <s v="617000"/>
    <x v="9"/>
    <s v="ETUDES - Recherche"/>
    <s v="OD"/>
    <n v="33350"/>
    <d v="2025-01-01T00:00:00"/>
    <s v="Contrat Hébergement TWB"/>
    <s v="Oui"/>
    <s v="Non"/>
    <e v="#N/A"/>
    <n v="77118"/>
    <m/>
    <s v="INRAE TOULOUSE"/>
    <s v="Q1"/>
    <e v="#REF!"/>
    <e v="#REF!"/>
    <e v="#REF!"/>
  </r>
  <r>
    <s v="617000"/>
    <x v="9"/>
    <s v="ETUDES - Recherche"/>
    <s v="OD"/>
    <n v="33350"/>
    <d v="2025-02-01T00:00:00"/>
    <s v="Contrat Hébergement TWB"/>
    <s v="Oui"/>
    <s v="Non"/>
    <e v="#N/A"/>
    <n v="77112"/>
    <m/>
    <s v="INRAE TOULOUSE"/>
    <s v="Q1"/>
    <e v="#REF!"/>
    <e v="#REF!"/>
    <e v="#REF!"/>
  </r>
  <r>
    <s v="617000"/>
    <x v="9"/>
    <s v="ETUDES - Recherche"/>
    <s v="OD"/>
    <n v="33350"/>
    <d v="2025-03-01T00:00:00"/>
    <s v="Contrat Hébergement TWB"/>
    <s v="Oui"/>
    <s v="Non"/>
    <e v="#N/A"/>
    <n v="77115"/>
    <m/>
    <s v="INRAE TOULOUSE"/>
    <s v="Q1"/>
    <e v="#REF!"/>
    <e v="#REF!"/>
    <e v="#REF!"/>
  </r>
  <r>
    <s v="617000"/>
    <x v="9"/>
    <s v="ETUDES - Recherche"/>
    <s v="OD"/>
    <n v="33350"/>
    <d v="2025-04-01T00:00:00"/>
    <s v="Contrat Hébergement TWB"/>
    <s v="Oui"/>
    <s v="Non"/>
    <e v="#N/A"/>
    <n v="77106"/>
    <m/>
    <s v="INRAE TOULOUSE"/>
    <s v="Q2"/>
    <e v="#REF!"/>
    <e v="#REF!"/>
    <e v="#REF!"/>
  </r>
  <r>
    <s v="617000"/>
    <x v="9"/>
    <s v="ETUDES - Recherche"/>
    <s v="OD"/>
    <n v="33350"/>
    <d v="2025-05-01T00:00:00"/>
    <s v="Contrat Hébergement TWB"/>
    <s v="Oui"/>
    <s v="Non"/>
    <e v="#N/A"/>
    <n v="77122"/>
    <m/>
    <s v="INRAE TOULOUSE"/>
    <s v="Q2"/>
    <e v="#REF!"/>
    <e v="#REF!"/>
    <e v="#REF!"/>
  </r>
  <r>
    <s v="617000"/>
    <x v="9"/>
    <s v="ETUDES - Recherche"/>
    <s v="OD"/>
    <n v="33350"/>
    <d v="2025-06-01T00:00:00"/>
    <s v="Contrat Hébergement TWB"/>
    <s v="Oui"/>
    <s v="Non"/>
    <e v="#N/A"/>
    <n v="77125"/>
    <m/>
    <s v="INRAE TOULOUSE"/>
    <s v="Q2"/>
    <e v="#REF!"/>
    <e v="#REF!"/>
    <e v="#REF!"/>
  </r>
  <r>
    <s v="617000"/>
    <x v="9"/>
    <s v="ETUDES - Recherche"/>
    <s v="OD"/>
    <n v="33350"/>
    <d v="2025-07-01T00:00:00"/>
    <s v="Contrat Hébergement TWB"/>
    <s v="Oui"/>
    <s v="Non"/>
    <e v="#N/A"/>
    <n v="77162"/>
    <m/>
    <s v="INRAE TOULOUSE"/>
    <s v="Q3"/>
    <e v="#REF!"/>
    <e v="#REF!"/>
    <e v="#REF!"/>
  </r>
  <r>
    <s v="617000"/>
    <x v="9"/>
    <s v="ETUDES - Recherche"/>
    <s v="OD"/>
    <n v="33350"/>
    <d v="2025-08-01T00:00:00"/>
    <s v="Contrat Hébergement TWB"/>
    <s v="Oui"/>
    <s v="Non"/>
    <e v="#N/A"/>
    <n v="77165"/>
    <m/>
    <s v="INRAE TOULOUSE"/>
    <s v="Q3"/>
    <e v="#REF!"/>
    <e v="#REF!"/>
    <e v="#REF!"/>
  </r>
  <r>
    <s v="617000"/>
    <x v="9"/>
    <s v="ETUDES - Recherche"/>
    <s v="OD"/>
    <n v="33350"/>
    <d v="2025-09-01T00:00:00"/>
    <s v="Contrat Hébergement TWB"/>
    <s v="Oui"/>
    <s v="Non"/>
    <e v="#N/A"/>
    <n v="77171"/>
    <m/>
    <s v="INRAE TOULOUSE"/>
    <s v="Q3"/>
    <e v="#REF!"/>
    <e v="#REF!"/>
    <e v="#REF!"/>
  </r>
  <r>
    <s v="617000"/>
    <x v="9"/>
    <s v="ETUDES - Recherche"/>
    <s v="OD"/>
    <n v="33350"/>
    <d v="2025-10-01T00:00:00"/>
    <s v="Contrat Hébergement TWB"/>
    <s v="Oui"/>
    <s v="Non"/>
    <e v="#N/A"/>
    <n v="77168"/>
    <m/>
    <s v="INRAE TOULOUSE"/>
    <s v="Q4"/>
    <e v="#REF!"/>
    <e v="#REF!"/>
    <e v="#REF!"/>
  </r>
  <r>
    <s v="617000"/>
    <x v="9"/>
    <s v="ETUDES - Recherche"/>
    <s v="OD"/>
    <n v="33350"/>
    <d v="2025-11-01T00:00:00"/>
    <s v="Contrat Hébergement TWB"/>
    <s v="Oui"/>
    <s v="Non"/>
    <e v="#N/A"/>
    <n v="77174"/>
    <m/>
    <s v="INRAE TOULOUSE"/>
    <s v="Q4"/>
    <e v="#REF!"/>
    <e v="#REF!"/>
    <e v="#REF!"/>
  </r>
  <r>
    <s v="617000"/>
    <x v="9"/>
    <s v="ETUDES - Recherche"/>
    <s v="OD"/>
    <n v="33350"/>
    <d v="2025-12-01T00:00:00"/>
    <s v="Contrat Hébergement TWB"/>
    <s v="Oui"/>
    <s v="Non"/>
    <e v="#N/A"/>
    <n v="77177"/>
    <m/>
    <s v="INRAE TOULOUSE"/>
    <s v="Q4"/>
    <e v="#REF!"/>
    <e v="#REF!"/>
    <e v="#REF!"/>
  </r>
  <r>
    <s v="618100"/>
    <x v="10"/>
    <s v="Documentation"/>
    <s v="AC"/>
    <n v="33"/>
    <d v="2025-12-11T00:00:00"/>
    <s v="REGISTRE UNIQUE DE CONSIGNATION D'ALERTE (DANGERS GRAVES, SANTÉ PUBLIQUE ET ENVIRONNEMENT)"/>
    <m/>
    <m/>
    <m/>
    <n v="92170"/>
    <s v="E 25 28105"/>
    <s v="GUILLARD PREVISA"/>
    <s v="Q4"/>
    <e v="#REF!"/>
    <e v="#REF!"/>
    <e v="#REF!"/>
  </r>
  <r>
    <s v="618100"/>
    <x v="10"/>
    <s v="Documentation"/>
    <s v="AC"/>
    <n v="81.23"/>
    <d v="2025-03-06T00:00:00"/>
    <s v="QUARTERLY ABO JBL"/>
    <m/>
    <s v="Non"/>
    <m/>
    <n v="66077"/>
    <s v=" 839A57A0-0001"/>
    <s v="DIVERS"/>
    <s v="Q1"/>
    <e v="#REF!"/>
    <e v="#REF!"/>
    <e v="#REF!"/>
  </r>
  <r>
    <s v="618100"/>
    <x v="10"/>
    <s v="Documentation"/>
    <s v="AC"/>
    <n v="200"/>
    <d v="2025-11-01T00:00:00"/>
    <s v="RÉDACTION FDS INDIGO EN FRANÇAIS ET ANGLAIS"/>
    <m/>
    <m/>
    <m/>
    <n v="91092"/>
    <s v="FA000262"/>
    <s v="LEGICHEM SERVICES"/>
    <s v="Q4"/>
    <e v="#REF!"/>
    <e v="#REF!"/>
    <e v="#REF!"/>
  </r>
  <r>
    <s v="618100"/>
    <x v="10"/>
    <s v="Documentation"/>
    <s v="AC"/>
    <n v="635.65"/>
    <d v="2025-04-01T00:00:00"/>
    <s v="INFO CHIMIE MAGASINE MARS 25 À FÉVRIER 26"/>
    <m/>
    <m/>
    <m/>
    <n v="71299"/>
    <s v="FA1145047"/>
    <s v="ETAI"/>
    <s v="Q2"/>
    <e v="#REF!"/>
    <e v="#REF!"/>
    <e v="#REF!"/>
  </r>
  <r>
    <s v="618100"/>
    <x v="10"/>
    <s v="Documentation"/>
    <s v="AC"/>
    <n v="1582.5"/>
    <d v="2025-06-13T00:00:00"/>
    <s v="BASE DE DONNÉES ACV ECOINVENT 3.1"/>
    <m/>
    <m/>
    <m/>
    <n v="78023"/>
    <s v="23"/>
    <s v="GREENDELTA"/>
    <s v="Q2"/>
    <e v="#REF!"/>
    <e v="#REF!"/>
    <e v="#REF!"/>
  </r>
  <r>
    <s v="618100"/>
    <x v="10"/>
    <s v="Documentation"/>
    <s v="JC"/>
    <n v="46"/>
    <d v="2025-01-01T00:00:00"/>
    <s v="CCA ETAI INFO CHIMIE MAGAZINE"/>
    <m/>
    <m/>
    <m/>
    <n v="86629"/>
    <m/>
    <s v="ETAI"/>
    <s v="Q1"/>
    <e v="#REF!"/>
    <e v="#REF!"/>
    <e v="#REF!"/>
  </r>
  <r>
    <s v="618100"/>
    <x v="10"/>
    <s v="Documentation"/>
    <s v="JC"/>
    <n v="46"/>
    <d v="2025-02-01T00:00:00"/>
    <s v="CCA ETAI INFO CHIMIE MAGAZINE"/>
    <m/>
    <m/>
    <m/>
    <n v="86630"/>
    <m/>
    <s v="ETAI"/>
    <s v="Q1"/>
    <e v="#REF!"/>
    <e v="#REF!"/>
    <e v="#REF!"/>
  </r>
  <r>
    <s v="618100"/>
    <x v="10"/>
    <s v="Documentation"/>
    <s v="NDF"/>
    <n v="28.44"/>
    <d v="2025-01-08T00:00:00"/>
    <s v="NDF"/>
    <m/>
    <m/>
    <m/>
    <n v="75438"/>
    <s v="25000006"/>
    <s v="Marie-Sarah Adenis"/>
    <s v="Q1"/>
    <e v="#REF!"/>
    <e v="#REF!"/>
    <e v="#REF!"/>
  </r>
  <r>
    <s v="618500"/>
    <x v="10"/>
    <s v="Evénements internes, Séminaires"/>
    <s v="AC"/>
    <n v="-165"/>
    <d v="2025-11-01T00:00:00"/>
    <s v="ANNULATION CHEM DAY"/>
    <m/>
    <m/>
    <m/>
    <n v="91803"/>
    <s v="ANNULATION CHEM DAY"/>
    <s v="CHIMIE PROMOTION"/>
    <s v="Q4"/>
    <e v="#REF!"/>
    <e v="#REF!"/>
    <e v="#REF!"/>
  </r>
  <r>
    <s v="618500"/>
    <x v="10"/>
    <s v="Evénements internes, Séminaires"/>
    <s v="AC"/>
    <n v="-30"/>
    <d v="2025-10-20T00:00:00"/>
    <s v="annulation WEBINAIRE - PRÉSENTATION DES PLATEFORMES SCIENTIFIQUES ET TECHNOLOGIQUES 22-05"/>
    <m/>
    <s v="Non"/>
    <s v="Oui"/>
    <n v="87150"/>
    <m/>
    <s v="AXELERA"/>
    <s v="Q4"/>
    <e v="#REF!"/>
    <e v="#REF!"/>
    <e v="#REF!"/>
  </r>
  <r>
    <s v="618500"/>
    <x v="10"/>
    <s v="Evénements internes, Séminaires"/>
    <s v="AC"/>
    <n v="30"/>
    <d v="2025-04-03T00:00:00"/>
    <s v="WEBINAIRE - PRÉSENTATION DES PLATEFORMES SCIENTIFIQUES ET TECHNOLOGIQUES 22-05"/>
    <m/>
    <s v="Non"/>
    <s v="Oui"/>
    <n v="69705"/>
    <s v="M138284121"/>
    <s v="AXELERA"/>
    <s v="Q2"/>
    <e v="#REF!"/>
    <e v="#REF!"/>
    <e v="#REF!"/>
  </r>
  <r>
    <s v="618500"/>
    <x v="10"/>
    <s v="Evénements internes, Séminaires"/>
    <s v="AC"/>
    <n v="50.05"/>
    <d v="2025-09-19T00:00:00"/>
    <s v="TRAITEUR SÉMINAIRE PILI (JEUDI 18 SEPT. SOIR)"/>
    <m/>
    <m/>
    <m/>
    <n v="82742"/>
    <s v="F-2025-1596"/>
    <s v="CANOVAS STEVE EI"/>
    <s v="Q3"/>
    <e v="#REF!"/>
    <e v="#REF!"/>
    <e v="#REF!"/>
  </r>
  <r>
    <s v="618500"/>
    <x v="10"/>
    <s v="Evénements internes, Séminaires"/>
    <s v="AC"/>
    <n v="72"/>
    <d v="2025-12-08T00:00:00"/>
    <s v="FACTURE EXTRA BIÈRES 10 ANS PILI"/>
    <m/>
    <m/>
    <m/>
    <n v="92010"/>
    <s v="FACT-20251208-23397"/>
    <s v="Kymono"/>
    <s v="Q4"/>
    <e v="#REF!"/>
    <e v="#REF!"/>
    <e v="#REF!"/>
  </r>
  <r>
    <s v="618500"/>
    <x v="10"/>
    <s v="Evénements internes, Séminaires"/>
    <s v="AC"/>
    <n v="80"/>
    <d v="2025-10-31T00:00:00"/>
    <s v="JOURNÉE TECHNIQUE : SÉPARATIONS SOLIDE / LIQUIDE"/>
    <m/>
    <s v="Non"/>
    <s v="Oui"/>
    <n v="91399"/>
    <s v="M156506189"/>
    <s v="AXELERA"/>
    <s v="Q4"/>
    <e v="#REF!"/>
    <e v="#REF!"/>
    <e v="#REF!"/>
  </r>
  <r>
    <s v="618500"/>
    <x v="10"/>
    <s v="Evénements internes, Séminaires"/>
    <s v="AC"/>
    <n v="119.2"/>
    <d v="2025-10-13T00:00:00"/>
    <s v="TRAITEUR CS"/>
    <m/>
    <m/>
    <m/>
    <n v="87079"/>
    <s v="F-1013-1766"/>
    <s v="LES BOUFFESQUETAIRES"/>
    <s v="Q4"/>
    <e v="#REF!"/>
    <e v="#REF!"/>
    <e v="#REF!"/>
  </r>
  <r>
    <s v="618500"/>
    <x v="10"/>
    <s v="Evénements internes, Séminaires"/>
    <s v="AC"/>
    <n v="120"/>
    <d v="2025-04-05T00:00:00"/>
    <s v="TRAITEUR DÉJEUNER CS 27 MARS 2025"/>
    <m/>
    <m/>
    <m/>
    <n v="69721"/>
    <s v="F-0405-1426"/>
    <s v="LES BOUFFESQUETAIRES"/>
    <s v="Q2"/>
    <e v="#REF!"/>
    <e v="#REF!"/>
    <e v="#REF!"/>
  </r>
  <r>
    <s v="618500"/>
    <x v="10"/>
    <s v="Evénements internes, Séminaires"/>
    <s v="AC"/>
    <n v="120.99"/>
    <d v="2025-03-04T00:00:00"/>
    <s v="CONGRÈS BIOKET (GALA DINNER)"/>
    <m/>
    <s v="Non"/>
    <m/>
    <n v="65995"/>
    <s v="18"/>
    <s v="DIVERS"/>
    <s v="Q1"/>
    <e v="#REF!"/>
    <e v="#REF!"/>
    <e v="#REF!"/>
  </r>
  <r>
    <s v="618500"/>
    <x v="10"/>
    <s v="Evénements internes, Séminaires"/>
    <s v="AC"/>
    <n v="128"/>
    <d v="2025-11-24T00:00:00"/>
    <s v="AR PARIS 10 ANS PILI"/>
    <m/>
    <m/>
    <m/>
    <n v="91464"/>
    <s v="422790"/>
    <s v="SNCF"/>
    <s v="Q4"/>
    <e v="#REF!"/>
    <e v="#REF!"/>
    <e v="#REF!"/>
  </r>
  <r>
    <s v="618500"/>
    <x v="10"/>
    <s v="Evénements internes, Séminaires"/>
    <s v="AC"/>
    <n v="147.5"/>
    <d v="2025-09-19T00:00:00"/>
    <s v="LOCATION MINIBUS ÉQUIPE ROUSSILLON DÉPLACEMENT SÉMINAIRE PILI"/>
    <m/>
    <m/>
    <m/>
    <n v="82738"/>
    <s v="FC05250614"/>
    <s v="GINE-LOG"/>
    <s v="Q3"/>
    <e v="#REF!"/>
    <e v="#REF!"/>
    <e v="#REF!"/>
  </r>
  <r>
    <s v="618500"/>
    <x v="10"/>
    <s v="Evénements internes, Séminaires"/>
    <s v="AC"/>
    <n v="165"/>
    <d v="2025-07-29T00:00:00"/>
    <s v="ENTRÉE ÉVÉNEMENT CHEMDAY"/>
    <m/>
    <m/>
    <m/>
    <n v="80900"/>
    <s v="22"/>
    <s v="CHIMIE PROMOTION"/>
    <s v="Q3"/>
    <e v="#REF!"/>
    <e v="#REF!"/>
    <e v="#REF!"/>
  </r>
  <r>
    <s v="618500"/>
    <x v="10"/>
    <s v="Evénements internes, Séminaires"/>
    <s v="AC"/>
    <n v="174.99"/>
    <d v="2025-06-11T00:00:00"/>
    <s v="MEMBERSHIP AICHEMICAL ENGINEERING - VEILLE ET NETWORKING US"/>
    <m/>
    <m/>
    <m/>
    <n v="78015"/>
    <s v="20"/>
    <s v="AIChE"/>
    <s v="Q2"/>
    <e v="#REF!"/>
    <e v="#REF!"/>
    <e v="#REF!"/>
  </r>
  <r>
    <s v="618500"/>
    <x v="10"/>
    <s v="Evénements internes, Séminaires"/>
    <s v="AC"/>
    <n v="230.49"/>
    <d v="2025-11-25T00:00:00"/>
    <s v="AIRBNB POUR CLÉMENT, LIONEL ET PIERRE À TOULOUSE POUR LE PS"/>
    <m/>
    <m/>
    <m/>
    <n v="91469"/>
    <s v="41"/>
    <s v="AIRBNB"/>
    <s v="Q4"/>
    <e v="#REF!"/>
    <e v="#REF!"/>
    <e v="#REF!"/>
  </r>
  <r>
    <s v="618500"/>
    <x v="10"/>
    <s v="Evénements internes, Séminaires"/>
    <s v="AC"/>
    <n v="240.82"/>
    <d v="2025-11-05T00:00:00"/>
    <s v="NUITÉE HÔTEL SOIRÉE 10 ANS PILI X 2 PERSONNES (PYB ET JLA)"/>
    <m/>
    <m/>
    <m/>
    <n v="91427"/>
    <s v="22"/>
    <s v="HOTELS"/>
    <s v="Q4"/>
    <e v="#REF!"/>
    <e v="#REF!"/>
    <e v="#REF!"/>
  </r>
  <r>
    <s v="618500"/>
    <x v="10"/>
    <s v="Evénements internes, Séminaires"/>
    <s v="AC"/>
    <n v="270"/>
    <d v="2025-09-30T00:00:00"/>
    <s v="ENTRETIEN DU LINGE DU SÉMINAIRE DU 17 AU 19 SEPTEMBRE 2025 - 36 COUCHAGES"/>
    <m/>
    <m/>
    <m/>
    <n v="87276"/>
    <s v="9301-25"/>
    <s v="DOMAINE DE CHRISTIN SAS"/>
    <s v="Q3"/>
    <e v="#REF!"/>
    <e v="#REF!"/>
    <e v="#REF!"/>
  </r>
  <r>
    <s v="618500"/>
    <x v="10"/>
    <s v="Evénements internes, Séminaires"/>
    <s v="AC"/>
    <n v="276.04000000000002"/>
    <d v="2025-12-12T00:00:00"/>
    <s v="FACTURE MINIBUS POUR DÉPLACEMENT ROUSSILLON À TOULOUSE (PS)"/>
    <m/>
    <m/>
    <m/>
    <n v="92999"/>
    <s v="FC05250830"/>
    <s v="GINE-LOG"/>
    <s v="Q4"/>
    <e v="#REF!"/>
    <e v="#REF!"/>
    <e v="#REF!"/>
  </r>
  <r>
    <s v="618500"/>
    <x v="10"/>
    <s v="Evénements internes, Séminaires"/>
    <s v="AC"/>
    <n v="300"/>
    <d v="2025-06-16T00:00:00"/>
    <s v="PARTICIPATION TECH DAY"/>
    <m/>
    <s v="Non"/>
    <s v="Oui"/>
    <n v="78039"/>
    <s v="28"/>
    <s v="BIOECONOMY FOR CHANGE"/>
    <s v="Q2"/>
    <e v="#REF!"/>
    <e v="#REF!"/>
    <e v="#REF!"/>
  </r>
  <r>
    <s v="618500"/>
    <x v="10"/>
    <s v="Evénements internes, Séminaires"/>
    <s v="AC"/>
    <n v="300"/>
    <d v="2025-09-24T00:00:00"/>
    <s v="INSCRIPTION TECHDAY POUR FILIPE ET VINCENT"/>
    <m/>
    <m/>
    <m/>
    <n v="83018"/>
    <s v="F12491419"/>
    <s v="BILLETWEB"/>
    <s v="Q3"/>
    <e v="#REF!"/>
    <e v="#REF!"/>
    <e v="#REF!"/>
  </r>
  <r>
    <s v="618500"/>
    <x v="10"/>
    <s v="Evénements internes, Séminaires"/>
    <s v="AC"/>
    <n v="318"/>
    <d v="2025-04-16T00:00:00"/>
    <s v="ACOMPTE DÉJEUNER CONSORTIUM C4C TOULOUSE - COLOU4CRAFT"/>
    <m/>
    <m/>
    <m/>
    <n v="69813"/>
    <s v=" bxru06ns"/>
    <s v="FANNY RAVIER"/>
    <s v="Q2"/>
    <e v="#REF!"/>
    <e v="#REF!"/>
    <e v="#REF!"/>
  </r>
  <r>
    <s v="618500"/>
    <x v="10"/>
    <s v="Evénements internes, Séminaires"/>
    <s v="AC"/>
    <n v="329.7"/>
    <d v="2025-09-10T00:00:00"/>
    <s v="DÉPLACEMENT VÉHICULE TOULOUSE SÉMINAIRE"/>
    <m/>
    <m/>
    <m/>
    <n v="82982"/>
    <s v="20"/>
    <s v="GETAROUND"/>
    <s v="Q3"/>
    <e v="#REF!"/>
    <e v="#REF!"/>
    <e v="#REF!"/>
  </r>
  <r>
    <s v="618500"/>
    <x v="10"/>
    <s v="Evénements internes, Séminaires"/>
    <s v="AC"/>
    <n v="351.33"/>
    <d v="2025-11-12T00:00:00"/>
    <s v="CHAMPAGNE SOIRÉE 10 ANS PILI"/>
    <m/>
    <m/>
    <m/>
    <n v="89967"/>
    <s v="20251089"/>
    <s v="GUERLET-DEGUERNE"/>
    <s v="Q4"/>
    <e v="#REF!"/>
    <e v="#REF!"/>
    <e v="#REF!"/>
  </r>
  <r>
    <s v="618500"/>
    <x v="10"/>
    <s v="Evénements internes, Séminaires"/>
    <s v="AC"/>
    <n v="351.7"/>
    <d v="2025-09-10T00:00:00"/>
    <s v="DÉPLACEMENT SÉMINAIRE"/>
    <m/>
    <m/>
    <m/>
    <n v="82984"/>
    <s v="21"/>
    <s v="GETAROUND"/>
    <s v="Q3"/>
    <e v="#REF!"/>
    <e v="#REF!"/>
    <e v="#REF!"/>
  </r>
  <r>
    <s v="618500"/>
    <x v="10"/>
    <s v="Evénements internes, Séminaires"/>
    <s v="AC"/>
    <n v="362.31"/>
    <d v="2025-03-14T00:00:00"/>
    <s v="CONGRÈS CIB"/>
    <m/>
    <s v="Non"/>
    <m/>
    <n v="66124"/>
    <s v="1005088944"/>
    <s v="DIVERS"/>
    <s v="Q1"/>
    <e v="#REF!"/>
    <e v="#REF!"/>
    <e v="#REF!"/>
  </r>
  <r>
    <s v="618500"/>
    <x v="10"/>
    <s v="Evénements internes, Séminaires"/>
    <s v="AC"/>
    <n v="391.51"/>
    <d v="2025-10-29T00:00:00"/>
    <s v="INSCRIPTION AU CPHI"/>
    <m/>
    <m/>
    <m/>
    <n v="89651"/>
    <s v="35"/>
    <s v="INFORMA MARKETS"/>
    <s v="Q4"/>
    <e v="#REF!"/>
    <e v="#REF!"/>
    <e v="#REF!"/>
  </r>
  <r>
    <s v="618500"/>
    <x v="10"/>
    <s v="Evénements internes, Séminaires"/>
    <s v="AC"/>
    <n v="394.17"/>
    <d v="2025-11-12T00:00:00"/>
    <s v="COMMANDE VIN SOIRÉE 10 ANS PILI"/>
    <m/>
    <m/>
    <m/>
    <n v="90054"/>
    <s v="260097"/>
    <s v="ROLAND GRANGIER"/>
    <s v="Q4"/>
    <e v="#REF!"/>
    <e v="#REF!"/>
    <e v="#REF!"/>
  </r>
  <r>
    <s v="618500"/>
    <x v="10"/>
    <s v="Evénements internes, Séminaires"/>
    <s v="AC"/>
    <n v="404"/>
    <d v="2025-09-23T00:00:00"/>
    <s v="PRESTATION TRAITEUR SÉMINAIRE PILI"/>
    <m/>
    <m/>
    <m/>
    <n v="87052"/>
    <s v="TG34/3888"/>
    <s v="TRAITEUR GRAND"/>
    <s v="Q3"/>
    <e v="#REF!"/>
    <e v="#REF!"/>
    <e v="#REF!"/>
  </r>
  <r>
    <s v="618500"/>
    <x v="10"/>
    <s v="Evénements internes, Séminaires"/>
    <s v="AC"/>
    <n v="430.7"/>
    <d v="2025-09-10T00:00:00"/>
    <s v="LOCATION DE MINIBUS POUR LE SÉMINAIRE SUR GETAROUND  (LOCATION + ASSURANCE)"/>
    <m/>
    <m/>
    <m/>
    <n v="82988"/>
    <s v="23"/>
    <s v="GETAROUND"/>
    <s v="Q3"/>
    <e v="#REF!"/>
    <e v="#REF!"/>
    <e v="#REF!"/>
  </r>
  <r>
    <s v="618500"/>
    <x v="10"/>
    <s v="Evénements internes, Séminaires"/>
    <s v="AC"/>
    <n v="450"/>
    <d v="2025-07-07T00:00:00"/>
    <s v="FACTURE CONFÉRENCE PYB AFTPVA"/>
    <m/>
    <m/>
    <m/>
    <n v="78899"/>
    <s v="MED 2025/07/02"/>
    <s v="AFTPVA"/>
    <s v="Q3"/>
    <e v="#REF!"/>
    <e v="#REF!"/>
    <e v="#REF!"/>
  </r>
  <r>
    <s v="618500"/>
    <x v="10"/>
    <s v="Evénements internes, Séminaires"/>
    <s v="AC"/>
    <n v="465.82"/>
    <d v="2025-11-05T00:00:00"/>
    <s v="LOGEMENT PILI SCIENCE DÉC 2025 - ÉQUIPE KB"/>
    <m/>
    <m/>
    <m/>
    <n v="91424"/>
    <s v="RC3XAE3FY3"/>
    <s v="AIRBNB"/>
    <s v="Q4"/>
    <e v="#REF!"/>
    <e v="#REF!"/>
    <e v="#REF!"/>
  </r>
  <r>
    <s v="618500"/>
    <x v="10"/>
    <s v="Evénements internes, Séminaires"/>
    <s v="AC"/>
    <n v="543"/>
    <d v="2025-11-05T00:00:00"/>
    <s v="TRAIN PILI SCIENCE DÉC 2025 - ÉQUIPE KB"/>
    <m/>
    <m/>
    <m/>
    <n v="91418"/>
    <s v="190569854-20251105"/>
    <s v="SNCF"/>
    <s v="Q4"/>
    <e v="#REF!"/>
    <e v="#REF!"/>
    <e v="#REF!"/>
  </r>
  <r>
    <s v="618500"/>
    <x v="10"/>
    <s v="Evénements internes, Séminaires"/>
    <s v="AC"/>
    <n v="566.26"/>
    <d v="2025-11-26T00:00:00"/>
    <s v="LOGEMENT TOULOUSE (MAUD, SEPHORA, ANNE-SOPHIE, MARIE)"/>
    <m/>
    <m/>
    <m/>
    <n v="93919"/>
    <s v="1"/>
    <s v="AIRBNB"/>
    <s v="Q4"/>
    <e v="#REF!"/>
    <e v="#REF!"/>
    <e v="#REF!"/>
  </r>
  <r>
    <s v="618500"/>
    <x v="10"/>
    <s v="Evénements internes, Séminaires"/>
    <s v="AC"/>
    <n v="593"/>
    <d v="2025-04-05T00:00:00"/>
    <s v="TRAITEUR DÉJEUNER CS 27 MARS 2025"/>
    <m/>
    <m/>
    <m/>
    <n v="69720"/>
    <s v="F-0405-1426"/>
    <s v="LES BOUFFESQUETAIRES"/>
    <s v="Q2"/>
    <e v="#REF!"/>
    <e v="#REF!"/>
    <e v="#REF!"/>
  </r>
  <r>
    <s v="618500"/>
    <x v="10"/>
    <s v="Evénements internes, Séminaires"/>
    <s v="AC"/>
    <n v="623"/>
    <d v="2025-10-13T00:00:00"/>
    <s v="TRAITEUR CS"/>
    <m/>
    <m/>
    <m/>
    <n v="87080"/>
    <s v="F-1013-1766"/>
    <s v="LES BOUFFESQUETAIRES"/>
    <s v="Q4"/>
    <e v="#REF!"/>
    <e v="#REF!"/>
    <e v="#REF!"/>
  </r>
  <r>
    <s v="618500"/>
    <x v="10"/>
    <s v="Evénements internes, Séminaires"/>
    <s v="AC"/>
    <n v="742.8"/>
    <d v="2025-05-27T00:00:00"/>
    <s v="DÉJEUNER CONSORTIUM C4C"/>
    <m/>
    <m/>
    <m/>
    <n v="74462"/>
    <s v="147"/>
    <s v="FANNY RAVIER"/>
    <s v="Q2"/>
    <e v="#REF!"/>
    <e v="#REF!"/>
    <e v="#REF!"/>
  </r>
  <r>
    <s v="618500"/>
    <x v="10"/>
    <s v="Evénements internes, Séminaires"/>
    <s v="AC"/>
    <n v="874.5"/>
    <d v="2025-09-19T00:00:00"/>
    <s v="TRAITEUR SÉMINAIRE PILI (JEUDI 18 SEPT. SOIR)"/>
    <m/>
    <m/>
    <m/>
    <n v="82743"/>
    <s v="F-2025-1596"/>
    <s v="CANOVAS STEVE EI"/>
    <s v="Q3"/>
    <e v="#REF!"/>
    <e v="#REF!"/>
    <e v="#REF!"/>
  </r>
  <r>
    <s v="618500"/>
    <x v="10"/>
    <s v="Evénements internes, Séminaires"/>
    <s v="AC"/>
    <n v="875"/>
    <d v="2025-02-12T00:00:00"/>
    <s v="TABLES/CHAISES/VIDÉOPROJ POUR CONSEIL SCIENTIFIQUE"/>
    <m/>
    <m/>
    <n v="0"/>
    <n v="61474"/>
    <s v="225020109"/>
    <s v="LOCAPROD EVENEMENT"/>
    <s v="Q1"/>
    <e v="#REF!"/>
    <e v="#REF!"/>
    <e v="#REF!"/>
  </r>
  <r>
    <s v="618500"/>
    <x v="10"/>
    <s v="Evénements internes, Séminaires"/>
    <s v="AC"/>
    <n v="900"/>
    <d v="2025-03-10T00:00:00"/>
    <s v="LOGEMENT SÉMINAIRE PILI 2025 ECHÉANCIER DES RÈGLEMENTS, PAR VIREMENTS BANCAIRES : •300€ AVANT LE 17 MARS 2025 •450€ AVANT LE 17"/>
    <m/>
    <m/>
    <m/>
    <n v="66144"/>
    <s v="3101-25"/>
    <s v="BURAY ERIC"/>
    <s v="Q1"/>
    <e v="#REF!"/>
    <e v="#REF!"/>
    <e v="#REF!"/>
  </r>
  <r>
    <s v="618500"/>
    <x v="10"/>
    <s v="Evénements internes, Séminaires"/>
    <s v="AC"/>
    <n v="950"/>
    <d v="2025-12-11T00:00:00"/>
    <s v="RESTAURANT GROUPE PS DEC 2025"/>
    <m/>
    <m/>
    <m/>
    <n v="94814"/>
    <s v="031"/>
    <s v="RJM LA ROSA NEGRA"/>
    <s v="Q4"/>
    <e v="#REF!"/>
    <e v="#REF!"/>
    <e v="#REF!"/>
  </r>
  <r>
    <s v="618500"/>
    <x v="10"/>
    <s v="Evénements internes, Séminaires"/>
    <s v="AC"/>
    <n v="992"/>
    <d v="2025-09-18T00:00:00"/>
    <s v="ANIMATION SÉMINAIRE PILI 2025"/>
    <m/>
    <m/>
    <m/>
    <n v="94267"/>
    <s v="F20250908"/>
    <s v="MISTERAVENTURE"/>
    <s v="Q3"/>
    <e v="#REF!"/>
    <e v="#REF!"/>
    <e v="#REF!"/>
  </r>
  <r>
    <s v="618500"/>
    <x v="10"/>
    <s v="Evénements internes, Séminaires"/>
    <s v="AC"/>
    <n v="1000"/>
    <d v="2025-03-10T00:00:00"/>
    <s v="LOCATION LOGEMENT SÉMINAIRE PILI 2025 ECHÉANCIER DES RÈGLEMENTS, PAR VIREMENTS BANCAIRES : • 984€ AVANT LE 17 MARS 2025 • 1640€"/>
    <m/>
    <m/>
    <m/>
    <n v="66057"/>
    <s v="3101-25"/>
    <s v="DOMAINE DE CHRISTIN SAS"/>
    <s v="Q1"/>
    <e v="#REF!"/>
    <e v="#REF!"/>
    <e v="#REF!"/>
  </r>
  <r>
    <s v="618500"/>
    <x v="10"/>
    <s v="Evénements internes, Séminaires"/>
    <s v="AC"/>
    <n v="1000"/>
    <d v="2025-03-10T00:00:00"/>
    <s v="LOGEMENT SÉMINAIRE PILI 2025 ECHÉANCIER DES RÈGLEMENTS, PAR VIREMENTS BANCAIRES : •1290€ AVANT LE 17 MARS 2025 •2150€ AVANT LE 1"/>
    <m/>
    <m/>
    <m/>
    <n v="66114"/>
    <s v="3101-25"/>
    <s v="LMDA"/>
    <s v="Q1"/>
    <e v="#REF!"/>
    <e v="#REF!"/>
    <e v="#REF!"/>
  </r>
  <r>
    <s v="618500"/>
    <x v="10"/>
    <s v="Evénements internes, Séminaires"/>
    <s v="AC"/>
    <n v="1026"/>
    <d v="2025-10-06T00:00:00"/>
    <s v="LOCATION N°225070176 DU 01/10/25 AU 03/10/25 - CS PILI"/>
    <m/>
    <m/>
    <n v="0"/>
    <n v="84991"/>
    <s v="C5101347"/>
    <s v="LOCAPROD EVENEMENT"/>
    <s v="Q4"/>
    <e v="#REF!"/>
    <e v="#REF!"/>
    <e v="#REF!"/>
  </r>
  <r>
    <s v="618500"/>
    <x v="10"/>
    <s v="Evénements internes, Séminaires"/>
    <s v="AC"/>
    <n v="1044"/>
    <d v="2025-07-30T00:00:00"/>
    <s v="AR SÉMINAIRE PILISTES KB (8 PERS)"/>
    <m/>
    <m/>
    <m/>
    <n v="80904"/>
    <s v="3521332239-20250730"/>
    <s v="SNCF"/>
    <s v="Q3"/>
    <e v="#REF!"/>
    <e v="#REF!"/>
    <e v="#REF!"/>
  </r>
  <r>
    <s v="618500"/>
    <x v="10"/>
    <s v="Evénements internes, Séminaires"/>
    <s v="AC"/>
    <n v="1242.8"/>
    <d v="2025-09-23T00:00:00"/>
    <s v="PRESTATION TRAITEUR SÉMINAIRE PILI"/>
    <m/>
    <m/>
    <m/>
    <n v="87053"/>
    <s v="TG34/3888"/>
    <s v="TRAITEUR GRAND"/>
    <s v="Q3"/>
    <e v="#REF!"/>
    <e v="#REF!"/>
    <e v="#REF!"/>
  </r>
  <r>
    <s v="618500"/>
    <x v="10"/>
    <s v="Evénements internes, Séminaires"/>
    <s v="AC"/>
    <n v="1761.79"/>
    <d v="2025-07-16T00:00:00"/>
    <s v="TICKET CONFÉRENCE RMC GBW"/>
    <m/>
    <m/>
    <m/>
    <n v="81213"/>
    <s v="RMC25-0068"/>
    <s v="NOVA-INSTITUT"/>
    <s v="Q3"/>
    <e v="#REF!"/>
    <e v="#REF!"/>
    <e v="#REF!"/>
  </r>
  <r>
    <s v="618500"/>
    <x v="10"/>
    <s v="Evénements internes, Séminaires"/>
    <s v="AC"/>
    <n v="1900"/>
    <d v="2025-03-10T00:00:00"/>
    <s v="LOCATION LOGEMENT SÉMINAIRE PILI 2025 ECHÉANCIER DES RÈGLEMENTS, PAR VIREMENTS BANCAIRES : • 984€ AVANT LE 17 MARS 2025 • 1640€"/>
    <m/>
    <m/>
    <m/>
    <n v="66056"/>
    <s v="3101-25"/>
    <s v="DOMAINE DE CHRISTIN SAS"/>
    <s v="Q1"/>
    <e v="#REF!"/>
    <e v="#REF!"/>
    <e v="#REF!"/>
  </r>
  <r>
    <s v="618500"/>
    <x v="10"/>
    <s v="Evénements internes, Séminaires"/>
    <s v="AC"/>
    <n v="3200"/>
    <d v="2025-03-10T00:00:00"/>
    <s v="LOGEMENT SÉMINAIRE PILI 2025 ECHÉANCIER DES RÈGLEMENTS, PAR VIREMENTS BANCAIRES : •1290€ AVANT LE 17 MARS 2025 •2150€ AVANT LE 1"/>
    <m/>
    <m/>
    <m/>
    <n v="66115"/>
    <s v="3101-25"/>
    <s v="LMDA"/>
    <s v="Q1"/>
    <e v="#REF!"/>
    <e v="#REF!"/>
    <e v="#REF!"/>
  </r>
  <r>
    <s v="618500"/>
    <x v="10"/>
    <s v="Evénements internes, Séminaires"/>
    <s v="AC"/>
    <n v="3734.8"/>
    <d v="2025-09-23T00:00:00"/>
    <s v="PRESTATION TRAITEUR SÉMINAIRE PILI"/>
    <m/>
    <m/>
    <m/>
    <n v="87054"/>
    <s v="TG34/3888"/>
    <s v="TRAITEUR GRAND"/>
    <s v="Q3"/>
    <e v="#REF!"/>
    <e v="#REF!"/>
    <e v="#REF!"/>
  </r>
  <r>
    <s v="618500"/>
    <x v="10"/>
    <s v="Evénements internes, Séminaires"/>
    <s v="AC"/>
    <n v="4950"/>
    <d v="2025-03-05T00:00:00"/>
    <s v="SOIRÉE DES 10 ANS PILI"/>
    <m/>
    <m/>
    <m/>
    <n v="66150"/>
    <s v="FACT-20250305-21553"/>
    <s v="Kymono"/>
    <s v="Q1"/>
    <e v="#REF!"/>
    <e v="#REF!"/>
    <e v="#REF!"/>
  </r>
  <r>
    <s v="618500"/>
    <x v="10"/>
    <s v="Evénements internes, Séminaires"/>
    <s v="AC"/>
    <n v="6485"/>
    <d v="2025-11-27T00:00:00"/>
    <s v="SALON TECHTEXTIL 2026"/>
    <m/>
    <m/>
    <m/>
    <n v="91979"/>
    <s v="1900667076"/>
    <s v="MESSE FRANKFURT EXHIBITION"/>
    <s v="Q4"/>
    <e v="#REF!"/>
    <e v="#REF!"/>
    <e v="#REF!"/>
  </r>
  <r>
    <s v="618500"/>
    <x v="10"/>
    <s v="Evénements internes, Séminaires"/>
    <s v="AC"/>
    <n v="8650"/>
    <d v="2025-11-03T00:00:00"/>
    <s v="SOIRÉE DES 10 ANS PILI"/>
    <m/>
    <m/>
    <m/>
    <n v="89919"/>
    <s v="FACT-20251103-23126"/>
    <s v="Kymono"/>
    <s v="Q4"/>
    <e v="#REF!"/>
    <e v="#REF!"/>
    <e v="#REF!"/>
  </r>
  <r>
    <s v="618500"/>
    <x v="10"/>
    <s v="Evénements internes, Séminaires"/>
    <s v="JC"/>
    <n v="2150"/>
    <d v="2025-03-01T00:00:00"/>
    <s v="CCA EUROPEAN COATING SHOW"/>
    <m/>
    <m/>
    <m/>
    <n v="86521"/>
    <m/>
    <s v="NURNBERG"/>
    <s v="Q1"/>
    <e v="#REF!"/>
    <e v="#REF!"/>
    <e v="#REF!"/>
  </r>
  <r>
    <s v="618500"/>
    <x v="10"/>
    <s v="Evénements internes, Séminaires"/>
    <s v="NDF"/>
    <n v="5.17"/>
    <d v="2025-09-19T00:00:00"/>
    <s v="PÉAGE - RETOUR SÉMINAIRE"/>
    <m/>
    <m/>
    <m/>
    <n v="88573"/>
    <s v="25000248"/>
    <s v="Pierre-Yves Bolle"/>
    <s v="Q3"/>
    <e v="#REF!"/>
    <e v="#REF!"/>
    <e v="#REF!"/>
  </r>
  <r>
    <s v="618500"/>
    <x v="10"/>
    <s v="Evénements internes, Séminaires"/>
    <s v="NDF"/>
    <n v="5.5"/>
    <d v="2025-09-17T00:00:00"/>
    <s v="PÉAGE - ALLER SÉMINAIRE"/>
    <m/>
    <m/>
    <m/>
    <n v="88565"/>
    <s v="25000248"/>
    <s v="Pierre-Yves Bolle"/>
    <s v="Q3"/>
    <e v="#REF!"/>
    <e v="#REF!"/>
    <e v="#REF!"/>
  </r>
  <r>
    <s v="618500"/>
    <x v="10"/>
    <s v="Evénements internes, Séminaires"/>
    <s v="NDF"/>
    <n v="23.83"/>
    <d v="2025-09-17T00:00:00"/>
    <s v="PÉAGE - ALLER SÉMINAIRE"/>
    <m/>
    <m/>
    <m/>
    <n v="88559"/>
    <s v="25000248"/>
    <s v="Pierre-Yves Bolle"/>
    <s v="Q3"/>
    <e v="#REF!"/>
    <e v="#REF!"/>
    <e v="#REF!"/>
  </r>
  <r>
    <s v="618500"/>
    <x v="10"/>
    <s v="Evénements internes, Séminaires"/>
    <s v="NDF"/>
    <n v="23.83"/>
    <d v="2025-09-19T00:00:00"/>
    <s v="PÉAGE - RETOUR SÉMINAIRE"/>
    <m/>
    <m/>
    <m/>
    <n v="88569"/>
    <s v="25000248"/>
    <s v="Pierre-Yves Bolle"/>
    <s v="Q3"/>
    <e v="#REF!"/>
    <e v="#REF!"/>
    <e v="#REF!"/>
  </r>
  <r>
    <s v="618500"/>
    <x v="10"/>
    <s v="Evénements internes, Séminaires"/>
    <s v="NDF"/>
    <n v="35.479999999999997"/>
    <d v="2025-09-19T00:00:00"/>
    <s v="CARBURANT (GAZOLE) - ESSENCE SÉMINAIRE"/>
    <m/>
    <m/>
    <m/>
    <n v="88571"/>
    <s v="25000248"/>
    <s v="Pierre-Yves Bolle"/>
    <s v="Q3"/>
    <e v="#REF!"/>
    <e v="#REF!"/>
    <e v="#REF!"/>
  </r>
  <r>
    <s v="618500"/>
    <x v="10"/>
    <s v="Evénements internes, Séminaires"/>
    <s v="NDF"/>
    <n v="38.380000000000003"/>
    <d v="2025-09-25T00:00:00"/>
    <s v="CARBURANT (GAZOLE) - ESSENCE SÉMINAIRE"/>
    <m/>
    <m/>
    <m/>
    <n v="88553"/>
    <s v="25000248"/>
    <s v="Pierre-Yves Bolle"/>
    <s v="Q3"/>
    <e v="#REF!"/>
    <e v="#REF!"/>
    <e v="#REF!"/>
  </r>
  <r>
    <s v="618500"/>
    <x v="10"/>
    <s v="Evénements internes, Séminaires"/>
    <s v="NDF"/>
    <n v="54.65"/>
    <d v="2025-09-18T00:00:00"/>
    <s v="DIVERS - COURSES SÉMINAIRE"/>
    <m/>
    <m/>
    <m/>
    <n v="88546"/>
    <s v="25000220"/>
    <s v="Julie Lacondemine"/>
    <s v="Q3"/>
    <e v="#REF!"/>
    <e v="#REF!"/>
    <e v="#REF!"/>
  </r>
  <r>
    <s v="618500"/>
    <x v="10"/>
    <s v="Evénements internes, Séminaires"/>
    <s v="NDF"/>
    <n v="104.72"/>
    <d v="2025-09-16T00:00:00"/>
    <s v="DIVERS - ACHATS SÉMINAIRE"/>
    <m/>
    <m/>
    <m/>
    <n v="88548"/>
    <s v="25000220"/>
    <s v="Julie Lacondemine"/>
    <s v="Q3"/>
    <e v="#REF!"/>
    <e v="#REF!"/>
    <e v="#REF!"/>
  </r>
  <r>
    <s v="618500"/>
    <x v="10"/>
    <s v="Evénements internes, Séminaires"/>
    <s v="NDF"/>
    <n v="110.7"/>
    <d v="2025-01-07T00:00:00"/>
    <s v="NDF"/>
    <m/>
    <m/>
    <m/>
    <n v="76796"/>
    <s v="25000005"/>
    <s v="Yves Combret"/>
    <s v="Q1"/>
    <e v="#REF!"/>
    <e v="#REF!"/>
    <e v="#REF!"/>
  </r>
  <r>
    <s v="618500"/>
    <x v="10"/>
    <s v="Evénements internes, Séminaires"/>
    <s v="NDF"/>
    <n v="200"/>
    <d v="2025-09-16T00:00:00"/>
    <s v="DIVERS - LOCATION VOITURE DÉPLACEMENT SÉMINAIRE"/>
    <m/>
    <m/>
    <m/>
    <n v="88567"/>
    <s v="25000248"/>
    <s v="Pierre-Yves Bolle"/>
    <s v="Q3"/>
    <e v="#REF!"/>
    <e v="#REF!"/>
    <e v="#REF!"/>
  </r>
  <r>
    <s v="618500"/>
    <x v="10"/>
    <s v="Evénements internes, Séminaires"/>
    <s v="NDF"/>
    <n v="319.2"/>
    <d v="2025-09-17T00:00:00"/>
    <s v="FRAIS KILOMÉTRIQUES - DEPLACEMENT SEMINAIRE"/>
    <m/>
    <m/>
    <m/>
    <n v="88484"/>
    <s v="25000249"/>
    <s v="Nuria RAMOS"/>
    <s v="Q3"/>
    <e v="#REF!"/>
    <e v="#REF!"/>
    <e v="#REF!"/>
  </r>
  <r>
    <s v="618510"/>
    <x v="6"/>
    <s v="Evénements externes, Colloques, Salons"/>
    <s v="AC"/>
    <n v="638"/>
    <d v="2025-04-08T00:00:00"/>
    <s v="FACTURE ÉCRAN ECS"/>
    <m/>
    <e v="#N/A"/>
    <e v="#N/A"/>
    <n v="69907"/>
    <s v="20852910"/>
    <s v="NURNBERG"/>
    <s v="Q2"/>
    <e v="#REF!"/>
    <e v="#REF!"/>
    <e v="#REF!"/>
  </r>
  <r>
    <s v="618510"/>
    <x v="6"/>
    <s v="Evénements externes, Colloques, Salons"/>
    <s v="AC"/>
    <n v="760.57"/>
    <d v="2025-03-04T00:00:00"/>
    <s v="ENTRÉE ATTENDEE JÉRÉMIE"/>
    <m/>
    <s v="Non"/>
    <e v="#N/A"/>
    <n v="65971"/>
    <s v="17"/>
    <s v="DIVERS"/>
    <s v="Q1"/>
    <e v="#REF!"/>
    <e v="#REF!"/>
    <e v="#REF!"/>
  </r>
  <r>
    <s v="621100"/>
    <x v="6"/>
    <s v="Personnel intérimaire"/>
    <s v="AC"/>
    <n v="800.28"/>
    <d v="2025-12-28T00:00:00"/>
    <s v="INTÉRIM SEPHORA"/>
    <m/>
    <e v="#N/A"/>
    <e v="#N/A"/>
    <n v="95146"/>
    <s v="N6171315-2025"/>
    <s v="CRIT"/>
    <s v="Q4"/>
    <e v="#REF!"/>
    <e v="#REF!"/>
    <e v="#REF!"/>
  </r>
  <r>
    <s v="621100"/>
    <x v="6"/>
    <s v="Personnel intérimaire"/>
    <s v="AC"/>
    <n v="1067.04"/>
    <d v="2025-11-16T00:00:00"/>
    <s v="INTÉRIMAIRE GHALMI SEPHORA"/>
    <m/>
    <e v="#N/A"/>
    <e v="#N/A"/>
    <n v="94274"/>
    <s v="N6171212-2025"/>
    <s v="CRIT"/>
    <s v="Q4"/>
    <e v="#REF!"/>
    <e v="#REF!"/>
    <e v="#REF!"/>
  </r>
  <r>
    <s v="621100"/>
    <x v="6"/>
    <s v="Personnel intérimaire"/>
    <s v="AC"/>
    <n v="1333.8"/>
    <d v="2025-11-01T00:00:00"/>
    <s v="INTÉRIM ROUSSILLON"/>
    <m/>
    <e v="#N/A"/>
    <e v="#N/A"/>
    <n v="91086"/>
    <s v="N6171053-2025"/>
    <s v="CRIT"/>
    <s v="Q4"/>
    <e v="#REF!"/>
    <e v="#REF!"/>
    <e v="#REF!"/>
  </r>
  <r>
    <s v="621100"/>
    <x v="6"/>
    <s v="Personnel intérimaire"/>
    <s v="AC"/>
    <n v="1333.8"/>
    <d v="2025-11-02T00:00:00"/>
    <s v="INTÉRIM ROUSSILLON"/>
    <m/>
    <e v="#N/A"/>
    <e v="#N/A"/>
    <n v="91097"/>
    <s v="N6171054-2025"/>
    <s v="CRIT"/>
    <s v="Q4"/>
    <e v="#REF!"/>
    <e v="#REF!"/>
    <e v="#REF!"/>
  </r>
  <r>
    <s v="621100"/>
    <x v="6"/>
    <s v="Personnel intérimaire"/>
    <s v="AC"/>
    <n v="1333.8"/>
    <d v="2025-11-09T00:00:00"/>
    <s v="INTÉRIM SEPHORA ROUSSILLON"/>
    <m/>
    <e v="#N/A"/>
    <e v="#N/A"/>
    <n v="91932"/>
    <s v="N6171211-2025"/>
    <s v="CRIT"/>
    <s v="Q4"/>
    <e v="#REF!"/>
    <e v="#REF!"/>
    <e v="#REF!"/>
  </r>
  <r>
    <s v="621100"/>
    <x v="6"/>
    <s v="Personnel intérimaire"/>
    <s v="AC"/>
    <n v="1333.8"/>
    <d v="2025-11-23T00:00:00"/>
    <s v="INTÉRIMAIRE GHALMI SEPHORA"/>
    <m/>
    <e v="#N/A"/>
    <e v="#N/A"/>
    <n v="94277"/>
    <s v="N6171213-2025"/>
    <s v="CRIT"/>
    <s v="Q4"/>
    <e v="#REF!"/>
    <e v="#REF!"/>
    <e v="#REF!"/>
  </r>
  <r>
    <s v="621100"/>
    <x v="6"/>
    <s v="Personnel intérimaire"/>
    <s v="AC"/>
    <n v="1333.8"/>
    <d v="2025-11-30T00:00:00"/>
    <s v="INTÉRIMAIRE GHALMI SEPHORA"/>
    <m/>
    <e v="#N/A"/>
    <e v="#N/A"/>
    <n v="94284"/>
    <s v="N6171214-2025"/>
    <s v="CRIT"/>
    <s v="Q4"/>
    <e v="#REF!"/>
    <e v="#REF!"/>
    <e v="#REF!"/>
  </r>
  <r>
    <s v="621100"/>
    <x v="6"/>
    <s v="Personnel intérimaire"/>
    <s v="AC"/>
    <n v="1333.8"/>
    <d v="2025-12-07T00:00:00"/>
    <s v="INTÉRIM SEPHORA"/>
    <m/>
    <e v="#N/A"/>
    <e v="#N/A"/>
    <n v="94950"/>
    <s v="N6171312-2025"/>
    <s v="CRIT"/>
    <s v="Q4"/>
    <e v="#REF!"/>
    <e v="#REF!"/>
    <e v="#REF!"/>
  </r>
  <r>
    <s v="621100"/>
    <x v="6"/>
    <s v="Personnel intérimaire"/>
    <s v="AC"/>
    <n v="1333.8"/>
    <d v="2025-12-14T00:00:00"/>
    <s v="INTÉRIM SEPHORA"/>
    <m/>
    <e v="#N/A"/>
    <e v="#N/A"/>
    <n v="94953"/>
    <s v="N6171313-2025"/>
    <s v="CRIT"/>
    <s v="Q4"/>
    <e v="#REF!"/>
    <e v="#REF!"/>
    <e v="#REF!"/>
  </r>
  <r>
    <s v="621100"/>
    <x v="6"/>
    <s v="Personnel intérimaire"/>
    <s v="AC"/>
    <n v="1333.8"/>
    <d v="2025-12-21T00:00:00"/>
    <s v="INTÉRIM SEPHORA"/>
    <m/>
    <e v="#N/A"/>
    <e v="#N/A"/>
    <n v="95140"/>
    <s v="N6171314-2025"/>
    <s v="CRIT"/>
    <s v="Q4"/>
    <e v="#REF!"/>
    <e v="#REF!"/>
    <e v="#REF!"/>
  </r>
  <r>
    <s v="621400"/>
    <x v="6"/>
    <s v="Personnel détaché"/>
    <s v="AC"/>
    <n v="715"/>
    <d v="2025-02-28T00:00:00"/>
    <s v="PRESTATION ASSISTANT(E) OFFICE MANAGER  FÉVRIER"/>
    <m/>
    <e v="#N/A"/>
    <e v="#N/A"/>
    <n v="61585"/>
    <s v="F25030152"/>
    <s v="AGENCE DIVA"/>
    <s v="Q1"/>
    <e v="#REF!"/>
    <e v="#REF!"/>
    <e v="#REF!"/>
  </r>
  <r>
    <s v="621400"/>
    <x v="6"/>
    <s v="Personnel détaché"/>
    <s v="AC"/>
    <n v="930"/>
    <d v="2025-01-31T00:00:00"/>
    <s v="PRESTATION POUR LA PÉRIODE JANVIER 2025 PRESTATION RÉCURRENTE"/>
    <m/>
    <e v="#N/A"/>
    <e v="#N/A"/>
    <n v="61374"/>
    <s v="F25020082"/>
    <s v="AGENCE DIVA"/>
    <s v="Q1"/>
    <e v="#REF!"/>
    <e v="#REF!"/>
    <e v="#REF!"/>
  </r>
  <r>
    <s v="621400"/>
    <x v="6"/>
    <s v="Personnel détaché"/>
    <s v="AC"/>
    <n v="930"/>
    <d v="2025-03-31T00:00:00"/>
    <s v="PRESTATION POUR LA PÉRIODE MARS 2025 PRESTATION RÉCURRENTE"/>
    <m/>
    <e v="#N/A"/>
    <e v="#N/A"/>
    <n v="67915"/>
    <s v="F25040221"/>
    <s v="AGENCE DIVA"/>
    <s v="Q1"/>
    <e v="#REF!"/>
    <e v="#REF!"/>
    <e v="#REF!"/>
  </r>
  <r>
    <s v="621400"/>
    <x v="6"/>
    <s v="Personnel détaché"/>
    <s v="AC"/>
    <n v="930"/>
    <d v="2025-04-30T00:00:00"/>
    <s v="PRESTATION POUR LA PÉRIODE AVRIL 2025 PRESTATION RÉCURRENTE - OFFICE MANAGEMENT"/>
    <m/>
    <e v="#N/A"/>
    <e v="#N/A"/>
    <n v="72631"/>
    <s v="F25050295"/>
    <s v="AGENCE DIVA"/>
    <s v="Q2"/>
    <e v="#REF!"/>
    <e v="#REF!"/>
    <e v="#REF!"/>
  </r>
  <r>
    <s v="621400"/>
    <x v="6"/>
    <s v="Personnel détaché"/>
    <s v="AC"/>
    <n v="930"/>
    <d v="2025-05-31T00:00:00"/>
    <s v="PRESTATION ASSISTANT(E) OFFICE MANAGER"/>
    <m/>
    <e v="#N/A"/>
    <e v="#N/A"/>
    <n v="75994"/>
    <s v="F-25060373"/>
    <s v="AGENCE DIVA"/>
    <s v="Q2"/>
    <e v="#REF!"/>
    <e v="#REF!"/>
    <e v="#REF!"/>
  </r>
  <r>
    <s v="621400"/>
    <x v="6"/>
    <s v="Personnel détaché"/>
    <s v="AC"/>
    <n v="930"/>
    <d v="2025-06-30T00:00:00"/>
    <s v="PRESTATION ASSISTANT(E) OFFICE MANAGER"/>
    <m/>
    <e v="#N/A"/>
    <e v="#N/A"/>
    <n v="77308"/>
    <s v="F-25070447"/>
    <s v="AGENCE DIVA"/>
    <s v="Q2"/>
    <e v="#REF!"/>
    <e v="#REF!"/>
    <e v="#REF!"/>
  </r>
  <r>
    <s v="621400"/>
    <x v="6"/>
    <s v="Personnel détaché"/>
    <s v="AC"/>
    <n v="930"/>
    <d v="2025-07-31T00:00:00"/>
    <s v="PRESTATION ASSISTANT(E) OFFICE MANAGER"/>
    <m/>
    <e v="#N/A"/>
    <e v="#N/A"/>
    <n v="81233"/>
    <s v="F-25070516"/>
    <s v="AGENCE DIVA"/>
    <s v="Q3"/>
    <e v="#REF!"/>
    <e v="#REF!"/>
    <e v="#REF!"/>
  </r>
  <r>
    <s v="621400"/>
    <x v="6"/>
    <s v="Personnel détaché"/>
    <s v="AC"/>
    <n v="930"/>
    <d v="2025-08-31T00:00:00"/>
    <s v="PRESTATION ASSISTANT(E) OFFICE MANAGER"/>
    <m/>
    <e v="#N/A"/>
    <e v="#N/A"/>
    <n v="82298"/>
    <s v="F-25090585"/>
    <s v="AGENCE DIVA"/>
    <s v="Q3"/>
    <e v="#REF!"/>
    <e v="#REF!"/>
    <e v="#REF!"/>
  </r>
  <r>
    <s v="621400"/>
    <x v="6"/>
    <s v="Personnel détaché"/>
    <s v="AC"/>
    <n v="930"/>
    <d v="2025-09-30T00:00:00"/>
    <s v="PRESTATION POUR LA PÉRIODE SEPTEMBRE 2025 PRESTATION RÉCURRENTE"/>
    <m/>
    <e v="#N/A"/>
    <e v="#N/A"/>
    <n v="87057"/>
    <s v="F-25100652"/>
    <s v="AGENCE DIVA"/>
    <s v="Q3"/>
    <e v="#REF!"/>
    <e v="#REF!"/>
    <e v="#REF!"/>
  </r>
  <r>
    <s v="621400"/>
    <x v="6"/>
    <s v="Personnel détaché"/>
    <s v="AC"/>
    <n v="930"/>
    <d v="2025-10-31T00:00:00"/>
    <s v="PRESTATION ASSISTANT(E) OFFICE MANAGER"/>
    <m/>
    <e v="#N/A"/>
    <e v="#N/A"/>
    <n v="89897"/>
    <s v="F-25110721"/>
    <s v="AGENCE DIVA"/>
    <s v="Q4"/>
    <e v="#REF!"/>
    <e v="#REF!"/>
    <e v="#REF!"/>
  </r>
  <r>
    <s v="621400"/>
    <x v="6"/>
    <s v="Personnel détaché"/>
    <s v="AC"/>
    <n v="930"/>
    <d v="2025-11-30T00:00:00"/>
    <s v="PRESTATION POUR LA PÉRIODE NOVEMBRE 2025 PRESTATION RÉCURRENTE"/>
    <m/>
    <e v="#N/A"/>
    <e v="#N/A"/>
    <n v="91985"/>
    <s v="F-25120794"/>
    <s v="AGENCE DIVA"/>
    <s v="Q4"/>
    <e v="#REF!"/>
    <e v="#REF!"/>
    <e v="#REF!"/>
  </r>
  <r>
    <s v="621400"/>
    <x v="6"/>
    <s v="Personnel détaché"/>
    <s v="AC"/>
    <n v="930"/>
    <d v="2025-12-31T00:00:00"/>
    <s v="PRESTATION POUR LA PÉRIODE DÉCEMBRE 2025 PRESTATION RÉCURRENTE"/>
    <m/>
    <e v="#N/A"/>
    <e v="#N/A"/>
    <n v="95158"/>
    <s v="F-26010025"/>
    <s v="AGENCE DIVA"/>
    <s v="Q4"/>
    <e v="#REF!"/>
    <e v="#REF!"/>
    <e v="#REF!"/>
  </r>
  <r>
    <s v="622600"/>
    <x v="11"/>
    <s v="Honoraires Experts-Comptables"/>
    <s v="AC"/>
    <n v="165"/>
    <d v="2025-07-31T00:00:00"/>
    <s v="ATTESTATION BPI JUILLET 2025"/>
    <s v="Non"/>
    <s v="Non"/>
    <e v="#N/A"/>
    <n v="82714"/>
    <s v="EXP0007955"/>
    <s v="F2P AUDIT &amp; CONSEIL"/>
    <s v="Q3"/>
    <e v="#REF!"/>
    <e v="#REF!"/>
    <e v="#REF!"/>
  </r>
  <r>
    <s v="622600"/>
    <x v="11"/>
    <s v="Honoraires Experts-Comptables"/>
    <s v="AC"/>
    <n v="400"/>
    <d v="2025-05-31T00:00:00"/>
    <s v="ARRÊTÉ ANNUEL DES COMPTES 2024 : SOLDE"/>
    <s v="Non"/>
    <s v="Non"/>
    <e v="#N/A"/>
    <n v="75939"/>
    <s v="EXP0007829"/>
    <s v="F2P AUDIT &amp; CONSEIL"/>
    <s v="Q2"/>
    <e v="#REF!"/>
    <e v="#REF!"/>
    <e v="#REF!"/>
  </r>
  <r>
    <s v="622600"/>
    <x v="11"/>
    <s v="Honoraires Experts-Comptables"/>
    <s v="AC"/>
    <n v="2338.7600000000002"/>
    <d v="2025-01-31T00:00:00"/>
    <s v="SUIVI COMPTABLE ET FISCAL : DÉCEMBRE 2024 ARRÊTÉ ANNUEL DES COMPTES 2024 : ACOMPTE"/>
    <s v="Non"/>
    <s v="Non"/>
    <e v="#N/A"/>
    <n v="61383"/>
    <s v="EXP0007523"/>
    <s v="F2P AUDIT &amp; CONSEIL"/>
    <s v="Q1"/>
    <e v="#REF!"/>
    <e v="#REF!"/>
    <e v="#REF!"/>
  </r>
  <r>
    <s v="622600"/>
    <x v="11"/>
    <s v="Honoraires Experts-Comptables"/>
    <s v="AC"/>
    <n v="2423.2600000000002"/>
    <d v="2025-02-28T00:00:00"/>
    <s v="ARRÊTÉ ANNUEL DES COMPTES 2024 : ACOMPTE  FORFAIT CONSULTATION FULLL FÉVRIER 2025"/>
    <s v="Non"/>
    <s v="Non"/>
    <e v="#N/A"/>
    <n v="64130"/>
    <s v="EXP0007594"/>
    <s v="F2P AUDIT &amp; CONSEIL"/>
    <s v="Q1"/>
    <e v="#REF!"/>
    <e v="#REF!"/>
    <e v="#REF!"/>
  </r>
  <r>
    <s v="622600"/>
    <x v="11"/>
    <s v="Honoraires Experts-Comptables"/>
    <s v="AC"/>
    <n v="2523.2600000000002"/>
    <d v="2025-03-31T00:00:00"/>
    <s v="ARRÊTÉ ANNUEL DES COMPTES 2024 : ACOMPTE FORFAIT CONSULTATION FULLL MARS 2025"/>
    <s v="Non"/>
    <s v="Non"/>
    <e v="#N/A"/>
    <n v="67936"/>
    <s v="EXP0007618"/>
    <s v="F2P AUDIT &amp; CONSEIL"/>
    <s v="Q1"/>
    <e v="#REF!"/>
    <e v="#REF!"/>
    <e v="#REF!"/>
  </r>
  <r>
    <s v="622600"/>
    <x v="11"/>
    <s v="Honoraires Experts-Comptables"/>
    <s v="OD"/>
    <n v="-2523.2600000000002"/>
    <d v="2025-03-31T00:00:00"/>
    <s v="EXT - FNP de Cloture"/>
    <s v="Non"/>
    <s v="Non"/>
    <e v="#N/A"/>
    <n v="77544"/>
    <m/>
    <s v="F2P AUDIT &amp; CONSEIL"/>
    <s v="Q1"/>
    <e v="#REF!"/>
    <e v="#REF!"/>
    <e v="#REF!"/>
  </r>
  <r>
    <s v="622600"/>
    <x v="11"/>
    <s v="Honoraires Experts-Comptables"/>
    <s v="OD"/>
    <n v="-2423.2600000000002"/>
    <d v="2025-02-28T00:00:00"/>
    <s v="EXT - FNP de Cloture"/>
    <s v="Non"/>
    <s v="Non"/>
    <e v="#N/A"/>
    <n v="77542"/>
    <m/>
    <s v="F2P AUDIT &amp; CONSEIL"/>
    <s v="Q1"/>
    <e v="#REF!"/>
    <e v="#REF!"/>
    <e v="#REF!"/>
  </r>
  <r>
    <s v="622600"/>
    <x v="11"/>
    <s v="Honoraires Experts-Comptables"/>
    <s v="OD"/>
    <n v="-2338.7600000000002"/>
    <d v="2025-01-31T00:00:00"/>
    <s v="EXT - FNP de Cloture"/>
    <s v="Non"/>
    <s v="Non"/>
    <e v="#N/A"/>
    <n v="77540"/>
    <m/>
    <s v="F2P AUDIT &amp; CONSEIL"/>
    <s v="Q1"/>
    <e v="#REF!"/>
    <e v="#REF!"/>
    <e v="#REF!"/>
  </r>
  <r>
    <s v="622600"/>
    <x v="11"/>
    <s v="Honoraires Experts-Comptables"/>
    <s v="OD"/>
    <n v="-400"/>
    <d v="2025-05-31T00:00:00"/>
    <s v="EXT - FNP de Cloture"/>
    <s v="Non"/>
    <s v="Non"/>
    <e v="#N/A"/>
    <n v="77546"/>
    <m/>
    <s v="F2P AUDIT &amp; CONSEIL"/>
    <s v="Q2"/>
    <e v="#REF!"/>
    <e v="#REF!"/>
    <e v="#REF!"/>
  </r>
  <r>
    <s v="622600"/>
    <x v="11"/>
    <s v="Honoraires Experts-Comptables"/>
    <s v="OD"/>
    <n v="-288.22000000000003"/>
    <d v="2025-01-31T00:00:00"/>
    <s v="EXT - FNP de Cloture"/>
    <s v="Non"/>
    <s v="Non"/>
    <e v="#N/A"/>
    <n v="77558"/>
    <m/>
    <s v="F2P AUDIT &amp; CONSEIL"/>
    <s v="Q1"/>
    <e v="#REF!"/>
    <e v="#REF!"/>
    <e v="#REF!"/>
  </r>
  <r>
    <s v="622610"/>
    <x v="11"/>
    <s v="Honoraires Propriété Intellectuelle"/>
    <s v="AC"/>
    <n v="-1845"/>
    <d v="2025-10-17T00:00:00"/>
    <s v="Remboursement de la taxe de recherche par lOEB"/>
    <s v="Non"/>
    <s v="Oui"/>
    <e v="#N/A"/>
    <n v="87403"/>
    <s v="254669"/>
    <s v="BECKER"/>
    <s v="Q4"/>
    <e v="#REF!"/>
    <e v="#REF!"/>
    <e v="#REF!"/>
  </r>
  <r>
    <s v="622610"/>
    <x v="11"/>
    <s v="Honoraires Propriété Intellectuelle"/>
    <s v="AC"/>
    <n v="75"/>
    <d v="2025-10-17T00:00:00"/>
    <s v="frais de gestion administrative"/>
    <s v="Non"/>
    <s v="Oui"/>
    <e v="#N/A"/>
    <n v="87401"/>
    <s v="254669"/>
    <s v="BECKER"/>
    <s v="Q4"/>
    <e v="#REF!"/>
    <e v="#REF!"/>
    <e v="#REF!"/>
  </r>
  <r>
    <s v="622610"/>
    <x v="11"/>
    <s v="Honoraires Propriété Intellectuelle"/>
    <s v="AC"/>
    <n v="150"/>
    <d v="2025-06-04T00:00:00"/>
    <s v="DEMANDE DE BREVET EN INDE (ÉTAT DE LA FAMILLE) - BREVET PHOENIX"/>
    <s v="Non"/>
    <s v="Oui"/>
    <e v="#N/A"/>
    <n v="76108"/>
    <s v="252550"/>
    <s v="BECKER"/>
    <s v="Q2"/>
    <e v="#REF!"/>
    <e v="#REF!"/>
    <e v="#REF!"/>
  </r>
  <r>
    <s v="622610"/>
    <x v="11"/>
    <s v="Honoraires Propriété Intellectuelle"/>
    <s v="AC"/>
    <n v="279.63"/>
    <d v="2025-03-27T00:00:00"/>
    <s v="DEMANDE DE BREVET EN INDE N° 202417089145"/>
    <s v="Non"/>
    <s v="Oui"/>
    <e v="#N/A"/>
    <n v="66053"/>
    <s v="251394"/>
    <s v="BECKER"/>
    <s v="Q1"/>
    <e v="#REF!"/>
    <e v="#REF!"/>
    <e v="#REF!"/>
  </r>
  <r>
    <s v="622610"/>
    <x v="11"/>
    <s v="Honoraires Propriété Intellectuelle"/>
    <s v="AC"/>
    <n v="280"/>
    <d v="2025-09-11T00:00:00"/>
    <s v="RETRAIT DEMANDE INITIALE EP AVANT PCT DE PALOMA CHIMIE"/>
    <s v="Non"/>
    <s v="Oui"/>
    <e v="#N/A"/>
    <n v="82343"/>
    <s v="254192"/>
    <s v="BECKER"/>
    <s v="Q3"/>
    <e v="#REF!"/>
    <e v="#REF!"/>
    <e v="#REF!"/>
  </r>
  <r>
    <s v="622610"/>
    <x v="11"/>
    <s v="Honoraires Propriété Intellectuelle"/>
    <s v="AC"/>
    <n v="280"/>
    <d v="2025-09-26T00:00:00"/>
    <s v="RETRAIT DEMANDE INITIAL AVANT PCT - BREVET PALOMA BIO"/>
    <s v="Non"/>
    <s v="Oui"/>
    <e v="#N/A"/>
    <n v="82749"/>
    <s v="254356"/>
    <s v="BECKER"/>
    <s v="Q3"/>
    <e v="#REF!"/>
    <e v="#REF!"/>
    <e v="#REF!"/>
  </r>
  <r>
    <s v="622610"/>
    <x v="11"/>
    <s v="Honoraires Propriété Intellectuelle"/>
    <s v="AC"/>
    <n v="280"/>
    <d v="2025-12-12T00:00:00"/>
    <s v="RETRAIT DEMANDE OEB BREVET BIOPIGMENT"/>
    <s v="Non"/>
    <s v="Oui"/>
    <e v="#N/A"/>
    <n v="92177"/>
    <s v="255673"/>
    <s v="BECKER"/>
    <s v="Q4"/>
    <e v="#REF!"/>
    <e v="#REF!"/>
    <e v="#REF!"/>
  </r>
  <r>
    <s v="622610"/>
    <x v="11"/>
    <s v="Honoraires Propriété Intellectuelle"/>
    <s v="AC"/>
    <n v="300"/>
    <d v="2025-06-06T00:00:00"/>
    <s v="SURVEILLANCE BREVET"/>
    <s v="Non"/>
    <s v="Oui"/>
    <e v="#N/A"/>
    <n v="76111"/>
    <s v="252600"/>
    <s v="BECKER"/>
    <s v="Q2"/>
    <e v="#REF!"/>
    <e v="#REF!"/>
    <e v="#REF!"/>
  </r>
  <r>
    <s v="622610"/>
    <x v="11"/>
    <s v="Honoraires Propriété Intellectuelle"/>
    <s v="AC"/>
    <n v="322"/>
    <d v="2025-06-24T00:00:00"/>
    <s v="FRAIS PI LISA EN AMONT BREVET PALOMA CHIMIE"/>
    <s v="Non"/>
    <s v="Oui"/>
    <e v="#N/A"/>
    <n v="76620"/>
    <s v="252930"/>
    <s v="BECKER"/>
    <s v="Q2"/>
    <e v="#REF!"/>
    <e v="#REF!"/>
    <e v="#REF!"/>
  </r>
  <r>
    <s v="622610"/>
    <x v="11"/>
    <s v="Honoraires Propriété Intellectuelle"/>
    <s v="AC"/>
    <n v="437.5"/>
    <d v="2025-09-03T00:00:00"/>
    <s v="ETUDE RAPPORT DE RECHERCHE OEB"/>
    <s v="Non"/>
    <s v="Oui"/>
    <e v="#N/A"/>
    <n v="81862"/>
    <s v="254099"/>
    <s v="BECKER"/>
    <s v="Q3"/>
    <e v="#REF!"/>
    <e v="#REF!"/>
    <e v="#REF!"/>
  </r>
  <r>
    <s v="622610"/>
    <x v="11"/>
    <s v="Honoraires Propriété Intellectuelle"/>
    <s v="AC"/>
    <n v="475"/>
    <d v="2025-11-26T00:00:00"/>
    <s v="HONORAIRE PI PALOMA CHIMIE"/>
    <s v="Non"/>
    <s v="Oui"/>
    <e v="#N/A"/>
    <n v="91969"/>
    <s v="255303"/>
    <s v="BECKER"/>
    <s v="Q4"/>
    <e v="#REF!"/>
    <e v="#REF!"/>
    <e v="#REF!"/>
  </r>
  <r>
    <s v="622610"/>
    <x v="11"/>
    <s v="Honoraires Propriété Intellectuelle"/>
    <s v="AC"/>
    <n v="499.8"/>
    <d v="2025-12-12T00:00:00"/>
    <s v="PHASE NATIONALE USA BREVET CHIC"/>
    <s v="Non"/>
    <s v="Oui"/>
    <e v="#N/A"/>
    <n v="92173"/>
    <s v="255685"/>
    <s v="BECKER"/>
    <s v="Q4"/>
    <e v="#REF!"/>
    <e v="#REF!"/>
    <e v="#REF!"/>
  </r>
  <r>
    <s v="622610"/>
    <x v="11"/>
    <s v="Honoraires Propriété Intellectuelle"/>
    <s v="AC"/>
    <n v="512.5"/>
    <d v="2025-06-06T00:00:00"/>
    <s v="RAPPORT DE RECHERCHE - BREVET PALOMA CHIMIE"/>
    <s v="Non"/>
    <s v="Oui"/>
    <e v="#N/A"/>
    <n v="76114"/>
    <s v="252594"/>
    <s v="BECKER"/>
    <s v="Q2"/>
    <e v="#REF!"/>
    <e v="#REF!"/>
    <e v="#REF!"/>
  </r>
  <r>
    <s v="622610"/>
    <x v="11"/>
    <s v="Honoraires Propriété Intellectuelle"/>
    <s v="AC"/>
    <n v="519.5"/>
    <d v="2025-03-27T00:00:00"/>
    <s v="ETUDE DE PRODUCTION D’UN INTERMÉDIAIRE DE COLORANT"/>
    <s v="Non"/>
    <s v="Oui"/>
    <e v="#N/A"/>
    <n v="67899"/>
    <s v="251388"/>
    <s v="BECKER"/>
    <s v="Q1"/>
    <e v="#REF!"/>
    <e v="#REF!"/>
    <e v="#REF!"/>
  </r>
  <r>
    <s v="622610"/>
    <x v="11"/>
    <s v="Honoraires Propriété Intellectuelle"/>
    <s v="AC"/>
    <n v="543.79999999999995"/>
    <d v="2025-12-12T00:00:00"/>
    <s v="ABANDON DEMANDE TAIWAN CHIC"/>
    <s v="Non"/>
    <s v="Oui"/>
    <e v="#N/A"/>
    <n v="92180"/>
    <s v="255691"/>
    <s v="BECKER"/>
    <s v="Q4"/>
    <e v="#REF!"/>
    <e v="#REF!"/>
    <e v="#REF!"/>
  </r>
  <r>
    <s v="622610"/>
    <x v="11"/>
    <s v="Honoraires Propriété Intellectuelle"/>
    <s v="AC"/>
    <n v="560"/>
    <d v="2025-09-19T00:00:00"/>
    <s v="EXTENSION CHIC CANADA"/>
    <s v="Non"/>
    <s v="Oui"/>
    <e v="#N/A"/>
    <n v="82734"/>
    <s v="254270"/>
    <s v="BECKER"/>
    <s v="Q3"/>
    <e v="#REF!"/>
    <e v="#REF!"/>
    <e v="#REF!"/>
  </r>
  <r>
    <s v="622610"/>
    <x v="11"/>
    <s v="Honoraires Propriété Intellectuelle"/>
    <s v="AC"/>
    <n v="622.4"/>
    <d v="2025-12-12T00:00:00"/>
    <s v="PHASE NATIONALE USA BREVET CHIC"/>
    <s v="Non"/>
    <s v="Oui"/>
    <e v="#N/A"/>
    <n v="92174"/>
    <s v="255685"/>
    <s v="BECKER"/>
    <s v="Q4"/>
    <e v="#REF!"/>
    <e v="#REF!"/>
    <e v="#REF!"/>
  </r>
  <r>
    <s v="622610"/>
    <x v="11"/>
    <s v="Honoraires Propriété Intellectuelle"/>
    <s v="AC"/>
    <n v="690"/>
    <d v="2025-06-10T00:00:00"/>
    <s v="GESTION DES ANNUITÉS"/>
    <s v="Non"/>
    <s v="Oui"/>
    <e v="#N/A"/>
    <n v="76120"/>
    <s v="252668"/>
    <s v="BECKER"/>
    <s v="Q2"/>
    <e v="#REF!"/>
    <e v="#REF!"/>
    <e v="#REF!"/>
  </r>
  <r>
    <s v="622610"/>
    <x v="11"/>
    <s v="Honoraires Propriété Intellectuelle"/>
    <s v="AC"/>
    <n v="789.07"/>
    <d v="2025-10-03T00:00:00"/>
    <s v="GESTION DES ANNUITÉS - SÉRIE B3404"/>
    <s v="Non"/>
    <s v="Oui"/>
    <e v="#N/A"/>
    <n v="85148"/>
    <s v="254445"/>
    <s v="BECKER"/>
    <s v="Q4"/>
    <e v="#REF!"/>
    <e v="#REF!"/>
    <e v="#REF!"/>
  </r>
  <r>
    <s v="622610"/>
    <x v="11"/>
    <s v="Honoraires Propriété Intellectuelle"/>
    <s v="AC"/>
    <n v="800"/>
    <d v="2025-11-01T00:00:00"/>
    <s v="MARQUE US DÉPÔT"/>
    <s v="Non"/>
    <s v="Non"/>
    <e v="#N/A"/>
    <n v="91083"/>
    <s v="BOLD-031819"/>
    <s v="WE ARE BOLD"/>
    <s v="Q4"/>
    <e v="#REF!"/>
    <e v="#REF!"/>
    <e v="#REF!"/>
  </r>
  <r>
    <s v="622610"/>
    <x v="11"/>
    <s v="Honoraires Propriété Intellectuelle"/>
    <s v="AC"/>
    <n v="802.47"/>
    <d v="2025-06-10T00:00:00"/>
    <s v="GESTION DES ANNUITÉS"/>
    <s v="Non"/>
    <s v="Oui"/>
    <e v="#N/A"/>
    <n v="76121"/>
    <s v="252668"/>
    <s v="BECKER"/>
    <s v="Q2"/>
    <e v="#REF!"/>
    <e v="#REF!"/>
    <e v="#REF!"/>
  </r>
  <r>
    <s v="622610"/>
    <x v="11"/>
    <s v="Honoraires Propriété Intellectuelle"/>
    <s v="AC"/>
    <n v="844.87"/>
    <d v="2025-10-03T00:00:00"/>
    <s v="PHASE NATIONALE USA - BREVET PHOENIX V20"/>
    <s v="Non"/>
    <s v="Oui"/>
    <e v="#N/A"/>
    <n v="82761"/>
    <s v="254432"/>
    <s v="BECKER"/>
    <s v="Q4"/>
    <e v="#REF!"/>
    <e v="#REF!"/>
    <e v="#REF!"/>
  </r>
  <r>
    <s v="622610"/>
    <x v="11"/>
    <s v="Honoraires Propriété Intellectuelle"/>
    <s v="AC"/>
    <n v="879"/>
    <d v="2025-12-12T00:00:00"/>
    <s v="ABANDON DEMANDE TAIWAN CHIC"/>
    <s v="Non"/>
    <s v="Oui"/>
    <e v="#N/A"/>
    <n v="92181"/>
    <s v="255691"/>
    <s v="BECKER"/>
    <s v="Q4"/>
    <e v="#REF!"/>
    <e v="#REF!"/>
    <e v="#REF!"/>
  </r>
  <r>
    <s v="622610"/>
    <x v="11"/>
    <s v="Honoraires Propriété Intellectuelle"/>
    <s v="AC"/>
    <n v="890.5"/>
    <d v="2025-05-27T00:00:00"/>
    <s v="TRANSMISSION ET ANALYSE DU RAPPORT DE RECHERCHE EUROPÉEN - BREVET BIOPIGMENTS"/>
    <s v="Non"/>
    <s v="Oui"/>
    <e v="#N/A"/>
    <n v="74465"/>
    <s v="252431"/>
    <s v="BECKER"/>
    <s v="Q2"/>
    <e v="#REF!"/>
    <e v="#REF!"/>
    <e v="#REF!"/>
  </r>
  <r>
    <s v="622610"/>
    <x v="11"/>
    <s v="Honoraires Propriété Intellectuelle"/>
    <s v="AC"/>
    <n v="961.8"/>
    <d v="2025-03-31T00:00:00"/>
    <s v="Solde - Lavoix"/>
    <s v="Non"/>
    <s v="Oui"/>
    <e v="#N/A"/>
    <n v="73120"/>
    <m/>
    <s v="LAVOIX"/>
    <s v="Q1"/>
    <e v="#REF!"/>
    <e v="#REF!"/>
    <e v="#REF!"/>
  </r>
  <r>
    <s v="622610"/>
    <x v="11"/>
    <s v="Honoraires Propriété Intellectuelle"/>
    <s v="AC"/>
    <n v="978"/>
    <d v="2025-07-08T00:00:00"/>
    <s v="RÉPONSE À LA NOTIFICATION DE DEMANDE DE BREVET EUROPÉEN - BREVET PHOENIX"/>
    <s v="Non"/>
    <s v="Oui"/>
    <e v="#N/A"/>
    <n v="77340"/>
    <s v="253208"/>
    <s v="BECKER"/>
    <s v="Q3"/>
    <e v="#REF!"/>
    <e v="#REF!"/>
    <e v="#REF!"/>
  </r>
  <r>
    <s v="622610"/>
    <x v="11"/>
    <s v="Honoraires Propriété Intellectuelle"/>
    <s v="AC"/>
    <n v="1000"/>
    <d v="2025-10-03T00:00:00"/>
    <s v="GESTION DES ANNUITÉS - SÉRIE B3404"/>
    <s v="Non"/>
    <s v="Oui"/>
    <e v="#N/A"/>
    <n v="85149"/>
    <s v="254445"/>
    <s v="BECKER"/>
    <s v="Q4"/>
    <e v="#REF!"/>
    <e v="#REF!"/>
    <e v="#REF!"/>
  </r>
  <r>
    <s v="622610"/>
    <x v="11"/>
    <s v="Honoraires Propriété Intellectuelle"/>
    <s v="AC"/>
    <n v="1118.3"/>
    <d v="2025-01-20T00:00:00"/>
    <s v="RAPPORT DE RECHERCHE - BREVET PALOMA BIO"/>
    <s v="Non"/>
    <s v="Oui"/>
    <e v="#N/A"/>
    <n v="61280"/>
    <s v="250156"/>
    <s v="BECKER"/>
    <s v="Q1"/>
    <e v="#REF!"/>
    <e v="#REF!"/>
    <e v="#REF!"/>
  </r>
  <r>
    <s v="622610"/>
    <x v="11"/>
    <s v="Honoraires Propriété Intellectuelle"/>
    <s v="AC"/>
    <n v="1145.75"/>
    <d v="2025-06-17T00:00:00"/>
    <s v="PRÉSENTATION DE LA REQUÊTE EN EXAMEN - PHASES NATIONALES CHINE - BREVET PHOENIX"/>
    <s v="Non"/>
    <s v="Oui"/>
    <e v="#N/A"/>
    <n v="76606"/>
    <s v="252819"/>
    <s v="BECKER"/>
    <s v="Q2"/>
    <e v="#REF!"/>
    <e v="#REF!"/>
    <e v="#REF!"/>
  </r>
  <r>
    <s v="622610"/>
    <x v="11"/>
    <s v="Honoraires Propriété Intellectuelle"/>
    <s v="AC"/>
    <n v="1280.3599999999999"/>
    <d v="2025-09-19T00:00:00"/>
    <s v="EXTENSION CHIC CANADA"/>
    <s v="Non"/>
    <s v="Oui"/>
    <e v="#N/A"/>
    <n v="82735"/>
    <s v="254270"/>
    <s v="BECKER"/>
    <s v="Q3"/>
    <e v="#REF!"/>
    <e v="#REF!"/>
    <e v="#REF!"/>
  </r>
  <r>
    <s v="622610"/>
    <x v="11"/>
    <s v="Honoraires Propriété Intellectuelle"/>
    <s v="AC"/>
    <n v="1911.4"/>
    <d v="2025-09-01T00:00:00"/>
    <s v="DEMANDE PCT BREVET PALOMA BIO"/>
    <s v="Non"/>
    <s v="Oui"/>
    <e v="#N/A"/>
    <n v="82307"/>
    <s v="254045"/>
    <s v="BECKER"/>
    <s v="Q3"/>
    <e v="#REF!"/>
    <e v="#REF!"/>
    <e v="#REF!"/>
  </r>
  <r>
    <s v="622610"/>
    <x v="11"/>
    <s v="Honoraires Propriété Intellectuelle"/>
    <s v="AC"/>
    <n v="2352"/>
    <d v="2025-07-28T00:00:00"/>
    <s v="ETUDE PI, FTO ET PRÉPARATION AU DÉPÔT D'EXTENSION PCT PALOMA CHIMIE"/>
    <s v="Non"/>
    <s v="Oui"/>
    <e v="#N/A"/>
    <n v="82279"/>
    <s v="253528"/>
    <s v="BECKER"/>
    <s v="Q3"/>
    <e v="#REF!"/>
    <e v="#REF!"/>
    <e v="#REF!"/>
  </r>
  <r>
    <s v="622610"/>
    <x v="11"/>
    <s v="Honoraires Propriété Intellectuelle"/>
    <s v="AC"/>
    <n v="3155"/>
    <d v="2025-11-27T00:00:00"/>
    <s v="DÉPÔT PCT BREVET BIOPIGMENT"/>
    <s v="Non"/>
    <s v="Oui"/>
    <e v="#N/A"/>
    <n v="91972"/>
    <s v="255341"/>
    <s v="BECKER"/>
    <s v="Q4"/>
    <e v="#REF!"/>
    <e v="#REF!"/>
    <e v="#REF!"/>
  </r>
  <r>
    <s v="622610"/>
    <x v="11"/>
    <s v="Honoraires Propriété Intellectuelle"/>
    <s v="AC"/>
    <n v="3775"/>
    <d v="2025-11-27T00:00:00"/>
    <s v="DÉPÔT PCT BREVET BIOPIGMENT"/>
    <s v="Non"/>
    <s v="Oui"/>
    <e v="#N/A"/>
    <n v="91973"/>
    <s v="255341"/>
    <s v="BECKER"/>
    <s v="Q4"/>
    <e v="#REF!"/>
    <e v="#REF!"/>
    <e v="#REF!"/>
  </r>
  <r>
    <s v="622610"/>
    <x v="11"/>
    <s v="Honoraires Propriété Intellectuelle"/>
    <s v="AC"/>
    <n v="4601.32"/>
    <d v="2025-02-18T00:00:00"/>
    <s v="DEMANDE ENTRÉE EN PHASE NATIONALE JAPON - BREVET PHOENIX"/>
    <s v="Non"/>
    <s v="Oui"/>
    <e v="#N/A"/>
    <n v="61523"/>
    <s v="250672"/>
    <s v="BECKER"/>
    <s v="Q1"/>
    <e v="#REF!"/>
    <e v="#REF!"/>
    <e v="#REF!"/>
  </r>
  <r>
    <s v="622610"/>
    <x v="11"/>
    <s v="Honoraires Propriété Intellectuelle"/>
    <s v="AC"/>
    <n v="7303.08"/>
    <d v="2025-06-10T00:00:00"/>
    <s v="SUITE ENTRÉE EN PHASE NATIONALE USA - BREVET PHOENIX"/>
    <s v="Non"/>
    <s v="Oui"/>
    <e v="#N/A"/>
    <n v="76117"/>
    <s v="252669"/>
    <s v="BECKER"/>
    <s v="Q2"/>
    <e v="#REF!"/>
    <e v="#REF!"/>
    <e v="#REF!"/>
  </r>
  <r>
    <s v="622610"/>
    <x v="11"/>
    <s v="Honoraires Propriété Intellectuelle"/>
    <s v="AC"/>
    <n v="7787.75"/>
    <d v="2025-09-03T00:00:00"/>
    <s v="ETUDE ET DÉPÔT BREVET PHOENIX VBIO"/>
    <s v="Non"/>
    <s v="Oui"/>
    <e v="#N/A"/>
    <n v="82317"/>
    <s v="254096"/>
    <s v="BECKER"/>
    <s v="Q3"/>
    <e v="#REF!"/>
    <e v="#REF!"/>
    <e v="#REF!"/>
  </r>
  <r>
    <s v="622611"/>
    <x v="11"/>
    <s v="Honoraires Social"/>
    <s v="AC"/>
    <n v="4917.29"/>
    <d v="2025-01-31T00:00:00"/>
    <s v="HONORAIRES POUR LA MISSION D'EXPERTISE SOCIALE 2024 BULLETIN DE PAIE POUR LE MOIS DE 10-11-12 2024"/>
    <s v="Non"/>
    <s v="Non"/>
    <e v="#N/A"/>
    <n v="61347"/>
    <s v="FC-290-25-01-00176"/>
    <s v="BDO EXPERTISE"/>
    <s v="Q1"/>
    <e v="#REF!"/>
    <e v="#REF!"/>
    <e v="#REF!"/>
  </r>
  <r>
    <s v="622611"/>
    <x v="11"/>
    <s v="Honoraires Social"/>
    <s v="AC"/>
    <n v="5134.84"/>
    <d v="2025-12-31T00:00:00"/>
    <s v="HONORAIRES POUR LA MISSION D'EXPERTISE SOCIALE Q4 2025"/>
    <s v="Non"/>
    <s v="Non"/>
    <e v="#N/A"/>
    <n v="95743"/>
    <s v="FC-290-26-12-00764"/>
    <s v="BDO EXPERTISE"/>
    <s v="Q4"/>
    <e v="#REF!"/>
    <e v="#REF!"/>
    <e v="#REF!"/>
  </r>
  <r>
    <s v="622611"/>
    <x v="11"/>
    <s v="Honoraires Social"/>
    <s v="AC"/>
    <n v="5142.6400000000003"/>
    <d v="2025-03-31T00:00:00"/>
    <s v="HONORAIRES POUR LA MISSION D'EXPERTISE SOCIALE Q1 - 2025"/>
    <s v="Non"/>
    <s v="Non"/>
    <e v="#N/A"/>
    <n v="67942"/>
    <s v="FC-290-25-03-01022"/>
    <s v="BDO EXPERTISE"/>
    <s v="Q1"/>
    <e v="#REF!"/>
    <e v="#REF!"/>
    <e v="#REF!"/>
  </r>
  <r>
    <s v="622611"/>
    <x v="11"/>
    <s v="Honoraires Social"/>
    <s v="AC"/>
    <n v="5394.15"/>
    <d v="2025-06-30T00:00:00"/>
    <s v="HONORAIRES POUR LA MISSION D'EXPERTISE SOCIALE Q2 2025"/>
    <s v="Non"/>
    <s v="Non"/>
    <e v="#N/A"/>
    <n v="78410"/>
    <s v="FC-290-25-06-00764"/>
    <s v="BDO EXPERTISE"/>
    <s v="Q2"/>
    <e v="#REF!"/>
    <e v="#REF!"/>
    <e v="#REF!"/>
  </r>
  <r>
    <s v="622611"/>
    <x v="11"/>
    <s v="Honoraires Social"/>
    <s v="AC"/>
    <n v="5940.91"/>
    <d v="2025-09-30T00:00:00"/>
    <s v="HONORAIRES BDO SOCIAL"/>
    <s v="Non"/>
    <s v="Non"/>
    <e v="#N/A"/>
    <n v="85145"/>
    <s v="FC-290-25-09-00710"/>
    <s v="BDO EXPERTISE"/>
    <s v="Q3"/>
    <e v="#REF!"/>
    <e v="#REF!"/>
    <e v="#REF!"/>
  </r>
  <r>
    <s v="622611"/>
    <x v="11"/>
    <s v="Honoraires Social"/>
    <s v="OD"/>
    <n v="-4920"/>
    <d v="2025-01-31T00:00:00"/>
    <s v="EXT - FNP de Cloture"/>
    <s v="Non"/>
    <s v="Non"/>
    <e v="#N/A"/>
    <n v="77561"/>
    <m/>
    <s v="BDO EXPERTISE"/>
    <s v="Q1"/>
    <e v="#REF!"/>
    <e v="#REF!"/>
    <e v="#REF!"/>
  </r>
  <r>
    <s v="622620"/>
    <x v="11"/>
    <s v="Honoraires Finance"/>
    <s v="AC"/>
    <n v="-25000"/>
    <d v="2025-01-01T00:00:00"/>
    <s v="Annulation Acompte Inside (doublon facture décembre)"/>
    <s v="Non"/>
    <s v="Non"/>
    <e v="#N/A"/>
    <n v="61895"/>
    <m/>
    <s v="INSIDE MANAGEMENT"/>
    <s v="Q1"/>
    <e v="#REF!"/>
    <e v="#REF!"/>
    <e v="#REF!"/>
  </r>
  <r>
    <s v="622620"/>
    <x v="11"/>
    <s v="Honoraires Finance"/>
    <s v="AC"/>
    <n v="-18000"/>
    <d v="2025-02-28T00:00:00"/>
    <s v="MISSION B. LAJUGIE - FEVRIER 2025"/>
    <s v="Non"/>
    <s v="Non"/>
    <e v="#N/A"/>
    <n v="85114"/>
    <s v="8743-1534-4"/>
    <s v="INSIDE MANAGEMENT"/>
    <s v="Q1"/>
    <e v="#REF!"/>
    <e v="#REF!"/>
    <e v="#REF!"/>
  </r>
  <r>
    <s v="622620"/>
    <x v="11"/>
    <s v="Honoraires Finance"/>
    <s v="AC"/>
    <n v="-15750"/>
    <d v="2025-03-31T00:00:00"/>
    <s v="MARS-25"/>
    <s v="Non"/>
    <s v="Non"/>
    <e v="#N/A"/>
    <n v="85110"/>
    <s v="8743-1545-5"/>
    <s v="INSIDE MANAGEMENT"/>
    <s v="Q1"/>
    <e v="#REF!"/>
    <e v="#REF!"/>
    <e v="#REF!"/>
  </r>
  <r>
    <s v="622620"/>
    <x v="11"/>
    <s v="Honoraires Finance"/>
    <s v="AC"/>
    <n v="-15000"/>
    <d v="2025-01-31T00:00:00"/>
    <s v="MISSION B. LAJUGIE - JANVIER 2025"/>
    <s v="Non"/>
    <s v="Non"/>
    <e v="#N/A"/>
    <n v="85102"/>
    <s v="8743-1516-3"/>
    <s v="INSIDE MANAGEMENT"/>
    <s v="Q1"/>
    <e v="#REF!"/>
    <e v="#REF!"/>
    <e v="#REF!"/>
  </r>
  <r>
    <s v="622620"/>
    <x v="11"/>
    <s v="Honoraires Finance"/>
    <s v="AC"/>
    <n v="-15000"/>
    <d v="2025-04-30T00:00:00"/>
    <s v="INSIDE AVRIL 2025"/>
    <s v="Non"/>
    <s v="Non"/>
    <e v="#N/A"/>
    <n v="85106"/>
    <s v="8743-1561-6"/>
    <s v="INSIDE MANAGEMENT"/>
    <s v="Q2"/>
    <e v="#REF!"/>
    <e v="#REF!"/>
    <e v="#REF!"/>
  </r>
  <r>
    <s v="622620"/>
    <x v="11"/>
    <s v="Honoraires Finance"/>
    <s v="AC"/>
    <n v="450"/>
    <d v="2025-12-03T00:00:00"/>
    <s v="ADVISORY - MEETING 05/12"/>
    <s v="Non"/>
    <s v="Non"/>
    <e v="#N/A"/>
    <n v="92201"/>
    <s v="F-2025-12455"/>
    <s v="BEEMYDESK"/>
    <s v="Q4"/>
    <e v="#REF!"/>
    <e v="#REF!"/>
    <e v="#REF!"/>
  </r>
  <r>
    <s v="622620"/>
    <x v="11"/>
    <s v="Honoraires Finance"/>
    <s v="AC"/>
    <n v="475"/>
    <d v="2025-04-01T00:00:00"/>
    <s v="HONORAIRES CONSULTANT FP&amp;A / CONTRÔLE DE GESTION INTERVENTION DU 17/01/2025"/>
    <s v="Non"/>
    <s v="Non"/>
    <e v="#N/A"/>
    <n v="69664"/>
    <s v="PaulTessier"/>
    <s v="TESSIER PAUL"/>
    <s v="Q2"/>
    <e v="#REF!"/>
    <e v="#REF!"/>
    <e v="#REF!"/>
  </r>
  <r>
    <s v="622620"/>
    <x v="11"/>
    <s v="Honoraires Finance"/>
    <s v="AC"/>
    <n v="750"/>
    <d v="2025-01-28T00:00:00"/>
    <s v="COMMISSION ANNUELLE REPRÉSENTANT MASSE PORTEURS OC"/>
    <s v="Non"/>
    <s v="Non"/>
    <e v="#N/A"/>
    <n v="78980"/>
    <s v="F-202501174"/>
    <s v="AETHER"/>
    <s v="Q1"/>
    <e v="#REF!"/>
    <e v="#REF!"/>
    <e v="#REF!"/>
  </r>
  <r>
    <s v="622620"/>
    <x v="11"/>
    <s v="Honoraires Finance"/>
    <s v="AC"/>
    <n v="875"/>
    <d v="2025-03-31T00:00:00"/>
    <s v="PRESTATION RÉGIS QWINCY"/>
    <s v="Non"/>
    <s v="Non"/>
    <e v="#N/A"/>
    <n v="75154"/>
    <s v="F 2025030058"/>
    <s v="QWINCY"/>
    <s v="Q1"/>
    <e v="#REF!"/>
    <e v="#REF!"/>
    <e v="#REF!"/>
  </r>
  <r>
    <s v="622620"/>
    <x v="11"/>
    <s v="Honoraires Finance"/>
    <s v="AC"/>
    <n v="2450"/>
    <d v="2025-11-25T00:00:00"/>
    <s v="CONVERSION DES OC PILI"/>
    <s v="Non"/>
    <s v="Non"/>
    <e v="#N/A"/>
    <n v="91966"/>
    <s v="F-2025111030"/>
    <s v="AETHER"/>
    <s v="Q4"/>
    <e v="#REF!"/>
    <e v="#REF!"/>
    <e v="#REF!"/>
  </r>
  <r>
    <s v="622620"/>
    <x v="11"/>
    <s v="Honoraires Finance"/>
    <s v="AC"/>
    <n v="3000"/>
    <d v="2025-12-15T00:00:00"/>
    <s v="ADVISORY PILI#1"/>
    <s v="Non"/>
    <s v="Non"/>
    <e v="#N/A"/>
    <n v="92198"/>
    <s v="F-2025-12467"/>
    <s v="BEEMYDESK"/>
    <s v="Q4"/>
    <e v="#REF!"/>
    <e v="#REF!"/>
    <e v="#REF!"/>
  </r>
  <r>
    <s v="622620"/>
    <x v="11"/>
    <s v="Honoraires Finance"/>
    <s v="AC"/>
    <n v="3406.48"/>
    <d v="2025-12-18T00:00:00"/>
    <s v="CONSEIL LEVÉE DE FONDS US - SAM KASSAHUN"/>
    <s v="Non"/>
    <s v="Non"/>
    <e v="#N/A"/>
    <n v="93018"/>
    <s v="1"/>
    <s v="KASSAHUN CAPITAL"/>
    <s v="Q4"/>
    <e v="#REF!"/>
    <e v="#REF!"/>
    <e v="#REF!"/>
  </r>
  <r>
    <s v="622620"/>
    <x v="11"/>
    <s v="Honoraires Finance"/>
    <s v="AC"/>
    <n v="4000"/>
    <d v="2025-03-13T00:00:00"/>
    <s v="FRAIS DE GESTION WICAP - ATTENTE AVOIR 50%"/>
    <s v="Non"/>
    <s v="Non"/>
    <e v="#N/A"/>
    <n v="77258"/>
    <s v="FW-2025040"/>
    <s v="WiSEED"/>
    <s v="Q1"/>
    <e v="#REF!"/>
    <e v="#REF!"/>
    <e v="#REF!"/>
  </r>
  <r>
    <s v="622620"/>
    <x v="11"/>
    <s v="Honoraires Finance"/>
    <s v="AC"/>
    <n v="5127.03"/>
    <d v="2025-12-11T00:00:00"/>
    <s v="STARTUP PREMIUM PLAN DEC 11, 2025 – JAN 11, 2026"/>
    <s v="Non"/>
    <s v="Non"/>
    <e v="#N/A"/>
    <n v="92167"/>
    <s v="1PZECRJE-0001"/>
    <s v="FLOWLIE"/>
    <s v="Q4"/>
    <e v="#REF!"/>
    <e v="#REF!"/>
    <e v="#REF!"/>
  </r>
  <r>
    <s v="622620"/>
    <x v="11"/>
    <s v="Honoraires Finance"/>
    <s v="AC"/>
    <n v="7875"/>
    <d v="2025-05-31T00:00:00"/>
    <s v="FACTURATION MAI RÉGIS - QWINCY"/>
    <s v="Non"/>
    <s v="Non"/>
    <e v="#N/A"/>
    <n v="75476"/>
    <s v="F2025050087"/>
    <s v="QWINCY"/>
    <s v="Q2"/>
    <e v="#REF!"/>
    <e v="#REF!"/>
    <e v="#REF!"/>
  </r>
  <r>
    <s v="622620"/>
    <x v="11"/>
    <s v="Honoraires Finance"/>
    <s v="AC"/>
    <n v="11250"/>
    <d v="2025-06-30T00:00:00"/>
    <s v="MISSION B. LAJUGIE - JUIN 2025"/>
    <s v="Non"/>
    <s v="Non"/>
    <e v="#N/A"/>
    <n v="77313"/>
    <s v="8743-1591-8"/>
    <s v="INSIDE MANAGEMENT"/>
    <s v="Q2"/>
    <e v="#REF!"/>
    <e v="#REF!"/>
    <e v="#REF!"/>
  </r>
  <r>
    <s v="622620"/>
    <x v="11"/>
    <s v="Honoraires Finance"/>
    <s v="AC"/>
    <n v="15000"/>
    <d v="2025-12-23T00:00:00"/>
    <s v="FRAIS DE MISE EN LIGNE"/>
    <s v="Non"/>
    <s v="Non"/>
    <e v="#N/A"/>
    <n v="93656"/>
    <s v="F-2025-445"/>
    <s v="SOWEFUND"/>
    <s v="Q4"/>
    <e v="#REF!"/>
    <e v="#REF!"/>
    <e v="#REF!"/>
  </r>
  <r>
    <s v="622620"/>
    <x v="11"/>
    <s v="Honoraires Finance"/>
    <s v="AC"/>
    <n v="17250"/>
    <d v="2025-01-01T00:00:00"/>
    <s v="INSIDE DÉCEMBRE"/>
    <s v="Non"/>
    <s v="Non"/>
    <e v="#N/A"/>
    <n v="68952"/>
    <s v="8743-1513-2"/>
    <s v="INSIDE MANAGEMENT"/>
    <s v="Q1"/>
    <e v="#REF!"/>
    <e v="#REF!"/>
    <e v="#REF!"/>
  </r>
  <r>
    <s v="622620"/>
    <x v="11"/>
    <s v="Honoraires Finance"/>
    <s v="AC"/>
    <n v="18375"/>
    <d v="2025-04-30T00:00:00"/>
    <s v="PRESTATION DE SERVICES, AVRIL 2025"/>
    <s v="Non"/>
    <s v="Non"/>
    <e v="#N/A"/>
    <n v="81313"/>
    <s v="F2025040078"/>
    <s v="QWINCY"/>
    <s v="Q2"/>
    <e v="#REF!"/>
    <e v="#REF!"/>
    <e v="#REF!"/>
  </r>
  <r>
    <s v="622620"/>
    <x v="11"/>
    <s v="Honoraires Finance"/>
    <s v="AC"/>
    <n v="19500"/>
    <d v="2025-05-31T00:00:00"/>
    <s v="MISSION B. LAJUGIE - mai 2025"/>
    <s v="Non"/>
    <s v="Non"/>
    <e v="#N/A"/>
    <n v="75473"/>
    <s v="8743-1579-7"/>
    <s v="INSIDE MANAGEMENT"/>
    <s v="Q2"/>
    <e v="#REF!"/>
    <e v="#REF!"/>
    <e v="#REF!"/>
  </r>
  <r>
    <s v="622620"/>
    <x v="11"/>
    <s v="Honoraires Finance"/>
    <s v="AC"/>
    <n v="20469.07"/>
    <d v="2025-02-12T00:00:00"/>
    <s v="HONORAIRES DUS À LA REMISE DU MÉMORANDUM"/>
    <s v="Non"/>
    <s v="Non"/>
    <e v="#N/A"/>
    <n v="61468"/>
    <s v="2502-04"/>
    <s v="AURIGNAC FINANCE"/>
    <s v="Q1"/>
    <e v="#REF!"/>
    <e v="#REF!"/>
    <e v="#REF!"/>
  </r>
  <r>
    <s v="622620"/>
    <x v="11"/>
    <s v="Honoraires Finance"/>
    <s v="AC"/>
    <n v="30000"/>
    <d v="2025-01-31T00:00:00"/>
    <s v="MISSION B. LAJUGIE - JANVIER 2025"/>
    <s v="Non"/>
    <s v="Non"/>
    <e v="#N/A"/>
    <n v="61367"/>
    <s v="8743-1516-3"/>
    <s v="INSIDE MANAGEMENT"/>
    <s v="Q1"/>
    <e v="#REF!"/>
    <e v="#REF!"/>
    <e v="#REF!"/>
  </r>
  <r>
    <s v="622620"/>
    <x v="11"/>
    <s v="Honoraires Finance"/>
    <s v="AC"/>
    <n v="30000"/>
    <d v="2025-02-28T00:00:00"/>
    <s v="MISSION B. LAJUGIE - FEVRIER 2025"/>
    <s v="Non"/>
    <s v="Non"/>
    <e v="#N/A"/>
    <n v="61567"/>
    <s v="8743-1534-4"/>
    <s v="INSIDE MANAGEMENT"/>
    <s v="Q1"/>
    <e v="#REF!"/>
    <e v="#REF!"/>
    <e v="#REF!"/>
  </r>
  <r>
    <s v="622620"/>
    <x v="11"/>
    <s v="Honoraires Finance"/>
    <s v="AC"/>
    <n v="30000"/>
    <d v="2025-04-30T00:00:00"/>
    <s v="INSIDE AVRIL 2025"/>
    <s v="Non"/>
    <s v="Non"/>
    <e v="#N/A"/>
    <n v="73751"/>
    <s v="8743-1561-6"/>
    <s v="INSIDE MANAGEMENT"/>
    <s v="Q2"/>
    <e v="#REF!"/>
    <e v="#REF!"/>
    <e v="#REF!"/>
  </r>
  <r>
    <s v="622620"/>
    <x v="11"/>
    <s v="Honoraires Finance"/>
    <s v="AC"/>
    <n v="31500"/>
    <d v="2025-03-31T00:00:00"/>
    <s v="MARS-25"/>
    <s v="Non"/>
    <s v="Non"/>
    <e v="#N/A"/>
    <n v="68992"/>
    <s v="8743-1545-5"/>
    <s v="INSIDE MANAGEMENT"/>
    <s v="Q1"/>
    <e v="#REF!"/>
    <e v="#REF!"/>
    <e v="#REF!"/>
  </r>
  <r>
    <s v="622620"/>
    <x v="11"/>
    <s v="Honoraires Finance"/>
    <s v="JC"/>
    <n v="217"/>
    <d v="2025-01-01T00:00:00"/>
    <s v="CCA AXE"/>
    <m/>
    <s v="Non"/>
    <e v="#N/A"/>
    <n v="86532"/>
    <m/>
    <s v="AXE GESCOM"/>
    <s v="Q1"/>
    <e v="#REF!"/>
    <e v="#REF!"/>
    <e v="#REF!"/>
  </r>
  <r>
    <s v="622620"/>
    <x v="11"/>
    <s v="Honoraires Finance"/>
    <s v="OD"/>
    <n v="-2000"/>
    <d v="2025-10-31T00:00:00"/>
    <s v="Avoir WiSeed"/>
    <s v="Non"/>
    <s v="Non"/>
    <e v="#N/A"/>
    <n v="87494"/>
    <m/>
    <s v="WiSEED"/>
    <s v="Q4"/>
    <e v="#REF!"/>
    <e v="#REF!"/>
    <e v="#REF!"/>
  </r>
  <r>
    <s v="622621"/>
    <x v="11"/>
    <s v="Honoraires Cabinets de Recrutement"/>
    <s v="AC"/>
    <n v="140.49"/>
    <d v="2025-02-26T00:00:00"/>
    <s v="RECRUITER LITE (LICENCE 1) DU 26 FÉVRIER 2025 AU 26 MARS 2025"/>
    <s v="Non"/>
    <s v="Non"/>
    <e v="#N/A"/>
    <n v="72540"/>
    <s v="78177001133"/>
    <s v="LINKEDIN"/>
    <s v="Q1"/>
    <e v="#REF!"/>
    <e v="#REF!"/>
    <e v="#REF!"/>
  </r>
  <r>
    <s v="622621"/>
    <x v="11"/>
    <s v="Honoraires Cabinets de Recrutement"/>
    <s v="AC"/>
    <n v="140.49"/>
    <d v="2025-11-26T00:00:00"/>
    <s v="ABONNEMENT MENSUEL LINKEDIN RECRUTEUR"/>
    <s v="Non"/>
    <s v="Non"/>
    <e v="#N/A"/>
    <n v="91822"/>
    <s v="6"/>
    <s v="LINKEDIN"/>
    <s v="Q4"/>
    <e v="#REF!"/>
    <e v="#REF!"/>
    <e v="#REF!"/>
  </r>
  <r>
    <s v="622621"/>
    <x v="11"/>
    <s v="Honoraires Cabinets de Recrutement"/>
    <s v="AC"/>
    <n v="140.49"/>
    <d v="2025-12-26T00:00:00"/>
    <s v="ABONNEMENT MENSUEL LINKEDIN RECRUTEUR"/>
    <s v="Non"/>
    <s v="Non"/>
    <e v="#N/A"/>
    <n v="95737"/>
    <s v="2"/>
    <s v="LINKEDIN"/>
    <s v="Q4"/>
    <e v="#REF!"/>
    <e v="#REF!"/>
    <e v="#REF!"/>
  </r>
  <r>
    <s v="622621"/>
    <x v="11"/>
    <s v="Honoraires Cabinets de Recrutement"/>
    <s v="AC"/>
    <n v="168.59"/>
    <d v="2025-01-26T00:00:00"/>
    <s v="RECRUITER LITE (LICENCE 1) DU 26 JANVIER 2025 AU 26 FÉVRIER 2025"/>
    <s v="Non"/>
    <s v="Non"/>
    <e v="#N/A"/>
    <n v="72524"/>
    <s v="78167615001"/>
    <s v="LINKEDIN"/>
    <s v="Q1"/>
    <e v="#REF!"/>
    <e v="#REF!"/>
    <e v="#REF!"/>
  </r>
  <r>
    <s v="622621"/>
    <x v="11"/>
    <s v="Honoraires Cabinets de Recrutement"/>
    <s v="AC"/>
    <n v="168.59"/>
    <d v="2025-03-26T00:00:00"/>
    <s v="RECRUITER LITE (LICENCE 1) DU 26 MARS 2025 AU 26 AVRIL 2025"/>
    <s v="Non"/>
    <s v="Non"/>
    <e v="#N/A"/>
    <n v="72574"/>
    <s v="78186511297"/>
    <s v="LINKEDIN"/>
    <s v="Q1"/>
    <e v="#REF!"/>
    <e v="#REF!"/>
    <e v="#REF!"/>
  </r>
  <r>
    <s v="622621"/>
    <x v="11"/>
    <s v="Honoraires Cabinets de Recrutement"/>
    <s v="AC"/>
    <n v="168.59"/>
    <d v="2025-04-26T00:00:00"/>
    <s v="RECRUITER LITE (LICENCE 1) DU 26 AVRIL 2025 AU 26 MAI 2025"/>
    <s v="Non"/>
    <s v="Non"/>
    <e v="#N/A"/>
    <n v="72615"/>
    <s v="78195894624"/>
    <s v="LINKEDIN"/>
    <s v="Q2"/>
    <e v="#REF!"/>
    <e v="#REF!"/>
    <e v="#REF!"/>
  </r>
  <r>
    <s v="622621"/>
    <x v="11"/>
    <s v="Honoraires Cabinets de Recrutement"/>
    <s v="AC"/>
    <n v="168.59"/>
    <d v="2025-05-01T00:00:00"/>
    <s v="LinkedIn Recruiter"/>
    <s v="Non"/>
    <s v="Non"/>
    <e v="#N/A"/>
    <n v="85014"/>
    <m/>
    <s v="LINKEDIN"/>
    <s v="Q2"/>
    <e v="#REF!"/>
    <e v="#REF!"/>
    <e v="#REF!"/>
  </r>
  <r>
    <s v="622621"/>
    <x v="11"/>
    <s v="Honoraires Cabinets de Recrutement"/>
    <s v="AC"/>
    <n v="168.59"/>
    <d v="2025-06-01T00:00:00"/>
    <s v="LinkedIn Recruiter"/>
    <s v="Non"/>
    <s v="Non"/>
    <e v="#N/A"/>
    <n v="85018"/>
    <m/>
    <s v="LINKEDIN"/>
    <s v="Q2"/>
    <e v="#REF!"/>
    <e v="#REF!"/>
    <e v="#REF!"/>
  </r>
  <r>
    <s v="622621"/>
    <x v="11"/>
    <s v="Honoraires Cabinets de Recrutement"/>
    <s v="AC"/>
    <n v="168.59"/>
    <d v="2025-07-01T00:00:00"/>
    <s v="LinkedIn Recruiter"/>
    <s v="Non"/>
    <s v="Non"/>
    <e v="#N/A"/>
    <n v="85021"/>
    <m/>
    <s v="LINKEDIN"/>
    <s v="Q3"/>
    <e v="#REF!"/>
    <e v="#REF!"/>
    <e v="#REF!"/>
  </r>
  <r>
    <s v="622621"/>
    <x v="11"/>
    <s v="Honoraires Cabinets de Recrutement"/>
    <s v="AC"/>
    <n v="168.59"/>
    <d v="2025-08-01T00:00:00"/>
    <s v="LinkedIn Recruiter"/>
    <s v="Non"/>
    <s v="Non"/>
    <e v="#N/A"/>
    <n v="85024"/>
    <m/>
    <s v="LINKEDIN"/>
    <s v="Q3"/>
    <e v="#REF!"/>
    <e v="#REF!"/>
    <e v="#REF!"/>
  </r>
  <r>
    <s v="622621"/>
    <x v="11"/>
    <s v="Honoraires Cabinets de Recrutement"/>
    <s v="AC"/>
    <n v="168.59"/>
    <d v="2025-09-01T00:00:00"/>
    <s v="LinkedIn Recruiter"/>
    <s v="Non"/>
    <s v="Non"/>
    <e v="#N/A"/>
    <n v="85027"/>
    <m/>
    <s v="LINKEDIN"/>
    <s v="Q3"/>
    <e v="#REF!"/>
    <e v="#REF!"/>
    <e v="#REF!"/>
  </r>
  <r>
    <s v="622621"/>
    <x v="11"/>
    <s v="Honoraires Cabinets de Recrutement"/>
    <s v="AC"/>
    <n v="168.59"/>
    <d v="2025-10-29T00:00:00"/>
    <s v="ABONNEMENT MENSUEL LINKEDIN RECRUTEUR"/>
    <s v="Non"/>
    <s v="Non"/>
    <e v="#N/A"/>
    <n v="91807"/>
    <s v="1"/>
    <s v="LINKEDIN"/>
    <s v="Q4"/>
    <e v="#REF!"/>
    <e v="#REF!"/>
    <e v="#REF!"/>
  </r>
  <r>
    <s v="622621"/>
    <x v="11"/>
    <s v="Honoraires Cabinets de Recrutement"/>
    <s v="AC"/>
    <n v="1250"/>
    <d v="2025-03-19T00:00:00"/>
    <s v="MISSION SPOT SI ( AIDE RECRUTEMENT RSI)"/>
    <s v="Non"/>
    <s v="Non"/>
    <e v="#N/A"/>
    <n v="66129"/>
    <s v="378"/>
    <s v="LRC2"/>
    <s v="Q1"/>
    <e v="#REF!"/>
    <e v="#REF!"/>
    <e v="#REF!"/>
  </r>
  <r>
    <s v="622621"/>
    <x v="11"/>
    <s v="Honoraires Cabinets de Recrutement"/>
    <s v="AC"/>
    <n v="2600"/>
    <d v="2025-04-11T00:00:00"/>
    <s v="PACK EXPERT PLUSMP"/>
    <s v="Non"/>
    <s v="Non"/>
    <e v="#N/A"/>
    <n v="69779"/>
    <s v="INMI00008326"/>
    <s v="MICHAEL PAGE"/>
    <s v="Q2"/>
    <e v="#REF!"/>
    <e v="#REF!"/>
    <e v="#REF!"/>
  </r>
  <r>
    <s v="622621"/>
    <x v="11"/>
    <s v="Honoraires Cabinets de Recrutement"/>
    <s v="AC"/>
    <n v="2990"/>
    <d v="2025-03-24T00:00:00"/>
    <s v="PACK ON-LINE POSTE: RESPONSABLE ADMINSITRATIF ET FINANCIER H/F"/>
    <m/>
    <s v="Non"/>
    <e v="#N/A"/>
    <n v="67870"/>
    <s v="FH-0046379"/>
    <s v="HAYS"/>
    <s v="Q1"/>
    <e v="#REF!"/>
    <e v="#REF!"/>
    <e v="#REF!"/>
  </r>
  <r>
    <s v="622630"/>
    <x v="11"/>
    <s v="Honoraires Avocats"/>
    <s v="AC"/>
    <n v="35.729999999999997"/>
    <d v="2025-11-04T00:00:00"/>
    <s v="FRAIS CLOSD"/>
    <s v="Non"/>
    <s v="Non"/>
    <e v="#N/A"/>
    <n v="89925"/>
    <s v="C2025991"/>
    <s v="ALTAIR AVOCATS"/>
    <s v="Q4"/>
    <e v="#REF!"/>
    <e v="#REF!"/>
    <e v="#REF!"/>
  </r>
  <r>
    <s v="622630"/>
    <x v="11"/>
    <s v="Honoraires Avocats"/>
    <s v="AC"/>
    <n v="99"/>
    <d v="2025-11-04T00:00:00"/>
    <s v="FRAIS CLOSD"/>
    <s v="Non"/>
    <s v="Non"/>
    <e v="#N/A"/>
    <n v="89926"/>
    <s v="C2025991"/>
    <s v="ALTAIR AVOCATS"/>
    <s v="Q4"/>
    <e v="#REF!"/>
    <e v="#REF!"/>
    <e v="#REF!"/>
  </r>
  <r>
    <s v="622630"/>
    <x v="11"/>
    <s v="Honoraires Avocats"/>
    <s v="AC"/>
    <n v="108.33"/>
    <d v="2025-06-10T00:00:00"/>
    <s v="CONSEIL ET ASSISTANCE DANS LE CADRE DU SUIVI DES BSPCE"/>
    <s v="Non"/>
    <s v="Non"/>
    <e v="#N/A"/>
    <n v="76574"/>
    <s v="C2025590"/>
    <s v="ALTAIR AVOCATS"/>
    <s v="Q2"/>
    <e v="#REF!"/>
    <e v="#REF!"/>
    <e v="#REF!"/>
  </r>
  <r>
    <s v="622630"/>
    <x v="11"/>
    <s v="Honoraires Avocats"/>
    <s v="AC"/>
    <n v="133.69999999999999"/>
    <d v="2025-11-17T00:00:00"/>
    <s v="FORMALITÉ LÉGALES CONVERSION OC"/>
    <s v="Non"/>
    <s v="Non"/>
    <e v="#N/A"/>
    <n v="91123"/>
    <s v="FACT 2025 - 1245"/>
    <s v="SERVICES PRESTATIONS FORMALITES LEGALES"/>
    <s v="Q4"/>
    <e v="#REF!"/>
    <e v="#REF!"/>
    <e v="#REF!"/>
  </r>
  <r>
    <s v="622630"/>
    <x v="11"/>
    <s v="Honoraires Avocats"/>
    <s v="AC"/>
    <n v="299.51"/>
    <d v="2025-11-12T00:00:00"/>
    <s v="DÉPÔT MARQUE US, RÉPONSE DEMANDES OFFICE ACTION"/>
    <s v="Non"/>
    <s v="Non"/>
    <e v="#N/A"/>
    <n v="91114"/>
    <s v="2473501"/>
    <s v="WARNER NORCROSS JUDD"/>
    <s v="Q4"/>
    <e v="#REF!"/>
    <e v="#REF!"/>
    <e v="#REF!"/>
  </r>
  <r>
    <s v="622630"/>
    <x v="11"/>
    <s v="Honoraires Avocats"/>
    <s v="AC"/>
    <n v="408.34"/>
    <d v="2025-04-08T00:00:00"/>
    <s v="SUIVI JURIDIQUE EN HOTLINE POUR LA PÉRIODE DU 1ER AU 31 MARS 2025"/>
    <s v="Non"/>
    <s v="Non"/>
    <e v="#N/A"/>
    <n v="69738"/>
    <s v="C2025446"/>
    <s v="ALTAIR AVOCATS"/>
    <s v="Q2"/>
    <e v="#REF!"/>
    <e v="#REF!"/>
    <e v="#REF!"/>
  </r>
  <r>
    <s v="622630"/>
    <x v="11"/>
    <s v="Honoraires Avocats"/>
    <s v="AC"/>
    <n v="487.51"/>
    <d v="2025-07-08T00:00:00"/>
    <s v="HOTLINE"/>
    <s v="Non"/>
    <s v="Non"/>
    <e v="#N/A"/>
    <n v="77343"/>
    <s v="C2025695"/>
    <s v="ALTAIR AVOCATS"/>
    <s v="Q3"/>
    <e v="#REF!"/>
    <e v="#REF!"/>
    <e v="#REF!"/>
  </r>
  <r>
    <s v="622630"/>
    <x v="11"/>
    <s v="Honoraires Avocats"/>
    <s v="AC"/>
    <n v="500"/>
    <d v="2025-06-10T00:00:00"/>
    <s v="&quot;HONORAIRE FORFAITAIRE &quot;&quot;ATTENDANCE TO THE BOARD &quot;&quot; 13/05/2025&quot;"/>
    <s v="Non"/>
    <s v="Non"/>
    <e v="#N/A"/>
    <n v="76585"/>
    <s v="C2025591"/>
    <s v="ALTAIR AVOCATS"/>
    <s v="Q2"/>
    <e v="#REF!"/>
    <e v="#REF!"/>
    <e v="#REF!"/>
  </r>
  <r>
    <s v="622630"/>
    <x v="11"/>
    <s v="Honoraires Avocats"/>
    <s v="AC"/>
    <n v="500"/>
    <d v="2025-06-27T00:00:00"/>
    <s v="&quot;HONORAIRE FORFAITAIRE &quot;&quot;ATTENDANCE TO THE BOARD &quot;&quot; 10/06/2025&quot;"/>
    <s v="Non"/>
    <s v="Non"/>
    <e v="#N/A"/>
    <n v="77299"/>
    <s v="C2025613"/>
    <s v="ALTAIR AVOCATS"/>
    <s v="Q2"/>
    <e v="#REF!"/>
    <e v="#REF!"/>
    <e v="#REF!"/>
  </r>
  <r>
    <s v="622630"/>
    <x v="11"/>
    <s v="Honoraires Avocats"/>
    <s v="AC"/>
    <n v="503.41"/>
    <d v="2025-11-17T00:00:00"/>
    <s v="FORMALITÉ LÉGALES CONVERSION OC"/>
    <s v="Non"/>
    <s v="Non"/>
    <e v="#N/A"/>
    <n v="91124"/>
    <s v="FACT 2025 - 1245"/>
    <s v="SERVICES PRESTATIONS FORMALITES LEGALES"/>
    <s v="Q4"/>
    <e v="#REF!"/>
    <e v="#REF!"/>
    <e v="#REF!"/>
  </r>
  <r>
    <s v="622630"/>
    <x v="11"/>
    <s v="Honoraires Avocats"/>
    <s v="AC"/>
    <n v="737.51"/>
    <d v="2025-01-08T00:00:00"/>
    <s v="CONSEILS ET ASSISTANCE POUR LA PÉRIODE DU 1ER DÉCEMBRE 2024 AU 31 DÉCEMBRE 2024"/>
    <s v="Non"/>
    <s v="Non"/>
    <e v="#N/A"/>
    <n v="59877"/>
    <s v="C2025087"/>
    <s v="ALTAIR AVOCATS"/>
    <s v="Q1"/>
    <e v="#REF!"/>
    <e v="#REF!"/>
    <e v="#REF!"/>
  </r>
  <r>
    <s v="622630"/>
    <x v="11"/>
    <s v="Honoraires Avocats"/>
    <s v="AC"/>
    <n v="1125"/>
    <d v="2025-12-04T00:00:00"/>
    <s v="HOTLINE POUR LA PÉRIODE DU 1ER AU 30 NOVEMBRE 2025"/>
    <s v="Non"/>
    <s v="Non"/>
    <e v="#N/A"/>
    <n v="92003"/>
    <s v="C20251070"/>
    <s v="ALTAIR AVOCATS"/>
    <s v="Q4"/>
    <e v="#REF!"/>
    <e v="#REF!"/>
    <e v="#REF!"/>
  </r>
  <r>
    <s v="622630"/>
    <x v="11"/>
    <s v="Honoraires Avocats"/>
    <s v="AC"/>
    <n v="1319.99"/>
    <d v="2025-09-01T00:00:00"/>
    <s v="CONSEIL ET ASSISTANCE CONFORMÉMENT À LA LETTRE DE MISSION POUR LA PÉRIODE DU 1ER JUIN AU 31 AOUT 2025"/>
    <s v="Non"/>
    <s v="Non"/>
    <e v="#N/A"/>
    <n v="81847"/>
    <s v="C2025829"/>
    <s v="ALTAIR AVOCATS"/>
    <s v="Q3"/>
    <e v="#REF!"/>
    <e v="#REF!"/>
    <e v="#REF!"/>
  </r>
  <r>
    <s v="622630"/>
    <x v="11"/>
    <s v="Honoraires Avocats"/>
    <s v="AC"/>
    <n v="1441.92"/>
    <d v="2025-06-10T00:00:00"/>
    <s v="HONORAIRES DE PROGRESSION SUR LA PÉRIODE DU 1ER AU 31 MAI 2025"/>
    <s v="Non"/>
    <s v="Non"/>
    <e v="#N/A"/>
    <n v="76591"/>
    <s v="C2025585"/>
    <s v="ALTAIR AVOCATS"/>
    <s v="Q2"/>
    <e v="#REF!"/>
    <e v="#REF!"/>
    <e v="#REF!"/>
  </r>
  <r>
    <s v="622630"/>
    <x v="11"/>
    <s v="Honoraires Avocats"/>
    <s v="AC"/>
    <n v="1500"/>
    <d v="2025-01-31T00:00:00"/>
    <s v="HONORAIRES JURIDIQUES MI FÉVRIER"/>
    <s v="Non"/>
    <s v="Non"/>
    <e v="#N/A"/>
    <n v="61380"/>
    <s v="BOLD-027358"/>
    <s v="WE ARE BOLD"/>
    <s v="Q1"/>
    <e v="#REF!"/>
    <e v="#REF!"/>
    <e v="#REF!"/>
  </r>
  <r>
    <s v="622630"/>
    <x v="11"/>
    <s v="Honoraires Avocats"/>
    <s v="AC"/>
    <n v="1500"/>
    <d v="2025-02-28T00:00:00"/>
    <s v="PRESTATION FÉVRIER"/>
    <s v="Non"/>
    <s v="Non"/>
    <e v="#N/A"/>
    <n v="61579"/>
    <s v="BOLD-027562"/>
    <s v="WE ARE BOLD"/>
    <s v="Q1"/>
    <e v="#REF!"/>
    <e v="#REF!"/>
    <e v="#REF!"/>
  </r>
  <r>
    <s v="622630"/>
    <x v="11"/>
    <s v="Honoraires Avocats"/>
    <s v="AC"/>
    <n v="1621.08"/>
    <d v="2025-05-14T00:00:00"/>
    <s v="HONORAIRES DE PROGRESSION SUR LA PÉRIODE DU 1ER AU 30 AVRIL 2025"/>
    <s v="Non"/>
    <s v="Non"/>
    <e v="#N/A"/>
    <n v="73787"/>
    <s v="C2025520"/>
    <s v="ALTAIR AVOCATS"/>
    <s v="Q2"/>
    <e v="#REF!"/>
    <e v="#REF!"/>
    <e v="#REF!"/>
  </r>
  <r>
    <s v="622630"/>
    <x v="11"/>
    <s v="Honoraires Avocats"/>
    <s v="AC"/>
    <n v="2500"/>
    <d v="2025-01-31T00:00:00"/>
    <s v="PRESTATIONS JANVIER"/>
    <s v="Non"/>
    <s v="Non"/>
    <e v="#N/A"/>
    <n v="61365"/>
    <s v="BOLD-027295"/>
    <s v="WE ARE BOLD"/>
    <s v="Q1"/>
    <e v="#REF!"/>
    <e v="#REF!"/>
    <e v="#REF!"/>
  </r>
  <r>
    <s v="622630"/>
    <x v="11"/>
    <s v="Honoraires Avocats"/>
    <s v="AC"/>
    <n v="2500"/>
    <d v="2025-02-28T00:00:00"/>
    <s v="PRESTATION FÉVRIER"/>
    <s v="Non"/>
    <s v="Non"/>
    <e v="#N/A"/>
    <n v="61565"/>
    <s v="BOLD-027553"/>
    <s v="WE ARE BOLD"/>
    <s v="Q1"/>
    <e v="#REF!"/>
    <e v="#REF!"/>
    <e v="#REF!"/>
  </r>
  <r>
    <s v="622630"/>
    <x v="11"/>
    <s v="Honoraires Avocats"/>
    <s v="AC"/>
    <n v="2500"/>
    <d v="2025-03-31T00:00:00"/>
    <s v="HONORAIRES JURIDIQUES FORFAITISÉS"/>
    <s v="Non"/>
    <s v="Non"/>
    <e v="#N/A"/>
    <n v="67933"/>
    <s v="BOLD-028083"/>
    <s v="WE ARE BOLD"/>
    <s v="Q1"/>
    <e v="#REF!"/>
    <e v="#REF!"/>
    <e v="#REF!"/>
  </r>
  <r>
    <s v="622630"/>
    <x v="11"/>
    <s v="Honoraires Avocats"/>
    <s v="AC"/>
    <n v="2500"/>
    <d v="2025-04-30T00:00:00"/>
    <s v="PRESTATION BOLD 2025_04"/>
    <s v="Non"/>
    <s v="Non"/>
    <e v="#N/A"/>
    <n v="72652"/>
    <s v="PLDJWFFPGHJYZZ"/>
    <s v="WE ARE BOLD"/>
    <s v="Q2"/>
    <e v="#REF!"/>
    <e v="#REF!"/>
    <e v="#REF!"/>
  </r>
  <r>
    <s v="622630"/>
    <x v="11"/>
    <s v="Honoraires Avocats"/>
    <s v="AC"/>
    <n v="2500"/>
    <d v="2025-05-31T00:00:00"/>
    <s v="FORFAIT JURIDIQUE 2025_05"/>
    <s v="Non"/>
    <s v="Non"/>
    <e v="#N/A"/>
    <n v="75173"/>
    <s v="BOLD-029240"/>
    <s v="WE ARE BOLD"/>
    <s v="Q2"/>
    <e v="#REF!"/>
    <e v="#REF!"/>
    <e v="#REF!"/>
  </r>
  <r>
    <s v="622630"/>
    <x v="11"/>
    <s v="Honoraires Avocats"/>
    <s v="AC"/>
    <n v="2500"/>
    <d v="2025-06-30T00:00:00"/>
    <s v="PRESTATION BOLD"/>
    <s v="Non"/>
    <s v="Non"/>
    <e v="#N/A"/>
    <n v="77319"/>
    <s v="BOLD-029728"/>
    <s v="WE ARE BOLD"/>
    <s v="Q2"/>
    <e v="#REF!"/>
    <e v="#REF!"/>
    <e v="#REF!"/>
  </r>
  <r>
    <s v="622630"/>
    <x v="11"/>
    <s v="Honoraires Avocats"/>
    <s v="AC"/>
    <n v="2500"/>
    <d v="2025-07-31T00:00:00"/>
    <s v="FORFAIT JURIDIQUE"/>
    <s v="Non"/>
    <s v="Non"/>
    <e v="#N/A"/>
    <n v="81236"/>
    <s v="BOLD-030331"/>
    <s v="WE ARE BOLD"/>
    <s v="Q3"/>
    <e v="#REF!"/>
    <e v="#REF!"/>
    <e v="#REF!"/>
  </r>
  <r>
    <s v="622630"/>
    <x v="11"/>
    <s v="Honoraires Avocats"/>
    <s v="AC"/>
    <n v="2500"/>
    <d v="2025-08-31T00:00:00"/>
    <s v="UNLIMITED EXPANSION"/>
    <s v="Non"/>
    <s v="Non"/>
    <e v="#N/A"/>
    <n v="81840"/>
    <s v="BOLD-030872"/>
    <s v="WE ARE BOLD"/>
    <s v="Q3"/>
    <e v="#REF!"/>
    <e v="#REF!"/>
    <e v="#REF!"/>
  </r>
  <r>
    <s v="622630"/>
    <x v="11"/>
    <s v="Honoraires Avocats"/>
    <s v="AC"/>
    <n v="2500"/>
    <d v="2025-09-30T00:00:00"/>
    <s v="UNLIMITED EXPANSION"/>
    <s v="Non"/>
    <s v="Non"/>
    <e v="#N/A"/>
    <n v="82755"/>
    <s v="BOLD-031513"/>
    <s v="WE ARE BOLD"/>
    <s v="Q3"/>
    <e v="#REF!"/>
    <e v="#REF!"/>
    <e v="#REF!"/>
  </r>
  <r>
    <s v="622630"/>
    <x v="11"/>
    <s v="Honoraires Avocats"/>
    <s v="AC"/>
    <n v="2500"/>
    <d v="2025-10-31T00:00:00"/>
    <s v="UNLIMITED EXPANSION"/>
    <s v="Non"/>
    <s v="Non"/>
    <e v="#N/A"/>
    <n v="89891"/>
    <s v="BOLD-031909"/>
    <s v="WE ARE BOLD"/>
    <s v="Q4"/>
    <e v="#REF!"/>
    <e v="#REF!"/>
    <e v="#REF!"/>
  </r>
  <r>
    <s v="622630"/>
    <x v="11"/>
    <s v="Honoraires Avocats"/>
    <s v="AC"/>
    <n v="2500"/>
    <d v="2025-11-30T00:00:00"/>
    <s v="UNLIMITED EXPANSION"/>
    <s v="Non"/>
    <s v="Non"/>
    <e v="#N/A"/>
    <n v="91994"/>
    <s v="BOLD-032519"/>
    <s v="WE ARE BOLD"/>
    <s v="Q4"/>
    <e v="#REF!"/>
    <e v="#REF!"/>
    <e v="#REF!"/>
  </r>
  <r>
    <s v="622630"/>
    <x v="11"/>
    <s v="Honoraires Avocats"/>
    <s v="AC"/>
    <n v="2500"/>
    <d v="2025-12-31T00:00:00"/>
    <s v="UNLIMITED EXPANSION"/>
    <s v="Non"/>
    <s v="Non"/>
    <e v="#N/A"/>
    <n v="94305"/>
    <s v="BOLD-033050"/>
    <s v="WE ARE BOLD"/>
    <s v="Q4"/>
    <e v="#REF!"/>
    <e v="#REF!"/>
    <e v="#REF!"/>
  </r>
  <r>
    <s v="622630"/>
    <x v="11"/>
    <s v="Honoraires Avocats"/>
    <s v="AC"/>
    <n v="2956.25"/>
    <d v="2025-02-10T00:00:00"/>
    <s v="CONSEIL ET ASSISTANCE PHASE B DE LA LETTRE DE MISSION DU 24 JANVIER 2025"/>
    <s v="Non"/>
    <s v="Non"/>
    <e v="#N/A"/>
    <n v="61451"/>
    <s v="C2025293"/>
    <s v="ALTAIR AVOCATS"/>
    <s v="Q1"/>
    <e v="#REF!"/>
    <e v="#REF!"/>
    <e v="#REF!"/>
  </r>
  <r>
    <s v="622630"/>
    <x v="11"/>
    <s v="Honoraires Avocats"/>
    <s v="AC"/>
    <n v="4109.38"/>
    <d v="2025-08-27T00:00:00"/>
    <s v="HOTLINE SUR LA PÉRIODE DU 1ER AU 31 JUILLET 2025"/>
    <s v="Non"/>
    <s v="Non"/>
    <e v="#N/A"/>
    <n v="81828"/>
    <s v="C2025797"/>
    <s v="ALTAIR AVOCATS"/>
    <s v="Q3"/>
    <e v="#REF!"/>
    <e v="#REF!"/>
    <e v="#REF!"/>
  </r>
  <r>
    <s v="622630"/>
    <x v="11"/>
    <s v="Honoraires Avocats"/>
    <s v="AC"/>
    <n v="4208.3500000000004"/>
    <d v="2025-10-06T00:00:00"/>
    <s v="HOTLINE POUR LA PÉRIODE DU 1ER AU 30 SEPTEMBRE 2025"/>
    <s v="Non"/>
    <s v="Non"/>
    <e v="#N/A"/>
    <n v="84988"/>
    <s v="C2025905"/>
    <s v="ALTAIR AVOCATS"/>
    <s v="Q4"/>
    <e v="#REF!"/>
    <e v="#REF!"/>
    <e v="#REF!"/>
  </r>
  <r>
    <s v="622630"/>
    <x v="11"/>
    <s v="Honoraires Avocats"/>
    <s v="AC"/>
    <n v="5613.33"/>
    <d v="2025-10-06T00:00:00"/>
    <s v="CONSEIL ET ASSISTANCE CONFORMÉMENT À LA LETTRE DE MISSION POUR LA PÉRIODE DU 1ER AU 30 SEPTEMBRE 2025"/>
    <s v="Non"/>
    <s v="Non"/>
    <e v="#N/A"/>
    <n v="84985"/>
    <s v="C2025902"/>
    <s v="ALTAIR AVOCATS"/>
    <s v="Q4"/>
    <e v="#REF!"/>
    <e v="#REF!"/>
    <e v="#REF!"/>
  </r>
  <r>
    <s v="622630"/>
    <x v="11"/>
    <s v="Honoraires Avocats"/>
    <s v="AC"/>
    <n v="7500"/>
    <d v="2025-01-08T00:00:00"/>
    <s v="CONSEIL ET ASSISTANCE DANS LE CADRE DE LA MISSION 1 DE NOTRE  AVENANT DU 20 JANVIER 2021 À LA LETTRE DE MISSION."/>
    <s v="Non"/>
    <s v="Non"/>
    <e v="#N/A"/>
    <n v="59874"/>
    <s v="C2025106"/>
    <s v="ALTAIR AVOCATS"/>
    <s v="Q1"/>
    <e v="#REF!"/>
    <e v="#REF!"/>
    <e v="#REF!"/>
  </r>
  <r>
    <s v="622630"/>
    <x v="11"/>
    <s v="Honoraires Avocats"/>
    <s v="AC"/>
    <n v="15721.18"/>
    <d v="2025-11-04T00:00:00"/>
    <s v="CONSEIL ET ASSISTANCE CONFORMÉMENT À LA LETTRE DE MISSION POUR LA PÉRIODE DU 1ER AU 31 OCTOBRE 2025"/>
    <s v="Non"/>
    <s v="Non"/>
    <e v="#N/A"/>
    <n v="89922"/>
    <s v="C20251003"/>
    <s v="ALTAIR AVOCATS"/>
    <s v="Q4"/>
    <e v="#REF!"/>
    <e v="#REF!"/>
    <e v="#REF!"/>
  </r>
  <r>
    <s v="622630"/>
    <x v="11"/>
    <s v="Honoraires Avocats"/>
    <s v="OD"/>
    <n v="90.01"/>
    <d v="2025-11-24T00:00:00"/>
    <s v="Reliquat sur facture C30084 (débours GTC)"/>
    <s v="Non"/>
    <s v="Non"/>
    <e v="#N/A"/>
    <n v="90574"/>
    <m/>
    <s v="ALTAIR AVOCATS"/>
    <s v="Q4"/>
    <e v="#REF!"/>
    <e v="#REF!"/>
    <e v="#REF!"/>
  </r>
  <r>
    <s v="622640"/>
    <x v="11"/>
    <s v="Honoraires Commissaires aux Comptes"/>
    <s v="AC"/>
    <n v="-15000"/>
    <d v="2025-06-29T00:00:00"/>
    <s v="COMMISSARIAT AUX COMPTES AU TITRE DE L'EXERCICE CLOS LE 31 DÉCEMBRE 2024 - REPRISE FNP"/>
    <m/>
    <e v="#N/A"/>
    <e v="#N/A"/>
    <n v="77186"/>
    <s v="E002VPR-25-06-2158"/>
    <m/>
    <s v="Q2"/>
    <e v="#REF!"/>
    <e v="#REF!"/>
    <e v="#REF!"/>
  </r>
  <r>
    <s v="622640"/>
    <x v="11"/>
    <s v="Honoraires Commissaires aux Comptes"/>
    <s v="AC"/>
    <n v="-10000"/>
    <d v="2025-04-09T00:00:00"/>
    <s v="COMMISSARIAT AUX COMPTES AU TITRE DE L'EXERCICE CLOS LE 31 DÉCEMBRE 2024 - REPRISE FNP"/>
    <m/>
    <e v="#N/A"/>
    <e v="#N/A"/>
    <n v="77178"/>
    <s v="E002VPR-25-04-0564"/>
    <m/>
    <s v="Q2"/>
    <e v="#REF!"/>
    <e v="#REF!"/>
    <e v="#REF!"/>
  </r>
  <r>
    <s v="622640"/>
    <x v="11"/>
    <s v="Honoraires Commissaires aux Comptes"/>
    <s v="AC"/>
    <n v="1506.15"/>
    <d v="2025-10-10T00:00:00"/>
    <s v="RAPPORT DU COMMISSAIRE AUX COMPTES SUR LE CONTRAT D'ÉMISSION"/>
    <s v="Non"/>
    <s v="Non"/>
    <e v="#N/A"/>
    <n v="87072"/>
    <s v="E002VPR-26-10-0731"/>
    <s v="FORVIS MAZARS"/>
    <s v="Q4"/>
    <e v="#REF!"/>
    <e v="#REF!"/>
    <e v="#REF!"/>
  </r>
  <r>
    <s v="622640"/>
    <x v="11"/>
    <s v="Honoraires Commissaires aux Comptes"/>
    <s v="AC"/>
    <n v="3514.35"/>
    <d v="2025-05-14T00:00:00"/>
    <s v="AUDIT ERD BPI INOV"/>
    <s v="Non"/>
    <s v="Non"/>
    <e v="#N/A"/>
    <n v="72715"/>
    <s v="E002VPR-25-05-0721"/>
    <s v="FORVIS MAZARS"/>
    <s v="Q2"/>
    <e v="#REF!"/>
    <e v="#REF!"/>
    <e v="#REF!"/>
  </r>
  <r>
    <s v="622640"/>
    <x v="11"/>
    <s v="Honoraires Commissaires aux Comptes"/>
    <s v="AC"/>
    <n v="10000"/>
    <d v="2025-04-09T00:00:00"/>
    <s v="COMMISSARIAT AUX COMPTES AU TITRE DE L'EXERCICE CLOS LE 31 DÉCEMBRE 2024"/>
    <m/>
    <e v="#N/A"/>
    <e v="#N/A"/>
    <n v="69762"/>
    <s v="E002VPR-25-04-0564"/>
    <m/>
    <s v="Q2"/>
    <e v="#REF!"/>
    <e v="#REF!"/>
    <e v="#REF!"/>
  </r>
  <r>
    <s v="622640"/>
    <x v="11"/>
    <s v="Honoraires Commissaires aux Comptes"/>
    <s v="AC"/>
    <n v="10758.49"/>
    <d v="2025-06-29T00:00:00"/>
    <s v="COMMISSARIAT AUX COMPTES AU TITRE DE L'EXERCICE CLOS LE 31 DÉCEMBRE 2024 - SOLDE"/>
    <m/>
    <e v="#N/A"/>
    <e v="#N/A"/>
    <n v="76755"/>
    <s v="E002VPR-25-06-2158"/>
    <m/>
    <s v="Q2"/>
    <e v="#REF!"/>
    <e v="#REF!"/>
    <e v="#REF!"/>
  </r>
  <r>
    <s v="622640"/>
    <x v="11"/>
    <s v="Honoraires Commissaires aux Comptes"/>
    <s v="JC"/>
    <n v="1879.13"/>
    <d v="2025-12-01T00:00:00"/>
    <s v="FNP - CAC MAZARS"/>
    <s v="Non"/>
    <s v="Non"/>
    <e v="#N/A"/>
    <n v="86848"/>
    <m/>
    <s v="FORVIS MAZARS"/>
    <s v="Q4"/>
    <e v="#REF!"/>
    <e v="#REF!"/>
    <e v="#REF!"/>
  </r>
  <r>
    <s v="622640"/>
    <x v="11"/>
    <s v="Honoraires Commissaires aux Comptes"/>
    <s v="JC"/>
    <n v="1879.17"/>
    <d v="2025-01-01T00:00:00"/>
    <s v="FNP - CAC MAZARS"/>
    <s v="Non"/>
    <s v="Non"/>
    <e v="#N/A"/>
    <n v="86830"/>
    <m/>
    <s v="FORVIS MAZARS"/>
    <s v="Q1"/>
    <e v="#REF!"/>
    <e v="#REF!"/>
    <e v="#REF!"/>
  </r>
  <r>
    <s v="622640"/>
    <x v="11"/>
    <s v="Honoraires Commissaires aux Comptes"/>
    <s v="JC"/>
    <n v="1879.17"/>
    <d v="2025-02-01T00:00:00"/>
    <s v="FNP - CAC MAZARS"/>
    <s v="Non"/>
    <s v="Non"/>
    <e v="#N/A"/>
    <n v="86826"/>
    <m/>
    <s v="FORVIS MAZARS"/>
    <s v="Q1"/>
    <e v="#REF!"/>
    <e v="#REF!"/>
    <e v="#REF!"/>
  </r>
  <r>
    <s v="622640"/>
    <x v="11"/>
    <s v="Honoraires Commissaires aux Comptes"/>
    <s v="JC"/>
    <n v="1879.17"/>
    <d v="2025-03-01T00:00:00"/>
    <s v="FNP - CAC MAZARS"/>
    <s v="Non"/>
    <s v="Non"/>
    <e v="#N/A"/>
    <n v="86828"/>
    <m/>
    <s v="FORVIS MAZARS"/>
    <s v="Q1"/>
    <e v="#REF!"/>
    <e v="#REF!"/>
    <e v="#REF!"/>
  </r>
  <r>
    <s v="622640"/>
    <x v="11"/>
    <s v="Honoraires Commissaires aux Comptes"/>
    <s v="JC"/>
    <n v="1879.17"/>
    <d v="2025-04-01T00:00:00"/>
    <s v="FNP - CAC MAZARS"/>
    <s v="Non"/>
    <s v="Non"/>
    <e v="#N/A"/>
    <n v="86832"/>
    <m/>
    <s v="FORVIS MAZARS"/>
    <s v="Q2"/>
    <e v="#REF!"/>
    <e v="#REF!"/>
    <e v="#REF!"/>
  </r>
  <r>
    <s v="622640"/>
    <x v="11"/>
    <s v="Honoraires Commissaires aux Comptes"/>
    <s v="JC"/>
    <n v="1879.17"/>
    <d v="2025-05-01T00:00:00"/>
    <s v="FNP - CAC MAZARS"/>
    <s v="Non"/>
    <s v="Non"/>
    <e v="#N/A"/>
    <n v="86834"/>
    <m/>
    <s v="FORVIS MAZARS"/>
    <s v="Q2"/>
    <e v="#REF!"/>
    <e v="#REF!"/>
    <e v="#REF!"/>
  </r>
  <r>
    <s v="622640"/>
    <x v="11"/>
    <s v="Honoraires Commissaires aux Comptes"/>
    <s v="JC"/>
    <n v="1879.17"/>
    <d v="2025-06-01T00:00:00"/>
    <s v="FNP - CAC MAZARS"/>
    <s v="Non"/>
    <s v="Non"/>
    <e v="#N/A"/>
    <n v="86836"/>
    <m/>
    <s v="FORVIS MAZARS"/>
    <s v="Q2"/>
    <e v="#REF!"/>
    <e v="#REF!"/>
    <e v="#REF!"/>
  </r>
  <r>
    <s v="622640"/>
    <x v="11"/>
    <s v="Honoraires Commissaires aux Comptes"/>
    <s v="JC"/>
    <n v="1879.17"/>
    <d v="2025-07-01T00:00:00"/>
    <s v="FNP - CAC MAZARS"/>
    <s v="Non"/>
    <s v="Non"/>
    <e v="#N/A"/>
    <n v="86838"/>
    <m/>
    <s v="FORVIS MAZARS"/>
    <s v="Q3"/>
    <e v="#REF!"/>
    <e v="#REF!"/>
    <e v="#REF!"/>
  </r>
  <r>
    <s v="622640"/>
    <x v="11"/>
    <s v="Honoraires Commissaires aux Comptes"/>
    <s v="JC"/>
    <n v="1879.17"/>
    <d v="2025-08-01T00:00:00"/>
    <s v="FNP - CAC MAZARS"/>
    <s v="Non"/>
    <s v="Non"/>
    <e v="#N/A"/>
    <n v="86840"/>
    <m/>
    <s v="FORVIS MAZARS"/>
    <s v="Q3"/>
    <e v="#REF!"/>
    <e v="#REF!"/>
    <e v="#REF!"/>
  </r>
  <r>
    <s v="622640"/>
    <x v="11"/>
    <s v="Honoraires Commissaires aux Comptes"/>
    <s v="JC"/>
    <n v="1879.17"/>
    <d v="2025-09-01T00:00:00"/>
    <s v="FNP - CAC MAZARS"/>
    <s v="Non"/>
    <s v="Non"/>
    <e v="#N/A"/>
    <n v="86842"/>
    <m/>
    <s v="FORVIS MAZARS"/>
    <s v="Q3"/>
    <e v="#REF!"/>
    <e v="#REF!"/>
    <e v="#REF!"/>
  </r>
  <r>
    <s v="622640"/>
    <x v="11"/>
    <s v="Honoraires Commissaires aux Comptes"/>
    <s v="JC"/>
    <n v="1879.17"/>
    <d v="2025-10-01T00:00:00"/>
    <s v="FNP - CAC MAZARS"/>
    <s v="Non"/>
    <s v="Non"/>
    <e v="#N/A"/>
    <n v="86844"/>
    <m/>
    <s v="FORVIS MAZARS"/>
    <s v="Q4"/>
    <e v="#REF!"/>
    <e v="#REF!"/>
    <e v="#REF!"/>
  </r>
  <r>
    <s v="622640"/>
    <x v="11"/>
    <s v="Honoraires Commissaires aux Comptes"/>
    <s v="JC"/>
    <n v="1879.17"/>
    <d v="2025-11-01T00:00:00"/>
    <s v="FNP - CAC MAZARS"/>
    <s v="Non"/>
    <s v="Non"/>
    <e v="#N/A"/>
    <n v="86846"/>
    <m/>
    <s v="FORVIS MAZARS"/>
    <s v="Q4"/>
    <e v="#REF!"/>
    <e v="#REF!"/>
    <e v="#REF!"/>
  </r>
  <r>
    <s v="622650"/>
    <x v="11"/>
    <s v="Honoraires CIR"/>
    <s v="AC"/>
    <n v="-11837.69"/>
    <d v="2025-05-05T00:00:00"/>
    <s v="MISSION CIR 2024"/>
    <s v="Non"/>
    <s v="Non"/>
    <e v="#N/A"/>
    <n v="77445"/>
    <s v="F-2025-4258"/>
    <s v="BUSINOVE"/>
    <s v="Q2"/>
    <e v="#REF!"/>
    <e v="#REF!"/>
    <e v="#REF!"/>
  </r>
  <r>
    <s v="622650"/>
    <x v="11"/>
    <s v="Honoraires CIR"/>
    <s v="AC"/>
    <n v="-2000"/>
    <d v="2025-03-31T00:00:00"/>
    <s v="MISSION CIR"/>
    <s v="Non"/>
    <s v="Non"/>
    <e v="#N/A"/>
    <n v="77442"/>
    <s v="F-2025-4164"/>
    <s v="BUSINOVE"/>
    <s v="Q1"/>
    <e v="#REF!"/>
    <e v="#REF!"/>
    <e v="#REF!"/>
  </r>
  <r>
    <s v="622650"/>
    <x v="11"/>
    <s v="Honoraires CIR"/>
    <s v="AC"/>
    <n v="-2000"/>
    <d v="2025-11-03T00:00:00"/>
    <s v="REPRISE PARTIELLE FNP - MISSION CIR 2025"/>
    <s v="Non"/>
    <s v="Non"/>
    <e v="#N/A"/>
    <n v="94826"/>
    <s v="F-2025-4578"/>
    <s v="BUSINOVE"/>
    <s v="Q4"/>
    <e v="#REF!"/>
    <e v="#REF!"/>
    <e v="#REF!"/>
  </r>
  <r>
    <s v="622650"/>
    <x v="11"/>
    <s v="Honoraires CIR"/>
    <s v="AC"/>
    <n v="-562.30999999999995"/>
    <d v="2025-05-05T00:00:00"/>
    <s v="MISSION CIR 2024"/>
    <s v="Non"/>
    <s v="Non"/>
    <e v="#N/A"/>
    <n v="77455"/>
    <s v="F-2025-4258"/>
    <s v="BUSINOVE"/>
    <s v="Q2"/>
    <e v="#REF!"/>
    <e v="#REF!"/>
    <e v="#REF!"/>
  </r>
  <r>
    <s v="622650"/>
    <x v="11"/>
    <s v="Honoraires CIR"/>
    <s v="AC"/>
    <n v="759.95"/>
    <d v="2025-06-02T00:00:00"/>
    <s v="COMMISSION DE STRUCTURATION CIR 2024"/>
    <s v="Non"/>
    <s v="Non"/>
    <e v="#N/A"/>
    <n v="87267"/>
    <s v="C2025-06-113"/>
    <s v="SIENNA AM FRANCE"/>
    <s v="Q2"/>
    <e v="#REF!"/>
    <e v="#REF!"/>
    <e v="#REF!"/>
  </r>
  <r>
    <s v="622650"/>
    <x v="11"/>
    <s v="Honoraires CIR"/>
    <s v="AC"/>
    <n v="2000"/>
    <d v="2025-03-31T00:00:00"/>
    <s v="MISSION CIR"/>
    <s v="Non"/>
    <s v="Non"/>
    <e v="#N/A"/>
    <n v="67921"/>
    <s v="F-2025-4164"/>
    <s v="BUSINOVE"/>
    <s v="Q1"/>
    <e v="#REF!"/>
    <e v="#REF!"/>
    <e v="#REF!"/>
  </r>
  <r>
    <s v="622650"/>
    <x v="11"/>
    <s v="Honoraires CIR"/>
    <s v="AC"/>
    <n v="2000"/>
    <d v="2025-11-03T00:00:00"/>
    <s v="ACOMPTE MISSION CIR 2025"/>
    <s v="Non"/>
    <s v="Non"/>
    <e v="#N/A"/>
    <n v="92154"/>
    <s v="F-2025-4578"/>
    <s v="BUSINOVE"/>
    <s v="Q4"/>
    <e v="#REF!"/>
    <e v="#REF!"/>
    <e v="#REF!"/>
  </r>
  <r>
    <s v="622650"/>
    <x v="11"/>
    <s v="Honoraires CIR"/>
    <s v="AC"/>
    <n v="2400"/>
    <d v="2025-05-05T00:00:00"/>
    <s v="MISSION CIR 2024"/>
    <s v="Non"/>
    <s v="Non"/>
    <e v="#N/A"/>
    <n v="77569"/>
    <s v="F-2025-4258"/>
    <s v="BUSINOVE"/>
    <s v="Q2"/>
    <e v="#REF!"/>
    <e v="#REF!"/>
    <e v="#REF!"/>
  </r>
  <r>
    <s v="622650"/>
    <x v="11"/>
    <s v="Honoraires CIR"/>
    <s v="AC"/>
    <n v="11837.69"/>
    <d v="2025-05-05T00:00:00"/>
    <s v="MISSION CIR 2024"/>
    <s v="Non"/>
    <s v="Non"/>
    <e v="#N/A"/>
    <n v="72688"/>
    <s v="F-2025-4258"/>
    <s v="BUSINOVE"/>
    <s v="Q2"/>
    <e v="#REF!"/>
    <e v="#REF!"/>
    <e v="#REF!"/>
  </r>
  <r>
    <s v="622650"/>
    <x v="11"/>
    <s v="Honoraires CIR"/>
    <s v="AC"/>
    <n v="20730"/>
    <d v="2025-05-26T00:00:00"/>
    <s v="COMMISSION D'ARRANGEMENT CIR 2024 + LEYTON FRAIS D'AUDIT CIR 2024"/>
    <s v="Non"/>
    <s v="Non"/>
    <e v="#N/A"/>
    <n v="87264"/>
    <s v="202505-4176"/>
    <s v="NEFTYS"/>
    <s v="Q2"/>
    <e v="#REF!"/>
    <e v="#REF!"/>
    <e v="#REF!"/>
  </r>
  <r>
    <s v="622650"/>
    <x v="11"/>
    <s v="Honoraires CIR"/>
    <s v="OD"/>
    <n v="1200"/>
    <d v="2025-01-01T00:00:00"/>
    <s v="FORFAIT MISSION CIR 2025"/>
    <s v="Non"/>
    <s v="Non"/>
    <e v="#N/A"/>
    <n v="77461"/>
    <s v="FNP_BUSINOVE_2025"/>
    <s v="BUSINOVE"/>
    <s v="Q1"/>
    <e v="#REF!"/>
    <e v="#REF!"/>
    <e v="#REF!"/>
  </r>
  <r>
    <s v="622650"/>
    <x v="11"/>
    <s v="Honoraires CIR"/>
    <s v="OD"/>
    <n v="1200"/>
    <d v="2025-02-01T00:00:00"/>
    <s v="FORFAIT MISSION CIR 2025"/>
    <s v="Non"/>
    <s v="Non"/>
    <e v="#N/A"/>
    <n v="77463"/>
    <s v="FNP_BUSINOVE_2025"/>
    <s v="BUSINOVE"/>
    <s v="Q1"/>
    <e v="#REF!"/>
    <e v="#REF!"/>
    <e v="#REF!"/>
  </r>
  <r>
    <s v="622650"/>
    <x v="11"/>
    <s v="Honoraires CIR"/>
    <s v="OD"/>
    <n v="1200"/>
    <d v="2025-03-01T00:00:00"/>
    <s v="FORFAIT MISSION CIR 2025"/>
    <s v="Non"/>
    <s v="Non"/>
    <e v="#N/A"/>
    <n v="77465"/>
    <s v="FNP_BUSINOVE_2025"/>
    <s v="BUSINOVE"/>
    <s v="Q1"/>
    <e v="#REF!"/>
    <e v="#REF!"/>
    <e v="#REF!"/>
  </r>
  <r>
    <s v="622650"/>
    <x v="11"/>
    <s v="Honoraires CIR"/>
    <s v="OD"/>
    <n v="1200"/>
    <d v="2025-04-01T00:00:00"/>
    <s v="FORFAIT MISSION CIR 2025"/>
    <s v="Non"/>
    <s v="Non"/>
    <e v="#N/A"/>
    <n v="77467"/>
    <s v="FNP_BUSINOVE_2025"/>
    <s v="BUSINOVE"/>
    <s v="Q2"/>
    <e v="#REF!"/>
    <e v="#REF!"/>
    <e v="#REF!"/>
  </r>
  <r>
    <s v="622650"/>
    <x v="11"/>
    <s v="Honoraires CIR"/>
    <s v="OD"/>
    <n v="1200"/>
    <d v="2025-05-01T00:00:00"/>
    <s v="FORFAIT MISSION CIR 2025"/>
    <s v="Non"/>
    <s v="Non"/>
    <e v="#N/A"/>
    <n v="77469"/>
    <s v="FNP_BUSINOVE_2025"/>
    <s v="BUSINOVE"/>
    <s v="Q2"/>
    <e v="#REF!"/>
    <e v="#REF!"/>
    <e v="#REF!"/>
  </r>
  <r>
    <s v="622650"/>
    <x v="11"/>
    <s v="Honoraires CIR"/>
    <s v="OD"/>
    <n v="1200"/>
    <d v="2025-06-01T00:00:00"/>
    <s v="FORFAIT MISSION CIR 2025"/>
    <s v="Non"/>
    <s v="Non"/>
    <e v="#N/A"/>
    <n v="77471"/>
    <s v="FNP_BUSINOVE_2025"/>
    <s v="BUSINOVE"/>
    <s v="Q2"/>
    <e v="#REF!"/>
    <e v="#REF!"/>
    <e v="#REF!"/>
  </r>
  <r>
    <s v="622650"/>
    <x v="11"/>
    <s v="Honoraires CIR"/>
    <s v="OD"/>
    <n v="1200"/>
    <d v="2025-07-01T00:00:00"/>
    <s v="FORFAIT MISSION CIR 2025"/>
    <s v="Non"/>
    <s v="Non"/>
    <e v="#N/A"/>
    <n v="77473"/>
    <s v="FNP_BUSINOVE_2025"/>
    <s v="BUSINOVE"/>
    <s v="Q3"/>
    <e v="#REF!"/>
    <e v="#REF!"/>
    <e v="#REF!"/>
  </r>
  <r>
    <s v="622650"/>
    <x v="11"/>
    <s v="Honoraires CIR"/>
    <s v="OD"/>
    <n v="1200"/>
    <d v="2025-08-01T00:00:00"/>
    <s v="FORFAIT MISSION CIR 2025"/>
    <s v="Non"/>
    <s v="Non"/>
    <e v="#N/A"/>
    <n v="77475"/>
    <s v="FNP_BUSINOVE_2025"/>
    <s v="BUSINOVE"/>
    <s v="Q3"/>
    <e v="#REF!"/>
    <e v="#REF!"/>
    <e v="#REF!"/>
  </r>
  <r>
    <s v="622650"/>
    <x v="11"/>
    <s v="Honoraires CIR"/>
    <s v="OD"/>
    <n v="1200"/>
    <d v="2025-09-01T00:00:00"/>
    <s v="FORFAIT MISSION CIR 2025"/>
    <s v="Non"/>
    <s v="Non"/>
    <e v="#N/A"/>
    <n v="77477"/>
    <s v="FNP_BUSINOVE_2025"/>
    <s v="BUSINOVE"/>
    <s v="Q3"/>
    <e v="#REF!"/>
    <e v="#REF!"/>
    <e v="#REF!"/>
  </r>
  <r>
    <s v="622650"/>
    <x v="11"/>
    <s v="Honoraires CIR"/>
    <s v="OD"/>
    <n v="1200"/>
    <d v="2025-10-01T00:00:00"/>
    <s v="FORFAIT MISSION CIR 2025"/>
    <s v="Non"/>
    <s v="Non"/>
    <e v="#N/A"/>
    <n v="77479"/>
    <s v="FNP_BUSINOVE_2025"/>
    <s v="BUSINOVE"/>
    <s v="Q4"/>
    <e v="#REF!"/>
    <e v="#REF!"/>
    <e v="#REF!"/>
  </r>
  <r>
    <s v="622650"/>
    <x v="11"/>
    <s v="Honoraires CIR"/>
    <s v="OD"/>
    <n v="1200"/>
    <d v="2025-11-01T00:00:00"/>
    <s v="FORFAIT MISSION CIR 2025"/>
    <s v="Non"/>
    <s v="Non"/>
    <e v="#N/A"/>
    <n v="77481"/>
    <s v="FNP_BUSINOVE_2025"/>
    <s v="BUSINOVE"/>
    <s v="Q4"/>
    <e v="#REF!"/>
    <e v="#REF!"/>
    <e v="#REF!"/>
  </r>
  <r>
    <s v="622650"/>
    <x v="11"/>
    <s v="Honoraires CIR"/>
    <s v="OD"/>
    <n v="1200"/>
    <d v="2025-12-01T00:00:00"/>
    <s v="FORFAIT MISSION CIR 2025"/>
    <s v="Non"/>
    <s v="Non"/>
    <e v="#N/A"/>
    <n v="77483"/>
    <s v="FNP_BUSINOVE_2025"/>
    <s v="BUSINOVE"/>
    <s v="Q4"/>
    <e v="#REF!"/>
    <e v="#REF!"/>
    <e v="#REF!"/>
  </r>
  <r>
    <s v="622660"/>
    <x v="11"/>
    <s v="Honoraires Conseil Scientifique"/>
    <s v="AC"/>
    <n v="-1800"/>
    <d v="2025-03-31T00:00:00"/>
    <s v="EXT FNP - MISSION PILI CS"/>
    <s v="Non"/>
    <s v="Non"/>
    <e v="#N/A"/>
    <n v="77509"/>
    <s v="F2025-05-PILI"/>
    <s v="BIOADVICE"/>
    <s v="Q1"/>
    <e v="#REF!"/>
    <e v="#REF!"/>
    <e v="#REF!"/>
  </r>
  <r>
    <s v="622660"/>
    <x v="11"/>
    <s v="Honoraires Conseil Scientifique"/>
    <s v="AC"/>
    <n v="-1500"/>
    <d v="2025-05-06T00:00:00"/>
    <s v="ACTIVITÉ DE CONSEIL RÉALISÉE SOUS LA DIRECTION DE MONSIEUR GUILLAUME BOISSONNAT"/>
    <s v="Oui"/>
    <s v="Non"/>
    <e v="#N/A"/>
    <n v="77493"/>
    <s v="FAC0261"/>
    <s v="CONSEIL CPP"/>
    <s v="Q2"/>
    <e v="#REF!"/>
    <e v="#REF!"/>
    <e v="#REF!"/>
  </r>
  <r>
    <s v="622660"/>
    <x v="11"/>
    <s v="Honoraires Conseil Scientifique"/>
    <s v="AC"/>
    <n v="-1000"/>
    <d v="2025-04-15T00:00:00"/>
    <s v="SAB #16 - WANDA DISCHERT - MARS 2025"/>
    <s v="Non"/>
    <s v="Non"/>
    <e v="#N/A"/>
    <n v="77522"/>
    <s v="01/04/2025"/>
    <s v="IN MANAGEMENT"/>
    <s v="Q2"/>
    <e v="#REF!"/>
    <e v="#REF!"/>
    <e v="#REF!"/>
  </r>
  <r>
    <s v="622660"/>
    <x v="11"/>
    <s v="Honoraires Conseil Scientifique"/>
    <s v="AC"/>
    <n v="1172.2"/>
    <d v="2025-11-14T00:00:00"/>
    <s v="CONSEIL SCIENTIFIQUE #17 WANDA DISCHERT"/>
    <s v="Non"/>
    <s v="Non"/>
    <e v="#N/A"/>
    <n v="90059"/>
    <s v="01/11/2025"/>
    <s v="SYNCLINAL"/>
    <s v="Q4"/>
    <e v="#REF!"/>
    <e v="#REF!"/>
    <e v="#REF!"/>
  </r>
  <r>
    <s v="622660"/>
    <x v="11"/>
    <s v="Honoraires Conseil Scientifique"/>
    <s v="AC"/>
    <n v="1220.2"/>
    <d v="2025-04-15T00:00:00"/>
    <s v="SAB #16 - WANDA DISCHERT - MARS 2025"/>
    <s v="Non"/>
    <s v="Non"/>
    <e v="#N/A"/>
    <n v="69804"/>
    <s v="01/04/2025"/>
    <s v="IN MANAGEMENT"/>
    <s v="Q2"/>
    <e v="#REF!"/>
    <e v="#REF!"/>
    <e v="#REF!"/>
  </r>
  <r>
    <s v="622660"/>
    <x v="11"/>
    <s v="Honoraires Conseil Scientifique"/>
    <s v="AC"/>
    <n v="1300"/>
    <d v="2025-12-19T00:00:00"/>
    <s v="CONSEIL SCIENTIFIQUE ZACHARIAS AMARA (CS#17)"/>
    <s v="Non"/>
    <s v="Non"/>
    <e v="#N/A"/>
    <n v="93020"/>
    <s v="2025/1219"/>
    <s v="CHEM"/>
    <s v="Q4"/>
    <e v="#REF!"/>
    <e v="#REF!"/>
    <e v="#REF!"/>
  </r>
  <r>
    <s v="622660"/>
    <x v="11"/>
    <s v="Honoraires Conseil Scientifique"/>
    <s v="AC"/>
    <n v="1500"/>
    <d v="2025-05-06T00:00:00"/>
    <s v="ACTIVITÉ DE CONSEIL RÉALISÉE SOUS LA DIRECTION DE MONSIEUR GUILLAUME BOISSONNAT"/>
    <s v="Oui"/>
    <s v="Non"/>
    <e v="#N/A"/>
    <n v="77492"/>
    <s v="FAC0261"/>
    <s v="CONSEIL CPP"/>
    <s v="Q2"/>
    <e v="#REF!"/>
    <e v="#REF!"/>
    <e v="#REF!"/>
  </r>
  <r>
    <s v="622660"/>
    <x v="11"/>
    <s v="Honoraires Conseil Scientifique"/>
    <s v="AC"/>
    <n v="3860.49"/>
    <d v="2025-03-31T00:00:00"/>
    <s v="MISSION PILI CS"/>
    <s v="Non"/>
    <s v="Non"/>
    <e v="#N/A"/>
    <n v="67930"/>
    <s v="F2025-05-PILI"/>
    <s v="BIOADVICE"/>
    <s v="Q1"/>
    <e v="#REF!"/>
    <e v="#REF!"/>
    <e v="#REF!"/>
  </r>
  <r>
    <s v="622660"/>
    <x v="11"/>
    <s v="Honoraires Conseil Scientifique"/>
    <s v="AC"/>
    <n v="4738.49"/>
    <d v="2025-10-16T00:00:00"/>
    <s v="MISSION PILI CS"/>
    <s v="Non"/>
    <s v="Non"/>
    <e v="#N/A"/>
    <n v="87088"/>
    <s v="F2025-013-PILI"/>
    <s v="BIOADVICE"/>
    <s v="Q4"/>
    <e v="#REF!"/>
    <e v="#REF!"/>
    <e v="#REF!"/>
  </r>
  <r>
    <s v="622660"/>
    <x v="11"/>
    <s v="Honoraires Conseil Scientifique"/>
    <s v="AC"/>
    <n v="6660"/>
    <d v="2025-11-01T00:00:00"/>
    <s v="CONSEIL SCIENTIFIQUE CPP S.RATTON  CS#17"/>
    <s v="Oui"/>
    <s v="Non"/>
    <e v="#N/A"/>
    <n v="91089"/>
    <s v="FAC0283"/>
    <s v="CONSEIL CPP"/>
    <s v="Q4"/>
    <e v="#REF!"/>
    <e v="#REF!"/>
    <e v="#REF!"/>
  </r>
  <r>
    <s v="622660"/>
    <x v="11"/>
    <s v="Honoraires Conseil Scientifique"/>
    <s v="OD"/>
    <n v="0"/>
    <d v="2025-03-01T00:00:00"/>
    <s v="FNP - Conseil Scientifique"/>
    <s v="Oui"/>
    <s v="Non"/>
    <e v="#N/A"/>
    <n v="77497"/>
    <m/>
    <s v="CONSEIL CPP"/>
    <s v="Q1"/>
    <e v="#REF!"/>
    <e v="#REF!"/>
    <e v="#REF!"/>
  </r>
  <r>
    <s v="622660"/>
    <x v="11"/>
    <s v="Honoraires Conseil Scientifique"/>
    <s v="OD"/>
    <n v="1000"/>
    <d v="2025-03-01T00:00:00"/>
    <s v="FNP - Conseil Scientifique - WD"/>
    <s v="Non"/>
    <s v="Non"/>
    <e v="#N/A"/>
    <n v="77501"/>
    <m/>
    <s v="IN MANAGEMENT"/>
    <s v="Q1"/>
    <e v="#REF!"/>
    <e v="#REF!"/>
    <e v="#REF!"/>
  </r>
  <r>
    <s v="622660"/>
    <x v="11"/>
    <s v="Honoraires Conseil Scientifique"/>
    <s v="OD"/>
    <n v="1300"/>
    <d v="2025-03-01T00:00:00"/>
    <s v="FNP - Conseil Scientifique - ZA"/>
    <s v="Non"/>
    <s v="Non"/>
    <e v="#N/A"/>
    <n v="77503"/>
    <m/>
    <s v="CHEM"/>
    <s v="Q1"/>
    <e v="#REF!"/>
    <e v="#REF!"/>
    <e v="#REF!"/>
  </r>
  <r>
    <s v="622660"/>
    <x v="11"/>
    <s v="Honoraires Conseil Scientifique"/>
    <s v="OD"/>
    <n v="1500"/>
    <d v="2025-03-01T00:00:00"/>
    <s v="FNP - Conseil Scientifique -  SR"/>
    <s v="Oui"/>
    <s v="Non"/>
    <e v="#N/A"/>
    <n v="77500"/>
    <m/>
    <s v="CONSEIL CPP"/>
    <s v="Q1"/>
    <e v="#REF!"/>
    <e v="#REF!"/>
    <e v="#REF!"/>
  </r>
  <r>
    <s v="622660"/>
    <x v="11"/>
    <s v="Honoraires Conseil Scientifique"/>
    <s v="OD"/>
    <n v="1800"/>
    <d v="2025-03-01T00:00:00"/>
    <s v="FNP - Conseil Scientifique - CB"/>
    <s v="Non"/>
    <s v="Non"/>
    <e v="#N/A"/>
    <n v="77495"/>
    <m/>
    <s v="BIOADVICE"/>
    <s v="Q1"/>
    <e v="#REF!"/>
    <e v="#REF!"/>
    <e v="#REF!"/>
  </r>
  <r>
    <s v="622670"/>
    <x v="11"/>
    <s v="Honoraires Communication"/>
    <s v="AC"/>
    <n v="300"/>
    <d v="2025-06-25T00:00:00"/>
    <s v="PRESTATION PHOTOGRAPHIQUE COMPRENANT LA PRISE DE VUES ET LA POST-PRODUCTION"/>
    <s v="Non"/>
    <s v="Non"/>
    <e v="#N/A"/>
    <n v="76752"/>
    <s v="2025-003"/>
    <s v="GONZALEZ VICTOR"/>
    <s v="Q2"/>
    <e v="#REF!"/>
    <e v="#REF!"/>
    <e v="#REF!"/>
  </r>
  <r>
    <s v="622690"/>
    <x v="11"/>
    <s v="Honoraires Consultants Divers"/>
    <s v="AC"/>
    <n v="-2363.13"/>
    <d v="2025-01-25T00:00:00"/>
    <s v="Extourne doublon facture NeilBell oct 2024"/>
    <s v="Non"/>
    <s v="Non"/>
    <e v="#N/A"/>
    <n v="75604"/>
    <m/>
    <s v="NEIL BELL"/>
    <s v="Q1"/>
    <e v="#REF!"/>
    <e v="#REF!"/>
    <e v="#REF!"/>
  </r>
  <r>
    <s v="622690"/>
    <x v="11"/>
    <s v="Honoraires Consultants Divers"/>
    <s v="AC"/>
    <n v="750"/>
    <d v="2025-05-12T00:00:00"/>
    <s v="CONSULTANTE E CHARRIÈRE"/>
    <s v="Non"/>
    <s v="Non"/>
    <e v="#N/A"/>
    <n v="75952"/>
    <s v="250544439"/>
    <s v="CHARRIERE Eugenie"/>
    <s v="Q2"/>
    <e v="#REF!"/>
    <e v="#REF!"/>
    <e v="#REF!"/>
  </r>
  <r>
    <s v="622690"/>
    <x v="11"/>
    <s v="Honoraires Consultants Divers"/>
    <s v="AC"/>
    <n v="1000"/>
    <d v="2025-02-20T00:00:00"/>
    <s v="FOFAIT 1 BOARD -18/02/2025 - BOARD SERIE B Q1 2025"/>
    <s v="Non"/>
    <s v="Non"/>
    <e v="#N/A"/>
    <n v="61538"/>
    <s v="20250220-0001"/>
    <s v="GARRIGUE CONSULTING"/>
    <s v="Q1"/>
    <e v="#REF!"/>
    <e v="#REF!"/>
    <e v="#REF!"/>
  </r>
  <r>
    <s v="622690"/>
    <x v="11"/>
    <s v="Honoraires Consultants Divers"/>
    <s v="AC"/>
    <n v="1000"/>
    <d v="2025-04-01T00:00:00"/>
    <s v="FOFAIT 1 BOARD -18/03/2025 - PILI BOARD Q1 2025"/>
    <s v="Non"/>
    <s v="Non"/>
    <e v="#N/A"/>
    <n v="69679"/>
    <s v="20250401-0001"/>
    <s v="GARRIGUE CONSULTING"/>
    <s v="Q2"/>
    <e v="#REF!"/>
    <e v="#REF!"/>
    <e v="#REF!"/>
  </r>
  <r>
    <s v="622690"/>
    <x v="11"/>
    <s v="Honoraires Consultants Divers"/>
    <s v="AC"/>
    <n v="1000"/>
    <d v="2025-05-26T00:00:00"/>
    <s v="FOFAIT 1 BOARD -13/05/2025 - PILI BOARD SERIE B"/>
    <s v="Non"/>
    <s v="Non"/>
    <e v="#N/A"/>
    <n v="74460"/>
    <s v="20250526-0001"/>
    <s v="GARRIGUE CONSULTING"/>
    <s v="Q2"/>
    <e v="#REF!"/>
    <e v="#REF!"/>
    <e v="#REF!"/>
  </r>
  <r>
    <s v="622690"/>
    <x v="11"/>
    <s v="Honoraires Consultants Divers"/>
    <s v="AC"/>
    <n v="1000"/>
    <d v="2025-06-18T00:00:00"/>
    <s v="FOFAIT 1 BOARD -10/06/2025 - PILI BOARD"/>
    <s v="Non"/>
    <s v="Non"/>
    <e v="#N/A"/>
    <n v="76609"/>
    <s v="20250618-0001"/>
    <s v="GARRIGUE CONSULTING"/>
    <s v="Q2"/>
    <e v="#REF!"/>
    <e v="#REF!"/>
    <e v="#REF!"/>
  </r>
  <r>
    <s v="622690"/>
    <x v="11"/>
    <s v="Honoraires Consultants Divers"/>
    <s v="AC"/>
    <n v="1000"/>
    <d v="2025-07-07T00:00:00"/>
    <s v="PARTICIPATION AU BOARD BUSINESS"/>
    <s v="Non"/>
    <s v="Non"/>
    <e v="#N/A"/>
    <n v="77102"/>
    <s v="20250702"/>
    <s v="Michel Manach"/>
    <s v="Q3"/>
    <e v="#REF!"/>
    <e v="#REF!"/>
    <e v="#REF!"/>
  </r>
  <r>
    <s v="622690"/>
    <x v="11"/>
    <s v="Honoraires Consultants Divers"/>
    <s v="AC"/>
    <n v="1000"/>
    <d v="2025-09-01T00:00:00"/>
    <s v="BUSINESS ADVISORY BOARD - E PETIOT."/>
    <s v="Non"/>
    <s v="Non"/>
    <e v="#N/A"/>
    <n v="81853"/>
    <s v="F2590001"/>
    <s v="HELLITAX"/>
    <s v="Q3"/>
    <e v="#REF!"/>
    <e v="#REF!"/>
    <e v="#REF!"/>
  </r>
  <r>
    <s v="622690"/>
    <x v="11"/>
    <s v="Honoraires Consultants Divers"/>
    <s v="AC"/>
    <n v="1000"/>
    <d v="2025-10-01T00:00:00"/>
    <s v="FOFAIT 1 BOARD -16/09/2025 - PILI BOARD"/>
    <s v="Non"/>
    <s v="Non"/>
    <e v="#N/A"/>
    <n v="82758"/>
    <s v="20251001-0001"/>
    <s v="GARRIGUE CONSULTING"/>
    <s v="Q4"/>
    <e v="#REF!"/>
    <e v="#REF!"/>
    <e v="#REF!"/>
  </r>
  <r>
    <s v="622690"/>
    <x v="11"/>
    <s v="Honoraires Consultants Divers"/>
    <s v="AC"/>
    <n v="1000"/>
    <d v="2025-10-17T00:00:00"/>
    <s v="CONSEIL EMMANUEL PETIOT, BUSINESS ADVISORY BOARD #2 131025"/>
    <s v="Non"/>
    <s v="Non"/>
    <e v="#N/A"/>
    <n v="87285"/>
    <s v="F25X0003"/>
    <s v="HELLITAX"/>
    <s v="Q4"/>
    <e v="#REF!"/>
    <e v="#REF!"/>
    <e v="#REF!"/>
  </r>
  <r>
    <s v="622690"/>
    <x v="11"/>
    <s v="Honoraires Consultants Divers"/>
    <s v="AC"/>
    <n v="1000"/>
    <d v="2025-11-01T00:00:00"/>
    <s v="PARTICIPATION BUSINESS BOARD"/>
    <s v="Non"/>
    <s v="Non"/>
    <e v="#N/A"/>
    <n v="91094"/>
    <s v="20251002"/>
    <s v="Michel Manach"/>
    <s v="Q4"/>
    <e v="#REF!"/>
    <e v="#REF!"/>
    <e v="#REF!"/>
  </r>
  <r>
    <s v="622690"/>
    <x v="11"/>
    <s v="Honoraires Consultants Divers"/>
    <s v="AC"/>
    <n v="1500"/>
    <d v="2025-04-18T00:00:00"/>
    <s v="BILAN CARBONE EXPRESS PILI"/>
    <s v="Non"/>
    <s v="Non"/>
    <e v="#N/A"/>
    <n v="72609"/>
    <s v="F_452"/>
    <s v="MAGELAN"/>
    <s v="Q2"/>
    <e v="#REF!"/>
    <e v="#REF!"/>
    <e v="#REF!"/>
  </r>
  <r>
    <s v="622690"/>
    <x v="11"/>
    <s v="Honoraires Consultants Divers"/>
    <s v="AC"/>
    <n v="1500"/>
    <d v="2025-07-17T00:00:00"/>
    <s v="PHASE 2 ET FACTURE FINALE M WATIER"/>
    <s v="Non"/>
    <s v="Non"/>
    <e v="#N/A"/>
    <n v="81215"/>
    <s v="2025-05-001"/>
    <s v="WATIER Marie"/>
    <s v="Q3"/>
    <e v="#REF!"/>
    <e v="#REF!"/>
    <e v="#REF!"/>
  </r>
  <r>
    <s v="622690"/>
    <x v="11"/>
    <s v="Honoraires Consultants Divers"/>
    <s v="AC"/>
    <n v="1875"/>
    <d v="2025-06-13T00:00:00"/>
    <s v="PRESTATION CONSEIL DISTRIBUTION E. CHARRIERE"/>
    <s v="Non"/>
    <s v="Non"/>
    <e v="#N/A"/>
    <n v="76600"/>
    <s v="250644719"/>
    <s v="CHARRIERE Eugenie"/>
    <s v="Q2"/>
    <e v="#REF!"/>
    <e v="#REF!"/>
    <e v="#REF!"/>
  </r>
  <r>
    <s v="622690"/>
    <x v="11"/>
    <s v="Honoraires Consultants Divers"/>
    <s v="AC"/>
    <n v="2000"/>
    <d v="2025-05-28T00:00:00"/>
    <s v="REVUE DE LITT SCIENTIFIQUE INDIGO ET COLORANTS/PIGMENTS"/>
    <s v="Non"/>
    <s v="Non"/>
    <e v="#N/A"/>
    <n v="75976"/>
    <s v="2025-04-001"/>
    <s v="WATIER Marie"/>
    <s v="Q2"/>
    <e v="#REF!"/>
    <e v="#REF!"/>
    <e v="#REF!"/>
  </r>
  <r>
    <s v="622690"/>
    <x v="11"/>
    <s v="Honoraires Consultants Divers"/>
    <s v="AC"/>
    <n v="2175.37"/>
    <d v="2025-05-01T00:00:00"/>
    <s v="MONTHLY CONSULTANCY SERVICES 2025_05"/>
    <s v="Non"/>
    <s v="Non"/>
    <e v="#N/A"/>
    <n v="75162"/>
    <s v="10"/>
    <s v="NEIL BELL"/>
    <s v="Q2"/>
    <e v="#REF!"/>
    <e v="#REF!"/>
    <e v="#REF!"/>
  </r>
  <r>
    <s v="622690"/>
    <x v="11"/>
    <s v="Honoraires Consultants Divers"/>
    <s v="AC"/>
    <n v="2310.9899999999998"/>
    <d v="2025-04-01T00:00:00"/>
    <s v="MONTHLY CONSULTANCY SERVICES 2025_04"/>
    <s v="Non"/>
    <s v="Non"/>
    <e v="#N/A"/>
    <n v="75156"/>
    <s v="9"/>
    <s v="NEIL BELL"/>
    <s v="Q2"/>
    <e v="#REF!"/>
    <e v="#REF!"/>
    <e v="#REF!"/>
  </r>
  <r>
    <s v="622690"/>
    <x v="11"/>
    <s v="Honoraires Consultants Divers"/>
    <s v="AC"/>
    <n v="2402.54"/>
    <d v="2025-01-01T00:00:00"/>
    <s v="MONTHLY CONSULTANCY SERVICES 2025_01"/>
    <s v="Non"/>
    <s v="Non"/>
    <e v="#N/A"/>
    <n v="75147"/>
    <s v="6"/>
    <s v="NEIL BELL"/>
    <s v="Q1"/>
    <e v="#REF!"/>
    <e v="#REF!"/>
    <e v="#REF!"/>
  </r>
  <r>
    <s v="622690"/>
    <x v="11"/>
    <s v="Honoraires Consultants Divers"/>
    <s v="AC"/>
    <n v="2408.88"/>
    <d v="2025-03-01T00:00:00"/>
    <s v="MONTHLY CONSULTANCE SERVICES 2025_03"/>
    <s v="Non"/>
    <s v="Non"/>
    <e v="#N/A"/>
    <n v="75151"/>
    <s v="8"/>
    <s v="NEIL BELL"/>
    <s v="Q1"/>
    <e v="#REF!"/>
    <e v="#REF!"/>
    <e v="#REF!"/>
  </r>
  <r>
    <s v="622690"/>
    <x v="11"/>
    <s v="Honoraires Consultants Divers"/>
    <s v="AC"/>
    <n v="2412.63"/>
    <d v="2025-02-01T00:00:00"/>
    <s v="MONTHLY CONSULTANCY SERVICES 2025_02"/>
    <s v="Non"/>
    <s v="Non"/>
    <e v="#N/A"/>
    <n v="75149"/>
    <s v="7"/>
    <s v="NEIL BELL"/>
    <s v="Q1"/>
    <e v="#REF!"/>
    <e v="#REF!"/>
    <e v="#REF!"/>
  </r>
  <r>
    <s v="622690"/>
    <x v="11"/>
    <s v="Honoraires Consultants Divers"/>
    <s v="AC"/>
    <n v="6591.56"/>
    <d v="2025-05-30T00:00:00"/>
    <s v="FACTURE T CARREY CONSULTANTE GO TO MARKET INDIGO - FACTURE FINALE"/>
    <s v="Non"/>
    <s v="Non"/>
    <e v="#N/A"/>
    <n v="78946"/>
    <s v="0530"/>
    <s v="TRICIA CAREY"/>
    <s v="Q2"/>
    <e v="#REF!"/>
    <e v="#REF!"/>
    <e v="#REF!"/>
  </r>
  <r>
    <s v="622690"/>
    <x v="11"/>
    <s v="Honoraires Consultants Divers"/>
    <s v="AC"/>
    <n v="6952.17"/>
    <d v="2025-02-25T00:00:00"/>
    <s v="FACTURE T CARREY CONSULTANTE GO TO MARKET INDIGO - FACTURE INTERMÉDIAIRE"/>
    <s v="Non"/>
    <s v="Non"/>
    <e v="#N/A"/>
    <n v="61559"/>
    <s v="225"/>
    <s v="TRICIA CAREY"/>
    <s v="Q1"/>
    <e v="#REF!"/>
    <e v="#REF!"/>
    <e v="#REF!"/>
  </r>
  <r>
    <s v="622690"/>
    <x v="11"/>
    <s v="Honoraires Consultants Divers"/>
    <s v="AC"/>
    <n v="9000"/>
    <d v="2025-05-19T00:00:00"/>
    <s v="PARTICIPATION BOARD MICHEL MANACH"/>
    <s v="Non"/>
    <s v="Non"/>
    <e v="#N/A"/>
    <n v="73798"/>
    <s v="202505"/>
    <s v="Michel Manach"/>
    <s v="Q2"/>
    <e v="#REF!"/>
    <e v="#REF!"/>
    <e v="#REF!"/>
  </r>
  <r>
    <s v="622700"/>
    <x v="11"/>
    <s v="Frais d'actes, formalités, dépôts, enregistrements"/>
    <s v="AC"/>
    <n v="5.34"/>
    <d v="2025-07-21T00:00:00"/>
    <s v="EXTRAIT KBIS"/>
    <s v="Non"/>
    <s v="Non"/>
    <e v="#N/A"/>
    <n v="78808"/>
    <s v="50721-QZXYB"/>
    <s v="INFOGREFFE"/>
    <s v="Q3"/>
    <e v="#REF!"/>
    <e v="#REF!"/>
    <e v="#REF!"/>
  </r>
  <r>
    <s v="622700"/>
    <x v="11"/>
    <s v="Frais d'actes, formalités, dépôts, enregistrements"/>
    <s v="AC"/>
    <n v="183.67"/>
    <d v="2025-09-12T00:00:00"/>
    <s v="EXTENSION BREVET PHOENIX V20 AUX US"/>
    <s v="Non"/>
    <s v="Oui"/>
    <e v="#N/A"/>
    <n v="82346"/>
    <s v="254202"/>
    <s v="BECKER"/>
    <s v="Q3"/>
    <e v="#REF!"/>
    <e v="#REF!"/>
    <e v="#REF!"/>
  </r>
  <r>
    <s v="622700"/>
    <x v="11"/>
    <s v="Frais d'actes, formalités, dépôts, enregistrements"/>
    <s v="AC"/>
    <n v="2233"/>
    <d v="2025-09-03T00:00:00"/>
    <s v="ETUDE ET DÉPÔT BREVET PHOENIX VBIO"/>
    <s v="Non"/>
    <s v="Oui"/>
    <e v="#N/A"/>
    <n v="82318"/>
    <s v="254096"/>
    <s v="BECKER"/>
    <s v="Q3"/>
    <e v="#REF!"/>
    <e v="#REF!"/>
    <e v="#REF!"/>
  </r>
  <r>
    <s v="622700"/>
    <x v="11"/>
    <s v="Frais d'actes, formalités, dépôts, enregistrements"/>
    <s v="AC"/>
    <n v="3567"/>
    <d v="2025-07-28T00:00:00"/>
    <s v="ETUDE PI, FTO ET PRÉPARATION AU DÉPÔT D'EXTENSION PCT PALOMA CHIMIE"/>
    <s v="Non"/>
    <s v="Oui"/>
    <e v="#N/A"/>
    <n v="82280"/>
    <s v="253528"/>
    <s v="BECKER"/>
    <s v="Q3"/>
    <e v="#REF!"/>
    <e v="#REF!"/>
    <e v="#REF!"/>
  </r>
  <r>
    <s v="622700"/>
    <x v="11"/>
    <s v="Frais d'actes, formalités, dépôts, enregistrements"/>
    <s v="AC"/>
    <n v="3599"/>
    <d v="2025-09-01T00:00:00"/>
    <s v="DEMANDE PCT BREVET PALOMA BIO"/>
    <s v="Non"/>
    <s v="Oui"/>
    <e v="#N/A"/>
    <n v="82308"/>
    <s v="254045"/>
    <s v="BECKER"/>
    <s v="Q3"/>
    <e v="#REF!"/>
    <e v="#REF!"/>
    <e v="#REF!"/>
  </r>
  <r>
    <s v="623700"/>
    <x v="6"/>
    <s v="Publications, Visuels, Supports de communication"/>
    <s v="AC"/>
    <n v="63"/>
    <d v="2025-10-31T00:00:00"/>
    <s v="IMPRESSION CDV PYB, JBL ET ANNE-SOPHIE"/>
    <m/>
    <e v="#N/A"/>
    <e v="#N/A"/>
    <n v="89882"/>
    <s v="FL260494"/>
    <s v="GROUPE CHAUMEIL"/>
    <s v="Q4"/>
    <e v="#REF!"/>
    <e v="#REF!"/>
    <e v="#REF!"/>
  </r>
  <r>
    <s v="623700"/>
    <x v="6"/>
    <s v="Publications, Visuels, Supports de communication"/>
    <s v="AC"/>
    <n v="75"/>
    <d v="2025-02-19T00:00:00"/>
    <s v="IMPRESSION CARTES DE VISITE BOB"/>
    <m/>
    <e v="#N/A"/>
    <e v="#N/A"/>
    <n v="61532"/>
    <s v="FL253741"/>
    <s v="GROUPE CHAUMEIL"/>
    <s v="Q1"/>
    <e v="#REF!"/>
    <e v="#REF!"/>
    <e v="#REF!"/>
  </r>
  <r>
    <s v="623700"/>
    <x v="6"/>
    <s v="Publications, Visuels, Supports de communication"/>
    <s v="AC"/>
    <n v="98"/>
    <d v="2025-04-02T00:00:00"/>
    <s v="IMPRESSION CDV PYB"/>
    <m/>
    <e v="#N/A"/>
    <e v="#N/A"/>
    <n v="69695"/>
    <s v="FL254906"/>
    <s v="GROUPE CHAUMEIL"/>
    <s v="Q2"/>
    <e v="#REF!"/>
    <e v="#REF!"/>
    <e v="#REF!"/>
  </r>
  <r>
    <s v="623700"/>
    <x v="6"/>
    <s v="Publications, Visuels, Supports de communication"/>
    <s v="AC"/>
    <n v="115.61"/>
    <d v="2025-10-11T00:00:00"/>
    <s v="CAMPAGNE BOOST POST TIME'S BEST INVENTION 2025"/>
    <s v="Non"/>
    <s v="Non"/>
    <e v="#N/A"/>
    <n v="89606"/>
    <s v="16"/>
    <s v="LINKEDIN"/>
    <s v="Q4"/>
    <e v="#REF!"/>
    <e v="#REF!"/>
    <e v="#REF!"/>
  </r>
  <r>
    <s v="623700"/>
    <x v="6"/>
    <s v="Publications, Visuels, Supports de communication"/>
    <s v="AC"/>
    <n v="125.83"/>
    <d v="2025-10-13T00:00:00"/>
    <s v="BOOST POSTS LINKEDIN"/>
    <s v="Non"/>
    <s v="Non"/>
    <e v="#N/A"/>
    <n v="89611"/>
    <s v="18"/>
    <s v="LINKEDIN"/>
    <s v="Q4"/>
    <e v="#REF!"/>
    <e v="#REF!"/>
    <e v="#REF!"/>
  </r>
  <r>
    <s v="623700"/>
    <x v="6"/>
    <s v="Publications, Visuels, Supports de communication"/>
    <s v="AC"/>
    <n v="140"/>
    <d v="2025-06-30T00:00:00"/>
    <s v="RELECTURE TEXTE VOIX OFF ANGLAISE"/>
    <m/>
    <e v="#N/A"/>
    <e v="#N/A"/>
    <n v="78395"/>
    <s v="92861"/>
    <s v="TRANSPERFECT TRADUCTIONS"/>
    <s v="Q2"/>
    <e v="#REF!"/>
    <e v="#REF!"/>
    <e v="#REF!"/>
  </r>
  <r>
    <s v="623700"/>
    <x v="6"/>
    <s v="Publications, Visuels, Supports de communication"/>
    <s v="AC"/>
    <n v="182.39"/>
    <d v="2025-10-15T00:00:00"/>
    <s v="BOOST POSTS LINKEDIN"/>
    <s v="Non"/>
    <s v="Non"/>
    <e v="#N/A"/>
    <n v="89620"/>
    <s v="22"/>
    <s v="LINKEDIN"/>
    <s v="Q4"/>
    <e v="#REF!"/>
    <e v="#REF!"/>
    <e v="#REF!"/>
  </r>
  <r>
    <s v="623700"/>
    <x v="6"/>
    <s v="Publications, Visuels, Supports de communication"/>
    <s v="AC"/>
    <n v="188"/>
    <d v="2025-11-24T00:00:00"/>
    <s v="IMPRESSION KAKÉMONO ROUSSILLON, PAYEMENT 50% À LA COMMANDE"/>
    <m/>
    <e v="#N/A"/>
    <e v="#N/A"/>
    <n v="95132"/>
    <s v="FACT-20251124-00849"/>
    <s v="LE DISPLAY FRANCAIS"/>
    <s v="Q4"/>
    <e v="#REF!"/>
    <e v="#REF!"/>
    <e v="#REF!"/>
  </r>
  <r>
    <s v="623700"/>
    <x v="6"/>
    <s v="Publications, Visuels, Supports de communication"/>
    <s v="AC"/>
    <n v="244.12"/>
    <d v="2025-10-14T00:00:00"/>
    <s v="BOOST POSTS LINKEDIN"/>
    <s v="Non"/>
    <s v="Non"/>
    <e v="#N/A"/>
    <n v="89616"/>
    <s v="20"/>
    <s v="LINKEDIN"/>
    <s v="Q4"/>
    <e v="#REF!"/>
    <e v="#REF!"/>
    <e v="#REF!"/>
  </r>
  <r>
    <s v="623700"/>
    <x v="6"/>
    <s v="Publications, Visuels, Supports de communication"/>
    <s v="AC"/>
    <n v="445"/>
    <d v="2025-11-14T00:00:00"/>
    <s v="IMPRESSIONS PANNEAUX PHOTOS POUR LE KB"/>
    <m/>
    <e v="#N/A"/>
    <e v="#N/A"/>
    <n v="90057"/>
    <s v="FL260970"/>
    <s v="GROUPE CHAUMEIL"/>
    <s v="Q4"/>
    <e v="#REF!"/>
    <e v="#REF!"/>
    <e v="#REF!"/>
  </r>
  <r>
    <s v="623700"/>
    <x v="6"/>
    <s v="Publications, Visuels, Supports de communication"/>
    <s v="AC"/>
    <n v="531"/>
    <d v="2025-05-23T00:00:00"/>
    <s v="IMPRESSIONS EXPO PASTEUR"/>
    <m/>
    <e v="#N/A"/>
    <e v="#N/A"/>
    <n v="74457"/>
    <s v="FL256126"/>
    <s v="GROUPE CHAUMEIL"/>
    <s v="Q2"/>
    <e v="#REF!"/>
    <e v="#REF!"/>
    <e v="#REF!"/>
  </r>
  <r>
    <s v="623700"/>
    <x v="6"/>
    <s v="Publications, Visuels, Supports de communication"/>
    <s v="AC"/>
    <n v="2916"/>
    <d v="2025-01-07T00:00:00"/>
    <s v="FACTURE ANNUELLE MAINTENANCE SITE WEB PILI 2025"/>
    <m/>
    <e v="#N/A"/>
    <e v="#N/A"/>
    <n v="59863"/>
    <s v="F255148"/>
    <s v="ADVERIS"/>
    <s v="Q1"/>
    <e v="#REF!"/>
    <e v="#REF!"/>
    <e v="#REF!"/>
  </r>
  <r>
    <s v="624100"/>
    <x v="6"/>
    <s v="Transport de marchandises et échantillons"/>
    <s v="AC"/>
    <n v="16.420000000000002"/>
    <d v="2025-09-08T00:00:00"/>
    <s v="EXPRESS DOMESTIC"/>
    <m/>
    <e v="#N/A"/>
    <e v="#N/A"/>
    <n v="81905"/>
    <s v="TLSR004032421"/>
    <s v="DHL"/>
    <s v="Q3"/>
    <e v="#REF!"/>
    <e v="#REF!"/>
    <e v="#REF!"/>
  </r>
  <r>
    <s v="624100"/>
    <x v="6"/>
    <s v="Transport de marchandises et échantillons"/>
    <s v="AC"/>
    <n v="16.55"/>
    <d v="2025-08-18T00:00:00"/>
    <s v="EXPRESS DOMESTIC"/>
    <m/>
    <e v="#N/A"/>
    <e v="#N/A"/>
    <n v="81284"/>
    <s v="TLSR003988359"/>
    <s v="DHL"/>
    <s v="Q3"/>
    <e v="#REF!"/>
    <e v="#REF!"/>
    <e v="#REF!"/>
  </r>
  <r>
    <s v="624100"/>
    <x v="6"/>
    <s v="Transport de marchandises et échantillons"/>
    <s v="AC"/>
    <n v="16.55"/>
    <d v="2025-08-25T00:00:00"/>
    <s v="EXPRESS DOMESTIC"/>
    <m/>
    <e v="#N/A"/>
    <e v="#N/A"/>
    <n v="81820"/>
    <s v="TLSR003998373"/>
    <s v="DHL"/>
    <s v="Q3"/>
    <e v="#REF!"/>
    <e v="#REF!"/>
    <e v="#REF!"/>
  </r>
  <r>
    <s v="624100"/>
    <x v="6"/>
    <s v="Transport de marchandises et échantillons"/>
    <s v="AC"/>
    <n v="16.55"/>
    <d v="2025-11-10T00:00:00"/>
    <s v="EXPRESS DOMESTIC"/>
    <m/>
    <e v="#N/A"/>
    <e v="#N/A"/>
    <n v="89675"/>
    <s v="TLSR004181886"/>
    <s v="DHL"/>
    <s v="Q4"/>
    <e v="#REF!"/>
    <e v="#REF!"/>
    <e v="#REF!"/>
  </r>
  <r>
    <s v="624100"/>
    <x v="6"/>
    <s v="Transport de marchandises et échantillons"/>
    <s v="AC"/>
    <n v="16.579999999999998"/>
    <d v="2025-01-01T00:00:00"/>
    <s v="ENVOI ACTIVATION"/>
    <m/>
    <e v="#N/A"/>
    <e v="#N/A"/>
    <n v="74168"/>
    <s v="TLSR003487393"/>
    <s v="DHL"/>
    <s v="Q1"/>
    <e v="#REF!"/>
    <e v="#REF!"/>
    <e v="#REF!"/>
  </r>
  <r>
    <s v="624100"/>
    <x v="6"/>
    <s v="Transport de marchandises et échantillons"/>
    <s v="AC"/>
    <n v="17.010000000000002"/>
    <d v="2025-06-09T00:00:00"/>
    <s v="EXPRESS DOMESTIC"/>
    <m/>
    <e v="#N/A"/>
    <e v="#N/A"/>
    <n v="76200"/>
    <s v="TLSR003835732"/>
    <s v="DHL"/>
    <s v="Q2"/>
    <e v="#REF!"/>
    <e v="#REF!"/>
    <e v="#REF!"/>
  </r>
  <r>
    <s v="624100"/>
    <x v="6"/>
    <s v="Transport de marchandises et échantillons"/>
    <s v="AC"/>
    <n v="17.34"/>
    <d v="2025-09-22T00:00:00"/>
    <s v="EXPRESS DOMESTIC"/>
    <m/>
    <e v="#N/A"/>
    <e v="#N/A"/>
    <n v="82770"/>
    <s v="TLSR004059064"/>
    <s v="DHL"/>
    <s v="Q3"/>
    <e v="#REF!"/>
    <e v="#REF!"/>
    <e v="#REF!"/>
  </r>
  <r>
    <s v="624100"/>
    <x v="6"/>
    <s v="Transport de marchandises et échantillons"/>
    <s v="AC"/>
    <n v="21.53"/>
    <d v="2025-05-19T00:00:00"/>
    <s v="EXPRESS DOMESTIC"/>
    <m/>
    <e v="#N/A"/>
    <e v="#N/A"/>
    <n v="73796"/>
    <s v="TLSR003788695"/>
    <s v="DHL"/>
    <s v="Q2"/>
    <e v="#REF!"/>
    <e v="#REF!"/>
    <e v="#REF!"/>
  </r>
  <r>
    <s v="624100"/>
    <x v="6"/>
    <s v="Transport de marchandises et échantillons"/>
    <s v="AC"/>
    <n v="23.25"/>
    <d v="2025-06-23T00:00:00"/>
    <s v="ENVOIS DHL"/>
    <m/>
    <e v="#N/A"/>
    <e v="#N/A"/>
    <n v="76212"/>
    <s v="TLSR003860755"/>
    <s v="DHL"/>
    <s v="Q2"/>
    <e v="#REF!"/>
    <e v="#REF!"/>
    <e v="#REF!"/>
  </r>
  <r>
    <s v="624100"/>
    <x v="6"/>
    <s v="Transport de marchandises et échantillons"/>
    <s v="AC"/>
    <n v="23.52"/>
    <d v="2025-04-28T00:00:00"/>
    <s v="COLIS DHL"/>
    <m/>
    <e v="#N/A"/>
    <e v="#N/A"/>
    <n v="71354"/>
    <s v="TLSR003743493"/>
    <s v="DHL"/>
    <s v="Q2"/>
    <e v="#REF!"/>
    <e v="#REF!"/>
    <e v="#REF!"/>
  </r>
  <r>
    <s v="624100"/>
    <x v="6"/>
    <s v="Transport de marchandises et échantillons"/>
    <s v="AC"/>
    <n v="28.6"/>
    <d v="2025-10-20T00:00:00"/>
    <s v="TRANSPORT COSTS"/>
    <s v="Non"/>
    <e v="#N/A"/>
    <e v="#N/A"/>
    <n v="87449"/>
    <s v="91250169"/>
    <s v="BIOTIKA"/>
    <s v="Q4"/>
    <e v="#REF!"/>
    <e v="#REF!"/>
    <e v="#REF!"/>
  </r>
  <r>
    <s v="624100"/>
    <x v="6"/>
    <s v="Transport de marchandises et échantillons"/>
    <s v="AC"/>
    <n v="30"/>
    <d v="2025-05-19T00:00:00"/>
    <s v="TRANSPORT COSTS"/>
    <s v="Non"/>
    <e v="#N/A"/>
    <e v="#N/A"/>
    <n v="73806"/>
    <s v="91250054"/>
    <s v="BIOTIKA"/>
    <s v="Q2"/>
    <e v="#REF!"/>
    <e v="#REF!"/>
    <e v="#REF!"/>
  </r>
  <r>
    <s v="624100"/>
    <x v="6"/>
    <s v="Transport de marchandises et échantillons"/>
    <s v="AC"/>
    <n v="33.04"/>
    <d v="2025-10-27T00:00:00"/>
    <s v="EXPRESS DOMESTIC"/>
    <m/>
    <e v="#N/A"/>
    <e v="#N/A"/>
    <n v="87476"/>
    <s v="TLSR004141948"/>
    <s v="DHL"/>
    <s v="Q4"/>
    <e v="#REF!"/>
    <e v="#REF!"/>
    <e v="#REF!"/>
  </r>
  <r>
    <s v="624100"/>
    <x v="6"/>
    <s v="Transport de marchandises et échantillons"/>
    <s v="AC"/>
    <n v="38.32"/>
    <d v="2025-06-16T00:00:00"/>
    <s v="EXPRESS DOMESTIC"/>
    <m/>
    <e v="#N/A"/>
    <e v="#N/A"/>
    <n v="76209"/>
    <s v="TLSR003847796"/>
    <s v="DHL"/>
    <s v="Q2"/>
    <e v="#REF!"/>
    <e v="#REF!"/>
    <e v="#REF!"/>
  </r>
  <r>
    <s v="624100"/>
    <x v="6"/>
    <s v="Transport de marchandises et échantillons"/>
    <s v="AC"/>
    <n v="41.62"/>
    <d v="2025-01-01T00:00:00"/>
    <s v="ENVOI FERRANIA"/>
    <m/>
    <e v="#N/A"/>
    <e v="#N/A"/>
    <n v="74157"/>
    <s v="TLSR003470941"/>
    <s v="DHL"/>
    <s v="Q1"/>
    <e v="#REF!"/>
    <e v="#REF!"/>
    <e v="#REF!"/>
  </r>
  <r>
    <s v="624100"/>
    <x v="6"/>
    <s v="Transport de marchandises et échantillons"/>
    <s v="AC"/>
    <n v="44.62"/>
    <d v="2025-04-30T00:00:00"/>
    <s v="transport costs"/>
    <s v="Non"/>
    <e v="#N/A"/>
    <e v="#N/A"/>
    <n v="71451"/>
    <m/>
    <s v="BIOTIKA"/>
    <s v="Q2"/>
    <e v="#REF!"/>
    <e v="#REF!"/>
    <e v="#REF!"/>
  </r>
  <r>
    <s v="624100"/>
    <x v="6"/>
    <s v="Transport de marchandises et échantillons"/>
    <s v="AC"/>
    <n v="44.81"/>
    <d v="2025-08-31T00:00:00"/>
    <s v="EXPRESS WORLDWIDE EU"/>
    <m/>
    <e v="#N/A"/>
    <e v="#N/A"/>
    <n v="91049"/>
    <s v="TLSR004019801"/>
    <s v="DHL"/>
    <s v="Q3"/>
    <e v="#REF!"/>
    <e v="#REF!"/>
    <e v="#REF!"/>
  </r>
  <r>
    <s v="624100"/>
    <x v="6"/>
    <s v="Transport de marchandises et échantillons"/>
    <s v="AC"/>
    <n v="45.71"/>
    <d v="2025-04-07T00:00:00"/>
    <s v="EXPRESS DOMESTIC"/>
    <m/>
    <e v="#N/A"/>
    <e v="#N/A"/>
    <n v="69728"/>
    <s v="TLSR003709755"/>
    <s v="DHL"/>
    <s v="Q2"/>
    <e v="#REF!"/>
    <e v="#REF!"/>
    <e v="#REF!"/>
  </r>
  <r>
    <s v="624100"/>
    <x v="6"/>
    <s v="Transport de marchandises et échantillons"/>
    <s v="AC"/>
    <n v="48.93"/>
    <d v="2025-06-30T00:00:00"/>
    <s v="EXPRESS DOMESTIC"/>
    <m/>
    <e v="#N/A"/>
    <e v="#N/A"/>
    <n v="78389"/>
    <s v="10"/>
    <s v="DHL"/>
    <s v="Q2"/>
    <e v="#REF!"/>
    <e v="#REF!"/>
    <e v="#REF!"/>
  </r>
  <r>
    <s v="624100"/>
    <x v="6"/>
    <s v="Transport de marchandises et échantillons"/>
    <s v="AC"/>
    <n v="51.85"/>
    <d v="2025-02-10T00:00:00"/>
    <s v="ENVOI HUMBOLDT"/>
    <m/>
    <e v="#N/A"/>
    <e v="#N/A"/>
    <n v="74189"/>
    <s v="TLSR003597831"/>
    <s v="DHL"/>
    <s v="Q1"/>
    <e v="#REF!"/>
    <e v="#REF!"/>
    <e v="#REF!"/>
  </r>
  <r>
    <s v="624100"/>
    <x v="6"/>
    <s v="Transport de marchandises et échantillons"/>
    <s v="AC"/>
    <n v="52.78"/>
    <d v="2025-03-10T00:00:00"/>
    <s v="ENVOI INSA ROUEN"/>
    <m/>
    <e v="#N/A"/>
    <e v="#N/A"/>
    <n v="74197"/>
    <s v="TLSR003653033"/>
    <s v="DHL"/>
    <s v="Q1"/>
    <e v="#REF!"/>
    <e v="#REF!"/>
    <e v="#REF!"/>
  </r>
  <r>
    <s v="624100"/>
    <x v="6"/>
    <s v="Transport de marchandises et échantillons"/>
    <s v="AC"/>
    <n v="52.95"/>
    <d v="2025-10-06T00:00:00"/>
    <s v="EXPRESS DOMESTIC"/>
    <m/>
    <e v="#N/A"/>
    <e v="#N/A"/>
    <n v="84994"/>
    <s v="TLSR004101755"/>
    <s v="DHL"/>
    <s v="Q4"/>
    <e v="#REF!"/>
    <e v="#REF!"/>
    <e v="#REF!"/>
  </r>
  <r>
    <s v="624100"/>
    <x v="6"/>
    <s v="Transport de marchandises et échantillons"/>
    <s v="AC"/>
    <n v="55.32"/>
    <d v="2025-01-01T00:00:00"/>
    <s v="ENVOI YVES"/>
    <m/>
    <e v="#N/A"/>
    <e v="#N/A"/>
    <n v="74154"/>
    <s v="TLSR003505118"/>
    <s v="DHL"/>
    <s v="Q1"/>
    <e v="#REF!"/>
    <e v="#REF!"/>
    <e v="#REF!"/>
  </r>
  <r>
    <s v="624100"/>
    <x v="6"/>
    <s v="Transport de marchandises et échantillons"/>
    <s v="AC"/>
    <n v="63.6"/>
    <d v="2025-06-23T00:00:00"/>
    <s v="ENVOIS DHL"/>
    <m/>
    <e v="#N/A"/>
    <e v="#N/A"/>
    <n v="76213"/>
    <s v="TLSR003860755"/>
    <s v="DHL"/>
    <s v="Q2"/>
    <e v="#REF!"/>
    <e v="#REF!"/>
    <e v="#REF!"/>
  </r>
  <r>
    <s v="624100"/>
    <x v="6"/>
    <s v="Transport de marchandises et échantillons"/>
    <s v="AC"/>
    <n v="63.86"/>
    <d v="2025-10-31T00:00:00"/>
    <s v="ECONOMY SELECT"/>
    <m/>
    <e v="#N/A"/>
    <e v="#N/A"/>
    <n v="89660"/>
    <s v="TLSR004168249"/>
    <s v="DHL"/>
    <s v="Q4"/>
    <e v="#REF!"/>
    <e v="#REF!"/>
    <e v="#REF!"/>
  </r>
  <r>
    <s v="624100"/>
    <x v="6"/>
    <s v="Transport de marchandises et échantillons"/>
    <s v="AC"/>
    <n v="68.08"/>
    <d v="2025-02-24T00:00:00"/>
    <s v="ENVOI ARCHROMA"/>
    <m/>
    <e v="#N/A"/>
    <e v="#N/A"/>
    <n v="74192"/>
    <s v="TLSR003620657"/>
    <s v="DHL"/>
    <s v="Q1"/>
    <e v="#REF!"/>
    <e v="#REF!"/>
    <e v="#REF!"/>
  </r>
  <r>
    <s v="624100"/>
    <x v="6"/>
    <s v="Transport de marchandises et échantillons"/>
    <s v="AC"/>
    <n v="68.98"/>
    <d v="2025-03-17T00:00:00"/>
    <s v="ENVOI ROTH SOCHIEL"/>
    <m/>
    <e v="#N/A"/>
    <e v="#N/A"/>
    <n v="74200"/>
    <s v="TLSR003664833"/>
    <s v="DHL"/>
    <s v="Q1"/>
    <e v="#REF!"/>
    <e v="#REF!"/>
    <e v="#REF!"/>
  </r>
  <r>
    <s v="624100"/>
    <x v="6"/>
    <s v="Transport de marchandises et échantillons"/>
    <s v="AC"/>
    <n v="73.05"/>
    <d v="2025-04-16T00:00:00"/>
    <s v="TRANSPORT COSTS"/>
    <s v="Non"/>
    <e v="#N/A"/>
    <e v="#N/A"/>
    <n v="69817"/>
    <s v="91250043"/>
    <s v="BIOTIKA"/>
    <s v="Q2"/>
    <e v="#REF!"/>
    <e v="#REF!"/>
    <e v="#REF!"/>
  </r>
  <r>
    <s v="624100"/>
    <x v="6"/>
    <s v="Transport de marchandises et échantillons"/>
    <s v="AC"/>
    <n v="74.709999999999994"/>
    <d v="2025-01-20T00:00:00"/>
    <s v="ENVOI KHI ARCHROMA"/>
    <m/>
    <e v="#N/A"/>
    <e v="#N/A"/>
    <n v="74174"/>
    <s v="TLSR003553874"/>
    <s v="DHL"/>
    <s v="Q1"/>
    <e v="#REF!"/>
    <e v="#REF!"/>
    <e v="#REF!"/>
  </r>
  <r>
    <s v="624100"/>
    <x v="6"/>
    <s v="Transport de marchandises et échantillons"/>
    <s v="AC"/>
    <n v="81.41"/>
    <d v="2025-01-31T00:00:00"/>
    <s v="ENVOI TAROS"/>
    <m/>
    <e v="#N/A"/>
    <e v="#N/A"/>
    <n v="74183"/>
    <s v="TLSR003585605"/>
    <s v="DHL"/>
    <s v="Q1"/>
    <e v="#REF!"/>
    <e v="#REF!"/>
    <e v="#REF!"/>
  </r>
  <r>
    <s v="624100"/>
    <x v="6"/>
    <s v="Transport de marchandises et échantillons"/>
    <s v="AC"/>
    <n v="89.31"/>
    <d v="2025-04-14T00:00:00"/>
    <s v="ENVOI NATURAMOLE ET INSA ROUEN"/>
    <m/>
    <e v="#N/A"/>
    <e v="#N/A"/>
    <n v="74225"/>
    <s v="TLSR003721635"/>
    <s v="DHL"/>
    <s v="Q2"/>
    <e v="#REF!"/>
    <e v="#REF!"/>
    <e v="#REF!"/>
  </r>
  <r>
    <s v="624100"/>
    <x v="6"/>
    <s v="Transport de marchandises et échantillons"/>
    <s v="AC"/>
    <n v="94.25"/>
    <d v="2025-05-31T00:00:00"/>
    <s v="DHL EXPRESS"/>
    <m/>
    <e v="#N/A"/>
    <e v="#N/A"/>
    <n v="75182"/>
    <s v="TLSR003823467"/>
    <s v="DHL"/>
    <s v="Q2"/>
    <e v="#REF!"/>
    <e v="#REF!"/>
    <e v="#REF!"/>
  </r>
  <r>
    <s v="624100"/>
    <x v="6"/>
    <s v="Transport de marchandises et échantillons"/>
    <s v="AC"/>
    <n v="94.78"/>
    <d v="2025-11-17T00:00:00"/>
    <s v="EXPRESS WORLDWIDE EU"/>
    <m/>
    <e v="#N/A"/>
    <e v="#N/A"/>
    <n v="91061"/>
    <s v="TLSR004193764"/>
    <s v="DHL"/>
    <s v="Q4"/>
    <e v="#REF!"/>
    <e v="#REF!"/>
    <e v="#REF!"/>
  </r>
  <r>
    <s v="624100"/>
    <x v="6"/>
    <s v="Transport de marchandises et échantillons"/>
    <s v="AC"/>
    <n v="100.61"/>
    <d v="2025-05-31T00:00:00"/>
    <s v="DHL EXPRESS"/>
    <m/>
    <e v="#N/A"/>
    <e v="#N/A"/>
    <n v="75183"/>
    <s v="TLSR003823467"/>
    <s v="DHL"/>
    <s v="Q2"/>
    <e v="#REF!"/>
    <e v="#REF!"/>
    <e v="#REF!"/>
  </r>
  <r>
    <s v="624100"/>
    <x v="6"/>
    <s v="Transport de marchandises et échantillons"/>
    <s v="AC"/>
    <n v="102.21"/>
    <d v="2025-04-21T00:00:00"/>
    <s v="EXPRESS 9:00 DOC"/>
    <m/>
    <e v="#N/A"/>
    <e v="#N/A"/>
    <n v="69830"/>
    <s v="TLSR003732984"/>
    <s v="DHL"/>
    <s v="Q2"/>
    <e v="#REF!"/>
    <e v="#REF!"/>
    <e v="#REF!"/>
  </r>
  <r>
    <s v="624100"/>
    <x v="6"/>
    <s v="Transport de marchandises et échantillons"/>
    <s v="AC"/>
    <n v="116.74"/>
    <d v="2025-12-31T00:00:00"/>
    <s v="TRANSPORT INDIGO BRUT VERS VEG EXTRA"/>
    <m/>
    <e v="#N/A"/>
    <e v="#N/A"/>
    <n v="95161"/>
    <s v="25120323"/>
    <s v="BROSSIER TRANSPORTS"/>
    <s v="Q4"/>
    <e v="#REF!"/>
    <e v="#REF!"/>
    <e v="#REF!"/>
  </r>
  <r>
    <s v="624100"/>
    <x v="6"/>
    <s v="Transport de marchandises et échantillons"/>
    <s v="AC"/>
    <n v="118.96"/>
    <d v="2025-08-07T00:00:00"/>
    <s v="COUTS DE TRANSPORT - ECHANTILLONS"/>
    <s v="Non"/>
    <e v="#N/A"/>
    <e v="#N/A"/>
    <n v="81951"/>
    <s v="91250122"/>
    <s v="BIOTIKA"/>
    <s v="Q3"/>
    <e v="#REF!"/>
    <e v="#REF!"/>
    <e v="#REF!"/>
  </r>
  <r>
    <s v="624100"/>
    <x v="6"/>
    <s v="Transport de marchandises et échantillons"/>
    <s v="AC"/>
    <n v="130"/>
    <d v="2025-06-05T00:00:00"/>
    <s v="TRANSPORT ESSAI 1 ROUSSELET ROBATEL"/>
    <m/>
    <e v="#N/A"/>
    <e v="#N/A"/>
    <n v="76565"/>
    <s v="9102322"/>
    <s v="BROSSIER TRANSPORTS"/>
    <s v="Q2"/>
    <e v="#REF!"/>
    <e v="#REF!"/>
    <e v="#REF!"/>
  </r>
  <r>
    <s v="624100"/>
    <x v="6"/>
    <s v="Transport de marchandises et échantillons"/>
    <s v="AC"/>
    <n v="132.97999999999999"/>
    <d v="2025-11-03T00:00:00"/>
    <s v="COSTS OF TRANSPORT TO PILI VIA FEDEX - 22.10.2025"/>
    <s v="Non"/>
    <e v="#N/A"/>
    <e v="#N/A"/>
    <n v="91101"/>
    <s v="91250184"/>
    <s v="BIOTIKA"/>
    <s v="Q4"/>
    <e v="#REF!"/>
    <e v="#REF!"/>
    <e v="#REF!"/>
  </r>
  <r>
    <s v="624100"/>
    <x v="6"/>
    <s v="Transport de marchandises et échantillons"/>
    <s v="AC"/>
    <n v="133.86000000000001"/>
    <d v="2025-11-25T00:00:00"/>
    <s v="COSTS OF TRANSPORT VIA FEDEX"/>
    <s v="Non"/>
    <e v="#N/A"/>
    <e v="#N/A"/>
    <n v="91963"/>
    <s v="91250200"/>
    <s v="BIOTIKA"/>
    <s v="Q4"/>
    <e v="#REF!"/>
    <e v="#REF!"/>
    <e v="#REF!"/>
  </r>
  <r>
    <s v="624100"/>
    <x v="6"/>
    <s v="Transport de marchandises et échantillons"/>
    <s v="AC"/>
    <n v="140.02000000000001"/>
    <d v="2025-08-18T00:00:00"/>
    <s v="TRANSPORT ECHANTILLON"/>
    <s v="Non"/>
    <e v="#N/A"/>
    <e v="#N/A"/>
    <n v="81959"/>
    <s v="91250133"/>
    <s v="BIOTIKA"/>
    <s v="Q3"/>
    <e v="#REF!"/>
    <e v="#REF!"/>
    <e v="#REF!"/>
  </r>
  <r>
    <s v="624100"/>
    <x v="6"/>
    <s v="Transport de marchandises et échantillons"/>
    <s v="AC"/>
    <n v="147.16999999999999"/>
    <d v="2025-01-31T00:00:00"/>
    <s v="ENVOI SOFFEIERIA SESTERSE"/>
    <m/>
    <e v="#N/A"/>
    <e v="#N/A"/>
    <n v="74186"/>
    <s v="TLSIR01132497"/>
    <s v="DHL"/>
    <s v="Q1"/>
    <e v="#REF!"/>
    <e v="#REF!"/>
    <e v="#REF!"/>
  </r>
  <r>
    <s v="624100"/>
    <x v="6"/>
    <s v="Transport de marchandises et échantillons"/>
    <s v="AC"/>
    <n v="167.45"/>
    <d v="2025-06-30T00:00:00"/>
    <s v="TRANSPORT PRODUITS POUR ESSAIS 2 CHEZ ROUSSELET"/>
    <m/>
    <e v="#N/A"/>
    <e v="#N/A"/>
    <n v="78382"/>
    <s v="2506225"/>
    <s v="FILHOL"/>
    <s v="Q2"/>
    <e v="#REF!"/>
    <e v="#REF!"/>
    <e v="#REF!"/>
  </r>
  <r>
    <s v="624100"/>
    <x v="6"/>
    <s v="Transport de marchandises et échantillons"/>
    <s v="AC"/>
    <n v="188.55"/>
    <d v="2025-03-11T00:00:00"/>
    <s v="TRANSPORT COSTS"/>
    <s v="Non"/>
    <e v="#N/A"/>
    <e v="#N/A"/>
    <n v="66092"/>
    <s v="91250018"/>
    <s v="BIOTIKA"/>
    <s v="Q1"/>
    <e v="#REF!"/>
    <e v="#REF!"/>
    <e v="#REF!"/>
  </r>
  <r>
    <s v="624100"/>
    <x v="6"/>
    <s v="Transport de marchandises et échantillons"/>
    <s v="AC"/>
    <n v="219.94"/>
    <d v="2025-08-07T00:00:00"/>
    <s v="COÛTS DE TRANSPORT ECHANTILLONS"/>
    <s v="Non"/>
    <e v="#N/A"/>
    <e v="#N/A"/>
    <n v="81955"/>
    <s v="91250123"/>
    <s v="BIOTIKA"/>
    <s v="Q3"/>
    <e v="#REF!"/>
    <e v="#REF!"/>
    <e v="#REF!"/>
  </r>
  <r>
    <s v="624100"/>
    <x v="6"/>
    <s v="Transport de marchandises et échantillons"/>
    <s v="AC"/>
    <n v="240"/>
    <d v="2025-06-23T00:00:00"/>
    <s v="TRANSPORT OF MATERIAL FROM GBELY SK TO SLOVENSKÁ"/>
    <s v="Non"/>
    <e v="#N/A"/>
    <e v="#N/A"/>
    <n v="76613"/>
    <s v="91250084"/>
    <s v="BIOTIKA"/>
    <s v="Q2"/>
    <e v="#REF!"/>
    <e v="#REF!"/>
    <e v="#REF!"/>
  </r>
  <r>
    <s v="624100"/>
    <x v="6"/>
    <s v="Transport de marchandises et échantillons"/>
    <s v="AC"/>
    <n v="247.74"/>
    <d v="2025-08-07T00:00:00"/>
    <s v="COÛT TRANSPORT"/>
    <s v="Non"/>
    <e v="#N/A"/>
    <e v="#N/A"/>
    <n v="81947"/>
    <s v="91250121"/>
    <s v="BIOTIKA"/>
    <s v="Q3"/>
    <e v="#REF!"/>
    <e v="#REF!"/>
    <e v="#REF!"/>
  </r>
  <r>
    <s v="624100"/>
    <x v="6"/>
    <s v="Transport de marchandises et échantillons"/>
    <s v="AC"/>
    <n v="262.14"/>
    <d v="2025-11-30T00:00:00"/>
    <s v="TRANSPORT INDIGO VERS SD TECH POUR HOMOGENEISATION"/>
    <m/>
    <e v="#N/A"/>
    <e v="#N/A"/>
    <n v="94892"/>
    <s v="25110453"/>
    <s v="BROSSIER TRANSPORTS"/>
    <s v="Q4"/>
    <e v="#REF!"/>
    <e v="#REF!"/>
    <e v="#REF!"/>
  </r>
  <r>
    <s v="624100"/>
    <x v="6"/>
    <s v="Transport de marchandises et échantillons"/>
    <s v="AC"/>
    <n v="262.58999999999997"/>
    <d v="2025-07-21T00:00:00"/>
    <s v="COÛTS DE TRANSPORT - ECHANTILLONS"/>
    <s v="Non"/>
    <e v="#N/A"/>
    <e v="#N/A"/>
    <n v="81939"/>
    <s v="91250108"/>
    <s v="BIOTIKA"/>
    <s v="Q3"/>
    <e v="#REF!"/>
    <e v="#REF!"/>
    <e v="#REF!"/>
  </r>
  <r>
    <s v="624100"/>
    <x v="6"/>
    <s v="Transport de marchandises et échantillons"/>
    <s v="AC"/>
    <n v="262.58999999999997"/>
    <d v="2025-07-30T00:00:00"/>
    <s v="COUTS DE TRANSPORT"/>
    <s v="Non"/>
    <e v="#N/A"/>
    <e v="#N/A"/>
    <n v="81943"/>
    <s v="91250118"/>
    <s v="BIOTIKA"/>
    <s v="Q3"/>
    <e v="#REF!"/>
    <e v="#REF!"/>
    <e v="#REF!"/>
  </r>
  <r>
    <s v="624100"/>
    <x v="6"/>
    <s v="Transport de marchandises et échantillons"/>
    <s v="AC"/>
    <n v="264.23"/>
    <d v="2025-12-08T00:00:00"/>
    <s v="COSTS OF TRANSPORT VIA FEDEX, AWB 886002140588, 13.11.2025, FEDEX INVOICE 208025262"/>
    <s v="Non"/>
    <e v="#N/A"/>
    <e v="#N/A"/>
    <n v="95734"/>
    <s v="91250202"/>
    <s v="BIOTIKA"/>
    <s v="Q4"/>
    <e v="#REF!"/>
    <e v="#REF!"/>
    <e v="#REF!"/>
  </r>
  <r>
    <s v="624100"/>
    <x v="6"/>
    <s v="Transport de marchandises et échantillons"/>
    <s v="AC"/>
    <n v="275.89"/>
    <d v="2025-04-08T00:00:00"/>
    <s v="TRANSPORT COSTS"/>
    <s v="Non"/>
    <e v="#N/A"/>
    <e v="#N/A"/>
    <n v="69735"/>
    <s v="91250032"/>
    <s v="BIOTIKA"/>
    <s v="Q2"/>
    <e v="#REF!"/>
    <e v="#REF!"/>
    <e v="#REF!"/>
  </r>
  <r>
    <s v="624100"/>
    <x v="6"/>
    <s v="Transport de marchandises et échantillons"/>
    <s v="AC"/>
    <n v="276.45999999999998"/>
    <d v="2025-09-16T00:00:00"/>
    <s v="TRANSPORT COSTS"/>
    <s v="Non"/>
    <e v="#N/A"/>
    <e v="#N/A"/>
    <n v="87429"/>
    <s v="91250147"/>
    <s v="BIOTIKA"/>
    <s v="Q3"/>
    <e v="#REF!"/>
    <e v="#REF!"/>
    <e v="#REF!"/>
  </r>
  <r>
    <s v="624100"/>
    <x v="6"/>
    <s v="Transport de marchandises et échantillons"/>
    <s v="AC"/>
    <n v="277.67"/>
    <d v="2025-01-01T00:00:00"/>
    <s v="EXPÉ AA À FERRANIA -"/>
    <m/>
    <e v="#N/A"/>
    <e v="#N/A"/>
    <n v="73599"/>
    <s v="24120113"/>
    <s v="BROSSIER TRANSPORTS"/>
    <s v="Q1"/>
    <e v="#REF!"/>
    <e v="#REF!"/>
    <e v="#REF!"/>
  </r>
  <r>
    <s v="624100"/>
    <x v="6"/>
    <s v="Transport de marchandises et échantillons"/>
    <s v="AC"/>
    <n v="294.81"/>
    <d v="2025-04-01T00:00:00"/>
    <s v="transport DHL"/>
    <m/>
    <e v="#N/A"/>
    <e v="#N/A"/>
    <n v="74949"/>
    <m/>
    <s v="DHL"/>
    <s v="Q2"/>
    <e v="#REF!"/>
    <e v="#REF!"/>
    <e v="#REF!"/>
  </r>
  <r>
    <s v="624100"/>
    <x v="6"/>
    <s v="Transport de marchandises et échantillons"/>
    <s v="AC"/>
    <n v="325.93"/>
    <d v="2025-09-16T00:00:00"/>
    <s v="TRANSPORT COSTS"/>
    <s v="Non"/>
    <e v="#N/A"/>
    <e v="#N/A"/>
    <n v="87433"/>
    <s v="91250148"/>
    <s v="BIOTIKA"/>
    <s v="Q3"/>
    <e v="#REF!"/>
    <e v="#REF!"/>
    <e v="#REF!"/>
  </r>
  <r>
    <s v="624100"/>
    <x v="6"/>
    <s v="Transport de marchandises et échantillons"/>
    <s v="AC"/>
    <n v="344.4"/>
    <d v="2025-06-23T00:00:00"/>
    <s v="TRANSPORT OF ADR MATERIAL TO MILANO ITALY"/>
    <s v="Non"/>
    <e v="#N/A"/>
    <e v="#N/A"/>
    <n v="76821"/>
    <s v="91250083"/>
    <s v="BIOTIKA"/>
    <s v="Q2"/>
    <e v="#REF!"/>
    <e v="#REF!"/>
    <e v="#REF!"/>
  </r>
  <r>
    <s v="624100"/>
    <x v="6"/>
    <s v="Transport de marchandises et échantillons"/>
    <s v="AC"/>
    <n v="356.12"/>
    <d v="2025-11-10T00:00:00"/>
    <s v="COSTS OF TRANSPORT TO PILI VIA DACHSER - 23.10.2025"/>
    <s v="Non"/>
    <e v="#N/A"/>
    <e v="#N/A"/>
    <n v="91112"/>
    <s v="91250194"/>
    <s v="BIOTIKA"/>
    <s v="Q4"/>
    <e v="#REF!"/>
    <e v="#REF!"/>
    <e v="#REF!"/>
  </r>
  <r>
    <s v="624100"/>
    <x v="6"/>
    <s v="Transport de marchandises et échantillons"/>
    <s v="AC"/>
    <n v="371.26"/>
    <d v="2025-04-02T00:00:00"/>
    <s v="TRANSPORT COSTS"/>
    <s v="Non"/>
    <e v="#N/A"/>
    <e v="#N/A"/>
    <n v="69699"/>
    <s v="91250024"/>
    <s v="BIOTIKA"/>
    <s v="Q2"/>
    <e v="#REF!"/>
    <e v="#REF!"/>
    <e v="#REF!"/>
  </r>
  <r>
    <s v="624100"/>
    <x v="6"/>
    <s v="Transport de marchandises et échantillons"/>
    <s v="AC"/>
    <n v="373.14"/>
    <d v="2025-01-15T00:00:00"/>
    <s v="TRANSPORT COSTS"/>
    <s v="Non"/>
    <e v="#N/A"/>
    <e v="#N/A"/>
    <n v="61260"/>
    <s v="91250001"/>
    <s v="BIOTIKA"/>
    <s v="Q1"/>
    <e v="#REF!"/>
    <e v="#REF!"/>
    <e v="#REF!"/>
  </r>
  <r>
    <s v="624100"/>
    <x v="6"/>
    <s v="Transport de marchandises et échantillons"/>
    <s v="AC"/>
    <n v="380"/>
    <d v="2025-04-10T00:00:00"/>
    <s v="TRANSPORT DEVELOPPEMENT"/>
    <m/>
    <e v="#N/A"/>
    <e v="#N/A"/>
    <n v="69776"/>
    <s v="9096940"/>
    <s v="BROSSIER TRANSPORTS"/>
    <s v="Q2"/>
    <e v="#REF!"/>
    <e v="#REF!"/>
    <e v="#REF!"/>
  </r>
  <r>
    <s v="624100"/>
    <x v="6"/>
    <s v="Transport de marchandises et échantillons"/>
    <s v="AC"/>
    <n v="380"/>
    <d v="2025-04-15T00:00:00"/>
    <s v="TRANSPORT COSTS"/>
    <s v="Non"/>
    <e v="#N/A"/>
    <e v="#N/A"/>
    <n v="69808"/>
    <s v="91250039"/>
    <s v="BIOTIKA"/>
    <s v="Q2"/>
    <e v="#REF!"/>
    <e v="#REF!"/>
    <e v="#REF!"/>
  </r>
  <r>
    <s v="624100"/>
    <x v="6"/>
    <s v="Transport de marchandises et échantillons"/>
    <s v="AC"/>
    <n v="412.27"/>
    <d v="2025-05-26T00:00:00"/>
    <s v="TRANSPORT COSTS"/>
    <s v="Non"/>
    <e v="#N/A"/>
    <e v="#N/A"/>
    <n v="75969"/>
    <s v="91250063"/>
    <s v="BIOTIKA"/>
    <s v="Q2"/>
    <e v="#REF!"/>
    <e v="#REF!"/>
    <e v="#REF!"/>
  </r>
  <r>
    <s v="624100"/>
    <x v="6"/>
    <s v="Transport de marchandises et échantillons"/>
    <s v="AC"/>
    <n v="419.05"/>
    <d v="2025-10-20T00:00:00"/>
    <s v="TRANSPORT COSTS"/>
    <s v="Non"/>
    <e v="#N/A"/>
    <e v="#N/A"/>
    <n v="87453"/>
    <s v="91250166"/>
    <s v="BIOTIKA"/>
    <s v="Q4"/>
    <e v="#REF!"/>
    <e v="#REF!"/>
    <e v="#REF!"/>
  </r>
  <r>
    <s v="624100"/>
    <x v="6"/>
    <s v="Transport de marchandises et échantillons"/>
    <s v="AC"/>
    <n v="422.3"/>
    <d v="2025-05-19T00:00:00"/>
    <s v="TRANSPORT COSTS"/>
    <s v="Non"/>
    <e v="#N/A"/>
    <e v="#N/A"/>
    <n v="73793"/>
    <s v="91250056"/>
    <s v="BIOTIKA"/>
    <s v="Q2"/>
    <e v="#REF!"/>
    <e v="#REF!"/>
    <e v="#REF!"/>
  </r>
  <r>
    <s v="624100"/>
    <x v="6"/>
    <s v="Transport de marchandises et échantillons"/>
    <s v="AC"/>
    <n v="431.94"/>
    <d v="2025-10-20T00:00:00"/>
    <s v="TRANSPORT COSTS"/>
    <s v="Non"/>
    <e v="#N/A"/>
    <e v="#N/A"/>
    <n v="87457"/>
    <s v="91250167"/>
    <s v="BIOTIKA"/>
    <s v="Q4"/>
    <e v="#REF!"/>
    <e v="#REF!"/>
    <e v="#REF!"/>
  </r>
  <r>
    <s v="624100"/>
    <x v="6"/>
    <s v="Transport de marchandises et échantillons"/>
    <s v="AC"/>
    <n v="475"/>
    <d v="2025-07-01T00:00:00"/>
    <s v="ENVOI 1 KG PABA DIC"/>
    <m/>
    <e v="#N/A"/>
    <e v="#N/A"/>
    <n v="76823"/>
    <s v="2"/>
    <s v="HERPORT"/>
    <s v="Q3"/>
    <e v="#REF!"/>
    <e v="#REF!"/>
    <e v="#REF!"/>
  </r>
  <r>
    <s v="624100"/>
    <x v="6"/>
    <s v="Transport de marchandises et échantillons"/>
    <s v="AC"/>
    <n v="485"/>
    <d v="2025-01-01T00:00:00"/>
    <s v="TRANSPORT"/>
    <m/>
    <e v="#N/A"/>
    <e v="#N/A"/>
    <n v="73596"/>
    <s v="24100913"/>
    <s v="BROSSIER TRANSPORTS"/>
    <s v="Q1"/>
    <e v="#REF!"/>
    <e v="#REF!"/>
    <e v="#REF!"/>
  </r>
  <r>
    <s v="624100"/>
    <x v="6"/>
    <s v="Transport de marchandises et échantillons"/>
    <s v="AC"/>
    <n v="690"/>
    <d v="2025-05-26T00:00:00"/>
    <s v="TRANSPORT COST"/>
    <s v="Non"/>
    <e v="#N/A"/>
    <e v="#N/A"/>
    <n v="75974"/>
    <s v="91250067"/>
    <s v="BIOTIKA"/>
    <s v="Q2"/>
    <e v="#REF!"/>
    <e v="#REF!"/>
    <e v="#REF!"/>
  </r>
  <r>
    <s v="624100"/>
    <x v="6"/>
    <s v="Transport de marchandises et échantillons"/>
    <s v="AC"/>
    <n v="708"/>
    <d v="2025-02-06T00:00:00"/>
    <s v="PAIEMENT ANTICIPÉ  100%   PILI PF OSIRIS 06-02-2 SK-97613 SLOVENSKA LUPC"/>
    <m/>
    <e v="#N/A"/>
    <e v="#N/A"/>
    <n v="73667"/>
    <s v="25020842"/>
    <s v="BROSSIER TRANSPORTS"/>
    <s v="Q1"/>
    <e v="#REF!"/>
    <e v="#REF!"/>
    <e v="#REF!"/>
  </r>
  <r>
    <s v="624100"/>
    <x v="6"/>
    <s v="Transport de marchandises et échantillons"/>
    <s v="AC"/>
    <n v="721"/>
    <d v="2025-05-19T00:00:00"/>
    <s v="TRANSPORT COSTS"/>
    <s v="Non"/>
    <e v="#N/A"/>
    <e v="#N/A"/>
    <n v="73802"/>
    <s v="91250057"/>
    <s v="BIOTIKA"/>
    <s v="Q2"/>
    <e v="#REF!"/>
    <e v="#REF!"/>
    <e v="#REF!"/>
  </r>
  <r>
    <s v="624100"/>
    <x v="6"/>
    <s v="Transport de marchandises et échantillons"/>
    <s v="OD"/>
    <n v="-666"/>
    <d v="2025-01-01T00:00:00"/>
    <s v="Transport Brossier"/>
    <m/>
    <e v="#N/A"/>
    <e v="#N/A"/>
    <n v="70534"/>
    <m/>
    <s v="BROSSIER TRANSPORTS"/>
    <s v="Q1"/>
    <e v="#REF!"/>
    <e v="#REF!"/>
    <e v="#REF!"/>
  </r>
  <r>
    <s v="625100"/>
    <x v="6"/>
    <s v="Voyages et déplacements"/>
    <s v="AC"/>
    <n v="-196"/>
    <d v="2025-05-31T00:00:00"/>
    <s v="Divers billets SNCF Spendesk"/>
    <m/>
    <e v="#N/A"/>
    <e v="#N/A"/>
    <n v="85039"/>
    <m/>
    <s v="SNCF"/>
    <s v="Q2"/>
    <e v="#REF!"/>
    <e v="#REF!"/>
    <e v="#REF!"/>
  </r>
  <r>
    <s v="625100"/>
    <x v="6"/>
    <s v="Voyages et déplacements"/>
    <s v="AC"/>
    <n v="-160"/>
    <d v="2025-12-31T00:00:00"/>
    <s v="Divers billets SNCF Spendesk"/>
    <m/>
    <e v="#N/A"/>
    <e v="#N/A"/>
    <n v="94163"/>
    <m/>
    <s v="SNCF"/>
    <s v="Q4"/>
    <e v="#REF!"/>
    <e v="#REF!"/>
    <e v="#REF!"/>
  </r>
  <r>
    <s v="625100"/>
    <x v="6"/>
    <s v="Voyages et déplacements"/>
    <s v="AC"/>
    <n v="-143.6"/>
    <d v="2025-06-30T00:00:00"/>
    <s v="Divers billets SNCF Spendesk"/>
    <m/>
    <e v="#N/A"/>
    <e v="#N/A"/>
    <n v="85042"/>
    <m/>
    <s v="SNCF"/>
    <s v="Q2"/>
    <e v="#REF!"/>
    <e v="#REF!"/>
    <e v="#REF!"/>
  </r>
  <r>
    <s v="625100"/>
    <x v="6"/>
    <s v="Voyages et déplacements"/>
    <s v="AC"/>
    <n v="-67.48"/>
    <d v="2025-05-14T00:00:00"/>
    <s v="Airbnb"/>
    <m/>
    <e v="#N/A"/>
    <e v="#N/A"/>
    <n v="82136"/>
    <m/>
    <s v="AIRBNB"/>
    <s v="Q2"/>
    <e v="#REF!"/>
    <e v="#REF!"/>
    <e v="#REF!"/>
  </r>
  <r>
    <s v="625100"/>
    <x v="6"/>
    <s v="Voyages et déplacements"/>
    <s v="AC"/>
    <n v="-58"/>
    <d v="2025-09-30T00:00:00"/>
    <s v="Divers billets SNCF Spendesk"/>
    <m/>
    <e v="#N/A"/>
    <e v="#N/A"/>
    <n v="87730"/>
    <m/>
    <s v="SNCF"/>
    <s v="Q3"/>
    <e v="#REF!"/>
    <e v="#REF!"/>
    <e v="#REF!"/>
  </r>
  <r>
    <s v="625100"/>
    <x v="6"/>
    <s v="Voyages et déplacements"/>
    <s v="AC"/>
    <n v="-1.18"/>
    <d v="2025-12-31T00:00:00"/>
    <s v="Refund Airbnb"/>
    <m/>
    <e v="#N/A"/>
    <e v="#N/A"/>
    <n v="94174"/>
    <m/>
    <s v="AIRBNB"/>
    <s v="Q4"/>
    <e v="#REF!"/>
    <e v="#REF!"/>
    <e v="#REF!"/>
  </r>
  <r>
    <s v="625100"/>
    <x v="6"/>
    <s v="Voyages et déplacements"/>
    <s v="AC"/>
    <n v="1.18"/>
    <d v="2025-12-11T00:00:00"/>
    <s v="AIRBNB"/>
    <m/>
    <e v="#N/A"/>
    <e v="#N/A"/>
    <n v="93966"/>
    <s v="22"/>
    <s v="AIRBNB"/>
    <s v="Q4"/>
    <e v="#REF!"/>
    <e v="#REF!"/>
    <e v="#REF!"/>
  </r>
  <r>
    <s v="625100"/>
    <x v="6"/>
    <s v="Voyages et déplacements"/>
    <s v="AC"/>
    <n v="11"/>
    <d v="2025-04-10T00:00:00"/>
    <s v="ENTRETIEN RECRUTEMENT RAF - CB LOIMAS"/>
    <m/>
    <s v="Non"/>
    <e v="#N/A"/>
    <n v="72603"/>
    <s v="70"/>
    <s v="DIVERS"/>
    <s v="Q2"/>
    <e v="#REF!"/>
    <e v="#REF!"/>
    <e v="#REF!"/>
  </r>
  <r>
    <s v="625100"/>
    <x v="6"/>
    <s v="Voyages et déplacements"/>
    <s v="AC"/>
    <n v="12.6"/>
    <d v="2025-12-05T00:00:00"/>
    <s v="AR ROUSSILLON"/>
    <m/>
    <e v="#N/A"/>
    <e v="#N/A"/>
    <n v="93944"/>
    <s v="11"/>
    <s v="SNCF"/>
    <s v="Q4"/>
    <e v="#REF!"/>
    <e v="#REF!"/>
    <e v="#REF!"/>
  </r>
  <r>
    <s v="625100"/>
    <x v="6"/>
    <s v="Voyages et déplacements"/>
    <s v="AC"/>
    <n v="19"/>
    <d v="2025-07-28T00:00:00"/>
    <s v="AR VISITE MÉDICALE ROUSSILLON"/>
    <m/>
    <e v="#N/A"/>
    <e v="#N/A"/>
    <n v="82180"/>
    <s v="8"/>
    <s v="SNCF"/>
    <s v="Q3"/>
    <e v="#REF!"/>
    <e v="#REF!"/>
    <e v="#REF!"/>
  </r>
  <r>
    <s v="625100"/>
    <x v="6"/>
    <s v="Voyages et déplacements"/>
    <s v="AC"/>
    <n v="19.75"/>
    <d v="2025-06-12T00:00:00"/>
    <s v="ETA POUR DÉPLACEMENT LONDRES"/>
    <m/>
    <e v="#N/A"/>
    <e v="#N/A"/>
    <n v="78019"/>
    <s v="22"/>
    <s v="GOV.UK"/>
    <s v="Q2"/>
    <e v="#REF!"/>
    <e v="#REF!"/>
    <e v="#REF!"/>
  </r>
  <r>
    <s v="625100"/>
    <x v="6"/>
    <s v="Voyages et déplacements"/>
    <s v="AC"/>
    <n v="25.45"/>
    <d v="2025-11-12T00:00:00"/>
    <s v="AR AÉROPORT LYON"/>
    <m/>
    <s v="Non"/>
    <e v="#N/A"/>
    <n v="91434"/>
    <s v="W_4793216"/>
    <s v="DIVERS"/>
    <s v="Q4"/>
    <e v="#REF!"/>
    <e v="#REF!"/>
    <e v="#REF!"/>
  </r>
  <r>
    <s v="625100"/>
    <x v="6"/>
    <s v="Voyages et déplacements"/>
    <s v="AC"/>
    <n v="33.25"/>
    <d v="2025-05-11T00:00:00"/>
    <s v="CONSOMMABLE ET ENTRETIEN"/>
    <m/>
    <e v="#N/A"/>
    <e v="#N/A"/>
    <n v="73781"/>
    <s v="327712"/>
    <s v="LA FOURCHE"/>
    <s v="Q2"/>
    <e v="#REF!"/>
    <e v="#REF!"/>
    <e v="#REF!"/>
  </r>
  <r>
    <s v="625100"/>
    <x v="6"/>
    <s v="Voyages et déplacements"/>
    <s v="AC"/>
    <n v="39"/>
    <d v="2025-01-05T00:00:00"/>
    <s v="RETOUR CODIR"/>
    <m/>
    <e v="#N/A"/>
    <e v="#N/A"/>
    <n v="59850"/>
    <s v="KXCVAV"/>
    <s v="SNCF"/>
    <s v="Q1"/>
    <e v="#REF!"/>
    <e v="#REF!"/>
    <e v="#REF!"/>
  </r>
  <r>
    <s v="625100"/>
    <x v="6"/>
    <s v="Voyages et déplacements"/>
    <s v="AC"/>
    <n v="39"/>
    <d v="2025-03-04T00:00:00"/>
    <s v="RETOUR CODIR"/>
    <m/>
    <e v="#N/A"/>
    <e v="#N/A"/>
    <n v="66126"/>
    <s v="22"/>
    <s v="SNCF"/>
    <s v="Q1"/>
    <e v="#REF!"/>
    <e v="#REF!"/>
    <e v="#REF!"/>
  </r>
  <r>
    <s v="625100"/>
    <x v="6"/>
    <s v="Voyages et déplacements"/>
    <s v="AC"/>
    <n v="39"/>
    <d v="2025-03-11T00:00:00"/>
    <s v="ALLER ECS BOURG PARIS"/>
    <m/>
    <e v="#N/A"/>
    <e v="#N/A"/>
    <n v="67840"/>
    <s v="14"/>
    <s v="SNCF"/>
    <s v="Q1"/>
    <e v="#REF!"/>
    <e v="#REF!"/>
    <e v="#REF!"/>
  </r>
  <r>
    <s v="625100"/>
    <x v="6"/>
    <s v="Voyages et déplacements"/>
    <s v="AC"/>
    <n v="43"/>
    <d v="2025-11-30T00:00:00"/>
    <s v="Divers billets SNCF JERBLA"/>
    <m/>
    <e v="#N/A"/>
    <e v="#N/A"/>
    <n v="91759"/>
    <m/>
    <s v="SNCF"/>
    <s v="Q4"/>
    <e v="#REF!"/>
    <e v="#REF!"/>
    <e v="#REF!"/>
  </r>
  <r>
    <s v="625100"/>
    <x v="6"/>
    <s v="Voyages et déplacements"/>
    <s v="AC"/>
    <n v="44.76"/>
    <d v="2025-08-11T00:00:00"/>
    <s v="ACHAT CB - BRUNEAU"/>
    <m/>
    <e v="#N/A"/>
    <e v="#N/A"/>
    <n v="85054"/>
    <m/>
    <s v="BRUNEAU"/>
    <s v="Q3"/>
    <e v="#REF!"/>
    <e v="#REF!"/>
    <e v="#REF!"/>
  </r>
  <r>
    <s v="625100"/>
    <x v="6"/>
    <s v="Voyages et déplacements"/>
    <s v="AC"/>
    <n v="45"/>
    <d v="2025-06-29T00:00:00"/>
    <s v="AMENDE GUILLAUME (ANCIENNEMENT 68€, RAMENÉ À 45€ LORS D'UN PAIEMENT EN LIGNE - SELON UN CERTAIN DÉLAI)"/>
    <m/>
    <e v="#N/A"/>
    <e v="#N/A"/>
    <n v="80844"/>
    <s v="3842632883"/>
    <s v="ANTAI.GOUV.FR"/>
    <s v="Q2"/>
    <e v="#REF!"/>
    <e v="#REF!"/>
    <e v="#REF!"/>
  </r>
  <r>
    <s v="625100"/>
    <x v="6"/>
    <s v="Voyages et déplacements"/>
    <s v="AC"/>
    <n v="46.9"/>
    <d v="2025-06-05T00:00:00"/>
    <s v="RESTAURANT CB - Mr marguerite"/>
    <m/>
    <s v="Non"/>
    <e v="#N/A"/>
    <n v="85048"/>
    <m/>
    <s v="DIVERS"/>
    <s v="Q2"/>
    <e v="#REF!"/>
    <e v="#REF!"/>
    <e v="#REF!"/>
  </r>
  <r>
    <s v="625100"/>
    <x v="6"/>
    <s v="Voyages et déplacements"/>
    <s v="AC"/>
    <n v="52.5"/>
    <d v="2025-08-25T00:00:00"/>
    <s v="ALLER PARIS - LYON - ROUSSILLON / AP"/>
    <m/>
    <e v="#N/A"/>
    <e v="#N/A"/>
    <n v="82216"/>
    <s v="21"/>
    <s v="SNCF"/>
    <s v="Q3"/>
    <e v="#REF!"/>
    <e v="#REF!"/>
    <e v="#REF!"/>
  </r>
  <r>
    <s v="625100"/>
    <x v="6"/>
    <s v="Voyages et déplacements"/>
    <s v="AC"/>
    <n v="56.99"/>
    <d v="2025-03-10T00:00:00"/>
    <s v="RETOUR ECS EN PASSANT PAR LILLE"/>
    <m/>
    <e v="#N/A"/>
    <e v="#N/A"/>
    <n v="66133"/>
    <s v="2025-418181748637"/>
    <s v="SNCF"/>
    <s v="Q1"/>
    <e v="#REF!"/>
    <e v="#REF!"/>
    <e v="#REF!"/>
  </r>
  <r>
    <s v="625100"/>
    <x v="6"/>
    <s v="Voyages et déplacements"/>
    <s v="AC"/>
    <n v="57"/>
    <d v="2025-04-01T00:00:00"/>
    <s v="Solde SNCF"/>
    <m/>
    <e v="#N/A"/>
    <e v="#N/A"/>
    <n v="74986"/>
    <m/>
    <s v="SNCF"/>
    <s v="Q2"/>
    <e v="#REF!"/>
    <e v="#REF!"/>
    <e v="#REF!"/>
  </r>
  <r>
    <s v="625100"/>
    <x v="6"/>
    <s v="Voyages et déplacements"/>
    <s v="AC"/>
    <n v="57"/>
    <d v="2025-08-26T00:00:00"/>
    <s v="MODIFICATION TGV AP"/>
    <m/>
    <e v="#N/A"/>
    <e v="#N/A"/>
    <n v="82220"/>
    <s v="23"/>
    <s v="SNCF"/>
    <s v="Q3"/>
    <e v="#REF!"/>
    <e v="#REF!"/>
    <e v="#REF!"/>
  </r>
  <r>
    <s v="625100"/>
    <x v="6"/>
    <s v="Voyages et déplacements"/>
    <s v="AC"/>
    <n v="58"/>
    <d v="2025-02-04T00:00:00"/>
    <s v="ALLER CODIR FÉVRIER"/>
    <m/>
    <e v="#N/A"/>
    <e v="#N/A"/>
    <n v="61409"/>
    <s v="98"/>
    <s v="SNCF"/>
    <s v="Q1"/>
    <e v="#REF!"/>
    <e v="#REF!"/>
    <e v="#REF!"/>
  </r>
  <r>
    <s v="625100"/>
    <x v="6"/>
    <s v="Voyages et déplacements"/>
    <s v="AC"/>
    <n v="58"/>
    <d v="2025-02-04T00:00:00"/>
    <s v="RETOUR CODIR FÉVRIER"/>
    <m/>
    <e v="#N/A"/>
    <e v="#N/A"/>
    <n v="61401"/>
    <s v="94"/>
    <s v="SNCF"/>
    <s v="Q1"/>
    <e v="#REF!"/>
    <e v="#REF!"/>
    <e v="#REF!"/>
  </r>
  <r>
    <s v="625100"/>
    <x v="6"/>
    <s v="Voyages et déplacements"/>
    <s v="AC"/>
    <n v="58"/>
    <d v="2025-06-03T00:00:00"/>
    <s v="VOYAGE CHEMSPEC - CHANGEMENT BILLET TRAIN"/>
    <m/>
    <e v="#N/A"/>
    <e v="#N/A"/>
    <n v="78002"/>
    <s v="15"/>
    <s v="SNCF"/>
    <s v="Q2"/>
    <e v="#REF!"/>
    <e v="#REF!"/>
    <e v="#REF!"/>
  </r>
  <r>
    <s v="625100"/>
    <x v="6"/>
    <s v="Voyages et déplacements"/>
    <s v="AC"/>
    <n v="58"/>
    <d v="2025-09-09T00:00:00"/>
    <s v="SNCF-VOYAGEURS"/>
    <m/>
    <e v="#N/A"/>
    <e v="#N/A"/>
    <n v="82978"/>
    <s v="18"/>
    <s v="SNCF"/>
    <s v="Q3"/>
    <e v="#REF!"/>
    <e v="#REF!"/>
    <e v="#REF!"/>
  </r>
  <r>
    <s v="625100"/>
    <x v="6"/>
    <s v="Voyages et déplacements"/>
    <s v="AC"/>
    <n v="58"/>
    <d v="2025-11-17T00:00:00"/>
    <s v="RETOUR EVENT TECH DAYS B4C"/>
    <m/>
    <e v="#N/A"/>
    <e v="#N/A"/>
    <n v="91457"/>
    <s v="35"/>
    <s v="SNCF"/>
    <s v="Q4"/>
    <e v="#REF!"/>
    <e v="#REF!"/>
    <e v="#REF!"/>
  </r>
  <r>
    <s v="625100"/>
    <x v="6"/>
    <s v="Voyages et déplacements"/>
    <s v="AC"/>
    <n v="58"/>
    <d v="2025-11-17T00:00:00"/>
    <s v="RETOUR VROOM EVENT BXL"/>
    <m/>
    <e v="#N/A"/>
    <e v="#N/A"/>
    <n v="91453"/>
    <s v="33"/>
    <s v="SNCF"/>
    <s v="Q4"/>
    <e v="#REF!"/>
    <e v="#REF!"/>
    <e v="#REF!"/>
  </r>
  <r>
    <s v="625100"/>
    <x v="6"/>
    <s v="Voyages et déplacements"/>
    <s v="AC"/>
    <n v="58"/>
    <d v="2025-12-03T00:00:00"/>
    <s v="RETOUR 10 ANS PILI"/>
    <m/>
    <e v="#N/A"/>
    <e v="#N/A"/>
    <n v="93935"/>
    <s v="7"/>
    <s v="SNCF"/>
    <s v="Q4"/>
    <e v="#REF!"/>
    <e v="#REF!"/>
    <e v="#REF!"/>
  </r>
  <r>
    <s v="625100"/>
    <x v="6"/>
    <s v="Voyages et déplacements"/>
    <s v="AC"/>
    <n v="60"/>
    <d v="2025-04-10T00:00:00"/>
    <s v="ENTRETIEN RECRUTEMENT RAF - CB LOIMAS"/>
    <m/>
    <s v="Non"/>
    <e v="#N/A"/>
    <n v="72604"/>
    <s v="70"/>
    <s v="DIVERS"/>
    <s v="Q2"/>
    <e v="#REF!"/>
    <e v="#REF!"/>
    <e v="#REF!"/>
  </r>
  <r>
    <s v="625100"/>
    <x v="6"/>
    <s v="Voyages et déplacements"/>
    <s v="AC"/>
    <n v="62.5"/>
    <d v="2025-01-03T00:00:00"/>
    <s v="PARIS - PÉAGE DE ROUSSILLON - AP - 02/01/25"/>
    <m/>
    <e v="#N/A"/>
    <e v="#N/A"/>
    <n v="59848"/>
    <s v="6"/>
    <s v="SNCF"/>
    <s v="Q1"/>
    <e v="#REF!"/>
    <e v="#REF!"/>
    <e v="#REF!"/>
  </r>
  <r>
    <s v="625100"/>
    <x v="6"/>
    <s v="Voyages et déplacements"/>
    <s v="AC"/>
    <n v="63"/>
    <d v="2025-12-08T00:00:00"/>
    <s v="ALLER VERS TOU"/>
    <m/>
    <e v="#N/A"/>
    <e v="#N/A"/>
    <n v="93951"/>
    <s v="14"/>
    <s v="SNCF"/>
    <s v="Q4"/>
    <e v="#REF!"/>
    <e v="#REF!"/>
    <e v="#REF!"/>
  </r>
  <r>
    <s v="625100"/>
    <x v="6"/>
    <s v="Voyages et déplacements"/>
    <s v="AC"/>
    <n v="70"/>
    <d v="2025-09-29T00:00:00"/>
    <s v="MODIFICATION VOL ALLER VERS BIOTIKA AP"/>
    <m/>
    <e v="#N/A"/>
    <e v="#N/A"/>
    <n v="83029"/>
    <s v="225004512444"/>
    <s v="AIRLINES"/>
    <s v="Q3"/>
    <e v="#REF!"/>
    <e v="#REF!"/>
    <e v="#REF!"/>
  </r>
  <r>
    <s v="625100"/>
    <x v="6"/>
    <s v="Voyages et déplacements"/>
    <s v="AC"/>
    <n v="71"/>
    <d v="2025-01-01T00:00:00"/>
    <s v="ALLER RETOUR PARIS MARSEILLE"/>
    <m/>
    <e v="#N/A"/>
    <e v="#N/A"/>
    <n v="71255"/>
    <s v="NVCS8G"/>
    <s v="SNCF"/>
    <s v="Q1"/>
    <e v="#REF!"/>
    <e v="#REF!"/>
    <e v="#REF!"/>
  </r>
  <r>
    <s v="625100"/>
    <x v="6"/>
    <s v="Voyages et déplacements"/>
    <s v="AC"/>
    <n v="71"/>
    <d v="2025-01-01T00:00:00"/>
    <s v="ALLER RETOUR PARIS MARSEILLE"/>
    <m/>
    <e v="#N/A"/>
    <e v="#N/A"/>
    <n v="71265"/>
    <s v="FR8XT6"/>
    <s v="SNCF"/>
    <s v="Q1"/>
    <e v="#REF!"/>
    <e v="#REF!"/>
    <e v="#REF!"/>
  </r>
  <r>
    <s v="625100"/>
    <x v="6"/>
    <s v="Voyages et déplacements"/>
    <s v="AC"/>
    <n v="73"/>
    <d v="2025-01-09T00:00:00"/>
    <s v="MARSEILLE PARIS"/>
    <m/>
    <e v="#N/A"/>
    <e v="#N/A"/>
    <n v="71267"/>
    <s v="DQTU3N"/>
    <s v="SNCF"/>
    <s v="Q1"/>
    <e v="#REF!"/>
    <e v="#REF!"/>
    <e v="#REF!"/>
  </r>
  <r>
    <s v="625100"/>
    <x v="6"/>
    <s v="Voyages et déplacements"/>
    <s v="AC"/>
    <n v="73"/>
    <d v="2025-01-09T00:00:00"/>
    <s v="VOYAGE PARIS LYON 24/01/2025"/>
    <m/>
    <e v="#N/A"/>
    <e v="#N/A"/>
    <n v="71269"/>
    <s v="P4GR7D"/>
    <s v="SNCF"/>
    <s v="Q1"/>
    <e v="#REF!"/>
    <e v="#REF!"/>
    <e v="#REF!"/>
  </r>
  <r>
    <s v="625100"/>
    <x v="6"/>
    <s v="Voyages et déplacements"/>
    <s v="AC"/>
    <n v="78"/>
    <d v="2025-01-14T00:00:00"/>
    <s v="VOYAGE LOIC MASSEBOEUF TOULOUSE"/>
    <m/>
    <e v="#N/A"/>
    <e v="#N/A"/>
    <n v="64003"/>
    <s v="AWCULD"/>
    <s v="SNCF"/>
    <s v="Q1"/>
    <e v="#REF!"/>
    <e v="#REF!"/>
    <e v="#REF!"/>
  </r>
  <r>
    <s v="625100"/>
    <x v="6"/>
    <s v="Voyages et déplacements"/>
    <s v="AC"/>
    <n v="79"/>
    <d v="2025-03-17T00:00:00"/>
    <s v="TRAJET PARIS TOULOUSE AP  VISITE HSE"/>
    <m/>
    <e v="#N/A"/>
    <e v="#N/A"/>
    <n v="67847"/>
    <s v="17"/>
    <s v="SNCF"/>
    <s v="Q1"/>
    <e v="#REF!"/>
    <e v="#REF!"/>
    <e v="#REF!"/>
  </r>
  <r>
    <s v="625100"/>
    <x v="6"/>
    <s v="Voyages et déplacements"/>
    <s v="AC"/>
    <n v="79.989999999999995"/>
    <d v="2025-05-12T00:00:00"/>
    <s v="LOGEMENT TOULOUSE DÉPLACEMENT TOURNAGE DU 28 MAI"/>
    <m/>
    <e v="#N/A"/>
    <e v="#N/A"/>
    <n v="74424"/>
    <s v="RCKMXNFEYA"/>
    <s v="AIRBNB"/>
    <s v="Q2"/>
    <e v="#REF!"/>
    <e v="#REF!"/>
    <e v="#REF!"/>
  </r>
  <r>
    <s v="625100"/>
    <x v="6"/>
    <s v="Voyages et déplacements"/>
    <s v="AC"/>
    <n v="80"/>
    <d v="2025-11-17T00:00:00"/>
    <s v="ALLER PARIS TECHDAYD B4C"/>
    <m/>
    <e v="#N/A"/>
    <e v="#N/A"/>
    <n v="91459"/>
    <s v="36"/>
    <s v="SNCF"/>
    <s v="Q4"/>
    <e v="#REF!"/>
    <e v="#REF!"/>
    <e v="#REF!"/>
  </r>
  <r>
    <s v="625100"/>
    <x v="6"/>
    <s v="Voyages et déplacements"/>
    <s v="AC"/>
    <n v="81.900000000000006"/>
    <d v="2025-09-16T00:00:00"/>
    <s v="GETAROUND* RESERVATION"/>
    <m/>
    <e v="#N/A"/>
    <e v="#N/A"/>
    <n v="83001"/>
    <s v="9623587"/>
    <s v="GETAROUND"/>
    <s v="Q3"/>
    <e v="#REF!"/>
    <e v="#REF!"/>
    <e v="#REF!"/>
  </r>
  <r>
    <s v="625100"/>
    <x v="6"/>
    <s v="Voyages et déplacements"/>
    <s v="AC"/>
    <n v="84.62"/>
    <d v="2025-06-16T00:00:00"/>
    <s v="LOGEMENT, DÉPLACEMENT À ROUSSILLON"/>
    <m/>
    <e v="#N/A"/>
    <e v="#N/A"/>
    <n v="78030"/>
    <s v="25"/>
    <s v="BOOKING"/>
    <s v="Q2"/>
    <e v="#REF!"/>
    <e v="#REF!"/>
    <e v="#REF!"/>
  </r>
  <r>
    <s v="625100"/>
    <x v="6"/>
    <s v="Voyages et déplacements"/>
    <s v="AC"/>
    <n v="88"/>
    <d v="2025-01-24T00:00:00"/>
    <s v="TGV PARIS - LYON // AP"/>
    <m/>
    <e v="#N/A"/>
    <e v="#N/A"/>
    <n v="61306"/>
    <s v="57"/>
    <s v="SNCF"/>
    <s v="Q1"/>
    <e v="#REF!"/>
    <e v="#REF!"/>
    <e v="#REF!"/>
  </r>
  <r>
    <s v="625100"/>
    <x v="6"/>
    <s v="Voyages et déplacements"/>
    <s v="AC"/>
    <n v="88"/>
    <d v="2025-02-14T00:00:00"/>
    <s v="ALLER LYON - VISITE YOKOGAWA"/>
    <m/>
    <e v="#N/A"/>
    <e v="#N/A"/>
    <n v="61487"/>
    <s v="128"/>
    <s v="SNCF"/>
    <s v="Q1"/>
    <e v="#REF!"/>
    <e v="#REF!"/>
    <e v="#REF!"/>
  </r>
  <r>
    <s v="625100"/>
    <x v="6"/>
    <s v="Voyages et déplacements"/>
    <s v="AC"/>
    <n v="88"/>
    <d v="2025-02-14T00:00:00"/>
    <s v="RETOUR VISITE OKAGAWA"/>
    <m/>
    <e v="#N/A"/>
    <e v="#N/A"/>
    <n v="61489"/>
    <s v="129"/>
    <s v="SNCF"/>
    <s v="Q1"/>
    <e v="#REF!"/>
    <e v="#REF!"/>
    <e v="#REF!"/>
  </r>
  <r>
    <s v="625100"/>
    <x v="6"/>
    <s v="Voyages et déplacements"/>
    <s v="AC"/>
    <n v="88"/>
    <d v="2025-04-04T00:00:00"/>
    <s v="DÉPLACEMENT À ROUSSILLON - RÉUNION SITE - TGV PARIS - LYON,"/>
    <m/>
    <e v="#N/A"/>
    <e v="#N/A"/>
    <n v="71310"/>
    <s v="23"/>
    <s v="SNCF"/>
    <s v="Q2"/>
    <e v="#REF!"/>
    <e v="#REF!"/>
    <e v="#REF!"/>
  </r>
  <r>
    <s v="625100"/>
    <x v="6"/>
    <s v="Voyages et déplacements"/>
    <s v="AC"/>
    <n v="88"/>
    <d v="2025-04-09T00:00:00"/>
    <s v="DÉPLACEMENT ROUSSILLON - VISITE HSE"/>
    <m/>
    <e v="#N/A"/>
    <e v="#N/A"/>
    <n v="71316"/>
    <s v="26"/>
    <s v="SNCF"/>
    <s v="Q2"/>
    <e v="#REF!"/>
    <e v="#REF!"/>
    <e v="#REF!"/>
  </r>
  <r>
    <s v="625100"/>
    <x v="6"/>
    <s v="Voyages et déplacements"/>
    <s v="AC"/>
    <n v="88"/>
    <d v="2025-06-11T00:00:00"/>
    <s v="TRAJET PARIS - LYON"/>
    <m/>
    <e v="#N/A"/>
    <e v="#N/A"/>
    <n v="78017"/>
    <s v="21"/>
    <s v="SNCF"/>
    <s v="Q2"/>
    <e v="#REF!"/>
    <e v="#REF!"/>
    <e v="#REF!"/>
  </r>
  <r>
    <s v="625100"/>
    <x v="6"/>
    <s v="Voyages et déplacements"/>
    <s v="AC"/>
    <n v="88"/>
    <d v="2025-09-09T00:00:00"/>
    <s v="PARIS - LYON // GROLMAN"/>
    <m/>
    <e v="#N/A"/>
    <e v="#N/A"/>
    <n v="82971"/>
    <s v="14"/>
    <s v="SNCF"/>
    <s v="Q3"/>
    <e v="#REF!"/>
    <e v="#REF!"/>
    <e v="#REF!"/>
  </r>
  <r>
    <s v="625100"/>
    <x v="6"/>
    <s v="Voyages et déplacements"/>
    <s v="AC"/>
    <n v="88"/>
    <d v="2025-09-09T00:00:00"/>
    <s v="RETOUR GROLMAN"/>
    <m/>
    <e v="#N/A"/>
    <e v="#N/A"/>
    <n v="82969"/>
    <s v="13"/>
    <s v="SNCF"/>
    <s v="Q3"/>
    <e v="#REF!"/>
    <e v="#REF!"/>
    <e v="#REF!"/>
  </r>
  <r>
    <s v="625100"/>
    <x v="6"/>
    <s v="Voyages et déplacements"/>
    <s v="AC"/>
    <n v="88"/>
    <d v="2025-10-08T00:00:00"/>
    <s v="OLYMPIADE DE LA CHIMIE"/>
    <m/>
    <e v="#N/A"/>
    <e v="#N/A"/>
    <n v="89602"/>
    <s v="14"/>
    <s v="SNCF"/>
    <s v="Q4"/>
    <e v="#REF!"/>
    <e v="#REF!"/>
    <e v="#REF!"/>
  </r>
  <r>
    <s v="625100"/>
    <x v="6"/>
    <s v="Voyages et déplacements"/>
    <s v="AC"/>
    <n v="88"/>
    <d v="2025-10-08T00:00:00"/>
    <s v="RETOUR OLYMPIADE"/>
    <m/>
    <e v="#N/A"/>
    <e v="#N/A"/>
    <n v="89600"/>
    <s v="13"/>
    <s v="SNCF"/>
    <s v="Q4"/>
    <e v="#REF!"/>
    <e v="#REF!"/>
    <e v="#REF!"/>
  </r>
  <r>
    <s v="625100"/>
    <x v="6"/>
    <s v="Voyages et déplacements"/>
    <s v="AC"/>
    <n v="88"/>
    <d v="2025-11-17T00:00:00"/>
    <s v="ALLER CONF B4C TECHDAYS"/>
    <m/>
    <e v="#N/A"/>
    <e v="#N/A"/>
    <n v="91446"/>
    <s v="30"/>
    <s v="SNCF"/>
    <s v="Q4"/>
    <e v="#REF!"/>
    <e v="#REF!"/>
    <e v="#REF!"/>
  </r>
  <r>
    <s v="625100"/>
    <x v="6"/>
    <s v="Voyages et déplacements"/>
    <s v="AC"/>
    <n v="89.17"/>
    <d v="2025-05-06T00:00:00"/>
    <s v="LOGEMENT DÉPLACEMENT KB 12-13 MAI"/>
    <m/>
    <e v="#N/A"/>
    <e v="#N/A"/>
    <n v="72701"/>
    <s v="61"/>
    <s v="AIRBNB"/>
    <s v="Q2"/>
    <e v="#REF!"/>
    <e v="#REF!"/>
    <e v="#REF!"/>
  </r>
  <r>
    <s v="625100"/>
    <x v="6"/>
    <s v="Voyages et déplacements"/>
    <s v="AC"/>
    <n v="89.99"/>
    <d v="2025-03-10T00:00:00"/>
    <s v="ALLER ECS"/>
    <m/>
    <e v="#N/A"/>
    <e v="#N/A"/>
    <n v="65997"/>
    <s v="2025-304486054097"/>
    <s v="DB"/>
    <s v="Q1"/>
    <e v="#REF!"/>
    <e v="#REF!"/>
    <e v="#REF!"/>
  </r>
  <r>
    <s v="625100"/>
    <x v="6"/>
    <s v="Voyages et déplacements"/>
    <s v="AC"/>
    <n v="92.67"/>
    <d v="2025-10-21T00:00:00"/>
    <s v="LOGEMENT TOULOUSE 251030"/>
    <m/>
    <e v="#N/A"/>
    <e v="#N/A"/>
    <n v="89628"/>
    <s v="26"/>
    <s v="AIRBNB"/>
    <s v="Q4"/>
    <e v="#REF!"/>
    <e v="#REF!"/>
    <e v="#REF!"/>
  </r>
  <r>
    <s v="625100"/>
    <x v="6"/>
    <s v="Voyages et déplacements"/>
    <s v="AC"/>
    <n v="92.67"/>
    <d v="2025-11-14T00:00:00"/>
    <s v="AIRBNB TOULOUSE 251119"/>
    <m/>
    <e v="#N/A"/>
    <e v="#N/A"/>
    <n v="97050"/>
    <s v="1"/>
    <s v="AIRBNB"/>
    <s v="Q4"/>
    <e v="#REF!"/>
    <e v="#REF!"/>
    <e v="#REF!"/>
  </r>
  <r>
    <s v="625100"/>
    <x v="6"/>
    <s v="Voyages et déplacements"/>
    <s v="AC"/>
    <n v="94.12"/>
    <d v="2025-04-15T00:00:00"/>
    <s v="AIRB'B TOULOUSE 250417"/>
    <m/>
    <e v="#N/A"/>
    <e v="#N/A"/>
    <n v="74227"/>
    <s v="RCYNJMYEJZ"/>
    <s v="AIRBNB"/>
    <s v="Q2"/>
    <e v="#REF!"/>
    <e v="#REF!"/>
    <e v="#REF!"/>
  </r>
  <r>
    <s v="625100"/>
    <x v="6"/>
    <s v="Voyages et déplacements"/>
    <s v="AC"/>
    <n v="94.17"/>
    <d v="2025-01-13T00:00:00"/>
    <s v="AIRBNB CB - LOIC MASSEBOEUF"/>
    <m/>
    <e v="#N/A"/>
    <e v="#N/A"/>
    <n v="63998"/>
    <s v="RCHMD2AFPB"/>
    <s v="AIRBNB"/>
    <s v="Q1"/>
    <e v="#REF!"/>
    <e v="#REF!"/>
    <e v="#REF!"/>
  </r>
  <r>
    <s v="625100"/>
    <x v="6"/>
    <s v="Voyages et déplacements"/>
    <s v="AC"/>
    <n v="95"/>
    <d v="2025-08-26T00:00:00"/>
    <s v="RETOUR PARIS AP"/>
    <m/>
    <e v="#N/A"/>
    <e v="#N/A"/>
    <n v="82218"/>
    <s v="22"/>
    <s v="SNCF"/>
    <s v="Q3"/>
    <e v="#REF!"/>
    <e v="#REF!"/>
    <e v="#REF!"/>
  </r>
  <r>
    <s v="625100"/>
    <x v="6"/>
    <s v="Voyages et déplacements"/>
    <s v="AC"/>
    <n v="95"/>
    <d v="2025-09-26T00:00:00"/>
    <s v="DÉPLACEMENT ROUSSILLON"/>
    <m/>
    <e v="#N/A"/>
    <e v="#N/A"/>
    <n v="83025"/>
    <s v="39"/>
    <s v="SNCF"/>
    <s v="Q3"/>
    <e v="#REF!"/>
    <e v="#REF!"/>
    <e v="#REF!"/>
  </r>
  <r>
    <s v="625100"/>
    <x v="6"/>
    <s v="Voyages et déplacements"/>
    <s v="AC"/>
    <n v="95"/>
    <d v="2025-10-30T00:00:00"/>
    <s v="À/R ROUSSILLON"/>
    <m/>
    <e v="#N/A"/>
    <e v="#N/A"/>
    <n v="89653"/>
    <s v="36"/>
    <s v="SNCF"/>
    <s v="Q4"/>
    <e v="#REF!"/>
    <e v="#REF!"/>
    <e v="#REF!"/>
  </r>
  <r>
    <s v="625100"/>
    <x v="6"/>
    <s v="Voyages et déplacements"/>
    <s v="AC"/>
    <n v="95"/>
    <d v="2025-11-17T00:00:00"/>
    <s v="VROOM EVENT BXL RETOUR"/>
    <m/>
    <e v="#N/A"/>
    <e v="#N/A"/>
    <n v="91455"/>
    <s v="34"/>
    <s v="SNCF"/>
    <s v="Q4"/>
    <e v="#REF!"/>
    <e v="#REF!"/>
    <e v="#REF!"/>
  </r>
  <r>
    <s v="625100"/>
    <x v="6"/>
    <s v="Voyages et déplacements"/>
    <s v="AC"/>
    <n v="100.15"/>
    <d v="2025-09-25T00:00:00"/>
    <s v="NUIT POST BUSINESS BOARD"/>
    <m/>
    <e v="#N/A"/>
    <e v="#N/A"/>
    <n v="89585"/>
    <s v="5"/>
    <s v="BOOKING"/>
    <s v="Q3"/>
    <e v="#REF!"/>
    <e v="#REF!"/>
    <e v="#REF!"/>
  </r>
  <r>
    <s v="625100"/>
    <x v="6"/>
    <s v="Voyages et déplacements"/>
    <s v="AC"/>
    <n v="100.16"/>
    <d v="2025-01-07T00:00:00"/>
    <s v="AIRBNB TOULOUSE 15 JANVIER"/>
    <m/>
    <e v="#N/A"/>
    <e v="#N/A"/>
    <n v="59854"/>
    <s v="9"/>
    <s v="AIRBNB"/>
    <s v="Q1"/>
    <e v="#REF!"/>
    <e v="#REF!"/>
    <e v="#REF!"/>
  </r>
  <r>
    <s v="625100"/>
    <x v="6"/>
    <s v="Voyages et déplacements"/>
    <s v="AC"/>
    <n v="101.8"/>
    <d v="2025-12-01T00:00:00"/>
    <s v="BILLETS DE TRAIN VIENNE - TOULOUSE (MARIE &amp; SEPHORA)"/>
    <m/>
    <e v="#N/A"/>
    <e v="#N/A"/>
    <n v="91833"/>
    <s v="083167"/>
    <s v="SNCF"/>
    <s v="Q4"/>
    <e v="#REF!"/>
    <e v="#REF!"/>
    <e v="#REF!"/>
  </r>
  <r>
    <s v="625100"/>
    <x v="6"/>
    <s v="Voyages et déplacements"/>
    <s v="AC"/>
    <n v="102"/>
    <d v="2025-06-25T00:00:00"/>
    <s v="AR JOURNÉE AFTPVA"/>
    <m/>
    <e v="#N/A"/>
    <e v="#N/A"/>
    <n v="78059"/>
    <s v="37"/>
    <s v="SNCF"/>
    <s v="Q2"/>
    <e v="#REF!"/>
    <e v="#REF!"/>
    <e v="#REF!"/>
  </r>
  <r>
    <s v="625100"/>
    <x v="6"/>
    <s v="Voyages et déplacements"/>
    <s v="AC"/>
    <n v="108.55"/>
    <d v="2025-11-17T00:00:00"/>
    <s v="NUIT POST EVENT VROOM BXL"/>
    <m/>
    <e v="#N/A"/>
    <e v="#N/A"/>
    <n v="91451"/>
    <s v="32"/>
    <s v="BOOKING"/>
    <s v="Q4"/>
    <e v="#REF!"/>
    <e v="#REF!"/>
    <e v="#REF!"/>
  </r>
  <r>
    <s v="625100"/>
    <x v="6"/>
    <s v="Voyages et déplacements"/>
    <s v="AC"/>
    <n v="109"/>
    <d v="2025-03-19T00:00:00"/>
    <s v="RETOUR PARIS DEPUIS TOULOUSE / AP / VISITE HSE"/>
    <m/>
    <e v="#N/A"/>
    <e v="#N/A"/>
    <n v="67858"/>
    <s v="21"/>
    <s v="SNCF"/>
    <s v="Q1"/>
    <e v="#REF!"/>
    <e v="#REF!"/>
    <e v="#REF!"/>
  </r>
  <r>
    <s v="625100"/>
    <x v="6"/>
    <s v="Voyages et déplacements"/>
    <s v="AC"/>
    <n v="109"/>
    <d v="2025-05-06T00:00:00"/>
    <s v="TRAJET PARIS - TOULOUSE"/>
    <m/>
    <e v="#N/A"/>
    <e v="#N/A"/>
    <n v="77971"/>
    <s v="3"/>
    <s v="SNCF"/>
    <s v="Q2"/>
    <e v="#REF!"/>
    <e v="#REF!"/>
    <e v="#REF!"/>
  </r>
  <r>
    <s v="625100"/>
    <x v="6"/>
    <s v="Voyages et déplacements"/>
    <s v="AC"/>
    <n v="109"/>
    <d v="2025-05-12T00:00:00"/>
    <s v="TRAJET RETOUR TOULOUSE 2 PARIS"/>
    <m/>
    <e v="#N/A"/>
    <e v="#N/A"/>
    <n v="77973"/>
    <s v="4"/>
    <s v="SNCF"/>
    <s v="Q2"/>
    <e v="#REF!"/>
    <e v="#REF!"/>
    <e v="#REF!"/>
  </r>
  <r>
    <s v="625100"/>
    <x v="6"/>
    <s v="Voyages et déplacements"/>
    <s v="AC"/>
    <n v="109"/>
    <d v="2025-12-08T00:00:00"/>
    <s v="RETOUR TOULOUSE"/>
    <m/>
    <e v="#N/A"/>
    <e v="#N/A"/>
    <n v="93949"/>
    <s v="13"/>
    <s v="SNCF"/>
    <s v="Q4"/>
    <e v="#REF!"/>
    <e v="#REF!"/>
    <e v="#REF!"/>
  </r>
  <r>
    <s v="625100"/>
    <x v="6"/>
    <s v="Voyages et déplacements"/>
    <s v="AC"/>
    <n v="109"/>
    <d v="2025-12-10T00:00:00"/>
    <s v="ALLER TOULOUSE"/>
    <m/>
    <e v="#N/A"/>
    <e v="#N/A"/>
    <n v="93957"/>
    <s v="19"/>
    <s v="SNCF"/>
    <s v="Q4"/>
    <e v="#REF!"/>
    <e v="#REF!"/>
    <e v="#REF!"/>
  </r>
  <r>
    <s v="625100"/>
    <x v="6"/>
    <s v="Voyages et déplacements"/>
    <s v="AC"/>
    <n v="111"/>
    <d v="2025-04-09T00:00:00"/>
    <s v="DÉPLACEMENT À COLOGNE POUR CHEMSPEC"/>
    <m/>
    <e v="#N/A"/>
    <e v="#N/A"/>
    <n v="77967"/>
    <s v="1"/>
    <s v="SNCF"/>
    <s v="Q2"/>
    <e v="#REF!"/>
    <e v="#REF!"/>
    <e v="#REF!"/>
  </r>
  <r>
    <s v="625100"/>
    <x v="6"/>
    <s v="Voyages et déplacements"/>
    <s v="AC"/>
    <n v="111.45"/>
    <d v="2025-03-28T00:00:00"/>
    <s v="AIR BNB LYON 14/04 LOIC"/>
    <m/>
    <e v="#N/A"/>
    <e v="#N/A"/>
    <n v="71291"/>
    <s v="RCKZX44X8Z"/>
    <s v="AIRBNB"/>
    <s v="Q1"/>
    <e v="#REF!"/>
    <e v="#REF!"/>
    <e v="#REF!"/>
  </r>
  <r>
    <s v="625100"/>
    <x v="6"/>
    <s v="Voyages et déplacements"/>
    <s v="AC"/>
    <n v="113"/>
    <d v="2025-04-28T00:00:00"/>
    <s v="PARIS LYON 250428"/>
    <m/>
    <e v="#N/A"/>
    <e v="#N/A"/>
    <n v="73739"/>
    <s v="ZLACRB"/>
    <s v="SNCF"/>
    <s v="Q2"/>
    <e v="#REF!"/>
    <e v="#REF!"/>
    <e v="#REF!"/>
  </r>
  <r>
    <s v="625100"/>
    <x v="6"/>
    <s v="Voyages et déplacements"/>
    <s v="AC"/>
    <n v="116"/>
    <d v="2025-01-14T00:00:00"/>
    <s v="DÉPLACEMENT MARIO"/>
    <m/>
    <e v="#N/A"/>
    <e v="#N/A"/>
    <n v="61258"/>
    <s v="229"/>
    <s v="SNCF"/>
    <s v="Q1"/>
    <e v="#REF!"/>
    <e v="#REF!"/>
    <e v="#REF!"/>
  </r>
  <r>
    <s v="625100"/>
    <x v="6"/>
    <s v="Voyages et déplacements"/>
    <s v="AC"/>
    <n v="116"/>
    <d v="2025-01-21T00:00:00"/>
    <s v="AR PARIS VISITE RENAULT"/>
    <m/>
    <e v="#N/A"/>
    <e v="#N/A"/>
    <n v="61293"/>
    <s v="51"/>
    <s v="SNCF"/>
    <s v="Q1"/>
    <e v="#REF!"/>
    <e v="#REF!"/>
    <e v="#REF!"/>
  </r>
  <r>
    <s v="625100"/>
    <x v="6"/>
    <s v="Voyages et déplacements"/>
    <s v="AC"/>
    <n v="116"/>
    <d v="2025-02-12T00:00:00"/>
    <s v="AR BOURG PARIS RDV HC"/>
    <m/>
    <e v="#N/A"/>
    <e v="#N/A"/>
    <n v="61462"/>
    <s v="118"/>
    <s v="SNCF"/>
    <s v="Q1"/>
    <e v="#REF!"/>
    <e v="#REF!"/>
    <e v="#REF!"/>
  </r>
  <r>
    <s v="625100"/>
    <x v="6"/>
    <s v="Voyages et déplacements"/>
    <s v="AC"/>
    <n v="116"/>
    <d v="2025-05-12T00:00:00"/>
    <s v="ALLER RDV SÉBASTIEN PERRET"/>
    <m/>
    <e v="#N/A"/>
    <e v="#N/A"/>
    <n v="77975"/>
    <s v="5"/>
    <s v="SNCF"/>
    <s v="Q2"/>
    <e v="#REF!"/>
    <e v="#REF!"/>
    <e v="#REF!"/>
  </r>
  <r>
    <s v="625100"/>
    <x v="6"/>
    <s v="Voyages et déplacements"/>
    <s v="AC"/>
    <n v="116"/>
    <d v="2025-10-05T00:00:00"/>
    <s v="AR VISITE COH + CODIR"/>
    <m/>
    <e v="#N/A"/>
    <e v="#N/A"/>
    <n v="91390"/>
    <s v="6"/>
    <s v="SNCF"/>
    <s v="Q4"/>
    <e v="#REF!"/>
    <e v="#REF!"/>
    <e v="#REF!"/>
  </r>
  <r>
    <s v="625100"/>
    <x v="6"/>
    <s v="Voyages et déplacements"/>
    <s v="AC"/>
    <n v="116"/>
    <d v="2025-10-10T00:00:00"/>
    <s v="AR PARIS BUSINESS BOARD + KINGPINS"/>
    <m/>
    <e v="#N/A"/>
    <e v="#N/A"/>
    <n v="89604"/>
    <s v="15"/>
    <s v="SNCF"/>
    <s v="Q4"/>
    <e v="#REF!"/>
    <e v="#REF!"/>
    <e v="#REF!"/>
  </r>
  <r>
    <s v="625100"/>
    <x v="6"/>
    <s v="Voyages et déplacements"/>
    <s v="AC"/>
    <n v="116"/>
    <d v="2025-10-29T00:00:00"/>
    <s v="DÉPLACEMENT TOULOUSE NOVEMBRE"/>
    <m/>
    <e v="#N/A"/>
    <e v="#N/A"/>
    <n v="91396"/>
    <s v="9"/>
    <s v="SNCF"/>
    <s v="Q4"/>
    <e v="#REF!"/>
    <e v="#REF!"/>
    <e v="#REF!"/>
  </r>
  <r>
    <s v="625100"/>
    <x v="6"/>
    <s v="Voyages et déplacements"/>
    <s v="AC"/>
    <n v="116"/>
    <d v="2025-11-01T00:00:00"/>
    <s v="AR CODIR"/>
    <m/>
    <e v="#N/A"/>
    <e v="#N/A"/>
    <n v="91401"/>
    <s v="11"/>
    <s v="SNCF"/>
    <s v="Q4"/>
    <e v="#REF!"/>
    <e v="#REF!"/>
    <e v="#REF!"/>
  </r>
  <r>
    <s v="625100"/>
    <x v="6"/>
    <s v="Voyages et déplacements"/>
    <s v="AC"/>
    <n v="116"/>
    <d v="2025-11-28T00:00:00"/>
    <s v="AR 10 ANS PILI"/>
    <m/>
    <e v="#N/A"/>
    <e v="#N/A"/>
    <n v="91482"/>
    <s v="46"/>
    <s v="SNCF"/>
    <s v="Q4"/>
    <e v="#REF!"/>
    <e v="#REF!"/>
    <e v="#REF!"/>
  </r>
  <r>
    <s v="625100"/>
    <x v="6"/>
    <s v="Voyages et déplacements"/>
    <s v="AC"/>
    <n v="116"/>
    <d v="2025-11-28T00:00:00"/>
    <s v="AR CONF DENIM FUTURES"/>
    <m/>
    <e v="#N/A"/>
    <e v="#N/A"/>
    <n v="91484"/>
    <s v="47"/>
    <s v="SNCF"/>
    <s v="Q4"/>
    <e v="#REF!"/>
    <e v="#REF!"/>
    <e v="#REF!"/>
  </r>
  <r>
    <s v="625100"/>
    <x v="6"/>
    <s v="Voyages et déplacements"/>
    <s v="AC"/>
    <n v="116.5"/>
    <d v="2025-03-11T00:00:00"/>
    <s v="RETOUR ECS EN PASSANT PAR LILLE"/>
    <m/>
    <e v="#N/A"/>
    <e v="#N/A"/>
    <n v="67842"/>
    <s v="15"/>
    <s v="SNCF"/>
    <s v="Q1"/>
    <e v="#REF!"/>
    <e v="#REF!"/>
    <e v="#REF!"/>
  </r>
  <r>
    <s v="625100"/>
    <x v="6"/>
    <s v="Voyages et déplacements"/>
    <s v="AC"/>
    <n v="116.97"/>
    <d v="2025-04-15T00:00:00"/>
    <s v="VOL JBL PYB NYC &gt; TORONTO"/>
    <m/>
    <e v="#N/A"/>
    <e v="#N/A"/>
    <n v="71321"/>
    <s v="IVKWQA"/>
    <s v="American Airlines"/>
    <s v="Q2"/>
    <e v="#REF!"/>
    <e v="#REF!"/>
    <e v="#REF!"/>
  </r>
  <r>
    <s v="625100"/>
    <x v="6"/>
    <s v="Voyages et déplacements"/>
    <s v="AC"/>
    <n v="116.97"/>
    <d v="2025-04-15T00:00:00"/>
    <s v="VOL JBL PYB NYC &gt; TORONTO"/>
    <m/>
    <e v="#N/A"/>
    <e v="#N/A"/>
    <n v="71323"/>
    <s v="IVKWQA2"/>
    <s v="American Airlines"/>
    <s v="Q2"/>
    <e v="#REF!"/>
    <e v="#REF!"/>
    <e v="#REF!"/>
  </r>
  <r>
    <s v="625100"/>
    <x v="6"/>
    <s v="Voyages et déplacements"/>
    <s v="AC"/>
    <n v="122"/>
    <d v="2025-04-04T00:00:00"/>
    <s v="ALLER RETOUR CODIR"/>
    <m/>
    <e v="#N/A"/>
    <e v="#N/A"/>
    <n v="71312"/>
    <s v="XLEF7"/>
    <s v="SNCF"/>
    <s v="Q2"/>
    <e v="#REF!"/>
    <e v="#REF!"/>
    <e v="#REF!"/>
  </r>
  <r>
    <s v="625100"/>
    <x v="6"/>
    <s v="Voyages et déplacements"/>
    <s v="AC"/>
    <n v="122"/>
    <d v="2025-09-02T00:00:00"/>
    <s v="AR CODIR"/>
    <m/>
    <e v="#N/A"/>
    <e v="#N/A"/>
    <n v="82957"/>
    <s v="4"/>
    <s v="SNCF"/>
    <s v="Q3"/>
    <e v="#REF!"/>
    <e v="#REF!"/>
    <e v="#REF!"/>
  </r>
  <r>
    <s v="625100"/>
    <x v="6"/>
    <s v="Voyages et déplacements"/>
    <s v="AC"/>
    <n v="122.63"/>
    <d v="2025-01-01T00:00:00"/>
    <s v="Frais AVIS"/>
    <m/>
    <e v="#N/A"/>
    <e v="#N/A"/>
    <n v="74889"/>
    <m/>
    <s v="AVIS"/>
    <s v="Q1"/>
    <e v="#REF!"/>
    <e v="#REF!"/>
    <e v="#REF!"/>
  </r>
  <r>
    <s v="625100"/>
    <x v="6"/>
    <s v="Voyages et déplacements"/>
    <s v="AC"/>
    <n v="124"/>
    <d v="2025-01-29T00:00:00"/>
    <s v="VOYAGE LYON LOIC MASSEBOEUF"/>
    <m/>
    <e v="#N/A"/>
    <e v="#N/A"/>
    <n v="64023"/>
    <s v="XX8E88"/>
    <s v="SNCF"/>
    <s v="Q1"/>
    <e v="#REF!"/>
    <e v="#REF!"/>
    <e v="#REF!"/>
  </r>
  <r>
    <s v="625100"/>
    <x v="6"/>
    <s v="Voyages et déplacements"/>
    <s v="AC"/>
    <n v="124"/>
    <d v="2025-12-08T00:00:00"/>
    <s v="AR CHEMDAY"/>
    <m/>
    <e v="#N/A"/>
    <e v="#N/A"/>
    <n v="93953"/>
    <s v="15"/>
    <s v="SNCF"/>
    <s v="Q4"/>
    <e v="#REF!"/>
    <e v="#REF!"/>
    <e v="#REF!"/>
  </r>
  <r>
    <s v="625100"/>
    <x v="6"/>
    <s v="Voyages et déplacements"/>
    <s v="AC"/>
    <n v="128"/>
    <d v="2025-09-04T00:00:00"/>
    <s v="DÉPLACEMENT PARIS 9 SEPT"/>
    <m/>
    <e v="#N/A"/>
    <e v="#N/A"/>
    <n v="82961"/>
    <s v="6"/>
    <s v="SNCF"/>
    <s v="Q3"/>
    <e v="#REF!"/>
    <e v="#REF!"/>
    <e v="#REF!"/>
  </r>
  <r>
    <s v="625100"/>
    <x v="6"/>
    <s v="Voyages et déplacements"/>
    <s v="AC"/>
    <n v="128"/>
    <d v="2025-10-08T00:00:00"/>
    <s v="DÉPLACEMENT PARIS"/>
    <m/>
    <e v="#N/A"/>
    <e v="#N/A"/>
    <n v="89598"/>
    <s v="12"/>
    <s v="SNCF"/>
    <s v="Q4"/>
    <e v="#REF!"/>
    <e v="#REF!"/>
    <e v="#REF!"/>
  </r>
  <r>
    <s v="625100"/>
    <x v="6"/>
    <s v="Voyages et déplacements"/>
    <s v="AC"/>
    <n v="128"/>
    <d v="2025-11-17T00:00:00"/>
    <s v="VROOM EVENT BXL ALLER"/>
    <m/>
    <e v="#N/A"/>
    <e v="#N/A"/>
    <n v="91448"/>
    <s v="31"/>
    <s v="SNCF"/>
    <s v="Q4"/>
    <e v="#REF!"/>
    <e v="#REF!"/>
    <e v="#REF!"/>
  </r>
  <r>
    <s v="625100"/>
    <x v="6"/>
    <s v="Voyages et déplacements"/>
    <s v="AC"/>
    <n v="128.93"/>
    <d v="2025-10-24T00:00:00"/>
    <s v="ALLER TRIALS BERTO"/>
    <m/>
    <e v="#N/A"/>
    <e v="#N/A"/>
    <n v="91392"/>
    <s v="7"/>
    <s v="AIRLINES"/>
    <s v="Q4"/>
    <e v="#REF!"/>
    <e v="#REF!"/>
    <e v="#REF!"/>
  </r>
  <r>
    <s v="625100"/>
    <x v="6"/>
    <s v="Voyages et déplacements"/>
    <s v="AC"/>
    <n v="134"/>
    <d v="2025-04-10T00:00:00"/>
    <s v="ALLER CHEMSPEC"/>
    <m/>
    <e v="#N/A"/>
    <e v="#N/A"/>
    <n v="77969"/>
    <s v="2"/>
    <s v="SNCF"/>
    <s v="Q2"/>
    <e v="#REF!"/>
    <e v="#REF!"/>
    <e v="#REF!"/>
  </r>
  <r>
    <s v="625100"/>
    <x v="6"/>
    <s v="Voyages et déplacements"/>
    <s v="AC"/>
    <n v="144.30000000000001"/>
    <d v="2025-09-09T00:00:00"/>
    <s v="AIRBNB * HMFP59JZWY"/>
    <m/>
    <e v="#N/A"/>
    <e v="#N/A"/>
    <n v="82973"/>
    <s v="15"/>
    <s v="AIRBNB"/>
    <s v="Q3"/>
    <e v="#REF!"/>
    <e v="#REF!"/>
    <e v="#REF!"/>
  </r>
  <r>
    <s v="625100"/>
    <x v="6"/>
    <s v="Voyages et déplacements"/>
    <s v="AC"/>
    <n v="145"/>
    <d v="2025-12-31T00:00:00"/>
    <s v="Billet train Michel Manach Board"/>
    <s v="Non"/>
    <s v="Non"/>
    <e v="#N/A"/>
    <n v="97669"/>
    <m/>
    <s v="Michel Manach"/>
    <s v="Q4"/>
    <e v="#REF!"/>
    <e v="#REF!"/>
    <e v="#REF!"/>
  </r>
  <r>
    <s v="625100"/>
    <x v="6"/>
    <s v="Voyages et déplacements"/>
    <s v="AC"/>
    <n v="147"/>
    <d v="2025-02-18T00:00:00"/>
    <s v="PARIS LYON 250305"/>
    <m/>
    <e v="#N/A"/>
    <e v="#N/A"/>
    <n v="64548"/>
    <s v="4"/>
    <s v="SNCF"/>
    <s v="Q1"/>
    <e v="#REF!"/>
    <e v="#REF!"/>
    <e v="#REF!"/>
  </r>
  <r>
    <s v="625100"/>
    <x v="6"/>
    <s v="Voyages et déplacements"/>
    <s v="AC"/>
    <n v="147.69"/>
    <d v="2025-10-29T00:00:00"/>
    <s v="DÉPLACEMENT TOULOUSE NOV"/>
    <m/>
    <e v="#N/A"/>
    <e v="#N/A"/>
    <n v="89649"/>
    <s v="34"/>
    <s v="AIRBNB"/>
    <s v="Q4"/>
    <e v="#REF!"/>
    <e v="#REF!"/>
    <e v="#REF!"/>
  </r>
  <r>
    <s v="625100"/>
    <x v="6"/>
    <s v="Voyages et déplacements"/>
    <s v="AC"/>
    <n v="149"/>
    <d v="2025-02-01T00:00:00"/>
    <s v="DÉPLACEMENT ROUSSILLON AP"/>
    <m/>
    <e v="#N/A"/>
    <e v="#N/A"/>
    <n v="61390"/>
    <s v="89"/>
    <s v="SNCF"/>
    <s v="Q1"/>
    <e v="#REF!"/>
    <e v="#REF!"/>
    <e v="#REF!"/>
  </r>
  <r>
    <s v="625100"/>
    <x v="6"/>
    <s v="Voyages et déplacements"/>
    <s v="AC"/>
    <n v="152.15"/>
    <d v="2025-09-16T00:00:00"/>
    <s v="AIRBNB * HMMM3KXSXY"/>
    <m/>
    <e v="#N/A"/>
    <e v="#N/A"/>
    <n v="83003"/>
    <s v="RC2J45CETE"/>
    <s v="AIRBNB"/>
    <s v="Q3"/>
    <e v="#REF!"/>
    <e v="#REF!"/>
    <e v="#REF!"/>
  </r>
  <r>
    <s v="625100"/>
    <x v="6"/>
    <s v="Voyages et déplacements"/>
    <s v="AC"/>
    <n v="153"/>
    <d v="2025-11-19T00:00:00"/>
    <s v="RESTAURANT CB - MACEO"/>
    <m/>
    <s v="Non"/>
    <e v="#N/A"/>
    <n v="91761"/>
    <m/>
    <s v="DIVERS"/>
    <s v="Q4"/>
    <e v="#REF!"/>
    <e v="#REF!"/>
    <e v="#REF!"/>
  </r>
  <r>
    <s v="625100"/>
    <x v="6"/>
    <s v="Voyages et déplacements"/>
    <s v="AC"/>
    <n v="156"/>
    <d v="2025-02-18T00:00:00"/>
    <s v="PARIS LYON 250225"/>
    <m/>
    <e v="#N/A"/>
    <e v="#N/A"/>
    <n v="64550"/>
    <s v="5"/>
    <s v="SNCF"/>
    <s v="Q1"/>
    <e v="#REF!"/>
    <e v="#REF!"/>
    <e v="#REF!"/>
  </r>
  <r>
    <s v="625100"/>
    <x v="6"/>
    <s v="Voyages et déplacements"/>
    <s v="AC"/>
    <n v="159"/>
    <d v="2025-02-14T00:00:00"/>
    <s v="PARIS TOULOUSE 250219-20"/>
    <m/>
    <e v="#N/A"/>
    <e v="#N/A"/>
    <n v="64544"/>
    <s v="2"/>
    <s v="SNCF"/>
    <s v="Q1"/>
    <e v="#REF!"/>
    <e v="#REF!"/>
    <e v="#REF!"/>
  </r>
  <r>
    <s v="625100"/>
    <x v="6"/>
    <s v="Voyages et déplacements"/>
    <s v="AC"/>
    <n v="160"/>
    <d v="2025-04-15T00:00:00"/>
    <s v="VOAYGE ALLER RETOUR 14/04/2025 - LOIC"/>
    <m/>
    <e v="#N/A"/>
    <e v="#N/A"/>
    <n v="71325"/>
    <s v="SNCFPARISLYON"/>
    <s v="SNCF"/>
    <s v="Q2"/>
    <e v="#REF!"/>
    <e v="#REF!"/>
    <e v="#REF!"/>
  </r>
  <r>
    <s v="625100"/>
    <x v="6"/>
    <s v="Voyages et déplacements"/>
    <s v="AC"/>
    <n v="171.22"/>
    <d v="2025-09-29T00:00:00"/>
    <s v="VOL RETOUR AP VIENNE TO PARIS AGREEMENT VII BIOTIKA"/>
    <m/>
    <e v="#N/A"/>
    <e v="#N/A"/>
    <n v="83027"/>
    <s v="225004512567"/>
    <s v="AIRLINES"/>
    <s v="Q3"/>
    <e v="#REF!"/>
    <e v="#REF!"/>
    <e v="#REF!"/>
  </r>
  <r>
    <s v="625100"/>
    <x v="6"/>
    <s v="Voyages et déplacements"/>
    <s v="AC"/>
    <n v="172"/>
    <d v="2025-10-28T00:00:00"/>
    <s v="À/R ROUSSILLON"/>
    <m/>
    <e v="#N/A"/>
    <e v="#N/A"/>
    <n v="89645"/>
    <s v="32"/>
    <s v="SNCF"/>
    <s v="Q4"/>
    <e v="#REF!"/>
    <e v="#REF!"/>
    <e v="#REF!"/>
  </r>
  <r>
    <s v="625100"/>
    <x v="6"/>
    <s v="Voyages et déplacements"/>
    <s v="AC"/>
    <n v="174"/>
    <d v="2025-01-08T00:00:00"/>
    <s v="TRAIN MARS PAULINE -KB"/>
    <m/>
    <e v="#N/A"/>
    <e v="#N/A"/>
    <n v="59871"/>
    <s v="15"/>
    <s v="SNCF"/>
    <s v="Q1"/>
    <e v="#REF!"/>
    <e v="#REF!"/>
    <e v="#REF!"/>
  </r>
  <r>
    <s v="625100"/>
    <x v="6"/>
    <s v="Voyages et déplacements"/>
    <s v="AC"/>
    <n v="176"/>
    <d v="2025-01-23T00:00:00"/>
    <s v="PARIS-LYON 250128"/>
    <m/>
    <e v="#N/A"/>
    <e v="#N/A"/>
    <n v="61304"/>
    <s v="56"/>
    <s v="SNCF"/>
    <s v="Q1"/>
    <e v="#REF!"/>
    <e v="#REF!"/>
    <e v="#REF!"/>
  </r>
  <r>
    <s v="625100"/>
    <x v="6"/>
    <s v="Voyages et déplacements"/>
    <s v="AC"/>
    <n v="176"/>
    <d v="2025-02-12T00:00:00"/>
    <s v="A/R PARIS - LYON - ATTENTION BILLET RETOUR A ÉTÉ ANNULÉ"/>
    <m/>
    <e v="#N/A"/>
    <e v="#N/A"/>
    <n v="61479"/>
    <s v="125"/>
    <s v="SNCF"/>
    <s v="Q1"/>
    <e v="#REF!"/>
    <e v="#REF!"/>
    <e v="#REF!"/>
  </r>
  <r>
    <s v="625100"/>
    <x v="6"/>
    <s v="Voyages et déplacements"/>
    <s v="AC"/>
    <n v="176"/>
    <d v="2025-05-22T00:00:00"/>
    <s v="A/R PARIS - LYON // AP DÉPLACEMENT À ROUSSILLO"/>
    <m/>
    <e v="#N/A"/>
    <e v="#N/A"/>
    <n v="77979"/>
    <s v="7"/>
    <s v="SNCF"/>
    <s v="Q2"/>
    <e v="#REF!"/>
    <e v="#REF!"/>
    <e v="#REF!"/>
  </r>
  <r>
    <s v="625100"/>
    <x v="6"/>
    <s v="Voyages et déplacements"/>
    <s v="AC"/>
    <n v="176"/>
    <d v="2025-05-26T00:00:00"/>
    <s v="PARIS LYON 250526"/>
    <m/>
    <e v="#N/A"/>
    <e v="#N/A"/>
    <n v="77981"/>
    <s v="8"/>
    <s v="SNCF"/>
    <s v="Q2"/>
    <e v="#REF!"/>
    <e v="#REF!"/>
    <e v="#REF!"/>
  </r>
  <r>
    <s v="625100"/>
    <x v="6"/>
    <s v="Voyages et déplacements"/>
    <s v="AC"/>
    <n v="176"/>
    <d v="2025-09-14T00:00:00"/>
    <s v="A/R PARIS - LYON"/>
    <m/>
    <e v="#N/A"/>
    <e v="#N/A"/>
    <n v="82990"/>
    <s v="24"/>
    <s v="SNCF"/>
    <s v="Q3"/>
    <e v="#REF!"/>
    <e v="#REF!"/>
    <e v="#REF!"/>
  </r>
  <r>
    <s v="625100"/>
    <x v="6"/>
    <s v="Voyages et déplacements"/>
    <s v="AC"/>
    <n v="176"/>
    <d v="2025-10-20T00:00:00"/>
    <s v="PARIS LYON 251024"/>
    <m/>
    <e v="#N/A"/>
    <e v="#N/A"/>
    <n v="89624"/>
    <s v="24"/>
    <s v="SNCF"/>
    <s v="Q4"/>
    <e v="#REF!"/>
    <e v="#REF!"/>
    <e v="#REF!"/>
  </r>
  <r>
    <s v="625100"/>
    <x v="6"/>
    <s v="Voyages et déplacements"/>
    <s v="AC"/>
    <n v="181.54"/>
    <d v="2025-09-17T00:00:00"/>
    <s v="ALLER BIOTIKA AP"/>
    <m/>
    <s v="Non"/>
    <e v="#N/A"/>
    <n v="83010"/>
    <s v="32"/>
    <s v="DIVERS"/>
    <s v="Q3"/>
    <e v="#REF!"/>
    <e v="#REF!"/>
    <e v="#REF!"/>
  </r>
  <r>
    <s v="625100"/>
    <x v="6"/>
    <s v="Voyages et déplacements"/>
    <s v="AC"/>
    <n v="181.54"/>
    <d v="2025-09-17T00:00:00"/>
    <s v="BIOTIKA AGREEMENT VI - VOL ALLER EMILIE"/>
    <m/>
    <e v="#N/A"/>
    <e v="#N/A"/>
    <n v="83012"/>
    <s v="225004331685"/>
    <s v="AIRLINES"/>
    <s v="Q3"/>
    <e v="#REF!"/>
    <e v="#REF!"/>
    <e v="#REF!"/>
  </r>
  <r>
    <s v="625100"/>
    <x v="6"/>
    <s v="Voyages et déplacements"/>
    <s v="AC"/>
    <n v="182.93"/>
    <d v="2025-02-14T00:00:00"/>
    <s v="VOYAGE À TOULOUSE"/>
    <m/>
    <e v="#N/A"/>
    <e v="#N/A"/>
    <n v="64546"/>
    <s v="3"/>
    <s v="AIRBNB"/>
    <s v="Q1"/>
    <e v="#REF!"/>
    <e v="#REF!"/>
    <e v="#REF!"/>
  </r>
  <r>
    <s v="625100"/>
    <x v="6"/>
    <s v="Voyages et déplacements"/>
    <s v="AC"/>
    <n v="186"/>
    <d v="2025-05-17T00:00:00"/>
    <s v="PARIS TOULOUSE"/>
    <m/>
    <e v="#N/A"/>
    <e v="#N/A"/>
    <n v="77977"/>
    <s v="6"/>
    <s v="SNCF"/>
    <s v="Q2"/>
    <e v="#REF!"/>
    <e v="#REF!"/>
    <e v="#REF!"/>
  </r>
  <r>
    <s v="625100"/>
    <x v="6"/>
    <s v="Voyages et déplacements"/>
    <s v="AC"/>
    <n v="187.65"/>
    <d v="2025-12-02T00:00:00"/>
    <s v="DÉPLACEMENT TOULOUSE"/>
    <m/>
    <e v="#N/A"/>
    <e v="#N/A"/>
    <n v="95134"/>
    <s v="2"/>
    <s v="AIRBNB"/>
    <s v="Q4"/>
    <e v="#REF!"/>
    <e v="#REF!"/>
    <e v="#REF!"/>
  </r>
  <r>
    <s v="625100"/>
    <x v="6"/>
    <s v="Voyages et déplacements"/>
    <s v="AC"/>
    <n v="188"/>
    <d v="2025-11-14T00:00:00"/>
    <s v="PARIS-TOULOUSE 251118"/>
    <m/>
    <e v="#N/A"/>
    <e v="#N/A"/>
    <n v="91441"/>
    <s v="28"/>
    <s v="SNCF"/>
    <s v="Q4"/>
    <e v="#REF!"/>
    <e v="#REF!"/>
    <e v="#REF!"/>
  </r>
  <r>
    <s v="625100"/>
    <x v="6"/>
    <s v="Voyages et déplacements"/>
    <s v="AC"/>
    <n v="191"/>
    <d v="2025-12-02T00:00:00"/>
    <s v="PARIS TOULOUSE 2451211"/>
    <m/>
    <e v="#N/A"/>
    <e v="#N/A"/>
    <n v="93924"/>
    <s v="3"/>
    <s v="SNCF"/>
    <s v="Q4"/>
    <e v="#REF!"/>
    <e v="#REF!"/>
    <e v="#REF!"/>
  </r>
  <r>
    <s v="625100"/>
    <x v="6"/>
    <s v="Voyages et déplacements"/>
    <s v="AC"/>
    <n v="194"/>
    <d v="2025-10-21T00:00:00"/>
    <s v="PARIS TOULOUSE 251029"/>
    <m/>
    <e v="#N/A"/>
    <e v="#N/A"/>
    <n v="89626"/>
    <s v="25"/>
    <s v="SNCF"/>
    <s v="Q4"/>
    <e v="#REF!"/>
    <e v="#REF!"/>
    <e v="#REF!"/>
  </r>
  <r>
    <s v="625100"/>
    <x v="6"/>
    <s v="Voyages et déplacements"/>
    <s v="AC"/>
    <n v="194.2"/>
    <d v="2025-06-16T00:00:00"/>
    <s v="ACHAT BILLET TRAIN + LOGEMENT"/>
    <m/>
    <e v="#N/A"/>
    <e v="#N/A"/>
    <n v="78032"/>
    <s v="26"/>
    <s v="SNCF"/>
    <s v="Q2"/>
    <e v="#REF!"/>
    <e v="#REF!"/>
    <e v="#REF!"/>
  </r>
  <r>
    <s v="625100"/>
    <x v="6"/>
    <s v="Voyages et déplacements"/>
    <s v="AC"/>
    <n v="198"/>
    <d v="2025-02-21T00:00:00"/>
    <s v="PARIS BXL"/>
    <m/>
    <s v="Non"/>
    <e v="#N/A"/>
    <n v="64552"/>
    <s v="6"/>
    <s v="DIVERS"/>
    <s v="Q1"/>
    <e v="#REF!"/>
    <e v="#REF!"/>
    <e v="#REF!"/>
  </r>
  <r>
    <s v="625100"/>
    <x v="6"/>
    <s v="Voyages et déplacements"/>
    <s v="AC"/>
    <n v="199.9"/>
    <d v="2025-09-26T00:00:00"/>
    <s v="PARIS ROUSSILLON 29/09/2025"/>
    <m/>
    <e v="#N/A"/>
    <e v="#N/A"/>
    <n v="91386"/>
    <s v="4"/>
    <s v="SNCF"/>
    <s v="Q3"/>
    <e v="#REF!"/>
    <e v="#REF!"/>
    <e v="#REF!"/>
  </r>
  <r>
    <s v="625100"/>
    <x v="6"/>
    <s v="Voyages et déplacements"/>
    <s v="AC"/>
    <n v="211.5"/>
    <d v="2025-04-09T00:00:00"/>
    <s v="PARIS TOULOUSE 250417"/>
    <m/>
    <e v="#N/A"/>
    <e v="#N/A"/>
    <n v="69764"/>
    <s v="2UC8H3, PRDLZM"/>
    <s v="SNCF"/>
    <s v="Q2"/>
    <e v="#REF!"/>
    <e v="#REF!"/>
    <e v="#REF!"/>
  </r>
  <r>
    <s v="625100"/>
    <x v="6"/>
    <s v="Voyages et déplacements"/>
    <s v="AC"/>
    <n v="212.8"/>
    <d v="2025-05-28T00:00:00"/>
    <s v="DÉPLACEMENT CHEMSPEC"/>
    <m/>
    <e v="#N/A"/>
    <e v="#N/A"/>
    <n v="77983"/>
    <s v="9"/>
    <s v="EUROPCAR"/>
    <s v="Q2"/>
    <e v="#REF!"/>
    <e v="#REF!"/>
    <e v="#REF!"/>
  </r>
  <r>
    <s v="625100"/>
    <x v="6"/>
    <s v="Voyages et déplacements"/>
    <s v="AC"/>
    <n v="215.2"/>
    <d v="2025-03-17T00:00:00"/>
    <s v="BILLETS ALLER-RETOUR POUR ROUSSILLON, VISITE HSE"/>
    <m/>
    <e v="#N/A"/>
    <e v="#N/A"/>
    <n v="65986"/>
    <s v="54"/>
    <s v="SNCF"/>
    <s v="Q1"/>
    <e v="#REF!"/>
    <e v="#REF!"/>
    <e v="#REF!"/>
  </r>
  <r>
    <s v="625100"/>
    <x v="6"/>
    <s v="Voyages et déplacements"/>
    <s v="AC"/>
    <n v="239.8"/>
    <d v="2025-02-05T00:00:00"/>
    <s v="DÉPLACEMENT À ROUSSILLON POUR BENOÎT ET ANTHONY POUR KEENY"/>
    <m/>
    <e v="#N/A"/>
    <e v="#N/A"/>
    <n v="61416"/>
    <s v="101"/>
    <s v="SNCF"/>
    <s v="Q1"/>
    <e v="#REF!"/>
    <e v="#REF!"/>
    <e v="#REF!"/>
  </r>
  <r>
    <s v="625100"/>
    <x v="6"/>
    <s v="Voyages et déplacements"/>
    <s v="AC"/>
    <n v="246"/>
    <d v="2025-10-23T00:00:00"/>
    <s v="PARIS - FRANCFORT 251029"/>
    <m/>
    <e v="#N/A"/>
    <e v="#N/A"/>
    <n v="89636"/>
    <s v="29"/>
    <s v="SNCF"/>
    <s v="Q4"/>
    <e v="#REF!"/>
    <e v="#REF!"/>
    <e v="#REF!"/>
  </r>
  <r>
    <s v="625100"/>
    <x v="6"/>
    <s v="Voyages et déplacements"/>
    <s v="AC"/>
    <n v="258"/>
    <d v="2025-09-09T00:00:00"/>
    <s v="PARIS-COLOGNE POUR LE RENEWABLE CHEMICALS"/>
    <m/>
    <e v="#N/A"/>
    <e v="#N/A"/>
    <n v="82980"/>
    <s v="19"/>
    <s v="SNCF"/>
    <s v="Q3"/>
    <e v="#REF!"/>
    <e v="#REF!"/>
    <e v="#REF!"/>
  </r>
  <r>
    <s v="625100"/>
    <x v="6"/>
    <s v="Voyages et déplacements"/>
    <s v="AC"/>
    <n v="266.8"/>
    <d v="2025-11-07T00:00:00"/>
    <s v="NUITS ASG ET PYB À PADOUE - TRIALS CHEZ BERTO"/>
    <m/>
    <e v="#N/A"/>
    <e v="#N/A"/>
    <n v="91431"/>
    <s v="24"/>
    <s v="BOOKING"/>
    <s v="Q4"/>
    <e v="#REF!"/>
    <e v="#REF!"/>
    <e v="#REF!"/>
  </r>
  <r>
    <s v="625100"/>
    <x v="6"/>
    <s v="Voyages et déplacements"/>
    <s v="AC"/>
    <n v="290"/>
    <d v="2025-10-28T00:00:00"/>
    <s v="RENCONTRE PILI - BIOTIKA À FRANCFORT"/>
    <m/>
    <e v="#N/A"/>
    <e v="#N/A"/>
    <n v="89647"/>
    <s v="33"/>
    <s v="SNCF"/>
    <s v="Q4"/>
    <e v="#REF!"/>
    <e v="#REF!"/>
    <e v="#REF!"/>
  </r>
  <r>
    <s v="625100"/>
    <x v="6"/>
    <s v="Voyages et déplacements"/>
    <s v="AC"/>
    <n v="294.95999999999998"/>
    <d v="2025-10-24T00:00:00"/>
    <s v="RETOUR TRIALS BERTO ITALIE"/>
    <m/>
    <e v="#N/A"/>
    <e v="#N/A"/>
    <n v="91394"/>
    <s v="8"/>
    <s v="AIRLINES"/>
    <s v="Q4"/>
    <e v="#REF!"/>
    <e v="#REF!"/>
    <e v="#REF!"/>
  </r>
  <r>
    <s v="625100"/>
    <x v="6"/>
    <s v="Voyages et déplacements"/>
    <s v="AC"/>
    <n v="298"/>
    <d v="2025-02-06T00:00:00"/>
    <s v="RETOUR RDV HC AMSTERDAM PARIS"/>
    <m/>
    <s v="Non"/>
    <e v="#N/A"/>
    <n v="61423"/>
    <s v="104"/>
    <s v="DIVERS"/>
    <s v="Q1"/>
    <e v="#REF!"/>
    <e v="#REF!"/>
    <e v="#REF!"/>
  </r>
  <r>
    <s v="625100"/>
    <x v="6"/>
    <s v="Voyages et déplacements"/>
    <s v="AC"/>
    <n v="299"/>
    <d v="2025-12-31T00:00:00"/>
    <s v="Divers billets SNCF JERBLA"/>
    <m/>
    <e v="#N/A"/>
    <e v="#N/A"/>
    <n v="94165"/>
    <m/>
    <s v="SNCF"/>
    <s v="Q4"/>
    <e v="#REF!"/>
    <e v="#REF!"/>
    <e v="#REF!"/>
  </r>
  <r>
    <s v="625100"/>
    <x v="6"/>
    <s v="Voyages et déplacements"/>
    <s v="AC"/>
    <n v="303.47000000000003"/>
    <d v="2025-12-08T00:00:00"/>
    <s v="AIRBNB TOULOUSE PS JBL/API/GBW"/>
    <m/>
    <e v="#N/A"/>
    <e v="#N/A"/>
    <n v="97054"/>
    <s v="3"/>
    <s v="AIRBNB"/>
    <s v="Q4"/>
    <e v="#REF!"/>
    <e v="#REF!"/>
    <e v="#REF!"/>
  </r>
  <r>
    <s v="625100"/>
    <x v="6"/>
    <s v="Voyages et déplacements"/>
    <s v="AC"/>
    <n v="304"/>
    <d v="2025-09-16T00:00:00"/>
    <s v="SNCF-VOYAGEURS"/>
    <m/>
    <e v="#N/A"/>
    <e v="#N/A"/>
    <n v="82999"/>
    <s v="523842053-20250916"/>
    <s v="SNCF"/>
    <s v="Q3"/>
    <e v="#REF!"/>
    <e v="#REF!"/>
    <e v="#REF!"/>
  </r>
  <r>
    <s v="625100"/>
    <x v="6"/>
    <s v="Voyages et déplacements"/>
    <s v="AC"/>
    <n v="308"/>
    <d v="2025-05-31T00:00:00"/>
    <s v="Divers billets SNCF JERBLA"/>
    <m/>
    <e v="#N/A"/>
    <e v="#N/A"/>
    <n v="78182"/>
    <m/>
    <s v="SNCF"/>
    <s v="Q2"/>
    <e v="#REF!"/>
    <e v="#REF!"/>
    <e v="#REF!"/>
  </r>
  <r>
    <s v="645300"/>
    <x v="6"/>
    <s v="COTISATIONS AUX CAISSES DE RETRAITE"/>
    <s v="SA"/>
    <n v="32.69"/>
    <d v="2025-06-30T00:00:00"/>
    <s v="CONTRIBUTION D'EQUILIBRE TECHNIQUE TU1"/>
    <m/>
    <e v="#N/A"/>
    <e v="#N/A"/>
    <n v="80096"/>
    <s v="SA202506"/>
    <m/>
    <s v="Q2"/>
    <e v="#REF!"/>
    <e v="#REF!"/>
    <e v="#REF!"/>
  </r>
  <r>
    <s v="645300"/>
    <x v="6"/>
    <s v="COTISATIONS AUX CAISSES DE RETRAITE"/>
    <s v="SA"/>
    <n v="32.700000000000003"/>
    <d v="2025-08-31T00:00:00"/>
    <s v="CONTRIBUTION D'EQUILIBRE TECHNIQUE TU1"/>
    <m/>
    <e v="#N/A"/>
    <e v="#N/A"/>
    <n v="84039"/>
    <s v="SA202508"/>
    <m/>
    <s v="Q3"/>
    <e v="#REF!"/>
    <e v="#REF!"/>
    <e v="#REF!"/>
  </r>
  <r>
    <s v="645300"/>
    <x v="6"/>
    <s v="COTISATIONS AUX CAISSES DE RETRAITE"/>
    <s v="SA"/>
    <n v="32.96"/>
    <d v="2025-01-31T00:00:00"/>
    <s v="CONTRIBUTION D'EQUILIBRE TECHNIQUE TU1"/>
    <m/>
    <e v="#N/A"/>
    <e v="#N/A"/>
    <n v="85498"/>
    <s v="SA202501"/>
    <m/>
    <s v="Q1"/>
    <e v="#REF!"/>
    <e v="#REF!"/>
    <e v="#REF!"/>
  </r>
  <r>
    <s v="625100"/>
    <x v="6"/>
    <s v="Voyages et déplacements"/>
    <s v="AC"/>
    <n v="360.46"/>
    <d v="2025-04-11T00:00:00"/>
    <s v="LOCATION VOITURE TRAJET BIOTIKA"/>
    <m/>
    <e v="#N/A"/>
    <e v="#N/A"/>
    <n v="72606"/>
    <s v="I09010500184733"/>
    <s v="AVIS"/>
    <s v="Q2"/>
    <e v="#REF!"/>
    <e v="#REF!"/>
    <e v="#REF!"/>
  </r>
  <r>
    <s v="625100"/>
    <x v="6"/>
    <s v="Voyages et déplacements"/>
    <s v="AC"/>
    <n v="376.96"/>
    <d v="2025-09-29T00:00:00"/>
    <s v="LOCATION VOITURE POUR DÉPLACEMENT BIOTIKA AGREEMENT VII"/>
    <m/>
    <e v="#N/A"/>
    <e v="#N/A"/>
    <n v="89587"/>
    <s v="6"/>
    <s v="AVIS"/>
    <s v="Q3"/>
    <e v="#REF!"/>
    <e v="#REF!"/>
    <e v="#REF!"/>
  </r>
  <r>
    <s v="625100"/>
    <x v="6"/>
    <s v="Voyages et déplacements"/>
    <s v="AC"/>
    <n v="378"/>
    <d v="2025-09-24T00:00:00"/>
    <s v="SÉJOUR EMILIE &amp; ALAIN - SLOVAQUIE BIOTIKA"/>
    <m/>
    <e v="#N/A"/>
    <e v="#N/A"/>
    <n v="91384"/>
    <s v="3"/>
    <s v="HOTELS"/>
    <s v="Q3"/>
    <e v="#REF!"/>
    <e v="#REF!"/>
    <e v="#REF!"/>
  </r>
  <r>
    <s v="625100"/>
    <x v="6"/>
    <s v="Voyages et déplacements"/>
    <s v="AC"/>
    <n v="380"/>
    <d v="2025-09-25T00:00:00"/>
    <s v="AR KINGPINS"/>
    <m/>
    <e v="#N/A"/>
    <e v="#N/A"/>
    <n v="89582"/>
    <s v="4"/>
    <s v="SNCF"/>
    <s v="Q3"/>
    <e v="#REF!"/>
    <e v="#REF!"/>
    <e v="#REF!"/>
  </r>
  <r>
    <s v="625100"/>
    <x v="6"/>
    <s v="Voyages et déplacements"/>
    <s v="AC"/>
    <n v="380.53"/>
    <d v="2025-03-11T00:00:00"/>
    <s v="HÔTEL TORONTO HOLT RENFREW PANEL"/>
    <m/>
    <s v="Non"/>
    <e v="#N/A"/>
    <n v="66050"/>
    <s v="4337599079"/>
    <s v="DIVERS"/>
    <s v="Q1"/>
    <e v="#REF!"/>
    <e v="#REF!"/>
    <e v="#REF!"/>
  </r>
  <r>
    <s v="625100"/>
    <x v="6"/>
    <s v="Voyages et déplacements"/>
    <s v="AC"/>
    <n v="447"/>
    <d v="2025-02-06T00:00:00"/>
    <s v="ALLER RDV HC PARIS AMSTERDAM"/>
    <m/>
    <s v="Non"/>
    <e v="#N/A"/>
    <n v="61425"/>
    <s v="105"/>
    <s v="DIVERS"/>
    <s v="Q1"/>
    <e v="#REF!"/>
    <e v="#REF!"/>
    <e v="#REF!"/>
  </r>
  <r>
    <s v="625100"/>
    <x v="6"/>
    <s v="Voyages et déplacements"/>
    <s v="AC"/>
    <n v="459.5"/>
    <d v="2025-03-31T00:00:00"/>
    <s v="Divers billets SNCF JERBLA"/>
    <m/>
    <e v="#N/A"/>
    <e v="#N/A"/>
    <n v="78192"/>
    <m/>
    <s v="SNCF"/>
    <s v="Q1"/>
    <e v="#REF!"/>
    <e v="#REF!"/>
    <e v="#REF!"/>
  </r>
  <r>
    <s v="625100"/>
    <x v="6"/>
    <s v="Voyages et déplacements"/>
    <s v="AC"/>
    <n v="474.75"/>
    <d v="2025-09-24T00:00:00"/>
    <s v="AUSTRIAN.COM"/>
    <m/>
    <e v="#N/A"/>
    <e v="#N/A"/>
    <n v="91382"/>
    <s v="2"/>
    <s v="AIRLINES"/>
    <s v="Q3"/>
    <e v="#REF!"/>
    <e v="#REF!"/>
    <e v="#REF!"/>
  </r>
  <r>
    <s v="625100"/>
    <x v="6"/>
    <s v="Voyages et déplacements"/>
    <s v="AC"/>
    <n v="483.95"/>
    <d v="2025-09-17T00:00:00"/>
    <s v="VOL RETOUR BIOTIKA EMILIE"/>
    <m/>
    <e v="#N/A"/>
    <e v="#N/A"/>
    <n v="83008"/>
    <s v="31"/>
    <s v="AIR FRANCE"/>
    <s v="Q3"/>
    <e v="#REF!"/>
    <e v="#REF!"/>
    <e v="#REF!"/>
  </r>
  <r>
    <s v="625100"/>
    <x v="6"/>
    <s v="Voyages et déplacements"/>
    <s v="AC"/>
    <n v="506.99"/>
    <d v="2025-05-23T00:00:00"/>
    <s v="ACHAT CB - BACKMARKET"/>
    <m/>
    <e v="#N/A"/>
    <e v="#N/A"/>
    <n v="85051"/>
    <m/>
    <s v="BACKMARKET"/>
    <s v="Q2"/>
    <e v="#REF!"/>
    <e v="#REF!"/>
    <e v="#REF!"/>
  </r>
  <r>
    <s v="625100"/>
    <x v="6"/>
    <s v="Voyages et déplacements"/>
    <s v="AC"/>
    <n v="509.43"/>
    <d v="2025-01-24T00:00:00"/>
    <s v="DÉPLACEMENT VISITE TAROS"/>
    <m/>
    <s v="Non"/>
    <e v="#N/A"/>
    <n v="61312"/>
    <s v="60"/>
    <s v="DIVERS"/>
    <s v="Q1"/>
    <e v="#REF!"/>
    <e v="#REF!"/>
    <e v="#REF!"/>
  </r>
  <r>
    <s v="625100"/>
    <x v="6"/>
    <s v="Voyages et déplacements"/>
    <s v="AC"/>
    <n v="510"/>
    <d v="2025-10-31T00:00:00"/>
    <s v="Divers billets SNCF JERBLA"/>
    <m/>
    <e v="#N/A"/>
    <e v="#N/A"/>
    <n v="87728"/>
    <m/>
    <s v="SNCF"/>
    <s v="Q4"/>
    <e v="#REF!"/>
    <e v="#REF!"/>
    <e v="#REF!"/>
  </r>
  <r>
    <s v="625100"/>
    <x v="6"/>
    <s v="Voyages et déplacements"/>
    <s v="AC"/>
    <n v="520"/>
    <d v="2025-08-31T00:00:00"/>
    <s v="Divers billets SNCF JERBLA"/>
    <m/>
    <e v="#N/A"/>
    <e v="#N/A"/>
    <n v="85029"/>
    <m/>
    <s v="SNCF"/>
    <s v="Q3"/>
    <e v="#REF!"/>
    <e v="#REF!"/>
    <e v="#REF!"/>
  </r>
  <r>
    <s v="625100"/>
    <x v="6"/>
    <s v="Voyages et déplacements"/>
    <s v="AC"/>
    <n v="530.49"/>
    <d v="2025-09-10T00:00:00"/>
    <s v="LOGEMENT CS"/>
    <m/>
    <e v="#N/A"/>
    <e v="#N/A"/>
    <n v="82986"/>
    <s v="RCMXYPT5ET"/>
    <s v="AIRBNB"/>
    <s v="Q3"/>
    <e v="#REF!"/>
    <e v="#REF!"/>
    <e v="#REF!"/>
  </r>
  <r>
    <s v="625100"/>
    <x v="6"/>
    <s v="Voyages et déplacements"/>
    <s v="AC"/>
    <n v="556"/>
    <d v="2025-06-30T00:00:00"/>
    <s v="Divers billets SNCF JERBLA"/>
    <m/>
    <e v="#N/A"/>
    <e v="#N/A"/>
    <n v="78175"/>
    <m/>
    <s v="SNCF"/>
    <s v="Q2"/>
    <e v="#REF!"/>
    <e v="#REF!"/>
    <e v="#REF!"/>
  </r>
  <r>
    <s v="625100"/>
    <x v="6"/>
    <s v="Voyages et déplacements"/>
    <s v="AC"/>
    <n v="567"/>
    <d v="2025-04-22T00:00:00"/>
    <s v="Hotel BTK"/>
    <m/>
    <e v="#N/A"/>
    <e v="#N/A"/>
    <n v="71447"/>
    <s v="F02402025"/>
    <s v="BOOKING"/>
    <s v="Q2"/>
    <e v="#REF!"/>
    <e v="#REF!"/>
    <e v="#REF!"/>
  </r>
  <r>
    <s v="625100"/>
    <x v="6"/>
    <s v="Voyages et déplacements"/>
    <s v="AC"/>
    <n v="568.70000000000005"/>
    <d v="2025-01-16T00:00:00"/>
    <s v="CONGRÈS BIOKET"/>
    <m/>
    <s v="Non"/>
    <e v="#N/A"/>
    <n v="61265"/>
    <s v="234"/>
    <s v="DIVERS"/>
    <s v="Q1"/>
    <e v="#REF!"/>
    <e v="#REF!"/>
    <e v="#REF!"/>
  </r>
  <r>
    <s v="625100"/>
    <x v="6"/>
    <s v="Voyages et déplacements"/>
    <s v="AC"/>
    <n v="598.1"/>
    <d v="2025-04-09T00:00:00"/>
    <s v="DÉPLACEMENT BIOTIKA - NC ET EA"/>
    <m/>
    <e v="#N/A"/>
    <e v="#N/A"/>
    <n v="69752"/>
    <s v="2,20E+12"/>
    <s v="LUFTHANSA"/>
    <s v="Q2"/>
    <e v="#REF!"/>
    <e v="#REF!"/>
    <e v="#REF!"/>
  </r>
  <r>
    <s v="625100"/>
    <x v="6"/>
    <s v="Voyages et déplacements"/>
    <s v="AC"/>
    <n v="598.1"/>
    <d v="2025-04-09T00:00:00"/>
    <s v="DÉPLACEMENT BIOTIKA - NC ET EA"/>
    <m/>
    <e v="#N/A"/>
    <e v="#N/A"/>
    <n v="69759"/>
    <s v="2,20E+12"/>
    <s v="LUFTHANSA"/>
    <s v="Q2"/>
    <e v="#REF!"/>
    <e v="#REF!"/>
    <e v="#REF!"/>
  </r>
  <r>
    <s v="625100"/>
    <x v="6"/>
    <s v="Voyages et déplacements"/>
    <s v="AC"/>
    <n v="660"/>
    <d v="2025-10-02T00:00:00"/>
    <s v="BKG*BOOKING.COM HOTEL"/>
    <m/>
    <e v="#N/A"/>
    <e v="#N/A"/>
    <n v="89589"/>
    <s v="7"/>
    <s v="HOTELS"/>
    <s v="Q4"/>
    <e v="#REF!"/>
    <e v="#REF!"/>
    <e v="#REF!"/>
  </r>
  <r>
    <s v="625100"/>
    <x v="6"/>
    <s v="Voyages et déplacements"/>
    <s v="AC"/>
    <n v="696.42"/>
    <d v="2025-03-11T00:00:00"/>
    <s v="HÔTEL NYC 2 NUITS POUR 2 PERSONNES"/>
    <m/>
    <s v="Non"/>
    <e v="#N/A"/>
    <n v="66026"/>
    <s v="4402691829"/>
    <s v="DIVERS"/>
    <s v="Q1"/>
    <e v="#REF!"/>
    <e v="#REF!"/>
    <e v="#REF!"/>
  </r>
  <r>
    <s v="645300"/>
    <x v="6"/>
    <s v="COTISATIONS AUX CAISSES DE RETRAITE"/>
    <s v="SA"/>
    <n v="32.96"/>
    <d v="2025-02-28T00:00:00"/>
    <s v="CONTRIBUTION D'EQUILIBRE TECHNIQUE TU1"/>
    <m/>
    <e v="#N/A"/>
    <e v="#N/A"/>
    <n v="85326"/>
    <s v="SA202502"/>
    <m/>
    <s v="Q1"/>
    <e v="#REF!"/>
    <e v="#REF!"/>
    <e v="#REF!"/>
  </r>
  <r>
    <s v="625100"/>
    <x v="6"/>
    <s v="Voyages et déplacements"/>
    <s v="AC"/>
    <n v="770.24"/>
    <d v="2025-09-01T00:00:00"/>
    <s v="DÉPLACEMENT AVION BTK B.BARRY"/>
    <m/>
    <e v="#N/A"/>
    <e v="#N/A"/>
    <n v="82955"/>
    <s v="AFFR0028528997"/>
    <s v="AIR FRANCE"/>
    <s v="Q3"/>
    <e v="#REF!"/>
    <e v="#REF!"/>
    <e v="#REF!"/>
  </r>
  <r>
    <s v="625100"/>
    <x v="6"/>
    <s v="Voyages et déplacements"/>
    <s v="AC"/>
    <n v="800.84"/>
    <d v="2025-01-25T00:00:00"/>
    <s v="PARIS DÜSSELDORF POUR ALLER VOIR TAROS"/>
    <m/>
    <e v="#N/A"/>
    <e v="#N/A"/>
    <n v="61314"/>
    <s v="61"/>
    <s v="AIR FRANCE"/>
    <s v="Q1"/>
    <e v="#REF!"/>
    <e v="#REF!"/>
    <e v="#REF!"/>
  </r>
  <r>
    <s v="625100"/>
    <x v="6"/>
    <s v="Voyages et déplacements"/>
    <s v="AC"/>
    <n v="800.84"/>
    <d v="2025-01-25T00:00:00"/>
    <s v="VOYAGE CHEZ SOUS-TRAITANT (TATIANA)"/>
    <m/>
    <e v="#N/A"/>
    <e v="#N/A"/>
    <n v="61316"/>
    <s v="62"/>
    <s v="AIR FRANCE"/>
    <s v="Q1"/>
    <e v="#REF!"/>
    <e v="#REF!"/>
    <e v="#REF!"/>
  </r>
  <r>
    <s v="625100"/>
    <x v="6"/>
    <s v="Voyages et déplacements"/>
    <s v="AC"/>
    <n v="809.8"/>
    <d v="2025-04-30T00:00:00"/>
    <s v="Divers billets SNCF JERBLA"/>
    <m/>
    <e v="#N/A"/>
    <e v="#N/A"/>
    <n v="78189"/>
    <m/>
    <s v="SNCF"/>
    <s v="Q2"/>
    <e v="#REF!"/>
    <e v="#REF!"/>
    <e v="#REF!"/>
  </r>
  <r>
    <s v="625100"/>
    <x v="6"/>
    <s v="Voyages et déplacements"/>
    <s v="AC"/>
    <n v="908.56"/>
    <d v="2025-09-24T00:00:00"/>
    <s v="AVION A/R POUR VISITE BIOTIKA AVEC ASSURANCE ANNULATION"/>
    <m/>
    <e v="#N/A"/>
    <e v="#N/A"/>
    <n v="83020"/>
    <s v="2202233535731"/>
    <s v="AIRLINES"/>
    <s v="Q3"/>
    <e v="#REF!"/>
    <e v="#REF!"/>
    <e v="#REF!"/>
  </r>
  <r>
    <s v="625100"/>
    <x v="6"/>
    <s v="Voyages et déplacements"/>
    <s v="AC"/>
    <n v="1243.02"/>
    <d v="2025-03-03T00:00:00"/>
    <s v="PARIS NUREMBERG POUR L'ECS"/>
    <m/>
    <e v="#N/A"/>
    <e v="#N/A"/>
    <n v="66036"/>
    <s v="K8CY4H"/>
    <s v="AIR FRANCE"/>
    <s v="Q1"/>
    <e v="#REF!"/>
    <e v="#REF!"/>
    <e v="#REF!"/>
  </r>
  <r>
    <s v="625100"/>
    <x v="6"/>
    <s v="Voyages et déplacements"/>
    <s v="AC"/>
    <n v="1265.82"/>
    <d v="2025-03-12T00:00:00"/>
    <s v="DÉPLACEMENT CIB CAMBRIDGE 3 NUITS 2 PERSONNES"/>
    <m/>
    <s v="Non"/>
    <e v="#N/A"/>
    <n v="66075"/>
    <s v="4410817540"/>
    <s v="DIVERS"/>
    <s v="Q1"/>
    <e v="#REF!"/>
    <e v="#REF!"/>
    <e v="#REF!"/>
  </r>
  <r>
    <s v="625100"/>
    <x v="6"/>
    <s v="Voyages et déplacements"/>
    <s v="AC"/>
    <n v="1548.62"/>
    <d v="2025-03-19T00:00:00"/>
    <s v="DÉPLACEMENT COH NY TORONTO PYB"/>
    <m/>
    <e v="#N/A"/>
    <e v="#N/A"/>
    <n v="66131"/>
    <s v="AFFR0025307613"/>
    <s v="AIR FRANCE"/>
    <s v="Q1"/>
    <e v="#REF!"/>
    <e v="#REF!"/>
    <e v="#REF!"/>
  </r>
  <r>
    <s v="625100"/>
    <x v="6"/>
    <s v="Voyages et déplacements"/>
    <s v="AC"/>
    <n v="1577.31"/>
    <d v="2025-04-22T00:00:00"/>
    <s v="Billet CB - Airfrance"/>
    <m/>
    <e v="#N/A"/>
    <e v="#N/A"/>
    <n v="85044"/>
    <m/>
    <s v="AIR FRANCE"/>
    <s v="Q2"/>
    <e v="#REF!"/>
    <e v="#REF!"/>
    <e v="#REF!"/>
  </r>
  <r>
    <s v="625100"/>
    <x v="6"/>
    <s v="Voyages et déplacements"/>
    <s v="AC"/>
    <n v="1579.77"/>
    <d v="2025-04-09T00:00:00"/>
    <s v="VOYAGE À BOSTON POUR LE CIB"/>
    <m/>
    <e v="#N/A"/>
    <e v="#N/A"/>
    <n v="69757"/>
    <s v="AFFR0025759757"/>
    <s v="AIR FRANCE"/>
    <s v="Q2"/>
    <e v="#REF!"/>
    <e v="#REF!"/>
    <e v="#REF!"/>
  </r>
  <r>
    <s v="625100"/>
    <x v="6"/>
    <s v="Voyages et déplacements"/>
    <s v="AC"/>
    <n v="1619.08"/>
    <d v="2025-03-19T00:00:00"/>
    <s v="DÉPLACEMENT COH JÉRÉMIE"/>
    <m/>
    <e v="#N/A"/>
    <e v="#N/A"/>
    <n v="68976"/>
    <s v="9"/>
    <s v="AIR FRANCE"/>
    <s v="Q1"/>
    <e v="#REF!"/>
    <e v="#REF!"/>
    <e v="#REF!"/>
  </r>
  <r>
    <s v="625100"/>
    <x v="6"/>
    <s v="Voyages et déplacements"/>
    <s v="AC"/>
    <n v="1752"/>
    <d v="2025-09-30T00:00:00"/>
    <s v="Divers billets SNCF JERBLA"/>
    <m/>
    <e v="#N/A"/>
    <e v="#N/A"/>
    <n v="85033"/>
    <m/>
    <s v="SNCF"/>
    <s v="Q3"/>
    <e v="#REF!"/>
    <e v="#REF!"/>
    <e v="#REF!"/>
  </r>
  <r>
    <s v="625100"/>
    <x v="6"/>
    <s v="Voyages et déplacements"/>
    <s v="BPRI"/>
    <n v="-28"/>
    <d v="2025-02-25T00:00:00"/>
    <s v="ANNUL.FACT.CB"/>
    <m/>
    <e v="#N/A"/>
    <e v="#N/A"/>
    <n v="21424"/>
    <s v="2L9WU1Q"/>
    <m/>
    <s v="Q1"/>
    <e v="#REF!"/>
    <e v="#REF!"/>
    <e v="#REF!"/>
  </r>
  <r>
    <s v="645300"/>
    <x v="6"/>
    <s v="COTISATIONS AUX CAISSES DE RETRAITE"/>
    <s v="SA"/>
    <n v="32.96"/>
    <d v="2025-10-31T00:00:00"/>
    <s v="CONTRIBUTION D'EQUILIBRE TECHNIQUE TU1"/>
    <m/>
    <e v="#N/A"/>
    <e v="#N/A"/>
    <n v="87879"/>
    <s v="SA202510"/>
    <m/>
    <s v="Q4"/>
    <e v="#REF!"/>
    <e v="#REF!"/>
    <e v="#REF!"/>
  </r>
  <r>
    <s v="625100"/>
    <x v="6"/>
    <s v="Voyages et déplacements"/>
    <s v="BPRI"/>
    <n v="-5"/>
    <d v="2025-02-25T00:00:00"/>
    <s v="ANNUL.FACT.CB"/>
    <m/>
    <e v="#N/A"/>
    <e v="#N/A"/>
    <n v="21422"/>
    <s v="2L9WU1P"/>
    <m/>
    <s v="Q1"/>
    <e v="#REF!"/>
    <e v="#REF!"/>
    <e v="#REF!"/>
  </r>
  <r>
    <s v="625100"/>
    <x v="6"/>
    <s v="Voyages et déplacements"/>
    <s v="BPRI"/>
    <n v="43"/>
    <d v="2025-01-23T00:00:00"/>
    <s v="220125 CB    3583"/>
    <m/>
    <e v="#N/A"/>
    <e v="#N/A"/>
    <n v="21050"/>
    <s v="13746JP"/>
    <m/>
    <s v="Q1"/>
    <e v="#REF!"/>
    <e v="#REF!"/>
    <e v="#REF!"/>
  </r>
  <r>
    <s v="625100"/>
    <x v="6"/>
    <s v="Voyages et déplacements"/>
    <s v="BPRI"/>
    <n v="47"/>
    <d v="2025-01-23T00:00:00"/>
    <s v="220125 CB    3583"/>
    <m/>
    <e v="#N/A"/>
    <e v="#N/A"/>
    <n v="21052"/>
    <s v="13746JQ"/>
    <m/>
    <s v="Q1"/>
    <e v="#REF!"/>
    <e v="#REF!"/>
    <e v="#REF!"/>
  </r>
  <r>
    <s v="625100"/>
    <x v="6"/>
    <s v="Voyages et déplacements"/>
    <s v="BPRI"/>
    <n v="55"/>
    <d v="2025-02-06T00:00:00"/>
    <s v="050225 CB    3583"/>
    <m/>
    <e v="#N/A"/>
    <e v="#N/A"/>
    <n v="21232"/>
    <s v="1QCN6UK"/>
    <m/>
    <s v="Q1"/>
    <e v="#REF!"/>
    <e v="#REF!"/>
    <e v="#REF!"/>
  </r>
  <r>
    <s v="625100"/>
    <x v="6"/>
    <s v="Voyages et déplacements"/>
    <s v="BPRI"/>
    <n v="55"/>
    <d v="2025-02-12T00:00:00"/>
    <s v="110225 CB    3583"/>
    <m/>
    <e v="#N/A"/>
    <e v="#N/A"/>
    <n v="21288"/>
    <s v="209V435"/>
    <m/>
    <s v="Q1"/>
    <e v="#REF!"/>
    <e v="#REF!"/>
    <e v="#REF!"/>
  </r>
  <r>
    <s v="625100"/>
    <x v="6"/>
    <s v="Voyages et déplacements"/>
    <s v="BPRI"/>
    <n v="59"/>
    <d v="2025-01-23T00:00:00"/>
    <s v="220125 CB    3583"/>
    <m/>
    <e v="#N/A"/>
    <e v="#N/A"/>
    <n v="21054"/>
    <s v="13746JR"/>
    <m/>
    <s v="Q1"/>
    <e v="#REF!"/>
    <e v="#REF!"/>
    <e v="#REF!"/>
  </r>
  <r>
    <s v="625100"/>
    <x v="6"/>
    <s v="Voyages et déplacements"/>
    <s v="BPRI"/>
    <n v="64"/>
    <d v="2025-01-23T00:00:00"/>
    <s v="220125 CB    3583"/>
    <m/>
    <e v="#N/A"/>
    <e v="#N/A"/>
    <n v="21056"/>
    <s v="13746JS"/>
    <m/>
    <s v="Q1"/>
    <e v="#REF!"/>
    <e v="#REF!"/>
    <e v="#REF!"/>
  </r>
  <r>
    <s v="625100"/>
    <x v="6"/>
    <s v="Voyages et déplacements"/>
    <s v="BPRI"/>
    <n v="73"/>
    <d v="2025-01-23T00:00:00"/>
    <s v="220125 CB    3583"/>
    <m/>
    <e v="#N/A"/>
    <e v="#N/A"/>
    <n v="21058"/>
    <s v="13746JT"/>
    <m/>
    <s v="Q1"/>
    <e v="#REF!"/>
    <e v="#REF!"/>
    <e v="#REF!"/>
  </r>
  <r>
    <s v="625100"/>
    <x v="6"/>
    <s v="Voyages et déplacements"/>
    <s v="BPRI"/>
    <n v="73"/>
    <d v="2025-01-23T00:00:00"/>
    <s v="220125 CB    3583"/>
    <m/>
    <e v="#N/A"/>
    <e v="#N/A"/>
    <n v="21060"/>
    <s v="13746JU"/>
    <m/>
    <s v="Q1"/>
    <e v="#REF!"/>
    <e v="#REF!"/>
    <e v="#REF!"/>
  </r>
  <r>
    <s v="625100"/>
    <x v="6"/>
    <s v="Voyages et déplacements"/>
    <s v="BPRI"/>
    <n v="73"/>
    <d v="2025-01-23T00:00:00"/>
    <s v="220125 CB    3583"/>
    <m/>
    <e v="#N/A"/>
    <e v="#N/A"/>
    <n v="21062"/>
    <s v="13746JV"/>
    <m/>
    <s v="Q1"/>
    <e v="#REF!"/>
    <e v="#REF!"/>
    <e v="#REF!"/>
  </r>
  <r>
    <s v="625100"/>
    <x v="6"/>
    <s v="Voyages et déplacements"/>
    <s v="BPRI"/>
    <n v="73"/>
    <d v="2025-01-23T00:00:00"/>
    <s v="220125 CB    3583"/>
    <m/>
    <e v="#N/A"/>
    <e v="#N/A"/>
    <n v="21064"/>
    <s v="13746JW"/>
    <m/>
    <s v="Q1"/>
    <e v="#REF!"/>
    <e v="#REF!"/>
    <e v="#REF!"/>
  </r>
  <r>
    <s v="625100"/>
    <x v="6"/>
    <s v="Voyages et déplacements"/>
    <s v="BPRI"/>
    <n v="73"/>
    <d v="2025-01-23T00:00:00"/>
    <s v="220125 CB    3583"/>
    <m/>
    <e v="#N/A"/>
    <e v="#N/A"/>
    <n v="21066"/>
    <s v="13746JX"/>
    <m/>
    <s v="Q1"/>
    <e v="#REF!"/>
    <e v="#REF!"/>
    <e v="#REF!"/>
  </r>
  <r>
    <s v="625100"/>
    <x v="6"/>
    <s v="Voyages et déplacements"/>
    <s v="BPRI"/>
    <n v="79"/>
    <d v="2025-02-12T00:00:00"/>
    <s v="110225 CB    3583"/>
    <m/>
    <e v="#N/A"/>
    <e v="#N/A"/>
    <n v="21294"/>
    <s v="209V438"/>
    <m/>
    <s v="Q1"/>
    <e v="#REF!"/>
    <e v="#REF!"/>
    <e v="#REF!"/>
  </r>
  <r>
    <s v="625100"/>
    <x v="6"/>
    <s v="Voyages et déplacements"/>
    <s v="BPRI"/>
    <n v="88"/>
    <d v="2025-01-23T00:00:00"/>
    <s v="220125 CB    3583"/>
    <m/>
    <e v="#N/A"/>
    <e v="#N/A"/>
    <n v="21068"/>
    <s v="13746JY"/>
    <m/>
    <s v="Q1"/>
    <e v="#REF!"/>
    <e v="#REF!"/>
    <e v="#REF!"/>
  </r>
  <r>
    <s v="625100"/>
    <x v="6"/>
    <s v="Voyages et déplacements"/>
    <s v="BPRI"/>
    <n v="169"/>
    <d v="2025-02-06T00:00:00"/>
    <s v="050225 CB    3583"/>
    <m/>
    <e v="#N/A"/>
    <e v="#N/A"/>
    <n v="21234"/>
    <s v="1QCN6UL"/>
    <m/>
    <s v="Q1"/>
    <e v="#REF!"/>
    <e v="#REF!"/>
    <e v="#REF!"/>
  </r>
  <r>
    <s v="625100"/>
    <x v="6"/>
    <s v="Voyages et déplacements"/>
    <s v="BPRI"/>
    <n v="204"/>
    <d v="2025-02-13T00:00:00"/>
    <s v="120225 CB    3583"/>
    <m/>
    <e v="#N/A"/>
    <e v="#N/A"/>
    <n v="21296"/>
    <s v="21XEJ8T"/>
    <m/>
    <s v="Q1"/>
    <e v="#REF!"/>
    <e v="#REF!"/>
    <e v="#REF!"/>
  </r>
  <r>
    <s v="645300"/>
    <x v="6"/>
    <s v="COTISATIONS AUX CAISSES DE RETRAITE"/>
    <s v="SA"/>
    <n v="32.96"/>
    <d v="2025-11-30T00:00:00"/>
    <s v="CONTRIBUTION D'EQUILIBRE TECHNIQUE TU1"/>
    <m/>
    <e v="#N/A"/>
    <e v="#N/A"/>
    <n v="92386"/>
    <s v="SA202511"/>
    <m/>
    <s v="Q4"/>
    <e v="#REF!"/>
    <e v="#REF!"/>
    <e v="#REF!"/>
  </r>
  <r>
    <s v="625100"/>
    <x v="6"/>
    <s v="Voyages et déplacements"/>
    <s v="NDF"/>
    <n v="-69"/>
    <d v="2025-10-31T00:00:00"/>
    <s v="Rbt SNCF - NDF déjà remboursée"/>
    <m/>
    <e v="#N/A"/>
    <e v="#N/A"/>
    <n v="89087"/>
    <m/>
    <s v="Pauline Rullière"/>
    <s v="Q4"/>
    <e v="#REF!"/>
    <e v="#REF!"/>
    <e v="#REF!"/>
  </r>
  <r>
    <s v="625100"/>
    <x v="6"/>
    <s v="Voyages et déplacements"/>
    <s v="NDF"/>
    <n v="0.15"/>
    <d v="2025-04-10T00:00:00"/>
    <s v="NOTE DE FRAIS"/>
    <m/>
    <e v="#N/A"/>
    <e v="#N/A"/>
    <n v="74310"/>
    <s v="25000124"/>
    <s v="Vincent Blanchard"/>
    <s v="Q2"/>
    <e v="#REF!"/>
    <e v="#REF!"/>
    <e v="#REF!"/>
  </r>
  <r>
    <s v="625100"/>
    <x v="6"/>
    <s v="Voyages et déplacements"/>
    <s v="NDF"/>
    <n v="0.17"/>
    <d v="2025-03-26T00:00:00"/>
    <s v="NOTE DE FRAIS"/>
    <m/>
    <e v="#N/A"/>
    <e v="#N/A"/>
    <n v="74212"/>
    <s v="25000091"/>
    <s v="Marjorie Denard"/>
    <s v="Q1"/>
    <e v="#REF!"/>
    <e v="#REF!"/>
    <e v="#REF!"/>
  </r>
  <r>
    <s v="625100"/>
    <x v="6"/>
    <s v="Voyages et déplacements"/>
    <s v="NDF"/>
    <n v="0.17"/>
    <d v="2025-03-28T00:00:00"/>
    <s v="NDF"/>
    <m/>
    <e v="#N/A"/>
    <e v="#N/A"/>
    <n v="75817"/>
    <s v="25000092"/>
    <s v="Marjorie Denard"/>
    <s v="Q1"/>
    <e v="#REF!"/>
    <e v="#REF!"/>
    <e v="#REF!"/>
  </r>
  <r>
    <s v="625100"/>
    <x v="6"/>
    <s v="Voyages et déplacements"/>
    <s v="NDF"/>
    <n v="0.2"/>
    <d v="2025-03-04T00:00:00"/>
    <s v="NDF"/>
    <m/>
    <e v="#N/A"/>
    <e v="#N/A"/>
    <n v="75747"/>
    <s v="25000104"/>
    <s v="Kevin Cottet"/>
    <s v="Q1"/>
    <e v="#REF!"/>
    <e v="#REF!"/>
    <e v="#REF!"/>
  </r>
  <r>
    <s v="625100"/>
    <x v="6"/>
    <s v="Voyages et déplacements"/>
    <s v="NDF"/>
    <n v="0.2"/>
    <d v="2025-03-31T00:00:00"/>
    <s v="NDF"/>
    <m/>
    <e v="#N/A"/>
    <e v="#N/A"/>
    <n v="75829"/>
    <s v="25000097"/>
    <s v="Bob Fernandez"/>
    <s v="Q1"/>
    <e v="#REF!"/>
    <e v="#REF!"/>
    <e v="#REF!"/>
  </r>
  <r>
    <s v="625100"/>
    <x v="6"/>
    <s v="Voyages et déplacements"/>
    <s v="NDF"/>
    <n v="0.36"/>
    <d v="2025-03-26T00:00:00"/>
    <s v="NDF"/>
    <m/>
    <e v="#N/A"/>
    <e v="#N/A"/>
    <n v="75796"/>
    <s v="25000087"/>
    <s v="Benjamin Barry"/>
    <s v="Q1"/>
    <e v="#REF!"/>
    <e v="#REF!"/>
    <e v="#REF!"/>
  </r>
  <r>
    <s v="625100"/>
    <x v="6"/>
    <s v="Voyages et déplacements"/>
    <s v="NDF"/>
    <n v="0.37"/>
    <d v="2025-04-04T00:00:00"/>
    <s v="NDF"/>
    <m/>
    <e v="#N/A"/>
    <e v="#N/A"/>
    <n v="75468"/>
    <s v="25000105"/>
    <s v="Audrey Baylac"/>
    <s v="Q2"/>
    <e v="#REF!"/>
    <e v="#REF!"/>
    <e v="#REF!"/>
  </r>
  <r>
    <s v="625100"/>
    <x v="6"/>
    <s v="Voyages et déplacements"/>
    <s v="NDF"/>
    <n v="0.42"/>
    <d v="2025-09-19T00:00:00"/>
    <s v="PARKING - PARKING VOITURE SÉMINAIRE"/>
    <m/>
    <e v="#N/A"/>
    <e v="#N/A"/>
    <n v="88477"/>
    <s v="25000236"/>
    <s v="Nicolas Canu"/>
    <s v="Q3"/>
    <e v="#REF!"/>
    <e v="#REF!"/>
    <e v="#REF!"/>
  </r>
  <r>
    <s v="625100"/>
    <x v="6"/>
    <s v="Voyages et déplacements"/>
    <s v="NDF"/>
    <n v="1"/>
    <d v="2025-09-17T00:00:00"/>
    <s v="DIVERS - VELOUSE SÉMINAIRE"/>
    <m/>
    <e v="#N/A"/>
    <e v="#N/A"/>
    <n v="88620"/>
    <s v="25000222"/>
    <s v="Pauline Rullière"/>
    <s v="Q3"/>
    <e v="#REF!"/>
    <e v="#REF!"/>
    <e v="#REF!"/>
  </r>
  <r>
    <s v="625100"/>
    <x v="6"/>
    <s v="Voyages et déplacements"/>
    <s v="NDF"/>
    <n v="1.08"/>
    <d v="2025-09-17T00:00:00"/>
    <s v="PÉAGE - PÉAGE 1 - SÉMINAIRE"/>
    <m/>
    <e v="#N/A"/>
    <e v="#N/A"/>
    <n v="88513"/>
    <s v="25000237"/>
    <s v="Benjamin Barry"/>
    <s v="Q3"/>
    <e v="#REF!"/>
    <e v="#REF!"/>
    <e v="#REF!"/>
  </r>
  <r>
    <s v="625100"/>
    <x v="6"/>
    <s v="Voyages et déplacements"/>
    <s v="NDF"/>
    <n v="1.08"/>
    <d v="2025-09-19T00:00:00"/>
    <s v="PÉAGE - PÉAGE 2"/>
    <m/>
    <e v="#N/A"/>
    <e v="#N/A"/>
    <n v="88505"/>
    <s v="25000237"/>
    <s v="Benjamin Barry"/>
    <s v="Q3"/>
    <e v="#REF!"/>
    <e v="#REF!"/>
    <e v="#REF!"/>
  </r>
  <r>
    <s v="625100"/>
    <x v="6"/>
    <s v="Voyages et déplacements"/>
    <s v="NDF"/>
    <n v="1.1000000000000001"/>
    <d v="2025-04-30T00:00:00"/>
    <s v="NOTE DE FRAIS"/>
    <m/>
    <e v="#N/A"/>
    <e v="#N/A"/>
    <n v="74400"/>
    <s v="25000119"/>
    <s v="Nicolas Canu"/>
    <s v="Q2"/>
    <e v="#REF!"/>
    <e v="#REF!"/>
    <e v="#REF!"/>
  </r>
  <r>
    <s v="625100"/>
    <x v="6"/>
    <s v="Voyages et déplacements"/>
    <s v="NDF"/>
    <n v="1.3"/>
    <d v="2025-10-02T00:00:00"/>
    <s v="PETIT DEJEUNER - PETIT DÉJEUNER"/>
    <m/>
    <e v="#N/A"/>
    <e v="#N/A"/>
    <n v="89246"/>
    <s v="25000260"/>
    <s v="Pauline Rullière"/>
    <s v="Q4"/>
    <e v="#REF!"/>
    <e v="#REF!"/>
    <e v="#REF!"/>
  </r>
  <r>
    <s v="625100"/>
    <x v="6"/>
    <s v="Voyages et déplacements"/>
    <s v="NDF"/>
    <n v="1.33"/>
    <d v="2025-05-06T00:00:00"/>
    <s v="DIVERS - PETIT DÉJEUNER"/>
    <m/>
    <e v="#N/A"/>
    <e v="#N/A"/>
    <n v="89183"/>
    <s v="25000111"/>
    <s v="Pauline Rullière"/>
    <s v="Q2"/>
    <e v="#REF!"/>
    <e v="#REF!"/>
    <e v="#REF!"/>
  </r>
  <r>
    <s v="625100"/>
    <x v="6"/>
    <s v="Voyages et déplacements"/>
    <s v="NDF"/>
    <n v="1.5"/>
    <d v="2025-12-04T00:00:00"/>
    <s v="PETIT DEJEUNER - PETIT DÉJEUNER"/>
    <m/>
    <e v="#N/A"/>
    <e v="#N/A"/>
    <n v="93482"/>
    <s v="25000289"/>
    <s v="Pauline Rullière"/>
    <s v="Q4"/>
    <e v="#REF!"/>
    <e v="#REF!"/>
    <e v="#REF!"/>
  </r>
  <r>
    <s v="625100"/>
    <x v="6"/>
    <s v="Voyages et déplacements"/>
    <s v="NDF"/>
    <n v="1.6"/>
    <d v="2025-02-10T00:00:00"/>
    <s v="NDF"/>
    <m/>
    <e v="#N/A"/>
    <e v="#N/A"/>
    <n v="75721"/>
    <s v="25000044"/>
    <s v="Audrey Baylac"/>
    <s v="Q1"/>
    <e v="#REF!"/>
    <e v="#REF!"/>
    <e v="#REF!"/>
  </r>
  <r>
    <s v="625100"/>
    <x v="6"/>
    <s v="Voyages et déplacements"/>
    <s v="NDF"/>
    <n v="1.7"/>
    <d v="2025-09-17T00:00:00"/>
    <s v="DIVERS - VÉLOUSE SÉMINAIRE"/>
    <m/>
    <e v="#N/A"/>
    <e v="#N/A"/>
    <n v="88605"/>
    <s v="25000222"/>
    <s v="Pauline Rullière"/>
    <s v="Q3"/>
    <e v="#REF!"/>
    <e v="#REF!"/>
    <e v="#REF!"/>
  </r>
  <r>
    <s v="625100"/>
    <x v="6"/>
    <s v="Voyages et déplacements"/>
    <s v="NDF"/>
    <n v="1.82"/>
    <d v="2025-12-12T00:00:00"/>
    <s v="MÉTRO, BUS - TOULOUSE METRO"/>
    <m/>
    <e v="#N/A"/>
    <e v="#N/A"/>
    <n v="95846"/>
    <s v="25000338"/>
    <s v="Alain Pinchard"/>
    <s v="Q4"/>
    <e v="#REF!"/>
    <e v="#REF!"/>
    <e v="#REF!"/>
  </r>
  <r>
    <s v="625100"/>
    <x v="6"/>
    <s v="Voyages et déplacements"/>
    <s v="NDF"/>
    <n v="1.91"/>
    <d v="2025-12-09T00:00:00"/>
    <s v="MÉTRO, BUS - METRO LYON JEAN MACE - LYON PART DIEU"/>
    <m/>
    <e v="#N/A"/>
    <e v="#N/A"/>
    <n v="95786"/>
    <s v="25000325"/>
    <s v="Marie Rézeau"/>
    <s v="Q4"/>
    <e v="#REF!"/>
    <e v="#REF!"/>
    <e v="#REF!"/>
  </r>
  <r>
    <s v="625100"/>
    <x v="6"/>
    <s v="Voyages et déplacements"/>
    <s v="NDF"/>
    <n v="1.92"/>
    <d v="2025-09-17T00:00:00"/>
    <s v="PARKING - PARKING NÎMES"/>
    <m/>
    <e v="#N/A"/>
    <e v="#N/A"/>
    <n v="88520"/>
    <s v="25000241"/>
    <s v="Filipe Gomes"/>
    <s v="Q3"/>
    <e v="#REF!"/>
    <e v="#REF!"/>
    <e v="#REF!"/>
  </r>
  <r>
    <s v="625100"/>
    <x v="6"/>
    <s v="Voyages et déplacements"/>
    <s v="NDF"/>
    <n v="2.09"/>
    <d v="2025-07-21T00:00:00"/>
    <s v="MÉTRO, BUS - METRO LYON"/>
    <m/>
    <e v="#N/A"/>
    <e v="#N/A"/>
    <n v="88859"/>
    <s v="25000194"/>
    <s v="Marie Rézeau"/>
    <s v="Q3"/>
    <e v="#REF!"/>
    <e v="#REF!"/>
    <e v="#REF!"/>
  </r>
  <r>
    <s v="625100"/>
    <x v="6"/>
    <s v="Voyages et déplacements"/>
    <s v="NDF"/>
    <n v="2.27"/>
    <d v="2025-12-02T00:00:00"/>
    <s v="MÉTRO, BUS - METRO"/>
    <m/>
    <e v="#N/A"/>
    <e v="#N/A"/>
    <n v="93390"/>
    <s v="25000315"/>
    <s v="Kevin Cottet"/>
    <s v="Q4"/>
    <e v="#REF!"/>
    <e v="#REF!"/>
    <e v="#REF!"/>
  </r>
  <r>
    <s v="625100"/>
    <x v="6"/>
    <s v="Voyages et déplacements"/>
    <s v="NDF"/>
    <n v="2.33"/>
    <d v="2025-09-17T00:00:00"/>
    <s v="PÉAGE - PÉAGE ALLER"/>
    <m/>
    <e v="#N/A"/>
    <e v="#N/A"/>
    <n v="88522"/>
    <s v="25000241"/>
    <s v="Filipe Gomes"/>
    <s v="Q3"/>
    <e v="#REF!"/>
    <e v="#REF!"/>
    <e v="#REF!"/>
  </r>
  <r>
    <s v="625100"/>
    <x v="6"/>
    <s v="Voyages et déplacements"/>
    <s v="NDF"/>
    <n v="2.33"/>
    <d v="2025-09-19T00:00:00"/>
    <s v="PÉAGE - PÉAGE RETOUR"/>
    <m/>
    <e v="#N/A"/>
    <e v="#N/A"/>
    <n v="88516"/>
    <s v="25000241"/>
    <s v="Filipe Gomes"/>
    <s v="Q3"/>
    <e v="#REF!"/>
    <e v="#REF!"/>
    <e v="#REF!"/>
  </r>
  <r>
    <s v="625100"/>
    <x v="6"/>
    <s v="Voyages et déplacements"/>
    <s v="NDF"/>
    <n v="2.4"/>
    <d v="2025-07-08T00:00:00"/>
    <s v="PETIT DEJEUNER - PETIT DÉJEUNER"/>
    <m/>
    <e v="#N/A"/>
    <e v="#N/A"/>
    <n v="89231"/>
    <s v="25000111"/>
    <s v="Pauline Rullière"/>
    <s v="Q3"/>
    <e v="#REF!"/>
    <e v="#REF!"/>
    <e v="#REF!"/>
  </r>
  <r>
    <s v="625100"/>
    <x v="6"/>
    <s v="Voyages et déplacements"/>
    <s v="NDF"/>
    <n v="2.4"/>
    <d v="2025-11-04T00:00:00"/>
    <s v="PETIT DEJEUNER - PETIT DÉJEUNER"/>
    <m/>
    <e v="#N/A"/>
    <e v="#N/A"/>
    <n v="93477"/>
    <s v="25000289"/>
    <s v="Pauline Rullière"/>
    <s v="Q4"/>
    <e v="#REF!"/>
    <e v="#REF!"/>
    <e v="#REF!"/>
  </r>
  <r>
    <s v="625100"/>
    <x v="6"/>
    <s v="Voyages et déplacements"/>
    <s v="NDF"/>
    <n v="2.5"/>
    <d v="2025-05-06T00:00:00"/>
    <s v="DIVERS - MÉTRO"/>
    <m/>
    <e v="#N/A"/>
    <e v="#N/A"/>
    <n v="89177"/>
    <s v="25000111"/>
    <s v="Pauline Rullière"/>
    <s v="Q2"/>
    <e v="#REF!"/>
    <e v="#REF!"/>
    <e v="#REF!"/>
  </r>
  <r>
    <s v="625100"/>
    <x v="6"/>
    <s v="Voyages et déplacements"/>
    <s v="NDF"/>
    <n v="2.58"/>
    <d v="2025-11-13T00:00:00"/>
    <s v="PÉAGE - PÉAGE VENISE PADOUE DÉPLACEMENT TRIALS BERTO"/>
    <m/>
    <e v="#N/A"/>
    <e v="#N/A"/>
    <n v="93424"/>
    <s v="25000314"/>
    <s v="Pierre-Yves Bolle"/>
    <s v="Q4"/>
    <e v="#REF!"/>
    <e v="#REF!"/>
    <e v="#REF!"/>
  </r>
  <r>
    <s v="625100"/>
    <x v="6"/>
    <s v="Voyages et déplacements"/>
    <s v="NDF"/>
    <n v="2.58"/>
    <d v="2025-11-14T00:00:00"/>
    <s v="PÉAGE - PÉAGE PADOUE VENISE DÉPLACEMENT TRIALS BERTO"/>
    <m/>
    <e v="#N/A"/>
    <e v="#N/A"/>
    <n v="93420"/>
    <s v="25000314"/>
    <s v="Pierre-Yves Bolle"/>
    <s v="Q4"/>
    <e v="#REF!"/>
    <e v="#REF!"/>
    <e v="#REF!"/>
  </r>
  <r>
    <s v="625100"/>
    <x v="6"/>
    <s v="Voyages et déplacements"/>
    <s v="NDF"/>
    <n v="2.68"/>
    <d v="2025-05-27T00:00:00"/>
    <s v="NDF"/>
    <m/>
    <e v="#N/A"/>
    <e v="#N/A"/>
    <n v="76532"/>
    <s v="25000156"/>
    <s v="Jérémie Blache"/>
    <s v="Q2"/>
    <e v="#REF!"/>
    <e v="#REF!"/>
    <e v="#REF!"/>
  </r>
  <r>
    <s v="625100"/>
    <x v="6"/>
    <s v="Voyages et déplacements"/>
    <s v="NDF"/>
    <n v="2.73"/>
    <d v="2025-04-29T00:00:00"/>
    <s v="NOTE DE FRAIS"/>
    <m/>
    <e v="#N/A"/>
    <e v="#N/A"/>
    <n v="74384"/>
    <s v="25000132"/>
    <s v="Jérémie Blache"/>
    <s v="Q2"/>
    <e v="#REF!"/>
    <e v="#REF!"/>
    <e v="#REF!"/>
  </r>
  <r>
    <s v="625100"/>
    <x v="6"/>
    <s v="Voyages et déplacements"/>
    <s v="NDF"/>
    <n v="2.73"/>
    <d v="2025-09-29T00:00:00"/>
    <s v="DIVERS - CAFÉ TRAIN"/>
    <m/>
    <e v="#N/A"/>
    <e v="#N/A"/>
    <n v="89029"/>
    <s v="25000256"/>
    <s v="Benjamin Barry"/>
    <s v="Q3"/>
    <e v="#REF!"/>
    <e v="#REF!"/>
    <e v="#REF!"/>
  </r>
  <r>
    <s v="625100"/>
    <x v="6"/>
    <s v="Voyages et déplacements"/>
    <s v="NDF"/>
    <n v="2.75"/>
    <d v="2025-07-02T00:00:00"/>
    <s v="DIVERS - PETIT DEJ"/>
    <m/>
    <e v="#N/A"/>
    <e v="#N/A"/>
    <n v="88637"/>
    <s v="25000180"/>
    <s v="Bob Fernandez"/>
    <s v="Q3"/>
    <e v="#REF!"/>
    <e v="#REF!"/>
    <e v="#REF!"/>
  </r>
  <r>
    <s v="625100"/>
    <x v="6"/>
    <s v="Voyages et déplacements"/>
    <s v="NDF"/>
    <n v="2.75"/>
    <d v="2025-11-24T00:00:00"/>
    <s v="PÉAGE - PÉAGE"/>
    <m/>
    <e v="#N/A"/>
    <e v="#N/A"/>
    <n v="90847"/>
    <s v="25000296"/>
    <s v="Jérémie Blache"/>
    <s v="Q4"/>
    <e v="#REF!"/>
    <e v="#REF!"/>
    <e v="#REF!"/>
  </r>
  <r>
    <s v="625100"/>
    <x v="6"/>
    <s v="Voyages et déplacements"/>
    <s v="NDF"/>
    <n v="2.76"/>
    <d v="2025-03-26T00:00:00"/>
    <s v="NOTE DE FRAIS"/>
    <m/>
    <e v="#N/A"/>
    <e v="#N/A"/>
    <n v="74213"/>
    <s v="25000091"/>
    <s v="Marjorie Denard"/>
    <s v="Q1"/>
    <e v="#REF!"/>
    <e v="#REF!"/>
    <e v="#REF!"/>
  </r>
  <r>
    <s v="625100"/>
    <x v="6"/>
    <s v="Voyages et déplacements"/>
    <s v="NDF"/>
    <n v="2.8"/>
    <d v="2025-12-11T00:00:00"/>
    <s v="RESTAURANT MIDI - PTD - AP"/>
    <m/>
    <e v="#N/A"/>
    <e v="#N/A"/>
    <n v="95939"/>
    <s v="25000338"/>
    <s v="Alain Pinchard"/>
    <s v="Q4"/>
    <e v="#REF!"/>
    <e v="#REF!"/>
    <e v="#REF!"/>
  </r>
  <r>
    <s v="625100"/>
    <x v="6"/>
    <s v="Voyages et déplacements"/>
    <s v="NDF"/>
    <n v="3.07"/>
    <d v="2025-07-17T00:00:00"/>
    <s v="DIVERS - SEL LAVE VAISSELLE ET LABO"/>
    <m/>
    <e v="#N/A"/>
    <e v="#N/A"/>
    <n v="88724"/>
    <s v="25000197"/>
    <s v="Filipe Gomes"/>
    <s v="Q3"/>
    <e v="#REF!"/>
    <e v="#REF!"/>
    <e v="#REF!"/>
  </r>
  <r>
    <s v="625100"/>
    <x v="6"/>
    <s v="Voyages et déplacements"/>
    <s v="NDF"/>
    <n v="3.08"/>
    <d v="2025-09-17T00:00:00"/>
    <s v="PÉAGE - PÉAGE SÉMINAIRE"/>
    <m/>
    <e v="#N/A"/>
    <e v="#N/A"/>
    <n v="88977"/>
    <s v="25000257"/>
    <s v="Anne-Sophie Goutierre"/>
    <s v="Q3"/>
    <e v="#REF!"/>
    <e v="#REF!"/>
    <e v="#REF!"/>
  </r>
  <r>
    <s v="625100"/>
    <x v="6"/>
    <s v="Voyages et déplacements"/>
    <s v="NDF"/>
    <n v="3.08"/>
    <d v="2025-09-19T00:00:00"/>
    <s v="PÉAGE - PÉAGE SÉMINAIRE"/>
    <m/>
    <e v="#N/A"/>
    <e v="#N/A"/>
    <n v="88981"/>
    <s v="25000257"/>
    <s v="Anne-Sophie Goutierre"/>
    <s v="Q3"/>
    <e v="#REF!"/>
    <e v="#REF!"/>
    <e v="#REF!"/>
  </r>
  <r>
    <s v="625100"/>
    <x v="6"/>
    <s v="Voyages et déplacements"/>
    <s v="NDF"/>
    <n v="3.2"/>
    <d v="2025-10-06T00:00:00"/>
    <s v="DIVERS - ENCAS"/>
    <m/>
    <e v="#N/A"/>
    <e v="#N/A"/>
    <n v="89047"/>
    <s v="25000256"/>
    <s v="Benjamin Barry"/>
    <s v="Q4"/>
    <e v="#REF!"/>
    <e v="#REF!"/>
    <e v="#REF!"/>
  </r>
  <r>
    <s v="625100"/>
    <x v="6"/>
    <s v="Voyages et déplacements"/>
    <s v="NDF"/>
    <n v="3.23"/>
    <d v="2025-03-31T00:00:00"/>
    <s v="NDF"/>
    <m/>
    <e v="#N/A"/>
    <e v="#N/A"/>
    <n v="75830"/>
    <s v="25000097"/>
    <s v="Bob Fernandez"/>
    <s v="Q1"/>
    <e v="#REF!"/>
    <e v="#REF!"/>
    <e v="#REF!"/>
  </r>
  <r>
    <s v="625100"/>
    <x v="6"/>
    <s v="Voyages et déplacements"/>
    <s v="NDF"/>
    <n v="3.3"/>
    <d v="2025-09-22T00:00:00"/>
    <s v="PETIT DEJEUNER - PETIT DÉJEUNER"/>
    <m/>
    <e v="#N/A"/>
    <e v="#N/A"/>
    <n v="88607"/>
    <s v="25000222"/>
    <s v="Pauline Rullière"/>
    <s v="Q3"/>
    <e v="#REF!"/>
    <e v="#REF!"/>
    <e v="#REF!"/>
  </r>
  <r>
    <s v="625100"/>
    <x v="6"/>
    <s v="Voyages et déplacements"/>
    <s v="NDF"/>
    <n v="3.45"/>
    <d v="2025-12-12T00:00:00"/>
    <s v="DIVERS - CAFE"/>
    <m/>
    <e v="#N/A"/>
    <e v="#N/A"/>
    <n v="93256"/>
    <s v="25000323"/>
    <s v="Jérémie Blache"/>
    <s v="Q4"/>
    <e v="#REF!"/>
    <e v="#REF!"/>
    <e v="#REF!"/>
  </r>
  <r>
    <s v="625100"/>
    <x v="6"/>
    <s v="Voyages et déplacements"/>
    <s v="NDF"/>
    <n v="3.46"/>
    <d v="2025-03-05T00:00:00"/>
    <s v="NDF"/>
    <m/>
    <e v="#N/A"/>
    <e v="#N/A"/>
    <n v="76482"/>
    <s v="N25000067"/>
    <s v="Jérémie Blache"/>
    <s v="Q1"/>
    <e v="#REF!"/>
    <e v="#REF!"/>
    <e v="#REF!"/>
  </r>
  <r>
    <s v="625100"/>
    <x v="6"/>
    <s v="Voyages et déplacements"/>
    <s v="NDF"/>
    <n v="3.58"/>
    <d v="2025-09-17T00:00:00"/>
    <s v="PÉAGE - PEAGE"/>
    <m/>
    <e v="#N/A"/>
    <e v="#N/A"/>
    <n v="88487"/>
    <s v="25000234"/>
    <s v="Jérémie Blache"/>
    <s v="Q3"/>
    <e v="#REF!"/>
    <e v="#REF!"/>
    <e v="#REF!"/>
  </r>
  <r>
    <s v="625100"/>
    <x v="6"/>
    <s v="Voyages et déplacements"/>
    <s v="NDF"/>
    <n v="3.58"/>
    <d v="2025-09-19T00:00:00"/>
    <s v="PÉAGE - PEAGE"/>
    <m/>
    <e v="#N/A"/>
    <e v="#N/A"/>
    <n v="88491"/>
    <s v="25000234"/>
    <s v="Jérémie Blache"/>
    <s v="Q3"/>
    <e v="#REF!"/>
    <e v="#REF!"/>
    <e v="#REF!"/>
  </r>
  <r>
    <s v="625100"/>
    <x v="6"/>
    <s v="Voyages et déplacements"/>
    <s v="NDF"/>
    <n v="3.6"/>
    <d v="2025-10-01T00:00:00"/>
    <s v="PETIT DEJEUNER - CS OCTOBRE 2025"/>
    <m/>
    <e v="#N/A"/>
    <e v="#N/A"/>
    <n v="93453"/>
    <s v="25000318"/>
    <s v="Lucie Crépin"/>
    <s v="Q4"/>
    <e v="#REF!"/>
    <e v="#REF!"/>
    <e v="#REF!"/>
  </r>
  <r>
    <s v="625100"/>
    <x v="6"/>
    <s v="Voyages et déplacements"/>
    <s v="NDF"/>
    <n v="3.66"/>
    <d v="2025-04-30T00:00:00"/>
    <s v="NOTE DE FRAIS"/>
    <m/>
    <e v="#N/A"/>
    <e v="#N/A"/>
    <n v="74392"/>
    <s v="25000135"/>
    <s v="Jérémie Blache"/>
    <s v="Q2"/>
    <e v="#REF!"/>
    <e v="#REF!"/>
    <e v="#REF!"/>
  </r>
  <r>
    <s v="625100"/>
    <x v="6"/>
    <s v="Voyages et déplacements"/>
    <s v="NDF"/>
    <n v="3.67"/>
    <d v="2025-04-21T00:00:00"/>
    <s v="NOTE DE FRAIS"/>
    <m/>
    <e v="#N/A"/>
    <e v="#N/A"/>
    <n v="74342"/>
    <s v="25000117"/>
    <s v="Jérémie Blache"/>
    <s v="Q2"/>
    <e v="#REF!"/>
    <e v="#REF!"/>
    <e v="#REF!"/>
  </r>
  <r>
    <s v="625100"/>
    <x v="6"/>
    <s v="Voyages et déplacements"/>
    <s v="NDF"/>
    <n v="3.84"/>
    <d v="2025-06-24T00:00:00"/>
    <s v="MÉTRO, BUS - BUS WOODVALOR"/>
    <m/>
    <e v="#N/A"/>
    <e v="#N/A"/>
    <n v="89204"/>
    <s v="25000111"/>
    <s v="Pauline Rullière"/>
    <s v="Q2"/>
    <e v="#REF!"/>
    <e v="#REF!"/>
    <e v="#REF!"/>
  </r>
  <r>
    <s v="625100"/>
    <x v="6"/>
    <s v="Voyages et déplacements"/>
    <s v="NDF"/>
    <n v="4"/>
    <d v="2025-04-21T00:00:00"/>
    <s v="NOTE DE FRAIS"/>
    <m/>
    <e v="#N/A"/>
    <e v="#N/A"/>
    <n v="74343"/>
    <s v="25000117"/>
    <s v="Jérémie Blache"/>
    <s v="Q2"/>
    <e v="#REF!"/>
    <e v="#REF!"/>
    <e v="#REF!"/>
  </r>
  <r>
    <s v="645300"/>
    <x v="6"/>
    <s v="COTISATIONS AUX CAISSES DE RETRAITE"/>
    <s v="SA"/>
    <n v="32.96"/>
    <d v="2025-12-31T00:00:00"/>
    <s v="CONTRIBUTION D'EQUILIBRE TECHNIQUE TU1"/>
    <m/>
    <e v="#N/A"/>
    <e v="#N/A"/>
    <n v="92849"/>
    <s v="SA202512"/>
    <m/>
    <s v="Q4"/>
    <e v="#REF!"/>
    <e v="#REF!"/>
    <e v="#REF!"/>
  </r>
  <r>
    <s v="625100"/>
    <x v="6"/>
    <s v="Voyages et déplacements"/>
    <s v="NDF"/>
    <n v="4.1399999999999997"/>
    <d v="2025-04-01T00:00:00"/>
    <s v="NOTE DE FRAIS"/>
    <m/>
    <e v="#N/A"/>
    <e v="#N/A"/>
    <n v="74292"/>
    <s v="25000130"/>
    <s v="Jérémie Blache"/>
    <s v="Q2"/>
    <e v="#REF!"/>
    <e v="#REF!"/>
    <e v="#REF!"/>
  </r>
  <r>
    <s v="625100"/>
    <x v="6"/>
    <s v="Voyages et déplacements"/>
    <s v="NDF"/>
    <n v="4.1500000000000004"/>
    <d v="2025-04-29T00:00:00"/>
    <s v="NOTE DE FRAIS"/>
    <m/>
    <e v="#N/A"/>
    <e v="#N/A"/>
    <n v="74371"/>
    <s v="24000395"/>
    <s v="Marie-Sarah Adenis"/>
    <s v="Q2"/>
    <e v="#REF!"/>
    <e v="#REF!"/>
    <e v="#REF!"/>
  </r>
  <r>
    <s v="625100"/>
    <x v="6"/>
    <s v="Voyages et déplacements"/>
    <s v="NDF"/>
    <n v="4.17"/>
    <d v="2025-09-17T00:00:00"/>
    <s v="PÉAGE - PEAGE"/>
    <m/>
    <e v="#N/A"/>
    <e v="#N/A"/>
    <n v="88489"/>
    <s v="25000234"/>
    <s v="Jérémie Blache"/>
    <s v="Q3"/>
    <e v="#REF!"/>
    <e v="#REF!"/>
    <e v="#REF!"/>
  </r>
  <r>
    <s v="625100"/>
    <x v="6"/>
    <s v="Voyages et déplacements"/>
    <s v="NDF"/>
    <n v="4.17"/>
    <d v="2025-11-24T00:00:00"/>
    <s v="PÉAGE - PÉAGE"/>
    <m/>
    <e v="#N/A"/>
    <e v="#N/A"/>
    <n v="90843"/>
    <s v="25000296"/>
    <s v="Jérémie Blache"/>
    <s v="Q4"/>
    <e v="#REF!"/>
    <e v="#REF!"/>
    <e v="#REF!"/>
  </r>
  <r>
    <s v="625100"/>
    <x v="6"/>
    <s v="Voyages et déplacements"/>
    <s v="NDF"/>
    <n v="4.17"/>
    <d v="2025-11-24T00:00:00"/>
    <s v="PÉAGE - PÉAGE"/>
    <m/>
    <e v="#N/A"/>
    <e v="#N/A"/>
    <n v="90855"/>
    <s v="25000296"/>
    <s v="Jérémie Blache"/>
    <s v="Q4"/>
    <e v="#REF!"/>
    <e v="#REF!"/>
    <e v="#REF!"/>
  </r>
  <r>
    <s v="625100"/>
    <x v="6"/>
    <s v="Voyages et déplacements"/>
    <s v="NDF"/>
    <n v="4.2699999999999996"/>
    <d v="2025-01-09T00:00:00"/>
    <s v="DIVERS - CAFÉ TRAIN"/>
    <m/>
    <e v="#N/A"/>
    <e v="#N/A"/>
    <n v="88089"/>
    <s v="25000215"/>
    <s v="Jérémie Blache"/>
    <s v="Q1"/>
    <e v="#REF!"/>
    <e v="#REF!"/>
    <e v="#REF!"/>
  </r>
  <r>
    <s v="625100"/>
    <x v="6"/>
    <s v="Voyages et déplacements"/>
    <s v="NDF"/>
    <n v="4.3"/>
    <d v="2025-05-13T00:00:00"/>
    <s v="PETIT DEJEUNER - PTJ - AP"/>
    <m/>
    <e v="#N/A"/>
    <e v="#N/A"/>
    <n v="95923"/>
    <s v="25000338"/>
    <s v="Alain Pinchard"/>
    <s v="Q2"/>
    <e v="#REF!"/>
    <e v="#REF!"/>
    <e v="#REF!"/>
  </r>
  <r>
    <s v="625100"/>
    <x v="6"/>
    <s v="Voyages et déplacements"/>
    <s v="NDF"/>
    <n v="4.32"/>
    <d v="2025-05-15T00:00:00"/>
    <s v="NOTE DE FRAIS"/>
    <m/>
    <e v="#N/A"/>
    <e v="#N/A"/>
    <n v="74428"/>
    <s v="25000147"/>
    <s v="Jérémie Blache"/>
    <s v="Q2"/>
    <e v="#REF!"/>
    <e v="#REF!"/>
    <e v="#REF!"/>
  </r>
  <r>
    <s v="625100"/>
    <x v="6"/>
    <s v="Voyages et déplacements"/>
    <s v="NDF"/>
    <n v="4.4000000000000004"/>
    <d v="2025-06-20T00:00:00"/>
    <s v="TRAIN - ALLER VIENNE LYON POUR FRANCE CHIMIE"/>
    <m/>
    <e v="#N/A"/>
    <e v="#N/A"/>
    <n v="88779"/>
    <s v="25000200"/>
    <s v="Anne-Sophie Goutierre"/>
    <s v="Q2"/>
    <e v="#REF!"/>
    <e v="#REF!"/>
    <e v="#REF!"/>
  </r>
  <r>
    <s v="625100"/>
    <x v="6"/>
    <s v="Voyages et déplacements"/>
    <s v="NDF"/>
    <n v="4.4000000000000004"/>
    <d v="2025-06-20T00:00:00"/>
    <s v="TRAIN - RETOUR LYON VIENNE POUR FRANCE CHIMIE"/>
    <m/>
    <e v="#N/A"/>
    <e v="#N/A"/>
    <n v="88762"/>
    <s v="25000200"/>
    <s v="Anne-Sophie Goutierre"/>
    <s v="Q2"/>
    <e v="#REF!"/>
    <e v="#REF!"/>
    <e v="#REF!"/>
  </r>
  <r>
    <s v="625100"/>
    <x v="6"/>
    <s v="Voyages et déplacements"/>
    <s v="NDF"/>
    <n v="4.4000000000000004"/>
    <d v="2025-09-23T00:00:00"/>
    <s v="TRAIN - TER LYON - VIENNE POUR FRANCE CHIMIE"/>
    <m/>
    <e v="#N/A"/>
    <e v="#N/A"/>
    <n v="88979"/>
    <s v="25000257"/>
    <s v="Anne-Sophie Goutierre"/>
    <s v="Q3"/>
    <e v="#REF!"/>
    <e v="#REF!"/>
    <e v="#REF!"/>
  </r>
  <r>
    <s v="625100"/>
    <x v="6"/>
    <s v="Voyages et déplacements"/>
    <s v="NDF"/>
    <n v="4.4000000000000004"/>
    <d v="2025-09-23T00:00:00"/>
    <s v="TRAIN - TER VIENNE LYON POUR FRANCE CHIMIE"/>
    <m/>
    <e v="#N/A"/>
    <e v="#N/A"/>
    <n v="88974"/>
    <s v="25000257"/>
    <s v="Anne-Sophie Goutierre"/>
    <s v="Q3"/>
    <e v="#REF!"/>
    <e v="#REF!"/>
    <e v="#REF!"/>
  </r>
  <r>
    <s v="625100"/>
    <x v="6"/>
    <s v="Voyages et déplacements"/>
    <s v="NDF"/>
    <n v="4.45"/>
    <d v="2025-11-24T00:00:00"/>
    <s v="DIVERS - CAFE TRAIN"/>
    <m/>
    <e v="#N/A"/>
    <e v="#N/A"/>
    <n v="91007"/>
    <s v="25000291"/>
    <s v="Jérémie Blache"/>
    <s v="Q4"/>
    <e v="#REF!"/>
    <e v="#REF!"/>
    <e v="#REF!"/>
  </r>
  <r>
    <s v="625100"/>
    <x v="6"/>
    <s v="Voyages et déplacements"/>
    <s v="NDF"/>
    <n v="4.47"/>
    <d v="2025-10-03T00:00:00"/>
    <s v="DIVERS - PETIT DEJ SUITE"/>
    <m/>
    <e v="#N/A"/>
    <e v="#N/A"/>
    <n v="88957"/>
    <s v="25000255"/>
    <s v="Emilie Amillastré"/>
    <s v="Q4"/>
    <e v="#REF!"/>
    <e v="#REF!"/>
    <e v="#REF!"/>
  </r>
  <r>
    <s v="625100"/>
    <x v="6"/>
    <s v="Voyages et déplacements"/>
    <s v="NDF"/>
    <n v="4.5"/>
    <d v="2025-01-22T00:00:00"/>
    <s v="NDF"/>
    <m/>
    <e v="#N/A"/>
    <e v="#N/A"/>
    <n v="76456"/>
    <s v="25000016"/>
    <s v="Jérémie Blache"/>
    <s v="Q1"/>
    <e v="#REF!"/>
    <e v="#REF!"/>
    <e v="#REF!"/>
  </r>
  <r>
    <s v="625100"/>
    <x v="6"/>
    <s v="Voyages et déplacements"/>
    <s v="NDF"/>
    <n v="4.54"/>
    <d v="2025-09-23T00:00:00"/>
    <s v="RESTAURANT MIDI - REWE"/>
    <m/>
    <e v="#N/A"/>
    <e v="#N/A"/>
    <n v="88445"/>
    <s v="25000259"/>
    <s v="Guillaume Boissonnat-Wu"/>
    <s v="Q3"/>
    <e v="#REF!"/>
    <e v="#REF!"/>
    <e v="#REF!"/>
  </r>
  <r>
    <s v="625100"/>
    <x v="6"/>
    <s v="Voyages et déplacements"/>
    <s v="NDF"/>
    <n v="4.55"/>
    <d v="2025-07-03T00:00:00"/>
    <s v="MÉTRO, BUS - ACHAT TICKET MÉTRO"/>
    <m/>
    <e v="#N/A"/>
    <e v="#N/A"/>
    <n v="88819"/>
    <s v="25000202"/>
    <s v="Pierre-Yves Bolle"/>
    <s v="Q3"/>
    <e v="#REF!"/>
    <e v="#REF!"/>
    <e v="#REF!"/>
  </r>
  <r>
    <s v="625100"/>
    <x v="6"/>
    <s v="Voyages et déplacements"/>
    <s v="NDF"/>
    <n v="4.6900000000000004"/>
    <d v="2025-03-12T00:00:00"/>
    <s v="NDF"/>
    <m/>
    <e v="#N/A"/>
    <e v="#N/A"/>
    <n v="76490"/>
    <s v="25000071"/>
    <s v="Jérémie Blache"/>
    <s v="Q1"/>
    <e v="#REF!"/>
    <e v="#REF!"/>
    <e v="#REF!"/>
  </r>
  <r>
    <s v="625100"/>
    <x v="6"/>
    <s v="Voyages et déplacements"/>
    <s v="NDF"/>
    <n v="4.8"/>
    <d v="2025-03-28T00:00:00"/>
    <s v="NOTE DE FRAIS"/>
    <m/>
    <e v="#N/A"/>
    <e v="#N/A"/>
    <n v="74222"/>
    <s v="25000095"/>
    <s v="Marjorie Denard"/>
    <s v="Q1"/>
    <e v="#REF!"/>
    <e v="#REF!"/>
    <e v="#REF!"/>
  </r>
  <r>
    <s v="625100"/>
    <x v="6"/>
    <s v="Voyages et déplacements"/>
    <s v="NDF"/>
    <n v="4.8"/>
    <d v="2025-10-06T00:00:00"/>
    <s v="DIVERS - ENCAS - CAFE"/>
    <m/>
    <e v="#N/A"/>
    <e v="#N/A"/>
    <n v="89061"/>
    <s v="25000256"/>
    <s v="Benjamin Barry"/>
    <s v="Q4"/>
    <e v="#REF!"/>
    <e v="#REF!"/>
    <e v="#REF!"/>
  </r>
  <r>
    <s v="625100"/>
    <x v="6"/>
    <s v="Voyages et déplacements"/>
    <s v="NDF"/>
    <n v="4.8600000000000003"/>
    <d v="2025-11-24T00:00:00"/>
    <s v="DIVERS - DEJ SUITE TRAIN"/>
    <m/>
    <e v="#N/A"/>
    <e v="#N/A"/>
    <n v="90823"/>
    <s v="25000302"/>
    <s v="Jérémie Blache"/>
    <s v="Q4"/>
    <e v="#REF!"/>
    <e v="#REF!"/>
    <e v="#REF!"/>
  </r>
  <r>
    <s v="625100"/>
    <x v="6"/>
    <s v="Voyages et déplacements"/>
    <s v="NDF"/>
    <n v="4.88"/>
    <d v="2025-11-20T00:00:00"/>
    <s v="DIVERS - TAXE DE SÉJOUR HÔTEL IBIS VILLEJUIF - DÉPLACEMENT VTOOM SUMMIT"/>
    <m/>
    <e v="#N/A"/>
    <e v="#N/A"/>
    <n v="93413"/>
    <s v="25000314"/>
    <s v="Pierre-Yves Bolle"/>
    <s v="Q4"/>
    <e v="#REF!"/>
    <e v="#REF!"/>
    <e v="#REF!"/>
  </r>
  <r>
    <s v="625100"/>
    <x v="6"/>
    <s v="Voyages et déplacements"/>
    <s v="NDF"/>
    <n v="4.95"/>
    <d v="2025-10-01T00:00:00"/>
    <s v="RESTAURANT MIDI - REPAS MIDI"/>
    <m/>
    <e v="#N/A"/>
    <e v="#N/A"/>
    <n v="89033"/>
    <s v="25000256"/>
    <s v="Benjamin Barry"/>
    <s v="Q4"/>
    <e v="#REF!"/>
    <e v="#REF!"/>
    <e v="#REF!"/>
  </r>
  <r>
    <s v="625100"/>
    <x v="6"/>
    <s v="Voyages et déplacements"/>
    <s v="NDF"/>
    <n v="5"/>
    <d v="2025-07-29T00:00:00"/>
    <s v="MÉTRO, BUS - DÉPLACEMENT TOULOUSE-PARIS CHIMIE ANALYTIQUE"/>
    <m/>
    <e v="#N/A"/>
    <e v="#N/A"/>
    <n v="88715"/>
    <s v="25000204"/>
    <s v="Océane Chabret"/>
    <s v="Q3"/>
    <e v="#REF!"/>
    <e v="#REF!"/>
    <e v="#REF!"/>
  </r>
  <r>
    <s v="625100"/>
    <x v="6"/>
    <s v="Voyages et déplacements"/>
    <s v="NDF"/>
    <n v="5.0199999999999996"/>
    <d v="2025-10-03T00:00:00"/>
    <s v="PETIT DEJEUNER - BTK - PTJ"/>
    <m/>
    <e v="#N/A"/>
    <e v="#N/A"/>
    <n v="95906"/>
    <s v="25000338"/>
    <s v="Alain Pinchard"/>
    <s v="Q4"/>
    <e v="#REF!"/>
    <e v="#REF!"/>
    <e v="#REF!"/>
  </r>
  <r>
    <s v="625100"/>
    <x v="6"/>
    <s v="Voyages et déplacements"/>
    <s v="NDF"/>
    <n v="5.07"/>
    <d v="2025-05-27T00:00:00"/>
    <s v="NDF"/>
    <m/>
    <e v="#N/A"/>
    <e v="#N/A"/>
    <n v="76533"/>
    <s v="25000156"/>
    <s v="Jérémie Blache"/>
    <s v="Q2"/>
    <e v="#REF!"/>
    <e v="#REF!"/>
    <e v="#REF!"/>
  </r>
  <r>
    <s v="625100"/>
    <x v="6"/>
    <s v="Voyages et déplacements"/>
    <s v="NDF"/>
    <n v="5.18"/>
    <d v="2025-09-08T00:00:00"/>
    <s v="DIVERS - CAFE TRAIN"/>
    <m/>
    <e v="#N/A"/>
    <e v="#N/A"/>
    <n v="88086"/>
    <s v="25000218"/>
    <s v="Jérémie Blache"/>
    <s v="Q3"/>
    <e v="#REF!"/>
    <e v="#REF!"/>
    <e v="#REF!"/>
  </r>
  <r>
    <s v="625100"/>
    <x v="6"/>
    <s v="Voyages et déplacements"/>
    <s v="NDF"/>
    <n v="5.27"/>
    <d v="2025-01-01T00:00:00"/>
    <s v="NDF"/>
    <m/>
    <e v="#N/A"/>
    <e v="#N/A"/>
    <n v="75653"/>
    <s v="24000356"/>
    <s v="Pauline Rullière"/>
    <s v="Q1"/>
    <e v="#REF!"/>
    <e v="#REF!"/>
    <e v="#REF!"/>
  </r>
  <r>
    <s v="625100"/>
    <x v="6"/>
    <s v="Voyages et déplacements"/>
    <s v="NDF"/>
    <n v="5.4"/>
    <d v="2025-10-02T00:00:00"/>
    <s v="DIVERS - PETIT DÉJEUNER AU POUR 3"/>
    <m/>
    <e v="#N/A"/>
    <e v="#N/A"/>
    <n v="89024"/>
    <s v="25000256"/>
    <s v="Benjamin Barry"/>
    <s v="Q4"/>
    <e v="#REF!"/>
    <e v="#REF!"/>
    <e v="#REF!"/>
  </r>
  <r>
    <s v="625100"/>
    <x v="6"/>
    <s v="Voyages et déplacements"/>
    <s v="NDF"/>
    <n v="5.41"/>
    <d v="2025-03-12T00:00:00"/>
    <s v="NDF"/>
    <m/>
    <e v="#N/A"/>
    <e v="#N/A"/>
    <n v="76491"/>
    <s v="25000071"/>
    <s v="Jérémie Blache"/>
    <s v="Q1"/>
    <e v="#REF!"/>
    <e v="#REF!"/>
    <e v="#REF!"/>
  </r>
  <r>
    <s v="625100"/>
    <x v="6"/>
    <s v="Voyages et déplacements"/>
    <s v="NDF"/>
    <n v="5.45"/>
    <d v="2025-09-01T00:00:00"/>
    <s v="DIVERS - CALL INVEST LYON"/>
    <m/>
    <e v="#N/A"/>
    <e v="#N/A"/>
    <n v="88092"/>
    <s v="25000225"/>
    <s v="Jérémie Blache"/>
    <s v="Q3"/>
    <e v="#REF!"/>
    <e v="#REF!"/>
    <e v="#REF!"/>
  </r>
  <r>
    <s v="625100"/>
    <x v="6"/>
    <s v="Voyages et déplacements"/>
    <s v="NDF"/>
    <n v="5.45"/>
    <d v="2025-10-01T00:00:00"/>
    <s v="DIVERS - GOÛTER TRAIN"/>
    <m/>
    <e v="#N/A"/>
    <e v="#N/A"/>
    <n v="88927"/>
    <s v="25000277"/>
    <s v="Jérémie Blache"/>
    <s v="Q4"/>
    <e v="#REF!"/>
    <e v="#REF!"/>
    <e v="#REF!"/>
  </r>
  <r>
    <s v="625100"/>
    <x v="6"/>
    <s v="Voyages et déplacements"/>
    <s v="NDF"/>
    <n v="5.48"/>
    <d v="2025-03-26T00:00:00"/>
    <s v="NDF"/>
    <m/>
    <e v="#N/A"/>
    <e v="#N/A"/>
    <n v="75453"/>
    <s v="25000090"/>
    <s v="Marine Bonnaud"/>
    <s v="Q1"/>
    <e v="#REF!"/>
    <e v="#REF!"/>
    <e v="#REF!"/>
  </r>
  <r>
    <s v="625100"/>
    <x v="6"/>
    <s v="Voyages et déplacements"/>
    <s v="NDF"/>
    <n v="5.48"/>
    <d v="2025-04-29T00:00:00"/>
    <s v="NOTE DE FRAIS"/>
    <m/>
    <e v="#N/A"/>
    <e v="#N/A"/>
    <n v="74385"/>
    <s v="25000132"/>
    <s v="Jérémie Blache"/>
    <s v="Q2"/>
    <e v="#REF!"/>
    <e v="#REF!"/>
    <e v="#REF!"/>
  </r>
  <r>
    <s v="625100"/>
    <x v="6"/>
    <s v="Voyages et déplacements"/>
    <s v="NDF"/>
    <n v="5.58"/>
    <d v="2025-07-26T00:00:00"/>
    <s v="MÉTRO, BUS - BUS AÉROPORT BUDAPEST"/>
    <m/>
    <e v="#N/A"/>
    <e v="#N/A"/>
    <n v="88845"/>
    <s v="25000194"/>
    <s v="Marie Rézeau"/>
    <s v="Q3"/>
    <e v="#REF!"/>
    <e v="#REF!"/>
    <e v="#REF!"/>
  </r>
  <r>
    <s v="625100"/>
    <x v="6"/>
    <s v="Voyages et déplacements"/>
    <s v="NDF"/>
    <n v="5.64"/>
    <d v="2025-03-19T00:00:00"/>
    <s v="NDF"/>
    <m/>
    <e v="#N/A"/>
    <e v="#N/A"/>
    <n v="75783"/>
    <s v="250000021"/>
    <s v="Marie Rézeau"/>
    <s v="Q1"/>
    <e v="#REF!"/>
    <e v="#REF!"/>
    <e v="#REF!"/>
  </r>
  <r>
    <s v="625100"/>
    <x v="6"/>
    <s v="Voyages et déplacements"/>
    <s v="NDF"/>
    <n v="5.7"/>
    <d v="2025-09-23T00:00:00"/>
    <s v="TRAIN - TRAIN TER VIENNE ROUSSILLON"/>
    <m/>
    <e v="#N/A"/>
    <e v="#N/A"/>
    <n v="88453"/>
    <s v="25000253"/>
    <s v="Bob Fernandez"/>
    <s v="Q3"/>
    <e v="#REF!"/>
    <e v="#REF!"/>
    <e v="#REF!"/>
  </r>
  <r>
    <s v="625100"/>
    <x v="6"/>
    <s v="Voyages et déplacements"/>
    <s v="NDF"/>
    <n v="5.82"/>
    <d v="2025-05-13T00:00:00"/>
    <s v="RESTAURANT MIDI - LUNCH AP"/>
    <m/>
    <e v="#N/A"/>
    <e v="#N/A"/>
    <n v="95909"/>
    <s v="25000338"/>
    <s v="Alain Pinchard"/>
    <s v="Q2"/>
    <e v="#REF!"/>
    <e v="#REF!"/>
    <e v="#REF!"/>
  </r>
  <r>
    <s v="625100"/>
    <x v="6"/>
    <s v="Voyages et déplacements"/>
    <s v="NDF"/>
    <n v="5.9"/>
    <d v="2025-10-03T00:00:00"/>
    <s v="DIVERS - PETIT DÉJEUNER"/>
    <m/>
    <e v="#N/A"/>
    <e v="#N/A"/>
    <n v="89039"/>
    <s v="25000256"/>
    <s v="Benjamin Barry"/>
    <s v="Q4"/>
    <e v="#REF!"/>
    <e v="#REF!"/>
    <e v="#REF!"/>
  </r>
  <r>
    <s v="625100"/>
    <x v="6"/>
    <s v="Voyages et déplacements"/>
    <s v="NDF"/>
    <n v="5.95"/>
    <d v="2025-10-03T00:00:00"/>
    <s v="PETIT DEJEUNER - STARBUCKS"/>
    <m/>
    <e v="#N/A"/>
    <e v="#N/A"/>
    <n v="88593"/>
    <s v="25000264"/>
    <s v="Gaëlle Buche"/>
    <s v="Q4"/>
    <e v="#REF!"/>
    <e v="#REF!"/>
    <e v="#REF!"/>
  </r>
  <r>
    <s v="625100"/>
    <x v="6"/>
    <s v="Voyages et déplacements"/>
    <s v="NDF"/>
    <n v="6"/>
    <d v="2025-04-10T00:00:00"/>
    <s v="NOTE DE FRAIS"/>
    <m/>
    <e v="#N/A"/>
    <e v="#N/A"/>
    <n v="74311"/>
    <s v="25000124"/>
    <s v="Vincent Blanchard"/>
    <s v="Q2"/>
    <e v="#REF!"/>
    <e v="#REF!"/>
    <e v="#REF!"/>
  </r>
  <r>
    <s v="625100"/>
    <x v="6"/>
    <s v="Voyages et déplacements"/>
    <s v="NDF"/>
    <n v="6.18"/>
    <d v="2025-02-01T00:00:00"/>
    <s v="NDF"/>
    <m/>
    <e v="#N/A"/>
    <e v="#N/A"/>
    <n v="76465"/>
    <s v="25000038"/>
    <s v="Jérémie Blache"/>
    <s v="Q1"/>
    <e v="#REF!"/>
    <e v="#REF!"/>
    <e v="#REF!"/>
  </r>
  <r>
    <s v="625100"/>
    <x v="6"/>
    <s v="Voyages et déplacements"/>
    <s v="NDF"/>
    <n v="6.2"/>
    <d v="2025-12-12T00:00:00"/>
    <s v="PETIT DEJEUNER - PS DEC"/>
    <m/>
    <e v="#N/A"/>
    <e v="#N/A"/>
    <n v="95856"/>
    <s v="25000338"/>
    <s v="Alain Pinchard"/>
    <s v="Q4"/>
    <e v="#REF!"/>
    <e v="#REF!"/>
    <e v="#REF!"/>
  </r>
  <r>
    <s v="625100"/>
    <x v="6"/>
    <s v="Voyages et déplacements"/>
    <s v="NDF"/>
    <n v="6.23"/>
    <d v="2025-03-26T00:00:00"/>
    <s v="NDF"/>
    <m/>
    <e v="#N/A"/>
    <e v="#N/A"/>
    <n v="75454"/>
    <s v="25000090"/>
    <s v="Marine Bonnaud"/>
    <s v="Q1"/>
    <e v="#REF!"/>
    <e v="#REF!"/>
    <e v="#REF!"/>
  </r>
  <r>
    <s v="625100"/>
    <x v="6"/>
    <s v="Voyages et déplacements"/>
    <s v="NDF"/>
    <n v="6.27"/>
    <d v="2025-06-03T00:00:00"/>
    <s v="RESTAURANT MIDI - CHEMSPEC - AP"/>
    <m/>
    <e v="#N/A"/>
    <e v="#N/A"/>
    <n v="95902"/>
    <s v="25000338"/>
    <s v="Alain Pinchard"/>
    <s v="Q2"/>
    <e v="#REF!"/>
    <e v="#REF!"/>
    <e v="#REF!"/>
  </r>
  <r>
    <s v="625100"/>
    <x v="6"/>
    <s v="Voyages et déplacements"/>
    <s v="NDF"/>
    <n v="6.36"/>
    <d v="2025-04-22T00:00:00"/>
    <s v="25000139"/>
    <m/>
    <e v="#N/A"/>
    <e v="#N/A"/>
    <n v="74354"/>
    <s v="25000139"/>
    <s v="Emilie Amillastré"/>
    <s v="Q2"/>
    <e v="#REF!"/>
    <e v="#REF!"/>
    <e v="#REF!"/>
  </r>
  <r>
    <s v="625100"/>
    <x v="6"/>
    <s v="Voyages et déplacements"/>
    <s v="NDF"/>
    <n v="6.4"/>
    <d v="2025-04-07T00:00:00"/>
    <s v="NOTE DE FRAIS"/>
    <m/>
    <e v="#N/A"/>
    <e v="#N/A"/>
    <n v="74297"/>
    <s v="25000109"/>
    <s v="Mylène Menanteau"/>
    <s v="Q2"/>
    <e v="#REF!"/>
    <e v="#REF!"/>
    <e v="#REF!"/>
  </r>
  <r>
    <s v="625100"/>
    <x v="6"/>
    <s v="Voyages et déplacements"/>
    <s v="NDF"/>
    <n v="6.45"/>
    <d v="2025-06-19T00:00:00"/>
    <s v="DIVERS - GOÛTER"/>
    <m/>
    <e v="#N/A"/>
    <e v="#N/A"/>
    <n v="89200"/>
    <s v="25000111"/>
    <s v="Pauline Rullière"/>
    <s v="Q2"/>
    <e v="#REF!"/>
    <e v="#REF!"/>
    <e v="#REF!"/>
  </r>
  <r>
    <s v="625100"/>
    <x v="6"/>
    <s v="Voyages et déplacements"/>
    <s v="NDF"/>
    <n v="6.45"/>
    <d v="2025-09-09T00:00:00"/>
    <s v="DIVERS - ENCAS"/>
    <m/>
    <e v="#N/A"/>
    <e v="#N/A"/>
    <n v="88104"/>
    <s v="25000195"/>
    <s v="Pauline Rullière"/>
    <s v="Q3"/>
    <e v="#REF!"/>
    <e v="#REF!"/>
    <e v="#REF!"/>
  </r>
  <r>
    <s v="625100"/>
    <x v="6"/>
    <s v="Voyages et déplacements"/>
    <s v="NDF"/>
    <n v="6.45"/>
    <d v="2025-12-01T00:00:00"/>
    <s v="DIVERS - BOULE À THÉ"/>
    <m/>
    <e v="#N/A"/>
    <e v="#N/A"/>
    <n v="93469"/>
    <s v="25000289"/>
    <s v="Pauline Rullière"/>
    <s v="Q4"/>
    <e v="#REF!"/>
    <e v="#REF!"/>
    <e v="#REF!"/>
  </r>
  <r>
    <s v="625100"/>
    <x v="6"/>
    <s v="Voyages et déplacements"/>
    <s v="NDF"/>
    <n v="6.45"/>
    <d v="2025-12-12T00:00:00"/>
    <s v="PETIT DEJEUNER - 251212 PETIT DÉJEUNER"/>
    <m/>
    <e v="#N/A"/>
    <e v="#N/A"/>
    <n v="93285"/>
    <s v="25000328"/>
    <s v="Anthony Martinez"/>
    <s v="Q4"/>
    <e v="#REF!"/>
    <e v="#REF!"/>
    <e v="#REF!"/>
  </r>
  <r>
    <s v="625100"/>
    <x v="6"/>
    <s v="Voyages et déplacements"/>
    <s v="NDF"/>
    <n v="6.5"/>
    <d v="2025-10-03T00:00:00"/>
    <s v="PETIT DEJEUNER - PETIT DEJEUNER"/>
    <m/>
    <e v="#N/A"/>
    <e v="#N/A"/>
    <n v="88403"/>
    <s v="25000269"/>
    <s v="Nuria RAMOS"/>
    <s v="Q4"/>
    <e v="#REF!"/>
    <e v="#REF!"/>
    <e v="#REF!"/>
  </r>
  <r>
    <s v="625100"/>
    <x v="6"/>
    <s v="Voyages et déplacements"/>
    <s v="NDF"/>
    <n v="6.6"/>
    <d v="2025-02-19T00:00:00"/>
    <s v="NOTE DE FRAIS"/>
    <m/>
    <e v="#N/A"/>
    <e v="#N/A"/>
    <n v="73686"/>
    <s v="25000046"/>
    <s v="Anthony Martinez"/>
    <s v="Q1"/>
    <e v="#REF!"/>
    <e v="#REF!"/>
    <e v="#REF!"/>
  </r>
  <r>
    <s v="625100"/>
    <x v="6"/>
    <s v="Voyages et déplacements"/>
    <s v="NDF"/>
    <n v="6.62"/>
    <d v="2025-04-10T00:00:00"/>
    <s v="NOTE DE FRAIS"/>
    <m/>
    <e v="#N/A"/>
    <e v="#N/A"/>
    <n v="74317"/>
    <s v="25000112"/>
    <s v="Marie Rézeau"/>
    <s v="Q2"/>
    <e v="#REF!"/>
    <e v="#REF!"/>
    <e v="#REF!"/>
  </r>
  <r>
    <s v="625100"/>
    <x v="6"/>
    <s v="Voyages et déplacements"/>
    <s v="NDF"/>
    <n v="6.62"/>
    <d v="2025-11-21T00:00:00"/>
    <s v="RESTAURANT MIDI - DÉJEUNER BUSINESS REVIEW NOVEMBRE"/>
    <m/>
    <e v="#N/A"/>
    <e v="#N/A"/>
    <n v="93428"/>
    <s v="25000314"/>
    <s v="Pierre-Yves Bolle"/>
    <s v="Q4"/>
    <e v="#REF!"/>
    <e v="#REF!"/>
    <e v="#REF!"/>
  </r>
  <r>
    <s v="625100"/>
    <x v="6"/>
    <s v="Voyages et déplacements"/>
    <s v="NDF"/>
    <n v="6.73"/>
    <d v="2025-09-15T00:00:00"/>
    <s v="MÉTRO, BUS - 250915 - 250916 MÉTRO"/>
    <m/>
    <e v="#N/A"/>
    <e v="#N/A"/>
    <n v="88538"/>
    <s v="25000242"/>
    <s v="Anthony Martinez"/>
    <s v="Q3"/>
    <e v="#REF!"/>
    <e v="#REF!"/>
    <e v="#REF!"/>
  </r>
  <r>
    <s v="625100"/>
    <x v="6"/>
    <s v="Voyages et déplacements"/>
    <s v="NDF"/>
    <n v="6.85"/>
    <d v="2025-09-30T00:00:00"/>
    <s v="PETIT DEJEUNER - DÉPLACEMENT BTK"/>
    <m/>
    <e v="#N/A"/>
    <e v="#N/A"/>
    <n v="95878"/>
    <s v="25000338"/>
    <s v="Alain Pinchard"/>
    <s v="Q3"/>
    <e v="#REF!"/>
    <e v="#REF!"/>
    <e v="#REF!"/>
  </r>
  <r>
    <s v="625100"/>
    <x v="6"/>
    <s v="Voyages et déplacements"/>
    <s v="NDF"/>
    <n v="6.95"/>
    <d v="2025-11-24T00:00:00"/>
    <s v="RESTAURANT MIDI - DÉJEUNER TOULOUSE"/>
    <m/>
    <e v="#N/A"/>
    <e v="#N/A"/>
    <n v="90936"/>
    <s v="25000288"/>
    <s v="Guillaume Boissonnat-Wu"/>
    <s v="Q4"/>
    <e v="#REF!"/>
    <e v="#REF!"/>
    <e v="#REF!"/>
  </r>
  <r>
    <s v="625100"/>
    <x v="6"/>
    <s v="Voyages et déplacements"/>
    <s v="NDF"/>
    <n v="7"/>
    <d v="2025-11-24T00:00:00"/>
    <s v="MÉTRO, BUS - KINGPINS AMSTERDAM"/>
    <m/>
    <e v="#N/A"/>
    <e v="#N/A"/>
    <n v="90947"/>
    <s v="25000284"/>
    <s v="Pierre-Yves Bolle"/>
    <s v="Q4"/>
    <e v="#REF!"/>
    <e v="#REF!"/>
    <e v="#REF!"/>
  </r>
  <r>
    <s v="625100"/>
    <x v="6"/>
    <s v="Voyages et déplacements"/>
    <s v="NDF"/>
    <n v="7"/>
    <d v="2025-12-11T00:00:00"/>
    <s v="PETIT DEJEUNER - 251211 PETIT DÉJEUNER"/>
    <m/>
    <e v="#N/A"/>
    <e v="#N/A"/>
    <n v="93278"/>
    <s v="25000328"/>
    <s v="Anthony Martinez"/>
    <s v="Q4"/>
    <e v="#REF!"/>
    <e v="#REF!"/>
    <e v="#REF!"/>
  </r>
  <r>
    <s v="625100"/>
    <x v="6"/>
    <s v="Voyages et déplacements"/>
    <s v="NDF"/>
    <n v="7.09"/>
    <d v="2025-04-02T00:00:00"/>
    <s v="NDF"/>
    <m/>
    <e v="#N/A"/>
    <e v="#N/A"/>
    <n v="75462"/>
    <s v="25000055"/>
    <s v="Lucie Crépin"/>
    <s v="Q2"/>
    <e v="#REF!"/>
    <e v="#REF!"/>
    <e v="#REF!"/>
  </r>
  <r>
    <s v="625100"/>
    <x v="6"/>
    <s v="Voyages et déplacements"/>
    <s v="NDF"/>
    <n v="7.16"/>
    <d v="2025-06-01T00:00:00"/>
    <s v="RESTAURANT MIDI - DÉJEUNER"/>
    <m/>
    <e v="#N/A"/>
    <e v="#N/A"/>
    <n v="89192"/>
    <s v="25000111"/>
    <s v="Pauline Rullière"/>
    <s v="Q2"/>
    <e v="#REF!"/>
    <e v="#REF!"/>
    <e v="#REF!"/>
  </r>
  <r>
    <s v="625100"/>
    <x v="6"/>
    <s v="Voyages et déplacements"/>
    <s v="NDF"/>
    <n v="7.18"/>
    <d v="2025-11-13T00:00:00"/>
    <s v="RESTAURANT MIDI - CAFÉ PADOUE POUR AVOIR DU WI-FI DÉPLACEMENT BERTO"/>
    <m/>
    <e v="#N/A"/>
    <e v="#N/A"/>
    <n v="93430"/>
    <s v="25000314"/>
    <s v="Pierre-Yves Bolle"/>
    <s v="Q4"/>
    <e v="#REF!"/>
    <e v="#REF!"/>
    <e v="#REF!"/>
  </r>
  <r>
    <s v="625100"/>
    <x v="6"/>
    <s v="Voyages et déplacements"/>
    <s v="NDF"/>
    <n v="7.27"/>
    <d v="2025-07-01T00:00:00"/>
    <s v="RESTAURANT MIDI - REPAS MIDI"/>
    <m/>
    <e v="#N/A"/>
    <e v="#N/A"/>
    <n v="88787"/>
    <s v="25000190"/>
    <s v="Marie-Sarah Adenis"/>
    <s v="Q3"/>
    <e v="#REF!"/>
    <e v="#REF!"/>
    <e v="#REF!"/>
  </r>
  <r>
    <s v="625100"/>
    <x v="6"/>
    <s v="Voyages et déplacements"/>
    <s v="NDF"/>
    <n v="7.29"/>
    <d v="2025-08-25T00:00:00"/>
    <s v="DIVERS - COURSES"/>
    <m/>
    <e v="#N/A"/>
    <e v="#N/A"/>
    <n v="88101"/>
    <s v="25000210"/>
    <s v="Bob Fernandez"/>
    <s v="Q3"/>
    <e v="#REF!"/>
    <e v="#REF!"/>
    <e v="#REF!"/>
  </r>
  <r>
    <s v="625100"/>
    <x v="6"/>
    <s v="Voyages et déplacements"/>
    <s v="NDF"/>
    <n v="7.48"/>
    <d v="2025-06-26T00:00:00"/>
    <s v="RESTAURANT MIDI - PETIT DÉJEUNER ALLER AFTPVA"/>
    <m/>
    <e v="#N/A"/>
    <e v="#N/A"/>
    <n v="88816"/>
    <s v="25000202"/>
    <s v="Pierre-Yves Bolle"/>
    <s v="Q2"/>
    <e v="#REF!"/>
    <e v="#REF!"/>
    <e v="#REF!"/>
  </r>
  <r>
    <s v="625100"/>
    <x v="6"/>
    <s v="Voyages et déplacements"/>
    <s v="NDF"/>
    <n v="7.6"/>
    <d v="2025-11-24T00:00:00"/>
    <s v="RESTAURANT SOIR - REPAS LUNDI SOIR"/>
    <m/>
    <e v="#N/A"/>
    <e v="#N/A"/>
    <n v="90880"/>
    <s v="25000301"/>
    <s v="Maud Sanchez"/>
    <s v="Q4"/>
    <e v="#REF!"/>
    <e v="#REF!"/>
    <e v="#REF!"/>
  </r>
  <r>
    <s v="625100"/>
    <x v="6"/>
    <s v="Voyages et déplacements"/>
    <s v="NDF"/>
    <n v="7.66"/>
    <d v="2025-02-19T00:00:00"/>
    <s v="NDF"/>
    <m/>
    <e v="#N/A"/>
    <e v="#N/A"/>
    <n v="75734"/>
    <s v="25000057"/>
    <s v="Guillaume Boissonnat-Wu"/>
    <s v="Q1"/>
    <e v="#REF!"/>
    <e v="#REF!"/>
    <e v="#REF!"/>
  </r>
  <r>
    <s v="625100"/>
    <x v="6"/>
    <s v="Voyages et déplacements"/>
    <s v="NDF"/>
    <n v="7.7"/>
    <d v="2025-03-27T00:00:00"/>
    <s v="NOTE DE FRAIS"/>
    <m/>
    <e v="#N/A"/>
    <e v="#N/A"/>
    <n v="74216"/>
    <s v="25000093"/>
    <s v="Marjorie Denard"/>
    <s v="Q1"/>
    <e v="#REF!"/>
    <e v="#REF!"/>
    <e v="#REF!"/>
  </r>
  <r>
    <s v="625100"/>
    <x v="6"/>
    <s v="Voyages et déplacements"/>
    <s v="NDF"/>
    <n v="7.73"/>
    <d v="2025-11-24T00:00:00"/>
    <s v="DIVERS - REPAS AUTOROUTE"/>
    <m/>
    <e v="#N/A"/>
    <e v="#N/A"/>
    <n v="90845"/>
    <s v="25000296"/>
    <s v="Jérémie Blache"/>
    <s v="Q4"/>
    <e v="#REF!"/>
    <e v="#REF!"/>
    <e v="#REF!"/>
  </r>
  <r>
    <s v="625100"/>
    <x v="6"/>
    <s v="Voyages et déplacements"/>
    <s v="NDF"/>
    <n v="7.73"/>
    <d v="2025-11-24T00:00:00"/>
    <s v="RESTAURANT MIDI - SANDWICH AUTOROUTE"/>
    <m/>
    <e v="#N/A"/>
    <e v="#N/A"/>
    <n v="90839"/>
    <s v="25000296"/>
    <s v="Jérémie Blache"/>
    <s v="Q4"/>
    <e v="#REF!"/>
    <e v="#REF!"/>
    <e v="#REF!"/>
  </r>
  <r>
    <s v="625100"/>
    <x v="6"/>
    <s v="Voyages et déplacements"/>
    <s v="NDF"/>
    <n v="7.9"/>
    <d v="2025-09-30T00:00:00"/>
    <s v="PETIT DEJEUNER - PETIT DEJ 30/09"/>
    <m/>
    <e v="#N/A"/>
    <e v="#N/A"/>
    <n v="88948"/>
    <s v="25000255"/>
    <s v="Emilie Amillastré"/>
    <s v="Q3"/>
    <e v="#REF!"/>
    <e v="#REF!"/>
    <e v="#REF!"/>
  </r>
  <r>
    <s v="625100"/>
    <x v="6"/>
    <s v="Voyages et déplacements"/>
    <s v="NDF"/>
    <n v="8"/>
    <d v="2025-06-04T00:00:00"/>
    <s v="PETIT DEJEUNER - KFE - AP (CHEMSPEC)"/>
    <m/>
    <e v="#N/A"/>
    <e v="#N/A"/>
    <n v="95880"/>
    <s v="25000338"/>
    <s v="Alain Pinchard"/>
    <s v="Q2"/>
    <e v="#REF!"/>
    <e v="#REF!"/>
    <e v="#REF!"/>
  </r>
  <r>
    <s v="625100"/>
    <x v="6"/>
    <s v="Voyages et déplacements"/>
    <s v="NDF"/>
    <n v="8.06"/>
    <d v="2025-11-03T00:00:00"/>
    <s v="RESTAURANT MIDI - DÉJEUNER CODIR NOVEMBRE"/>
    <m/>
    <e v="#N/A"/>
    <e v="#N/A"/>
    <n v="93403"/>
    <s v="25000314"/>
    <s v="Pierre-Yves Bolle"/>
    <s v="Q4"/>
    <e v="#REF!"/>
    <e v="#REF!"/>
    <e v="#REF!"/>
  </r>
  <r>
    <s v="625100"/>
    <x v="6"/>
    <s v="Voyages et déplacements"/>
    <s v="NDF"/>
    <n v="8.1"/>
    <d v="2025-11-24T00:00:00"/>
    <s v="TRAIN - ALLER VIENNE LYON (FRANCE CHIMIE)"/>
    <m/>
    <e v="#N/A"/>
    <e v="#N/A"/>
    <n v="90967"/>
    <s v="25000265"/>
    <s v="Marie Rézeau"/>
    <s v="Q4"/>
    <e v="#REF!"/>
    <e v="#REF!"/>
    <e v="#REF!"/>
  </r>
  <r>
    <s v="625100"/>
    <x v="6"/>
    <s v="Voyages et déplacements"/>
    <s v="NDF"/>
    <n v="8.1"/>
    <d v="2025-11-24T00:00:00"/>
    <s v="TRAIN - RETOUR LYON VIENNE (FRANCE CHIMIE)"/>
    <m/>
    <e v="#N/A"/>
    <e v="#N/A"/>
    <n v="90958"/>
    <s v="25000265"/>
    <s v="Marie Rézeau"/>
    <s v="Q4"/>
    <e v="#REF!"/>
    <e v="#REF!"/>
    <e v="#REF!"/>
  </r>
  <r>
    <s v="625100"/>
    <x v="6"/>
    <s v="Voyages et déplacements"/>
    <s v="NDF"/>
    <n v="8.1"/>
    <d v="2025-11-24T00:00:00"/>
    <s v="TRAIN - TRAIN LYON VIENNE"/>
    <m/>
    <e v="#N/A"/>
    <e v="#N/A"/>
    <n v="90829"/>
    <s v="25000299"/>
    <s v="Marie Rézeau"/>
    <s v="Q4"/>
    <e v="#REF!"/>
    <e v="#REF!"/>
    <e v="#REF!"/>
  </r>
  <r>
    <s v="625100"/>
    <x v="6"/>
    <s v="Voyages et déplacements"/>
    <s v="NDF"/>
    <n v="8.1"/>
    <d v="2025-11-24T00:00:00"/>
    <s v="TRAIN - TRAIN VIENNE - LYON"/>
    <m/>
    <e v="#N/A"/>
    <e v="#N/A"/>
    <n v="90831"/>
    <s v="25000299"/>
    <s v="Marie Rézeau"/>
    <s v="Q4"/>
    <e v="#REF!"/>
    <e v="#REF!"/>
    <e v="#REF!"/>
  </r>
  <r>
    <s v="625100"/>
    <x v="6"/>
    <s v="Voyages et déplacements"/>
    <s v="NDF"/>
    <n v="8.18"/>
    <d v="2025-12-02T00:00:00"/>
    <s v="MÉTRO, BUS - BUS"/>
    <m/>
    <e v="#N/A"/>
    <e v="#N/A"/>
    <n v="93475"/>
    <s v="25000289"/>
    <s v="Pauline Rullière"/>
    <s v="Q4"/>
    <e v="#REF!"/>
    <e v="#REF!"/>
    <e v="#REF!"/>
  </r>
  <r>
    <s v="625100"/>
    <x v="6"/>
    <s v="Voyages et déplacements"/>
    <s v="NDF"/>
    <n v="8.1999999999999993"/>
    <d v="2025-11-24T00:00:00"/>
    <s v="TRAIN - TRAIN VIENNE - LYON (BIOTIKA)"/>
    <m/>
    <e v="#N/A"/>
    <e v="#N/A"/>
    <n v="90975"/>
    <s v="25000265"/>
    <s v="Marie Rézeau"/>
    <s v="Q4"/>
    <e v="#REF!"/>
    <e v="#REF!"/>
    <e v="#REF!"/>
  </r>
  <r>
    <s v="625100"/>
    <x v="6"/>
    <s v="Voyages et déplacements"/>
    <s v="NDF"/>
    <n v="8.2200000000000006"/>
    <d v="2025-03-26T00:00:00"/>
    <s v="NOTE DE FRAIS"/>
    <m/>
    <e v="#N/A"/>
    <e v="#N/A"/>
    <n v="74214"/>
    <s v="25000091"/>
    <s v="Marjorie Denard"/>
    <s v="Q1"/>
    <e v="#REF!"/>
    <e v="#REF!"/>
    <e v="#REF!"/>
  </r>
  <r>
    <s v="625100"/>
    <x v="6"/>
    <s v="Voyages et déplacements"/>
    <s v="NDF"/>
    <n v="8.23"/>
    <d v="2025-11-19T00:00:00"/>
    <s v="RESTAURANT MIDI - DÉJEUNER TOULOUSE"/>
    <m/>
    <e v="#N/A"/>
    <e v="#N/A"/>
    <n v="95808"/>
    <s v="25000335"/>
    <s v="Guillaume Boissonnat-Wu"/>
    <s v="Q4"/>
    <e v="#REF!"/>
    <e v="#REF!"/>
    <e v="#REF!"/>
  </r>
  <r>
    <s v="625100"/>
    <x v="6"/>
    <s v="Voyages et déplacements"/>
    <s v="NDF"/>
    <n v="8.33"/>
    <d v="2025-09-16T00:00:00"/>
    <s v="DIVERS - ENVOI ÉCHANTILLON MATERIO'"/>
    <m/>
    <e v="#N/A"/>
    <e v="#N/A"/>
    <n v="88563"/>
    <s v="25000248"/>
    <s v="Pierre-Yves Bolle"/>
    <s v="Q3"/>
    <e v="#REF!"/>
    <e v="#REF!"/>
    <e v="#REF!"/>
  </r>
  <r>
    <s v="625100"/>
    <x v="6"/>
    <s v="Voyages et déplacements"/>
    <s v="NDF"/>
    <n v="8.39"/>
    <d v="2025-12-15T00:00:00"/>
    <s v="RESTAURANT MIDI - DEJ TRAIN"/>
    <m/>
    <e v="#N/A"/>
    <e v="#N/A"/>
    <n v="93249"/>
    <s v="25000327"/>
    <s v="Jérémie Blache"/>
    <s v="Q4"/>
    <e v="#REF!"/>
    <e v="#REF!"/>
    <e v="#REF!"/>
  </r>
  <r>
    <s v="625100"/>
    <x v="6"/>
    <s v="Voyages et déplacements"/>
    <s v="NDF"/>
    <n v="8.4"/>
    <d v="2025-03-26T00:00:00"/>
    <s v="NDF"/>
    <m/>
    <e v="#N/A"/>
    <e v="#N/A"/>
    <n v="75802"/>
    <s v="25000052"/>
    <s v="Maud Sanchez"/>
    <s v="Q1"/>
    <e v="#REF!"/>
    <e v="#REF!"/>
    <e v="#REF!"/>
  </r>
  <r>
    <s v="625100"/>
    <x v="6"/>
    <s v="Voyages et déplacements"/>
    <s v="NDF"/>
    <n v="8.44"/>
    <d v="2025-01-31T00:00:00"/>
    <s v="NOTE DE FRAIS"/>
    <m/>
    <e v="#N/A"/>
    <e v="#N/A"/>
    <n v="74178"/>
    <s v="25000001"/>
    <s v="Alain Pinchard"/>
    <s v="Q1"/>
    <e v="#REF!"/>
    <e v="#REF!"/>
    <e v="#REF!"/>
  </r>
  <r>
    <s v="625100"/>
    <x v="6"/>
    <s v="Voyages et déplacements"/>
    <s v="NDF"/>
    <n v="8.44"/>
    <d v="2025-02-01T00:00:00"/>
    <s v="NDF"/>
    <m/>
    <e v="#N/A"/>
    <e v="#N/A"/>
    <n v="76466"/>
    <s v="25000038"/>
    <s v="Jérémie Blache"/>
    <s v="Q1"/>
    <e v="#REF!"/>
    <e v="#REF!"/>
    <e v="#REF!"/>
  </r>
  <r>
    <s v="625100"/>
    <x v="6"/>
    <s v="Voyages et déplacements"/>
    <s v="NDF"/>
    <n v="8.4499999999999993"/>
    <d v="2025-07-03T00:00:00"/>
    <s v="RESTAURANT MIDI - REPAS MIDI"/>
    <m/>
    <e v="#N/A"/>
    <e v="#N/A"/>
    <n v="88641"/>
    <s v="25000180"/>
    <s v="Bob Fernandez"/>
    <s v="Q3"/>
    <e v="#REF!"/>
    <e v="#REF!"/>
    <e v="#REF!"/>
  </r>
  <r>
    <s v="625100"/>
    <x v="6"/>
    <s v="Voyages et déplacements"/>
    <s v="NDF"/>
    <n v="8.5500000000000007"/>
    <d v="2025-06-01T00:00:00"/>
    <s v="NDF"/>
    <m/>
    <e v="#N/A"/>
    <e v="#N/A"/>
    <n v="76547"/>
    <s v="25000166"/>
    <s v="Océane Chabret"/>
    <s v="Q2"/>
    <e v="#REF!"/>
    <e v="#REF!"/>
    <e v="#REF!"/>
  </r>
  <r>
    <s v="625100"/>
    <x v="6"/>
    <s v="Voyages et déplacements"/>
    <s v="NDF"/>
    <n v="8.6"/>
    <d v="2025-07-21T00:00:00"/>
    <s v="TRAIN - TRAIN VIENNE - LYON"/>
    <m/>
    <e v="#N/A"/>
    <e v="#N/A"/>
    <n v="88869"/>
    <s v="25000194"/>
    <s v="Marie Rézeau"/>
    <s v="Q3"/>
    <e v="#REF!"/>
    <e v="#REF!"/>
    <e v="#REF!"/>
  </r>
  <r>
    <s v="625100"/>
    <x v="6"/>
    <s v="Voyages et déplacements"/>
    <s v="NDF"/>
    <n v="8.68"/>
    <d v="2025-11-24T00:00:00"/>
    <s v="RESTAURANT SOIR - DEJ 20"/>
    <m/>
    <e v="#N/A"/>
    <e v="#N/A"/>
    <n v="90894"/>
    <s v="25000293"/>
    <s v="Julie Lacondemine"/>
    <s v="Q4"/>
    <e v="#REF!"/>
    <e v="#REF!"/>
    <e v="#REF!"/>
  </r>
  <r>
    <s v="625100"/>
    <x v="6"/>
    <s v="Voyages et déplacements"/>
    <s v="NDF"/>
    <n v="8.73"/>
    <d v="2025-03-31T00:00:00"/>
    <s v="NDF"/>
    <m/>
    <e v="#N/A"/>
    <e v="#N/A"/>
    <n v="75823"/>
    <s v="25000098"/>
    <s v="Marie de Almeida"/>
    <s v="Q1"/>
    <e v="#REF!"/>
    <e v="#REF!"/>
    <e v="#REF!"/>
  </r>
  <r>
    <s v="625100"/>
    <x v="6"/>
    <s v="Voyages et déplacements"/>
    <s v="NDF"/>
    <n v="8.7799999999999994"/>
    <d v="2025-02-10T00:00:00"/>
    <s v="NDF"/>
    <m/>
    <e v="#N/A"/>
    <e v="#N/A"/>
    <n v="75726"/>
    <s v="25000034"/>
    <s v="Anne-Sophie Goutierre"/>
    <s v="Q1"/>
    <e v="#REF!"/>
    <e v="#REF!"/>
    <e v="#REF!"/>
  </r>
  <r>
    <s v="625100"/>
    <x v="6"/>
    <s v="Voyages et déplacements"/>
    <s v="NDF"/>
    <n v="8.7899999999999991"/>
    <d v="2025-12-03T00:00:00"/>
    <s v="RESTAURANT MIDI - DÉJEUNER"/>
    <m/>
    <e v="#N/A"/>
    <e v="#N/A"/>
    <n v="93492"/>
    <s v="25000289"/>
    <s v="Pauline Rullière"/>
    <s v="Q4"/>
    <e v="#REF!"/>
    <e v="#REF!"/>
    <e v="#REF!"/>
  </r>
  <r>
    <s v="625100"/>
    <x v="6"/>
    <s v="Voyages et déplacements"/>
    <s v="NDF"/>
    <n v="8.85"/>
    <d v="2025-09-22T00:00:00"/>
    <s v="RESTAURANT MIDI - CROBAG"/>
    <m/>
    <e v="#N/A"/>
    <e v="#N/A"/>
    <n v="88447"/>
    <s v="25000259"/>
    <s v="Guillaume Boissonnat-Wu"/>
    <s v="Q3"/>
    <e v="#REF!"/>
    <e v="#REF!"/>
    <e v="#REF!"/>
  </r>
  <r>
    <s v="625100"/>
    <x v="6"/>
    <s v="Voyages et déplacements"/>
    <s v="NDF"/>
    <n v="8.9"/>
    <d v="2025-06-04T00:00:00"/>
    <s v="DIVERS - KFE CHEMSPEC"/>
    <m/>
    <e v="#N/A"/>
    <e v="#N/A"/>
    <n v="95894"/>
    <s v="25000338"/>
    <s v="Alain Pinchard"/>
    <s v="Q2"/>
    <e v="#REF!"/>
    <e v="#REF!"/>
    <e v="#REF!"/>
  </r>
  <r>
    <s v="625100"/>
    <x v="6"/>
    <s v="Voyages et déplacements"/>
    <s v="NDF"/>
    <n v="8.91"/>
    <d v="2025-11-24T00:00:00"/>
    <s v="RESTAURANT MIDI - REPAS ROUSSILLON"/>
    <m/>
    <e v="#N/A"/>
    <e v="#N/A"/>
    <n v="90918"/>
    <s v="25000279"/>
    <s v="Bob Fernandez"/>
    <s v="Q4"/>
    <e v="#REF!"/>
    <e v="#REF!"/>
    <e v="#REF!"/>
  </r>
  <r>
    <s v="625100"/>
    <x v="6"/>
    <s v="Voyages et déplacements"/>
    <s v="NDF"/>
    <n v="9"/>
    <d v="2025-07-21T00:00:00"/>
    <s v="PÉAGE - PÉAGE SLOVAQUIE"/>
    <m/>
    <e v="#N/A"/>
    <e v="#N/A"/>
    <n v="88841"/>
    <s v="25000194"/>
    <s v="Marie Rézeau"/>
    <s v="Q3"/>
    <e v="#REF!"/>
    <e v="#REF!"/>
    <e v="#REF!"/>
  </r>
  <r>
    <s v="625100"/>
    <x v="6"/>
    <s v="Voyages et déplacements"/>
    <s v="NDF"/>
    <n v="9"/>
    <d v="2025-11-24T00:00:00"/>
    <s v="DIVERS - BALAI BROSSE"/>
    <m/>
    <e v="#N/A"/>
    <e v="#N/A"/>
    <n v="90861"/>
    <s v="25000292"/>
    <s v="Clément Perrocheau"/>
    <s v="Q4"/>
    <e v="#REF!"/>
    <e v="#REF!"/>
    <e v="#REF!"/>
  </r>
  <r>
    <s v="625100"/>
    <x v="6"/>
    <s v="Voyages et déplacements"/>
    <s v="NDF"/>
    <n v="9"/>
    <d v="2025-12-02T00:00:00"/>
    <s v="DIVERS - REPAS TRAIN SOIR"/>
    <m/>
    <e v="#N/A"/>
    <e v="#N/A"/>
    <n v="93335"/>
    <s v="25000319"/>
    <s v="Jérémie Blache"/>
    <s v="Q4"/>
    <e v="#REF!"/>
    <e v="#REF!"/>
    <e v="#REF!"/>
  </r>
  <r>
    <s v="625100"/>
    <x v="6"/>
    <s v="Voyages et déplacements"/>
    <s v="NDF"/>
    <n v="9.09"/>
    <d v="2025-10-01T00:00:00"/>
    <s v="MÉTRO, BUS - MÉTRO"/>
    <m/>
    <e v="#N/A"/>
    <e v="#N/A"/>
    <n v="88436"/>
    <s v="25000246"/>
    <s v="Maud Sanchez"/>
    <s v="Q4"/>
    <e v="#REF!"/>
    <e v="#REF!"/>
    <e v="#REF!"/>
  </r>
  <r>
    <s v="625100"/>
    <x v="6"/>
    <s v="Voyages et déplacements"/>
    <s v="NDF"/>
    <n v="9.09"/>
    <d v="2025-10-02T00:00:00"/>
    <s v="MÉTRO, BUS - TICKETS METRO"/>
    <m/>
    <e v="#N/A"/>
    <e v="#N/A"/>
    <n v="88411"/>
    <s v="25000263"/>
    <s v="Yves Combret"/>
    <s v="Q4"/>
    <e v="#REF!"/>
    <e v="#REF!"/>
    <e v="#REF!"/>
  </r>
  <r>
    <s v="625100"/>
    <x v="6"/>
    <s v="Voyages et déplacements"/>
    <s v="NDF"/>
    <n v="9.1"/>
    <d v="2025-06-04T00:00:00"/>
    <s v="DIVERS - KFE SALON"/>
    <m/>
    <e v="#N/A"/>
    <e v="#N/A"/>
    <n v="95850"/>
    <s v="25000338"/>
    <s v="Alain Pinchard"/>
    <s v="Q2"/>
    <e v="#REF!"/>
    <e v="#REF!"/>
    <e v="#REF!"/>
  </r>
  <r>
    <s v="625100"/>
    <x v="6"/>
    <s v="Voyages et déplacements"/>
    <s v="NDF"/>
    <n v="9.1"/>
    <d v="2025-10-03T00:00:00"/>
    <s v="PETIT DEJEUNER - PETIT DEJ"/>
    <m/>
    <e v="#N/A"/>
    <e v="#N/A"/>
    <n v="88959"/>
    <s v="25000255"/>
    <s v="Emilie Amillastré"/>
    <s v="Q4"/>
    <e v="#REF!"/>
    <e v="#REF!"/>
    <e v="#REF!"/>
  </r>
  <r>
    <s v="625100"/>
    <x v="6"/>
    <s v="Voyages et déplacements"/>
    <s v="NDF"/>
    <n v="9.1300000000000008"/>
    <d v="2025-04-01T00:00:00"/>
    <s v="NDF"/>
    <m/>
    <e v="#N/A"/>
    <e v="#N/A"/>
    <n v="75457"/>
    <s v="25000099"/>
    <s v="Emilie Amillastré"/>
    <s v="Q2"/>
    <e v="#REF!"/>
    <e v="#REF!"/>
    <e v="#REF!"/>
  </r>
  <r>
    <s v="625100"/>
    <x v="6"/>
    <s v="Voyages et déplacements"/>
    <s v="NDF"/>
    <n v="9.18"/>
    <d v="2025-02-12T00:00:00"/>
    <s v="NOTE DE FRAIS"/>
    <m/>
    <e v="#N/A"/>
    <e v="#N/A"/>
    <n v="73676"/>
    <s v="25000036"/>
    <s v="Jérémie Blache"/>
    <s v="Q1"/>
    <e v="#REF!"/>
    <e v="#REF!"/>
    <e v="#REF!"/>
  </r>
  <r>
    <s v="625100"/>
    <x v="6"/>
    <s v="Voyages et déplacements"/>
    <s v="NDF"/>
    <n v="9.19"/>
    <d v="2025-01-22T00:00:00"/>
    <s v="NDF"/>
    <m/>
    <e v="#N/A"/>
    <e v="#N/A"/>
    <n v="76457"/>
    <s v="25000016"/>
    <s v="Jérémie Blache"/>
    <s v="Q1"/>
    <e v="#REF!"/>
    <e v="#REF!"/>
    <e v="#REF!"/>
  </r>
  <r>
    <s v="625100"/>
    <x v="6"/>
    <s v="Voyages et déplacements"/>
    <s v="NDF"/>
    <n v="9.25"/>
    <d v="2025-11-24T00:00:00"/>
    <s v="RESTAURANT SOIR - JEUDI SOIR"/>
    <m/>
    <e v="#N/A"/>
    <e v="#N/A"/>
    <n v="90971"/>
    <s v="25000265"/>
    <s v="Marie Rézeau"/>
    <s v="Q4"/>
    <e v="#REF!"/>
    <e v="#REF!"/>
    <e v="#REF!"/>
  </r>
  <r>
    <s v="625100"/>
    <x v="6"/>
    <s v="Voyages et déplacements"/>
    <s v="NDF"/>
    <n v="9.26"/>
    <d v="2025-08-01T00:00:00"/>
    <s v="RESTAURANT MIDI - DÉPLACEMENT TOULOUSE-PARIS CHIMIE ANALYTIQUE"/>
    <m/>
    <e v="#N/A"/>
    <e v="#N/A"/>
    <n v="88718"/>
    <s v="25000204"/>
    <s v="Océane Chabret"/>
    <s v="Q3"/>
    <e v="#REF!"/>
    <e v="#REF!"/>
    <e v="#REF!"/>
  </r>
  <r>
    <s v="625100"/>
    <x v="6"/>
    <s v="Voyages et déplacements"/>
    <s v="NDF"/>
    <n v="9.27"/>
    <d v="2025-04-30T00:00:00"/>
    <s v="NOTE DE FRAIS"/>
    <m/>
    <e v="#N/A"/>
    <e v="#N/A"/>
    <n v="74401"/>
    <s v="25000119"/>
    <s v="Nicolas Canu"/>
    <s v="Q2"/>
    <e v="#REF!"/>
    <e v="#REF!"/>
    <e v="#REF!"/>
  </r>
  <r>
    <s v="625100"/>
    <x v="6"/>
    <s v="Voyages et déplacements"/>
    <s v="NDF"/>
    <n v="9.2899999999999991"/>
    <d v="2025-03-28T00:00:00"/>
    <s v="NDF"/>
    <m/>
    <e v="#N/A"/>
    <e v="#N/A"/>
    <n v="75818"/>
    <s v="25000092"/>
    <s v="Marjorie Denard"/>
    <s v="Q1"/>
    <e v="#REF!"/>
    <e v="#REF!"/>
    <e v="#REF!"/>
  </r>
  <r>
    <s v="625100"/>
    <x v="6"/>
    <s v="Voyages et déplacements"/>
    <s v="NDF"/>
    <n v="9.3000000000000007"/>
    <d v="2025-12-02T00:00:00"/>
    <s v="RESTAURANT MIDI - DÉJEUNER"/>
    <m/>
    <e v="#N/A"/>
    <e v="#N/A"/>
    <n v="93463"/>
    <s v="25000289"/>
    <s v="Pauline Rullière"/>
    <s v="Q4"/>
    <e v="#REF!"/>
    <e v="#REF!"/>
    <e v="#REF!"/>
  </r>
  <r>
    <s v="625100"/>
    <x v="6"/>
    <s v="Voyages et déplacements"/>
    <s v="NDF"/>
    <n v="9.32"/>
    <d v="2025-07-25T00:00:00"/>
    <s v="DIVERS - PETIT DÉJEUNER"/>
    <m/>
    <e v="#N/A"/>
    <e v="#N/A"/>
    <n v="88736"/>
    <s v="25000196"/>
    <s v="Benjamin Barry"/>
    <s v="Q3"/>
    <e v="#REF!"/>
    <e v="#REF!"/>
    <e v="#REF!"/>
  </r>
  <r>
    <s v="625100"/>
    <x v="6"/>
    <s v="Voyages et déplacements"/>
    <s v="NDF"/>
    <n v="9.34"/>
    <d v="2025-12-12T00:00:00"/>
    <s v="RESTAURANT MIDI - REPAS TRAIN"/>
    <m/>
    <e v="#N/A"/>
    <e v="#N/A"/>
    <n v="93258"/>
    <s v="25000323"/>
    <s v="Jérémie Blache"/>
    <s v="Q4"/>
    <e v="#REF!"/>
    <e v="#REF!"/>
    <e v="#REF!"/>
  </r>
  <r>
    <s v="625100"/>
    <x v="6"/>
    <s v="Voyages et déplacements"/>
    <s v="NDF"/>
    <n v="9.41"/>
    <d v="2025-11-24T00:00:00"/>
    <s v="RESTAURANT MIDI - DEJ TRAIN"/>
    <m/>
    <e v="#N/A"/>
    <e v="#N/A"/>
    <n v="90825"/>
    <s v="25000302"/>
    <s v="Jérémie Blache"/>
    <s v="Q4"/>
    <e v="#REF!"/>
    <e v="#REF!"/>
    <e v="#REF!"/>
  </r>
  <r>
    <s v="625100"/>
    <x v="6"/>
    <s v="Voyages et déplacements"/>
    <s v="NDF"/>
    <n v="9.5"/>
    <d v="2025-02-11T00:00:00"/>
    <s v="TRAIN - A/R ROUSSILLON - RÉUNION SITE"/>
    <m/>
    <e v="#N/A"/>
    <e v="#N/A"/>
    <n v="95762"/>
    <s v="25000042"/>
    <s v="Alain Pinchard"/>
    <s v="Q1"/>
    <e v="#REF!"/>
    <e v="#REF!"/>
    <e v="#REF!"/>
  </r>
  <r>
    <s v="625100"/>
    <x v="6"/>
    <s v="Voyages et déplacements"/>
    <s v="NDF"/>
    <n v="9.5"/>
    <d v="2025-02-11T00:00:00"/>
    <s v="TRAIN - A/R ROUSSILLON - RÉUNION SITE"/>
    <m/>
    <e v="#N/A"/>
    <e v="#N/A"/>
    <n v="95764"/>
    <s v="25000042"/>
    <s v="Alain Pinchard"/>
    <s v="Q1"/>
    <e v="#REF!"/>
    <e v="#REF!"/>
    <e v="#REF!"/>
  </r>
  <r>
    <s v="625100"/>
    <x v="6"/>
    <s v="Voyages et déplacements"/>
    <s v="NDF"/>
    <n v="9.5"/>
    <d v="2025-04-03T00:00:00"/>
    <s v="TRAIN - LYO VERS ROU"/>
    <m/>
    <e v="#N/A"/>
    <e v="#N/A"/>
    <n v="95964"/>
    <s v="25000339"/>
    <s v="Alain Pinchard"/>
    <s v="Q2"/>
    <e v="#REF!"/>
    <e v="#REF!"/>
    <e v="#REF!"/>
  </r>
  <r>
    <s v="625100"/>
    <x v="6"/>
    <s v="Voyages et déplacements"/>
    <s v="NDF"/>
    <n v="9.5"/>
    <d v="2025-04-10T00:00:00"/>
    <s v="TRAIN - DÉPLACEMENT À ROU"/>
    <m/>
    <e v="#N/A"/>
    <e v="#N/A"/>
    <n v="95950"/>
    <s v="25000339"/>
    <s v="Alain Pinchard"/>
    <s v="Q2"/>
    <e v="#REF!"/>
    <e v="#REF!"/>
    <e v="#REF!"/>
  </r>
  <r>
    <s v="625100"/>
    <x v="6"/>
    <s v="Voyages et déplacements"/>
    <s v="NDF"/>
    <n v="9.5"/>
    <d v="2025-05-23T00:00:00"/>
    <s v="TRAIN - LYO VERS ROU"/>
    <m/>
    <e v="#N/A"/>
    <e v="#N/A"/>
    <n v="95956"/>
    <s v="25000339"/>
    <s v="Alain Pinchard"/>
    <s v="Q2"/>
    <e v="#REF!"/>
    <e v="#REF!"/>
    <e v="#REF!"/>
  </r>
  <r>
    <s v="625100"/>
    <x v="6"/>
    <s v="Voyages et déplacements"/>
    <s v="NDF"/>
    <n v="9.5"/>
    <d v="2025-05-23T00:00:00"/>
    <s v="TRAIN - ROU VERS LYO"/>
    <m/>
    <e v="#N/A"/>
    <e v="#N/A"/>
    <n v="95954"/>
    <s v="25000339"/>
    <s v="Alain Pinchard"/>
    <s v="Q2"/>
    <e v="#REF!"/>
    <e v="#REF!"/>
    <e v="#REF!"/>
  </r>
  <r>
    <s v="625100"/>
    <x v="6"/>
    <s v="Voyages et déplacements"/>
    <s v="NDF"/>
    <n v="9.5"/>
    <d v="2025-06-12T00:00:00"/>
    <s v="TRAIN - SNCF - AP - LYO TO ROU"/>
    <m/>
    <e v="#N/A"/>
    <e v="#N/A"/>
    <n v="95896"/>
    <s v="25000338"/>
    <s v="Alain Pinchard"/>
    <s v="Q2"/>
    <e v="#REF!"/>
    <e v="#REF!"/>
    <e v="#REF!"/>
  </r>
  <r>
    <s v="625100"/>
    <x v="6"/>
    <s v="Voyages et déplacements"/>
    <s v="NDF"/>
    <n v="9.5"/>
    <d v="2025-06-12T00:00:00"/>
    <s v="TRAIN - SNCF - AP - ROU TO LYO"/>
    <m/>
    <e v="#N/A"/>
    <e v="#N/A"/>
    <n v="95890"/>
    <s v="25000338"/>
    <s v="Alain Pinchard"/>
    <s v="Q2"/>
    <e v="#REF!"/>
    <e v="#REF!"/>
    <e v="#REF!"/>
  </r>
  <r>
    <s v="625100"/>
    <x v="6"/>
    <s v="Voyages et déplacements"/>
    <s v="NDF"/>
    <n v="9.5"/>
    <d v="2025-06-19T00:00:00"/>
    <s v="TRAIN - SNCF - AP - LYO VERS ROU"/>
    <m/>
    <e v="#N/A"/>
    <e v="#N/A"/>
    <n v="95852"/>
    <s v="25000338"/>
    <s v="Alain Pinchard"/>
    <s v="Q2"/>
    <e v="#REF!"/>
    <e v="#REF!"/>
    <e v="#REF!"/>
  </r>
  <r>
    <s v="625100"/>
    <x v="6"/>
    <s v="Voyages et déplacements"/>
    <s v="NDF"/>
    <n v="9.5"/>
    <d v="2025-06-19T00:00:00"/>
    <s v="TRAIN - SNCF - AP - ROU VERS LYO"/>
    <m/>
    <e v="#N/A"/>
    <e v="#N/A"/>
    <n v="95935"/>
    <s v="25000338"/>
    <s v="Alain Pinchard"/>
    <s v="Q2"/>
    <e v="#REF!"/>
    <e v="#REF!"/>
    <e v="#REF!"/>
  </r>
  <r>
    <s v="625100"/>
    <x v="6"/>
    <s v="Voyages et déplacements"/>
    <s v="NDF"/>
    <n v="9.5"/>
    <d v="2025-07-03T00:00:00"/>
    <s v="TRAIN - SNCF - AP - LYO - ROU"/>
    <m/>
    <e v="#N/A"/>
    <e v="#N/A"/>
    <n v="95888"/>
    <s v="25000338"/>
    <s v="Alain Pinchard"/>
    <s v="Q3"/>
    <e v="#REF!"/>
    <e v="#REF!"/>
    <e v="#REF!"/>
  </r>
  <r>
    <s v="625100"/>
    <x v="6"/>
    <s v="Voyages et déplacements"/>
    <s v="NDF"/>
    <n v="9.5"/>
    <d v="2025-07-03T00:00:00"/>
    <s v="TRAIN - SNCF - AP - ROU - LYO"/>
    <m/>
    <e v="#N/A"/>
    <e v="#N/A"/>
    <n v="95860"/>
    <s v="25000338"/>
    <s v="Alain Pinchard"/>
    <s v="Q3"/>
    <e v="#REF!"/>
    <e v="#REF!"/>
    <e v="#REF!"/>
  </r>
  <r>
    <s v="625100"/>
    <x v="6"/>
    <s v="Voyages et déplacements"/>
    <s v="NDF"/>
    <n v="9.5"/>
    <d v="2025-07-29T00:00:00"/>
    <s v="TRAIN - TRAIN ALLER ROUSSILLON"/>
    <m/>
    <e v="#N/A"/>
    <e v="#N/A"/>
    <n v="89076"/>
    <s v="25000203"/>
    <s v="Julie Lacondemine"/>
    <s v="Q3"/>
    <e v="#REF!"/>
    <e v="#REF!"/>
    <e v="#REF!"/>
  </r>
  <r>
    <s v="625100"/>
    <x v="6"/>
    <s v="Voyages et déplacements"/>
    <s v="NDF"/>
    <n v="9.5"/>
    <d v="2025-07-29T00:00:00"/>
    <s v="TRAIN - TRAIN RETOUR"/>
    <m/>
    <e v="#N/A"/>
    <e v="#N/A"/>
    <n v="89074"/>
    <s v="25000203"/>
    <s v="Julie Lacondemine"/>
    <s v="Q3"/>
    <e v="#REF!"/>
    <e v="#REF!"/>
    <e v="#REF!"/>
  </r>
  <r>
    <s v="625100"/>
    <x v="6"/>
    <s v="Voyages et déplacements"/>
    <s v="NDF"/>
    <n v="9.5"/>
    <d v="2025-10-06T00:00:00"/>
    <s v="TRAIN - ALLER ROUSSILLON"/>
    <m/>
    <e v="#N/A"/>
    <e v="#N/A"/>
    <n v="88924"/>
    <s v="25000267"/>
    <s v="Julie Lacondemine"/>
    <s v="Q4"/>
    <e v="#REF!"/>
    <e v="#REF!"/>
    <e v="#REF!"/>
  </r>
  <r>
    <s v="625100"/>
    <x v="6"/>
    <s v="Voyages et déplacements"/>
    <s v="NDF"/>
    <n v="9.5"/>
    <d v="2025-10-06T00:00:00"/>
    <s v="TRAIN - RETOUR ROUSSILLON"/>
    <m/>
    <e v="#N/A"/>
    <e v="#N/A"/>
    <n v="88919"/>
    <s v="25000267"/>
    <s v="Julie Lacondemine"/>
    <s v="Q4"/>
    <e v="#REF!"/>
    <e v="#REF!"/>
    <e v="#REF!"/>
  </r>
  <r>
    <s v="625100"/>
    <x v="6"/>
    <s v="Voyages et déplacements"/>
    <s v="NDF"/>
    <n v="9.5"/>
    <d v="2025-11-24T00:00:00"/>
    <s v="DIVERS - ENTRÉE JEU DE PAUME (EXPO IA)"/>
    <m/>
    <e v="#N/A"/>
    <e v="#N/A"/>
    <n v="90996"/>
    <s v="25000297"/>
    <s v="Marie-Sarah Adenis"/>
    <s v="Q4"/>
    <e v="#REF!"/>
    <e v="#REF!"/>
    <e v="#REF!"/>
  </r>
  <r>
    <s v="625100"/>
    <x v="6"/>
    <s v="Voyages et déplacements"/>
    <s v="NDF"/>
    <n v="9.57"/>
    <d v="2025-06-10T00:00:00"/>
    <s v="NDF"/>
    <m/>
    <e v="#N/A"/>
    <e v="#N/A"/>
    <n v="76579"/>
    <s v="2025-0000171"/>
    <s v="Marie de Almeida"/>
    <s v="Q2"/>
    <e v="#REF!"/>
    <e v="#REF!"/>
    <e v="#REF!"/>
  </r>
  <r>
    <s v="625100"/>
    <x v="6"/>
    <s v="Voyages et déplacements"/>
    <s v="NDF"/>
    <n v="9.57"/>
    <d v="2025-07-21T00:00:00"/>
    <s v="DIVERS - EN CAS AÉROPORT"/>
    <m/>
    <e v="#N/A"/>
    <e v="#N/A"/>
    <n v="88729"/>
    <s v="25000196"/>
    <s v="Benjamin Barry"/>
    <s v="Q3"/>
    <e v="#REF!"/>
    <e v="#REF!"/>
    <e v="#REF!"/>
  </r>
  <r>
    <s v="625100"/>
    <x v="6"/>
    <s v="Voyages et déplacements"/>
    <s v="NDF"/>
    <n v="9.6"/>
    <d v="2025-06-24T00:00:00"/>
    <s v="RESTAURANT MIDI - DEJ"/>
    <m/>
    <e v="#N/A"/>
    <e v="#N/A"/>
    <n v="89214"/>
    <s v="25000111"/>
    <s v="Pauline Rullière"/>
    <s v="Q2"/>
    <e v="#REF!"/>
    <e v="#REF!"/>
    <e v="#REF!"/>
  </r>
  <r>
    <s v="625100"/>
    <x v="6"/>
    <s v="Voyages et déplacements"/>
    <s v="NDF"/>
    <n v="9.7100000000000009"/>
    <d v="2025-03-26T00:00:00"/>
    <s v="NOTE DE FRAIS"/>
    <m/>
    <e v="#N/A"/>
    <e v="#N/A"/>
    <n v="74284"/>
    <s v="25000113"/>
    <s v="Lucie Crépin"/>
    <s v="Q1"/>
    <e v="#REF!"/>
    <e v="#REF!"/>
    <e v="#REF!"/>
  </r>
  <r>
    <s v="625100"/>
    <x v="6"/>
    <s v="Voyages et déplacements"/>
    <s v="NDF"/>
    <n v="9.9"/>
    <d v="2025-11-04T00:00:00"/>
    <s v="TRAIN - TER ALLER"/>
    <m/>
    <e v="#N/A"/>
    <e v="#N/A"/>
    <n v="93376"/>
    <s v="25000315"/>
    <s v="Kevin Cottet"/>
    <s v="Q4"/>
    <e v="#REF!"/>
    <e v="#REF!"/>
    <e v="#REF!"/>
  </r>
  <r>
    <s v="625100"/>
    <x v="6"/>
    <s v="Voyages et déplacements"/>
    <s v="NDF"/>
    <n v="9.9"/>
    <d v="2025-11-04T00:00:00"/>
    <s v="TRAIN - TER RETOUR"/>
    <m/>
    <e v="#N/A"/>
    <e v="#N/A"/>
    <n v="93381"/>
    <s v="25000315"/>
    <s v="Kevin Cottet"/>
    <s v="Q4"/>
    <e v="#REF!"/>
    <e v="#REF!"/>
    <e v="#REF!"/>
  </r>
  <r>
    <s v="625100"/>
    <x v="6"/>
    <s v="Voyages et déplacements"/>
    <s v="NDF"/>
    <n v="9.9"/>
    <d v="2025-11-13T00:00:00"/>
    <s v="TRAIN - TER ALLER"/>
    <m/>
    <e v="#N/A"/>
    <e v="#N/A"/>
    <n v="93374"/>
    <s v="25000315"/>
    <s v="Kevin Cottet"/>
    <s v="Q4"/>
    <e v="#REF!"/>
    <e v="#REF!"/>
    <e v="#REF!"/>
  </r>
  <r>
    <s v="625100"/>
    <x v="6"/>
    <s v="Voyages et déplacements"/>
    <s v="NDF"/>
    <n v="9.9"/>
    <d v="2025-11-13T00:00:00"/>
    <s v="TRAIN - TER RETOUR"/>
    <m/>
    <e v="#N/A"/>
    <e v="#N/A"/>
    <n v="93392"/>
    <s v="25000315"/>
    <s v="Kevin Cottet"/>
    <s v="Q4"/>
    <e v="#REF!"/>
    <e v="#REF!"/>
    <e v="#REF!"/>
  </r>
  <r>
    <s v="625100"/>
    <x v="6"/>
    <s v="Voyages et déplacements"/>
    <s v="NDF"/>
    <n v="9.9"/>
    <d v="2025-12-02T00:00:00"/>
    <s v="TRAIN - TER ALLER"/>
    <m/>
    <e v="#N/A"/>
    <e v="#N/A"/>
    <n v="93394"/>
    <s v="25000315"/>
    <s v="Kevin Cottet"/>
    <s v="Q4"/>
    <e v="#REF!"/>
    <e v="#REF!"/>
    <e v="#REF!"/>
  </r>
  <r>
    <s v="625100"/>
    <x v="6"/>
    <s v="Voyages et déplacements"/>
    <s v="NDF"/>
    <n v="9.9"/>
    <d v="2025-12-02T00:00:00"/>
    <s v="TRAIN - TER RETOUR"/>
    <m/>
    <e v="#N/A"/>
    <e v="#N/A"/>
    <n v="93385"/>
    <s v="25000315"/>
    <s v="Kevin Cottet"/>
    <s v="Q4"/>
    <e v="#REF!"/>
    <e v="#REF!"/>
    <e v="#REF!"/>
  </r>
  <r>
    <s v="625100"/>
    <x v="6"/>
    <s v="Voyages et déplacements"/>
    <s v="NDF"/>
    <n v="9.9499999999999993"/>
    <d v="2025-09-09T00:00:00"/>
    <s v="DIVERS - DINER BIS (RETARD TRAIN)"/>
    <m/>
    <e v="#N/A"/>
    <e v="#N/A"/>
    <n v="88625"/>
    <s v="25000222"/>
    <s v="Pauline Rullière"/>
    <s v="Q3"/>
    <e v="#REF!"/>
    <e v="#REF!"/>
    <e v="#REF!"/>
  </r>
  <r>
    <s v="625100"/>
    <x v="6"/>
    <s v="Voyages et déplacements"/>
    <s v="NDF"/>
    <n v="9.9499999999999993"/>
    <d v="2025-11-24T00:00:00"/>
    <s v="RESTAURANT MIDI - DÉPLACEMENT PARIS"/>
    <m/>
    <e v="#N/A"/>
    <e v="#N/A"/>
    <n v="90864"/>
    <s v="25000290"/>
    <s v="Jérémie Blache"/>
    <s v="Q4"/>
    <e v="#REF!"/>
    <e v="#REF!"/>
    <e v="#REF!"/>
  </r>
  <r>
    <s v="625100"/>
    <x v="6"/>
    <s v="Voyages et déplacements"/>
    <s v="NDF"/>
    <n v="9.98"/>
    <d v="2025-10-01T00:00:00"/>
    <s v="RESTAURANT MIDI - DÉJEUNER CS"/>
    <m/>
    <e v="#N/A"/>
    <e v="#N/A"/>
    <n v="88964"/>
    <s v="25000282"/>
    <s v="Nicolas Canu"/>
    <s v="Q4"/>
    <e v="#REF!"/>
    <e v="#REF!"/>
    <e v="#REF!"/>
  </r>
  <r>
    <s v="625100"/>
    <x v="6"/>
    <s v="Voyages et déplacements"/>
    <s v="NDF"/>
    <n v="10"/>
    <d v="2025-02-06T00:00:00"/>
    <s v="NDF"/>
    <m/>
    <e v="#N/A"/>
    <e v="#N/A"/>
    <n v="75711"/>
    <s v="25000037"/>
    <s v="Emilie Amillastré"/>
    <s v="Q1"/>
    <e v="#REF!"/>
    <e v="#REF!"/>
    <e v="#REF!"/>
  </r>
  <r>
    <s v="625100"/>
    <x v="6"/>
    <s v="Voyages et déplacements"/>
    <s v="NDF"/>
    <n v="10.06"/>
    <d v="2025-03-26T00:00:00"/>
    <s v="NOTE DE FRAIS"/>
    <m/>
    <e v="#N/A"/>
    <e v="#N/A"/>
    <n v="74285"/>
    <s v="25000113"/>
    <s v="Lucie Crépin"/>
    <s v="Q1"/>
    <e v="#REF!"/>
    <e v="#REF!"/>
    <e v="#REF!"/>
  </r>
  <r>
    <s v="625100"/>
    <x v="6"/>
    <s v="Voyages et déplacements"/>
    <s v="NDF"/>
    <n v="10.199999999999999"/>
    <d v="2025-09-04T00:00:00"/>
    <s v="RESTAURANT MIDI - REPAS MIDI"/>
    <m/>
    <e v="#N/A"/>
    <e v="#N/A"/>
    <n v="88578"/>
    <s v="25000214"/>
    <s v="Emilie Amillastré"/>
    <s v="Q3"/>
    <e v="#REF!"/>
    <e v="#REF!"/>
    <e v="#REF!"/>
  </r>
  <r>
    <s v="625100"/>
    <x v="6"/>
    <s v="Voyages et déplacements"/>
    <s v="NDF"/>
    <n v="10.23"/>
    <d v="2025-12-02T00:00:00"/>
    <s v="MÉTRO, BUS - TICKETS MÉTRO"/>
    <m/>
    <e v="#N/A"/>
    <e v="#N/A"/>
    <n v="93480"/>
    <s v="25000289"/>
    <s v="Pauline Rullière"/>
    <s v="Q4"/>
    <e v="#REF!"/>
    <e v="#REF!"/>
    <e v="#REF!"/>
  </r>
  <r>
    <s v="625100"/>
    <x v="6"/>
    <s v="Voyages et déplacements"/>
    <s v="NDF"/>
    <n v="10.27"/>
    <d v="2025-11-01T00:00:00"/>
    <s v="RESTAURANT MIDI - DEJ"/>
    <m/>
    <e v="#N/A"/>
    <e v="#N/A"/>
    <n v="93443"/>
    <s v="25000305"/>
    <s v="Marie-Sarah Adenis"/>
    <s v="Q4"/>
    <e v="#REF!"/>
    <e v="#REF!"/>
    <e v="#REF!"/>
  </r>
  <r>
    <s v="625100"/>
    <x v="6"/>
    <s v="Voyages et déplacements"/>
    <s v="NDF"/>
    <n v="10.28"/>
    <d v="2025-12-01T00:00:00"/>
    <s v="RESTAURANT MIDI - DEJ TRAIN"/>
    <m/>
    <e v="#N/A"/>
    <e v="#N/A"/>
    <n v="93332"/>
    <s v="25000306"/>
    <s v="Jérémie Blache"/>
    <s v="Q4"/>
    <e v="#REF!"/>
    <e v="#REF!"/>
    <e v="#REF!"/>
  </r>
  <r>
    <s v="625100"/>
    <x v="6"/>
    <s v="Voyages et déplacements"/>
    <s v="NDF"/>
    <n v="10.41"/>
    <d v="2025-03-25T00:00:00"/>
    <s v="NDF"/>
    <m/>
    <e v="#N/A"/>
    <e v="#N/A"/>
    <n v="75790"/>
    <s v="25000108"/>
    <s v="Mylène Menanteau"/>
    <s v="Q1"/>
    <e v="#REF!"/>
    <e v="#REF!"/>
    <e v="#REF!"/>
  </r>
  <r>
    <s v="625100"/>
    <x v="6"/>
    <s v="Voyages et déplacements"/>
    <s v="NDF"/>
    <n v="10.42"/>
    <d v="2025-12-09T00:00:00"/>
    <s v="PETIT DEJEUNER - PETIT DÉJEUNER (SEPHORA, MAUD, MARIE)"/>
    <m/>
    <e v="#N/A"/>
    <e v="#N/A"/>
    <n v="95782"/>
    <s v="25000325"/>
    <s v="Marie Rézeau"/>
    <s v="Q4"/>
    <e v="#REF!"/>
    <e v="#REF!"/>
    <e v="#REF!"/>
  </r>
  <r>
    <s v="625100"/>
    <x v="6"/>
    <s v="Voyages et déplacements"/>
    <s v="NDF"/>
    <n v="10.44"/>
    <d v="2025-10-03T00:00:00"/>
    <s v="RESTAURANT MIDI - DÉJEUNER CS"/>
    <m/>
    <e v="#N/A"/>
    <e v="#N/A"/>
    <n v="88968"/>
    <s v="25000282"/>
    <s v="Nicolas Canu"/>
    <s v="Q4"/>
    <e v="#REF!"/>
    <e v="#REF!"/>
    <e v="#REF!"/>
  </r>
  <r>
    <s v="625100"/>
    <x v="6"/>
    <s v="Voyages et déplacements"/>
    <s v="NDF"/>
    <n v="10.5"/>
    <d v="2025-04-10T00:00:00"/>
    <s v="NOTE DE FRAIS"/>
    <m/>
    <e v="#N/A"/>
    <e v="#N/A"/>
    <n v="74312"/>
    <s v="25000124"/>
    <s v="Vincent Blanchard"/>
    <s v="Q2"/>
    <e v="#REF!"/>
    <e v="#REF!"/>
    <e v="#REF!"/>
  </r>
  <r>
    <s v="625100"/>
    <x v="6"/>
    <s v="Voyages et déplacements"/>
    <s v="NDF"/>
    <n v="10.5"/>
    <d v="2025-06-03T00:00:00"/>
    <s v="RESTAURANT SOIR - REPAS SOIR CHEMSPEC"/>
    <m/>
    <e v="#N/A"/>
    <e v="#N/A"/>
    <n v="95848"/>
    <s v="25000338"/>
    <s v="Alain Pinchard"/>
    <s v="Q2"/>
    <e v="#REF!"/>
    <e v="#REF!"/>
    <e v="#REF!"/>
  </r>
  <r>
    <s v="625100"/>
    <x v="6"/>
    <s v="Voyages et déplacements"/>
    <s v="NDF"/>
    <n v="10.62"/>
    <d v="2025-11-13T00:00:00"/>
    <s v="RESTAURANT MIDI - REPAS DEPLACEMENT PARIS"/>
    <m/>
    <e v="#N/A"/>
    <e v="#N/A"/>
    <n v="93379"/>
    <s v="25000315"/>
    <s v="Kevin Cottet"/>
    <s v="Q4"/>
    <e v="#REF!"/>
    <e v="#REF!"/>
    <e v="#REF!"/>
  </r>
  <r>
    <s v="625100"/>
    <x v="6"/>
    <s v="Voyages et déplacements"/>
    <s v="NDF"/>
    <n v="10.65"/>
    <d v="2025-10-02T00:00:00"/>
    <s v="RESTAURANT SOIR - SANDWICH SOIR"/>
    <m/>
    <e v="#N/A"/>
    <e v="#N/A"/>
    <n v="88422"/>
    <s v="25000263"/>
    <s v="Yves Combret"/>
    <s v="Q4"/>
    <e v="#REF!"/>
    <e v="#REF!"/>
    <e v="#REF!"/>
  </r>
  <r>
    <s v="625100"/>
    <x v="6"/>
    <s v="Voyages et déplacements"/>
    <s v="NDF"/>
    <n v="10.7"/>
    <d v="2025-04-29T00:00:00"/>
    <s v="NOTE DE FRAIS"/>
    <m/>
    <e v="#N/A"/>
    <e v="#N/A"/>
    <n v="74372"/>
    <s v="24000395"/>
    <s v="Marie-Sarah Adenis"/>
    <s v="Q2"/>
    <e v="#REF!"/>
    <e v="#REF!"/>
    <e v="#REF!"/>
  </r>
  <r>
    <s v="625100"/>
    <x v="6"/>
    <s v="Voyages et déplacements"/>
    <s v="NDF"/>
    <n v="10.71"/>
    <d v="2025-10-06T00:00:00"/>
    <s v="RESTAURANT MIDI - DEJ TRAIN"/>
    <m/>
    <e v="#N/A"/>
    <e v="#N/A"/>
    <n v="88397"/>
    <s v="25000271"/>
    <s v="Jérémie Blache"/>
    <s v="Q4"/>
    <e v="#REF!"/>
    <e v="#REF!"/>
    <e v="#REF!"/>
  </r>
  <r>
    <s v="625100"/>
    <x v="6"/>
    <s v="Voyages et déplacements"/>
    <s v="NDF"/>
    <n v="10.71"/>
    <d v="2025-10-07T00:00:00"/>
    <s v="RESTAURANT MIDI - DÉJ MIDI KB"/>
    <m/>
    <e v="#N/A"/>
    <e v="#N/A"/>
    <n v="88392"/>
    <s v="25000272"/>
    <s v="Jérémie Blache"/>
    <s v="Q4"/>
    <e v="#REF!"/>
    <e v="#REF!"/>
    <e v="#REF!"/>
  </r>
  <r>
    <s v="625100"/>
    <x v="6"/>
    <s v="Voyages et déplacements"/>
    <s v="NDF"/>
    <n v="10.75"/>
    <d v="2025-02-04T00:00:00"/>
    <s v="NDF"/>
    <m/>
    <e v="#N/A"/>
    <e v="#N/A"/>
    <n v="75704"/>
    <s v="25000070"/>
    <s v="Kevin Cottet"/>
    <s v="Q1"/>
    <e v="#REF!"/>
    <e v="#REF!"/>
    <e v="#REF!"/>
  </r>
  <r>
    <s v="625100"/>
    <x v="6"/>
    <s v="Voyages et déplacements"/>
    <s v="NDF"/>
    <n v="10.75"/>
    <d v="2025-10-16T00:00:00"/>
    <s v="DIVERS - MAINTENANCE CUTTER"/>
    <m/>
    <e v="#N/A"/>
    <e v="#N/A"/>
    <n v="88906"/>
    <s v="25000278"/>
    <s v="Clément Perrocheau"/>
    <s v="Q4"/>
    <e v="#REF!"/>
    <e v="#REF!"/>
    <e v="#REF!"/>
  </r>
  <r>
    <s v="625100"/>
    <x v="6"/>
    <s v="Voyages et déplacements"/>
    <s v="NDF"/>
    <n v="10.8"/>
    <d v="2025-09-30T00:00:00"/>
    <s v="PÉAGE - PÉAGE SLOVAQUIE"/>
    <m/>
    <e v="#N/A"/>
    <e v="#N/A"/>
    <n v="95943"/>
    <s v="25000338"/>
    <s v="Alain Pinchard"/>
    <s v="Q3"/>
    <e v="#REF!"/>
    <e v="#REF!"/>
    <e v="#REF!"/>
  </r>
  <r>
    <s v="625100"/>
    <x v="6"/>
    <s v="Voyages et déplacements"/>
    <s v="NDF"/>
    <n v="10.8"/>
    <d v="2025-10-06T00:00:00"/>
    <s v="PÉAGE - VIGNETTE SLOVAQUIE"/>
    <m/>
    <e v="#N/A"/>
    <e v="#N/A"/>
    <n v="89057"/>
    <s v="25000256"/>
    <s v="Benjamin Barry"/>
    <s v="Q4"/>
    <e v="#REF!"/>
    <e v="#REF!"/>
    <e v="#REF!"/>
  </r>
  <r>
    <s v="625100"/>
    <x v="6"/>
    <s v="Voyages et déplacements"/>
    <s v="NDF"/>
    <n v="10.9"/>
    <d v="2025-04-29T00:00:00"/>
    <s v="NDF"/>
    <m/>
    <e v="#N/A"/>
    <e v="#N/A"/>
    <n v="76506"/>
    <s v="25000152"/>
    <s v="Guillaume Boissonnat-Wu"/>
    <s v="Q2"/>
    <e v="#REF!"/>
    <e v="#REF!"/>
    <e v="#REF!"/>
  </r>
  <r>
    <s v="625100"/>
    <x v="6"/>
    <s v="Voyages et déplacements"/>
    <s v="NDF"/>
    <n v="10.9"/>
    <d v="2025-06-25T00:00:00"/>
    <s v="RESTAURANT MIDI - REPAS MIDI"/>
    <m/>
    <e v="#N/A"/>
    <e v="#N/A"/>
    <n v="88655"/>
    <s v="25000178"/>
    <s v="Bob Fernandez"/>
    <s v="Q2"/>
    <e v="#REF!"/>
    <e v="#REF!"/>
    <e v="#REF!"/>
  </r>
  <r>
    <s v="625100"/>
    <x v="6"/>
    <s v="Voyages et déplacements"/>
    <s v="NDF"/>
    <n v="10.9"/>
    <d v="2025-07-02T00:00:00"/>
    <s v="RESTAURANT MIDI - DEJ LYON"/>
    <m/>
    <e v="#N/A"/>
    <e v="#N/A"/>
    <n v="88632"/>
    <s v="25000187"/>
    <s v="Jérémie Blache"/>
    <s v="Q3"/>
    <e v="#REF!"/>
    <e v="#REF!"/>
    <e v="#REF!"/>
  </r>
  <r>
    <s v="625100"/>
    <x v="6"/>
    <s v="Voyages et déplacements"/>
    <s v="NDF"/>
    <n v="10.9"/>
    <d v="2025-11-17T00:00:00"/>
    <s v="TRAIN - BILLET ARLES (PROJET BIOR)"/>
    <m/>
    <e v="#N/A"/>
    <e v="#N/A"/>
    <n v="93434"/>
    <s v="25000305"/>
    <s v="Marie-Sarah Adenis"/>
    <s v="Q4"/>
    <e v="#REF!"/>
    <e v="#REF!"/>
    <e v="#REF!"/>
  </r>
  <r>
    <s v="625100"/>
    <x v="6"/>
    <s v="Voyages et déplacements"/>
    <s v="NDF"/>
    <n v="10.91"/>
    <d v="2025-11-18T00:00:00"/>
    <s v="MÉTRO, BUS - MÉTRO PARIS NOVEMBRE"/>
    <m/>
    <e v="#N/A"/>
    <e v="#N/A"/>
    <n v="93417"/>
    <s v="25000314"/>
    <s v="Pierre-Yves Bolle"/>
    <s v="Q4"/>
    <e v="#REF!"/>
    <e v="#REF!"/>
    <e v="#REF!"/>
  </r>
  <r>
    <s v="625100"/>
    <x v="6"/>
    <s v="Voyages et déplacements"/>
    <s v="NDF"/>
    <n v="11"/>
    <d v="2025-09-24T00:00:00"/>
    <s v="RESTAURANT MIDI - REPAS MERCREDI MIDI"/>
    <m/>
    <e v="#N/A"/>
    <e v="#N/A"/>
    <n v="88460"/>
    <s v="25000253"/>
    <s v="Bob Fernandez"/>
    <s v="Q3"/>
    <e v="#REF!"/>
    <e v="#REF!"/>
    <e v="#REF!"/>
  </r>
  <r>
    <s v="625100"/>
    <x v="6"/>
    <s v="Voyages et déplacements"/>
    <s v="NDF"/>
    <n v="11.06"/>
    <d v="2025-12-04T00:00:00"/>
    <s v="HÔTEL - TAXE SÉJOUR HÔTEL"/>
    <m/>
    <e v="#N/A"/>
    <e v="#N/A"/>
    <n v="93340"/>
    <s v="25000304"/>
    <s v="Julie Lacondemine"/>
    <s v="Q4"/>
    <e v="#REF!"/>
    <e v="#REF!"/>
    <e v="#REF!"/>
  </r>
  <r>
    <s v="625100"/>
    <x v="6"/>
    <s v="Voyages et déplacements"/>
    <s v="NDF"/>
    <n v="11.08"/>
    <d v="2025-11-20T00:00:00"/>
    <s v="PÉAGE - PÉAGE JOURNÉE AXELERA"/>
    <m/>
    <e v="#N/A"/>
    <e v="#N/A"/>
    <n v="93370"/>
    <s v="25000315"/>
    <s v="Kevin Cottet"/>
    <s v="Q4"/>
    <e v="#REF!"/>
    <e v="#REF!"/>
    <e v="#REF!"/>
  </r>
  <r>
    <s v="625100"/>
    <x v="6"/>
    <s v="Voyages et déplacements"/>
    <s v="NDF"/>
    <n v="11.25"/>
    <d v="2025-06-24T00:00:00"/>
    <s v="DIVERS - PETIT DEJ WOODVALOR"/>
    <m/>
    <e v="#N/A"/>
    <e v="#N/A"/>
    <n v="89202"/>
    <s v="25000111"/>
    <s v="Pauline Rullière"/>
    <s v="Q2"/>
    <e v="#REF!"/>
    <e v="#REF!"/>
    <e v="#REF!"/>
  </r>
  <r>
    <s v="625100"/>
    <x v="6"/>
    <s v="Voyages et déplacements"/>
    <s v="NDF"/>
    <n v="11.25"/>
    <d v="2025-11-24T00:00:00"/>
    <s v="RESTAURANT SOIR - DÎNER RETOUR KP GARE DU NORD"/>
    <m/>
    <e v="#N/A"/>
    <e v="#N/A"/>
    <n v="90940"/>
    <s v="25000284"/>
    <s v="Pierre-Yves Bolle"/>
    <s v="Q4"/>
    <e v="#REF!"/>
    <e v="#REF!"/>
    <e v="#REF!"/>
  </r>
  <r>
    <s v="625100"/>
    <x v="6"/>
    <s v="Voyages et déplacements"/>
    <s v="NDF"/>
    <n v="11.27"/>
    <d v="2025-03-14T00:00:00"/>
    <s v="NDF"/>
    <m/>
    <e v="#N/A"/>
    <e v="#N/A"/>
    <n v="75775"/>
    <s v="25000074"/>
    <s v="Benjamin Barry"/>
    <s v="Q1"/>
    <e v="#REF!"/>
    <e v="#REF!"/>
    <e v="#REF!"/>
  </r>
  <r>
    <s v="625100"/>
    <x v="6"/>
    <s v="Voyages et déplacements"/>
    <s v="NDF"/>
    <n v="11.27"/>
    <d v="2025-06-20T00:00:00"/>
    <s v="DIVERS - CAFÉ AVEC MARIE / THÈSE"/>
    <m/>
    <e v="#N/A"/>
    <e v="#N/A"/>
    <n v="88794"/>
    <s v="25000190"/>
    <s v="Marie-Sarah Adenis"/>
    <s v="Q2"/>
    <e v="#REF!"/>
    <e v="#REF!"/>
    <e v="#REF!"/>
  </r>
  <r>
    <s v="625100"/>
    <x v="6"/>
    <s v="Voyages et déplacements"/>
    <s v="NDF"/>
    <n v="11.36"/>
    <d v="2025-07-08T00:00:00"/>
    <s v="MÉTRO, BUS - MÉTRO PARIS CARNET 10 TICKETS"/>
    <m/>
    <e v="#N/A"/>
    <e v="#N/A"/>
    <n v="88770"/>
    <s v="25000200"/>
    <s v="Anne-Sophie Goutierre"/>
    <s v="Q3"/>
    <e v="#REF!"/>
    <e v="#REF!"/>
    <e v="#REF!"/>
  </r>
  <r>
    <s v="625100"/>
    <x v="6"/>
    <s v="Voyages et déplacements"/>
    <s v="NDF"/>
    <n v="11.47"/>
    <d v="2025-12-03T00:00:00"/>
    <s v="RESTAURANT MIDI - REPAS MIDI KB"/>
    <m/>
    <e v="#N/A"/>
    <e v="#N/A"/>
    <n v="93320"/>
    <s v="25000310"/>
    <s v="Jérémie Blache"/>
    <s v="Q4"/>
    <e v="#REF!"/>
    <e v="#REF!"/>
    <e v="#REF!"/>
  </r>
  <r>
    <s v="625100"/>
    <x v="6"/>
    <s v="Voyages et déplacements"/>
    <s v="NDF"/>
    <n v="11.52"/>
    <d v="2025-03-05T00:00:00"/>
    <s v="NOTE DE FRAIS"/>
    <m/>
    <e v="#N/A"/>
    <e v="#N/A"/>
    <n v="73717"/>
    <s v="25000066"/>
    <s v="Jérémie Blache"/>
    <s v="Q1"/>
    <e v="#REF!"/>
    <e v="#REF!"/>
    <e v="#REF!"/>
  </r>
  <r>
    <s v="625100"/>
    <x v="6"/>
    <s v="Voyages et déplacements"/>
    <s v="NDF"/>
    <n v="11.6"/>
    <d v="2025-09-04T00:00:00"/>
    <s v="DIVERS - REPAS SOIR SUITE"/>
    <m/>
    <e v="#N/A"/>
    <e v="#N/A"/>
    <n v="88585"/>
    <s v="25000214"/>
    <s v="Emilie Amillastré"/>
    <s v="Q3"/>
    <e v="#REF!"/>
    <e v="#REF!"/>
    <e v="#REF!"/>
  </r>
  <r>
    <s v="625100"/>
    <x v="6"/>
    <s v="Voyages et déplacements"/>
    <s v="NDF"/>
    <n v="11.68"/>
    <d v="2025-04-25T00:00:00"/>
    <s v="NOTE DE FRAIS"/>
    <m/>
    <e v="#N/A"/>
    <e v="#N/A"/>
    <n v="74367"/>
    <s v="25000128"/>
    <s v="Jérémie Blache"/>
    <s v="Q2"/>
    <e v="#REF!"/>
    <e v="#REF!"/>
    <e v="#REF!"/>
  </r>
  <r>
    <s v="625100"/>
    <x v="6"/>
    <s v="Voyages et déplacements"/>
    <s v="NDF"/>
    <n v="11.74"/>
    <d v="2025-11-14T00:00:00"/>
    <s v="CARBURANT (GAZOLE) - ESSENCE LOCATION VOITURE DÉPLACEMENT BERTO"/>
    <m/>
    <e v="#N/A"/>
    <e v="#N/A"/>
    <n v="93426"/>
    <s v="25000314"/>
    <s v="Pierre-Yves Bolle"/>
    <s v="Q4"/>
    <e v="#REF!"/>
    <e v="#REF!"/>
    <e v="#REF!"/>
  </r>
  <r>
    <s v="625100"/>
    <x v="6"/>
    <s v="Voyages et déplacements"/>
    <s v="NDF"/>
    <n v="11.8"/>
    <d v="2025-10-03T00:00:00"/>
    <s v="DIVERS - BTK - REPAS AÉROPORT"/>
    <m/>
    <e v="#N/A"/>
    <e v="#N/A"/>
    <n v="95937"/>
    <s v="25000338"/>
    <s v="Alain Pinchard"/>
    <s v="Q4"/>
    <e v="#REF!"/>
    <e v="#REF!"/>
    <e v="#REF!"/>
  </r>
  <r>
    <s v="625100"/>
    <x v="6"/>
    <s v="Voyages et déplacements"/>
    <s v="NDF"/>
    <n v="11.85"/>
    <d v="2025-09-16T00:00:00"/>
    <s v="RESTAURANT MIDI - 250916 REPAS DU MIDI"/>
    <m/>
    <e v="#N/A"/>
    <e v="#N/A"/>
    <n v="88534"/>
    <s v="25000242"/>
    <s v="Anthony Martinez"/>
    <s v="Q3"/>
    <e v="#REF!"/>
    <e v="#REF!"/>
    <e v="#REF!"/>
  </r>
  <r>
    <s v="625100"/>
    <x v="6"/>
    <s v="Voyages et déplacements"/>
    <s v="NDF"/>
    <n v="11.9"/>
    <d v="2025-12-12T00:00:00"/>
    <s v="RESTAURANT MIDI - REPAS AIRE D’AUTOROUTE"/>
    <m/>
    <e v="#N/A"/>
    <e v="#N/A"/>
    <n v="95773"/>
    <s v="25000325"/>
    <s v="Marie Rézeau"/>
    <s v="Q4"/>
    <e v="#REF!"/>
    <e v="#REF!"/>
    <e v="#REF!"/>
  </r>
  <r>
    <s v="625100"/>
    <x v="6"/>
    <s v="Voyages et déplacements"/>
    <s v="NDF"/>
    <n v="11.94"/>
    <d v="2025-12-09T00:00:00"/>
    <s v="RESTAURANT MIDI - REPAS MARDI MIDI SEPHORA"/>
    <m/>
    <e v="#N/A"/>
    <e v="#N/A"/>
    <n v="95784"/>
    <s v="25000325"/>
    <s v="Marie Rézeau"/>
    <s v="Q4"/>
    <e v="#REF!"/>
    <e v="#REF!"/>
    <e v="#REF!"/>
  </r>
  <r>
    <s v="625100"/>
    <x v="6"/>
    <s v="Voyages et déplacements"/>
    <s v="NDF"/>
    <n v="11.96"/>
    <d v="2025-10-03T00:00:00"/>
    <s v="RESTAURANT MIDI - CS OCTOBRE 2025"/>
    <m/>
    <e v="#N/A"/>
    <e v="#N/A"/>
    <n v="93456"/>
    <s v="25000318"/>
    <s v="Lucie Crépin"/>
    <s v="Q4"/>
    <e v="#REF!"/>
    <e v="#REF!"/>
    <e v="#REF!"/>
  </r>
  <r>
    <s v="625100"/>
    <x v="6"/>
    <s v="Voyages et déplacements"/>
    <s v="NDF"/>
    <n v="11.96"/>
    <d v="2025-11-24T00:00:00"/>
    <s v="TAXI - TRAJET ALLER VERS RÉSIDENCE ARTISTE (JUNQUEIRA)"/>
    <m/>
    <e v="#N/A"/>
    <e v="#N/A"/>
    <n v="90994"/>
    <s v="25000297"/>
    <s v="Marie-Sarah Adenis"/>
    <s v="Q4"/>
    <e v="#REF!"/>
    <e v="#REF!"/>
    <e v="#REF!"/>
  </r>
  <r>
    <s v="625100"/>
    <x v="6"/>
    <s v="Voyages et déplacements"/>
    <s v="NDF"/>
    <n v="11.97"/>
    <d v="2025-10-02T00:00:00"/>
    <s v="TAXI - TRAJET POUR RENTRER CHEZ MES PARENTS DORMIR LE SOIR DU CS"/>
    <m/>
    <e v="#N/A"/>
    <e v="#N/A"/>
    <n v="88972"/>
    <s v="25000257"/>
    <s v="Anne-Sophie Goutierre"/>
    <s v="Q4"/>
    <e v="#REF!"/>
    <e v="#REF!"/>
    <e v="#REF!"/>
  </r>
  <r>
    <s v="625100"/>
    <x v="6"/>
    <s v="Voyages et déplacements"/>
    <s v="NDF"/>
    <n v="11.97"/>
    <d v="2025-11-24T00:00:00"/>
    <s v="TAXI - TRAJET RETOUR VERS GARE"/>
    <m/>
    <e v="#N/A"/>
    <e v="#N/A"/>
    <n v="90981"/>
    <s v="25000297"/>
    <s v="Marie-Sarah Adenis"/>
    <s v="Q4"/>
    <e v="#REF!"/>
    <e v="#REF!"/>
    <e v="#REF!"/>
  </r>
  <r>
    <s v="625100"/>
    <x v="6"/>
    <s v="Voyages et déplacements"/>
    <s v="NDF"/>
    <n v="11.99"/>
    <d v="2025-11-18T00:00:00"/>
    <s v="TAXI - TAXI GARE VERS AIRBNB"/>
    <m/>
    <e v="#N/A"/>
    <e v="#N/A"/>
    <n v="93432"/>
    <s v="25000305"/>
    <s v="Marie-Sarah Adenis"/>
    <s v="Q4"/>
    <e v="#REF!"/>
    <e v="#REF!"/>
    <e v="#REF!"/>
  </r>
  <r>
    <s v="625100"/>
    <x v="6"/>
    <s v="Voyages et déplacements"/>
    <s v="NDF"/>
    <n v="12"/>
    <d v="2025-09-01T00:00:00"/>
    <s v="HÔTEL - TAXE DE SÉJOUR"/>
    <m/>
    <e v="#N/A"/>
    <e v="#N/A"/>
    <n v="88589"/>
    <s v="25000214"/>
    <s v="Emilie Amillastré"/>
    <s v="Q3"/>
    <e v="#REF!"/>
    <e v="#REF!"/>
    <e v="#REF!"/>
  </r>
  <r>
    <s v="625100"/>
    <x v="6"/>
    <s v="Voyages et déplacements"/>
    <s v="NDF"/>
    <n v="12"/>
    <d v="2025-11-24T00:00:00"/>
    <s v="HÔTEL - TAXE DE SÉJOUR"/>
    <m/>
    <e v="#N/A"/>
    <e v="#N/A"/>
    <n v="90969"/>
    <s v="25000265"/>
    <s v="Marie Rézeau"/>
    <s v="Q4"/>
    <e v="#REF!"/>
    <e v="#REF!"/>
    <e v="#REF!"/>
  </r>
  <r>
    <s v="625100"/>
    <x v="6"/>
    <s v="Voyages et déplacements"/>
    <s v="NDF"/>
    <n v="12.09"/>
    <d v="2025-07-01T00:00:00"/>
    <s v="RESTAURANT MIDI - DÉJ TRAIN"/>
    <m/>
    <e v="#N/A"/>
    <e v="#N/A"/>
    <n v="88652"/>
    <s v="25000181"/>
    <s v="Jérémie Blache"/>
    <s v="Q3"/>
    <e v="#REF!"/>
    <e v="#REF!"/>
    <e v="#REF!"/>
  </r>
  <r>
    <s v="625100"/>
    <x v="6"/>
    <s v="Voyages et déplacements"/>
    <s v="NDF"/>
    <n v="12.1"/>
    <d v="2025-12-08T00:00:00"/>
    <s v="RESTAURANT MIDI - DEJEUNER"/>
    <m/>
    <e v="#N/A"/>
    <e v="#N/A"/>
    <n v="93302"/>
    <s v="25000332"/>
    <s v="Yves Combret"/>
    <s v="Q4"/>
    <e v="#REF!"/>
    <e v="#REF!"/>
    <e v="#REF!"/>
  </r>
  <r>
    <s v="625100"/>
    <x v="6"/>
    <s v="Voyages et déplacements"/>
    <s v="NDF"/>
    <n v="12.13"/>
    <d v="2025-12-08T00:00:00"/>
    <s v="RESTAURANT MIDI - DEJ TRAIN"/>
    <m/>
    <e v="#N/A"/>
    <e v="#N/A"/>
    <n v="93296"/>
    <s v="25000316"/>
    <s v="Jérémie Blache"/>
    <s v="Q4"/>
    <e v="#REF!"/>
    <e v="#REF!"/>
    <e v="#REF!"/>
  </r>
  <r>
    <s v="625100"/>
    <x v="6"/>
    <s v="Voyages et déplacements"/>
    <s v="NDF"/>
    <n v="12.18"/>
    <d v="2025-10-13T00:00:00"/>
    <s v="RESTAURANT MIDI - DÉJ TRAIN"/>
    <m/>
    <e v="#N/A"/>
    <e v="#N/A"/>
    <n v="88912"/>
    <s v="25000273"/>
    <s v="Jérémie Blache"/>
    <s v="Q4"/>
    <e v="#REF!"/>
    <e v="#REF!"/>
    <e v="#REF!"/>
  </r>
  <r>
    <s v="625100"/>
    <x v="6"/>
    <s v="Voyages et déplacements"/>
    <s v="NDF"/>
    <n v="12.31"/>
    <d v="2025-02-19T00:00:00"/>
    <s v="NOTE DE FRAIS"/>
    <m/>
    <e v="#N/A"/>
    <e v="#N/A"/>
    <n v="73687"/>
    <s v="25000046"/>
    <s v="Anthony Martinez"/>
    <s v="Q1"/>
    <e v="#REF!"/>
    <e v="#REF!"/>
    <e v="#REF!"/>
  </r>
  <r>
    <s v="625100"/>
    <x v="6"/>
    <s v="Voyages et déplacements"/>
    <s v="NDF"/>
    <n v="12.35"/>
    <d v="2025-12-10T00:00:00"/>
    <s v="RESTAURANT SOIR - REPAS TRAIN SOIR"/>
    <m/>
    <e v="#N/A"/>
    <e v="#N/A"/>
    <n v="93274"/>
    <s v="25000320"/>
    <s v="Jérémie Blache"/>
    <s v="Q4"/>
    <e v="#REF!"/>
    <e v="#REF!"/>
    <e v="#REF!"/>
  </r>
  <r>
    <s v="625100"/>
    <x v="6"/>
    <s v="Voyages et déplacements"/>
    <s v="NDF"/>
    <n v="12.36"/>
    <d v="2025-03-26T00:00:00"/>
    <s v="NDF"/>
    <m/>
    <e v="#N/A"/>
    <e v="#N/A"/>
    <n v="75809"/>
    <s v="25000086"/>
    <s v="Pauline Rullière"/>
    <s v="Q1"/>
    <e v="#REF!"/>
    <e v="#REF!"/>
    <e v="#REF!"/>
  </r>
  <r>
    <s v="625100"/>
    <x v="6"/>
    <s v="Voyages et déplacements"/>
    <s v="NDF"/>
    <n v="12.6"/>
    <d v="2025-08-24T00:00:00"/>
    <s v="TRAIN - TRAIN ALLER LYON ROUSSILLON"/>
    <m/>
    <e v="#N/A"/>
    <e v="#N/A"/>
    <n v="88154"/>
    <s v="25000210"/>
    <s v="Bob Fernandez"/>
    <s v="Q3"/>
    <e v="#REF!"/>
    <e v="#REF!"/>
    <e v="#REF!"/>
  </r>
  <r>
    <s v="625100"/>
    <x v="6"/>
    <s v="Voyages et déplacements"/>
    <s v="NDF"/>
    <n v="12.64"/>
    <d v="2025-06-27T00:00:00"/>
    <s v="RESTAURANT MIDI - REPAS MIDI"/>
    <m/>
    <e v="#N/A"/>
    <e v="#N/A"/>
    <n v="88663"/>
    <s v="25000178"/>
    <s v="Bob Fernandez"/>
    <s v="Q2"/>
    <e v="#REF!"/>
    <e v="#REF!"/>
    <e v="#REF!"/>
  </r>
  <r>
    <s v="625100"/>
    <x v="6"/>
    <s v="Voyages et déplacements"/>
    <s v="NDF"/>
    <n v="12.73"/>
    <d v="2025-07-02T00:00:00"/>
    <s v="RESTAURANT MIDI - REPAS MIDI"/>
    <m/>
    <e v="#N/A"/>
    <e v="#N/A"/>
    <n v="88639"/>
    <s v="25000180"/>
    <s v="Bob Fernandez"/>
    <s v="Q3"/>
    <e v="#REF!"/>
    <e v="#REF!"/>
    <e v="#REF!"/>
  </r>
  <r>
    <s v="625100"/>
    <x v="6"/>
    <s v="Voyages et déplacements"/>
    <s v="NDF"/>
    <n v="12.84"/>
    <d v="2025-11-20T00:00:00"/>
    <s v="RESTAURANT MIDI - DEJ"/>
    <m/>
    <e v="#N/A"/>
    <e v="#N/A"/>
    <n v="93441"/>
    <s v="25000305"/>
    <s v="Marie-Sarah Adenis"/>
    <s v="Q4"/>
    <e v="#REF!"/>
    <e v="#REF!"/>
    <e v="#REF!"/>
  </r>
  <r>
    <s v="625100"/>
    <x v="6"/>
    <s v="Voyages et déplacements"/>
    <s v="NDF"/>
    <n v="12.9"/>
    <d v="2025-10-03T00:00:00"/>
    <s v="TAXI - TAXI RETOUR SOIRÉE CS POUR 4 PERSONNES"/>
    <m/>
    <e v="#N/A"/>
    <e v="#N/A"/>
    <n v="89045"/>
    <s v="25000256"/>
    <s v="Benjamin Barry"/>
    <s v="Q4"/>
    <e v="#REF!"/>
    <e v="#REF!"/>
    <e v="#REF!"/>
  </r>
  <r>
    <s v="625100"/>
    <x v="6"/>
    <s v="Voyages et déplacements"/>
    <s v="NDF"/>
    <n v="12.95"/>
    <d v="2025-09-17T00:00:00"/>
    <s v="PETIT DEJEUNER - PAUL"/>
    <m/>
    <e v="#N/A"/>
    <e v="#N/A"/>
    <n v="88495"/>
    <s v="25000247"/>
    <s v="Vincent Blanchard"/>
    <s v="Q3"/>
    <e v="#REF!"/>
    <e v="#REF!"/>
    <e v="#REF!"/>
  </r>
  <r>
    <s v="625100"/>
    <x v="6"/>
    <s v="Voyages et déplacements"/>
    <s v="NDF"/>
    <n v="12.98"/>
    <d v="2025-12-12T00:00:00"/>
    <s v="RESTAURANT MIDI - REPAS VENDREDI MIDI"/>
    <m/>
    <e v="#N/A"/>
    <e v="#N/A"/>
    <n v="93265"/>
    <s v="25000326"/>
    <s v="Pierre Thomas"/>
    <s v="Q4"/>
    <e v="#REF!"/>
    <e v="#REF!"/>
    <e v="#REF!"/>
  </r>
  <r>
    <s v="625100"/>
    <x v="6"/>
    <s v="Voyages et déplacements"/>
    <s v="NDF"/>
    <n v="13.03"/>
    <d v="2025-07-24T00:00:00"/>
    <s v="PARKING - PARKING NUIT - BUDAPEST"/>
    <m/>
    <e v="#N/A"/>
    <e v="#N/A"/>
    <n v="88740"/>
    <s v="25000196"/>
    <s v="Benjamin Barry"/>
    <s v="Q3"/>
    <e v="#REF!"/>
    <e v="#REF!"/>
    <e v="#REF!"/>
  </r>
  <r>
    <s v="625100"/>
    <x v="6"/>
    <s v="Voyages et déplacements"/>
    <s v="NDF"/>
    <n v="13.03"/>
    <d v="2025-09-15T00:00:00"/>
    <s v="RESTAURANT MIDI - DEJ TRAIN"/>
    <m/>
    <e v="#N/A"/>
    <e v="#N/A"/>
    <n v="88531"/>
    <s v="25000229"/>
    <s v="Jérémie Blache"/>
    <s v="Q3"/>
    <e v="#REF!"/>
    <e v="#REF!"/>
    <e v="#REF!"/>
  </r>
  <r>
    <s v="625100"/>
    <x v="6"/>
    <s v="Voyages et déplacements"/>
    <s v="NDF"/>
    <n v="13.09"/>
    <d v="2025-02-06T00:00:00"/>
    <s v="NDF"/>
    <m/>
    <e v="#N/A"/>
    <e v="#N/A"/>
    <n v="75712"/>
    <s v="25000037"/>
    <s v="Emilie Amillastré"/>
    <s v="Q1"/>
    <e v="#REF!"/>
    <e v="#REF!"/>
    <e v="#REF!"/>
  </r>
  <r>
    <s v="625100"/>
    <x v="6"/>
    <s v="Voyages et déplacements"/>
    <s v="NDF"/>
    <n v="13.1"/>
    <d v="2025-11-24T00:00:00"/>
    <s v="RESTAURANT SOIR - DÎNER TRAIN FRANCFORT"/>
    <m/>
    <e v="#N/A"/>
    <e v="#N/A"/>
    <n v="90925"/>
    <s v="25000288"/>
    <s v="Guillaume Boissonnat-Wu"/>
    <s v="Q4"/>
    <e v="#REF!"/>
    <e v="#REF!"/>
    <e v="#REF!"/>
  </r>
  <r>
    <s v="625100"/>
    <x v="6"/>
    <s v="Voyages et déplacements"/>
    <s v="NDF"/>
    <n v="13.2"/>
    <d v="2025-12-03T00:00:00"/>
    <s v="RESTAURANT MIDI - DEJ 3 DÉCEMBRE"/>
    <m/>
    <e v="#N/A"/>
    <e v="#N/A"/>
    <n v="93345"/>
    <s v="25000304"/>
    <s v="Julie Lacondemine"/>
    <s v="Q4"/>
    <e v="#REF!"/>
    <e v="#REF!"/>
    <e v="#REF!"/>
  </r>
  <r>
    <s v="625100"/>
    <x v="6"/>
    <s v="Voyages et déplacements"/>
    <s v="NDF"/>
    <n v="13.3"/>
    <d v="2025-12-10T00:00:00"/>
    <s v="RESTAURANT MIDI - DEJEUNER"/>
    <m/>
    <e v="#N/A"/>
    <e v="#N/A"/>
    <n v="93304"/>
    <s v="25000332"/>
    <s v="Yves Combret"/>
    <s v="Q4"/>
    <e v="#REF!"/>
    <e v="#REF!"/>
    <e v="#REF!"/>
  </r>
  <r>
    <s v="625100"/>
    <x v="6"/>
    <s v="Voyages et déplacements"/>
    <s v="NDF"/>
    <n v="13.45"/>
    <d v="2025-12-11T00:00:00"/>
    <s v="MÉTRO, BUS - 251211 MÉTRO"/>
    <m/>
    <e v="#N/A"/>
    <e v="#N/A"/>
    <n v="93287"/>
    <s v="25000328"/>
    <s v="Anthony Martinez"/>
    <s v="Q4"/>
    <e v="#REF!"/>
    <e v="#REF!"/>
    <e v="#REF!"/>
  </r>
  <r>
    <s v="625100"/>
    <x v="6"/>
    <s v="Voyages et déplacements"/>
    <s v="NDF"/>
    <n v="13.49"/>
    <d v="2025-08-25T00:00:00"/>
    <s v="RESTAURANT SOIR - REPAS SOIR"/>
    <m/>
    <e v="#N/A"/>
    <e v="#N/A"/>
    <n v="88132"/>
    <s v="25000210"/>
    <s v="Bob Fernandez"/>
    <s v="Q3"/>
    <e v="#REF!"/>
    <e v="#REF!"/>
    <e v="#REF!"/>
  </r>
  <r>
    <s v="625100"/>
    <x v="6"/>
    <s v="Voyages et déplacements"/>
    <s v="NDF"/>
    <n v="13.5"/>
    <d v="2025-10-06T00:00:00"/>
    <s v="RESTAURANT SOIR - DINER"/>
    <m/>
    <e v="#N/A"/>
    <e v="#N/A"/>
    <n v="88394"/>
    <s v="25000271"/>
    <s v="Jérémie Blache"/>
    <s v="Q4"/>
    <e v="#REF!"/>
    <e v="#REF!"/>
    <e v="#REF!"/>
  </r>
  <r>
    <s v="625100"/>
    <x v="6"/>
    <s v="Voyages et déplacements"/>
    <s v="NDF"/>
    <n v="13.6"/>
    <d v="2025-10-01T00:00:00"/>
    <s v="RESTAURANT MIDI - REPAS MIDI CS"/>
    <m/>
    <e v="#N/A"/>
    <e v="#N/A"/>
    <n v="88405"/>
    <s v="25000269"/>
    <s v="Nuria RAMOS"/>
    <s v="Q4"/>
    <e v="#REF!"/>
    <e v="#REF!"/>
    <e v="#REF!"/>
  </r>
  <r>
    <s v="625100"/>
    <x v="6"/>
    <s v="Voyages et déplacements"/>
    <s v="NDF"/>
    <n v="13.64"/>
    <d v="2025-09-29T00:00:00"/>
    <s v="MÉTRO, BUS - RAPTP-RER AÉROPORT"/>
    <m/>
    <e v="#N/A"/>
    <e v="#N/A"/>
    <n v="88955"/>
    <s v="25000255"/>
    <s v="Emilie Amillastré"/>
    <s v="Q3"/>
    <e v="#REF!"/>
    <e v="#REF!"/>
    <e v="#REF!"/>
  </r>
  <r>
    <s v="625100"/>
    <x v="6"/>
    <s v="Voyages et déplacements"/>
    <s v="NDF"/>
    <n v="13.64"/>
    <d v="2025-11-24T00:00:00"/>
    <s v="MÉTRO, BUS - MÉTRO"/>
    <m/>
    <e v="#N/A"/>
    <e v="#N/A"/>
    <n v="90882"/>
    <s v="25000301"/>
    <s v="Maud Sanchez"/>
    <s v="Q4"/>
    <e v="#REF!"/>
    <e v="#REF!"/>
    <e v="#REF!"/>
  </r>
  <r>
    <s v="625100"/>
    <x v="6"/>
    <s v="Voyages et déplacements"/>
    <s v="NDF"/>
    <n v="13.64"/>
    <d v="2025-12-02T00:00:00"/>
    <s v="MÉTRO, BUS - MÉTRO PARIS DÉCEMBRE"/>
    <m/>
    <e v="#N/A"/>
    <e v="#N/A"/>
    <n v="93400"/>
    <s v="25000314"/>
    <s v="Pierre-Yves Bolle"/>
    <s v="Q4"/>
    <e v="#REF!"/>
    <e v="#REF!"/>
    <e v="#REF!"/>
  </r>
  <r>
    <s v="625100"/>
    <x v="6"/>
    <s v="Voyages et déplacements"/>
    <s v="NDF"/>
    <n v="13.65"/>
    <d v="2025-06-18T00:00:00"/>
    <s v="RESTAURANT MIDI - DÉJEUNER"/>
    <m/>
    <e v="#N/A"/>
    <e v="#N/A"/>
    <n v="89198"/>
    <s v="25000111"/>
    <s v="Pauline Rullière"/>
    <s v="Q2"/>
    <e v="#REF!"/>
    <e v="#REF!"/>
    <e v="#REF!"/>
  </r>
  <r>
    <s v="625100"/>
    <x v="6"/>
    <s v="Voyages et déplacements"/>
    <s v="NDF"/>
    <n v="13.65"/>
    <d v="2025-11-20T00:00:00"/>
    <s v="RESTAURANT MIDI - DÉJEUNER ALLER EVENT VROOM"/>
    <m/>
    <e v="#N/A"/>
    <e v="#N/A"/>
    <n v="93422"/>
    <s v="25000314"/>
    <s v="Pierre-Yves Bolle"/>
    <s v="Q4"/>
    <e v="#REF!"/>
    <e v="#REF!"/>
    <e v="#REF!"/>
  </r>
  <r>
    <s v="625100"/>
    <x v="6"/>
    <s v="Voyages et déplacements"/>
    <s v="NDF"/>
    <n v="13.68"/>
    <d v="2025-11-25T00:00:00"/>
    <s v="RESTAURANT SOIR - REPAS TRAIN"/>
    <m/>
    <e v="#N/A"/>
    <e v="#N/A"/>
    <n v="93361"/>
    <s v="25000303"/>
    <s v="Jérémie Blache"/>
    <s v="Q4"/>
    <e v="#REF!"/>
    <e v="#REF!"/>
    <e v="#REF!"/>
  </r>
  <r>
    <s v="625100"/>
    <x v="6"/>
    <s v="Voyages et déplacements"/>
    <s v="NDF"/>
    <n v="13.75"/>
    <d v="2025-07-02T00:00:00"/>
    <s v="RESTAURANT MIDI - REPAS MIDI RÉUNION MARKETING LYON"/>
    <m/>
    <e v="#N/A"/>
    <e v="#N/A"/>
    <n v="88799"/>
    <s v="25000190"/>
    <s v="Marie-Sarah Adenis"/>
    <s v="Q3"/>
    <e v="#REF!"/>
    <e v="#REF!"/>
    <e v="#REF!"/>
  </r>
  <r>
    <s v="625100"/>
    <x v="6"/>
    <s v="Voyages et déplacements"/>
    <s v="NDF"/>
    <n v="13.8"/>
    <d v="2025-03-11T00:00:00"/>
    <s v="NOTE DE FRAIS"/>
    <m/>
    <e v="#N/A"/>
    <e v="#N/A"/>
    <n v="74278"/>
    <s v="25000107"/>
    <s v="Anne-Sophie Goutierre"/>
    <s v="Q1"/>
    <e v="#REF!"/>
    <e v="#REF!"/>
    <e v="#REF!"/>
  </r>
  <r>
    <s v="625100"/>
    <x v="6"/>
    <s v="Voyages et déplacements"/>
    <s v="NDF"/>
    <n v="13.8"/>
    <d v="2025-04-14T00:00:00"/>
    <s v="NOTE DE FRAIS"/>
    <m/>
    <e v="#N/A"/>
    <e v="#N/A"/>
    <n v="74330"/>
    <s v="25000129"/>
    <s v="Loic masseboeuf"/>
    <s v="Q2"/>
    <e v="#REF!"/>
    <e v="#REF!"/>
    <e v="#REF!"/>
  </r>
  <r>
    <s v="625100"/>
    <x v="6"/>
    <s v="Voyages et déplacements"/>
    <s v="NDF"/>
    <n v="13.93"/>
    <d v="2025-09-10T00:00:00"/>
    <s v="RESTAURANT MIDI - DEJ LYON"/>
    <m/>
    <e v="#N/A"/>
    <e v="#N/A"/>
    <n v="88122"/>
    <s v="25000224"/>
    <s v="Jérémie Blache"/>
    <s v="Q3"/>
    <e v="#REF!"/>
    <e v="#REF!"/>
    <e v="#REF!"/>
  </r>
  <r>
    <s v="625100"/>
    <x v="6"/>
    <s v="Voyages et déplacements"/>
    <s v="NDF"/>
    <n v="13.95"/>
    <d v="2025-10-03T00:00:00"/>
    <s v="RESTAURANT MIDI - PETIT DÉJEUNER"/>
    <m/>
    <e v="#N/A"/>
    <e v="#N/A"/>
    <n v="88434"/>
    <s v="25000246"/>
    <s v="Maud Sanchez"/>
    <s v="Q4"/>
    <e v="#REF!"/>
    <e v="#REF!"/>
    <e v="#REF!"/>
  </r>
  <r>
    <s v="625100"/>
    <x v="6"/>
    <s v="Voyages et déplacements"/>
    <s v="NDF"/>
    <n v="14.01"/>
    <d v="2025-07-21T00:00:00"/>
    <s v="RESTAURANT MIDI - REPAS MIDI"/>
    <m/>
    <e v="#N/A"/>
    <e v="#N/A"/>
    <n v="88750"/>
    <s v="25000196"/>
    <s v="Benjamin Barry"/>
    <s v="Q3"/>
    <e v="#REF!"/>
    <e v="#REF!"/>
    <e v="#REF!"/>
  </r>
  <r>
    <s v="625100"/>
    <x v="6"/>
    <s v="Voyages et déplacements"/>
    <s v="NDF"/>
    <n v="14.27"/>
    <d v="2025-11-20T00:00:00"/>
    <s v="MÉTRO, BUS - METRO TISSEO"/>
    <m/>
    <e v="#N/A"/>
    <e v="#N/A"/>
    <n v="95813"/>
    <s v="25000335"/>
    <s v="Guillaume Boissonnat-Wu"/>
    <s v="Q4"/>
    <e v="#REF!"/>
    <e v="#REF!"/>
    <e v="#REF!"/>
  </r>
  <r>
    <s v="625100"/>
    <x v="6"/>
    <s v="Voyages et déplacements"/>
    <s v="NDF"/>
    <n v="14.31"/>
    <d v="2025-11-24T00:00:00"/>
    <s v="RESTAURANT SOIR - REPAS ROUSSILLON"/>
    <m/>
    <e v="#N/A"/>
    <e v="#N/A"/>
    <n v="90911"/>
    <s v="25000279"/>
    <s v="Bob Fernandez"/>
    <s v="Q4"/>
    <e v="#REF!"/>
    <e v="#REF!"/>
    <e v="#REF!"/>
  </r>
  <r>
    <s v="625100"/>
    <x v="6"/>
    <s v="Voyages et déplacements"/>
    <s v="NDF"/>
    <n v="14.4"/>
    <d v="2025-09-23T00:00:00"/>
    <s v="RESTAURANT MIDI - DÉJEUNER"/>
    <m/>
    <e v="#N/A"/>
    <e v="#N/A"/>
    <n v="88610"/>
    <s v="25000222"/>
    <s v="Pauline Rullière"/>
    <s v="Q3"/>
    <e v="#REF!"/>
    <e v="#REF!"/>
    <e v="#REF!"/>
  </r>
  <r>
    <s v="625100"/>
    <x v="6"/>
    <s v="Voyages et déplacements"/>
    <s v="NDF"/>
    <n v="14.42"/>
    <d v="2025-07-25T00:00:00"/>
    <s v="RESTAURANT MIDI - REPAS VENDREDI MIDI"/>
    <m/>
    <e v="#N/A"/>
    <e v="#N/A"/>
    <n v="88847"/>
    <s v="25000194"/>
    <s v="Marie Rézeau"/>
    <s v="Q3"/>
    <e v="#REF!"/>
    <e v="#REF!"/>
    <e v="#REF!"/>
  </r>
  <r>
    <s v="625100"/>
    <x v="6"/>
    <s v="Voyages et déplacements"/>
    <s v="NDF"/>
    <n v="14.43"/>
    <d v="2025-10-13T00:00:00"/>
    <s v="RESTAURANT MIDI - DEJ KB"/>
    <m/>
    <e v="#N/A"/>
    <e v="#N/A"/>
    <n v="88922"/>
    <s v="25000267"/>
    <s v="Julie Lacondemine"/>
    <s v="Q4"/>
    <e v="#REF!"/>
    <e v="#REF!"/>
    <e v="#REF!"/>
  </r>
  <r>
    <s v="625100"/>
    <x v="6"/>
    <s v="Voyages et déplacements"/>
    <s v="NDF"/>
    <n v="14.44"/>
    <d v="2025-07-07T00:00:00"/>
    <s v="RESTAURANT MIDI - DÉJEUNER"/>
    <m/>
    <e v="#N/A"/>
    <e v="#N/A"/>
    <n v="89225"/>
    <s v="25000111"/>
    <s v="Pauline Rullière"/>
    <s v="Q3"/>
    <e v="#REF!"/>
    <e v="#REF!"/>
    <e v="#REF!"/>
  </r>
  <r>
    <s v="625100"/>
    <x v="6"/>
    <s v="Voyages et déplacements"/>
    <s v="NDF"/>
    <n v="14.45"/>
    <d v="2025-09-29T00:00:00"/>
    <s v="RESTAURANT MIDI - REPAS MIDI"/>
    <m/>
    <e v="#N/A"/>
    <e v="#N/A"/>
    <n v="89037"/>
    <s v="25000256"/>
    <s v="Benjamin Barry"/>
    <s v="Q3"/>
    <e v="#REF!"/>
    <e v="#REF!"/>
    <e v="#REF!"/>
  </r>
  <r>
    <s v="625100"/>
    <x v="6"/>
    <s v="Voyages et déplacements"/>
    <s v="NDF"/>
    <n v="14.45"/>
    <d v="2025-11-24T00:00:00"/>
    <s v="MÉTRO, BUS - METRO TOULOUSE"/>
    <m/>
    <e v="#N/A"/>
    <e v="#N/A"/>
    <n v="90869"/>
    <s v="25000300"/>
    <s v="Jérémie Blache"/>
    <s v="Q4"/>
    <e v="#REF!"/>
    <e v="#REF!"/>
    <e v="#REF!"/>
  </r>
  <r>
    <s v="625100"/>
    <x v="6"/>
    <s v="Voyages et déplacements"/>
    <s v="NDF"/>
    <n v="14.45"/>
    <d v="2025-12-10T00:00:00"/>
    <s v="MÉTRO, BUS - BUS TOULOUSE"/>
    <m/>
    <e v="#N/A"/>
    <e v="#N/A"/>
    <n v="95778"/>
    <s v="25000325"/>
    <s v="Marie Rézeau"/>
    <s v="Q4"/>
    <e v="#REF!"/>
    <e v="#REF!"/>
    <e v="#REF!"/>
  </r>
  <r>
    <s v="625100"/>
    <x v="6"/>
    <s v="Voyages et déplacements"/>
    <s v="NDF"/>
    <n v="14.45"/>
    <d v="2025-12-10T00:00:00"/>
    <s v="MÉTRO, BUS - METRO TOULOUSE"/>
    <m/>
    <e v="#N/A"/>
    <e v="#N/A"/>
    <n v="95776"/>
    <s v="25000325"/>
    <s v="Marie Rézeau"/>
    <s v="Q4"/>
    <e v="#REF!"/>
    <e v="#REF!"/>
    <e v="#REF!"/>
  </r>
  <r>
    <s v="625100"/>
    <x v="6"/>
    <s v="Voyages et déplacements"/>
    <s v="NDF"/>
    <n v="14.45"/>
    <d v="2025-12-12T00:00:00"/>
    <s v="MÉTRO, BUS - TICKET MÉTRO"/>
    <m/>
    <e v="#N/A"/>
    <e v="#N/A"/>
    <n v="95806"/>
    <s v="25000334"/>
    <s v="Maud Sanchez"/>
    <s v="Q4"/>
    <e v="#REF!"/>
    <e v="#REF!"/>
    <e v="#REF!"/>
  </r>
  <r>
    <s v="625100"/>
    <x v="6"/>
    <s v="Voyages et déplacements"/>
    <s v="NDF"/>
    <n v="14.49"/>
    <d v="2025-10-06T00:00:00"/>
    <s v="RESTAURANT MIDI - REPAS LUNDI MIDI"/>
    <m/>
    <e v="#N/A"/>
    <e v="#N/A"/>
    <n v="89055"/>
    <s v="25000256"/>
    <s v="Benjamin Barry"/>
    <s v="Q4"/>
    <e v="#REF!"/>
    <e v="#REF!"/>
    <e v="#REF!"/>
  </r>
  <r>
    <s v="625100"/>
    <x v="6"/>
    <s v="Voyages et déplacements"/>
    <s v="NDF"/>
    <n v="14.51"/>
    <d v="2025-01-01T00:00:00"/>
    <s v="NOTE DE FRAIS"/>
    <m/>
    <e v="#N/A"/>
    <e v="#N/A"/>
    <n v="74160"/>
    <s v="24000043"/>
    <s v="Alain Pinchard"/>
    <s v="Q1"/>
    <e v="#REF!"/>
    <e v="#REF!"/>
    <e v="#REF!"/>
  </r>
  <r>
    <s v="625100"/>
    <x v="6"/>
    <s v="Voyages et déplacements"/>
    <s v="NDF"/>
    <n v="14.52"/>
    <d v="2025-08-27T00:00:00"/>
    <s v="RESTAURANT MIDI - REPAS MIDI"/>
    <m/>
    <e v="#N/A"/>
    <e v="#N/A"/>
    <n v="88128"/>
    <s v="25000210"/>
    <s v="Bob Fernandez"/>
    <s v="Q3"/>
    <e v="#REF!"/>
    <e v="#REF!"/>
    <e v="#REF!"/>
  </r>
  <r>
    <s v="625100"/>
    <x v="6"/>
    <s v="Voyages et déplacements"/>
    <s v="NDF"/>
    <n v="14.55"/>
    <d v="2025-05-16T00:00:00"/>
    <s v="NOTE DE FRAIS"/>
    <m/>
    <e v="#N/A"/>
    <e v="#N/A"/>
    <n v="74431"/>
    <s v="3898"/>
    <s v="Jérémie Blache"/>
    <s v="Q2"/>
    <e v="#REF!"/>
    <e v="#REF!"/>
    <e v="#REF!"/>
  </r>
  <r>
    <s v="625100"/>
    <x v="6"/>
    <s v="Voyages et déplacements"/>
    <s v="NDF"/>
    <n v="14.8"/>
    <d v="2025-12-12T00:00:00"/>
    <s v="RESTAURANT MIDI - DÉJEUNER VENDREDI MIDI"/>
    <m/>
    <e v="#N/A"/>
    <e v="#N/A"/>
    <n v="95804"/>
    <s v="25000334"/>
    <s v="Maud Sanchez"/>
    <s v="Q4"/>
    <e v="#REF!"/>
    <e v="#REF!"/>
    <e v="#REF!"/>
  </r>
  <r>
    <s v="625100"/>
    <x v="6"/>
    <s v="Voyages et déplacements"/>
    <s v="NDF"/>
    <n v="14.9"/>
    <d v="2025-02-25T00:00:00"/>
    <s v="NOTE DE FRAIS"/>
    <m/>
    <e v="#N/A"/>
    <e v="#N/A"/>
    <n v="73705"/>
    <s v="250000050"/>
    <s v="Jérémie Blache"/>
    <s v="Q1"/>
    <e v="#REF!"/>
    <e v="#REF!"/>
    <e v="#REF!"/>
  </r>
  <r>
    <s v="625100"/>
    <x v="6"/>
    <s v="Voyages et déplacements"/>
    <s v="NDF"/>
    <n v="14.9"/>
    <d v="2025-09-15T00:00:00"/>
    <s v="RESTAURANT SOIR - REPAS SOIR"/>
    <m/>
    <e v="#N/A"/>
    <e v="#N/A"/>
    <n v="88528"/>
    <s v="25000230"/>
    <s v="Jérémie Blache"/>
    <s v="Q3"/>
    <e v="#REF!"/>
    <e v="#REF!"/>
    <e v="#REF!"/>
  </r>
  <r>
    <s v="625100"/>
    <x v="6"/>
    <s v="Voyages et déplacements"/>
    <s v="NDF"/>
    <n v="14.9"/>
    <d v="2025-09-16T00:00:00"/>
    <s v="RESTAURANT SOIR - 250916 REPAS DU SOIR"/>
    <m/>
    <e v="#N/A"/>
    <e v="#N/A"/>
    <n v="88540"/>
    <s v="25000242"/>
    <s v="Anthony Martinez"/>
    <s v="Q3"/>
    <e v="#REF!"/>
    <e v="#REF!"/>
    <e v="#REF!"/>
  </r>
  <r>
    <s v="625100"/>
    <x v="6"/>
    <s v="Voyages et déplacements"/>
    <s v="NDF"/>
    <n v="14.9"/>
    <d v="2025-11-24T00:00:00"/>
    <s v="RESTAURANT SOIR - REPAS SOIR PARIS"/>
    <m/>
    <e v="#N/A"/>
    <e v="#N/A"/>
    <n v="93355"/>
    <s v="25000303"/>
    <s v="Jérémie Blache"/>
    <s v="Q4"/>
    <e v="#REF!"/>
    <e v="#REF!"/>
    <e v="#REF!"/>
  </r>
  <r>
    <s v="625100"/>
    <x v="6"/>
    <s v="Voyages et déplacements"/>
    <s v="NDF"/>
    <n v="14.9"/>
    <d v="2025-12-01T00:00:00"/>
    <s v="RESTAURANT SOIR - REPAS SOIR"/>
    <m/>
    <e v="#N/A"/>
    <e v="#N/A"/>
    <n v="93329"/>
    <s v="25000306"/>
    <s v="Jérémie Blache"/>
    <s v="Q4"/>
    <e v="#REF!"/>
    <e v="#REF!"/>
    <e v="#REF!"/>
  </r>
  <r>
    <s v="625100"/>
    <x v="6"/>
    <s v="Voyages et déplacements"/>
    <s v="NDF"/>
    <n v="14.9"/>
    <d v="2025-12-15T00:00:00"/>
    <s v="RESTAURANT SOIR - REPAS SOIR"/>
    <m/>
    <e v="#N/A"/>
    <e v="#N/A"/>
    <n v="93253"/>
    <s v="25000327"/>
    <s v="Jérémie Blache"/>
    <s v="Q4"/>
    <e v="#REF!"/>
    <e v="#REF!"/>
    <e v="#REF!"/>
  </r>
  <r>
    <s v="625100"/>
    <x v="6"/>
    <s v="Voyages et déplacements"/>
    <s v="NDF"/>
    <n v="14.95"/>
    <d v="2025-11-24T00:00:00"/>
    <s v="RESTAURANT MIDI - REPAS 18 MIDI"/>
    <m/>
    <e v="#N/A"/>
    <e v="#N/A"/>
    <n v="90892"/>
    <s v="25000293"/>
    <s v="Julie Lacondemine"/>
    <s v="Q4"/>
    <e v="#REF!"/>
    <e v="#REF!"/>
    <e v="#REF!"/>
  </r>
  <r>
    <s v="625100"/>
    <x v="6"/>
    <s v="Voyages et déplacements"/>
    <s v="NDF"/>
    <n v="15"/>
    <d v="2025-02-08T00:00:00"/>
    <s v="NDF"/>
    <m/>
    <e v="#N/A"/>
    <e v="#N/A"/>
    <n v="75717"/>
    <s v="25000030"/>
    <s v="Kevin Cottet"/>
    <s v="Q1"/>
    <e v="#REF!"/>
    <e v="#REF!"/>
    <e v="#REF!"/>
  </r>
  <r>
    <s v="625100"/>
    <x v="6"/>
    <s v="Voyages et déplacements"/>
    <s v="NDF"/>
    <n v="15.04"/>
    <d v="2025-07-24T00:00:00"/>
    <s v="RESTAURANT MIDI - REPAS JEUDI MIDI"/>
    <m/>
    <e v="#N/A"/>
    <e v="#N/A"/>
    <n v="88871"/>
    <s v="25000194"/>
    <s v="Marie Rézeau"/>
    <s v="Q3"/>
    <e v="#REF!"/>
    <e v="#REF!"/>
    <e v="#REF!"/>
  </r>
  <r>
    <s v="625100"/>
    <x v="6"/>
    <s v="Voyages et déplacements"/>
    <s v="NDF"/>
    <n v="15.1"/>
    <d v="2025-10-03T00:00:00"/>
    <s v="RESTAURANT MIDI - BAGELSTEIN"/>
    <m/>
    <e v="#N/A"/>
    <e v="#N/A"/>
    <n v="88603"/>
    <s v="25000264"/>
    <s v="Gaëlle Buche"/>
    <s v="Q4"/>
    <e v="#REF!"/>
    <e v="#REF!"/>
    <e v="#REF!"/>
  </r>
  <r>
    <s v="625100"/>
    <x v="6"/>
    <s v="Voyages et déplacements"/>
    <s v="NDF"/>
    <n v="15.12"/>
    <d v="2025-11-24T00:00:00"/>
    <s v="RESTAURANT MIDI - REPAS TRAIN"/>
    <m/>
    <e v="#N/A"/>
    <e v="#N/A"/>
    <n v="93359"/>
    <s v="25000303"/>
    <s v="Jérémie Blache"/>
    <s v="Q4"/>
    <e v="#REF!"/>
    <e v="#REF!"/>
    <e v="#REF!"/>
  </r>
  <r>
    <s v="625100"/>
    <x v="6"/>
    <s v="Voyages et déplacements"/>
    <s v="NDF"/>
    <n v="15.17"/>
    <d v="2025-11-24T00:00:00"/>
    <s v="RESTAURANT MIDI - DÉJEUNER LYON"/>
    <m/>
    <e v="#N/A"/>
    <e v="#N/A"/>
    <n v="90930"/>
    <s v="25000288"/>
    <s v="Guillaume Boissonnat-Wu"/>
    <s v="Q4"/>
    <e v="#REF!"/>
    <e v="#REF!"/>
    <e v="#REF!"/>
  </r>
  <r>
    <s v="625100"/>
    <x v="6"/>
    <s v="Voyages et déplacements"/>
    <s v="NDF"/>
    <n v="15.22"/>
    <d v="2025-09-22T00:00:00"/>
    <s v="TRAIN - TRAIN RMC"/>
    <m/>
    <e v="#N/A"/>
    <e v="#N/A"/>
    <n v="88622"/>
    <s v="25000222"/>
    <s v="Pauline Rullière"/>
    <s v="Q3"/>
    <e v="#REF!"/>
    <e v="#REF!"/>
    <e v="#REF!"/>
  </r>
  <r>
    <s v="625100"/>
    <x v="6"/>
    <s v="Voyages et déplacements"/>
    <s v="NDF"/>
    <n v="15.4"/>
    <d v="2025-07-03T00:00:00"/>
    <s v="RESTAURANT SOIR - REPAS SOIR"/>
    <m/>
    <e v="#N/A"/>
    <e v="#N/A"/>
    <n v="88645"/>
    <s v="25000180"/>
    <s v="Bob Fernandez"/>
    <s v="Q3"/>
    <e v="#REF!"/>
    <e v="#REF!"/>
    <e v="#REF!"/>
  </r>
  <r>
    <s v="625100"/>
    <x v="6"/>
    <s v="Voyages et déplacements"/>
    <s v="NDF"/>
    <n v="15.45"/>
    <d v="2025-10-01T00:00:00"/>
    <s v="MÉTRO, BUS - 6 TICKETS RATP CS"/>
    <m/>
    <e v="#N/A"/>
    <e v="#N/A"/>
    <n v="88966"/>
    <s v="25000282"/>
    <s v="Nicolas Canu"/>
    <s v="Q4"/>
    <e v="#REF!"/>
    <e v="#REF!"/>
    <e v="#REF!"/>
  </r>
  <r>
    <s v="625100"/>
    <x v="6"/>
    <s v="Voyages et déplacements"/>
    <s v="NDF"/>
    <n v="15.5"/>
    <d v="2025-07-08T00:00:00"/>
    <s v="RESTAURANT SOIR - DINER"/>
    <m/>
    <e v="#N/A"/>
    <e v="#N/A"/>
    <n v="89229"/>
    <s v="25000111"/>
    <s v="Pauline Rullière"/>
    <s v="Q3"/>
    <e v="#REF!"/>
    <e v="#REF!"/>
    <e v="#REF!"/>
  </r>
  <r>
    <s v="625100"/>
    <x v="6"/>
    <s v="Voyages et déplacements"/>
    <s v="NDF"/>
    <n v="15.55"/>
    <d v="2025-07-21T00:00:00"/>
    <s v="MÉTRO, BUS - NAVETTE AÉROPORT"/>
    <m/>
    <e v="#N/A"/>
    <e v="#N/A"/>
    <n v="88850"/>
    <s v="25000194"/>
    <s v="Marie Rézeau"/>
    <s v="Q3"/>
    <e v="#REF!"/>
    <e v="#REF!"/>
    <e v="#REF!"/>
  </r>
  <r>
    <s v="625100"/>
    <x v="6"/>
    <s v="Voyages et déplacements"/>
    <s v="NDF"/>
    <n v="15.55"/>
    <d v="2025-11-24T00:00:00"/>
    <s v="MÉTRO, BUS - RHONEXPRESS AÉROPORT (BIOTIKA)"/>
    <m/>
    <e v="#N/A"/>
    <e v="#N/A"/>
    <n v="90952"/>
    <s v="25000265"/>
    <s v="Marie Rézeau"/>
    <s v="Q4"/>
    <e v="#REF!"/>
    <e v="#REF!"/>
    <e v="#REF!"/>
  </r>
  <r>
    <s v="625100"/>
    <x v="6"/>
    <s v="Voyages et déplacements"/>
    <s v="NDF"/>
    <n v="15.58"/>
    <d v="2025-09-19T00:00:00"/>
    <s v="CARBURANT (GAZOLE) - CARBURANT"/>
    <m/>
    <e v="#N/A"/>
    <e v="#N/A"/>
    <n v="88518"/>
    <s v="25000241"/>
    <s v="Filipe Gomes"/>
    <s v="Q3"/>
    <e v="#REF!"/>
    <e v="#REF!"/>
    <e v="#REF!"/>
  </r>
  <r>
    <s v="625100"/>
    <x v="6"/>
    <s v="Voyages et déplacements"/>
    <s v="NDF"/>
    <n v="15.65"/>
    <d v="2025-09-29T00:00:00"/>
    <s v="RESTAURANT SOIR - REPAS SOIR"/>
    <m/>
    <e v="#N/A"/>
    <e v="#N/A"/>
    <n v="89063"/>
    <s v="25000256"/>
    <s v="Benjamin Barry"/>
    <s v="Q3"/>
    <e v="#REF!"/>
    <e v="#REF!"/>
    <e v="#REF!"/>
  </r>
  <r>
    <s v="625100"/>
    <x v="6"/>
    <s v="Voyages et déplacements"/>
    <s v="NDF"/>
    <n v="15.67"/>
    <d v="2025-09-17T00:00:00"/>
    <s v="PÉAGE - PÉAGE SÉMINAIRE"/>
    <m/>
    <e v="#N/A"/>
    <e v="#N/A"/>
    <n v="88989"/>
    <s v="25000257"/>
    <s v="Anne-Sophie Goutierre"/>
    <s v="Q3"/>
    <e v="#REF!"/>
    <e v="#REF!"/>
    <e v="#REF!"/>
  </r>
  <r>
    <s v="625100"/>
    <x v="6"/>
    <s v="Voyages et déplacements"/>
    <s v="NDF"/>
    <n v="15.67"/>
    <d v="2025-09-19T00:00:00"/>
    <s v="PÉAGE - PÉAGE SÉMINAIRE"/>
    <m/>
    <e v="#N/A"/>
    <e v="#N/A"/>
    <n v="88991"/>
    <s v="25000257"/>
    <s v="Anne-Sophie Goutierre"/>
    <s v="Q3"/>
    <e v="#REF!"/>
    <e v="#REF!"/>
    <e v="#REF!"/>
  </r>
  <r>
    <s v="625100"/>
    <x v="6"/>
    <s v="Voyages et déplacements"/>
    <s v="NDF"/>
    <n v="15.73"/>
    <d v="2025-06-24T00:00:00"/>
    <s v="RESTAURANT MIDI - REPAS MIDI"/>
    <m/>
    <e v="#N/A"/>
    <e v="#N/A"/>
    <n v="88661"/>
    <s v="25000178"/>
    <s v="Bob Fernandez"/>
    <s v="Q2"/>
    <e v="#REF!"/>
    <e v="#REF!"/>
    <e v="#REF!"/>
  </r>
  <r>
    <s v="625100"/>
    <x v="6"/>
    <s v="Voyages et déplacements"/>
    <s v="NDF"/>
    <n v="15.8"/>
    <d v="2025-01-01T00:00:00"/>
    <s v="NDF"/>
    <m/>
    <e v="#N/A"/>
    <e v="#N/A"/>
    <n v="75647"/>
    <s v="24000393"/>
    <s v="Kevin Cottet"/>
    <s v="Q1"/>
    <e v="#REF!"/>
    <e v="#REF!"/>
    <e v="#REF!"/>
  </r>
  <r>
    <s v="625100"/>
    <x v="6"/>
    <s v="Voyages et déplacements"/>
    <s v="NDF"/>
    <n v="15.9"/>
    <d v="2025-01-14T00:00:00"/>
    <s v="NDF"/>
    <m/>
    <e v="#N/A"/>
    <e v="#N/A"/>
    <n v="75690"/>
    <s v="25000025"/>
    <s v="Loic masseboeuf"/>
    <s v="Q1"/>
    <e v="#REF!"/>
    <e v="#REF!"/>
    <e v="#REF!"/>
  </r>
  <r>
    <s v="625100"/>
    <x v="6"/>
    <s v="Voyages et déplacements"/>
    <s v="NDF"/>
    <n v="15.9"/>
    <d v="2025-10-01T00:00:00"/>
    <s v="RESTAURANT SOIR - DINER CS"/>
    <m/>
    <e v="#N/A"/>
    <e v="#N/A"/>
    <n v="88970"/>
    <s v="25000282"/>
    <s v="Nicolas Canu"/>
    <s v="Q4"/>
    <e v="#REF!"/>
    <e v="#REF!"/>
    <e v="#REF!"/>
  </r>
  <r>
    <s v="625100"/>
    <x v="6"/>
    <s v="Voyages et déplacements"/>
    <s v="NDF"/>
    <n v="15.9"/>
    <d v="2025-11-24T00:00:00"/>
    <s v="RESTAURANT SOIR - REPAS ROUSSILLON"/>
    <m/>
    <e v="#N/A"/>
    <e v="#N/A"/>
    <n v="90907"/>
    <s v="25000279"/>
    <s v="Bob Fernandez"/>
    <s v="Q4"/>
    <e v="#REF!"/>
    <e v="#REF!"/>
    <e v="#REF!"/>
  </r>
  <r>
    <s v="625100"/>
    <x v="6"/>
    <s v="Voyages et déplacements"/>
    <s v="NDF"/>
    <n v="15.95"/>
    <d v="2025-09-23T00:00:00"/>
    <s v="RESTAURANT MIDI - REPAS MARDI MIDI"/>
    <m/>
    <e v="#N/A"/>
    <e v="#N/A"/>
    <n v="88474"/>
    <s v="25000253"/>
    <s v="Bob Fernandez"/>
    <s v="Q3"/>
    <e v="#REF!"/>
    <e v="#REF!"/>
    <e v="#REF!"/>
  </r>
  <r>
    <s v="625100"/>
    <x v="6"/>
    <s v="Voyages et déplacements"/>
    <s v="NDF"/>
    <n v="16"/>
    <d v="2025-04-22T00:00:00"/>
    <s v="25000139"/>
    <m/>
    <e v="#N/A"/>
    <e v="#N/A"/>
    <n v="74355"/>
    <s v="25000139"/>
    <s v="Emilie Amillastré"/>
    <s v="Q2"/>
    <e v="#REF!"/>
    <e v="#REF!"/>
    <e v="#REF!"/>
  </r>
  <r>
    <s v="625100"/>
    <x v="6"/>
    <s v="Voyages et déplacements"/>
    <s v="NDF"/>
    <n v="16"/>
    <d v="2025-08-26T00:00:00"/>
    <s v="RESTAURANT SOIR - REPAS SOIR"/>
    <m/>
    <e v="#N/A"/>
    <e v="#N/A"/>
    <n v="88134"/>
    <s v="25000210"/>
    <s v="Bob Fernandez"/>
    <s v="Q3"/>
    <e v="#REF!"/>
    <e v="#REF!"/>
    <e v="#REF!"/>
  </r>
  <r>
    <s v="625100"/>
    <x v="6"/>
    <s v="Voyages et déplacements"/>
    <s v="NDF"/>
    <n v="16"/>
    <d v="2025-09-09T00:00:00"/>
    <s v="RESTAURANT SOIR - REPAS SOIR LYON"/>
    <m/>
    <e v="#N/A"/>
    <e v="#N/A"/>
    <n v="88138"/>
    <s v="25000221"/>
    <s v="Jérémie Blache"/>
    <s v="Q3"/>
    <e v="#REF!"/>
    <e v="#REF!"/>
    <e v="#REF!"/>
  </r>
  <r>
    <s v="625100"/>
    <x v="6"/>
    <s v="Voyages et déplacements"/>
    <s v="NDF"/>
    <n v="16.059999999999999"/>
    <d v="2025-07-21T00:00:00"/>
    <s v="RESTAURANT SOIR - REPAS LUNDI SOIR"/>
    <m/>
    <e v="#N/A"/>
    <e v="#N/A"/>
    <n v="88857"/>
    <s v="25000194"/>
    <s v="Marie Rézeau"/>
    <s v="Q3"/>
    <e v="#REF!"/>
    <e v="#REF!"/>
    <e v="#REF!"/>
  </r>
  <r>
    <s v="625100"/>
    <x v="6"/>
    <s v="Voyages et déplacements"/>
    <s v="NDF"/>
    <n v="16.18"/>
    <d v="2025-01-10T00:00:00"/>
    <s v="RESTAURANT MIDI - DÉJEUNER"/>
    <m/>
    <e v="#N/A"/>
    <e v="#N/A"/>
    <n v="88613"/>
    <s v="25000222"/>
    <s v="Pauline Rullière"/>
    <s v="Q1"/>
    <e v="#REF!"/>
    <e v="#REF!"/>
    <e v="#REF!"/>
  </r>
  <r>
    <s v="625100"/>
    <x v="6"/>
    <s v="Voyages et déplacements"/>
    <s v="NDF"/>
    <n v="16.18"/>
    <d v="2025-11-24T00:00:00"/>
    <s v="RESTAURANT MIDI - REPAS ROUSSILLON"/>
    <m/>
    <e v="#N/A"/>
    <e v="#N/A"/>
    <n v="90916"/>
    <s v="25000279"/>
    <s v="Bob Fernandez"/>
    <s v="Q4"/>
    <e v="#REF!"/>
    <e v="#REF!"/>
    <e v="#REF!"/>
  </r>
  <r>
    <s v="625100"/>
    <x v="6"/>
    <s v="Voyages et déplacements"/>
    <s v="NDF"/>
    <n v="16.2"/>
    <d v="2025-12-10T00:00:00"/>
    <s v="RESTAURANT SOIR - 251210 REPAS DU SOIR"/>
    <m/>
    <e v="#N/A"/>
    <e v="#N/A"/>
    <n v="93280"/>
    <s v="25000328"/>
    <s v="Anthony Martinez"/>
    <s v="Q4"/>
    <e v="#REF!"/>
    <e v="#REF!"/>
    <e v="#REF!"/>
  </r>
  <r>
    <s v="625100"/>
    <x v="6"/>
    <s v="Voyages et déplacements"/>
    <s v="NDF"/>
    <n v="16.22"/>
    <d v="2025-12-12T00:00:00"/>
    <s v="RESTAURANT MIDI - 251212 REPAS DU MIDI"/>
    <m/>
    <e v="#N/A"/>
    <e v="#N/A"/>
    <n v="93283"/>
    <s v="25000328"/>
    <s v="Anthony Martinez"/>
    <s v="Q4"/>
    <e v="#REF!"/>
    <e v="#REF!"/>
    <e v="#REF!"/>
  </r>
  <r>
    <s v="625100"/>
    <x v="6"/>
    <s v="Voyages et déplacements"/>
    <s v="NDF"/>
    <n v="16.28"/>
    <d v="2025-09-23T00:00:00"/>
    <s v="RESTAURANT SOIR - REPAS MARDI SOIR"/>
    <m/>
    <e v="#N/A"/>
    <e v="#N/A"/>
    <n v="88472"/>
    <s v="25000253"/>
    <s v="Bob Fernandez"/>
    <s v="Q3"/>
    <e v="#REF!"/>
    <e v="#REF!"/>
    <e v="#REF!"/>
  </r>
  <r>
    <s v="625100"/>
    <x v="6"/>
    <s v="Voyages et déplacements"/>
    <s v="NDF"/>
    <n v="16.29"/>
    <d v="2025-10-14T00:00:00"/>
    <s v="DIVERS - THÉ PILI TOULOUSE"/>
    <m/>
    <e v="#N/A"/>
    <e v="#N/A"/>
    <n v="89019"/>
    <s v="24000086"/>
    <s v="Mylène Menanteau"/>
    <s v="Q4"/>
    <e v="#REF!"/>
    <e v="#REF!"/>
    <e v="#REF!"/>
  </r>
  <r>
    <s v="625100"/>
    <x v="6"/>
    <s v="Voyages et déplacements"/>
    <s v="NDF"/>
    <n v="16.43"/>
    <d v="2025-09-25T00:00:00"/>
    <s v="RESTAURANT SOIR - REPAS JEUDI SOIR"/>
    <m/>
    <e v="#N/A"/>
    <e v="#N/A"/>
    <n v="88457"/>
    <s v="25000253"/>
    <s v="Bob Fernandez"/>
    <s v="Q3"/>
    <e v="#REF!"/>
    <e v="#REF!"/>
    <e v="#REF!"/>
  </r>
  <r>
    <s v="625100"/>
    <x v="6"/>
    <s v="Voyages et déplacements"/>
    <s v="NDF"/>
    <n v="16.57"/>
    <d v="2025-10-01T00:00:00"/>
    <s v="RESTAURANT MIDI - REPAS CS"/>
    <m/>
    <e v="#N/A"/>
    <e v="#N/A"/>
    <n v="88443"/>
    <s v="25000254"/>
    <s v="Bob Fernandez"/>
    <s v="Q4"/>
    <e v="#REF!"/>
    <e v="#REF!"/>
    <e v="#REF!"/>
  </r>
  <r>
    <s v="625100"/>
    <x v="6"/>
    <s v="Voyages et déplacements"/>
    <s v="NDF"/>
    <n v="16.64"/>
    <d v="2025-02-01T00:00:00"/>
    <s v="NDF"/>
    <m/>
    <e v="#N/A"/>
    <e v="#N/A"/>
    <n v="76469"/>
    <s v="25000039"/>
    <s v="Jérémie Blache"/>
    <s v="Q1"/>
    <e v="#REF!"/>
    <e v="#REF!"/>
    <e v="#REF!"/>
  </r>
  <r>
    <s v="625100"/>
    <x v="6"/>
    <s v="Voyages et déplacements"/>
    <s v="NDF"/>
    <n v="16.82"/>
    <d v="2025-01-01T00:00:00"/>
    <s v="NDF"/>
    <m/>
    <e v="#N/A"/>
    <e v="#N/A"/>
    <n v="75429"/>
    <s v="24000122"/>
    <s v="Marie-Sarah Adenis"/>
    <s v="Q1"/>
    <e v="#REF!"/>
    <e v="#REF!"/>
    <e v="#REF!"/>
  </r>
  <r>
    <s v="625100"/>
    <x v="6"/>
    <s v="Voyages et déplacements"/>
    <s v="NDF"/>
    <n v="16.899999999999999"/>
    <d v="2025-09-15T00:00:00"/>
    <s v="RESTAURANT SOIR - 250915 REPAS DU SOIR"/>
    <m/>
    <e v="#N/A"/>
    <e v="#N/A"/>
    <n v="88536"/>
    <s v="25000242"/>
    <s v="Anthony Martinez"/>
    <s v="Q3"/>
    <e v="#REF!"/>
    <e v="#REF!"/>
    <e v="#REF!"/>
  </r>
  <r>
    <s v="625100"/>
    <x v="6"/>
    <s v="Voyages et déplacements"/>
    <s v="NDF"/>
    <n v="17.079999999999998"/>
    <d v="2025-12-01T00:00:00"/>
    <s v="RESTAURANT MIDI - DÉJEUNER"/>
    <m/>
    <e v="#N/A"/>
    <e v="#N/A"/>
    <n v="93465"/>
    <s v="25000289"/>
    <s v="Pauline Rullière"/>
    <s v="Q4"/>
    <e v="#REF!"/>
    <e v="#REF!"/>
    <e v="#REF!"/>
  </r>
  <r>
    <s v="625100"/>
    <x v="6"/>
    <s v="Voyages et déplacements"/>
    <s v="NDF"/>
    <n v="17.27"/>
    <d v="2025-03-31T00:00:00"/>
    <s v="NDF"/>
    <m/>
    <e v="#N/A"/>
    <e v="#N/A"/>
    <n v="75831"/>
    <s v="25000097"/>
    <s v="Bob Fernandez"/>
    <s v="Q1"/>
    <e v="#REF!"/>
    <e v="#REF!"/>
    <e v="#REF!"/>
  </r>
  <r>
    <s v="625100"/>
    <x v="6"/>
    <s v="Voyages et déplacements"/>
    <s v="NDF"/>
    <n v="17.27"/>
    <d v="2025-04-04T00:00:00"/>
    <s v="NDF"/>
    <m/>
    <e v="#N/A"/>
    <e v="#N/A"/>
    <n v="75469"/>
    <s v="25000105"/>
    <s v="Audrey Baylac"/>
    <s v="Q2"/>
    <e v="#REF!"/>
    <e v="#REF!"/>
    <e v="#REF!"/>
  </r>
  <r>
    <s v="625100"/>
    <x v="6"/>
    <s v="Voyages et déplacements"/>
    <s v="NDF"/>
    <n v="17.420000000000002"/>
    <d v="2025-10-03T00:00:00"/>
    <s v="RESTAURANT MIDI - REPAS RETOUR CS"/>
    <m/>
    <e v="#N/A"/>
    <e v="#N/A"/>
    <n v="88441"/>
    <s v="25000254"/>
    <s v="Bob Fernandez"/>
    <s v="Q4"/>
    <e v="#REF!"/>
    <e v="#REF!"/>
    <e v="#REF!"/>
  </r>
  <r>
    <s v="625100"/>
    <x v="6"/>
    <s v="Voyages et déplacements"/>
    <s v="NDF"/>
    <n v="17.45"/>
    <d v="2025-04-14T00:00:00"/>
    <s v="NOTE DE FRAIS"/>
    <m/>
    <e v="#N/A"/>
    <e v="#N/A"/>
    <n v="74331"/>
    <s v="25000129"/>
    <s v="Loic masseboeuf"/>
    <s v="Q2"/>
    <e v="#REF!"/>
    <e v="#REF!"/>
    <e v="#REF!"/>
  </r>
  <r>
    <s v="625100"/>
    <x v="6"/>
    <s v="Voyages et déplacements"/>
    <s v="NDF"/>
    <n v="17.59"/>
    <d v="2025-06-25T00:00:00"/>
    <s v="MÉTRO, BUS - BUS"/>
    <m/>
    <e v="#N/A"/>
    <e v="#N/A"/>
    <n v="89216"/>
    <s v="25000111"/>
    <s v="Pauline Rullière"/>
    <s v="Q2"/>
    <e v="#REF!"/>
    <e v="#REF!"/>
    <e v="#REF!"/>
  </r>
  <r>
    <s v="625100"/>
    <x v="6"/>
    <s v="Voyages et déplacements"/>
    <s v="NDF"/>
    <n v="17.66"/>
    <d v="2025-11-03T00:00:00"/>
    <s v="RESTAURANT MIDI - DÉJEUNER"/>
    <m/>
    <e v="#N/A"/>
    <e v="#N/A"/>
    <n v="93489"/>
    <s v="25000289"/>
    <s v="Pauline Rullière"/>
    <s v="Q4"/>
    <e v="#REF!"/>
    <e v="#REF!"/>
    <e v="#REF!"/>
  </r>
  <r>
    <s v="625100"/>
    <x v="6"/>
    <s v="Voyages et déplacements"/>
    <s v="NDF"/>
    <n v="17.66"/>
    <d v="2025-12-01T00:00:00"/>
    <s v="DIVERS - REPAS CODIR"/>
    <m/>
    <e v="#N/A"/>
    <e v="#N/A"/>
    <n v="93473"/>
    <s v="25000289"/>
    <s v="Pauline Rullière"/>
    <s v="Q4"/>
    <e v="#REF!"/>
    <e v="#REF!"/>
    <e v="#REF!"/>
  </r>
  <r>
    <s v="625100"/>
    <x v="6"/>
    <s v="Voyages et déplacements"/>
    <s v="NDF"/>
    <n v="17.7"/>
    <d v="2025-07-30T00:00:00"/>
    <s v="RESTAURANT SOIR - DÉPLACEMENT TOULOUSE-PARIS CHIMIE ANALYTIQUE"/>
    <m/>
    <e v="#N/A"/>
    <e v="#N/A"/>
    <n v="88713"/>
    <s v="25000204"/>
    <s v="Océane Chabret"/>
    <s v="Q3"/>
    <e v="#REF!"/>
    <e v="#REF!"/>
    <e v="#REF!"/>
  </r>
  <r>
    <s v="625100"/>
    <x v="6"/>
    <s v="Voyages et déplacements"/>
    <s v="NDF"/>
    <n v="17.899999999999999"/>
    <d v="2025-10-09T00:00:00"/>
    <s v="RESTAURANT SOIR - REPAS AÉROPORT"/>
    <m/>
    <e v="#N/A"/>
    <e v="#N/A"/>
    <n v="89053"/>
    <s v="25000256"/>
    <s v="Benjamin Barry"/>
    <s v="Q4"/>
    <e v="#REF!"/>
    <e v="#REF!"/>
    <e v="#REF!"/>
  </r>
  <r>
    <s v="625100"/>
    <x v="6"/>
    <s v="Voyages et déplacements"/>
    <s v="NDF"/>
    <n v="17.95"/>
    <d v="2025-12-01T00:00:00"/>
    <s v="RESTAURANT MIDI - REPAS MARDI MIDI MARIE"/>
    <m/>
    <e v="#N/A"/>
    <e v="#N/A"/>
    <n v="95788"/>
    <s v="25000325"/>
    <s v="Marie Rézeau"/>
    <s v="Q4"/>
    <e v="#REF!"/>
    <e v="#REF!"/>
    <e v="#REF!"/>
  </r>
  <r>
    <s v="625100"/>
    <x v="6"/>
    <s v="Voyages et déplacements"/>
    <s v="NDF"/>
    <n v="18"/>
    <d v="2025-01-13T00:00:00"/>
    <s v="NDF"/>
    <m/>
    <e v="#N/A"/>
    <e v="#N/A"/>
    <n v="75685"/>
    <s v="25000011"/>
    <s v="Benjamin Barry"/>
    <s v="Q1"/>
    <e v="#REF!"/>
    <e v="#REF!"/>
    <e v="#REF!"/>
  </r>
  <r>
    <s v="625100"/>
    <x v="6"/>
    <s v="Voyages et déplacements"/>
    <s v="NDF"/>
    <n v="18"/>
    <d v="2025-01-30T00:00:00"/>
    <s v="NDF"/>
    <m/>
    <e v="#N/A"/>
    <e v="#N/A"/>
    <n v="75697"/>
    <s v="25000023"/>
    <s v="Guillaume Boissonnat-Wu"/>
    <s v="Q1"/>
    <e v="#REF!"/>
    <e v="#REF!"/>
    <e v="#REF!"/>
  </r>
  <r>
    <s v="625100"/>
    <x v="6"/>
    <s v="Voyages et déplacements"/>
    <s v="NDF"/>
    <n v="18.05"/>
    <d v="2025-12-01T00:00:00"/>
    <s v="RESTAURANT SOIR - REPAS SOIR CAR RETAR DE TRAIN"/>
    <m/>
    <e v="#N/A"/>
    <e v="#N/A"/>
    <n v="93365"/>
    <s v="25000315"/>
    <s v="Kevin Cottet"/>
    <s v="Q4"/>
    <e v="#REF!"/>
    <e v="#REF!"/>
    <e v="#REF!"/>
  </r>
  <r>
    <s v="625100"/>
    <x v="6"/>
    <s v="Voyages et déplacements"/>
    <s v="NDF"/>
    <n v="18.18"/>
    <d v="2025-11-24T00:00:00"/>
    <s v="MÉTRO, BUS - BUS LYON (FRANCE CHIMIE, BIOTIKA)"/>
    <m/>
    <e v="#N/A"/>
    <e v="#N/A"/>
    <n v="90963"/>
    <s v="25000265"/>
    <s v="Marie Rézeau"/>
    <s v="Q4"/>
    <e v="#REF!"/>
    <e v="#REF!"/>
    <e v="#REF!"/>
  </r>
  <r>
    <s v="625100"/>
    <x v="6"/>
    <s v="Voyages et déplacements"/>
    <s v="NDF"/>
    <n v="18.3"/>
    <d v="2025-05-05T00:00:00"/>
    <s v="RESTAURANT SOIR - DÎNER"/>
    <m/>
    <e v="#N/A"/>
    <e v="#N/A"/>
    <n v="89172"/>
    <s v="25000111"/>
    <s v="Pauline Rullière"/>
    <s v="Q2"/>
    <e v="#REF!"/>
    <e v="#REF!"/>
    <e v="#REF!"/>
  </r>
  <r>
    <s v="625100"/>
    <x v="6"/>
    <s v="Voyages et déplacements"/>
    <s v="NDF"/>
    <n v="18.399999999999999"/>
    <d v="2025-03-05T00:00:00"/>
    <s v="NDF"/>
    <m/>
    <e v="#N/A"/>
    <e v="#N/A"/>
    <n v="76483"/>
    <s v="N25000067"/>
    <s v="Jérémie Blache"/>
    <s v="Q1"/>
    <e v="#REF!"/>
    <e v="#REF!"/>
    <e v="#REF!"/>
  </r>
  <r>
    <s v="625100"/>
    <x v="6"/>
    <s v="Voyages et déplacements"/>
    <s v="NDF"/>
    <n v="18.5"/>
    <d v="2025-02-13T00:00:00"/>
    <s v="TAXI - A/R ROUSSILLON - VISITE HOKOGAWA"/>
    <m/>
    <e v="#N/A"/>
    <e v="#N/A"/>
    <n v="95760"/>
    <s v="25000042"/>
    <s v="Alain Pinchard"/>
    <s v="Q1"/>
    <e v="#REF!"/>
    <e v="#REF!"/>
    <e v="#REF!"/>
  </r>
  <r>
    <s v="625100"/>
    <x v="6"/>
    <s v="Voyages et déplacements"/>
    <s v="NDF"/>
    <n v="18.5"/>
    <d v="2025-06-24T00:00:00"/>
    <s v="RESTAURANT SOIR - REPAS SOIR"/>
    <m/>
    <e v="#N/A"/>
    <e v="#N/A"/>
    <n v="88657"/>
    <s v="25000178"/>
    <s v="Bob Fernandez"/>
    <s v="Q2"/>
    <e v="#REF!"/>
    <e v="#REF!"/>
    <e v="#REF!"/>
  </r>
  <r>
    <s v="625100"/>
    <x v="6"/>
    <s v="Voyages et déplacements"/>
    <s v="NDF"/>
    <n v="18.5"/>
    <d v="2025-09-24T00:00:00"/>
    <s v="RESTAURANT SOIR - REPAS MERCREDI SOIR"/>
    <m/>
    <e v="#N/A"/>
    <e v="#N/A"/>
    <n v="88470"/>
    <s v="25000253"/>
    <s v="Bob Fernandez"/>
    <s v="Q3"/>
    <e v="#REF!"/>
    <e v="#REF!"/>
    <e v="#REF!"/>
  </r>
  <r>
    <s v="625100"/>
    <x v="6"/>
    <s v="Voyages et déplacements"/>
    <s v="NDF"/>
    <n v="18.5"/>
    <d v="2025-12-10T00:00:00"/>
    <s v="RESTAURANT SOIR - DINNER 1ER SOIR"/>
    <m/>
    <e v="#N/A"/>
    <e v="#N/A"/>
    <n v="95921"/>
    <s v="25000338"/>
    <s v="Alain Pinchard"/>
    <s v="Q4"/>
    <e v="#REF!"/>
    <e v="#REF!"/>
    <e v="#REF!"/>
  </r>
  <r>
    <s v="625100"/>
    <x v="6"/>
    <s v="Voyages et déplacements"/>
    <s v="NDF"/>
    <n v="18.59"/>
    <d v="2025-12-10T00:00:00"/>
    <s v="RESTAURANT MIDI - 251210 REPAS DU MIDI"/>
    <m/>
    <e v="#N/A"/>
    <e v="#N/A"/>
    <n v="93289"/>
    <s v="25000328"/>
    <s v="Anthony Martinez"/>
    <s v="Q4"/>
    <e v="#REF!"/>
    <e v="#REF!"/>
    <e v="#REF!"/>
  </r>
  <r>
    <s v="625100"/>
    <x v="6"/>
    <s v="Voyages et déplacements"/>
    <s v="NDF"/>
    <n v="18.670000000000002"/>
    <d v="2025-04-01T00:00:00"/>
    <s v="NDF"/>
    <m/>
    <e v="#N/A"/>
    <e v="#N/A"/>
    <n v="75458"/>
    <s v="25000099"/>
    <s v="Emilie Amillastré"/>
    <s v="Q2"/>
    <e v="#REF!"/>
    <e v="#REF!"/>
    <e v="#REF!"/>
  </r>
  <r>
    <s v="625100"/>
    <x v="6"/>
    <s v="Voyages et déplacements"/>
    <s v="NDF"/>
    <n v="18.7"/>
    <d v="2025-12-09T00:00:00"/>
    <s v="RESTAURANT SOIR - DINER"/>
    <m/>
    <e v="#N/A"/>
    <e v="#N/A"/>
    <n v="93308"/>
    <s v="25000332"/>
    <s v="Yves Combret"/>
    <s v="Q4"/>
    <e v="#REF!"/>
    <e v="#REF!"/>
    <e v="#REF!"/>
  </r>
  <r>
    <s v="625100"/>
    <x v="6"/>
    <s v="Voyages et déplacements"/>
    <s v="NDF"/>
    <n v="18.899999999999999"/>
    <d v="2025-09-09T00:00:00"/>
    <s v="RESTAURANT SOIR - DINER"/>
    <m/>
    <e v="#N/A"/>
    <e v="#N/A"/>
    <n v="88130"/>
    <s v="25000195"/>
    <s v="Pauline Rullière"/>
    <s v="Q3"/>
    <e v="#REF!"/>
    <e v="#REF!"/>
    <e v="#REF!"/>
  </r>
  <r>
    <s v="625100"/>
    <x v="6"/>
    <s v="Voyages et déplacements"/>
    <s v="NDF"/>
    <n v="18.899999999999999"/>
    <d v="2025-10-03T00:00:00"/>
    <s v="RESTAURANT MIDI - REPAS VENDREDI MIDI"/>
    <m/>
    <e v="#N/A"/>
    <e v="#N/A"/>
    <n v="89051"/>
    <s v="25000256"/>
    <s v="Benjamin Barry"/>
    <s v="Q4"/>
    <e v="#REF!"/>
    <e v="#REF!"/>
    <e v="#REF!"/>
  </r>
  <r>
    <s v="625100"/>
    <x v="6"/>
    <s v="Voyages et déplacements"/>
    <s v="NDF"/>
    <n v="18.899999999999999"/>
    <d v="2025-11-03T00:00:00"/>
    <s v="RESTAURANT SOIR - DÎNER RETOUR CODIR GARE DE LYON"/>
    <m/>
    <e v="#N/A"/>
    <e v="#N/A"/>
    <n v="93405"/>
    <s v="25000314"/>
    <s v="Pierre-Yves Bolle"/>
    <s v="Q4"/>
    <e v="#REF!"/>
    <e v="#REF!"/>
    <e v="#REF!"/>
  </r>
  <r>
    <s v="625100"/>
    <x v="6"/>
    <s v="Voyages et déplacements"/>
    <s v="NDF"/>
    <n v="18.91"/>
    <d v="2025-06-24T00:00:00"/>
    <s v="MÉTRO, BUS - BUS WOODVALOR"/>
    <m/>
    <e v="#N/A"/>
    <e v="#N/A"/>
    <n v="89206"/>
    <s v="25000111"/>
    <s v="Pauline Rullière"/>
    <s v="Q2"/>
    <e v="#REF!"/>
    <e v="#REF!"/>
    <e v="#REF!"/>
  </r>
  <r>
    <s v="625100"/>
    <x v="6"/>
    <s v="Voyages et déplacements"/>
    <s v="NDF"/>
    <n v="19"/>
    <d v="2025-05-06T00:00:00"/>
    <s v="RESTAURANT SOIR - DINER"/>
    <m/>
    <e v="#N/A"/>
    <e v="#N/A"/>
    <n v="89181"/>
    <s v="25000111"/>
    <s v="Pauline Rullière"/>
    <s v="Q2"/>
    <e v="#REF!"/>
    <e v="#REF!"/>
    <e v="#REF!"/>
  </r>
  <r>
    <s v="625100"/>
    <x v="6"/>
    <s v="Voyages et déplacements"/>
    <s v="NDF"/>
    <n v="19"/>
    <d v="2025-09-29T00:00:00"/>
    <s v="RESTAURANT SOIR - REPAS SOIR"/>
    <m/>
    <e v="#N/A"/>
    <e v="#N/A"/>
    <n v="88940"/>
    <s v="25000255"/>
    <s v="Emilie Amillastré"/>
    <s v="Q3"/>
    <e v="#REF!"/>
    <e v="#REF!"/>
    <e v="#REF!"/>
  </r>
  <r>
    <s v="625100"/>
    <x v="6"/>
    <s v="Voyages et déplacements"/>
    <s v="NDF"/>
    <n v="19"/>
    <d v="2025-09-30T00:00:00"/>
    <s v="RESTAURANT MIDI - REPAS MIDI EA + AP"/>
    <m/>
    <e v="#N/A"/>
    <e v="#N/A"/>
    <n v="88952"/>
    <s v="25000255"/>
    <s v="Emilie Amillastré"/>
    <s v="Q3"/>
    <e v="#REF!"/>
    <e v="#REF!"/>
    <e v="#REF!"/>
  </r>
  <r>
    <s v="625100"/>
    <x v="6"/>
    <s v="Voyages et déplacements"/>
    <s v="NDF"/>
    <n v="19"/>
    <d v="2025-10-20T00:00:00"/>
    <s v="RESTAURANT SOIR - REPAS SOIR"/>
    <m/>
    <e v="#N/A"/>
    <e v="#N/A"/>
    <n v="88898"/>
    <s v="25000285"/>
    <s v="Jérémie Blache"/>
    <s v="Q4"/>
    <e v="#REF!"/>
    <e v="#REF!"/>
    <e v="#REF!"/>
  </r>
  <r>
    <s v="625100"/>
    <x v="6"/>
    <s v="Voyages et déplacements"/>
    <s v="NDF"/>
    <n v="19.14"/>
    <d v="2025-05-05T00:00:00"/>
    <s v="RESTAURANT MIDI - DÉJEUNER"/>
    <m/>
    <e v="#N/A"/>
    <e v="#N/A"/>
    <n v="89170"/>
    <s v="25000111"/>
    <s v="Pauline Rullière"/>
    <s v="Q2"/>
    <e v="#REF!"/>
    <e v="#REF!"/>
    <e v="#REF!"/>
  </r>
  <r>
    <s v="625100"/>
    <x v="6"/>
    <s v="Voyages et déplacements"/>
    <s v="NDF"/>
    <n v="19.399999999999999"/>
    <d v="2025-02-11T00:00:00"/>
    <s v="TAXI - A/R ROUSSILLON - VISITE SITE"/>
    <m/>
    <e v="#N/A"/>
    <e v="#N/A"/>
    <n v="95758"/>
    <s v="25000042"/>
    <s v="Alain Pinchard"/>
    <s v="Q1"/>
    <e v="#REF!"/>
    <e v="#REF!"/>
    <e v="#REF!"/>
  </r>
  <r>
    <s v="625100"/>
    <x v="6"/>
    <s v="Voyages et déplacements"/>
    <s v="NDF"/>
    <n v="19.5"/>
    <d v="2025-10-01T00:00:00"/>
    <s v="RESTAURANT MIDI - CS OCTOBRE 2025"/>
    <m/>
    <e v="#N/A"/>
    <e v="#N/A"/>
    <n v="93451"/>
    <s v="25000318"/>
    <s v="Lucie Crépin"/>
    <s v="Q4"/>
    <e v="#REF!"/>
    <e v="#REF!"/>
    <e v="#REF!"/>
  </r>
  <r>
    <s v="625100"/>
    <x v="6"/>
    <s v="Voyages et déplacements"/>
    <s v="NDF"/>
    <n v="19.510000000000002"/>
    <d v="2025-09-08T00:00:00"/>
    <s v="RESTAURANT MIDI - DÉJEUNER"/>
    <m/>
    <e v="#N/A"/>
    <e v="#N/A"/>
    <n v="88125"/>
    <s v="25000195"/>
    <s v="Pauline Rullière"/>
    <s v="Q3"/>
    <e v="#REF!"/>
    <e v="#REF!"/>
    <e v="#REF!"/>
  </r>
  <r>
    <s v="625100"/>
    <x v="6"/>
    <s v="Voyages et déplacements"/>
    <s v="NDF"/>
    <n v="19.64"/>
    <d v="2025-04-29T00:00:00"/>
    <s v="NOTE DE FRAIS"/>
    <m/>
    <e v="#N/A"/>
    <e v="#N/A"/>
    <n v="74378"/>
    <s v="25000134"/>
    <s v="Julie Lacondemine"/>
    <s v="Q2"/>
    <e v="#REF!"/>
    <e v="#REF!"/>
    <e v="#REF!"/>
  </r>
  <r>
    <s v="625100"/>
    <x v="6"/>
    <s v="Voyages et déplacements"/>
    <s v="NDF"/>
    <n v="19.64"/>
    <d v="2025-12-12T00:00:00"/>
    <s v="RESTAURANT MIDI - DÉJEUNER CS"/>
    <m/>
    <e v="#N/A"/>
    <e v="#N/A"/>
    <n v="95816"/>
    <s v="25000335"/>
    <s v="Guillaume Boissonnat-Wu"/>
    <s v="Q4"/>
    <e v="#REF!"/>
    <e v="#REF!"/>
    <e v="#REF!"/>
  </r>
  <r>
    <s v="625100"/>
    <x v="6"/>
    <s v="Voyages et déplacements"/>
    <s v="NDF"/>
    <n v="19.7"/>
    <d v="2025-06-12T00:00:00"/>
    <s v="TAXI - TAXI G7 - DÉPLACEMENT ROU"/>
    <m/>
    <e v="#N/A"/>
    <e v="#N/A"/>
    <n v="95854"/>
    <s v="25000338"/>
    <s v="Alain Pinchard"/>
    <s v="Q2"/>
    <e v="#REF!"/>
    <e v="#REF!"/>
    <e v="#REF!"/>
  </r>
  <r>
    <s v="625100"/>
    <x v="6"/>
    <s v="Voyages et déplacements"/>
    <s v="NDF"/>
    <n v="19.73"/>
    <d v="2025-05-27T00:00:00"/>
    <s v="NDF"/>
    <m/>
    <e v="#N/A"/>
    <e v="#N/A"/>
    <n v="76537"/>
    <s v="25000158"/>
    <s v="Jérémie Blache"/>
    <s v="Q2"/>
    <e v="#REF!"/>
    <e v="#REF!"/>
    <e v="#REF!"/>
  </r>
  <r>
    <s v="625100"/>
    <x v="6"/>
    <s v="Voyages et déplacements"/>
    <s v="NDF"/>
    <n v="19.75"/>
    <d v="2025-11-04T00:00:00"/>
    <s v="RESTAURANT SOIR - DINER"/>
    <m/>
    <e v="#N/A"/>
    <e v="#N/A"/>
    <n v="93486"/>
    <s v="25000289"/>
    <s v="Pauline Rullière"/>
    <s v="Q4"/>
    <e v="#REF!"/>
    <e v="#REF!"/>
    <e v="#REF!"/>
  </r>
  <r>
    <s v="625100"/>
    <x v="6"/>
    <s v="Voyages et déplacements"/>
    <s v="NDF"/>
    <n v="19.8"/>
    <d v="2025-09-09T00:00:00"/>
    <s v="TRAIN - TRAIN DÉPLACEMETN GROLMAN"/>
    <m/>
    <e v="#N/A"/>
    <e v="#N/A"/>
    <n v="88995"/>
    <s v="25000270"/>
    <s v="Kevin Cottet"/>
    <s v="Q3"/>
    <e v="#REF!"/>
    <e v="#REF!"/>
    <e v="#REF!"/>
  </r>
  <r>
    <s v="625100"/>
    <x v="6"/>
    <s v="Voyages et déplacements"/>
    <s v="NDF"/>
    <n v="20"/>
    <d v="2025-10-03T00:00:00"/>
    <s v="PARKING - PARKING GARE VALENCE"/>
    <m/>
    <e v="#N/A"/>
    <e v="#N/A"/>
    <n v="88427"/>
    <s v="25000266"/>
    <s v="Maud Sanchez"/>
    <s v="Q4"/>
    <e v="#REF!"/>
    <e v="#REF!"/>
    <e v="#REF!"/>
  </r>
  <r>
    <s v="625100"/>
    <x v="6"/>
    <s v="Voyages et déplacements"/>
    <s v="NDF"/>
    <n v="20.02"/>
    <d v="2025-10-01T00:00:00"/>
    <s v="RESTAURANT MIDI - DÉJEUNER"/>
    <m/>
    <e v="#N/A"/>
    <e v="#N/A"/>
    <n v="89238"/>
    <s v="25000260"/>
    <s v="Pauline Rullière"/>
    <s v="Q4"/>
    <e v="#REF!"/>
    <e v="#REF!"/>
    <e v="#REF!"/>
  </r>
  <r>
    <s v="625100"/>
    <x v="6"/>
    <s v="Voyages et déplacements"/>
    <s v="NDF"/>
    <n v="20.18"/>
    <d v="2025-11-24T00:00:00"/>
    <s v="RESTAURANT MIDI - REPAS MIDI"/>
    <m/>
    <e v="#N/A"/>
    <e v="#N/A"/>
    <n v="90876"/>
    <s v="25000301"/>
    <s v="Maud Sanchez"/>
    <s v="Q4"/>
    <e v="#REF!"/>
    <e v="#REF!"/>
    <e v="#REF!"/>
  </r>
  <r>
    <s v="625100"/>
    <x v="6"/>
    <s v="Voyages et déplacements"/>
    <s v="NDF"/>
    <n v="20.190000000000001"/>
    <d v="2025-03-28T00:00:00"/>
    <s v="NOTE DE FRAIS"/>
    <m/>
    <e v="#N/A"/>
    <e v="#N/A"/>
    <n v="74218"/>
    <s v="25000102"/>
    <s v="Marjorie Denard"/>
    <s v="Q1"/>
    <e v="#REF!"/>
    <e v="#REF!"/>
    <e v="#REF!"/>
  </r>
  <r>
    <s v="625100"/>
    <x v="6"/>
    <s v="Voyages et déplacements"/>
    <s v="NDF"/>
    <n v="20.2"/>
    <d v="2025-04-03T00:00:00"/>
    <s v="TAXI - G7 VERS GARE DE LYON - RÉUNION SITE"/>
    <m/>
    <e v="#N/A"/>
    <e v="#N/A"/>
    <n v="95948"/>
    <s v="25000339"/>
    <s v="Alain Pinchard"/>
    <s v="Q2"/>
    <e v="#REF!"/>
    <e v="#REF!"/>
    <e v="#REF!"/>
  </r>
  <r>
    <s v="625100"/>
    <x v="6"/>
    <s v="Voyages et déplacements"/>
    <s v="NDF"/>
    <n v="20.37"/>
    <d v="2025-10-01T00:00:00"/>
    <s v="RESTAURANT MIDI - DEJ PARIS JB + JLA"/>
    <m/>
    <e v="#N/A"/>
    <e v="#N/A"/>
    <n v="88932"/>
    <s v="25000275"/>
    <s v="Jérémie Blache"/>
    <s v="Q4"/>
    <e v="#REF!"/>
    <e v="#REF!"/>
    <e v="#REF!"/>
  </r>
  <r>
    <s v="625100"/>
    <x v="6"/>
    <s v="Voyages et déplacements"/>
    <s v="NDF"/>
    <n v="20.45"/>
    <d v="2025-06-16T00:00:00"/>
    <s v="MÉTRO, BUS - METRO"/>
    <m/>
    <e v="#N/A"/>
    <e v="#N/A"/>
    <n v="88838"/>
    <s v="25000201"/>
    <s v="Kevin Cottet"/>
    <s v="Q2"/>
    <e v="#REF!"/>
    <e v="#REF!"/>
    <e v="#REF!"/>
  </r>
  <r>
    <s v="625100"/>
    <x v="6"/>
    <s v="Voyages et déplacements"/>
    <s v="NDF"/>
    <n v="20.45"/>
    <d v="2025-07-22T00:00:00"/>
    <s v="MÉTRO, BUS - METRO"/>
    <m/>
    <e v="#N/A"/>
    <e v="#N/A"/>
    <n v="89079"/>
    <s v="25000206"/>
    <s v="Kevin Cottet"/>
    <s v="Q3"/>
    <e v="#REF!"/>
    <e v="#REF!"/>
    <e v="#REF!"/>
  </r>
  <r>
    <s v="625100"/>
    <x v="6"/>
    <s v="Voyages et déplacements"/>
    <s v="NDF"/>
    <n v="20.45"/>
    <d v="2025-10-07T00:00:00"/>
    <s v="MÉTRO, BUS - MÉTRO"/>
    <m/>
    <e v="#N/A"/>
    <e v="#N/A"/>
    <n v="89015"/>
    <s v="25000281"/>
    <s v="Kevin Cottet"/>
    <s v="Q4"/>
    <e v="#REF!"/>
    <e v="#REF!"/>
    <e v="#REF!"/>
  </r>
  <r>
    <s v="625100"/>
    <x v="6"/>
    <s v="Voyages et déplacements"/>
    <s v="NDF"/>
    <n v="20.45"/>
    <d v="2025-12-03T00:00:00"/>
    <s v="MÉTRO, BUS - METRO"/>
    <m/>
    <e v="#N/A"/>
    <e v="#N/A"/>
    <n v="93323"/>
    <s v="25000311"/>
    <s v="Jérémie Blache"/>
    <s v="Q4"/>
    <e v="#REF!"/>
    <e v="#REF!"/>
    <e v="#REF!"/>
  </r>
  <r>
    <s v="625100"/>
    <x v="6"/>
    <s v="Voyages et déplacements"/>
    <s v="NDF"/>
    <n v="20.5"/>
    <d v="2025-07-19T00:00:00"/>
    <s v="TAXI - DÉPLACEMENT À LYO"/>
    <m/>
    <e v="#N/A"/>
    <e v="#N/A"/>
    <n v="95870"/>
    <s v="25000338"/>
    <s v="Alain Pinchard"/>
    <s v="Q3"/>
    <e v="#REF!"/>
    <e v="#REF!"/>
    <e v="#REF!"/>
  </r>
  <r>
    <s v="625100"/>
    <x v="6"/>
    <s v="Voyages et déplacements"/>
    <s v="NDF"/>
    <n v="20.65"/>
    <d v="2025-12-04T00:00:00"/>
    <s v="RESTAURANT MIDI - DÉJEUNER"/>
    <m/>
    <e v="#N/A"/>
    <e v="#N/A"/>
    <n v="93497"/>
    <s v="25000289"/>
    <s v="Pauline Rullière"/>
    <s v="Q4"/>
    <e v="#REF!"/>
    <e v="#REF!"/>
    <e v="#REF!"/>
  </r>
  <r>
    <s v="625100"/>
    <x v="6"/>
    <s v="Voyages et déplacements"/>
    <s v="NDF"/>
    <n v="20.7"/>
    <d v="2025-09-22T00:00:00"/>
    <s v="RESTAURANT SOIR - REPAS LUNDI SOIR"/>
    <m/>
    <e v="#N/A"/>
    <e v="#N/A"/>
    <n v="88466"/>
    <s v="25000253"/>
    <s v="Bob Fernandez"/>
    <s v="Q3"/>
    <e v="#REF!"/>
    <e v="#REF!"/>
    <e v="#REF!"/>
  </r>
  <r>
    <s v="625100"/>
    <x v="6"/>
    <s v="Voyages et déplacements"/>
    <s v="NDF"/>
    <n v="20.73"/>
    <d v="2025-05-20T00:00:00"/>
    <s v="NDF"/>
    <m/>
    <e v="#N/A"/>
    <e v="#N/A"/>
    <n v="76520"/>
    <s v="25000154"/>
    <s v="Jérémie Blache"/>
    <s v="Q2"/>
    <e v="#REF!"/>
    <e v="#REF!"/>
    <e v="#REF!"/>
  </r>
  <r>
    <s v="625100"/>
    <x v="6"/>
    <s v="Voyages et déplacements"/>
    <s v="NDF"/>
    <n v="20.75"/>
    <d v="2025-01-14T00:00:00"/>
    <s v="NOTE DE FRAIS"/>
    <m/>
    <e v="#N/A"/>
    <e v="#N/A"/>
    <n v="73619"/>
    <s v="25000024"/>
    <s v="Loic masseboeuf"/>
    <s v="Q1"/>
    <e v="#REF!"/>
    <e v="#REF!"/>
    <e v="#REF!"/>
  </r>
  <r>
    <s v="625100"/>
    <x v="6"/>
    <s v="Voyages et déplacements"/>
    <s v="NDF"/>
    <n v="20.8"/>
    <d v="2025-07-02T00:00:00"/>
    <s v="RESTAURANT SOIR - REPAS SOIR"/>
    <m/>
    <e v="#N/A"/>
    <e v="#N/A"/>
    <n v="88643"/>
    <s v="25000180"/>
    <s v="Bob Fernandez"/>
    <s v="Q3"/>
    <e v="#REF!"/>
    <e v="#REF!"/>
    <e v="#REF!"/>
  </r>
  <r>
    <s v="625100"/>
    <x v="6"/>
    <s v="Voyages et déplacements"/>
    <s v="NDF"/>
    <n v="20.85"/>
    <d v="2025-02-19T00:00:00"/>
    <s v="NDF"/>
    <m/>
    <e v="#N/A"/>
    <e v="#N/A"/>
    <n v="75735"/>
    <s v="25000057"/>
    <s v="Guillaume Boissonnat-Wu"/>
    <s v="Q1"/>
    <e v="#REF!"/>
    <e v="#REF!"/>
    <e v="#REF!"/>
  </r>
  <r>
    <s v="625100"/>
    <x v="6"/>
    <s v="Voyages et déplacements"/>
    <s v="NDF"/>
    <n v="20.93"/>
    <d v="2025-10-01T00:00:00"/>
    <s v="TAXI - UBER"/>
    <m/>
    <e v="#N/A"/>
    <e v="#N/A"/>
    <n v="88597"/>
    <s v="25000264"/>
    <s v="Gaëlle Buche"/>
    <s v="Q4"/>
    <e v="#REF!"/>
    <e v="#REF!"/>
    <e v="#REF!"/>
  </r>
  <r>
    <s v="625100"/>
    <x v="6"/>
    <s v="Voyages et déplacements"/>
    <s v="NDF"/>
    <n v="21"/>
    <d v="2025-12-11T00:00:00"/>
    <s v="PETIT DEJEUNER - PETIT DEJ 11/12"/>
    <m/>
    <e v="#N/A"/>
    <e v="#N/A"/>
    <n v="93262"/>
    <s v="25000326"/>
    <s v="Pierre Thomas"/>
    <s v="Q4"/>
    <e v="#REF!"/>
    <e v="#REF!"/>
    <e v="#REF!"/>
  </r>
  <r>
    <s v="625100"/>
    <x v="6"/>
    <s v="Voyages et déplacements"/>
    <s v="NDF"/>
    <n v="21.1"/>
    <d v="2025-11-24T00:00:00"/>
    <s v="RESTAURANT SOIR - REPAS MERCREDI SOIR"/>
    <m/>
    <e v="#N/A"/>
    <e v="#N/A"/>
    <n v="90873"/>
    <s v="25000301"/>
    <s v="Maud Sanchez"/>
    <s v="Q4"/>
    <e v="#REF!"/>
    <e v="#REF!"/>
    <e v="#REF!"/>
  </r>
  <r>
    <s v="625100"/>
    <x v="6"/>
    <s v="Voyages et déplacements"/>
    <s v="NDF"/>
    <n v="21.16"/>
    <d v="2025-09-18T00:00:00"/>
    <s v="DIVERS - MATÉRIEL MAINTENANCE"/>
    <m/>
    <e v="#N/A"/>
    <e v="#N/A"/>
    <n v="88482"/>
    <s v="25000233"/>
    <s v="Clément Perrocheau"/>
    <s v="Q3"/>
    <e v="#REF!"/>
    <e v="#REF!"/>
    <e v="#REF!"/>
  </r>
  <r>
    <s v="625100"/>
    <x v="6"/>
    <s v="Voyages et déplacements"/>
    <s v="NDF"/>
    <n v="21.23"/>
    <d v="2025-05-27T00:00:00"/>
    <s v="NDF"/>
    <m/>
    <e v="#N/A"/>
    <e v="#N/A"/>
    <n v="76538"/>
    <s v="25000158"/>
    <s v="Jérémie Blache"/>
    <s v="Q2"/>
    <e v="#REF!"/>
    <e v="#REF!"/>
    <e v="#REF!"/>
  </r>
  <r>
    <s v="625100"/>
    <x v="6"/>
    <s v="Voyages et déplacements"/>
    <s v="NDF"/>
    <n v="21.37"/>
    <d v="2025-11-14T00:00:00"/>
    <s v="RESTAURANT MIDI - DÉJEUNER MIDI RETOUR TRIALS BERTO AÉROPORT VENISE"/>
    <m/>
    <e v="#N/A"/>
    <e v="#N/A"/>
    <n v="93407"/>
    <s v="25000314"/>
    <s v="Pierre-Yves Bolle"/>
    <s v="Q4"/>
    <e v="#REF!"/>
    <e v="#REF!"/>
    <e v="#REF!"/>
  </r>
  <r>
    <s v="625100"/>
    <x v="6"/>
    <s v="Voyages et déplacements"/>
    <s v="NDF"/>
    <n v="21.4"/>
    <d v="2025-05-12T00:00:00"/>
    <s v="NOTE DE FRAIS"/>
    <m/>
    <e v="#N/A"/>
    <e v="#N/A"/>
    <n v="74421"/>
    <s v="25000141"/>
    <s v="Jérémie Blache"/>
    <s v="Q2"/>
    <e v="#REF!"/>
    <e v="#REF!"/>
    <e v="#REF!"/>
  </r>
  <r>
    <s v="625100"/>
    <x v="6"/>
    <s v="Voyages et déplacements"/>
    <s v="NDF"/>
    <n v="21.5"/>
    <d v="2025-02-10T00:00:00"/>
    <s v="RESTAURANT SOIR - REPAS TGV"/>
    <m/>
    <e v="#N/A"/>
    <e v="#N/A"/>
    <n v="89012"/>
    <s v="25000281"/>
    <s v="Kevin Cottet"/>
    <s v="Q1"/>
    <e v="#REF!"/>
    <e v="#REF!"/>
    <e v="#REF!"/>
  </r>
  <r>
    <s v="625100"/>
    <x v="6"/>
    <s v="Voyages et déplacements"/>
    <s v="NDF"/>
    <n v="21.58"/>
    <d v="2025-09-17T00:00:00"/>
    <s v="PÉAGE - PÉAGE 2"/>
    <m/>
    <e v="#N/A"/>
    <e v="#N/A"/>
    <n v="88509"/>
    <s v="25000237"/>
    <s v="Benjamin Barry"/>
    <s v="Q3"/>
    <e v="#REF!"/>
    <e v="#REF!"/>
    <e v="#REF!"/>
  </r>
  <r>
    <s v="625100"/>
    <x v="6"/>
    <s v="Voyages et déplacements"/>
    <s v="NDF"/>
    <n v="21.58"/>
    <d v="2025-09-19T00:00:00"/>
    <s v="PÉAGE - PÉAGE 1"/>
    <m/>
    <e v="#N/A"/>
    <e v="#N/A"/>
    <n v="88507"/>
    <s v="25000237"/>
    <s v="Benjamin Barry"/>
    <s v="Q3"/>
    <e v="#REF!"/>
    <e v="#REF!"/>
    <e v="#REF!"/>
  </r>
  <r>
    <s v="625100"/>
    <x v="6"/>
    <s v="Voyages et déplacements"/>
    <s v="NDF"/>
    <n v="21.69"/>
    <d v="2025-03-28T00:00:00"/>
    <s v="NDF"/>
    <m/>
    <e v="#N/A"/>
    <e v="#N/A"/>
    <n v="75819"/>
    <s v="25000092"/>
    <s v="Marjorie Denard"/>
    <s v="Q1"/>
    <e v="#REF!"/>
    <e v="#REF!"/>
    <e v="#REF!"/>
  </r>
  <r>
    <s v="625100"/>
    <x v="6"/>
    <s v="Voyages et déplacements"/>
    <s v="NDF"/>
    <n v="21.75"/>
    <d v="2025-03-14T00:00:00"/>
    <s v="NDF"/>
    <m/>
    <e v="#N/A"/>
    <e v="#N/A"/>
    <n v="75776"/>
    <s v="25000074"/>
    <s v="Benjamin Barry"/>
    <s v="Q1"/>
    <e v="#REF!"/>
    <e v="#REF!"/>
    <e v="#REF!"/>
  </r>
  <r>
    <s v="625100"/>
    <x v="6"/>
    <s v="Voyages et déplacements"/>
    <s v="NDF"/>
    <n v="21.82"/>
    <d v="2025-05-12T00:00:00"/>
    <s v="RESTAURANT MIDI - DÉJEUNER AP"/>
    <m/>
    <e v="#N/A"/>
    <e v="#N/A"/>
    <n v="95839"/>
    <s v="25000338"/>
    <s v="Alain Pinchard"/>
    <s v="Q2"/>
    <e v="#REF!"/>
    <e v="#REF!"/>
    <e v="#REF!"/>
  </r>
  <r>
    <s v="625100"/>
    <x v="6"/>
    <s v="Voyages et déplacements"/>
    <s v="NDF"/>
    <n v="21.86"/>
    <d v="2025-03-26T00:00:00"/>
    <s v="NOTE DE FRAIS"/>
    <m/>
    <e v="#N/A"/>
    <e v="#N/A"/>
    <n v="74207"/>
    <s v="25000101"/>
    <s v="Marjorie Denard"/>
    <s v="Q1"/>
    <e v="#REF!"/>
    <e v="#REF!"/>
    <e v="#REF!"/>
  </r>
  <r>
    <s v="625100"/>
    <x v="6"/>
    <s v="Voyages et déplacements"/>
    <s v="NDF"/>
    <n v="21.9"/>
    <d v="2025-09-01T00:00:00"/>
    <s v="RESTAURANT MIDI - MIDI EMILIE"/>
    <m/>
    <e v="#N/A"/>
    <e v="#N/A"/>
    <n v="88581"/>
    <s v="25000214"/>
    <s v="Emilie Amillastré"/>
    <s v="Q3"/>
    <e v="#REF!"/>
    <e v="#REF!"/>
    <e v="#REF!"/>
  </r>
  <r>
    <s v="625100"/>
    <x v="6"/>
    <s v="Voyages et déplacements"/>
    <s v="NDF"/>
    <n v="21.9"/>
    <d v="2025-10-01T00:00:00"/>
    <s v="RESTAURANT MIDI - PICTO"/>
    <m/>
    <e v="#N/A"/>
    <e v="#N/A"/>
    <n v="88595"/>
    <s v="25000264"/>
    <s v="Gaëlle Buche"/>
    <s v="Q4"/>
    <e v="#REF!"/>
    <e v="#REF!"/>
    <e v="#REF!"/>
  </r>
  <r>
    <s v="625100"/>
    <x v="6"/>
    <s v="Voyages et déplacements"/>
    <s v="NDF"/>
    <n v="22.2"/>
    <d v="2025-12-12T00:00:00"/>
    <s v="PETIT DEJEUNER - PETIT DEJ 12/12"/>
    <m/>
    <e v="#N/A"/>
    <e v="#N/A"/>
    <n v="93260"/>
    <s v="25000326"/>
    <s v="Pierre Thomas"/>
    <s v="Q4"/>
    <e v="#REF!"/>
    <e v="#REF!"/>
    <e v="#REF!"/>
  </r>
  <r>
    <s v="625100"/>
    <x v="6"/>
    <s v="Voyages et déplacements"/>
    <s v="NDF"/>
    <n v="22.25"/>
    <d v="2025-07-25T00:00:00"/>
    <s v="RESTAURANT MIDI - REPAS MIDI"/>
    <m/>
    <e v="#N/A"/>
    <e v="#N/A"/>
    <n v="88748"/>
    <s v="25000196"/>
    <s v="Benjamin Barry"/>
    <s v="Q3"/>
    <e v="#REF!"/>
    <e v="#REF!"/>
    <e v="#REF!"/>
  </r>
  <r>
    <s v="625100"/>
    <x v="6"/>
    <s v="Voyages et déplacements"/>
    <s v="NDF"/>
    <n v="22.27"/>
    <d v="2025-01-31T00:00:00"/>
    <s v="NOTE DE FRAIS"/>
    <m/>
    <e v="#N/A"/>
    <e v="#N/A"/>
    <n v="73652"/>
    <s v="25000022"/>
    <s v="Vincent Blanchard"/>
    <s v="Q1"/>
    <e v="#REF!"/>
    <e v="#REF!"/>
    <e v="#REF!"/>
  </r>
  <r>
    <s v="625100"/>
    <x v="6"/>
    <s v="Voyages et déplacements"/>
    <s v="NDF"/>
    <n v="22.27"/>
    <d v="2025-02-07T00:00:00"/>
    <s v="NDF"/>
    <m/>
    <e v="#N/A"/>
    <e v="#N/A"/>
    <n v="75443"/>
    <s v="25000029"/>
    <s v="Filipe Gomes"/>
    <s v="Q1"/>
    <e v="#REF!"/>
    <e v="#REF!"/>
    <e v="#REF!"/>
  </r>
  <r>
    <s v="625100"/>
    <x v="6"/>
    <s v="Voyages et déplacements"/>
    <s v="NDF"/>
    <n v="22.41"/>
    <d v="2025-03-03T00:00:00"/>
    <s v="NDF"/>
    <m/>
    <e v="#N/A"/>
    <e v="#N/A"/>
    <n v="76477"/>
    <s v="25000060"/>
    <s v="Jérémie Blache"/>
    <s v="Q1"/>
    <e v="#REF!"/>
    <e v="#REF!"/>
    <e v="#REF!"/>
  </r>
  <r>
    <s v="625100"/>
    <x v="6"/>
    <s v="Voyages et déplacements"/>
    <s v="NDF"/>
    <n v="22.73"/>
    <d v="2025-09-09T00:00:00"/>
    <s v="MÉTRO, BUS - MÉTRO NAVIGO"/>
    <m/>
    <e v="#N/A"/>
    <e v="#N/A"/>
    <n v="88543"/>
    <s v="25000220"/>
    <s v="Julie Lacondemine"/>
    <s v="Q3"/>
    <e v="#REF!"/>
    <e v="#REF!"/>
    <e v="#REF!"/>
  </r>
  <r>
    <s v="625100"/>
    <x v="6"/>
    <s v="Voyages et déplacements"/>
    <s v="NDF"/>
    <n v="22.73"/>
    <d v="2025-09-29T00:00:00"/>
    <s v="MÉTRO, BUS - REÇU 10 TICKETS - PARIS"/>
    <m/>
    <e v="#N/A"/>
    <e v="#N/A"/>
    <n v="89027"/>
    <s v="25000256"/>
    <s v="Benjamin Barry"/>
    <s v="Q3"/>
    <e v="#REF!"/>
    <e v="#REF!"/>
    <e v="#REF!"/>
  </r>
  <r>
    <s v="625100"/>
    <x v="6"/>
    <s v="Voyages et déplacements"/>
    <s v="NDF"/>
    <n v="22.73"/>
    <d v="2025-10-09T00:00:00"/>
    <s v="TAXI - TAXI AÉROPORT"/>
    <m/>
    <e v="#N/A"/>
    <e v="#N/A"/>
    <n v="89041"/>
    <s v="25000256"/>
    <s v="Benjamin Barry"/>
    <s v="Q4"/>
    <e v="#REF!"/>
    <e v="#REF!"/>
    <e v="#REF!"/>
  </r>
  <r>
    <s v="625100"/>
    <x v="6"/>
    <s v="Voyages et déplacements"/>
    <s v="NDF"/>
    <n v="22.87"/>
    <d v="2025-06-25T00:00:00"/>
    <s v="TAXI - TAXI"/>
    <m/>
    <e v="#N/A"/>
    <e v="#N/A"/>
    <n v="89220"/>
    <s v="25000111"/>
    <s v="Pauline Rullière"/>
    <s v="Q2"/>
    <e v="#REF!"/>
    <e v="#REF!"/>
    <e v="#REF!"/>
  </r>
  <r>
    <s v="625100"/>
    <x v="6"/>
    <s v="Voyages et déplacements"/>
    <s v="NDF"/>
    <n v="22.9"/>
    <d v="2025-09-30T00:00:00"/>
    <s v="RESTAURANT SOIR - REPAS SOIR"/>
    <m/>
    <e v="#N/A"/>
    <e v="#N/A"/>
    <n v="89035"/>
    <s v="25000256"/>
    <s v="Benjamin Barry"/>
    <s v="Q3"/>
    <e v="#REF!"/>
    <e v="#REF!"/>
    <e v="#REF!"/>
  </r>
  <r>
    <s v="625100"/>
    <x v="6"/>
    <s v="Voyages et déplacements"/>
    <s v="NDF"/>
    <n v="23.03"/>
    <d v="2025-10-02T00:00:00"/>
    <s v="DIVERS - MIGNARDISE PETIT DÉJEUNER CS"/>
    <m/>
    <e v="#N/A"/>
    <e v="#N/A"/>
    <n v="88618"/>
    <s v="25000222"/>
    <s v="Pauline Rullière"/>
    <s v="Q4"/>
    <e v="#REF!"/>
    <e v="#REF!"/>
    <e v="#REF!"/>
  </r>
  <r>
    <s v="625100"/>
    <x v="6"/>
    <s v="Voyages et déplacements"/>
    <s v="NDF"/>
    <n v="23.09"/>
    <d v="2025-10-03T00:00:00"/>
    <s v="RESTAURANT MIDI - REPAS RETOUR CS"/>
    <m/>
    <e v="#N/A"/>
    <e v="#N/A"/>
    <n v="88408"/>
    <s v="25000269"/>
    <s v="Nuria RAMOS"/>
    <s v="Q4"/>
    <e v="#REF!"/>
    <e v="#REF!"/>
    <e v="#REF!"/>
  </r>
  <r>
    <s v="625100"/>
    <x v="6"/>
    <s v="Voyages et déplacements"/>
    <s v="NDF"/>
    <n v="23.45"/>
    <d v="2025-01-01T00:00:00"/>
    <s v="NDF"/>
    <m/>
    <e v="#N/A"/>
    <e v="#N/A"/>
    <n v="75432"/>
    <s v="24000386"/>
    <s v="Marie-Sarah Adenis"/>
    <s v="Q1"/>
    <e v="#REF!"/>
    <e v="#REF!"/>
    <e v="#REF!"/>
  </r>
  <r>
    <s v="625100"/>
    <x v="6"/>
    <s v="Voyages et déplacements"/>
    <s v="NDF"/>
    <n v="23.5"/>
    <d v="2025-12-08T00:00:00"/>
    <s v="RESTAURANT SOIR - DINER"/>
    <m/>
    <e v="#N/A"/>
    <e v="#N/A"/>
    <n v="93310"/>
    <s v="25000332"/>
    <s v="Yves Combret"/>
    <s v="Q4"/>
    <e v="#REF!"/>
    <e v="#REF!"/>
    <e v="#REF!"/>
  </r>
  <r>
    <s v="625100"/>
    <x v="6"/>
    <s v="Voyages et déplacements"/>
    <s v="NDF"/>
    <n v="23.6"/>
    <d v="2025-04-12T00:00:00"/>
    <s v="TAXI - TAXI SOIRÉE 10 ANS"/>
    <m/>
    <e v="#N/A"/>
    <e v="#N/A"/>
    <n v="93460"/>
    <s v="25000312"/>
    <s v="Jérémie Blache"/>
    <s v="Q2"/>
    <e v="#REF!"/>
    <e v="#REF!"/>
    <e v="#REF!"/>
  </r>
  <r>
    <s v="625100"/>
    <x v="6"/>
    <s v="Voyages et déplacements"/>
    <s v="NDF"/>
    <n v="23.62"/>
    <d v="2025-11-24T00:00:00"/>
    <s v="CARBURANT (GAZOLE) - PLEIN ESSENCE AÉROPORT"/>
    <m/>
    <e v="#N/A"/>
    <e v="#N/A"/>
    <n v="90961"/>
    <s v="25000265"/>
    <s v="Marie Rézeau"/>
    <s v="Q4"/>
    <e v="#REF!"/>
    <e v="#REF!"/>
    <e v="#REF!"/>
  </r>
  <r>
    <s v="625100"/>
    <x v="6"/>
    <s v="Voyages et déplacements"/>
    <s v="NDF"/>
    <n v="23.64"/>
    <d v="2025-03-04T00:00:00"/>
    <s v="NDF"/>
    <m/>
    <e v="#N/A"/>
    <e v="#N/A"/>
    <n v="75748"/>
    <s v="25000104"/>
    <s v="Kevin Cottet"/>
    <s v="Q1"/>
    <e v="#REF!"/>
    <e v="#REF!"/>
    <e v="#REF!"/>
  </r>
  <r>
    <s v="625100"/>
    <x v="6"/>
    <s v="Voyages et déplacements"/>
    <s v="NDF"/>
    <n v="23.92"/>
    <d v="2025-09-17T00:00:00"/>
    <s v="PÉAGE - PÉAGE ALLER SÉMINAIRE"/>
    <m/>
    <e v="#N/A"/>
    <e v="#N/A"/>
    <n v="88498"/>
    <s v="25000235"/>
    <s v="Nicolas Canu"/>
    <s v="Q3"/>
    <e v="#REF!"/>
    <e v="#REF!"/>
    <e v="#REF!"/>
  </r>
  <r>
    <s v="625100"/>
    <x v="6"/>
    <s v="Voyages et déplacements"/>
    <s v="NDF"/>
    <n v="23.92"/>
    <d v="2025-09-19T00:00:00"/>
    <s v="PÉAGE - PÉAGE RETOUR SÉMINAIRE"/>
    <m/>
    <e v="#N/A"/>
    <e v="#N/A"/>
    <n v="88502"/>
    <s v="25000235"/>
    <s v="Nicolas Canu"/>
    <s v="Q3"/>
    <e v="#REF!"/>
    <e v="#REF!"/>
    <e v="#REF!"/>
  </r>
  <r>
    <s v="625100"/>
    <x v="6"/>
    <s v="Voyages et déplacements"/>
    <s v="NDF"/>
    <n v="24"/>
    <d v="2025-09-12T00:00:00"/>
    <s v="TAXI - DÉPLACEMENT À LYO"/>
    <m/>
    <e v="#N/A"/>
    <e v="#N/A"/>
    <n v="95858"/>
    <s v="25000338"/>
    <s v="Alain Pinchard"/>
    <s v="Q3"/>
    <e v="#REF!"/>
    <e v="#REF!"/>
    <e v="#REF!"/>
  </r>
  <r>
    <s v="625100"/>
    <x v="6"/>
    <s v="Voyages et déplacements"/>
    <s v="NDF"/>
    <n v="24.17"/>
    <d v="2025-04-10T00:00:00"/>
    <s v="NOTE DE FRAIS"/>
    <m/>
    <e v="#N/A"/>
    <e v="#N/A"/>
    <n v="74318"/>
    <s v="25000112"/>
    <s v="Marie Rézeau"/>
    <s v="Q2"/>
    <e v="#REF!"/>
    <e v="#REF!"/>
    <e v="#REF!"/>
  </r>
  <r>
    <s v="625100"/>
    <x v="6"/>
    <s v="Voyages et déplacements"/>
    <s v="NDF"/>
    <n v="24.17"/>
    <d v="2025-07-08T00:00:00"/>
    <s v="PARKING - PARKING LYON PART DIEU"/>
    <m/>
    <e v="#N/A"/>
    <e v="#N/A"/>
    <n v="88765"/>
    <s v="25000200"/>
    <s v="Anne-Sophie Goutierre"/>
    <s v="Q3"/>
    <e v="#REF!"/>
    <e v="#REF!"/>
    <e v="#REF!"/>
  </r>
  <r>
    <s v="625100"/>
    <x v="6"/>
    <s v="Voyages et déplacements"/>
    <s v="NDF"/>
    <n v="24.55"/>
    <d v="2025-05-06T00:00:00"/>
    <s v="MÉTRO, BUS - RECHARGE MÉTRO"/>
    <m/>
    <e v="#N/A"/>
    <e v="#N/A"/>
    <n v="89179"/>
    <s v="25000111"/>
    <s v="Pauline Rullière"/>
    <s v="Q2"/>
    <e v="#REF!"/>
    <e v="#REF!"/>
    <e v="#REF!"/>
  </r>
  <r>
    <s v="625100"/>
    <x v="6"/>
    <s v="Voyages et déplacements"/>
    <s v="NDF"/>
    <n v="24.66"/>
    <d v="2025-03-21T00:00:00"/>
    <s v="NDF"/>
    <m/>
    <e v="#N/A"/>
    <e v="#N/A"/>
    <n v="75449"/>
    <s v="25000081"/>
    <s v="Anthony Martinez"/>
    <s v="Q1"/>
    <e v="#REF!"/>
    <e v="#REF!"/>
    <e v="#REF!"/>
  </r>
  <r>
    <s v="625100"/>
    <x v="6"/>
    <s v="Voyages et déplacements"/>
    <s v="NDF"/>
    <n v="24.7"/>
    <d v="2025-04-10T00:00:00"/>
    <s v="TRAIN - ROU VERS CHAMBERY"/>
    <m/>
    <e v="#N/A"/>
    <e v="#N/A"/>
    <n v="95960"/>
    <s v="25000339"/>
    <s v="Alain Pinchard"/>
    <s v="Q2"/>
    <e v="#REF!"/>
    <e v="#REF!"/>
    <e v="#REF!"/>
  </r>
  <r>
    <s v="625100"/>
    <x v="6"/>
    <s v="Voyages et déplacements"/>
    <s v="NDF"/>
    <n v="24.85"/>
    <d v="2025-02-28T00:00:00"/>
    <s v="NDF BENAUD"/>
    <m/>
    <e v="#N/A"/>
    <e v="#N/A"/>
    <n v="76787"/>
    <m/>
    <s v="Benoit Audic"/>
    <s v="Q1"/>
    <e v="#REF!"/>
    <e v="#REF!"/>
    <e v="#REF!"/>
  </r>
  <r>
    <s v="625100"/>
    <x v="6"/>
    <s v="Voyages et déplacements"/>
    <s v="NDF"/>
    <n v="24.9"/>
    <d v="2025-10-02T00:00:00"/>
    <s v="MÉTRO, BUS - NAVETTE AÉROPORT VIENNE A/R"/>
    <m/>
    <e v="#N/A"/>
    <e v="#N/A"/>
    <n v="88942"/>
    <s v="25000255"/>
    <s v="Emilie Amillastré"/>
    <s v="Q4"/>
    <e v="#REF!"/>
    <e v="#REF!"/>
    <e v="#REF!"/>
  </r>
  <r>
    <s v="625100"/>
    <x v="6"/>
    <s v="Voyages et déplacements"/>
    <s v="NDF"/>
    <n v="25"/>
    <d v="2025-03-04T00:00:00"/>
    <s v="NDF"/>
    <m/>
    <e v="#N/A"/>
    <e v="#N/A"/>
    <n v="75749"/>
    <s v="25000104"/>
    <s v="Kevin Cottet"/>
    <s v="Q1"/>
    <e v="#REF!"/>
    <e v="#REF!"/>
    <e v="#REF!"/>
  </r>
  <r>
    <s v="625100"/>
    <x v="6"/>
    <s v="Voyages et déplacements"/>
    <s v="NDF"/>
    <n v="25"/>
    <d v="2025-09-19T00:00:00"/>
    <s v="DIVERS - SUPPLÉMENT NETTOYAGE GET AROUND"/>
    <m/>
    <e v="#N/A"/>
    <e v="#N/A"/>
    <n v="88479"/>
    <s v="25000236"/>
    <s v="Nicolas Canu"/>
    <s v="Q3"/>
    <e v="#REF!"/>
    <e v="#REF!"/>
    <e v="#REF!"/>
  </r>
  <r>
    <s v="625100"/>
    <x v="6"/>
    <s v="Voyages et déplacements"/>
    <s v="NDF"/>
    <n v="25"/>
    <d v="2025-11-24T00:00:00"/>
    <s v="PARKING - PARKING TOULOUSE"/>
    <m/>
    <e v="#N/A"/>
    <e v="#N/A"/>
    <n v="90858"/>
    <s v="25000298"/>
    <s v="Jérémie Blache"/>
    <s v="Q4"/>
    <e v="#REF!"/>
    <e v="#REF!"/>
    <e v="#REF!"/>
  </r>
  <r>
    <s v="625100"/>
    <x v="6"/>
    <s v="Voyages et déplacements"/>
    <s v="NDF"/>
    <n v="25.18"/>
    <d v="2025-06-11T00:00:00"/>
    <s v="FRAIS KILOMÉTRIQUES - ESSAIS SÉPARATION INDIGO ROUSSELET"/>
    <m/>
    <e v="#N/A"/>
    <e v="#N/A"/>
    <n v="88843"/>
    <s v="25000194"/>
    <s v="Marie Rézeau"/>
    <s v="Q2"/>
    <e v="#REF!"/>
    <e v="#REF!"/>
    <e v="#REF!"/>
  </r>
  <r>
    <s v="625100"/>
    <x v="6"/>
    <s v="Voyages et déplacements"/>
    <s v="NDF"/>
    <n v="25.19"/>
    <d v="2025-07-21T00:00:00"/>
    <s v="TAXI - TAXI AÉROPORT ALLER"/>
    <m/>
    <e v="#N/A"/>
    <e v="#N/A"/>
    <n v="88746"/>
    <s v="25000196"/>
    <s v="Benjamin Barry"/>
    <s v="Q3"/>
    <e v="#REF!"/>
    <e v="#REF!"/>
    <e v="#REF!"/>
  </r>
  <r>
    <s v="625100"/>
    <x v="6"/>
    <s v="Voyages et déplacements"/>
    <s v="NDF"/>
    <n v="25.2"/>
    <d v="2025-05-12T00:00:00"/>
    <s v="TAXI - G7 - DÉPLACEMENT TOU"/>
    <m/>
    <e v="#N/A"/>
    <e v="#N/A"/>
    <n v="95958"/>
    <s v="25000339"/>
    <s v="Alain Pinchard"/>
    <s v="Q2"/>
    <e v="#REF!"/>
    <e v="#REF!"/>
    <e v="#REF!"/>
  </r>
  <r>
    <s v="625100"/>
    <x v="6"/>
    <s v="Voyages et déplacements"/>
    <s v="NDF"/>
    <n v="25.22"/>
    <d v="2025-10-20T00:00:00"/>
    <s v="DIVERS - THÉ POUR TISANERIE 251020"/>
    <m/>
    <e v="#N/A"/>
    <e v="#N/A"/>
    <n v="88901"/>
    <s v="25000283"/>
    <s v="Anthony Martinez"/>
    <s v="Q4"/>
    <e v="#REF!"/>
    <e v="#REF!"/>
    <e v="#REF!"/>
  </r>
  <r>
    <s v="625100"/>
    <x v="6"/>
    <s v="Voyages et déplacements"/>
    <s v="NDF"/>
    <n v="25.45"/>
    <d v="2025-01-07T00:00:00"/>
    <s v="NDF"/>
    <m/>
    <e v="#N/A"/>
    <e v="#N/A"/>
    <n v="75678"/>
    <s v="3307202564"/>
    <s v="Pierre-Yves Bolle"/>
    <s v="Q1"/>
    <e v="#REF!"/>
    <e v="#REF!"/>
    <e v="#REF!"/>
  </r>
  <r>
    <s v="625100"/>
    <x v="6"/>
    <s v="Voyages et déplacements"/>
    <s v="NDF"/>
    <n v="25.48"/>
    <d v="2025-12-03T00:00:00"/>
    <s v="TAXI - UBER TRANSPORT MATÉRIEL SOIRÉE 10 ANS RETOUR"/>
    <m/>
    <e v="#N/A"/>
    <e v="#N/A"/>
    <n v="93342"/>
    <s v="25000304"/>
    <s v="Julie Lacondemine"/>
    <s v="Q4"/>
    <e v="#REF!"/>
    <e v="#REF!"/>
    <e v="#REF!"/>
  </r>
  <r>
    <s v="625100"/>
    <x v="6"/>
    <s v="Voyages et déplacements"/>
    <s v="NDF"/>
    <n v="25.55"/>
    <d v="2025-05-23T00:00:00"/>
    <s v="RESTAURANT MIDI - DÉJEUNER AP - ROUSSILLON - MANQUE FACTURE"/>
    <m/>
    <e v="#N/A"/>
    <e v="#N/A"/>
    <n v="95917"/>
    <s v="25000338"/>
    <s v="Alain Pinchard"/>
    <s v="Q2"/>
    <e v="#REF!"/>
    <e v="#REF!"/>
    <e v="#REF!"/>
  </r>
  <r>
    <s v="625100"/>
    <x v="6"/>
    <s v="Voyages et déplacements"/>
    <s v="NDF"/>
    <n v="25.57"/>
    <d v="2025-05-14T00:00:00"/>
    <s v="NOTE DE FRAIS"/>
    <m/>
    <e v="#N/A"/>
    <e v="#N/A"/>
    <n v="74426"/>
    <s v="25000148"/>
    <s v="Jérémie Blache"/>
    <s v="Q2"/>
    <e v="#REF!"/>
    <e v="#REF!"/>
    <e v="#REF!"/>
  </r>
  <r>
    <s v="625100"/>
    <x v="6"/>
    <s v="Voyages et déplacements"/>
    <s v="NDF"/>
    <n v="25.62"/>
    <d v="2025-11-24T00:00:00"/>
    <s v="RESTAURANT MIDI - REPAS 18 SOIR, 19 MIDI, 19 SOIR"/>
    <m/>
    <e v="#N/A"/>
    <e v="#N/A"/>
    <n v="90890"/>
    <s v="25000293"/>
    <s v="Julie Lacondemine"/>
    <s v="Q4"/>
    <e v="#REF!"/>
    <e v="#REF!"/>
    <e v="#REF!"/>
  </r>
  <r>
    <s v="625100"/>
    <x v="6"/>
    <s v="Voyages et déplacements"/>
    <s v="NDF"/>
    <n v="25.66"/>
    <d v="2025-11-20T00:00:00"/>
    <s v="RESTAURANT SOIR - DELIVEROO TOULOUSE"/>
    <m/>
    <e v="#N/A"/>
    <e v="#N/A"/>
    <n v="95818"/>
    <s v="25000335"/>
    <s v="Guillaume Boissonnat-Wu"/>
    <s v="Q4"/>
    <e v="#REF!"/>
    <e v="#REF!"/>
    <e v="#REF!"/>
  </r>
  <r>
    <s v="625100"/>
    <x v="6"/>
    <s v="Voyages et déplacements"/>
    <s v="NDF"/>
    <n v="25.78"/>
    <d v="2025-05-12T00:00:00"/>
    <s v="NDF"/>
    <m/>
    <e v="#N/A"/>
    <e v="#N/A"/>
    <n v="76511"/>
    <s v="25000153"/>
    <s v="Guillaume Boissonnat-Wu"/>
    <s v="Q2"/>
    <e v="#REF!"/>
    <e v="#REF!"/>
    <e v="#REF!"/>
  </r>
  <r>
    <s v="625100"/>
    <x v="6"/>
    <s v="Voyages et déplacements"/>
    <s v="NDF"/>
    <n v="26"/>
    <d v="2025-11-24T00:00:00"/>
    <s v="RESTAURANT MIDI - DEJEUNER AVEC CECILIA GABIZON (CONSEIL EXPO INDIGO)"/>
    <m/>
    <e v="#N/A"/>
    <e v="#N/A"/>
    <n v="90979"/>
    <s v="25000297"/>
    <s v="Marie-Sarah Adenis"/>
    <s v="Q4"/>
    <e v="#REF!"/>
    <e v="#REF!"/>
    <e v="#REF!"/>
  </r>
  <r>
    <s v="625100"/>
    <x v="6"/>
    <s v="Voyages et déplacements"/>
    <s v="NDF"/>
    <n v="26.17"/>
    <d v="2025-06-07T00:00:00"/>
    <s v="NDF"/>
    <m/>
    <e v="#N/A"/>
    <e v="#N/A"/>
    <n v="76568"/>
    <s v="25000173"/>
    <s v="Anthony Martinez"/>
    <s v="Q2"/>
    <e v="#REF!"/>
    <e v="#REF!"/>
    <e v="#REF!"/>
  </r>
  <r>
    <s v="625100"/>
    <x v="6"/>
    <s v="Voyages et déplacements"/>
    <s v="NDF"/>
    <n v="26.17"/>
    <d v="2025-10-02T00:00:00"/>
    <s v="PARKING - PARKING GARE TGV"/>
    <m/>
    <e v="#N/A"/>
    <e v="#N/A"/>
    <n v="88414"/>
    <s v="25000263"/>
    <s v="Yves Combret"/>
    <s v="Q4"/>
    <e v="#REF!"/>
    <e v="#REF!"/>
    <e v="#REF!"/>
  </r>
  <r>
    <s v="625100"/>
    <x v="6"/>
    <s v="Voyages et déplacements"/>
    <s v="NDF"/>
    <n v="26.39"/>
    <d v="2025-09-29T00:00:00"/>
    <s v="RESTAURANT MIDI - REPAS JEUDI MIDI"/>
    <m/>
    <e v="#N/A"/>
    <e v="#N/A"/>
    <n v="88464"/>
    <s v="25000253"/>
    <s v="Bob Fernandez"/>
    <s v="Q3"/>
    <e v="#REF!"/>
    <e v="#REF!"/>
    <e v="#REF!"/>
  </r>
  <r>
    <s v="625100"/>
    <x v="6"/>
    <s v="Voyages et déplacements"/>
    <s v="NDF"/>
    <n v="26.49"/>
    <d v="2025-03-03T00:00:00"/>
    <s v="NDF"/>
    <m/>
    <e v="#N/A"/>
    <e v="#N/A"/>
    <n v="76478"/>
    <s v="25000060"/>
    <s v="Jérémie Blache"/>
    <s v="Q1"/>
    <e v="#REF!"/>
    <e v="#REF!"/>
    <e v="#REF!"/>
  </r>
  <r>
    <s v="625100"/>
    <x v="6"/>
    <s v="Voyages et déplacements"/>
    <s v="NDF"/>
    <n v="26.6"/>
    <d v="2025-10-01T00:00:00"/>
    <s v="RESTAURANT SOIR - DINER"/>
    <m/>
    <e v="#N/A"/>
    <e v="#N/A"/>
    <n v="89235"/>
    <s v="25000260"/>
    <s v="Pauline Rullière"/>
    <s v="Q4"/>
    <e v="#REF!"/>
    <e v="#REF!"/>
    <e v="#REF!"/>
  </r>
  <r>
    <s v="625100"/>
    <x v="6"/>
    <s v="Voyages et déplacements"/>
    <s v="NDF"/>
    <n v="26.68"/>
    <d v="2025-04-29T00:00:00"/>
    <s v="NOTE DE FRAIS"/>
    <m/>
    <e v="#N/A"/>
    <e v="#N/A"/>
    <n v="74379"/>
    <s v="25000134"/>
    <s v="Julie Lacondemine"/>
    <s v="Q2"/>
    <e v="#REF!"/>
    <e v="#REF!"/>
    <e v="#REF!"/>
  </r>
  <r>
    <s v="625100"/>
    <x v="6"/>
    <s v="Voyages et déplacements"/>
    <s v="NDF"/>
    <n v="27.8"/>
    <d v="2025-03-25T00:00:00"/>
    <s v="NDF"/>
    <m/>
    <e v="#N/A"/>
    <e v="#N/A"/>
    <n v="75791"/>
    <s v="25000108"/>
    <s v="Mylène Menanteau"/>
    <s v="Q1"/>
    <e v="#REF!"/>
    <e v="#REF!"/>
    <e v="#REF!"/>
  </r>
  <r>
    <s v="625100"/>
    <x v="6"/>
    <s v="Voyages et déplacements"/>
    <s v="NDF"/>
    <n v="28"/>
    <d v="2025-09-04T00:00:00"/>
    <s v="RESTAURANT SOIR - REPAS SOIR"/>
    <m/>
    <e v="#N/A"/>
    <e v="#N/A"/>
    <n v="88583"/>
    <s v="25000214"/>
    <s v="Emilie Amillastré"/>
    <s v="Q3"/>
    <e v="#REF!"/>
    <e v="#REF!"/>
    <e v="#REF!"/>
  </r>
  <r>
    <s v="625100"/>
    <x v="6"/>
    <s v="Voyages et déplacements"/>
    <s v="NDF"/>
    <n v="28.06"/>
    <d v="2025-01-13T00:00:00"/>
    <s v="NDF"/>
    <m/>
    <e v="#N/A"/>
    <e v="#N/A"/>
    <n v="75686"/>
    <s v="25000011"/>
    <s v="Benjamin Barry"/>
    <s v="Q1"/>
    <e v="#REF!"/>
    <e v="#REF!"/>
    <e v="#REF!"/>
  </r>
  <r>
    <s v="625100"/>
    <x v="6"/>
    <s v="Voyages et déplacements"/>
    <s v="NDF"/>
    <n v="28.14"/>
    <d v="2025-07-25T00:00:00"/>
    <s v="TAXI - TAXI RETOUR"/>
    <m/>
    <e v="#N/A"/>
    <e v="#N/A"/>
    <n v="88726"/>
    <s v="25000196"/>
    <s v="Benjamin Barry"/>
    <s v="Q3"/>
    <e v="#REF!"/>
    <e v="#REF!"/>
    <e v="#REF!"/>
  </r>
  <r>
    <s v="625100"/>
    <x v="6"/>
    <s v="Voyages et déplacements"/>
    <s v="NDF"/>
    <n v="28.29"/>
    <d v="2025-12-04T00:00:00"/>
    <s v="RESTAURANT MIDI - DÉJ KB JB + PY"/>
    <m/>
    <e v="#N/A"/>
    <e v="#N/A"/>
    <n v="93315"/>
    <s v="25000313"/>
    <s v="Jérémie Blache"/>
    <s v="Q4"/>
    <e v="#REF!"/>
    <e v="#REF!"/>
    <e v="#REF!"/>
  </r>
  <r>
    <s v="625100"/>
    <x v="6"/>
    <s v="Voyages et déplacements"/>
    <s v="NDF"/>
    <n v="28.3"/>
    <d v="2025-11-20T00:00:00"/>
    <s v="TAXI - TAXI RETOUR PRSÉNETATION PILI COLLEGE DES BERNARDINS"/>
    <m/>
    <e v="#N/A"/>
    <e v="#N/A"/>
    <n v="93438"/>
    <s v="25000305"/>
    <s v="Marie-Sarah Adenis"/>
    <s v="Q4"/>
    <e v="#REF!"/>
    <e v="#REF!"/>
    <e v="#REF!"/>
  </r>
  <r>
    <s v="625100"/>
    <x v="6"/>
    <s v="Voyages et déplacements"/>
    <s v="NDF"/>
    <n v="28.33"/>
    <d v="2025-11-24T00:00:00"/>
    <s v="PARKING - PARKING GARE VALENCE"/>
    <m/>
    <e v="#N/A"/>
    <e v="#N/A"/>
    <n v="90887"/>
    <s v="25000301"/>
    <s v="Maud Sanchez"/>
    <s v="Q4"/>
    <e v="#REF!"/>
    <e v="#REF!"/>
    <e v="#REF!"/>
  </r>
  <r>
    <s v="625100"/>
    <x v="6"/>
    <s v="Voyages et déplacements"/>
    <s v="NDF"/>
    <n v="28.35"/>
    <d v="2025-09-09T00:00:00"/>
    <s v="DIVERS - LOCATION AJUSTEMENT CARBURANT ET LOCATION VISITE GROLMAN"/>
    <m/>
    <e v="#N/A"/>
    <e v="#N/A"/>
    <n v="88550"/>
    <s v="25000248"/>
    <s v="Pierre-Yves Bolle"/>
    <s v="Q3"/>
    <e v="#REF!"/>
    <e v="#REF!"/>
    <e v="#REF!"/>
  </r>
  <r>
    <s v="625100"/>
    <x v="6"/>
    <s v="Voyages et déplacements"/>
    <s v="NDF"/>
    <n v="28.5"/>
    <d v="2025-11-24T00:00:00"/>
    <s v="PÉAGE - PÉAGE"/>
    <m/>
    <e v="#N/A"/>
    <e v="#N/A"/>
    <n v="90836"/>
    <s v="25000296"/>
    <s v="Jérémie Blache"/>
    <s v="Q4"/>
    <e v="#REF!"/>
    <e v="#REF!"/>
    <e v="#REF!"/>
  </r>
  <r>
    <s v="625100"/>
    <x v="6"/>
    <s v="Voyages et déplacements"/>
    <s v="NDF"/>
    <n v="28.5"/>
    <d v="2025-11-24T00:00:00"/>
    <s v="PÉAGE - PÉAGE"/>
    <m/>
    <e v="#N/A"/>
    <e v="#N/A"/>
    <n v="90851"/>
    <s v="25000296"/>
    <s v="Jérémie Blache"/>
    <s v="Q4"/>
    <e v="#REF!"/>
    <e v="#REF!"/>
    <e v="#REF!"/>
  </r>
  <r>
    <s v="625100"/>
    <x v="6"/>
    <s v="Voyages et déplacements"/>
    <s v="NDF"/>
    <n v="28.7"/>
    <d v="2025-06-16T00:00:00"/>
    <s v="RESTAURANT SOIR - RESTO SOIR"/>
    <m/>
    <e v="#N/A"/>
    <e v="#N/A"/>
    <n v="88831"/>
    <s v="25000201"/>
    <s v="Kevin Cottet"/>
    <s v="Q2"/>
    <e v="#REF!"/>
    <e v="#REF!"/>
    <e v="#REF!"/>
  </r>
  <r>
    <s v="625100"/>
    <x v="6"/>
    <s v="Voyages et déplacements"/>
    <s v="NDF"/>
    <n v="28.82"/>
    <d v="2025-04-22T00:00:00"/>
    <s v="NOTE DE FRAIS"/>
    <m/>
    <e v="#N/A"/>
    <e v="#N/A"/>
    <n v="74346"/>
    <s v="25000131"/>
    <s v="Kevin Cottet"/>
    <s v="Q2"/>
    <e v="#REF!"/>
    <e v="#REF!"/>
    <e v="#REF!"/>
  </r>
  <r>
    <s v="625100"/>
    <x v="6"/>
    <s v="Voyages et déplacements"/>
    <s v="NDF"/>
    <n v="28.85"/>
    <d v="2025-10-03T00:00:00"/>
    <s v="RESTAURANT MIDI - REPAS MIDI"/>
    <m/>
    <e v="#N/A"/>
    <e v="#N/A"/>
    <n v="88944"/>
    <s v="25000255"/>
    <s v="Emilie Amillastré"/>
    <s v="Q4"/>
    <e v="#REF!"/>
    <e v="#REF!"/>
    <e v="#REF!"/>
  </r>
  <r>
    <s v="625100"/>
    <x v="6"/>
    <s v="Voyages et déplacements"/>
    <s v="NDF"/>
    <n v="28.91"/>
    <d v="2025-03-26T00:00:00"/>
    <s v="NDF"/>
    <m/>
    <e v="#N/A"/>
    <e v="#N/A"/>
    <n v="75797"/>
    <s v="25000087"/>
    <s v="Benjamin Barry"/>
    <s v="Q1"/>
    <e v="#REF!"/>
    <e v="#REF!"/>
    <e v="#REF!"/>
  </r>
  <r>
    <s v="625100"/>
    <x v="6"/>
    <s v="Voyages et déplacements"/>
    <s v="NDF"/>
    <n v="29"/>
    <d v="2025-06-18T00:00:00"/>
    <s v="RESTAURANT SOIR - DINER"/>
    <m/>
    <e v="#N/A"/>
    <e v="#N/A"/>
    <n v="89196"/>
    <s v="25000111"/>
    <s v="Pauline Rullière"/>
    <s v="Q2"/>
    <e v="#REF!"/>
    <e v="#REF!"/>
    <e v="#REF!"/>
  </r>
  <r>
    <s v="625100"/>
    <x v="6"/>
    <s v="Voyages et déplacements"/>
    <s v="NDF"/>
    <n v="29"/>
    <d v="2025-11-24T00:00:00"/>
    <s v="TRAIN - TRAIN RETOUR INITIAL"/>
    <m/>
    <e v="#N/A"/>
    <e v="#N/A"/>
    <n v="90884"/>
    <s v="25000301"/>
    <s v="Maud Sanchez"/>
    <s v="Q4"/>
    <e v="#REF!"/>
    <e v="#REF!"/>
    <e v="#REF!"/>
  </r>
  <r>
    <s v="625100"/>
    <x v="6"/>
    <s v="Voyages et déplacements"/>
    <s v="NDF"/>
    <n v="29"/>
    <d v="2025-12-08T00:00:00"/>
    <s v="RESTAURANT SOIR - REPAS SOIR"/>
    <m/>
    <e v="#N/A"/>
    <e v="#N/A"/>
    <n v="93293"/>
    <s v="25000316"/>
    <s v="Jérémie Blache"/>
    <s v="Q4"/>
    <e v="#REF!"/>
    <e v="#REF!"/>
    <e v="#REF!"/>
  </r>
  <r>
    <s v="625100"/>
    <x v="6"/>
    <s v="Voyages et déplacements"/>
    <s v="NDF"/>
    <n v="29.3"/>
    <d v="2025-06-04T00:00:00"/>
    <s v="RESTAURANT MIDI - LUNCH CHEMSPEC"/>
    <m/>
    <e v="#N/A"/>
    <e v="#N/A"/>
    <n v="95862"/>
    <s v="25000338"/>
    <s v="Alain Pinchard"/>
    <s v="Q2"/>
    <e v="#REF!"/>
    <e v="#REF!"/>
    <e v="#REF!"/>
  </r>
  <r>
    <s v="625100"/>
    <x v="6"/>
    <s v="Voyages et déplacements"/>
    <s v="NDF"/>
    <n v="30"/>
    <d v="2025-11-24T00:00:00"/>
    <s v="RESTAURANT MIDI - REPAS FRANCE CHIMIE JOURNÉE EXPOSITION AUX RISQUES"/>
    <m/>
    <e v="#N/A"/>
    <e v="#N/A"/>
    <n v="90827"/>
    <s v="25000299"/>
    <s v="Marie Rézeau"/>
    <s v="Q4"/>
    <e v="#REF!"/>
    <e v="#REF!"/>
    <e v="#REF!"/>
  </r>
  <r>
    <s v="625100"/>
    <x v="6"/>
    <s v="Voyages et déplacements"/>
    <s v="NDF"/>
    <n v="30.08"/>
    <d v="2025-10-06T00:00:00"/>
    <s v="TAXI - TAXI AÉROPORT"/>
    <m/>
    <e v="#N/A"/>
    <e v="#N/A"/>
    <n v="89043"/>
    <s v="25000256"/>
    <s v="Benjamin Barry"/>
    <s v="Q4"/>
    <e v="#REF!"/>
    <e v="#REF!"/>
    <e v="#REF!"/>
  </r>
  <r>
    <s v="625100"/>
    <x v="6"/>
    <s v="Voyages et déplacements"/>
    <s v="NDF"/>
    <n v="30.6"/>
    <d v="2025-11-24T00:00:00"/>
    <s v="RESTAURANT MIDI - REPAS MIDI"/>
    <m/>
    <e v="#N/A"/>
    <e v="#N/A"/>
    <n v="90954"/>
    <s v="25000265"/>
    <s v="Marie Rézeau"/>
    <s v="Q4"/>
    <e v="#REF!"/>
    <e v="#REF!"/>
    <e v="#REF!"/>
  </r>
  <r>
    <s v="625100"/>
    <x v="6"/>
    <s v="Voyages et déplacements"/>
    <s v="NDF"/>
    <n v="30.66"/>
    <d v="2025-04-01T00:00:00"/>
    <s v="NOTE DE FRAIS"/>
    <m/>
    <e v="#N/A"/>
    <e v="#N/A"/>
    <n v="74289"/>
    <s v="25000126"/>
    <s v="Jérémie Blache"/>
    <s v="Q2"/>
    <e v="#REF!"/>
    <e v="#REF!"/>
    <e v="#REF!"/>
  </r>
  <r>
    <s v="625100"/>
    <x v="6"/>
    <s v="Voyages et déplacements"/>
    <s v="NDF"/>
    <n v="30.99"/>
    <d v="2025-07-01T00:00:00"/>
    <s v="TAXI - ALLER VERS GARE"/>
    <m/>
    <e v="#N/A"/>
    <e v="#N/A"/>
    <n v="88789"/>
    <s v="25000190"/>
    <s v="Marie-Sarah Adenis"/>
    <s v="Q3"/>
    <e v="#REF!"/>
    <e v="#REF!"/>
    <e v="#REF!"/>
  </r>
  <r>
    <s v="625100"/>
    <x v="6"/>
    <s v="Voyages et déplacements"/>
    <s v="NDF"/>
    <n v="31.2"/>
    <d v="2025-09-09T00:00:00"/>
    <s v="RESTAURANT MIDI - DÉJEUNER VISITE GROLMAN"/>
    <m/>
    <e v="#N/A"/>
    <e v="#N/A"/>
    <n v="88555"/>
    <s v="25000248"/>
    <s v="Pierre-Yves Bolle"/>
    <s v="Q3"/>
    <e v="#REF!"/>
    <e v="#REF!"/>
    <e v="#REF!"/>
  </r>
  <r>
    <s v="625100"/>
    <x v="6"/>
    <s v="Voyages et déplacements"/>
    <s v="NDF"/>
    <n v="31.27"/>
    <d v="2025-04-29T00:00:00"/>
    <s v="NDF"/>
    <m/>
    <e v="#N/A"/>
    <e v="#N/A"/>
    <n v="76507"/>
    <s v="25000152"/>
    <s v="Guillaume Boissonnat-Wu"/>
    <s v="Q2"/>
    <e v="#REF!"/>
    <e v="#REF!"/>
    <e v="#REF!"/>
  </r>
  <r>
    <s v="625100"/>
    <x v="6"/>
    <s v="Voyages et déplacements"/>
    <s v="NDF"/>
    <n v="31.8"/>
    <d v="2025-12-17T00:00:00"/>
    <s v="RESTAURANT MIDI - REPAS MERCREDI MIDI"/>
    <m/>
    <e v="#N/A"/>
    <e v="#N/A"/>
    <n v="95790"/>
    <s v="25000325"/>
    <s v="Marie Rézeau"/>
    <s v="Q4"/>
    <e v="#REF!"/>
    <e v="#REF!"/>
    <e v="#REF!"/>
  </r>
  <r>
    <s v="625100"/>
    <x v="6"/>
    <s v="Voyages et déplacements"/>
    <s v="NDF"/>
    <n v="32.1"/>
    <d v="2025-12-02T00:00:00"/>
    <s v="RESTAURANT SOIR - REPAS SOIR PARIS"/>
    <m/>
    <e v="#N/A"/>
    <e v="#N/A"/>
    <n v="93325"/>
    <s v="25000308"/>
    <s v="Jérémie Blache"/>
    <s v="Q4"/>
    <e v="#REF!"/>
    <e v="#REF!"/>
    <e v="#REF!"/>
  </r>
  <r>
    <s v="625100"/>
    <x v="6"/>
    <s v="Voyages et déplacements"/>
    <s v="NDF"/>
    <n v="32.799999999999997"/>
    <d v="2025-07-03T00:00:00"/>
    <s v="TAXI - RETOUR MAISON"/>
    <m/>
    <e v="#N/A"/>
    <e v="#N/A"/>
    <n v="88791"/>
    <s v="25000190"/>
    <s v="Marie-Sarah Adenis"/>
    <s v="Q3"/>
    <e v="#REF!"/>
    <e v="#REF!"/>
    <e v="#REF!"/>
  </r>
  <r>
    <s v="625100"/>
    <x v="6"/>
    <s v="Voyages et déplacements"/>
    <s v="NDF"/>
    <n v="32.9"/>
    <d v="2025-03-26T00:00:00"/>
    <s v="NDF"/>
    <m/>
    <e v="#N/A"/>
    <e v="#N/A"/>
    <n v="75798"/>
    <s v="25000087"/>
    <s v="Benjamin Barry"/>
    <s v="Q1"/>
    <e v="#REF!"/>
    <e v="#REF!"/>
    <e v="#REF!"/>
  </r>
  <r>
    <s v="625100"/>
    <x v="6"/>
    <s v="Voyages et déplacements"/>
    <s v="NDF"/>
    <n v="33.74"/>
    <d v="2025-11-24T00:00:00"/>
    <s v="DIVERS - DEUX LIVRES POUR EXPO INDIGO"/>
    <m/>
    <e v="#N/A"/>
    <e v="#N/A"/>
    <n v="90992"/>
    <s v="25000297"/>
    <s v="Marie-Sarah Adenis"/>
    <s v="Q4"/>
    <e v="#REF!"/>
    <e v="#REF!"/>
    <e v="#REF!"/>
  </r>
  <r>
    <s v="625100"/>
    <x v="6"/>
    <s v="Voyages et déplacements"/>
    <s v="NDF"/>
    <n v="34"/>
    <d v="2025-11-24T00:00:00"/>
    <s v="RESTAURANT SOIR - REPAS SOIR TOULOUSE"/>
    <m/>
    <e v="#N/A"/>
    <e v="#N/A"/>
    <n v="90853"/>
    <s v="25000296"/>
    <s v="Jérémie Blache"/>
    <s v="Q4"/>
    <e v="#REF!"/>
    <e v="#REF!"/>
    <e v="#REF!"/>
  </r>
  <r>
    <s v="625100"/>
    <x v="6"/>
    <s v="Voyages et déplacements"/>
    <s v="NDF"/>
    <n v="34.15"/>
    <d v="2025-04-24T00:00:00"/>
    <s v="NOTE DE FRAIS"/>
    <m/>
    <e v="#N/A"/>
    <e v="#N/A"/>
    <n v="74361"/>
    <s v="25000127"/>
    <s v="Jérémie Blache"/>
    <s v="Q2"/>
    <e v="#REF!"/>
    <e v="#REF!"/>
    <e v="#REF!"/>
  </r>
  <r>
    <s v="625100"/>
    <x v="6"/>
    <s v="Voyages et déplacements"/>
    <s v="NDF"/>
    <n v="34.35"/>
    <d v="2025-08-24T00:00:00"/>
    <s v="RESTAURANT SOIR - REPAS SOIR + REPAS LENDEMAIN MIDI"/>
    <m/>
    <e v="#N/A"/>
    <e v="#N/A"/>
    <n v="88136"/>
    <s v="25000210"/>
    <s v="Bob Fernandez"/>
    <s v="Q3"/>
    <e v="#REF!"/>
    <e v="#REF!"/>
    <e v="#REF!"/>
  </r>
  <r>
    <s v="625100"/>
    <x v="6"/>
    <s v="Voyages et déplacements"/>
    <s v="NDF"/>
    <n v="34.6"/>
    <d v="2025-12-12T00:00:00"/>
    <s v="RESTAURANT MIDI - REPAS MIDI PS DÉCEMBRE 2025"/>
    <m/>
    <e v="#N/A"/>
    <e v="#N/A"/>
    <n v="93268"/>
    <s v="25000322"/>
    <s v="Lucie Crépin"/>
    <s v="Q4"/>
    <e v="#REF!"/>
    <e v="#REF!"/>
    <e v="#REF!"/>
  </r>
  <r>
    <s v="625100"/>
    <x v="6"/>
    <s v="Voyages et déplacements"/>
    <s v="NDF"/>
    <n v="34.75"/>
    <d v="2025-07-21T00:00:00"/>
    <s v="PARKING - PARKING + TAXES DE SÉJOUR"/>
    <m/>
    <e v="#N/A"/>
    <e v="#N/A"/>
    <n v="88865"/>
    <s v="25000194"/>
    <s v="Marie Rézeau"/>
    <s v="Q3"/>
    <e v="#REF!"/>
    <e v="#REF!"/>
    <e v="#REF!"/>
  </r>
  <r>
    <s v="625100"/>
    <x v="6"/>
    <s v="Voyages et déplacements"/>
    <s v="NDF"/>
    <n v="34.9"/>
    <d v="2025-04-14T00:00:00"/>
    <s v="NOTE DE FRAIS"/>
    <m/>
    <e v="#N/A"/>
    <e v="#N/A"/>
    <n v="74324"/>
    <s v="25000114"/>
    <s v="Océane Chabret"/>
    <s v="Q2"/>
    <e v="#REF!"/>
    <e v="#REF!"/>
    <e v="#REF!"/>
  </r>
  <r>
    <s v="625100"/>
    <x v="6"/>
    <s v="Voyages et déplacements"/>
    <s v="NDF"/>
    <n v="35"/>
    <d v="2025-07-02T00:00:00"/>
    <s v="TRAIN - SUPP 1ERE"/>
    <m/>
    <e v="#N/A"/>
    <e v="#N/A"/>
    <n v="88634"/>
    <s v="25000189"/>
    <s v="Jérémie Blache"/>
    <s v="Q3"/>
    <e v="#REF!"/>
    <e v="#REF!"/>
    <e v="#REF!"/>
  </r>
  <r>
    <s v="625100"/>
    <x v="6"/>
    <s v="Voyages et déplacements"/>
    <s v="NDF"/>
    <n v="35.270000000000003"/>
    <d v="2025-03-02T00:00:00"/>
    <s v="NDF"/>
    <m/>
    <e v="#N/A"/>
    <e v="#N/A"/>
    <n v="75740"/>
    <s v="25000043"/>
    <s v="Pauline Rullière"/>
    <s v="Q1"/>
    <e v="#REF!"/>
    <e v="#REF!"/>
    <e v="#REF!"/>
  </r>
  <r>
    <s v="625100"/>
    <x v="6"/>
    <s v="Voyages et déplacements"/>
    <s v="NDF"/>
    <n v="35.299999999999997"/>
    <d v="2025-10-02T00:00:00"/>
    <s v="DIVERS - BTK"/>
    <m/>
    <e v="#N/A"/>
    <e v="#N/A"/>
    <n v="95872"/>
    <s v="25000338"/>
    <s v="Alain Pinchard"/>
    <s v="Q4"/>
    <e v="#REF!"/>
    <e v="#REF!"/>
    <e v="#REF!"/>
  </r>
  <r>
    <s v="625100"/>
    <x v="6"/>
    <s v="Voyages et déplacements"/>
    <s v="NDF"/>
    <n v="35.46"/>
    <d v="2025-06-24T00:00:00"/>
    <s v="TAXI - TAXI"/>
    <m/>
    <e v="#N/A"/>
    <e v="#N/A"/>
    <n v="89210"/>
    <s v="25000111"/>
    <s v="Pauline Rullière"/>
    <s v="Q2"/>
    <e v="#REF!"/>
    <e v="#REF!"/>
    <e v="#REF!"/>
  </r>
  <r>
    <s v="625100"/>
    <x v="6"/>
    <s v="Voyages et déplacements"/>
    <s v="NDF"/>
    <n v="35.9"/>
    <d v="2025-04-10T00:00:00"/>
    <s v="RESTAURANT MIDI - LUNCH AP &amp; ASG"/>
    <m/>
    <e v="#N/A"/>
    <e v="#N/A"/>
    <n v="95941"/>
    <s v="25000338"/>
    <s v="Alain Pinchard"/>
    <s v="Q2"/>
    <e v="#REF!"/>
    <e v="#REF!"/>
    <e v="#REF!"/>
  </r>
  <r>
    <s v="625100"/>
    <x v="6"/>
    <s v="Voyages et déplacements"/>
    <s v="NDF"/>
    <n v="35.9"/>
    <d v="2025-10-01T00:00:00"/>
    <s v="RESTAURANT SOIR - RESTO SOIR"/>
    <m/>
    <e v="#N/A"/>
    <e v="#N/A"/>
    <n v="88420"/>
    <s v="25000263"/>
    <s v="Yves Combret"/>
    <s v="Q4"/>
    <e v="#REF!"/>
    <e v="#REF!"/>
    <e v="#REF!"/>
  </r>
  <r>
    <s v="625100"/>
    <x v="6"/>
    <s v="Voyages et déplacements"/>
    <s v="NDF"/>
    <n v="36"/>
    <d v="2025-04-08T00:00:00"/>
    <s v="NOTE DE FRAIS"/>
    <m/>
    <e v="#N/A"/>
    <e v="#N/A"/>
    <n v="74302"/>
    <s v="25000110"/>
    <s v="Bob Fernandez"/>
    <s v="Q2"/>
    <e v="#REF!"/>
    <e v="#REF!"/>
    <e v="#REF!"/>
  </r>
  <r>
    <s v="625100"/>
    <x v="6"/>
    <s v="Voyages et déplacements"/>
    <s v="NDF"/>
    <n v="36"/>
    <d v="2025-09-29T00:00:00"/>
    <s v="TRAIN - TRAIN PARIS"/>
    <m/>
    <e v="#N/A"/>
    <e v="#N/A"/>
    <n v="88950"/>
    <s v="25000255"/>
    <s v="Emilie Amillastré"/>
    <s v="Q3"/>
    <e v="#REF!"/>
    <e v="#REF!"/>
    <e v="#REF!"/>
  </r>
  <r>
    <s v="625100"/>
    <x v="6"/>
    <s v="Voyages et déplacements"/>
    <s v="NDF"/>
    <n v="36.200000000000003"/>
    <d v="2025-11-24T00:00:00"/>
    <s v="RESTAURANT SOIR - DELIVEROO TOULOUSE"/>
    <m/>
    <e v="#N/A"/>
    <e v="#N/A"/>
    <n v="90932"/>
    <s v="25000288"/>
    <s v="Guillaume Boissonnat-Wu"/>
    <s v="Q4"/>
    <e v="#REF!"/>
    <e v="#REF!"/>
    <e v="#REF!"/>
  </r>
  <r>
    <s v="625100"/>
    <x v="6"/>
    <s v="Voyages et déplacements"/>
    <s v="NDF"/>
    <n v="36.25"/>
    <d v="2025-08-29T00:00:00"/>
    <s v="DIVERS - CHRONOPOST"/>
    <m/>
    <e v="#N/A"/>
    <e v="#N/A"/>
    <n v="88098"/>
    <s v="25000213"/>
    <s v="Vincent Blanchard"/>
    <s v="Q3"/>
    <e v="#REF!"/>
    <e v="#REF!"/>
    <e v="#REF!"/>
  </r>
  <r>
    <s v="625100"/>
    <x v="6"/>
    <s v="Voyages et déplacements"/>
    <s v="NDF"/>
    <n v="36.44"/>
    <d v="2025-06-25T00:00:00"/>
    <s v="RESTAURANT SOIR - COURSES"/>
    <m/>
    <e v="#N/A"/>
    <e v="#N/A"/>
    <n v="88659"/>
    <s v="25000178"/>
    <s v="Bob Fernandez"/>
    <s v="Q2"/>
    <e v="#REF!"/>
    <e v="#REF!"/>
    <e v="#REF!"/>
  </r>
  <r>
    <s v="625100"/>
    <x v="6"/>
    <s v="Voyages et déplacements"/>
    <s v="NDF"/>
    <n v="36.479999999999997"/>
    <d v="2025-09-19T00:00:00"/>
    <s v="CARBURANT (GAZOLE) - ESSENCE SÉMINAIRE"/>
    <m/>
    <e v="#N/A"/>
    <e v="#N/A"/>
    <n v="88493"/>
    <s v="25000234"/>
    <s v="Jérémie Blache"/>
    <s v="Q3"/>
    <e v="#REF!"/>
    <e v="#REF!"/>
    <e v="#REF!"/>
  </r>
  <r>
    <s v="625100"/>
    <x v="6"/>
    <s v="Voyages et déplacements"/>
    <s v="NDF"/>
    <n v="37"/>
    <d v="2025-06-25T00:00:00"/>
    <s v="TAXI - TAXI"/>
    <m/>
    <e v="#N/A"/>
    <e v="#N/A"/>
    <n v="89218"/>
    <s v="25000111"/>
    <s v="Pauline Rullière"/>
    <s v="Q2"/>
    <e v="#REF!"/>
    <e v="#REF!"/>
    <e v="#REF!"/>
  </r>
  <r>
    <s v="625100"/>
    <x v="6"/>
    <s v="Voyages et déplacements"/>
    <s v="NDF"/>
    <n v="37.42"/>
    <d v="2025-12-17T00:00:00"/>
    <s v="DIVERS - CARBURANT"/>
    <m/>
    <e v="#N/A"/>
    <e v="#N/A"/>
    <n v="95799"/>
    <s v="25000333"/>
    <s v="Clément Perrocheau"/>
    <s v="Q4"/>
    <e v="#REF!"/>
    <e v="#REF!"/>
    <e v="#REF!"/>
  </r>
  <r>
    <s v="625100"/>
    <x v="6"/>
    <s v="Voyages et déplacements"/>
    <s v="NDF"/>
    <n v="37.57"/>
    <d v="2025-10-09T00:00:00"/>
    <s v="CARBURANT (GAZOLE) - ESSENCE"/>
    <m/>
    <e v="#N/A"/>
    <e v="#N/A"/>
    <n v="89059"/>
    <s v="25000256"/>
    <s v="Benjamin Barry"/>
    <s v="Q4"/>
    <e v="#REF!"/>
    <e v="#REF!"/>
    <e v="#REF!"/>
  </r>
  <r>
    <s v="625100"/>
    <x v="6"/>
    <s v="Voyages et déplacements"/>
    <s v="NDF"/>
    <n v="37.799999999999997"/>
    <d v="2025-12-09T00:00:00"/>
    <s v="RESTAURANT SOIR - REPAS MARDI SOIR"/>
    <m/>
    <e v="#N/A"/>
    <e v="#N/A"/>
    <n v="95768"/>
    <s v="25000325"/>
    <s v="Marie Rézeau"/>
    <s v="Q4"/>
    <e v="#REF!"/>
    <e v="#REF!"/>
    <e v="#REF!"/>
  </r>
  <r>
    <s v="625100"/>
    <x v="6"/>
    <s v="Voyages et déplacements"/>
    <s v="NDF"/>
    <n v="38"/>
    <d v="2025-11-24T00:00:00"/>
    <s v="RESTAURANT SOIR - REPAS SOIR"/>
    <m/>
    <e v="#N/A"/>
    <e v="#N/A"/>
    <n v="90973"/>
    <s v="25000265"/>
    <s v="Marie Rézeau"/>
    <s v="Q4"/>
    <e v="#REF!"/>
    <e v="#REF!"/>
    <e v="#REF!"/>
  </r>
  <r>
    <s v="625100"/>
    <x v="6"/>
    <s v="Voyages et déplacements"/>
    <s v="NDF"/>
    <n v="38.18"/>
    <d v="2025-01-01T00:00:00"/>
    <s v="NDF"/>
    <m/>
    <e v="#N/A"/>
    <e v="#N/A"/>
    <n v="75668"/>
    <s v="25000009"/>
    <s v="Pauline Rullière"/>
    <s v="Q1"/>
    <e v="#REF!"/>
    <e v="#REF!"/>
    <e v="#REF!"/>
  </r>
  <r>
    <s v="625100"/>
    <x v="6"/>
    <s v="Voyages et déplacements"/>
    <s v="NDF"/>
    <n v="38.200000000000003"/>
    <d v="2025-04-05T00:00:00"/>
    <s v="NDF"/>
    <m/>
    <e v="#N/A"/>
    <e v="#N/A"/>
    <n v="75836"/>
    <s v="25000106"/>
    <s v="Yves Combret"/>
    <s v="Q2"/>
    <e v="#REF!"/>
    <e v="#REF!"/>
    <e v="#REF!"/>
  </r>
  <r>
    <s v="625100"/>
    <x v="6"/>
    <s v="Voyages et déplacements"/>
    <s v="NDF"/>
    <n v="38.6"/>
    <d v="2025-09-09T00:00:00"/>
    <s v="DIVERS - LOCATION VÉHICULE VISITE GROLMAN"/>
    <m/>
    <e v="#N/A"/>
    <e v="#N/A"/>
    <n v="88561"/>
    <s v="25000248"/>
    <s v="Pierre-Yves Bolle"/>
    <s v="Q3"/>
    <e v="#REF!"/>
    <e v="#REF!"/>
    <e v="#REF!"/>
  </r>
  <r>
    <s v="625100"/>
    <x v="6"/>
    <s v="Voyages et déplacements"/>
    <s v="NDF"/>
    <n v="38.799999999999997"/>
    <d v="2025-04-04T00:00:00"/>
    <s v="NDF"/>
    <m/>
    <e v="#N/A"/>
    <e v="#N/A"/>
    <n v="75470"/>
    <s v="25000105"/>
    <s v="Audrey Baylac"/>
    <s v="Q2"/>
    <e v="#REF!"/>
    <e v="#REF!"/>
    <e v="#REF!"/>
  </r>
  <r>
    <s v="625100"/>
    <x v="6"/>
    <s v="Voyages et déplacements"/>
    <s v="NDF"/>
    <n v="39.090000000000003"/>
    <d v="2025-01-01T00:00:00"/>
    <s v="NDF"/>
    <m/>
    <e v="#N/A"/>
    <e v="#N/A"/>
    <n v="75660"/>
    <s v="24000362"/>
    <s v="Marie Rézeau"/>
    <s v="Q1"/>
    <e v="#REF!"/>
    <e v="#REF!"/>
    <e v="#REF!"/>
  </r>
  <r>
    <s v="625100"/>
    <x v="6"/>
    <s v="Voyages et déplacements"/>
    <s v="NDF"/>
    <n v="39.770000000000003"/>
    <d v="2025-10-16T00:00:00"/>
    <s v="DIVERS - CAFÉ PILI TOULOUSE"/>
    <m/>
    <e v="#N/A"/>
    <e v="#N/A"/>
    <n v="89022"/>
    <s v="24000086"/>
    <s v="Mylène Menanteau"/>
    <s v="Q4"/>
    <e v="#REF!"/>
    <e v="#REF!"/>
    <e v="#REF!"/>
  </r>
  <r>
    <s v="625100"/>
    <x v="6"/>
    <s v="Voyages et déplacements"/>
    <s v="NDF"/>
    <n v="39.83"/>
    <d v="2025-11-24T00:00:00"/>
    <s v="PARKING - PARKING AÉROPORT LYON"/>
    <m/>
    <e v="#N/A"/>
    <e v="#N/A"/>
    <n v="91001"/>
    <s v="25000199"/>
    <s v="Anne-Sophie Goutierre"/>
    <s v="Q4"/>
    <e v="#REF!"/>
    <e v="#REF!"/>
    <e v="#REF!"/>
  </r>
  <r>
    <s v="625100"/>
    <x v="6"/>
    <s v="Voyages et déplacements"/>
    <s v="NDF"/>
    <n v="40"/>
    <d v="2025-06-24T00:00:00"/>
    <s v="TAXI - TAXI"/>
    <m/>
    <e v="#N/A"/>
    <e v="#N/A"/>
    <n v="89208"/>
    <s v="25000111"/>
    <s v="Pauline Rullière"/>
    <s v="Q2"/>
    <e v="#REF!"/>
    <e v="#REF!"/>
    <e v="#REF!"/>
  </r>
  <r>
    <s v="625100"/>
    <x v="6"/>
    <s v="Voyages et déplacements"/>
    <s v="NDF"/>
    <n v="40"/>
    <d v="2025-09-03T00:00:00"/>
    <s v="RESTAURANT SOIR - RESTO SOIR"/>
    <m/>
    <e v="#N/A"/>
    <e v="#N/A"/>
    <n v="88591"/>
    <s v="25000214"/>
    <s v="Emilie Amillastré"/>
    <s v="Q3"/>
    <e v="#REF!"/>
    <e v="#REF!"/>
    <e v="#REF!"/>
  </r>
  <r>
    <s v="625100"/>
    <x v="6"/>
    <s v="Voyages et déplacements"/>
    <s v="NDF"/>
    <n v="40.770000000000003"/>
    <d v="2025-12-03T00:00:00"/>
    <s v="TAXI - UBER TRANSPORT MATÉRIEL SOIRÉE 10 ANS ALLER"/>
    <m/>
    <e v="#N/A"/>
    <e v="#N/A"/>
    <n v="93347"/>
    <s v="25000304"/>
    <s v="Julie Lacondemine"/>
    <s v="Q4"/>
    <e v="#REF!"/>
    <e v="#REF!"/>
    <e v="#REF!"/>
  </r>
  <r>
    <s v="625100"/>
    <x v="6"/>
    <s v="Voyages et déplacements"/>
    <s v="NDF"/>
    <n v="40.909999999999997"/>
    <d v="2025-09-01T00:00:00"/>
    <s v="MÉTRO, BUS - METRO PARIS"/>
    <m/>
    <e v="#N/A"/>
    <e v="#N/A"/>
    <n v="88119"/>
    <s v="25000216"/>
    <s v="Jérémie Blache"/>
    <s v="Q3"/>
    <e v="#REF!"/>
    <e v="#REF!"/>
    <e v="#REF!"/>
  </r>
  <r>
    <s v="625100"/>
    <x v="6"/>
    <s v="Voyages et déplacements"/>
    <s v="NDF"/>
    <n v="40.909999999999997"/>
    <d v="2025-10-21T00:00:00"/>
    <s v="MÉTRO, BUS - METRO"/>
    <m/>
    <e v="#N/A"/>
    <e v="#N/A"/>
    <n v="88896"/>
    <s v="25000287"/>
    <s v="Jérémie Blache"/>
    <s v="Q4"/>
    <e v="#REF!"/>
    <e v="#REF!"/>
    <e v="#REF!"/>
  </r>
  <r>
    <s v="625100"/>
    <x v="6"/>
    <s v="Voyages et déplacements"/>
    <s v="NDF"/>
    <n v="40.909999999999997"/>
    <d v="2025-12-15T00:00:00"/>
    <s v="MÉTRO, BUS - METRO PARIS"/>
    <m/>
    <e v="#N/A"/>
    <e v="#N/A"/>
    <n v="93251"/>
    <s v="25000327"/>
    <s v="Jérémie Blache"/>
    <s v="Q4"/>
    <e v="#REF!"/>
    <e v="#REF!"/>
    <e v="#REF!"/>
  </r>
  <r>
    <s v="625100"/>
    <x v="6"/>
    <s v="Voyages et déplacements"/>
    <s v="NDF"/>
    <n v="40.96"/>
    <d v="2025-01-30T00:00:00"/>
    <s v="NDF"/>
    <m/>
    <e v="#N/A"/>
    <e v="#N/A"/>
    <n v="75440"/>
    <s v="25000027"/>
    <s v="Tatiana Ghanem"/>
    <s v="Q1"/>
    <e v="#REF!"/>
    <e v="#REF!"/>
    <e v="#REF!"/>
  </r>
  <r>
    <s v="625100"/>
    <x v="6"/>
    <s v="Voyages et déplacements"/>
    <s v="NDF"/>
    <n v="41.45"/>
    <d v="2025-11-24T00:00:00"/>
    <s v="FRAIS KILOMÉTRIQUES - VIENNE LYON (FRANCE CHIMIE)"/>
    <m/>
    <e v="#N/A"/>
    <e v="#N/A"/>
    <n v="90956"/>
    <s v="25000265"/>
    <s v="Marie Rézeau"/>
    <s v="Q4"/>
    <e v="#REF!"/>
    <e v="#REF!"/>
    <e v="#REF!"/>
  </r>
  <r>
    <s v="625100"/>
    <x v="6"/>
    <s v="Voyages et déplacements"/>
    <s v="NDF"/>
    <n v="41.63"/>
    <d v="2025-11-24T00:00:00"/>
    <s v="RESTAURANT MIDI - DÉJEUNER TOULOUSE"/>
    <m/>
    <e v="#N/A"/>
    <e v="#N/A"/>
    <n v="90928"/>
    <s v="25000288"/>
    <s v="Guillaume Boissonnat-Wu"/>
    <s v="Q4"/>
    <e v="#REF!"/>
    <e v="#REF!"/>
    <e v="#REF!"/>
  </r>
  <r>
    <s v="625100"/>
    <x v="6"/>
    <s v="Voyages et déplacements"/>
    <s v="NDF"/>
    <n v="41.65"/>
    <d v="2025-07-29T00:00:00"/>
    <s v="RESTAURANT MIDI - DÉPLACEMENT TOULOUSE-PARIS CHIMIE ANALYTIQUE"/>
    <m/>
    <e v="#N/A"/>
    <e v="#N/A"/>
    <n v="88721"/>
    <s v="25000204"/>
    <s v="Océane Chabret"/>
    <s v="Q3"/>
    <e v="#REF!"/>
    <e v="#REF!"/>
    <e v="#REF!"/>
  </r>
  <r>
    <s v="625100"/>
    <x v="6"/>
    <s v="Voyages et déplacements"/>
    <s v="NDF"/>
    <n v="41.91"/>
    <d v="2025-01-30T00:00:00"/>
    <s v="NOTE DE FRAIS"/>
    <m/>
    <e v="#N/A"/>
    <e v="#N/A"/>
    <n v="74272"/>
    <s v="25000026"/>
    <s v="Tatiana Ghanem"/>
    <s v="Q1"/>
    <e v="#REF!"/>
    <e v="#REF!"/>
    <e v="#REF!"/>
  </r>
  <r>
    <s v="625100"/>
    <x v="6"/>
    <s v="Voyages et déplacements"/>
    <s v="NDF"/>
    <n v="42"/>
    <d v="2025-11-24T00:00:00"/>
    <s v="RESTAURANT SOIR - REPAS X2 VIDEO CORPO"/>
    <m/>
    <e v="#N/A"/>
    <e v="#N/A"/>
    <n v="90866"/>
    <s v="25000300"/>
    <s v="Jérémie Blache"/>
    <s v="Q4"/>
    <e v="#REF!"/>
    <e v="#REF!"/>
    <e v="#REF!"/>
  </r>
  <r>
    <s v="625100"/>
    <x v="6"/>
    <s v="Voyages et déplacements"/>
    <s v="NDF"/>
    <n v="42.4"/>
    <d v="2025-10-08T00:00:00"/>
    <s v="RESTAURANT SOIR - RESTAURANT POUR 2"/>
    <m/>
    <e v="#N/A"/>
    <e v="#N/A"/>
    <n v="89031"/>
    <s v="25000256"/>
    <s v="Benjamin Barry"/>
    <s v="Q4"/>
    <e v="#REF!"/>
    <e v="#REF!"/>
    <e v="#REF!"/>
  </r>
  <r>
    <s v="625100"/>
    <x v="6"/>
    <s v="Voyages et déplacements"/>
    <s v="NDF"/>
    <n v="42.5"/>
    <d v="2025-10-06T00:00:00"/>
    <s v="RESTAURANT SOIR - RESTAURANT POUR 2"/>
    <m/>
    <e v="#N/A"/>
    <e v="#N/A"/>
    <n v="89049"/>
    <s v="25000256"/>
    <s v="Benjamin Barry"/>
    <s v="Q4"/>
    <e v="#REF!"/>
    <e v="#REF!"/>
    <e v="#REF!"/>
  </r>
  <r>
    <s v="625100"/>
    <x v="6"/>
    <s v="Voyages et déplacements"/>
    <s v="NDF"/>
    <n v="42.6"/>
    <d v="2025-11-24T00:00:00"/>
    <s v="TAXI - TAXI VILLEJUIF GARE DU NORD 5H30"/>
    <m/>
    <e v="#N/A"/>
    <e v="#N/A"/>
    <n v="90938"/>
    <s v="25000284"/>
    <s v="Pierre-Yves Bolle"/>
    <s v="Q4"/>
    <e v="#REF!"/>
    <e v="#REF!"/>
    <e v="#REF!"/>
  </r>
  <r>
    <s v="625100"/>
    <x v="6"/>
    <s v="Voyages et déplacements"/>
    <s v="NDF"/>
    <n v="42.65"/>
    <d v="2025-07-08T00:00:00"/>
    <s v="FRAIS KILOMÉTRIQUES - AR VIENNE LYON POUR TRAIN KB"/>
    <m/>
    <e v="#N/A"/>
    <e v="#N/A"/>
    <n v="88767"/>
    <s v="25000200"/>
    <s v="Anne-Sophie Goutierre"/>
    <s v="Q3"/>
    <e v="#REF!"/>
    <e v="#REF!"/>
    <e v="#REF!"/>
  </r>
  <r>
    <s v="625100"/>
    <x v="6"/>
    <s v="Voyages et déplacements"/>
    <s v="NDF"/>
    <n v="42.65"/>
    <d v="2025-07-24T00:00:00"/>
    <s v="CARBURANT (GAZOLE) - ESSENCE + REPAS"/>
    <m/>
    <e v="#N/A"/>
    <e v="#N/A"/>
    <n v="88734"/>
    <s v="25000196"/>
    <s v="Benjamin Barry"/>
    <s v="Q3"/>
    <e v="#REF!"/>
    <e v="#REF!"/>
    <e v="#REF!"/>
  </r>
  <r>
    <s v="625100"/>
    <x v="6"/>
    <s v="Voyages et déplacements"/>
    <s v="NDF"/>
    <n v="42.71"/>
    <d v="2025-04-23T00:00:00"/>
    <s v="NOTE DE FRAIS"/>
    <m/>
    <e v="#N/A"/>
    <e v="#N/A"/>
    <n v="74358"/>
    <s v="25000123"/>
    <s v="Jérémie Blache"/>
    <s v="Q2"/>
    <e v="#REF!"/>
    <e v="#REF!"/>
    <e v="#REF!"/>
  </r>
  <r>
    <s v="625100"/>
    <x v="6"/>
    <s v="Voyages et déplacements"/>
    <s v="NDF"/>
    <n v="43.2"/>
    <d v="2025-07-22T00:00:00"/>
    <s v="RESTAURANT SOIR - REPAS POUR DEUX PERSONNES"/>
    <m/>
    <e v="#N/A"/>
    <e v="#N/A"/>
    <n v="88738"/>
    <s v="25000196"/>
    <s v="Benjamin Barry"/>
    <s v="Q3"/>
    <e v="#REF!"/>
    <e v="#REF!"/>
    <e v="#REF!"/>
  </r>
  <r>
    <s v="625100"/>
    <x v="6"/>
    <s v="Voyages et déplacements"/>
    <s v="NDF"/>
    <n v="43.34"/>
    <d v="2025-11-24T00:00:00"/>
    <s v="CARBURANT (GAZOLE) - ESSENCE TOULOUSE"/>
    <m/>
    <e v="#N/A"/>
    <e v="#N/A"/>
    <n v="90834"/>
    <s v="25000296"/>
    <s v="Jérémie Blache"/>
    <s v="Q4"/>
    <e v="#REF!"/>
    <e v="#REF!"/>
    <e v="#REF!"/>
  </r>
  <r>
    <s v="625100"/>
    <x v="6"/>
    <s v="Voyages et déplacements"/>
    <s v="NDF"/>
    <n v="43.6"/>
    <d v="2025-01-01T00:00:00"/>
    <s v="NDF"/>
    <m/>
    <e v="#N/A"/>
    <e v="#N/A"/>
    <n v="75648"/>
    <s v="24000393"/>
    <s v="Kevin Cottet"/>
    <s v="Q1"/>
    <e v="#REF!"/>
    <e v="#REF!"/>
    <e v="#REF!"/>
  </r>
  <r>
    <s v="625100"/>
    <x v="6"/>
    <s v="Voyages et déplacements"/>
    <s v="NDF"/>
    <n v="43.9"/>
    <d v="2025-04-03T00:00:00"/>
    <s v="TRAIN - ROU - BELLEGADE"/>
    <m/>
    <e v="#N/A"/>
    <e v="#N/A"/>
    <n v="95952"/>
    <s v="25000339"/>
    <s v="Alain Pinchard"/>
    <s v="Q2"/>
    <e v="#REF!"/>
    <e v="#REF!"/>
    <e v="#REF!"/>
  </r>
  <r>
    <s v="625100"/>
    <x v="6"/>
    <s v="Voyages et déplacements"/>
    <s v="NDF"/>
    <n v="44.14"/>
    <d v="2025-08-22T00:00:00"/>
    <s v="DIVERS - ACCESSOIRES BUREAU LYON"/>
    <m/>
    <e v="#N/A"/>
    <e v="#N/A"/>
    <n v="88083"/>
    <s v="25000211"/>
    <s v="Julie Lacondemine"/>
    <s v="Q3"/>
    <e v="#REF!"/>
    <e v="#REF!"/>
    <e v="#REF!"/>
  </r>
  <r>
    <s v="625100"/>
    <x v="6"/>
    <s v="Voyages et déplacements"/>
    <s v="NDF"/>
    <n v="44.34"/>
    <d v="2025-04-01T00:00:00"/>
    <s v="NOTE DE FRAIS"/>
    <m/>
    <e v="#N/A"/>
    <e v="#N/A"/>
    <n v="74294"/>
    <s v="25000121"/>
    <s v="Jérémie Blache"/>
    <s v="Q2"/>
    <e v="#REF!"/>
    <e v="#REF!"/>
    <e v="#REF!"/>
  </r>
  <r>
    <s v="625100"/>
    <x v="6"/>
    <s v="Voyages et déplacements"/>
    <s v="NDF"/>
    <n v="44.42"/>
    <d v="2025-12-17T00:00:00"/>
    <s v="PÉAGE - PÉAGE ALLER"/>
    <m/>
    <e v="#N/A"/>
    <e v="#N/A"/>
    <n v="95797"/>
    <s v="25000333"/>
    <s v="Clément Perrocheau"/>
    <s v="Q4"/>
    <e v="#REF!"/>
    <e v="#REF!"/>
    <e v="#REF!"/>
  </r>
  <r>
    <s v="625100"/>
    <x v="6"/>
    <s v="Voyages et déplacements"/>
    <s v="NDF"/>
    <n v="44.42"/>
    <d v="2025-12-17T00:00:00"/>
    <s v="PÉAGE - PÉAGE RETOUR"/>
    <m/>
    <e v="#N/A"/>
    <e v="#N/A"/>
    <n v="95793"/>
    <s v="25000333"/>
    <s v="Clément Perrocheau"/>
    <s v="Q4"/>
    <e v="#REF!"/>
    <e v="#REF!"/>
    <e v="#REF!"/>
  </r>
  <r>
    <s v="625100"/>
    <x v="6"/>
    <s v="Voyages et déplacements"/>
    <s v="NDF"/>
    <n v="44.8"/>
    <d v="2025-06-27T00:00:00"/>
    <s v="TAXI - TRANSPORT RETOUR EXPO GAM PASTEUR VERS KB"/>
    <m/>
    <e v="#N/A"/>
    <e v="#N/A"/>
    <n v="88784"/>
    <s v="25000190"/>
    <s v="Marie-Sarah Adenis"/>
    <s v="Q2"/>
    <e v="#REF!"/>
    <e v="#REF!"/>
    <e v="#REF!"/>
  </r>
  <r>
    <s v="625100"/>
    <x v="6"/>
    <s v="Voyages et déplacements"/>
    <s v="NDF"/>
    <n v="45.2"/>
    <d v="2025-07-23T00:00:00"/>
    <s v="RESTAURANT SOIR - RESTAURANT 2 PERSONNES"/>
    <m/>
    <e v="#N/A"/>
    <e v="#N/A"/>
    <n v="88742"/>
    <s v="25000196"/>
    <s v="Benjamin Barry"/>
    <s v="Q3"/>
    <e v="#REF!"/>
    <e v="#REF!"/>
    <e v="#REF!"/>
  </r>
  <r>
    <s v="625100"/>
    <x v="6"/>
    <s v="Voyages et déplacements"/>
    <s v="NDF"/>
    <n v="45.45"/>
    <d v="2025-01-28T00:00:00"/>
    <s v="NOTE DE FRAIS"/>
    <m/>
    <e v="#N/A"/>
    <e v="#N/A"/>
    <n v="73644"/>
    <s v="25000020"/>
    <s v="Jérémie Blache"/>
    <s v="Q1"/>
    <e v="#REF!"/>
    <e v="#REF!"/>
    <e v="#REF!"/>
  </r>
  <r>
    <s v="625100"/>
    <x v="6"/>
    <s v="Voyages et déplacements"/>
    <s v="NDF"/>
    <n v="45.45"/>
    <d v="2025-03-03T00:00:00"/>
    <s v="NOTE DE FRAIS"/>
    <m/>
    <e v="#N/A"/>
    <e v="#N/A"/>
    <n v="73712"/>
    <s v="25000056"/>
    <s v="Jérémie Blache"/>
    <s v="Q1"/>
    <e v="#REF!"/>
    <e v="#REF!"/>
    <e v="#REF!"/>
  </r>
  <r>
    <s v="625100"/>
    <x v="6"/>
    <s v="Voyages et déplacements"/>
    <s v="NDF"/>
    <n v="45.45"/>
    <d v="2025-03-21T00:00:00"/>
    <s v="NOTE DE FRAIS"/>
    <m/>
    <e v="#N/A"/>
    <e v="#N/A"/>
    <n v="73730"/>
    <s v="25000080"/>
    <s v="Jérémie Blache"/>
    <s v="Q1"/>
    <e v="#REF!"/>
    <e v="#REF!"/>
    <e v="#REF!"/>
  </r>
  <r>
    <s v="625100"/>
    <x v="6"/>
    <s v="Voyages et déplacements"/>
    <s v="NDF"/>
    <n v="45.49"/>
    <d v="2025-02-10T00:00:00"/>
    <s v="NDF"/>
    <m/>
    <e v="#N/A"/>
    <e v="#N/A"/>
    <n v="75722"/>
    <s v="25000044"/>
    <s v="Audrey Baylac"/>
    <s v="Q1"/>
    <e v="#REF!"/>
    <e v="#REF!"/>
    <e v="#REF!"/>
  </r>
  <r>
    <s v="625100"/>
    <x v="6"/>
    <s v="Voyages et déplacements"/>
    <s v="NDF"/>
    <n v="46.18"/>
    <d v="2025-12-11T00:00:00"/>
    <s v="RESTAURANT MIDI - AVANCE DÉJEUNER  VENDREDI MIDI CLÉMENT - LIONEL - SÉPHORA"/>
    <m/>
    <e v="#N/A"/>
    <e v="#N/A"/>
    <n v="95802"/>
    <s v="25000334"/>
    <s v="Maud Sanchez"/>
    <s v="Q4"/>
    <e v="#REF!"/>
    <e v="#REF!"/>
    <e v="#REF!"/>
  </r>
  <r>
    <s v="625100"/>
    <x v="6"/>
    <s v="Voyages et déplacements"/>
    <s v="NDF"/>
    <n v="47.85"/>
    <d v="2025-03-31T00:00:00"/>
    <s v="NDF"/>
    <m/>
    <e v="#N/A"/>
    <e v="#N/A"/>
    <n v="75824"/>
    <s v="25000098"/>
    <s v="Marie de Almeida"/>
    <s v="Q1"/>
    <e v="#REF!"/>
    <e v="#REF!"/>
    <e v="#REF!"/>
  </r>
  <r>
    <s v="625100"/>
    <x v="6"/>
    <s v="Voyages et déplacements"/>
    <s v="NDF"/>
    <n v="48.3"/>
    <d v="2025-09-30T00:00:00"/>
    <s v="RESTAURANT SOIR - REPAS EA ET AP"/>
    <m/>
    <e v="#N/A"/>
    <e v="#N/A"/>
    <n v="95864"/>
    <s v="25000338"/>
    <s v="Alain Pinchard"/>
    <s v="Q3"/>
    <e v="#REF!"/>
    <e v="#REF!"/>
    <e v="#REF!"/>
  </r>
  <r>
    <s v="625100"/>
    <x v="6"/>
    <s v="Voyages et déplacements"/>
    <s v="NDF"/>
    <n v="48.53"/>
    <d v="2025-06-01T00:00:00"/>
    <s v="NDF"/>
    <m/>
    <e v="#N/A"/>
    <e v="#N/A"/>
    <n v="76548"/>
    <s v="25000166"/>
    <s v="Océane Chabret"/>
    <s v="Q2"/>
    <e v="#REF!"/>
    <e v="#REF!"/>
    <e v="#REF!"/>
  </r>
  <r>
    <s v="625100"/>
    <x v="6"/>
    <s v="Voyages et déplacements"/>
    <s v="NDF"/>
    <n v="49"/>
    <d v="2025-11-24T00:00:00"/>
    <s v="TRAIN - CARTE AVANTAGE ADULTE"/>
    <m/>
    <e v="#N/A"/>
    <e v="#N/A"/>
    <n v="90987"/>
    <s v="25000297"/>
    <s v="Marie-Sarah Adenis"/>
    <s v="Q4"/>
    <e v="#REF!"/>
    <e v="#REF!"/>
    <e v="#REF!"/>
  </r>
  <r>
    <s v="625100"/>
    <x v="6"/>
    <s v="Voyages et déplacements"/>
    <s v="NDF"/>
    <n v="49"/>
    <d v="2025-12-02T00:00:00"/>
    <s v="CARTE SNCF"/>
    <m/>
    <e v="#N/A"/>
    <e v="#N/A"/>
    <n v="93565"/>
    <s v="25000289"/>
    <s v="Pauline Rullière"/>
    <s v="Q4"/>
    <e v="#REF!"/>
    <e v="#REF!"/>
    <e v="#REF!"/>
  </r>
  <r>
    <s v="625100"/>
    <x v="6"/>
    <s v="Voyages et déplacements"/>
    <s v="NDF"/>
    <n v="49.09"/>
    <d v="2025-06-11T00:00:00"/>
    <s v="NDF"/>
    <m/>
    <e v="#N/A"/>
    <e v="#N/A"/>
    <n v="76594"/>
    <s v="25000174"/>
    <s v="Jérémie Blache"/>
    <s v="Q2"/>
    <e v="#REF!"/>
    <e v="#REF!"/>
    <e v="#REF!"/>
  </r>
  <r>
    <s v="625100"/>
    <x v="6"/>
    <s v="Voyages et déplacements"/>
    <s v="NDF"/>
    <n v="49.09"/>
    <d v="2025-11-20T00:00:00"/>
    <s v="RESTAURANT MIDI - DÉJEUNER LUCIE PAULINE"/>
    <m/>
    <e v="#N/A"/>
    <e v="#N/A"/>
    <n v="95811"/>
    <s v="25000335"/>
    <s v="Guillaume Boissonnat-Wu"/>
    <s v="Q4"/>
    <e v="#REF!"/>
    <e v="#REF!"/>
    <e v="#REF!"/>
  </r>
  <r>
    <s v="625100"/>
    <x v="6"/>
    <s v="Voyages et déplacements"/>
    <s v="NDF"/>
    <n v="49.17"/>
    <d v="2025-12-01T00:00:00"/>
    <s v="DIVERS - REMPLACEMENT CHARGEUR ORDINATEUR"/>
    <m/>
    <e v="#N/A"/>
    <e v="#N/A"/>
    <n v="95821"/>
    <s v="25000336"/>
    <s v="Guillaume Boissonnat-Wu"/>
    <s v="Q4"/>
    <e v="#REF!"/>
    <e v="#REF!"/>
    <e v="#REF!"/>
  </r>
  <r>
    <s v="625100"/>
    <x v="6"/>
    <s v="Voyages et déplacements"/>
    <s v="NDF"/>
    <n v="50"/>
    <d v="2025-07-07T00:00:00"/>
    <s v="RESTAURANT SOIR - DINER"/>
    <m/>
    <e v="#N/A"/>
    <e v="#N/A"/>
    <n v="89227"/>
    <s v="25000111"/>
    <s v="Pauline Rullière"/>
    <s v="Q3"/>
    <e v="#REF!"/>
    <e v="#REF!"/>
    <e v="#REF!"/>
  </r>
  <r>
    <s v="625100"/>
    <x v="6"/>
    <s v="Voyages et déplacements"/>
    <s v="NDF"/>
    <n v="50"/>
    <d v="2025-11-17T00:00:00"/>
    <s v="TRAIN - BILLET AVIGNON (PROJET BIOR)"/>
    <m/>
    <e v="#N/A"/>
    <e v="#N/A"/>
    <n v="93436"/>
    <s v="25000305"/>
    <s v="Marie-Sarah Adenis"/>
    <s v="Q4"/>
    <e v="#REF!"/>
    <e v="#REF!"/>
    <e v="#REF!"/>
  </r>
  <r>
    <s v="625100"/>
    <x v="6"/>
    <s v="Voyages et déplacements"/>
    <s v="NDF"/>
    <n v="50.46"/>
    <d v="2025-10-03T00:00:00"/>
    <s v="PARKING - PARKING GARE PART DIEU PENDANT CS (ANNULATION TER CAR GRÈVE)"/>
    <m/>
    <e v="#N/A"/>
    <e v="#N/A"/>
    <n v="88986"/>
    <s v="25000257"/>
    <s v="Anne-Sophie Goutierre"/>
    <s v="Q4"/>
    <e v="#REF!"/>
    <e v="#REF!"/>
    <e v="#REF!"/>
  </r>
  <r>
    <s v="625100"/>
    <x v="6"/>
    <s v="Voyages et déplacements"/>
    <s v="NDF"/>
    <n v="50.72"/>
    <d v="2025-04-14T00:00:00"/>
    <s v="NOTE DE FRAIS"/>
    <m/>
    <e v="#N/A"/>
    <e v="#N/A"/>
    <n v="74325"/>
    <s v="25000114"/>
    <s v="Océane Chabret"/>
    <s v="Q2"/>
    <e v="#REF!"/>
    <e v="#REF!"/>
    <e v="#REF!"/>
  </r>
  <r>
    <s v="625100"/>
    <x v="6"/>
    <s v="Voyages et déplacements"/>
    <s v="NDF"/>
    <n v="50.72"/>
    <d v="2025-09-04T00:00:00"/>
    <s v="CARBURANT (GAZOLE) - ESSENCE"/>
    <m/>
    <e v="#N/A"/>
    <e v="#N/A"/>
    <n v="88576"/>
    <s v="25000214"/>
    <s v="Emilie Amillastré"/>
    <s v="Q3"/>
    <e v="#REF!"/>
    <e v="#REF!"/>
    <e v="#REF!"/>
  </r>
  <r>
    <s v="625100"/>
    <x v="6"/>
    <s v="Voyages et déplacements"/>
    <s v="NDF"/>
    <n v="51"/>
    <d v="2025-01-01T00:00:00"/>
    <s v="NDF"/>
    <m/>
    <e v="#N/A"/>
    <e v="#N/A"/>
    <n v="76450"/>
    <s v="24000390"/>
    <s v="Lucie Crépin"/>
    <s v="Q1"/>
    <e v="#REF!"/>
    <e v="#REF!"/>
    <e v="#REF!"/>
  </r>
  <r>
    <s v="625100"/>
    <x v="6"/>
    <s v="Voyages et déplacements"/>
    <s v="NDF"/>
    <n v="51"/>
    <d v="2025-06-26T00:00:00"/>
    <s v="TAXI - LOCATION VOITURE DÉPLACEMENT AIX AFTPVA"/>
    <m/>
    <e v="#N/A"/>
    <e v="#N/A"/>
    <n v="88808"/>
    <s v="25000202"/>
    <s v="Pierre-Yves Bolle"/>
    <s v="Q2"/>
    <e v="#REF!"/>
    <e v="#REF!"/>
    <e v="#REF!"/>
  </r>
  <r>
    <s v="625100"/>
    <x v="6"/>
    <s v="Voyages et déplacements"/>
    <s v="NDF"/>
    <n v="51.6"/>
    <d v="2025-03-26T00:00:00"/>
    <s v="NDF"/>
    <m/>
    <e v="#N/A"/>
    <e v="#N/A"/>
    <n v="75803"/>
    <s v="25000052"/>
    <s v="Maud Sanchez"/>
    <s v="Q1"/>
    <e v="#REF!"/>
    <e v="#REF!"/>
    <e v="#REF!"/>
  </r>
  <r>
    <s v="625100"/>
    <x v="6"/>
    <s v="Voyages et déplacements"/>
    <s v="NDF"/>
    <n v="51.82"/>
    <d v="2025-02-10T00:00:00"/>
    <s v="NOTE DE FRAIS"/>
    <m/>
    <e v="#N/A"/>
    <e v="#N/A"/>
    <n v="73673"/>
    <s v="25000035"/>
    <s v="Jérémie Blache"/>
    <s v="Q1"/>
    <e v="#REF!"/>
    <e v="#REF!"/>
    <e v="#REF!"/>
  </r>
  <r>
    <s v="625100"/>
    <x v="6"/>
    <s v="Voyages et déplacements"/>
    <s v="NDF"/>
    <n v="53.04"/>
    <d v="2025-08-28T00:00:00"/>
    <s v="RESTAURANT MIDI - REPAS DIR SITE"/>
    <m/>
    <e v="#N/A"/>
    <e v="#N/A"/>
    <n v="95899"/>
    <s v="25000338"/>
    <s v="Alain Pinchard"/>
    <s v="Q3"/>
    <e v="#REF!"/>
    <e v="#REF!"/>
    <e v="#REF!"/>
  </r>
  <r>
    <s v="625100"/>
    <x v="6"/>
    <s v="Voyages et déplacements"/>
    <s v="NDF"/>
    <n v="53.17"/>
    <d v="2025-02-03T00:00:00"/>
    <s v="NOTE DE FRAIS"/>
    <m/>
    <e v="#N/A"/>
    <e v="#N/A"/>
    <n v="73654"/>
    <s v="25000028"/>
    <s v="Jérémie Blache"/>
    <s v="Q1"/>
    <e v="#REF!"/>
    <e v="#REF!"/>
    <e v="#REF!"/>
  </r>
  <r>
    <s v="625100"/>
    <x v="6"/>
    <s v="Voyages et déplacements"/>
    <s v="NDF"/>
    <n v="54"/>
    <d v="2025-11-24T00:00:00"/>
    <s v="RESTAURANT MIDI - DEJ AVEC FRÉDÉIQUE AIT TOUATI (BRAINSTORM EXPO INDIGO)"/>
    <m/>
    <e v="#N/A"/>
    <e v="#N/A"/>
    <n v="90983"/>
    <s v="25000297"/>
    <s v="Marie-Sarah Adenis"/>
    <s v="Q4"/>
    <e v="#REF!"/>
    <e v="#REF!"/>
    <e v="#REF!"/>
  </r>
  <r>
    <s v="625100"/>
    <x v="6"/>
    <s v="Voyages et déplacements"/>
    <s v="NDF"/>
    <n v="54.45"/>
    <d v="2025-02-10T00:00:00"/>
    <s v="NDF"/>
    <m/>
    <e v="#N/A"/>
    <e v="#N/A"/>
    <n v="75727"/>
    <s v="25000034"/>
    <s v="Anne-Sophie Goutierre"/>
    <s v="Q1"/>
    <e v="#REF!"/>
    <e v="#REF!"/>
    <e v="#REF!"/>
  </r>
  <r>
    <s v="625100"/>
    <x v="6"/>
    <s v="Voyages et déplacements"/>
    <s v="NDF"/>
    <n v="54.88"/>
    <d v="2025-03-31T00:00:00"/>
    <s v="NOTE DE FRAIS"/>
    <m/>
    <e v="#N/A"/>
    <e v="#N/A"/>
    <n v="74287"/>
    <s v="25000118"/>
    <s v="Jérémie Blache"/>
    <s v="Q1"/>
    <e v="#REF!"/>
    <e v="#REF!"/>
    <e v="#REF!"/>
  </r>
  <r>
    <s v="625100"/>
    <x v="6"/>
    <s v="Voyages et déplacements"/>
    <s v="NDF"/>
    <n v="55"/>
    <d v="2025-10-03T00:00:00"/>
    <s v="DIVERS - BTK - RETOUR PARIS"/>
    <m/>
    <e v="#N/A"/>
    <e v="#N/A"/>
    <n v="95876"/>
    <s v="25000338"/>
    <s v="Alain Pinchard"/>
    <s v="Q4"/>
    <e v="#REF!"/>
    <e v="#REF!"/>
    <e v="#REF!"/>
  </r>
  <r>
    <s v="625100"/>
    <x v="6"/>
    <s v="Voyages et déplacements"/>
    <s v="NDF"/>
    <n v="56"/>
    <d v="2025-04-14T00:00:00"/>
    <s v="NOTE DE FRAIS"/>
    <m/>
    <e v="#N/A"/>
    <e v="#N/A"/>
    <n v="74332"/>
    <s v="25000129"/>
    <s v="Loic masseboeuf"/>
    <s v="Q2"/>
    <e v="#REF!"/>
    <e v="#REF!"/>
    <e v="#REF!"/>
  </r>
  <r>
    <s v="625100"/>
    <x v="6"/>
    <s v="Voyages et déplacements"/>
    <s v="NDF"/>
    <n v="56.44"/>
    <d v="2025-09-19T00:00:00"/>
    <s v="CARBURANT (GAZOLE) - ESSENCE MINIBUS ROUSSILLON SÉMINAIRE"/>
    <m/>
    <e v="#N/A"/>
    <e v="#N/A"/>
    <n v="88993"/>
    <s v="25000257"/>
    <s v="Anne-Sophie Goutierre"/>
    <s v="Q3"/>
    <e v="#REF!"/>
    <e v="#REF!"/>
    <e v="#REF!"/>
  </r>
  <r>
    <s v="625100"/>
    <x v="6"/>
    <s v="Voyages et déplacements"/>
    <s v="NDF"/>
    <n v="57.06"/>
    <d v="2025-11-24T00:00:00"/>
    <s v="CARBURANT (GAZOLE) - ESSENCE TOULOUSE 1"/>
    <m/>
    <e v="#N/A"/>
    <e v="#N/A"/>
    <n v="90849"/>
    <s v="25000296"/>
    <s v="Jérémie Blache"/>
    <s v="Q4"/>
    <e v="#REF!"/>
    <e v="#REF!"/>
    <e v="#REF!"/>
  </r>
  <r>
    <s v="625100"/>
    <x v="6"/>
    <s v="Voyages et déplacements"/>
    <s v="NDF"/>
    <n v="57.91"/>
    <d v="2025-06-23T00:00:00"/>
    <s v="RESTAURANT MIDI - DEJ AVEC CYRIELLE GULACSY (BRAINSTORM EXPO INDIGO)"/>
    <m/>
    <e v="#N/A"/>
    <e v="#N/A"/>
    <n v="88757"/>
    <s v="25000191"/>
    <s v="Marie-Sarah Adenis"/>
    <s v="Q2"/>
    <e v="#REF!"/>
    <e v="#REF!"/>
    <e v="#REF!"/>
  </r>
  <r>
    <s v="625100"/>
    <x v="6"/>
    <s v="Voyages et déplacements"/>
    <s v="NDF"/>
    <n v="58"/>
    <d v="2025-11-25T00:00:00"/>
    <s v="TRAIN - TRAIN ALLER PARIS BUSINESS REVIEW COMEX 25/11"/>
    <m/>
    <e v="#N/A"/>
    <e v="#N/A"/>
    <n v="93409"/>
    <s v="25000314"/>
    <s v="Pierre-Yves Bolle"/>
    <s v="Q4"/>
    <e v="#REF!"/>
    <e v="#REF!"/>
    <e v="#REF!"/>
  </r>
  <r>
    <s v="625100"/>
    <x v="6"/>
    <s v="Voyages et déplacements"/>
    <s v="NDF"/>
    <n v="58"/>
    <d v="2025-11-25T00:00:00"/>
    <s v="TRAIN - TRAIN RETOUR PARIS BUSINESS REVIEW COMEX 25/11"/>
    <m/>
    <e v="#N/A"/>
    <e v="#N/A"/>
    <n v="93411"/>
    <s v="25000314"/>
    <s v="Pierre-Yves Bolle"/>
    <s v="Q4"/>
    <e v="#REF!"/>
    <e v="#REF!"/>
    <e v="#REF!"/>
  </r>
  <r>
    <s v="625100"/>
    <x v="6"/>
    <s v="Voyages et déplacements"/>
    <s v="NDF"/>
    <n v="59"/>
    <d v="2025-09-09T00:00:00"/>
    <s v="TRAIN - TRAIN LYON TOULOUSE"/>
    <m/>
    <e v="#N/A"/>
    <e v="#N/A"/>
    <n v="88148"/>
    <s v="25000195"/>
    <s v="Pauline Rullière"/>
    <s v="Q3"/>
    <e v="#REF!"/>
    <e v="#REF!"/>
    <e v="#REF!"/>
  </r>
  <r>
    <s v="625100"/>
    <x v="6"/>
    <s v="Voyages et déplacements"/>
    <s v="NDF"/>
    <n v="59.38"/>
    <d v="2025-05-01T00:00:00"/>
    <s v="NOTE DE FRAIS"/>
    <m/>
    <e v="#N/A"/>
    <e v="#N/A"/>
    <n v="74407"/>
    <s v="25000144"/>
    <s v="Jérémie Blache"/>
    <s v="Q2"/>
    <e v="#REF!"/>
    <e v="#REF!"/>
    <e v="#REF!"/>
  </r>
  <r>
    <s v="625100"/>
    <x v="6"/>
    <s v="Voyages et déplacements"/>
    <s v="NDF"/>
    <n v="59.73"/>
    <d v="2025-04-30T00:00:00"/>
    <s v="NOTE DE FRAIS"/>
    <m/>
    <e v="#N/A"/>
    <e v="#N/A"/>
    <n v="74389"/>
    <s v="25000149"/>
    <s v="Jérémie Blache"/>
    <s v="Q2"/>
    <e v="#REF!"/>
    <e v="#REF!"/>
    <e v="#REF!"/>
  </r>
  <r>
    <s v="625100"/>
    <x v="6"/>
    <s v="Voyages et déplacements"/>
    <s v="NDF"/>
    <n v="60.7"/>
    <d v="2025-03-31T00:00:00"/>
    <s v="NDF"/>
    <m/>
    <e v="#N/A"/>
    <e v="#N/A"/>
    <n v="75832"/>
    <s v="25000097"/>
    <s v="Bob Fernandez"/>
    <s v="Q1"/>
    <e v="#REF!"/>
    <e v="#REF!"/>
    <e v="#REF!"/>
  </r>
  <r>
    <s v="625100"/>
    <x v="6"/>
    <s v="Voyages et déplacements"/>
    <s v="NDF"/>
    <n v="61"/>
    <d v="2025-02-13T00:00:00"/>
    <s v="RESTAURANT MIDI - DÉJEUNER MIDI"/>
    <m/>
    <e v="#N/A"/>
    <e v="#N/A"/>
    <n v="95926"/>
    <s v="25000338"/>
    <s v="Alain Pinchard"/>
    <s v="Q1"/>
    <e v="#REF!"/>
    <e v="#REF!"/>
    <e v="#REF!"/>
  </r>
  <r>
    <s v="625100"/>
    <x v="6"/>
    <s v="Voyages et déplacements"/>
    <s v="NDF"/>
    <n v="61"/>
    <d v="2025-09-30T00:00:00"/>
    <s v="TAXI - TAXI : PAR - CDG - DÉPLACEMENT BTK"/>
    <m/>
    <e v="#N/A"/>
    <e v="#N/A"/>
    <n v="95904"/>
    <s v="25000338"/>
    <s v="Alain Pinchard"/>
    <s v="Q3"/>
    <e v="#REF!"/>
    <e v="#REF!"/>
    <e v="#REF!"/>
  </r>
  <r>
    <s v="625100"/>
    <x v="6"/>
    <s v="Voyages et déplacements"/>
    <s v="NDF"/>
    <n v="61.2"/>
    <d v="2025-10-01T00:00:00"/>
    <s v="RESTAURANT SOIR - REPAS EA ET AP - VISITE BTK"/>
    <m/>
    <e v="#N/A"/>
    <e v="#N/A"/>
    <n v="95874"/>
    <s v="25000338"/>
    <s v="Alain Pinchard"/>
    <s v="Q4"/>
    <e v="#REF!"/>
    <e v="#REF!"/>
    <e v="#REF!"/>
  </r>
  <r>
    <s v="625100"/>
    <x v="6"/>
    <s v="Voyages et déplacements"/>
    <s v="NDF"/>
    <n v="61.73"/>
    <d v="2025-06-16T00:00:00"/>
    <s v="RESTAURANT MIDI - DÉJEUNER BRUNO PIASTRA EXPERT PIGMENT"/>
    <m/>
    <e v="#N/A"/>
    <e v="#N/A"/>
    <n v="88814"/>
    <s v="25000202"/>
    <s v="Pierre-Yves Bolle"/>
    <s v="Q2"/>
    <e v="#REF!"/>
    <e v="#REF!"/>
    <e v="#REF!"/>
  </r>
  <r>
    <s v="625100"/>
    <x v="6"/>
    <s v="Voyages et déplacements"/>
    <s v="NDF"/>
    <n v="62.6"/>
    <d v="2025-03-14T00:00:00"/>
    <s v="NDF"/>
    <m/>
    <e v="#N/A"/>
    <e v="#N/A"/>
    <n v="75769"/>
    <s v="25000053"/>
    <s v="Maud Sanchez"/>
    <s v="Q1"/>
    <e v="#REF!"/>
    <e v="#REF!"/>
    <e v="#REF!"/>
  </r>
  <r>
    <s v="625100"/>
    <x v="6"/>
    <s v="Voyages et déplacements"/>
    <s v="NDF"/>
    <n v="62.79"/>
    <d v="2025-10-02T00:00:00"/>
    <s v="FRAIS KILOMÉTRIQUES - AR DOMICILE GARE TGV"/>
    <m/>
    <e v="#N/A"/>
    <e v="#N/A"/>
    <n v="88416"/>
    <s v="25000263"/>
    <s v="Yves Combret"/>
    <s v="Q4"/>
    <e v="#REF!"/>
    <e v="#REF!"/>
    <e v="#REF!"/>
  </r>
  <r>
    <s v="625100"/>
    <x v="6"/>
    <s v="Voyages et déplacements"/>
    <s v="NDF"/>
    <n v="62.81"/>
    <d v="2025-09-19T00:00:00"/>
    <s v="CARBURANT (GAZOLE) - ESSENCE TRAJET SÉMINAIRE"/>
    <m/>
    <e v="#N/A"/>
    <e v="#N/A"/>
    <n v="88500"/>
    <s v="25000235"/>
    <s v="Nicolas Canu"/>
    <s v="Q3"/>
    <e v="#REF!"/>
    <e v="#REF!"/>
    <e v="#REF!"/>
  </r>
  <r>
    <s v="625100"/>
    <x v="6"/>
    <s v="Voyages et déplacements"/>
    <s v="NDF"/>
    <n v="63"/>
    <d v="2025-11-03T00:00:00"/>
    <s v="RESTAURANT SOIR - DINER"/>
    <m/>
    <e v="#N/A"/>
    <e v="#N/A"/>
    <n v="93494"/>
    <s v="25000289"/>
    <s v="Pauline Rullière"/>
    <s v="Q4"/>
    <e v="#REF!"/>
    <e v="#REF!"/>
    <e v="#REF!"/>
  </r>
  <r>
    <s v="625100"/>
    <x v="6"/>
    <s v="Voyages et déplacements"/>
    <s v="NDF"/>
    <n v="63.01"/>
    <d v="2025-03-06T00:00:00"/>
    <s v="NDF"/>
    <m/>
    <e v="#N/A"/>
    <e v="#N/A"/>
    <n v="75759"/>
    <s v="25000062"/>
    <s v="Nicolas Canu"/>
    <s v="Q1"/>
    <e v="#REF!"/>
    <e v="#REF!"/>
    <e v="#REF!"/>
  </r>
  <r>
    <s v="625100"/>
    <x v="6"/>
    <s v="Voyages et déplacements"/>
    <s v="NDF"/>
    <n v="64.61"/>
    <d v="2025-11-24T00:00:00"/>
    <s v="HÔTEL - HOTEL ROUSSILLON"/>
    <m/>
    <e v="#N/A"/>
    <e v="#N/A"/>
    <n v="90913"/>
    <s v="25000279"/>
    <s v="Bob Fernandez"/>
    <s v="Q4"/>
    <e v="#REF!"/>
    <e v="#REF!"/>
    <e v="#REF!"/>
  </r>
  <r>
    <s v="625100"/>
    <x v="6"/>
    <s v="Voyages et déplacements"/>
    <s v="NDF"/>
    <n v="64.989999999999995"/>
    <d v="2025-05-12T00:00:00"/>
    <s v="NOTE DE FRAIS"/>
    <m/>
    <e v="#N/A"/>
    <e v="#N/A"/>
    <n v="74422"/>
    <s v="25000141"/>
    <s v="Jérémie Blache"/>
    <s v="Q2"/>
    <e v="#REF!"/>
    <e v="#REF!"/>
    <e v="#REF!"/>
  </r>
  <r>
    <s v="625100"/>
    <x v="6"/>
    <s v="Voyages et déplacements"/>
    <s v="NDF"/>
    <n v="65"/>
    <d v="2025-07-01T00:00:00"/>
    <s v="RESTAURANT SOIR - REPAS SOIR AVEC JÉRÉMIE"/>
    <m/>
    <e v="#N/A"/>
    <e v="#N/A"/>
    <n v="88804"/>
    <s v="25000190"/>
    <s v="Marie-Sarah Adenis"/>
    <s v="Q3"/>
    <e v="#REF!"/>
    <e v="#REF!"/>
    <e v="#REF!"/>
  </r>
  <r>
    <s v="625100"/>
    <x v="6"/>
    <s v="Voyages et déplacements"/>
    <s v="NDF"/>
    <n v="65"/>
    <d v="2025-11-13T00:00:00"/>
    <s v="RESTAURANT SOIR - DINER DÉPLACEMENT ESSAIS BERTO PADOUE"/>
    <m/>
    <e v="#N/A"/>
    <e v="#N/A"/>
    <n v="93415"/>
    <s v="25000314"/>
    <s v="Pierre-Yves Bolle"/>
    <s v="Q4"/>
    <e v="#REF!"/>
    <e v="#REF!"/>
    <e v="#REF!"/>
  </r>
  <r>
    <s v="625100"/>
    <x v="6"/>
    <s v="Voyages et déplacements"/>
    <s v="NDF"/>
    <n v="65.2"/>
    <d v="2025-10-03T00:00:00"/>
    <s v="TAXI - RETOUR BTK : CDG - PAR"/>
    <m/>
    <e v="#N/A"/>
    <e v="#N/A"/>
    <n v="95843"/>
    <s v="25000338"/>
    <s v="Alain Pinchard"/>
    <s v="Q4"/>
    <e v="#REF!"/>
    <e v="#REF!"/>
    <e v="#REF!"/>
  </r>
  <r>
    <s v="625100"/>
    <x v="6"/>
    <s v="Voyages et déplacements"/>
    <s v="NDF"/>
    <n v="65.25"/>
    <d v="2025-10-03T00:00:00"/>
    <s v="PARKING - PARKING INDIGO"/>
    <m/>
    <e v="#N/A"/>
    <e v="#N/A"/>
    <n v="88600"/>
    <s v="25000264"/>
    <s v="Gaëlle Buche"/>
    <s v="Q4"/>
    <e v="#REF!"/>
    <e v="#REF!"/>
    <e v="#REF!"/>
  </r>
  <r>
    <s v="625100"/>
    <x v="6"/>
    <s v="Voyages et déplacements"/>
    <s v="NDF"/>
    <n v="65.91"/>
    <d v="2025-10-01T00:00:00"/>
    <s v="MÉTRO, BUS - CS OCTOBRE 2025"/>
    <m/>
    <e v="#N/A"/>
    <e v="#N/A"/>
    <n v="93458"/>
    <s v="25000318"/>
    <s v="Lucie Crépin"/>
    <s v="Q4"/>
    <e v="#REF!"/>
    <e v="#REF!"/>
    <e v="#REF!"/>
  </r>
  <r>
    <s v="625100"/>
    <x v="6"/>
    <s v="Voyages et déplacements"/>
    <s v="NDF"/>
    <n v="66.36"/>
    <d v="2025-11-24T00:00:00"/>
    <s v="RESTAURANT MIDI - DÉJEUNER ENTRETIEN SIMON T"/>
    <m/>
    <e v="#N/A"/>
    <e v="#N/A"/>
    <n v="90945"/>
    <s v="25000284"/>
    <s v="Pierre-Yves Bolle"/>
    <s v="Q4"/>
    <e v="#REF!"/>
    <e v="#REF!"/>
    <e v="#REF!"/>
  </r>
  <r>
    <s v="625100"/>
    <x v="6"/>
    <s v="Voyages et déplacements"/>
    <s v="NDF"/>
    <n v="66.66"/>
    <d v="2025-01-14T00:00:00"/>
    <s v="NDF"/>
    <m/>
    <e v="#N/A"/>
    <e v="#N/A"/>
    <n v="75691"/>
    <s v="25000025"/>
    <s v="Loic masseboeuf"/>
    <s v="Q1"/>
    <e v="#REF!"/>
    <e v="#REF!"/>
    <e v="#REF!"/>
  </r>
  <r>
    <s v="625100"/>
    <x v="6"/>
    <s v="Voyages et déplacements"/>
    <s v="NDF"/>
    <n v="68.7"/>
    <d v="2025-04-01T00:00:00"/>
    <s v="NDF"/>
    <m/>
    <e v="#N/A"/>
    <e v="#N/A"/>
    <n v="76497"/>
    <s v="25000103"/>
    <s v="Loic masseboeuf"/>
    <s v="Q2"/>
    <e v="#REF!"/>
    <e v="#REF!"/>
    <e v="#REF!"/>
  </r>
  <r>
    <s v="625100"/>
    <x v="6"/>
    <s v="Voyages et déplacements"/>
    <s v="NDF"/>
    <n v="69"/>
    <d v="2025-11-24T00:00:00"/>
    <s v="TRAIN - RENCONTRE ARTISTES LILLE POUR EXPO MARSEILLE"/>
    <m/>
    <e v="#N/A"/>
    <e v="#N/A"/>
    <n v="90977"/>
    <s v="25000297"/>
    <s v="Marie-Sarah Adenis"/>
    <s v="Q4"/>
    <e v="#REF!"/>
    <e v="#REF!"/>
    <e v="#REF!"/>
  </r>
  <r>
    <s v="625100"/>
    <x v="6"/>
    <s v="Voyages et déplacements"/>
    <s v="NDF"/>
    <n v="69.3"/>
    <d v="2025-03-11T00:00:00"/>
    <s v="NOTE DE FRAIS"/>
    <m/>
    <e v="#N/A"/>
    <e v="#N/A"/>
    <n v="74279"/>
    <s v="25000107"/>
    <s v="Anne-Sophie Goutierre"/>
    <s v="Q1"/>
    <e v="#REF!"/>
    <e v="#REF!"/>
    <e v="#REF!"/>
  </r>
  <r>
    <s v="625100"/>
    <x v="6"/>
    <s v="Voyages et déplacements"/>
    <s v="NDF"/>
    <n v="71.989999999999995"/>
    <d v="2025-09-19T00:00:00"/>
    <s v="CARBURANT (GAZOLE) - ESSENCE VAN"/>
    <m/>
    <e v="#N/A"/>
    <e v="#N/A"/>
    <n v="88511"/>
    <s v="25000237"/>
    <s v="Benjamin Barry"/>
    <s v="Q3"/>
    <e v="#REF!"/>
    <e v="#REF!"/>
    <e v="#REF!"/>
  </r>
  <r>
    <s v="625100"/>
    <x v="6"/>
    <s v="Voyages et déplacements"/>
    <s v="NDF"/>
    <n v="72.98"/>
    <d v="2025-12-17T00:00:00"/>
    <s v="DIVERS - CARBURANT"/>
    <m/>
    <e v="#N/A"/>
    <e v="#N/A"/>
    <n v="95795"/>
    <s v="25000333"/>
    <s v="Clément Perrocheau"/>
    <s v="Q4"/>
    <e v="#REF!"/>
    <e v="#REF!"/>
    <e v="#REF!"/>
  </r>
  <r>
    <s v="625100"/>
    <x v="6"/>
    <s v="Voyages et déplacements"/>
    <s v="NDF"/>
    <n v="73"/>
    <d v="2025-05-01T00:00:00"/>
    <s v="NOTE DE FRAIS"/>
    <m/>
    <e v="#N/A"/>
    <e v="#N/A"/>
    <n v="74405"/>
    <s v="25000136"/>
    <s v="Jérémie Blache"/>
    <s v="Q2"/>
    <e v="#REF!"/>
    <e v="#REF!"/>
    <e v="#REF!"/>
  </r>
  <r>
    <s v="625100"/>
    <x v="6"/>
    <s v="Voyages et déplacements"/>
    <s v="NDF"/>
    <n v="73.099999999999994"/>
    <d v="2025-01-07T00:00:00"/>
    <s v="NDF"/>
    <m/>
    <e v="#N/A"/>
    <e v="#N/A"/>
    <n v="75679"/>
    <s v="3307202564"/>
    <s v="Pierre-Yves Bolle"/>
    <s v="Q1"/>
    <e v="#REF!"/>
    <e v="#REF!"/>
    <e v="#REF!"/>
  </r>
  <r>
    <s v="625100"/>
    <x v="6"/>
    <s v="Voyages et déplacements"/>
    <s v="NDF"/>
    <n v="75"/>
    <d v="2025-10-02T00:00:00"/>
    <s v="CARBURANT (GAZOLE) - RETOUR VOITURE LOCATION AVIS - BTK"/>
    <m/>
    <e v="#N/A"/>
    <e v="#N/A"/>
    <n v="95884"/>
    <s v="25000338"/>
    <s v="Alain Pinchard"/>
    <s v="Q4"/>
    <e v="#REF!"/>
    <e v="#REF!"/>
    <e v="#REF!"/>
  </r>
  <r>
    <s v="625100"/>
    <x v="6"/>
    <s v="Voyages et déplacements"/>
    <s v="NDF"/>
    <n v="75.83"/>
    <d v="2025-03-19T00:00:00"/>
    <s v="NOTE DE FRAIS"/>
    <m/>
    <e v="#N/A"/>
    <e v="#N/A"/>
    <n v="73725"/>
    <s v="25000076"/>
    <s v="Julie Lacondemine"/>
    <s v="Q1"/>
    <e v="#REF!"/>
    <e v="#REF!"/>
    <e v="#REF!"/>
  </r>
  <r>
    <s v="625100"/>
    <x v="6"/>
    <s v="Voyages et déplacements"/>
    <s v="NDF"/>
    <n v="76.09"/>
    <d v="2025-05-21T00:00:00"/>
    <s v="NDF"/>
    <m/>
    <e v="#N/A"/>
    <e v="#N/A"/>
    <n v="76523"/>
    <s v="25000155"/>
    <s v="Jérémie Blache"/>
    <s v="Q2"/>
    <e v="#REF!"/>
    <e v="#REF!"/>
    <e v="#REF!"/>
  </r>
  <r>
    <s v="625100"/>
    <x v="6"/>
    <s v="Voyages et déplacements"/>
    <s v="NDF"/>
    <n v="77.22"/>
    <d v="2025-07-02T00:00:00"/>
    <s v="HÔTEL - HOTEL ROUSSILLON"/>
    <m/>
    <e v="#N/A"/>
    <e v="#N/A"/>
    <n v="88649"/>
    <s v="25000179"/>
    <s v="Bob Fernandez"/>
    <s v="Q3"/>
    <e v="#REF!"/>
    <e v="#REF!"/>
    <e v="#REF!"/>
  </r>
  <r>
    <s v="625100"/>
    <x v="6"/>
    <s v="Voyages et déplacements"/>
    <s v="NDF"/>
    <n v="77.430000000000007"/>
    <d v="2025-11-14T00:00:00"/>
    <s v="DIVERS - LOCATION DE VOITURE SIXT - DÉPLACEMENT TRIALS BERTO"/>
    <m/>
    <e v="#N/A"/>
    <e v="#N/A"/>
    <n v="93397"/>
    <s v="25000314"/>
    <s v="Pierre-Yves Bolle"/>
    <s v="Q4"/>
    <e v="#REF!"/>
    <e v="#REF!"/>
    <e v="#REF!"/>
  </r>
  <r>
    <s v="625100"/>
    <x v="6"/>
    <s v="Voyages et déplacements"/>
    <s v="NDF"/>
    <n v="77.73"/>
    <d v="2025-11-24T00:00:00"/>
    <s v="RESTAURANT MIDI - DÉJEUNER ARNAUD GUILLERET"/>
    <m/>
    <e v="#N/A"/>
    <e v="#N/A"/>
    <n v="90934"/>
    <s v="25000288"/>
    <s v="Guillaume Boissonnat-Wu"/>
    <s v="Q4"/>
    <e v="#REF!"/>
    <e v="#REF!"/>
    <e v="#REF!"/>
  </r>
  <r>
    <s v="625100"/>
    <x v="6"/>
    <s v="Voyages et déplacements"/>
    <s v="NDF"/>
    <n v="78.36"/>
    <d v="2025-01-14T00:00:00"/>
    <s v="NDF"/>
    <m/>
    <e v="#N/A"/>
    <e v="#N/A"/>
    <n v="75692"/>
    <s v="25000025"/>
    <s v="Loic masseboeuf"/>
    <s v="Q1"/>
    <e v="#REF!"/>
    <e v="#REF!"/>
    <e v="#REF!"/>
  </r>
  <r>
    <s v="625100"/>
    <x v="6"/>
    <s v="Voyages et déplacements"/>
    <s v="NDF"/>
    <n v="79"/>
    <d v="2025-10-03T00:00:00"/>
    <s v="TRAIN - TRAIN PARIS TOULOUSE CS"/>
    <m/>
    <e v="#N/A"/>
    <e v="#N/A"/>
    <n v="88961"/>
    <s v="25000282"/>
    <s v="Nicolas Canu"/>
    <s v="Q4"/>
    <e v="#REF!"/>
    <e v="#REF!"/>
    <e v="#REF!"/>
  </r>
  <r>
    <s v="625100"/>
    <x v="6"/>
    <s v="Voyages et déplacements"/>
    <s v="NDF"/>
    <n v="79.5"/>
    <d v="2025-04-05T00:00:00"/>
    <s v="NDF"/>
    <m/>
    <e v="#N/A"/>
    <e v="#N/A"/>
    <n v="75837"/>
    <s v="25000106"/>
    <s v="Yves Combret"/>
    <s v="Q2"/>
    <e v="#REF!"/>
    <e v="#REF!"/>
    <e v="#REF!"/>
  </r>
  <r>
    <s v="625100"/>
    <x v="6"/>
    <s v="Voyages et déplacements"/>
    <s v="NDF"/>
    <n v="79.900000000000006"/>
    <d v="2025-05-05T00:00:00"/>
    <s v="DIVERS - CODIR"/>
    <m/>
    <e v="#N/A"/>
    <e v="#N/A"/>
    <n v="89175"/>
    <s v="25000111"/>
    <s v="Pauline Rullière"/>
    <s v="Q2"/>
    <e v="#REF!"/>
    <e v="#REF!"/>
    <e v="#REF!"/>
  </r>
  <r>
    <s v="625100"/>
    <x v="6"/>
    <s v="Voyages et déplacements"/>
    <s v="NDF"/>
    <n v="80"/>
    <d v="2025-01-01T00:00:00"/>
    <s v="NDF"/>
    <m/>
    <e v="#N/A"/>
    <e v="#N/A"/>
    <n v="75669"/>
    <s v="25000009"/>
    <s v="Pauline Rullière"/>
    <s v="Q1"/>
    <e v="#REF!"/>
    <e v="#REF!"/>
    <e v="#REF!"/>
  </r>
  <r>
    <s v="625100"/>
    <x v="6"/>
    <s v="Voyages et déplacements"/>
    <s v="NDF"/>
    <n v="81"/>
    <d v="2025-10-01T00:00:00"/>
    <s v="TRAIN - ALLER CS PARIS"/>
    <m/>
    <e v="#N/A"/>
    <e v="#N/A"/>
    <n v="88451"/>
    <s v="25000243"/>
    <s v="Nicolas Canu"/>
    <s v="Q4"/>
    <e v="#REF!"/>
    <e v="#REF!"/>
    <e v="#REF!"/>
  </r>
  <r>
    <s v="625100"/>
    <x v="6"/>
    <s v="Voyages et déplacements"/>
    <s v="NDF"/>
    <n v="81"/>
    <d v="2025-10-01T00:00:00"/>
    <s v="TRAIN - TRAIN ALLER CS"/>
    <m/>
    <e v="#N/A"/>
    <e v="#N/A"/>
    <n v="88152"/>
    <s v="25000195"/>
    <s v="Pauline Rullière"/>
    <s v="Q4"/>
    <e v="#REF!"/>
    <e v="#REF!"/>
    <e v="#REF!"/>
  </r>
  <r>
    <s v="625100"/>
    <x v="6"/>
    <s v="Voyages et déplacements"/>
    <s v="NDF"/>
    <n v="81.739999999999995"/>
    <d v="2025-03-14T00:00:00"/>
    <s v="NDF"/>
    <m/>
    <e v="#N/A"/>
    <e v="#N/A"/>
    <n v="75777"/>
    <s v="25000074"/>
    <s v="Benjamin Barry"/>
    <s v="Q1"/>
    <e v="#REF!"/>
    <e v="#REF!"/>
    <e v="#REF!"/>
  </r>
  <r>
    <s v="625100"/>
    <x v="6"/>
    <s v="Voyages et déplacements"/>
    <s v="NDF"/>
    <n v="82.21"/>
    <d v="2025-04-22T00:00:00"/>
    <s v="NOTE DE FRAIS"/>
    <m/>
    <e v="#N/A"/>
    <e v="#N/A"/>
    <n v="74349"/>
    <s v="25000120"/>
    <s v="Jérémie Blache"/>
    <s v="Q2"/>
    <e v="#REF!"/>
    <e v="#REF!"/>
    <e v="#REF!"/>
  </r>
  <r>
    <s v="625100"/>
    <x v="6"/>
    <s v="Voyages et déplacements"/>
    <s v="NDF"/>
    <n v="82.8"/>
    <d v="2025-10-02T00:00:00"/>
    <s v="RESTAURANT SOIR - RETOUR BTK - REPAS À VIENNE"/>
    <m/>
    <e v="#N/A"/>
    <e v="#N/A"/>
    <n v="95919"/>
    <s v="25000338"/>
    <s v="Alain Pinchard"/>
    <s v="Q4"/>
    <e v="#REF!"/>
    <e v="#REF!"/>
    <e v="#REF!"/>
  </r>
  <r>
    <s v="625100"/>
    <x v="6"/>
    <s v="Voyages et déplacements"/>
    <s v="NDF"/>
    <n v="84.5"/>
    <d v="2025-01-01T00:00:00"/>
    <s v="NDF"/>
    <m/>
    <e v="#N/A"/>
    <e v="#N/A"/>
    <n v="75673"/>
    <s v="24000394"/>
    <s v="Marie-Sarah Adenis"/>
    <s v="Q1"/>
    <e v="#REF!"/>
    <e v="#REF!"/>
    <e v="#REF!"/>
  </r>
  <r>
    <s v="625100"/>
    <x v="6"/>
    <s v="Voyages et déplacements"/>
    <s v="NDF"/>
    <n v="85.58"/>
    <d v="2025-06-10T00:00:00"/>
    <s v="NDF"/>
    <m/>
    <e v="#N/A"/>
    <e v="#N/A"/>
    <n v="76576"/>
    <s v="25000172"/>
    <s v="Marine Bonnaud"/>
    <s v="Q2"/>
    <e v="#REF!"/>
    <e v="#REF!"/>
    <e v="#REF!"/>
  </r>
  <r>
    <s v="625100"/>
    <x v="6"/>
    <s v="Voyages et déplacements"/>
    <s v="NDF"/>
    <n v="85.7"/>
    <d v="2025-03-25T00:00:00"/>
    <s v="NDF"/>
    <m/>
    <e v="#N/A"/>
    <e v="#N/A"/>
    <n v="75792"/>
    <s v="25000108"/>
    <s v="Mylène Menanteau"/>
    <s v="Q1"/>
    <e v="#REF!"/>
    <e v="#REF!"/>
    <e v="#REF!"/>
  </r>
  <r>
    <s v="625100"/>
    <x v="6"/>
    <s v="Voyages et déplacements"/>
    <s v="NDF"/>
    <n v="86"/>
    <d v="2025-09-09T00:00:00"/>
    <s v="TRAIN - TRAIN PARIS-LYON"/>
    <m/>
    <e v="#N/A"/>
    <e v="#N/A"/>
    <n v="88150"/>
    <s v="25000195"/>
    <s v="Pauline Rullière"/>
    <s v="Q3"/>
    <e v="#REF!"/>
    <e v="#REF!"/>
    <e v="#REF!"/>
  </r>
  <r>
    <s v="625100"/>
    <x v="6"/>
    <s v="Voyages et déplacements"/>
    <s v="NDF"/>
    <n v="87.35"/>
    <d v="2025-09-22T00:00:00"/>
    <s v="DIVERS - HOTEL VIENNE"/>
    <m/>
    <e v="#N/A"/>
    <e v="#N/A"/>
    <n v="88462"/>
    <s v="25000253"/>
    <s v="Bob Fernandez"/>
    <s v="Q3"/>
    <e v="#REF!"/>
    <e v="#REF!"/>
    <e v="#REF!"/>
  </r>
  <r>
    <s v="625100"/>
    <x v="6"/>
    <s v="Voyages et déplacements"/>
    <s v="NDF"/>
    <n v="87.45"/>
    <d v="2025-11-20T00:00:00"/>
    <s v="FRAIS KILOMÉTRIQUES - JOURNÉE AXELERA"/>
    <m/>
    <e v="#N/A"/>
    <e v="#N/A"/>
    <n v="93367"/>
    <s v="25000315"/>
    <s v="Kevin Cottet"/>
    <s v="Q4"/>
    <e v="#REF!"/>
    <e v="#REF!"/>
    <e v="#REF!"/>
  </r>
  <r>
    <s v="625100"/>
    <x v="6"/>
    <s v="Voyages et déplacements"/>
    <s v="NDF"/>
    <n v="88"/>
    <d v="2025-02-11T00:00:00"/>
    <s v="TRAIN - A/R ROUSSILLON - RÉUNION SITE"/>
    <m/>
    <e v="#N/A"/>
    <e v="#N/A"/>
    <n v="95766"/>
    <s v="25000042"/>
    <s v="Alain Pinchard"/>
    <s v="Q1"/>
    <e v="#REF!"/>
    <e v="#REF!"/>
    <e v="#REF!"/>
  </r>
  <r>
    <s v="625100"/>
    <x v="6"/>
    <s v="Voyages et déplacements"/>
    <s v="NDF"/>
    <n v="88"/>
    <d v="2025-05-23T00:00:00"/>
    <s v="TRAIN - LYO VERS PAR"/>
    <m/>
    <e v="#N/A"/>
    <e v="#N/A"/>
    <n v="95962"/>
    <s v="25000339"/>
    <s v="Alain Pinchard"/>
    <s v="Q2"/>
    <e v="#REF!"/>
    <e v="#REF!"/>
    <e v="#REF!"/>
  </r>
  <r>
    <s v="625100"/>
    <x v="6"/>
    <s v="Voyages et déplacements"/>
    <s v="NDF"/>
    <n v="88"/>
    <d v="2025-06-12T00:00:00"/>
    <s v="TRAIN - RETOUR LYO - PARIS"/>
    <m/>
    <e v="#N/A"/>
    <e v="#N/A"/>
    <n v="95892"/>
    <s v="25000338"/>
    <s v="Alain Pinchard"/>
    <s v="Q2"/>
    <e v="#REF!"/>
    <e v="#REF!"/>
    <e v="#REF!"/>
  </r>
  <r>
    <s v="625100"/>
    <x v="6"/>
    <s v="Voyages et déplacements"/>
    <s v="NDF"/>
    <n v="88"/>
    <d v="2025-06-19T00:00:00"/>
    <s v="TRAIN - SNCF - AP - LYO VERS PAR"/>
    <m/>
    <e v="#N/A"/>
    <e v="#N/A"/>
    <n v="95928"/>
    <s v="25000338"/>
    <s v="Alain Pinchard"/>
    <s v="Q2"/>
    <e v="#REF!"/>
    <e v="#REF!"/>
    <e v="#REF!"/>
  </r>
  <r>
    <s v="625100"/>
    <x v="6"/>
    <s v="Voyages et déplacements"/>
    <s v="NDF"/>
    <n v="88"/>
    <d v="2025-06-20T00:00:00"/>
    <s v="TRAIN - SNCF - AP - LYO VERS PAR - AG FRANCE CHIMIE AURA"/>
    <m/>
    <e v="#N/A"/>
    <e v="#N/A"/>
    <n v="95913"/>
    <s v="25000338"/>
    <s v="Alain Pinchard"/>
    <s v="Q2"/>
    <e v="#REF!"/>
    <e v="#REF!"/>
    <e v="#REF!"/>
  </r>
  <r>
    <s v="625100"/>
    <x v="6"/>
    <s v="Voyages et déplacements"/>
    <s v="NDF"/>
    <n v="88"/>
    <d v="2025-06-20T00:00:00"/>
    <s v="TRAIN - SNCF - AP - PAR VERS LYO - AG AURA"/>
    <m/>
    <e v="#N/A"/>
    <e v="#N/A"/>
    <n v="95915"/>
    <s v="25000338"/>
    <s v="Alain Pinchard"/>
    <s v="Q2"/>
    <e v="#REF!"/>
    <e v="#REF!"/>
    <e v="#REF!"/>
  </r>
  <r>
    <s v="625100"/>
    <x v="6"/>
    <s v="Voyages et déplacements"/>
    <s v="NDF"/>
    <n v="88"/>
    <d v="2025-07-03T00:00:00"/>
    <s v="TRAIN - SNCF - AP - LYO - PAR"/>
    <m/>
    <e v="#N/A"/>
    <e v="#N/A"/>
    <n v="95868"/>
    <s v="25000338"/>
    <s v="Alain Pinchard"/>
    <s v="Q3"/>
    <e v="#REF!"/>
    <e v="#REF!"/>
    <e v="#REF!"/>
  </r>
  <r>
    <s v="625100"/>
    <x v="6"/>
    <s v="Voyages et déplacements"/>
    <s v="NDF"/>
    <n v="88"/>
    <d v="2025-07-03T00:00:00"/>
    <s v="TRAIN - SNCF - AP - PAR - LYO"/>
    <m/>
    <e v="#N/A"/>
    <e v="#N/A"/>
    <n v="95911"/>
    <s v="25000338"/>
    <s v="Alain Pinchard"/>
    <s v="Q3"/>
    <e v="#REF!"/>
    <e v="#REF!"/>
    <e v="#REF!"/>
  </r>
  <r>
    <s v="625100"/>
    <x v="6"/>
    <s v="Voyages et déplacements"/>
    <s v="NDF"/>
    <n v="89.38"/>
    <d v="2025-04-30T00:00:00"/>
    <s v="NOTE DE FRAIS"/>
    <m/>
    <e v="#N/A"/>
    <e v="#N/A"/>
    <n v="74393"/>
    <s v="25000135"/>
    <s v="Jérémie Blache"/>
    <s v="Q2"/>
    <e v="#REF!"/>
    <e v="#REF!"/>
    <e v="#REF!"/>
  </r>
  <r>
    <s v="625100"/>
    <x v="6"/>
    <s v="Voyages et déplacements"/>
    <s v="NDF"/>
    <n v="90.92"/>
    <d v="2025-03-28T00:00:00"/>
    <s v="NOTE DE FRAIS"/>
    <m/>
    <e v="#N/A"/>
    <e v="#N/A"/>
    <n v="74220"/>
    <s v="25000088"/>
    <s v="Gaëlle Buche"/>
    <s v="Q1"/>
    <e v="#REF!"/>
    <e v="#REF!"/>
    <e v="#REF!"/>
  </r>
  <r>
    <s v="625100"/>
    <x v="6"/>
    <s v="Voyages et déplacements"/>
    <s v="NDF"/>
    <n v="93"/>
    <d v="2025-09-09T00:00:00"/>
    <s v="TRAIN - MODIF TRAIN POUR ANDRÉZIEUX"/>
    <m/>
    <e v="#N/A"/>
    <e v="#N/A"/>
    <n v="88142"/>
    <s v="25000195"/>
    <s v="Pauline Rullière"/>
    <s v="Q3"/>
    <e v="#REF!"/>
    <e v="#REF!"/>
    <e v="#REF!"/>
  </r>
  <r>
    <s v="625100"/>
    <x v="6"/>
    <s v="Voyages et déplacements"/>
    <s v="NDF"/>
    <n v="93.25"/>
    <d v="2025-07-08T00:00:00"/>
    <s v="HÔTEL - HOTEL"/>
    <m/>
    <e v="#N/A"/>
    <e v="#N/A"/>
    <n v="89233"/>
    <s v="25000111"/>
    <s v="Pauline Rullière"/>
    <s v="Q3"/>
    <e v="#REF!"/>
    <e v="#REF!"/>
    <e v="#REF!"/>
  </r>
  <r>
    <s v="625100"/>
    <x v="6"/>
    <s v="Voyages et déplacements"/>
    <s v="NDF"/>
    <n v="93.81"/>
    <d v="2025-02-01T00:00:00"/>
    <s v="NDF"/>
    <m/>
    <e v="#N/A"/>
    <e v="#N/A"/>
    <n v="76461"/>
    <s v="25000084"/>
    <s v="Yves Combret"/>
    <s v="Q1"/>
    <e v="#REF!"/>
    <e v="#REF!"/>
    <e v="#REF!"/>
  </r>
  <r>
    <s v="625100"/>
    <x v="6"/>
    <s v="Voyages et déplacements"/>
    <s v="NDF"/>
    <n v="93.98"/>
    <d v="2025-10-02T00:00:00"/>
    <s v="RESTAURANT MIDI - REPAS CS 02/10/25"/>
    <m/>
    <e v="#N/A"/>
    <e v="#N/A"/>
    <n v="88401"/>
    <s v="25000262"/>
    <s v="Benjamin Gil"/>
    <s v="Q4"/>
    <e v="#REF!"/>
    <e v="#REF!"/>
    <e v="#REF!"/>
  </r>
  <r>
    <s v="625100"/>
    <x v="6"/>
    <s v="Voyages et déplacements"/>
    <s v="NDF"/>
    <n v="94.3"/>
    <d v="2025-02-06T00:00:00"/>
    <s v="NDF"/>
    <m/>
    <e v="#N/A"/>
    <e v="#N/A"/>
    <n v="75713"/>
    <s v="25000037"/>
    <s v="Emilie Amillastré"/>
    <s v="Q1"/>
    <e v="#REF!"/>
    <e v="#REF!"/>
    <e v="#REF!"/>
  </r>
  <r>
    <s v="625100"/>
    <x v="6"/>
    <s v="Voyages et déplacements"/>
    <s v="NDF"/>
    <n v="94.36"/>
    <d v="2025-07-17T00:00:00"/>
    <s v="AVION - AVION BUDAPEST PARIS"/>
    <m/>
    <e v="#N/A"/>
    <e v="#N/A"/>
    <n v="88873"/>
    <s v="25000194"/>
    <s v="Marie Rézeau"/>
    <s v="Q3"/>
    <e v="#REF!"/>
    <e v="#REF!"/>
    <e v="#REF!"/>
  </r>
  <r>
    <s v="625100"/>
    <x v="6"/>
    <s v="Voyages et déplacements"/>
    <s v="NDF"/>
    <n v="94.8"/>
    <d v="2025-04-29T00:00:00"/>
    <s v="NOTE DE FRAIS"/>
    <m/>
    <e v="#N/A"/>
    <e v="#N/A"/>
    <n v="74373"/>
    <s v="24000395"/>
    <s v="Marie-Sarah Adenis"/>
    <s v="Q2"/>
    <e v="#REF!"/>
    <e v="#REF!"/>
    <e v="#REF!"/>
  </r>
  <r>
    <s v="625100"/>
    <x v="6"/>
    <s v="Voyages et déplacements"/>
    <s v="NDF"/>
    <n v="94.95"/>
    <d v="2025-05-14T00:00:00"/>
    <s v="NDF"/>
    <m/>
    <e v="#N/A"/>
    <e v="#N/A"/>
    <n v="76513"/>
    <s v="25000145"/>
    <s v="Thibault Dejardin"/>
    <s v="Q2"/>
    <e v="#REF!"/>
    <e v="#REF!"/>
    <e v="#REF!"/>
  </r>
  <r>
    <s v="625100"/>
    <x v="6"/>
    <s v="Voyages et déplacements"/>
    <s v="NDF"/>
    <n v="96"/>
    <d v="2025-11-18T00:00:00"/>
    <s v="TRAIN - TRAIN RATÉ, NOUVEAU BILLET"/>
    <m/>
    <e v="#N/A"/>
    <e v="#N/A"/>
    <n v="93445"/>
    <s v="25000305"/>
    <s v="Marie-Sarah Adenis"/>
    <s v="Q4"/>
    <e v="#REF!"/>
    <e v="#REF!"/>
    <e v="#REF!"/>
  </r>
  <r>
    <s v="625100"/>
    <x v="6"/>
    <s v="Voyages et déplacements"/>
    <s v="NDF"/>
    <n v="97.64"/>
    <d v="2025-03-07T00:00:00"/>
    <s v="NDF"/>
    <m/>
    <e v="#N/A"/>
    <e v="#N/A"/>
    <n v="76486"/>
    <s v="25000068"/>
    <s v="Jérémie Blache"/>
    <s v="Q1"/>
    <e v="#REF!"/>
    <e v="#REF!"/>
    <e v="#REF!"/>
  </r>
  <r>
    <s v="625100"/>
    <x v="6"/>
    <s v="Voyages et déplacements"/>
    <s v="NDF"/>
    <n v="99.3"/>
    <d v="2025-04-30T00:00:00"/>
    <s v="NOTE DE FRAIS"/>
    <m/>
    <e v="#N/A"/>
    <e v="#N/A"/>
    <n v="74402"/>
    <s v="25000119"/>
    <s v="Nicolas Canu"/>
    <s v="Q2"/>
    <e v="#REF!"/>
    <e v="#REF!"/>
    <e v="#REF!"/>
  </r>
  <r>
    <s v="625100"/>
    <x v="6"/>
    <s v="Voyages et déplacements"/>
    <s v="NDF"/>
    <n v="99.58"/>
    <d v="2025-03-12T00:00:00"/>
    <s v="NDF"/>
    <m/>
    <e v="#N/A"/>
    <e v="#N/A"/>
    <n v="75765"/>
    <s v="25000075"/>
    <s v="Marie-Sarah Adenis"/>
    <s v="Q1"/>
    <e v="#REF!"/>
    <e v="#REF!"/>
    <e v="#REF!"/>
  </r>
  <r>
    <s v="625100"/>
    <x v="6"/>
    <s v="Voyages et déplacements"/>
    <s v="NDF"/>
    <n v="100"/>
    <d v="2025-05-01T00:00:00"/>
    <s v="NOTE DE FRAIS"/>
    <m/>
    <e v="#N/A"/>
    <e v="#N/A"/>
    <n v="74409"/>
    <s v="25000143"/>
    <s v="Jérémie Blache"/>
    <s v="Q2"/>
    <e v="#REF!"/>
    <e v="#REF!"/>
    <e v="#REF!"/>
  </r>
  <r>
    <s v="625100"/>
    <x v="6"/>
    <s v="Voyages et déplacements"/>
    <s v="NDF"/>
    <n v="100.14"/>
    <d v="2025-05-13T00:00:00"/>
    <s v="HÔTEL - HOTEL AP - TOULOUSE"/>
    <m/>
    <e v="#N/A"/>
    <e v="#N/A"/>
    <n v="95866"/>
    <s v="25000338"/>
    <s v="Alain Pinchard"/>
    <s v="Q2"/>
    <e v="#REF!"/>
    <e v="#REF!"/>
    <e v="#REF!"/>
  </r>
  <r>
    <s v="625100"/>
    <x v="6"/>
    <s v="Voyages et déplacements"/>
    <s v="NDF"/>
    <n v="103"/>
    <d v="2025-10-14T00:00:00"/>
    <s v="RESTAURANT SOIR - DINER AMSTERDAM ÉQUIPE"/>
    <m/>
    <e v="#N/A"/>
    <e v="#N/A"/>
    <n v="88903"/>
    <s v="25000276"/>
    <s v="Jérémie Blache"/>
    <s v="Q4"/>
    <e v="#REF!"/>
    <e v="#REF!"/>
    <e v="#REF!"/>
  </r>
  <r>
    <s v="625100"/>
    <x v="6"/>
    <s v="Voyages et déplacements"/>
    <s v="NDF"/>
    <n v="105"/>
    <d v="2025-11-24T00:00:00"/>
    <s v="RESTAURANT MIDI - DÉJEUNER TONY JAILLOT"/>
    <m/>
    <e v="#N/A"/>
    <e v="#N/A"/>
    <n v="90923"/>
    <s v="25000288"/>
    <s v="Guillaume Boissonnat-Wu"/>
    <s v="Q4"/>
    <e v="#REF!"/>
    <e v="#REF!"/>
    <e v="#REF!"/>
  </r>
  <r>
    <s v="625100"/>
    <x v="6"/>
    <s v="Voyages et déplacements"/>
    <s v="NDF"/>
    <n v="105.1"/>
    <d v="2025-01-01T00:00:00"/>
    <s v="NDF"/>
    <m/>
    <e v="#N/A"/>
    <e v="#N/A"/>
    <n v="75661"/>
    <s v="24000362"/>
    <s v="Marie Rézeau"/>
    <s v="Q1"/>
    <e v="#REF!"/>
    <e v="#REF!"/>
    <e v="#REF!"/>
  </r>
  <r>
    <s v="625100"/>
    <x v="6"/>
    <s v="Voyages et déplacements"/>
    <s v="NDF"/>
    <n v="105.75"/>
    <d v="2025-12-16T00:00:00"/>
    <s v="HÔTEL - HOTEL PARIS"/>
    <m/>
    <e v="#N/A"/>
    <e v="#N/A"/>
    <n v="93246"/>
    <s v="25000327"/>
    <s v="Jérémie Blache"/>
    <s v="Q4"/>
    <e v="#REF!"/>
    <e v="#REF!"/>
    <e v="#REF!"/>
  </r>
  <r>
    <s v="625100"/>
    <x v="6"/>
    <s v="Voyages et déplacements"/>
    <s v="NDF"/>
    <n v="107.73"/>
    <d v="2025-02-20T00:00:00"/>
    <s v="NOTE DE FRAIS"/>
    <m/>
    <e v="#N/A"/>
    <e v="#N/A"/>
    <n v="73690"/>
    <s v="250000047"/>
    <s v="Jérémie Blache"/>
    <s v="Q1"/>
    <e v="#REF!"/>
    <e v="#REF!"/>
    <e v="#REF!"/>
  </r>
  <r>
    <s v="625100"/>
    <x v="6"/>
    <s v="Voyages et déplacements"/>
    <s v="NDF"/>
    <n v="108.32"/>
    <d v="2025-04-30T00:00:00"/>
    <s v="NOTE DE FRAIS"/>
    <m/>
    <e v="#N/A"/>
    <e v="#N/A"/>
    <n v="74387"/>
    <s v="25000146"/>
    <s v="Jérémie Blache"/>
    <s v="Q2"/>
    <e v="#REF!"/>
    <e v="#REF!"/>
    <e v="#REF!"/>
  </r>
  <r>
    <s v="625100"/>
    <x v="6"/>
    <s v="Voyages et déplacements"/>
    <s v="NDF"/>
    <n v="108.6"/>
    <d v="2025-03-05T00:00:00"/>
    <s v="NDF"/>
    <m/>
    <e v="#N/A"/>
    <e v="#N/A"/>
    <n v="75754"/>
    <s v="25000065"/>
    <s v="Guillaume Boissonnat-Wu"/>
    <s v="Q1"/>
    <e v="#REF!"/>
    <e v="#REF!"/>
    <e v="#REF!"/>
  </r>
  <r>
    <s v="625100"/>
    <x v="6"/>
    <s v="Voyages et déplacements"/>
    <s v="NDF"/>
    <n v="109.36"/>
    <d v="2025-11-25T00:00:00"/>
    <s v="RESTAURANT MIDI - DÉJEUNER ÉQUIPE DIRECTION"/>
    <m/>
    <e v="#N/A"/>
    <e v="#N/A"/>
    <n v="93353"/>
    <s v="25000303"/>
    <s v="Jérémie Blache"/>
    <s v="Q4"/>
    <e v="#REF!"/>
    <e v="#REF!"/>
    <e v="#REF!"/>
  </r>
  <r>
    <s v="625100"/>
    <x v="6"/>
    <s v="Voyages et déplacements"/>
    <s v="NDF"/>
    <n v="110.25"/>
    <d v="2025-07-25T00:00:00"/>
    <s v="DIVERS - PROLONGEMENT VOITURE DE LOCATION"/>
    <m/>
    <e v="#N/A"/>
    <e v="#N/A"/>
    <n v="88744"/>
    <s v="25000196"/>
    <s v="Benjamin Barry"/>
    <s v="Q3"/>
    <e v="#REF!"/>
    <e v="#REF!"/>
    <e v="#REF!"/>
  </r>
  <r>
    <s v="625100"/>
    <x v="6"/>
    <s v="Voyages et déplacements"/>
    <s v="NDF"/>
    <n v="110.55"/>
    <d v="2025-07-03T00:00:00"/>
    <s v="RESTAURANT MIDI - DÉJEUNER BOARD BUSINESS E PETIOT M MANACH"/>
    <m/>
    <e v="#N/A"/>
    <e v="#N/A"/>
    <n v="88823"/>
    <s v="25000202"/>
    <s v="Pierre-Yves Bolle"/>
    <s v="Q3"/>
    <e v="#REF!"/>
    <e v="#REF!"/>
    <e v="#REF!"/>
  </r>
  <r>
    <s v="625100"/>
    <x v="6"/>
    <s v="Voyages et déplacements"/>
    <s v="NDF"/>
    <n v="110.7"/>
    <d v="2025-12-11T00:00:00"/>
    <s v="PÉAGE - PÉAGES DOMICILE-VEGEXTRA AR"/>
    <m/>
    <e v="#N/A"/>
    <e v="#N/A"/>
    <n v="93300"/>
    <s v="25000332"/>
    <s v="Yves Combret"/>
    <s v="Q4"/>
    <e v="#REF!"/>
    <e v="#REF!"/>
    <e v="#REF!"/>
  </r>
  <r>
    <s v="625100"/>
    <x v="6"/>
    <s v="Voyages et déplacements"/>
    <s v="NDF"/>
    <n v="111.36"/>
    <d v="2025-11-24T00:00:00"/>
    <s v="RESTAURANT MIDI - RESTAURANT ÉQUIPE POUR L'ARRIVÉE DE SEPHORA"/>
    <m/>
    <e v="#N/A"/>
    <e v="#N/A"/>
    <n v="91004"/>
    <s v="25000199"/>
    <s v="Anne-Sophie Goutierre"/>
    <s v="Q4"/>
    <e v="#REF!"/>
    <e v="#REF!"/>
    <e v="#REF!"/>
  </r>
  <r>
    <s v="625100"/>
    <x v="6"/>
    <s v="Voyages et déplacements"/>
    <s v="NDF"/>
    <n v="113.2"/>
    <d v="2025-03-12T00:00:00"/>
    <s v="NDF"/>
    <m/>
    <e v="#N/A"/>
    <e v="#N/A"/>
    <n v="75766"/>
    <s v="25000075"/>
    <s v="Marie-Sarah Adenis"/>
    <s v="Q1"/>
    <e v="#REF!"/>
    <e v="#REF!"/>
    <e v="#REF!"/>
  </r>
  <r>
    <s v="625100"/>
    <x v="6"/>
    <s v="Voyages et déplacements"/>
    <s v="NDF"/>
    <n v="113.29"/>
    <d v="2025-11-24T00:00:00"/>
    <s v="DIVERS - ACHAT ÉCRAN BUREAU LYON"/>
    <m/>
    <e v="#N/A"/>
    <e v="#N/A"/>
    <n v="90897"/>
    <s v="25000293"/>
    <s v="Julie Lacondemine"/>
    <s v="Q4"/>
    <e v="#REF!"/>
    <e v="#REF!"/>
    <e v="#REF!"/>
  </r>
  <r>
    <s v="625100"/>
    <x v="6"/>
    <s v="Voyages et déplacements"/>
    <s v="NDF"/>
    <n v="113.7"/>
    <d v="2025-02-04T00:00:00"/>
    <s v="NDF"/>
    <m/>
    <e v="#N/A"/>
    <e v="#N/A"/>
    <n v="75705"/>
    <s v="25000070"/>
    <s v="Kevin Cottet"/>
    <s v="Q1"/>
    <e v="#REF!"/>
    <e v="#REF!"/>
    <e v="#REF!"/>
  </r>
  <r>
    <s v="625100"/>
    <x v="6"/>
    <s v="Voyages et déplacements"/>
    <s v="NDF"/>
    <n v="114.71"/>
    <d v="2025-04-30T00:00:00"/>
    <s v="NOTE DE FRAIS"/>
    <m/>
    <e v="#N/A"/>
    <e v="#N/A"/>
    <n v="74403"/>
    <s v="25000119"/>
    <s v="Nicolas Canu"/>
    <s v="Q2"/>
    <e v="#REF!"/>
    <e v="#REF!"/>
    <e v="#REF!"/>
  </r>
  <r>
    <s v="625100"/>
    <x v="6"/>
    <s v="Voyages et déplacements"/>
    <s v="NDF"/>
    <n v="115.56"/>
    <d v="2025-05-27T00:00:00"/>
    <s v="NDF"/>
    <m/>
    <e v="#N/A"/>
    <e v="#N/A"/>
    <n v="76528"/>
    <s v="25000157"/>
    <s v="Julie Lacondemine"/>
    <s v="Q2"/>
    <e v="#REF!"/>
    <e v="#REF!"/>
    <e v="#REF!"/>
  </r>
  <r>
    <s v="625100"/>
    <x v="6"/>
    <s v="Voyages et déplacements"/>
    <s v="NDF"/>
    <n v="115.8"/>
    <d v="2025-11-24T00:00:00"/>
    <s v="TRAIN - TRAIN"/>
    <m/>
    <e v="#N/A"/>
    <e v="#N/A"/>
    <n v="90901"/>
    <s v="25000294"/>
    <s v="Kevin Cottet"/>
    <s v="Q4"/>
    <e v="#REF!"/>
    <e v="#REF!"/>
    <e v="#REF!"/>
  </r>
  <r>
    <s v="625100"/>
    <x v="6"/>
    <s v="Voyages et déplacements"/>
    <s v="NDF"/>
    <n v="116.36"/>
    <d v="2025-03-17T00:00:00"/>
    <s v="NOTE DE FRAIS"/>
    <m/>
    <e v="#N/A"/>
    <e v="#N/A"/>
    <n v="73722"/>
    <s v="25000079"/>
    <s v="Jérémie Blache"/>
    <s v="Q1"/>
    <e v="#REF!"/>
    <e v="#REF!"/>
    <e v="#REF!"/>
  </r>
  <r>
    <s v="625100"/>
    <x v="6"/>
    <s v="Voyages et déplacements"/>
    <s v="NDF"/>
    <n v="117.18"/>
    <d v="2025-07-08T00:00:00"/>
    <s v="RESTAURANT MIDI - 5 CVT - GT ERP"/>
    <m/>
    <e v="#N/A"/>
    <e v="#N/A"/>
    <n v="95931"/>
    <s v="25000338"/>
    <s v="Alain Pinchard"/>
    <s v="Q3"/>
    <e v="#REF!"/>
    <e v="#REF!"/>
    <e v="#REF!"/>
  </r>
  <r>
    <s v="625100"/>
    <x v="6"/>
    <s v="Voyages et déplacements"/>
    <s v="NDF"/>
    <n v="120.05"/>
    <d v="2025-06-21T00:00:00"/>
    <s v="NDF"/>
    <m/>
    <e v="#N/A"/>
    <e v="#N/A"/>
    <n v="76750"/>
    <s v="25000177"/>
    <s v="Marie-Sarah Adenis"/>
    <s v="Q2"/>
    <e v="#REF!"/>
    <e v="#REF!"/>
    <e v="#REF!"/>
  </r>
  <r>
    <s v="625100"/>
    <x v="6"/>
    <s v="Voyages et déplacements"/>
    <s v="NDF"/>
    <n v="121.8"/>
    <d v="2025-07-08T00:00:00"/>
    <s v="TRAIN - AR LYON PARIS POUR VISITE HSE KB"/>
    <m/>
    <e v="#N/A"/>
    <e v="#N/A"/>
    <n v="88777"/>
    <s v="25000200"/>
    <s v="Anne-Sophie Goutierre"/>
    <s v="Q3"/>
    <e v="#REF!"/>
    <e v="#REF!"/>
    <e v="#REF!"/>
  </r>
  <r>
    <s v="625100"/>
    <x v="6"/>
    <s v="Voyages et déplacements"/>
    <s v="NDF"/>
    <n v="122"/>
    <d v="2025-11-24T00:00:00"/>
    <s v="TRAIN - TRAIN ALLER"/>
    <m/>
    <e v="#N/A"/>
    <e v="#N/A"/>
    <n v="90871"/>
    <s v="25000301"/>
    <s v="Maud Sanchez"/>
    <s v="Q4"/>
    <e v="#REF!"/>
    <e v="#REF!"/>
    <e v="#REF!"/>
  </r>
  <r>
    <s v="625100"/>
    <x v="6"/>
    <s v="Voyages et déplacements"/>
    <s v="NDF"/>
    <n v="123"/>
    <d v="2025-03-05T00:00:00"/>
    <s v="NDF"/>
    <m/>
    <e v="#N/A"/>
    <e v="#N/A"/>
    <n v="75755"/>
    <s v="25000065"/>
    <s v="Guillaume Boissonnat-Wu"/>
    <s v="Q1"/>
    <e v="#REF!"/>
    <e v="#REF!"/>
    <e v="#REF!"/>
  </r>
  <r>
    <s v="625100"/>
    <x v="6"/>
    <s v="Voyages et déplacements"/>
    <s v="NDF"/>
    <n v="123"/>
    <d v="2025-05-02T00:00:00"/>
    <s v="NOTE DE FRAIS"/>
    <m/>
    <e v="#N/A"/>
    <e v="#N/A"/>
    <n v="74411"/>
    <s v="25000137"/>
    <s v="Thibault Dejardin"/>
    <s v="Q2"/>
    <e v="#REF!"/>
    <e v="#REF!"/>
    <e v="#REF!"/>
  </r>
  <r>
    <s v="625100"/>
    <x v="6"/>
    <s v="Voyages et déplacements"/>
    <s v="NDF"/>
    <n v="123.6"/>
    <d v="2025-12-09T00:00:00"/>
    <s v="HÔTEL - NUIT PARIS"/>
    <m/>
    <e v="#N/A"/>
    <e v="#N/A"/>
    <n v="93291"/>
    <s v="25000316"/>
    <s v="Jérémie Blache"/>
    <s v="Q4"/>
    <e v="#REF!"/>
    <e v="#REF!"/>
    <e v="#REF!"/>
  </r>
  <r>
    <s v="625100"/>
    <x v="6"/>
    <s v="Voyages et déplacements"/>
    <s v="NDF"/>
    <n v="124"/>
    <d v="2025-12-08T00:00:00"/>
    <s v="PETIT DEJEUNER - CS OCTOBRE 2025"/>
    <m/>
    <e v="#N/A"/>
    <e v="#N/A"/>
    <n v="93312"/>
    <s v="25000317"/>
    <s v="Lucie Crépin"/>
    <s v="Q4"/>
    <e v="#REF!"/>
    <e v="#REF!"/>
    <e v="#REF!"/>
  </r>
  <r>
    <s v="625100"/>
    <x v="6"/>
    <s v="Voyages et déplacements"/>
    <s v="NDF"/>
    <n v="124.73"/>
    <d v="2025-04-22T00:00:00"/>
    <s v="25000139"/>
    <m/>
    <e v="#N/A"/>
    <e v="#N/A"/>
    <n v="74356"/>
    <s v="25000139"/>
    <s v="Emilie Amillastré"/>
    <s v="Q2"/>
    <e v="#REF!"/>
    <e v="#REF!"/>
    <e v="#REF!"/>
  </r>
  <r>
    <s v="625100"/>
    <x v="6"/>
    <s v="Voyages et déplacements"/>
    <s v="NDF"/>
    <n v="124.8"/>
    <d v="2025-08-05T00:00:00"/>
    <s v="TRAIN - TRAIN"/>
    <m/>
    <e v="#N/A"/>
    <e v="#N/A"/>
    <n v="88162"/>
    <s v="25000219"/>
    <s v="Kevin Cottet"/>
    <s v="Q3"/>
    <e v="#REF!"/>
    <e v="#REF!"/>
    <e v="#REF!"/>
  </r>
  <r>
    <s v="625100"/>
    <x v="6"/>
    <s v="Voyages et déplacements"/>
    <s v="NDF"/>
    <n v="125.08"/>
    <d v="2025-04-07T00:00:00"/>
    <s v="NOTE DE FRAIS"/>
    <m/>
    <e v="#N/A"/>
    <e v="#N/A"/>
    <n v="74298"/>
    <s v="25000109"/>
    <s v="Mylène Menanteau"/>
    <s v="Q2"/>
    <e v="#REF!"/>
    <e v="#REF!"/>
    <e v="#REF!"/>
  </r>
  <r>
    <s v="625100"/>
    <x v="6"/>
    <s v="Voyages et déplacements"/>
    <s v="NDF"/>
    <n v="125.15"/>
    <d v="2025-01-30T00:00:00"/>
    <s v="NDF"/>
    <m/>
    <e v="#N/A"/>
    <e v="#N/A"/>
    <n v="75698"/>
    <s v="25000023"/>
    <s v="Guillaume Boissonnat-Wu"/>
    <s v="Q1"/>
    <e v="#REF!"/>
    <e v="#REF!"/>
    <e v="#REF!"/>
  </r>
  <r>
    <s v="625100"/>
    <x v="6"/>
    <s v="Voyages et déplacements"/>
    <s v="NDF"/>
    <n v="127.55"/>
    <d v="2025-02-06T00:00:00"/>
    <s v="NDF"/>
    <m/>
    <e v="#N/A"/>
    <e v="#N/A"/>
    <n v="75714"/>
    <s v="25000037"/>
    <s v="Emilie Amillastré"/>
    <s v="Q1"/>
    <e v="#REF!"/>
    <e v="#REF!"/>
    <e v="#REF!"/>
  </r>
  <r>
    <s v="625100"/>
    <x v="6"/>
    <s v="Voyages et déplacements"/>
    <s v="NDF"/>
    <n v="127.7"/>
    <d v="2025-03-14T00:00:00"/>
    <s v="NDF"/>
    <m/>
    <e v="#N/A"/>
    <e v="#N/A"/>
    <n v="75778"/>
    <s v="25000074"/>
    <s v="Benjamin Barry"/>
    <s v="Q1"/>
    <e v="#REF!"/>
    <e v="#REF!"/>
    <e v="#REF!"/>
  </r>
  <r>
    <s v="625100"/>
    <x v="6"/>
    <s v="Voyages et déplacements"/>
    <s v="NDF"/>
    <n v="128"/>
    <d v="2025-11-04T00:00:00"/>
    <s v="TRAIN - TGV"/>
    <m/>
    <e v="#N/A"/>
    <e v="#N/A"/>
    <n v="93383"/>
    <s v="25000315"/>
    <s v="Kevin Cottet"/>
    <s v="Q4"/>
    <e v="#REF!"/>
    <e v="#REF!"/>
    <e v="#REF!"/>
  </r>
  <r>
    <s v="625100"/>
    <x v="6"/>
    <s v="Voyages et déplacements"/>
    <s v="NDF"/>
    <n v="128"/>
    <d v="2025-11-13T00:00:00"/>
    <s v="TRAIN - TGV"/>
    <m/>
    <e v="#N/A"/>
    <e v="#N/A"/>
    <n v="93387"/>
    <s v="25000315"/>
    <s v="Kevin Cottet"/>
    <s v="Q4"/>
    <e v="#REF!"/>
    <e v="#REF!"/>
    <e v="#REF!"/>
  </r>
  <r>
    <s v="625100"/>
    <x v="6"/>
    <s v="Voyages et déplacements"/>
    <s v="NDF"/>
    <n v="128"/>
    <d v="2025-11-14T00:00:00"/>
    <s v="TRAIN - BILLET MARSEILLE (PROJET BIOR)"/>
    <m/>
    <e v="#N/A"/>
    <e v="#N/A"/>
    <n v="93447"/>
    <s v="25000305"/>
    <s v="Marie-Sarah Adenis"/>
    <s v="Q4"/>
    <e v="#REF!"/>
    <e v="#REF!"/>
    <e v="#REF!"/>
  </r>
  <r>
    <s v="625100"/>
    <x v="6"/>
    <s v="Voyages et déplacements"/>
    <s v="NDF"/>
    <n v="128"/>
    <d v="2025-12-02T00:00:00"/>
    <s v="TRAIN - TGV"/>
    <m/>
    <e v="#N/A"/>
    <e v="#N/A"/>
    <n v="93372"/>
    <s v="25000315"/>
    <s v="Kevin Cottet"/>
    <s v="Q4"/>
    <e v="#REF!"/>
    <e v="#REF!"/>
    <e v="#REF!"/>
  </r>
  <r>
    <s v="625100"/>
    <x v="6"/>
    <s v="Voyages et déplacements"/>
    <s v="NDF"/>
    <n v="130.6"/>
    <d v="2025-10-01T00:00:00"/>
    <s v="TRAIN - TRAJET VIENNE - PARIS AR POUR CS"/>
    <m/>
    <e v="#N/A"/>
    <e v="#N/A"/>
    <n v="88983"/>
    <s v="25000257"/>
    <s v="Anne-Sophie Goutierre"/>
    <s v="Q4"/>
    <e v="#REF!"/>
    <e v="#REF!"/>
    <e v="#REF!"/>
  </r>
  <r>
    <s v="625100"/>
    <x v="6"/>
    <s v="Voyages et déplacements"/>
    <s v="NDF"/>
    <n v="131.30000000000001"/>
    <d v="2025-10-03T00:00:00"/>
    <s v="TRAIN - TRAIN RETOUR CS"/>
    <m/>
    <e v="#N/A"/>
    <e v="#N/A"/>
    <n v="88160"/>
    <s v="25000195"/>
    <s v="Pauline Rullière"/>
    <s v="Q4"/>
    <e v="#REF!"/>
    <e v="#REF!"/>
    <e v="#REF!"/>
  </r>
  <r>
    <s v="625100"/>
    <x v="6"/>
    <s v="Voyages et déplacements"/>
    <s v="NDF"/>
    <n v="131.30000000000001"/>
    <d v="2025-12-04T00:00:00"/>
    <s v="TRAIN - RETOUR DU KB DÉC"/>
    <m/>
    <e v="#N/A"/>
    <e v="#N/A"/>
    <n v="93467"/>
    <s v="25000289"/>
    <s v="Pauline Rullière"/>
    <s v="Q4"/>
    <e v="#REF!"/>
    <e v="#REF!"/>
    <e v="#REF!"/>
  </r>
  <r>
    <s v="625100"/>
    <x v="6"/>
    <s v="Voyages et déplacements"/>
    <s v="NDF"/>
    <n v="133.25"/>
    <d v="2025-11-03T00:00:00"/>
    <s v="HÔTEL - HOTEL"/>
    <m/>
    <e v="#N/A"/>
    <e v="#N/A"/>
    <n v="93484"/>
    <s v="25000289"/>
    <s v="Pauline Rullière"/>
    <s v="Q4"/>
    <e v="#REF!"/>
    <e v="#REF!"/>
    <e v="#REF!"/>
  </r>
  <r>
    <s v="625100"/>
    <x v="6"/>
    <s v="Voyages et déplacements"/>
    <s v="NDF"/>
    <n v="133.80000000000001"/>
    <d v="2025-08-12T00:00:00"/>
    <s v="TRAIN - TRAIN"/>
    <m/>
    <e v="#N/A"/>
    <e v="#N/A"/>
    <n v="88164"/>
    <s v="25000219"/>
    <s v="Kevin Cottet"/>
    <s v="Q3"/>
    <e v="#REF!"/>
    <e v="#REF!"/>
    <e v="#REF!"/>
  </r>
  <r>
    <s v="625100"/>
    <x v="6"/>
    <s v="Voyages et déplacements"/>
    <s v="NDF"/>
    <n v="133.80000000000001"/>
    <d v="2025-08-19T00:00:00"/>
    <s v="TRAIN - TRAIN"/>
    <m/>
    <e v="#N/A"/>
    <e v="#N/A"/>
    <n v="88166"/>
    <s v="25000219"/>
    <s v="Kevin Cottet"/>
    <s v="Q3"/>
    <e v="#REF!"/>
    <e v="#REF!"/>
    <e v="#REF!"/>
  </r>
  <r>
    <s v="625100"/>
    <x v="6"/>
    <s v="Voyages et déplacements"/>
    <s v="NDF"/>
    <n v="136.27000000000001"/>
    <d v="2025-09-08T00:00:00"/>
    <s v="HÔTEL - NUIT DÎNER CODIR"/>
    <m/>
    <e v="#N/A"/>
    <e v="#N/A"/>
    <n v="88557"/>
    <s v="25000248"/>
    <s v="Pierre-Yves Bolle"/>
    <s v="Q3"/>
    <e v="#REF!"/>
    <e v="#REF!"/>
    <e v="#REF!"/>
  </r>
  <r>
    <s v="625100"/>
    <x v="6"/>
    <s v="Voyages et déplacements"/>
    <s v="NDF"/>
    <n v="137.19999999999999"/>
    <d v="2025-07-22T00:00:00"/>
    <s v="TRAIN - TRAIN"/>
    <m/>
    <e v="#N/A"/>
    <e v="#N/A"/>
    <n v="89083"/>
    <s v="25000206"/>
    <s v="Kevin Cottet"/>
    <s v="Q3"/>
    <e v="#REF!"/>
    <e v="#REF!"/>
    <e v="#REF!"/>
  </r>
  <r>
    <s v="625100"/>
    <x v="6"/>
    <s v="Voyages et déplacements"/>
    <s v="NDF"/>
    <n v="138"/>
    <d v="2025-06-16T00:00:00"/>
    <s v="TRAIN - AR PARIS BRUNO PIASTRA"/>
    <m/>
    <e v="#N/A"/>
    <e v="#N/A"/>
    <n v="88825"/>
    <s v="25000202"/>
    <s v="Pierre-Yves Bolle"/>
    <s v="Q2"/>
    <e v="#REF!"/>
    <e v="#REF!"/>
    <e v="#REF!"/>
  </r>
  <r>
    <s v="625100"/>
    <x v="6"/>
    <s v="Voyages et déplacements"/>
    <s v="NDF"/>
    <n v="138"/>
    <d v="2025-07-03T00:00:00"/>
    <s v="TRAIN - AR PARIS BOARD BUSINESS"/>
    <m/>
    <e v="#N/A"/>
    <e v="#N/A"/>
    <n v="88821"/>
    <s v="25000202"/>
    <s v="Pierre-Yves Bolle"/>
    <s v="Q3"/>
    <e v="#REF!"/>
    <e v="#REF!"/>
    <e v="#REF!"/>
  </r>
  <r>
    <s v="625100"/>
    <x v="6"/>
    <s v="Voyages et déplacements"/>
    <s v="NDF"/>
    <n v="139.33000000000001"/>
    <d v="2025-09-09T00:00:00"/>
    <s v="HÔTEL - PARIS SEPTEMBRE 2"/>
    <m/>
    <e v="#N/A"/>
    <e v="#N/A"/>
    <n v="88114"/>
    <s v="25000218"/>
    <s v="Jérémie Blache"/>
    <s v="Q3"/>
    <e v="#REF!"/>
    <e v="#REF!"/>
    <e v="#REF!"/>
  </r>
  <r>
    <s v="625100"/>
    <x v="6"/>
    <s v="Voyages et déplacements"/>
    <s v="NDF"/>
    <n v="139.5"/>
    <d v="2025-11-24T00:00:00"/>
    <s v="RESTAURANT SOIR - DINER RENCONTRE AVEC DEUX ARTISTES PARTICIPANT À EXPO INDIGO"/>
    <m/>
    <e v="#N/A"/>
    <e v="#N/A"/>
    <n v="90985"/>
    <s v="25000297"/>
    <s v="Marie-Sarah Adenis"/>
    <s v="Q4"/>
    <e v="#REF!"/>
    <e v="#REF!"/>
    <e v="#REF!"/>
  </r>
  <r>
    <s v="625100"/>
    <x v="6"/>
    <s v="Voyages et déplacements"/>
    <s v="NDF"/>
    <n v="140.09"/>
    <d v="2025-11-24T00:00:00"/>
    <s v="HÔTEL - HOTEL PARIS"/>
    <m/>
    <e v="#N/A"/>
    <e v="#N/A"/>
    <n v="90903"/>
    <s v="25000295"/>
    <s v="Jérémie Blache"/>
    <s v="Q4"/>
    <e v="#REF!"/>
    <e v="#REF!"/>
    <e v="#REF!"/>
  </r>
  <r>
    <s v="625100"/>
    <x v="6"/>
    <s v="Voyages et déplacements"/>
    <s v="NDF"/>
    <n v="140.53"/>
    <d v="2025-10-14T00:00:00"/>
    <s v="HÔTEL - HÔTEL PARIS"/>
    <m/>
    <e v="#N/A"/>
    <e v="#N/A"/>
    <n v="88917"/>
    <s v="25000267"/>
    <s v="Julie Lacondemine"/>
    <s v="Q4"/>
    <e v="#REF!"/>
    <e v="#REF!"/>
    <e v="#REF!"/>
  </r>
  <r>
    <s v="625100"/>
    <x v="6"/>
    <s v="Voyages et déplacements"/>
    <s v="NDF"/>
    <n v="141.30000000000001"/>
    <d v="2025-02-10T00:00:00"/>
    <s v="NDF"/>
    <m/>
    <e v="#N/A"/>
    <e v="#N/A"/>
    <n v="75728"/>
    <s v="25000034"/>
    <s v="Anne-Sophie Goutierre"/>
    <s v="Q1"/>
    <e v="#REF!"/>
    <e v="#REF!"/>
    <e v="#REF!"/>
  </r>
  <r>
    <s v="625100"/>
    <x v="6"/>
    <s v="Voyages et déplacements"/>
    <s v="NDF"/>
    <n v="142.02000000000001"/>
    <d v="2025-04-02T00:00:00"/>
    <s v="NDF"/>
    <m/>
    <e v="#N/A"/>
    <e v="#N/A"/>
    <n v="75463"/>
    <s v="25000055"/>
    <s v="Lucie Crépin"/>
    <s v="Q2"/>
    <e v="#REF!"/>
    <e v="#REF!"/>
    <e v="#REF!"/>
  </r>
  <r>
    <s v="625100"/>
    <x v="6"/>
    <s v="Voyages et déplacements"/>
    <s v="NDF"/>
    <n v="143.54"/>
    <d v="2025-01-01T00:00:00"/>
    <s v="NDF"/>
    <m/>
    <e v="#N/A"/>
    <e v="#N/A"/>
    <n v="75662"/>
    <s v="24000362"/>
    <s v="Marie Rézeau"/>
    <s v="Q1"/>
    <e v="#REF!"/>
    <e v="#REF!"/>
    <e v="#REF!"/>
  </r>
  <r>
    <s v="625100"/>
    <x v="6"/>
    <s v="Voyages et déplacements"/>
    <s v="NDF"/>
    <n v="145.9"/>
    <d v="2025-01-07T00:00:00"/>
    <s v="NDF"/>
    <m/>
    <e v="#N/A"/>
    <e v="#N/A"/>
    <n v="75680"/>
    <s v="3307202564"/>
    <s v="Pierre-Yves Bolle"/>
    <s v="Q1"/>
    <e v="#REF!"/>
    <e v="#REF!"/>
    <e v="#REF!"/>
  </r>
  <r>
    <s v="625100"/>
    <x v="6"/>
    <s v="Voyages et déplacements"/>
    <s v="NDF"/>
    <n v="146.83000000000001"/>
    <d v="2025-10-02T00:00:00"/>
    <s v="HÔTEL - HOTEL POUR LE CONSEIL SCIENTIFIQUE"/>
    <m/>
    <e v="#N/A"/>
    <e v="#N/A"/>
    <n v="89010"/>
    <s v="25000281"/>
    <s v="Kevin Cottet"/>
    <s v="Q4"/>
    <e v="#REF!"/>
    <e v="#REF!"/>
    <e v="#REF!"/>
  </r>
  <r>
    <s v="625100"/>
    <x v="6"/>
    <s v="Voyages et déplacements"/>
    <s v="NDF"/>
    <n v="146.96"/>
    <d v="2025-01-01T00:00:00"/>
    <s v="NOTE DE FRAIS"/>
    <m/>
    <e v="#N/A"/>
    <e v="#N/A"/>
    <n v="74164"/>
    <s v="25000012"/>
    <s v="Alain Pinchard"/>
    <s v="Q1"/>
    <e v="#REF!"/>
    <e v="#REF!"/>
    <e v="#REF!"/>
  </r>
  <r>
    <s v="625100"/>
    <x v="6"/>
    <s v="Voyages et déplacements"/>
    <s v="NDF"/>
    <n v="147.80000000000001"/>
    <d v="2025-06-03T00:00:00"/>
    <s v="TRAIN - TRAIN"/>
    <m/>
    <e v="#N/A"/>
    <e v="#N/A"/>
    <n v="88835"/>
    <s v="25000201"/>
    <s v="Kevin Cottet"/>
    <s v="Q2"/>
    <e v="#REF!"/>
    <e v="#REF!"/>
    <e v="#REF!"/>
  </r>
  <r>
    <s v="625100"/>
    <x v="6"/>
    <s v="Voyages et déplacements"/>
    <s v="NDF"/>
    <n v="147.80000000000001"/>
    <d v="2025-06-24T00:00:00"/>
    <s v="TRAIN - TRAIN"/>
    <m/>
    <e v="#N/A"/>
    <e v="#N/A"/>
    <n v="88833"/>
    <s v="25000201"/>
    <s v="Kevin Cottet"/>
    <s v="Q2"/>
    <e v="#REF!"/>
    <e v="#REF!"/>
    <e v="#REF!"/>
  </r>
  <r>
    <s v="625100"/>
    <x v="6"/>
    <s v="Voyages et déplacements"/>
    <s v="NDF"/>
    <n v="147.80000000000001"/>
    <d v="2025-07-01T00:00:00"/>
    <s v="TRAIN - TRAIN"/>
    <m/>
    <e v="#N/A"/>
    <e v="#N/A"/>
    <n v="89081"/>
    <s v="25000206"/>
    <s v="Kevin Cottet"/>
    <s v="Q3"/>
    <e v="#REF!"/>
    <e v="#REF!"/>
    <e v="#REF!"/>
  </r>
  <r>
    <s v="625100"/>
    <x v="6"/>
    <s v="Voyages et déplacements"/>
    <s v="NDF"/>
    <n v="147.80000000000001"/>
    <d v="2025-07-29T00:00:00"/>
    <s v="TRAIN - TRAIN"/>
    <m/>
    <e v="#N/A"/>
    <e v="#N/A"/>
    <n v="89085"/>
    <s v="25000206"/>
    <s v="Kevin Cottet"/>
    <s v="Q3"/>
    <e v="#REF!"/>
    <e v="#REF!"/>
    <e v="#REF!"/>
  </r>
  <r>
    <s v="625100"/>
    <x v="6"/>
    <s v="Voyages et déplacements"/>
    <s v="NDF"/>
    <n v="147.80000000000001"/>
    <d v="2025-09-24T00:00:00"/>
    <s v="TRAIN - TRAIN"/>
    <m/>
    <e v="#N/A"/>
    <e v="#N/A"/>
    <n v="89002"/>
    <s v="25000270"/>
    <s v="Kevin Cottet"/>
    <s v="Q3"/>
    <e v="#REF!"/>
    <e v="#REF!"/>
    <e v="#REF!"/>
  </r>
  <r>
    <s v="625100"/>
    <x v="6"/>
    <s v="Voyages et déplacements"/>
    <s v="NDF"/>
    <n v="147.80000000000001"/>
    <d v="2025-10-01T00:00:00"/>
    <s v="TRAIN - TRAIN"/>
    <m/>
    <e v="#N/A"/>
    <e v="#N/A"/>
    <n v="89008"/>
    <s v="25000281"/>
    <s v="Kevin Cottet"/>
    <s v="Q4"/>
    <e v="#REF!"/>
    <e v="#REF!"/>
    <e v="#REF!"/>
  </r>
  <r>
    <s v="625100"/>
    <x v="6"/>
    <s v="Voyages et déplacements"/>
    <s v="NDF"/>
    <n v="147.80000000000001"/>
    <d v="2025-10-07T00:00:00"/>
    <s v="TRAIN - TRAIN"/>
    <m/>
    <e v="#N/A"/>
    <e v="#N/A"/>
    <n v="89006"/>
    <s v="25000281"/>
    <s v="Kevin Cottet"/>
    <s v="Q4"/>
    <e v="#REF!"/>
    <e v="#REF!"/>
    <e v="#REF!"/>
  </r>
  <r>
    <s v="625100"/>
    <x v="6"/>
    <s v="Voyages et déplacements"/>
    <s v="NDF"/>
    <n v="147.80000000000001"/>
    <d v="2025-10-14T00:00:00"/>
    <s v="TRAIN - TRAIN"/>
    <m/>
    <e v="#N/A"/>
    <e v="#N/A"/>
    <n v="89017"/>
    <s v="25000281"/>
    <s v="Kevin Cottet"/>
    <s v="Q4"/>
    <e v="#REF!"/>
    <e v="#REF!"/>
    <e v="#REF!"/>
  </r>
  <r>
    <s v="625100"/>
    <x v="6"/>
    <s v="Voyages et déplacements"/>
    <s v="NDF"/>
    <n v="147.80000000000001"/>
    <d v="2025-11-24T00:00:00"/>
    <s v="TRAIN - TRAIN"/>
    <m/>
    <e v="#N/A"/>
    <e v="#N/A"/>
    <n v="90899"/>
    <s v="25000294"/>
    <s v="Kevin Cottet"/>
    <s v="Q4"/>
    <e v="#REF!"/>
    <e v="#REF!"/>
    <e v="#REF!"/>
  </r>
  <r>
    <s v="625100"/>
    <x v="6"/>
    <s v="Voyages et déplacements"/>
    <s v="NDF"/>
    <n v="149"/>
    <d v="2025-09-02T00:00:00"/>
    <s v="TRAIN - TRAIN"/>
    <m/>
    <e v="#N/A"/>
    <e v="#N/A"/>
    <n v="89004"/>
    <s v="25000270"/>
    <s v="Kevin Cottet"/>
    <s v="Q3"/>
    <e v="#REF!"/>
    <e v="#REF!"/>
    <e v="#REF!"/>
  </r>
  <r>
    <s v="625100"/>
    <x v="6"/>
    <s v="Voyages et déplacements"/>
    <s v="NDF"/>
    <n v="149.99"/>
    <d v="2025-07-01T00:00:00"/>
    <s v="HÔTEL - AIR BNB PARTAGÉ AVEC JÉRÉMIE POUR RÉUNION MENSUELLE"/>
    <m/>
    <e v="#N/A"/>
    <e v="#N/A"/>
    <n v="88796"/>
    <s v="25000190"/>
    <s v="Marie-Sarah Adenis"/>
    <s v="Q3"/>
    <e v="#REF!"/>
    <e v="#REF!"/>
    <e v="#REF!"/>
  </r>
  <r>
    <s v="625100"/>
    <x v="6"/>
    <s v="Voyages et déplacements"/>
    <s v="NDF"/>
    <n v="149.99"/>
    <d v="2025-11-24T00:00:00"/>
    <s v="HÔTEL - AIRBNB LYON (POUR JÉRÉMIE, JE NE SUIS PAS ALLÉE À LYON)"/>
    <m/>
    <e v="#N/A"/>
    <e v="#N/A"/>
    <n v="90989"/>
    <s v="25000297"/>
    <s v="Marie-Sarah Adenis"/>
    <s v="Q4"/>
    <e v="#REF!"/>
    <e v="#REF!"/>
    <e v="#REF!"/>
  </r>
  <r>
    <s v="625100"/>
    <x v="6"/>
    <s v="Voyages et déplacements"/>
    <s v="NDF"/>
    <n v="150"/>
    <d v="2025-07-01T00:00:00"/>
    <s v="TRAIN - AR PARIS - LYON (RDV MENSUEL MARKETING)"/>
    <m/>
    <e v="#N/A"/>
    <e v="#N/A"/>
    <n v="88806"/>
    <s v="25000190"/>
    <s v="Marie-Sarah Adenis"/>
    <s v="Q3"/>
    <e v="#REF!"/>
    <e v="#REF!"/>
    <e v="#REF!"/>
  </r>
  <r>
    <s v="625100"/>
    <x v="6"/>
    <s v="Voyages et déplacements"/>
    <s v="NDF"/>
    <n v="150.04"/>
    <d v="2025-09-16T00:00:00"/>
    <s v="HÔTEL - HOTEL PARIS"/>
    <m/>
    <e v="#N/A"/>
    <e v="#N/A"/>
    <n v="88524"/>
    <s v="25000231"/>
    <s v="Jérémie Blache"/>
    <s v="Q3"/>
    <e v="#REF!"/>
    <e v="#REF!"/>
    <e v="#REF!"/>
  </r>
  <r>
    <s v="625100"/>
    <x v="6"/>
    <s v="Voyages et déplacements"/>
    <s v="NDF"/>
    <n v="150.58000000000001"/>
    <d v="2025-06-24T00:00:00"/>
    <s v="HÔTEL - HÔTEL"/>
    <m/>
    <e v="#N/A"/>
    <e v="#N/A"/>
    <n v="89212"/>
    <s v="25000111"/>
    <s v="Pauline Rullière"/>
    <s v="Q2"/>
    <e v="#REF!"/>
    <e v="#REF!"/>
    <e v="#REF!"/>
  </r>
  <r>
    <s v="625100"/>
    <x v="6"/>
    <s v="Voyages et déplacements"/>
    <s v="NDF"/>
    <n v="151.33000000000001"/>
    <d v="2025-06-17T00:00:00"/>
    <s v="HÔTEL - HOTEL"/>
    <m/>
    <e v="#N/A"/>
    <e v="#N/A"/>
    <n v="88829"/>
    <s v="25000201"/>
    <s v="Kevin Cottet"/>
    <s v="Q2"/>
    <e v="#REF!"/>
    <e v="#REF!"/>
    <e v="#REF!"/>
  </r>
  <r>
    <s v="625100"/>
    <x v="6"/>
    <s v="Voyages et déplacements"/>
    <s v="NDF"/>
    <n v="151.37"/>
    <d v="2025-01-14T00:00:00"/>
    <s v="NOTE DE FRAIS"/>
    <m/>
    <e v="#N/A"/>
    <e v="#N/A"/>
    <n v="73620"/>
    <s v="25000024"/>
    <s v="Loic masseboeuf"/>
    <s v="Q1"/>
    <e v="#REF!"/>
    <e v="#REF!"/>
    <e v="#REF!"/>
  </r>
  <r>
    <s v="625100"/>
    <x v="6"/>
    <s v="Voyages et déplacements"/>
    <s v="NDF"/>
    <n v="151.83000000000001"/>
    <d v="2025-07-25T00:00:00"/>
    <s v="HÔTEL - HÔTEL BUDAPEST"/>
    <m/>
    <e v="#N/A"/>
    <e v="#N/A"/>
    <n v="88852"/>
    <s v="25000194"/>
    <s v="Marie Rézeau"/>
    <s v="Q3"/>
    <e v="#REF!"/>
    <e v="#REF!"/>
    <e v="#REF!"/>
  </r>
  <r>
    <s v="625100"/>
    <x v="6"/>
    <s v="Voyages et déplacements"/>
    <s v="NDF"/>
    <n v="152.02000000000001"/>
    <d v="2025-10-21T00:00:00"/>
    <s v="DIVERS - CAFÉ TOULOUSE"/>
    <m/>
    <e v="#N/A"/>
    <e v="#N/A"/>
    <n v="88938"/>
    <s v="25000286"/>
    <s v="Benjamin Gil"/>
    <s v="Q4"/>
    <e v="#REF!"/>
    <e v="#REF!"/>
    <e v="#REF!"/>
  </r>
  <r>
    <s v="625100"/>
    <x v="6"/>
    <s v="Voyages et déplacements"/>
    <s v="NDF"/>
    <n v="154"/>
    <d v="2025-09-23T00:00:00"/>
    <s v="TRAIN - TRAIN RETOUR RMC"/>
    <m/>
    <e v="#N/A"/>
    <e v="#N/A"/>
    <n v="88158"/>
    <s v="25000195"/>
    <s v="Pauline Rullière"/>
    <s v="Q3"/>
    <e v="#REF!"/>
    <e v="#REF!"/>
    <e v="#REF!"/>
  </r>
  <r>
    <s v="625100"/>
    <x v="6"/>
    <s v="Voyages et déplacements"/>
    <s v="NDF"/>
    <n v="155"/>
    <d v="2025-11-24T00:00:00"/>
    <s v="RESTAURANT SOIR - DÎNER BUSINESS BOARD - EMMANUEL+MICHEL"/>
    <m/>
    <e v="#N/A"/>
    <e v="#N/A"/>
    <n v="90942"/>
    <s v="25000284"/>
    <s v="Pierre-Yves Bolle"/>
    <s v="Q4"/>
    <e v="#REF!"/>
    <e v="#REF!"/>
    <e v="#REF!"/>
  </r>
  <r>
    <s v="625100"/>
    <x v="6"/>
    <s v="Voyages et déplacements"/>
    <s v="NDF"/>
    <n v="157.19999999999999"/>
    <d v="2025-11-24T00:00:00"/>
    <s v="TRAIN - TRAIN ROUSSILLON OCTOBRE"/>
    <m/>
    <e v="#N/A"/>
    <e v="#N/A"/>
    <n v="90909"/>
    <s v="25000279"/>
    <s v="Bob Fernandez"/>
    <s v="Q4"/>
    <e v="#REF!"/>
    <e v="#REF!"/>
    <e v="#REF!"/>
  </r>
  <r>
    <s v="625100"/>
    <x v="6"/>
    <s v="Voyages et déplacements"/>
    <s v="NDF"/>
    <n v="158.63"/>
    <d v="2025-09-29T00:00:00"/>
    <s v="HÔTEL - HOTEL PARIS"/>
    <m/>
    <e v="#N/A"/>
    <e v="#N/A"/>
    <n v="88946"/>
    <s v="25000255"/>
    <s v="Emilie Amillastré"/>
    <s v="Q3"/>
    <e v="#REF!"/>
    <e v="#REF!"/>
    <e v="#REF!"/>
  </r>
  <r>
    <s v="625100"/>
    <x v="6"/>
    <s v="Voyages et déplacements"/>
    <s v="NDF"/>
    <n v="159.09"/>
    <d v="2025-10-13T00:00:00"/>
    <s v="RESTAURANT MIDI - RESTAURANT ACCUEIL HAJAR"/>
    <m/>
    <e v="#N/A"/>
    <e v="#N/A"/>
    <n v="88915"/>
    <s v="25000274"/>
    <s v="Maud Sanchez"/>
    <s v="Q4"/>
    <e v="#REF!"/>
    <e v="#REF!"/>
    <e v="#REF!"/>
  </r>
  <r>
    <s v="625100"/>
    <x v="6"/>
    <s v="Voyages et déplacements"/>
    <s v="NDF"/>
    <n v="162"/>
    <d v="2025-10-02T00:00:00"/>
    <s v="TRAIN - TRAIN JAN KB A/R"/>
    <m/>
    <e v="#N/A"/>
    <e v="#N/A"/>
    <n v="89244"/>
    <s v="25000260"/>
    <s v="Pauline Rullière"/>
    <s v="Q4"/>
    <e v="#REF!"/>
    <e v="#REF!"/>
    <e v="#REF!"/>
  </r>
  <r>
    <s v="625100"/>
    <x v="6"/>
    <s v="Voyages et déplacements"/>
    <s v="NDF"/>
    <n v="164.2"/>
    <d v="2025-03-25T00:00:00"/>
    <s v="NOTE DE FRAIS"/>
    <m/>
    <e v="#N/A"/>
    <e v="#N/A"/>
    <n v="74205"/>
    <s v="25000089"/>
    <s v="Bob Fernandez"/>
    <s v="Q1"/>
    <e v="#REF!"/>
    <e v="#REF!"/>
    <e v="#REF!"/>
  </r>
  <r>
    <s v="625100"/>
    <x v="6"/>
    <s v="Voyages et déplacements"/>
    <s v="NDF"/>
    <n v="165.25"/>
    <d v="2025-09-09T00:00:00"/>
    <s v="HÔTEL - HÔTEL"/>
    <m/>
    <e v="#N/A"/>
    <e v="#N/A"/>
    <n v="88112"/>
    <s v="25000195"/>
    <s v="Pauline Rullière"/>
    <s v="Q3"/>
    <e v="#REF!"/>
    <e v="#REF!"/>
    <e v="#REF!"/>
  </r>
  <r>
    <s v="625100"/>
    <x v="6"/>
    <s v="Voyages et déplacements"/>
    <s v="NDF"/>
    <n v="165.83"/>
    <d v="2025-09-01T00:00:00"/>
    <s v="DIVERS - CARTE ACCOR HOTEL"/>
    <m/>
    <e v="#N/A"/>
    <e v="#N/A"/>
    <n v="88095"/>
    <s v="25000215"/>
    <s v="Jérémie Blache"/>
    <s v="Q3"/>
    <e v="#REF!"/>
    <e v="#REF!"/>
    <e v="#REF!"/>
  </r>
  <r>
    <s v="625100"/>
    <x v="6"/>
    <s v="Voyages et déplacements"/>
    <s v="NDF"/>
    <n v="168"/>
    <d v="2025-11-24T00:00:00"/>
    <s v="TRAIN - TRAIN RETOUR AVEC COMPATIBILITÉ MANIPULATION"/>
    <m/>
    <e v="#N/A"/>
    <e v="#N/A"/>
    <n v="90878"/>
    <s v="25000301"/>
    <s v="Maud Sanchez"/>
    <s v="Q4"/>
    <e v="#REF!"/>
    <e v="#REF!"/>
    <e v="#REF!"/>
  </r>
  <r>
    <s v="625100"/>
    <x v="6"/>
    <s v="Voyages et déplacements"/>
    <s v="NDF"/>
    <n v="168.47"/>
    <d v="2025-03-19T00:00:00"/>
    <s v="NDF"/>
    <m/>
    <e v="#N/A"/>
    <e v="#N/A"/>
    <n v="75784"/>
    <s v="250000021"/>
    <s v="Marie Rézeau"/>
    <s v="Q1"/>
    <e v="#REF!"/>
    <e v="#REF!"/>
    <e v="#REF!"/>
  </r>
  <r>
    <s v="625100"/>
    <x v="6"/>
    <s v="Voyages et déplacements"/>
    <s v="NDF"/>
    <n v="169"/>
    <d v="2025-06-03T00:00:00"/>
    <s v="TRAIN - CHEMSPEC - ALLER COLOGNE"/>
    <m/>
    <e v="#N/A"/>
    <e v="#N/A"/>
    <n v="95886"/>
    <s v="25000338"/>
    <s v="Alain Pinchard"/>
    <s v="Q2"/>
    <e v="#REF!"/>
    <e v="#REF!"/>
    <e v="#REF!"/>
  </r>
  <r>
    <s v="625100"/>
    <x v="6"/>
    <s v="Voyages et déplacements"/>
    <s v="NDF"/>
    <n v="169.06"/>
    <d v="2025-03-11T00:00:00"/>
    <s v="NOTE DE FRAIS"/>
    <m/>
    <e v="#N/A"/>
    <e v="#N/A"/>
    <n v="74280"/>
    <s v="25000107"/>
    <s v="Anne-Sophie Goutierre"/>
    <s v="Q1"/>
    <e v="#REF!"/>
    <e v="#REF!"/>
    <e v="#REF!"/>
  </r>
  <r>
    <s v="625100"/>
    <x v="6"/>
    <s v="Voyages et déplacements"/>
    <s v="NDF"/>
    <n v="171.6"/>
    <d v="2025-03-02T00:00:00"/>
    <s v="NDF"/>
    <m/>
    <e v="#N/A"/>
    <e v="#N/A"/>
    <n v="75741"/>
    <s v="25000043"/>
    <s v="Pauline Rullière"/>
    <s v="Q1"/>
    <e v="#REF!"/>
    <e v="#REF!"/>
    <e v="#REF!"/>
  </r>
  <r>
    <s v="625100"/>
    <x v="6"/>
    <s v="Voyages et déplacements"/>
    <s v="NDF"/>
    <n v="173.9"/>
    <d v="2025-12-10T00:00:00"/>
    <s v="RESTAURANT SOIR - REPAS ROUSSILLON"/>
    <m/>
    <e v="#N/A"/>
    <e v="#N/A"/>
    <n v="95780"/>
    <s v="25000325"/>
    <s v="Marie Rézeau"/>
    <s v="Q4"/>
    <e v="#REF!"/>
    <e v="#REF!"/>
    <e v="#REF!"/>
  </r>
  <r>
    <s v="625100"/>
    <x v="6"/>
    <s v="Voyages et déplacements"/>
    <s v="NDF"/>
    <n v="174"/>
    <d v="2025-02-25T00:00:00"/>
    <s v="NOTE DE FRAIS"/>
    <m/>
    <e v="#N/A"/>
    <e v="#N/A"/>
    <n v="73707"/>
    <s v="25000051"/>
    <s v="Thibault Dejardin"/>
    <s v="Q1"/>
    <e v="#REF!"/>
    <e v="#REF!"/>
    <e v="#REF!"/>
  </r>
  <r>
    <s v="625100"/>
    <x v="6"/>
    <s v="Voyages et déplacements"/>
    <s v="NDF"/>
    <n v="174"/>
    <d v="2025-10-02T00:00:00"/>
    <s v="TRAIN - TRAIN DÉC KB A/R"/>
    <m/>
    <e v="#N/A"/>
    <e v="#N/A"/>
    <n v="89242"/>
    <s v="25000260"/>
    <s v="Pauline Rullière"/>
    <s v="Q4"/>
    <e v="#REF!"/>
    <e v="#REF!"/>
    <e v="#REF!"/>
  </r>
  <r>
    <s v="625100"/>
    <x v="6"/>
    <s v="Voyages et déplacements"/>
    <s v="NDF"/>
    <n v="174.36"/>
    <d v="2025-06-10T00:00:00"/>
    <s v="NDF"/>
    <m/>
    <e v="#N/A"/>
    <e v="#N/A"/>
    <n v="76588"/>
    <s v="250000170"/>
    <s v="Marie de Almeida"/>
    <s v="Q2"/>
    <e v="#REF!"/>
    <e v="#REF!"/>
    <e v="#REF!"/>
  </r>
  <r>
    <s v="625100"/>
    <x v="6"/>
    <s v="Voyages et déplacements"/>
    <s v="NDF"/>
    <n v="176"/>
    <d v="2025-07-02T00:00:00"/>
    <s v="TRAIN - TRAIN ROUSSILLON"/>
    <m/>
    <e v="#N/A"/>
    <e v="#N/A"/>
    <n v="88647"/>
    <s v="25000179"/>
    <s v="Bob Fernandez"/>
    <s v="Q3"/>
    <e v="#REF!"/>
    <e v="#REF!"/>
    <e v="#REF!"/>
  </r>
  <r>
    <s v="625100"/>
    <x v="6"/>
    <s v="Voyages et déplacements"/>
    <s v="NDF"/>
    <n v="176.3"/>
    <d v="2025-06-16T00:00:00"/>
    <s v="TRAIN - TRAIN"/>
    <m/>
    <e v="#N/A"/>
    <e v="#N/A"/>
    <n v="88827"/>
    <s v="25000201"/>
    <s v="Kevin Cottet"/>
    <s v="Q2"/>
    <e v="#REF!"/>
    <e v="#REF!"/>
    <e v="#REF!"/>
  </r>
  <r>
    <s v="625100"/>
    <x v="6"/>
    <s v="Voyages et déplacements"/>
    <s v="NDF"/>
    <n v="176.9"/>
    <d v="2025-08-26T00:00:00"/>
    <s v="TRAIN - TRAIN"/>
    <m/>
    <e v="#N/A"/>
    <e v="#N/A"/>
    <n v="88168"/>
    <s v="25000219"/>
    <s v="Kevin Cottet"/>
    <s v="Q3"/>
    <e v="#REF!"/>
    <e v="#REF!"/>
    <e v="#REF!"/>
  </r>
  <r>
    <s v="625100"/>
    <x v="6"/>
    <s v="Voyages et déplacements"/>
    <s v="NDF"/>
    <n v="183.6"/>
    <d v="2025-02-19T00:00:00"/>
    <s v="NDF"/>
    <m/>
    <e v="#N/A"/>
    <e v="#N/A"/>
    <n v="75736"/>
    <s v="25000057"/>
    <s v="Guillaume Boissonnat-Wu"/>
    <s v="Q1"/>
    <e v="#REF!"/>
    <e v="#REF!"/>
    <e v="#REF!"/>
  </r>
  <r>
    <s v="625100"/>
    <x v="6"/>
    <s v="Voyages et déplacements"/>
    <s v="NDF"/>
    <n v="183.9"/>
    <d v="2025-01-01T00:00:00"/>
    <s v="NDF"/>
    <m/>
    <e v="#N/A"/>
    <e v="#N/A"/>
    <n v="75663"/>
    <s v="24000362"/>
    <s v="Marie Rézeau"/>
    <s v="Q1"/>
    <e v="#REF!"/>
    <e v="#REF!"/>
    <e v="#REF!"/>
  </r>
  <r>
    <s v="625100"/>
    <x v="6"/>
    <s v="Voyages et déplacements"/>
    <s v="NDF"/>
    <n v="185.81"/>
    <d v="2025-11-18T00:00:00"/>
    <s v="HÔTEL - AIBNB X 2 NUITS"/>
    <m/>
    <e v="#N/A"/>
    <e v="#N/A"/>
    <n v="93363"/>
    <s v="25000307"/>
    <s v="Marie-Sarah Adenis"/>
    <s v="Q4"/>
    <e v="#REF!"/>
    <e v="#REF!"/>
    <e v="#REF!"/>
  </r>
  <r>
    <s v="625100"/>
    <x v="6"/>
    <s v="Voyages et déplacements"/>
    <s v="NDF"/>
    <n v="189.54"/>
    <d v="2025-12-02T00:00:00"/>
    <s v="HÔTEL - HOTEL PARIS"/>
    <m/>
    <e v="#N/A"/>
    <e v="#N/A"/>
    <n v="93327"/>
    <s v="25000306"/>
    <s v="Jérémie Blache"/>
    <s v="Q4"/>
    <e v="#REF!"/>
    <e v="#REF!"/>
    <e v="#REF!"/>
  </r>
  <r>
    <s v="625100"/>
    <x v="6"/>
    <s v="Voyages et déplacements"/>
    <s v="NDF"/>
    <n v="193"/>
    <d v="2025-09-29T00:00:00"/>
    <s v="TRAIN - TRAIN CS PARIS"/>
    <m/>
    <e v="#N/A"/>
    <e v="#N/A"/>
    <n v="88438"/>
    <s v="25000254"/>
    <s v="Bob Fernandez"/>
    <s v="Q3"/>
    <e v="#REF!"/>
    <e v="#REF!"/>
    <e v="#REF!"/>
  </r>
  <r>
    <s v="625100"/>
    <x v="6"/>
    <s v="Voyages et déplacements"/>
    <s v="NDF"/>
    <n v="194"/>
    <d v="2025-10-01T00:00:00"/>
    <s v="RESTAURANT SOIR - REPAS MERCREDI SOIR"/>
    <m/>
    <e v="#N/A"/>
    <e v="#N/A"/>
    <n v="88431"/>
    <s v="25000246"/>
    <s v="Maud Sanchez"/>
    <s v="Q4"/>
    <e v="#REF!"/>
    <e v="#REF!"/>
    <e v="#REF!"/>
  </r>
  <r>
    <s v="625100"/>
    <x v="6"/>
    <s v="Voyages et déplacements"/>
    <s v="NDF"/>
    <n v="194.3"/>
    <d v="2025-11-03T00:00:00"/>
    <s v="TRAIN - TRAIN A/R KB NOVEMBRE"/>
    <m/>
    <e v="#N/A"/>
    <e v="#N/A"/>
    <n v="88144"/>
    <s v="25000195"/>
    <s v="Pauline Rullière"/>
    <s v="Q4"/>
    <e v="#REF!"/>
    <e v="#REF!"/>
    <e v="#REF!"/>
  </r>
  <r>
    <s v="625100"/>
    <x v="6"/>
    <s v="Voyages et déplacements"/>
    <s v="NDF"/>
    <n v="197.46"/>
    <d v="2025-12-09T00:00:00"/>
    <s v="HÔTEL - HOTEL 2 NUITS"/>
    <m/>
    <e v="#N/A"/>
    <e v="#N/A"/>
    <n v="93298"/>
    <s v="25000332"/>
    <s v="Yves Combret"/>
    <s v="Q4"/>
    <e v="#REF!"/>
    <e v="#REF!"/>
    <e v="#REF!"/>
  </r>
  <r>
    <s v="625100"/>
    <x v="6"/>
    <s v="Voyages et déplacements"/>
    <s v="NDF"/>
    <n v="198.48"/>
    <d v="2025-11-24T00:00:00"/>
    <s v="HÔTEL - HOTEL PARIS"/>
    <m/>
    <e v="#N/A"/>
    <e v="#N/A"/>
    <n v="90905"/>
    <s v="25000295"/>
    <s v="Jérémie Blache"/>
    <s v="Q4"/>
    <e v="#REF!"/>
    <e v="#REF!"/>
    <e v="#REF!"/>
  </r>
  <r>
    <s v="625100"/>
    <x v="6"/>
    <s v="Voyages et déplacements"/>
    <s v="NDF"/>
    <n v="199"/>
    <d v="2025-06-05T00:00:00"/>
    <s v="TRAIN - SNCF - TRAIN RETOUR CHEMSPEC - COLOGNE"/>
    <m/>
    <e v="#N/A"/>
    <e v="#N/A"/>
    <n v="95933"/>
    <s v="25000338"/>
    <s v="Alain Pinchard"/>
    <s v="Q2"/>
    <e v="#REF!"/>
    <e v="#REF!"/>
    <e v="#REF!"/>
  </r>
  <r>
    <s v="625100"/>
    <x v="6"/>
    <s v="Voyages et déplacements"/>
    <s v="NDF"/>
    <n v="200"/>
    <d v="2025-01-01T00:00:00"/>
    <s v="NOTE DE FRAIS"/>
    <m/>
    <e v="#N/A"/>
    <e v="#N/A"/>
    <n v="73603"/>
    <s v="25000003"/>
    <s v="Jérémie Blache"/>
    <s v="Q1"/>
    <e v="#REF!"/>
    <e v="#REF!"/>
    <e v="#REF!"/>
  </r>
  <r>
    <s v="625100"/>
    <x v="6"/>
    <s v="Voyages et déplacements"/>
    <s v="NDF"/>
    <n v="200"/>
    <d v="2025-02-17T00:00:00"/>
    <s v="NOTE DE FRAIS"/>
    <m/>
    <e v="#N/A"/>
    <e v="#N/A"/>
    <n v="73680"/>
    <s v="25000032"/>
    <s v="Jérémie Blache"/>
    <s v="Q1"/>
    <e v="#REF!"/>
    <e v="#REF!"/>
    <e v="#REF!"/>
  </r>
  <r>
    <s v="625100"/>
    <x v="6"/>
    <s v="Voyages et déplacements"/>
    <s v="NDF"/>
    <n v="200"/>
    <d v="2025-04-10T00:00:00"/>
    <s v="NOTE DE FRAIS"/>
    <m/>
    <e v="#N/A"/>
    <e v="#N/A"/>
    <n v="74305"/>
    <s v="25000116"/>
    <s v="Jérémie Blache"/>
    <s v="Q2"/>
    <e v="#REF!"/>
    <e v="#REF!"/>
    <e v="#REF!"/>
  </r>
  <r>
    <s v="625100"/>
    <x v="6"/>
    <s v="Voyages et déplacements"/>
    <s v="NDF"/>
    <n v="200"/>
    <d v="2025-04-30T00:00:00"/>
    <s v="NOTE DE FRAIS"/>
    <m/>
    <e v="#N/A"/>
    <e v="#N/A"/>
    <n v="74395"/>
    <s v="25000138"/>
    <s v="Jérémie Blache"/>
    <s v="Q2"/>
    <e v="#REF!"/>
    <e v="#REF!"/>
    <e v="#REF!"/>
  </r>
  <r>
    <s v="625100"/>
    <x v="6"/>
    <s v="Voyages et déplacements"/>
    <s v="NDF"/>
    <n v="200.3"/>
    <d v="2025-09-08T00:00:00"/>
    <s v="TRAIN - TRAIN A/R SEPTEMBRE"/>
    <m/>
    <e v="#N/A"/>
    <e v="#N/A"/>
    <n v="88146"/>
    <s v="25000195"/>
    <s v="Pauline Rullière"/>
    <s v="Q3"/>
    <e v="#REF!"/>
    <e v="#REF!"/>
    <e v="#REF!"/>
  </r>
  <r>
    <s v="625100"/>
    <x v="6"/>
    <s v="Voyages et déplacements"/>
    <s v="NDF"/>
    <n v="201.29"/>
    <d v="2025-06-02T00:00:00"/>
    <s v="NDF"/>
    <m/>
    <e v="#N/A"/>
    <e v="#N/A"/>
    <n v="76744"/>
    <s v="25000165"/>
    <s v="Benjamin Barry"/>
    <s v="Q2"/>
    <e v="#REF!"/>
    <e v="#REF!"/>
    <e v="#REF!"/>
  </r>
  <r>
    <s v="625100"/>
    <x v="6"/>
    <s v="Voyages et déplacements"/>
    <s v="NDF"/>
    <n v="204"/>
    <d v="2025-02-18T00:00:00"/>
    <s v="NDF"/>
    <m/>
    <e v="#N/A"/>
    <e v="#N/A"/>
    <n v="75730"/>
    <s v="25000040"/>
    <s v="Maud Sanchez"/>
    <s v="Q1"/>
    <e v="#REF!"/>
    <e v="#REF!"/>
    <e v="#REF!"/>
  </r>
  <r>
    <s v="625100"/>
    <x v="6"/>
    <s v="Voyages et déplacements"/>
    <s v="NDF"/>
    <n v="204.4"/>
    <d v="2025-09-22T00:00:00"/>
    <s v="TRAIN - TRAIN ROUSSILLON"/>
    <m/>
    <e v="#N/A"/>
    <e v="#N/A"/>
    <n v="88468"/>
    <s v="25000253"/>
    <s v="Bob Fernandez"/>
    <s v="Q3"/>
    <e v="#REF!"/>
    <e v="#REF!"/>
    <e v="#REF!"/>
  </r>
  <r>
    <s v="625100"/>
    <x v="6"/>
    <s v="Voyages et déplacements"/>
    <s v="NDF"/>
    <n v="204.45"/>
    <d v="2025-09-02T00:00:00"/>
    <s v="HÔTEL - SEPTEMBRE SEM 1"/>
    <m/>
    <e v="#N/A"/>
    <e v="#N/A"/>
    <n v="88116"/>
    <s v="25000217"/>
    <s v="Jérémie Blache"/>
    <s v="Q3"/>
    <e v="#REF!"/>
    <e v="#REF!"/>
    <e v="#REF!"/>
  </r>
  <r>
    <s v="625100"/>
    <x v="6"/>
    <s v="Voyages et déplacements"/>
    <s v="NDF"/>
    <n v="208.5"/>
    <d v="2025-04-29T00:00:00"/>
    <s v="NOTE DE FRAIS"/>
    <m/>
    <e v="#N/A"/>
    <e v="#N/A"/>
    <n v="74380"/>
    <s v="25000134"/>
    <s v="Julie Lacondemine"/>
    <s v="Q2"/>
    <e v="#REF!"/>
    <e v="#REF!"/>
    <e v="#REF!"/>
  </r>
  <r>
    <s v="625100"/>
    <x v="6"/>
    <s v="Voyages et déplacements"/>
    <s v="NDF"/>
    <n v="209"/>
    <d v="2025-07-04T00:00:00"/>
    <s v="TRAIN - DÉPLACEMENT TOULOUSE-PARIS CHIMIE ANALYTIQUE"/>
    <m/>
    <e v="#N/A"/>
    <e v="#N/A"/>
    <n v="88627"/>
    <s v="25000193"/>
    <s v="Océane Chabret"/>
    <s v="Q3"/>
    <e v="#REF!"/>
    <e v="#REF!"/>
    <e v="#REF!"/>
  </r>
  <r>
    <s v="625100"/>
    <x v="6"/>
    <s v="Voyages et déplacements"/>
    <s v="NDF"/>
    <n v="210"/>
    <d v="2025-10-02T00:00:00"/>
    <s v="TRAIN - AR TGV"/>
    <m/>
    <e v="#N/A"/>
    <e v="#N/A"/>
    <n v="88418"/>
    <s v="25000263"/>
    <s v="Yves Combret"/>
    <s v="Q4"/>
    <e v="#REF!"/>
    <e v="#REF!"/>
    <e v="#REF!"/>
  </r>
  <r>
    <s v="625100"/>
    <x v="6"/>
    <s v="Voyages et déplacements"/>
    <s v="NDF"/>
    <n v="211.45"/>
    <d v="2025-03-28T00:00:00"/>
    <s v="NDF"/>
    <m/>
    <e v="#N/A"/>
    <e v="#N/A"/>
    <n v="76495"/>
    <s v="25000094"/>
    <s v="Benjamin Barry"/>
    <s v="Q1"/>
    <e v="#REF!"/>
    <e v="#REF!"/>
    <e v="#REF!"/>
  </r>
  <r>
    <s v="625100"/>
    <x v="6"/>
    <s v="Voyages et déplacements"/>
    <s v="NDF"/>
    <n v="212.73"/>
    <d v="2025-05-12T00:00:00"/>
    <s v="NOTE DE FRAIS"/>
    <m/>
    <e v="#N/A"/>
    <e v="#N/A"/>
    <n v="74417"/>
    <s v="25000142"/>
    <s v="Océane Chabret"/>
    <s v="Q2"/>
    <e v="#REF!"/>
    <e v="#REF!"/>
    <e v="#REF!"/>
  </r>
  <r>
    <s v="625100"/>
    <x v="6"/>
    <s v="Voyages et déplacements"/>
    <s v="NDF"/>
    <n v="213.29"/>
    <d v="2025-11-24T00:00:00"/>
    <s v="HÔTEL - HOTEL TOULOUSE"/>
    <m/>
    <e v="#N/A"/>
    <e v="#N/A"/>
    <n v="90841"/>
    <s v="25000296"/>
    <s v="Jérémie Blache"/>
    <s v="Q4"/>
    <e v="#REF!"/>
    <e v="#REF!"/>
    <e v="#REF!"/>
  </r>
  <r>
    <s v="625100"/>
    <x v="6"/>
    <s v="Voyages et déplacements"/>
    <s v="NDF"/>
    <n v="215"/>
    <d v="2025-08-12T00:00:00"/>
    <s v="TRAIN - DÉPLACEMENT ROUSSILLON AOÛT 2025"/>
    <m/>
    <e v="#N/A"/>
    <e v="#N/A"/>
    <n v="89072"/>
    <s v="25000207"/>
    <s v="Bob Fernandez"/>
    <s v="Q3"/>
    <e v="#REF!"/>
    <e v="#REF!"/>
    <e v="#REF!"/>
  </r>
  <r>
    <s v="625100"/>
    <x v="6"/>
    <s v="Voyages et déplacements"/>
    <s v="NDF"/>
    <n v="215"/>
    <d v="2025-11-18T00:00:00"/>
    <s v="TRAIN - AR TOULOUSE (SESSION VIDEO AVEC HIPPOLITO)"/>
    <m/>
    <e v="#N/A"/>
    <e v="#N/A"/>
    <n v="93449"/>
    <s v="25000305"/>
    <s v="Marie-Sarah Adenis"/>
    <s v="Q4"/>
    <e v="#REF!"/>
    <e v="#REF!"/>
    <e v="#REF!"/>
  </r>
  <r>
    <s v="625100"/>
    <x v="6"/>
    <s v="Voyages et déplacements"/>
    <s v="NDF"/>
    <n v="217.85"/>
    <d v="2025-07-23T00:00:00"/>
    <s v="AVION - AVION LYON - BUDAPEST"/>
    <m/>
    <e v="#N/A"/>
    <e v="#N/A"/>
    <n v="88861"/>
    <s v="25000194"/>
    <s v="Marie Rézeau"/>
    <s v="Q3"/>
    <e v="#REF!"/>
    <e v="#REF!"/>
    <e v="#REF!"/>
  </r>
  <r>
    <s v="625100"/>
    <x v="6"/>
    <s v="Voyages et déplacements"/>
    <s v="NDF"/>
    <n v="220"/>
    <d v="2025-10-02T00:00:00"/>
    <s v="HÔTEL - NUIT VIENNE - RETOUR BTK : EA ET AP"/>
    <m/>
    <e v="#N/A"/>
    <e v="#N/A"/>
    <n v="95882"/>
    <s v="25000338"/>
    <s v="Alain Pinchard"/>
    <s v="Q4"/>
    <e v="#REF!"/>
    <e v="#REF!"/>
    <e v="#REF!"/>
  </r>
  <r>
    <s v="625100"/>
    <x v="6"/>
    <s v="Voyages et déplacements"/>
    <s v="NDF"/>
    <n v="221.01"/>
    <d v="2025-10-07T00:00:00"/>
    <s v="HÔTEL - RESA 6 OCT 1/2"/>
    <m/>
    <e v="#N/A"/>
    <e v="#N/A"/>
    <n v="88934"/>
    <s v="25000275"/>
    <s v="Jérémie Blache"/>
    <s v="Q4"/>
    <e v="#REF!"/>
    <e v="#REF!"/>
    <e v="#REF!"/>
  </r>
  <r>
    <s v="625100"/>
    <x v="6"/>
    <s v="Voyages et déplacements"/>
    <s v="NDF"/>
    <n v="224"/>
    <d v="2025-10-29T00:00:00"/>
    <s v="TRAIN - AR - VALENCE / PARIS"/>
    <m/>
    <e v="#N/A"/>
    <e v="#N/A"/>
    <n v="88429"/>
    <s v="25000246"/>
    <s v="Maud Sanchez"/>
    <s v="Q4"/>
    <e v="#REF!"/>
    <e v="#REF!"/>
    <e v="#REF!"/>
  </r>
  <r>
    <s v="625100"/>
    <x v="6"/>
    <s v="Voyages et déplacements"/>
    <s v="NDF"/>
    <n v="224.3"/>
    <d v="2025-07-07T00:00:00"/>
    <s v="TRAIN - TRAIN A/R"/>
    <m/>
    <e v="#N/A"/>
    <e v="#N/A"/>
    <n v="89222"/>
    <s v="25000111"/>
    <s v="Pauline Rullière"/>
    <s v="Q3"/>
    <e v="#REF!"/>
    <e v="#REF!"/>
    <e v="#REF!"/>
  </r>
  <r>
    <s v="625100"/>
    <x v="6"/>
    <s v="Voyages et déplacements"/>
    <s v="NDF"/>
    <n v="229.1"/>
    <d v="2025-01-30T00:00:00"/>
    <s v="NDF"/>
    <m/>
    <e v="#N/A"/>
    <e v="#N/A"/>
    <n v="75699"/>
    <s v="25000023"/>
    <s v="Guillaume Boissonnat-Wu"/>
    <s v="Q1"/>
    <e v="#REF!"/>
    <e v="#REF!"/>
    <e v="#REF!"/>
  </r>
  <r>
    <s v="625100"/>
    <x v="6"/>
    <s v="Voyages et déplacements"/>
    <s v="NDF"/>
    <n v="229.83"/>
    <d v="2025-08-24T00:00:00"/>
    <s v="HÔTEL - HOTEL ROUSSILLON"/>
    <m/>
    <e v="#N/A"/>
    <e v="#N/A"/>
    <n v="88110"/>
    <s v="25000210"/>
    <s v="Bob Fernandez"/>
    <s v="Q3"/>
    <e v="#REF!"/>
    <e v="#REF!"/>
    <e v="#REF!"/>
  </r>
  <r>
    <s v="625100"/>
    <x v="6"/>
    <s v="Voyages et déplacements"/>
    <s v="NDF"/>
    <n v="230.58"/>
    <d v="2025-07-15T00:00:00"/>
    <s v="DIVERS - VOITURE LOCATION"/>
    <m/>
    <e v="#N/A"/>
    <e v="#N/A"/>
    <n v="88754"/>
    <s v="25000196"/>
    <s v="Benjamin Barry"/>
    <s v="Q3"/>
    <e v="#REF!"/>
    <e v="#REF!"/>
    <e v="#REF!"/>
  </r>
  <r>
    <s v="625100"/>
    <x v="6"/>
    <s v="Voyages et déplacements"/>
    <s v="NDF"/>
    <n v="232.89"/>
    <d v="2025-12-10T00:00:00"/>
    <s v="HÔTEL - 2 NUITS HOTEL / 2 PETITS DEJEUNERS"/>
    <m/>
    <e v="#N/A"/>
    <e v="#N/A"/>
    <n v="93276"/>
    <s v="25000321"/>
    <s v="Yves Combret"/>
    <s v="Q4"/>
    <e v="#REF!"/>
    <e v="#REF!"/>
    <e v="#REF!"/>
  </r>
  <r>
    <s v="625100"/>
    <x v="6"/>
    <s v="Voyages et déplacements"/>
    <s v="NDF"/>
    <n v="236"/>
    <d v="2025-05-12T00:00:00"/>
    <s v="NOTE DE FRAIS"/>
    <m/>
    <e v="#N/A"/>
    <e v="#N/A"/>
    <n v="74418"/>
    <s v="25000142"/>
    <s v="Océane Chabret"/>
    <s v="Q2"/>
    <e v="#REF!"/>
    <e v="#REF!"/>
    <e v="#REF!"/>
  </r>
  <r>
    <s v="625100"/>
    <x v="6"/>
    <s v="Voyages et déplacements"/>
    <s v="NDF"/>
    <n v="236.3"/>
    <d v="2025-06-18T00:00:00"/>
    <s v="TRAIN - TRAIN A/R ROUSSILLON"/>
    <m/>
    <e v="#N/A"/>
    <e v="#N/A"/>
    <n v="89194"/>
    <s v="25000111"/>
    <s v="Pauline Rullière"/>
    <s v="Q2"/>
    <e v="#REF!"/>
    <e v="#REF!"/>
    <e v="#REF!"/>
  </r>
  <r>
    <s v="625100"/>
    <x v="6"/>
    <s v="Voyages et déplacements"/>
    <s v="NDF"/>
    <n v="241.63"/>
    <d v="2025-01-01T00:00:00"/>
    <s v="NDF"/>
    <m/>
    <e v="#N/A"/>
    <e v="#N/A"/>
    <n v="75654"/>
    <s v="24000356"/>
    <s v="Pauline Rullière"/>
    <s v="Q1"/>
    <e v="#REF!"/>
    <e v="#REF!"/>
    <e v="#REF!"/>
  </r>
  <r>
    <s v="625100"/>
    <x v="6"/>
    <s v="Voyages et déplacements"/>
    <s v="NDF"/>
    <n v="242.14"/>
    <d v="2025-01-30T00:00:00"/>
    <s v="NDF"/>
    <m/>
    <e v="#N/A"/>
    <e v="#N/A"/>
    <n v="75700"/>
    <s v="25000023"/>
    <s v="Guillaume Boissonnat-Wu"/>
    <s v="Q1"/>
    <e v="#REF!"/>
    <e v="#REF!"/>
    <e v="#REF!"/>
  </r>
  <r>
    <s v="625100"/>
    <x v="6"/>
    <s v="Voyages et déplacements"/>
    <s v="NDF"/>
    <n v="242.54"/>
    <d v="2025-10-14T00:00:00"/>
    <s v="HÔTEL - HOTEL 13 OCT"/>
    <m/>
    <e v="#N/A"/>
    <e v="#N/A"/>
    <n v="88936"/>
    <s v="25000275"/>
    <s v="Jérémie Blache"/>
    <s v="Q4"/>
    <e v="#REF!"/>
    <e v="#REF!"/>
    <e v="#REF!"/>
  </r>
  <r>
    <s v="625100"/>
    <x v="6"/>
    <s v="Voyages et déplacements"/>
    <s v="NDF"/>
    <n v="245.5"/>
    <d v="2025-07-25T00:00:00"/>
    <s v="AVION - DÉCALLAGE AVION - BUDAPEST - TOULOUSE"/>
    <m/>
    <e v="#N/A"/>
    <e v="#N/A"/>
    <n v="88731"/>
    <s v="25000196"/>
    <s v="Benjamin Barry"/>
    <s v="Q3"/>
    <e v="#REF!"/>
    <e v="#REF!"/>
    <e v="#REF!"/>
  </r>
  <r>
    <s v="625100"/>
    <x v="6"/>
    <s v="Voyages et déplacements"/>
    <s v="NDF"/>
    <n v="246.36"/>
    <d v="2025-10-06T00:00:00"/>
    <s v="HÔTEL - HOTEL 6 OCT 2/2 (ERREUR DE RÉSERVATION NON REMBOURSABLE)"/>
    <m/>
    <e v="#N/A"/>
    <e v="#N/A"/>
    <n v="88929"/>
    <s v="25000275"/>
    <s v="Jérémie Blache"/>
    <s v="Q4"/>
    <e v="#REF!"/>
    <e v="#REF!"/>
    <e v="#REF!"/>
  </r>
  <r>
    <s v="625100"/>
    <x v="6"/>
    <s v="Voyages et déplacements"/>
    <s v="NDF"/>
    <n v="247"/>
    <d v="2025-06-18T00:00:00"/>
    <s v="TRAIN - AR TGV VALENCE PARIS"/>
    <m/>
    <e v="#N/A"/>
    <e v="#N/A"/>
    <n v="88665"/>
    <s v="25000186"/>
    <s v="Yves Combret"/>
    <s v="Q2"/>
    <e v="#REF!"/>
    <e v="#REF!"/>
    <e v="#REF!"/>
  </r>
  <r>
    <s v="625100"/>
    <x v="6"/>
    <s v="Voyages et déplacements"/>
    <s v="NDF"/>
    <n v="247.47"/>
    <d v="2025-03-06T00:00:00"/>
    <s v="RESTAURANT MIDI - DÉJEUNER EQUIPE ROUSSILLON"/>
    <m/>
    <e v="#N/A"/>
    <e v="#N/A"/>
    <n v="95946"/>
    <s v="25000338"/>
    <s v="Alain Pinchard"/>
    <s v="Q1"/>
    <e v="#REF!"/>
    <e v="#REF!"/>
    <e v="#REF!"/>
  </r>
  <r>
    <s v="625100"/>
    <x v="6"/>
    <s v="Voyages et déplacements"/>
    <s v="NDF"/>
    <n v="247.6"/>
    <d v="2025-01-01T00:00:00"/>
    <s v="NDF"/>
    <m/>
    <e v="#N/A"/>
    <e v="#N/A"/>
    <n v="75655"/>
    <s v="24000356"/>
    <s v="Pauline Rullière"/>
    <s v="Q1"/>
    <e v="#REF!"/>
    <e v="#REF!"/>
    <e v="#REF!"/>
  </r>
  <r>
    <s v="625100"/>
    <x v="6"/>
    <s v="Voyages et déplacements"/>
    <s v="NDF"/>
    <n v="248.4"/>
    <d v="2025-10-01T00:00:00"/>
    <s v="HÔTEL - KRANZ PARKHOTEL"/>
    <m/>
    <e v="#N/A"/>
    <e v="#N/A"/>
    <n v="88449"/>
    <s v="25000259"/>
    <s v="Guillaume Boissonnat-Wu"/>
    <s v="Q4"/>
    <e v="#REF!"/>
    <e v="#REF!"/>
    <e v="#REF!"/>
  </r>
  <r>
    <s v="625100"/>
    <x v="6"/>
    <s v="Voyages et déplacements"/>
    <s v="NDF"/>
    <n v="248.73"/>
    <d v="2025-05-09T00:00:00"/>
    <s v="NOTE DE FRAIS"/>
    <m/>
    <e v="#N/A"/>
    <e v="#N/A"/>
    <n v="74414"/>
    <s v="25000140"/>
    <s v="Thibault Dejardin"/>
    <s v="Q2"/>
    <e v="#REF!"/>
    <e v="#REF!"/>
    <e v="#REF!"/>
  </r>
  <r>
    <s v="625100"/>
    <x v="6"/>
    <s v="Voyages et déplacements"/>
    <s v="NDF"/>
    <n v="250.48"/>
    <d v="2025-04-08T00:00:00"/>
    <s v="NOTE DE FRAIS"/>
    <m/>
    <e v="#N/A"/>
    <e v="#N/A"/>
    <n v="74303"/>
    <s v="25000110"/>
    <s v="Bob Fernandez"/>
    <s v="Q2"/>
    <e v="#REF!"/>
    <e v="#REF!"/>
    <e v="#REF!"/>
  </r>
  <r>
    <s v="625100"/>
    <x v="6"/>
    <s v="Voyages et déplacements"/>
    <s v="NDF"/>
    <n v="254.22"/>
    <d v="2025-08-28T00:00:00"/>
    <s v="DIVERS - LOCATION VOITURE DÉPLACEMENT BIOTIKA"/>
    <m/>
    <e v="#N/A"/>
    <e v="#N/A"/>
    <n v="88106"/>
    <s v="25000212"/>
    <s v="Bob Fernandez"/>
    <s v="Q3"/>
    <e v="#REF!"/>
    <e v="#REF!"/>
    <e v="#REF!"/>
  </r>
  <r>
    <s v="625100"/>
    <x v="6"/>
    <s v="Voyages et déplacements"/>
    <s v="NDF"/>
    <n v="255.78"/>
    <d v="2025-04-10T00:00:00"/>
    <s v="NOTE DE FRAIS"/>
    <m/>
    <e v="#N/A"/>
    <e v="#N/A"/>
    <n v="74319"/>
    <s v="25000112"/>
    <s v="Marie Rézeau"/>
    <s v="Q2"/>
    <e v="#REF!"/>
    <e v="#REF!"/>
    <e v="#REF!"/>
  </r>
  <r>
    <s v="625100"/>
    <x v="6"/>
    <s v="Voyages et déplacements"/>
    <s v="NDF"/>
    <n v="257.10000000000002"/>
    <d v="2025-05-17T00:00:00"/>
    <s v="NDF"/>
    <m/>
    <e v="#N/A"/>
    <e v="#N/A"/>
    <n v="76515"/>
    <s v="25000151"/>
    <s v="Guillaume Boissonnat-Wu"/>
    <s v="Q2"/>
    <e v="#REF!"/>
    <e v="#REF!"/>
    <e v="#REF!"/>
  </r>
  <r>
    <s v="625100"/>
    <x v="6"/>
    <s v="Voyages et déplacements"/>
    <s v="NDF"/>
    <n v="260.73"/>
    <d v="2025-01-27T00:00:00"/>
    <s v="NOTE DE FRAIS"/>
    <m/>
    <e v="#N/A"/>
    <e v="#N/A"/>
    <n v="73639"/>
    <s v="25000019"/>
    <s v="Audrey Baylac"/>
    <s v="Q1"/>
    <e v="#REF!"/>
    <e v="#REF!"/>
    <e v="#REF!"/>
  </r>
  <r>
    <s v="625100"/>
    <x v="6"/>
    <s v="Voyages et déplacements"/>
    <s v="NDF"/>
    <n v="266"/>
    <d v="2025-03-12T00:00:00"/>
    <s v="NOTE DE FRAIS"/>
    <m/>
    <e v="#N/A"/>
    <e v="#N/A"/>
    <n v="73719"/>
    <s v="25000072"/>
    <s v="Océane Chabret"/>
    <s v="Q1"/>
    <e v="#REF!"/>
    <e v="#REF!"/>
    <e v="#REF!"/>
  </r>
  <r>
    <s v="625100"/>
    <x v="6"/>
    <s v="Voyages et déplacements"/>
    <s v="NDF"/>
    <n v="274.49"/>
    <d v="2025-02-13T00:00:00"/>
    <s v="NOTE DE FRAIS"/>
    <m/>
    <e v="#N/A"/>
    <e v="#N/A"/>
    <n v="73678"/>
    <s v="25000041"/>
    <s v="Bob Fernandez"/>
    <s v="Q1"/>
    <e v="#REF!"/>
    <e v="#REF!"/>
    <e v="#REF!"/>
  </r>
  <r>
    <s v="625100"/>
    <x v="6"/>
    <s v="Voyages et déplacements"/>
    <s v="NDF"/>
    <n v="279.43"/>
    <d v="2025-12-04T00:00:00"/>
    <s v="HÔTEL - HOTEL PARIS 10 ANS"/>
    <m/>
    <e v="#N/A"/>
    <e v="#N/A"/>
    <n v="93317"/>
    <s v="25000309"/>
    <s v="Jérémie Blache"/>
    <s v="Q4"/>
    <e v="#REF!"/>
    <e v="#REF!"/>
    <e v="#REF!"/>
  </r>
  <r>
    <s v="625100"/>
    <x v="6"/>
    <s v="Voyages et déplacements"/>
    <s v="NDF"/>
    <n v="281.83"/>
    <d v="2025-09-22T00:00:00"/>
    <s v="HÔTEL - HOTEL ROUSSILLON"/>
    <m/>
    <e v="#N/A"/>
    <e v="#N/A"/>
    <n v="88455"/>
    <s v="25000253"/>
    <s v="Bob Fernandez"/>
    <s v="Q3"/>
    <e v="#REF!"/>
    <e v="#REF!"/>
    <e v="#REF!"/>
  </r>
  <r>
    <s v="625100"/>
    <x v="6"/>
    <s v="Voyages et déplacements"/>
    <s v="NDF"/>
    <n v="295.20999999999998"/>
    <d v="2025-05-20T00:00:00"/>
    <s v="AVION - AVION KO MEETING WOODVALOR LONDON"/>
    <m/>
    <e v="#N/A"/>
    <e v="#N/A"/>
    <n v="89189"/>
    <s v="25000111"/>
    <s v="Pauline Rullière"/>
    <s v="Q2"/>
    <e v="#REF!"/>
    <e v="#REF!"/>
    <e v="#REF!"/>
  </r>
  <r>
    <s v="625100"/>
    <x v="6"/>
    <s v="Voyages et déplacements"/>
    <s v="NDF"/>
    <n v="298.99"/>
    <d v="2025-10-02T00:00:00"/>
    <s v="HÔTEL - 1 NUIT HOTEL"/>
    <m/>
    <e v="#N/A"/>
    <e v="#N/A"/>
    <n v="88424"/>
    <s v="25000263"/>
    <s v="Yves Combret"/>
    <s v="Q4"/>
    <e v="#REF!"/>
    <e v="#REF!"/>
    <e v="#REF!"/>
  </r>
  <r>
    <s v="625100"/>
    <x v="6"/>
    <s v="Voyages et déplacements"/>
    <s v="NDF"/>
    <n v="299.38"/>
    <d v="2025-07-04T00:00:00"/>
    <s v="HÔTEL - DÉPLACEMENT TOULOUSE-PARIS CHIMIE ANALYTIQUE"/>
    <m/>
    <e v="#N/A"/>
    <e v="#N/A"/>
    <n v="88629"/>
    <s v="25000193"/>
    <s v="Océane Chabret"/>
    <s v="Q3"/>
    <e v="#REF!"/>
    <e v="#REF!"/>
    <e v="#REF!"/>
  </r>
  <r>
    <s v="625100"/>
    <x v="6"/>
    <s v="Voyages et déplacements"/>
    <s v="NDF"/>
    <n v="300"/>
    <d v="2025-01-01T00:00:00"/>
    <s v="NDF"/>
    <m/>
    <e v="#N/A"/>
    <e v="#N/A"/>
    <n v="75670"/>
    <s v="25000009"/>
    <s v="Pauline Rullière"/>
    <s v="Q1"/>
    <e v="#REF!"/>
    <e v="#REF!"/>
    <e v="#REF!"/>
  </r>
  <r>
    <s v="625100"/>
    <x v="6"/>
    <s v="Voyages et déplacements"/>
    <s v="NDF"/>
    <n v="300"/>
    <d v="2025-06-01T00:00:00"/>
    <s v="NDF"/>
    <m/>
    <e v="#N/A"/>
    <e v="#N/A"/>
    <n v="76540"/>
    <s v="25000175"/>
    <s v="Jérémie Blache"/>
    <s v="Q2"/>
    <e v="#REF!"/>
    <e v="#REF!"/>
    <e v="#REF!"/>
  </r>
  <r>
    <s v="625100"/>
    <x v="6"/>
    <s v="Voyages et déplacements"/>
    <s v="NDF"/>
    <n v="310.02"/>
    <d v="2025-11-26T00:00:00"/>
    <s v="HÔTEL - NUITS PARIS NOV"/>
    <m/>
    <e v="#N/A"/>
    <e v="#N/A"/>
    <n v="93357"/>
    <s v="25000303"/>
    <s v="Jérémie Blache"/>
    <s v="Q4"/>
    <e v="#REF!"/>
    <e v="#REF!"/>
    <e v="#REF!"/>
  </r>
  <r>
    <s v="625100"/>
    <x v="6"/>
    <s v="Voyages et déplacements"/>
    <s v="NDF"/>
    <n v="311"/>
    <d v="2025-11-24T00:00:00"/>
    <s v="HÔTEL - NUIT KP AMSTERDAM"/>
    <m/>
    <e v="#N/A"/>
    <e v="#N/A"/>
    <n v="90949"/>
    <s v="25000284"/>
    <s v="Pierre-Yves Bolle"/>
    <s v="Q4"/>
    <e v="#REF!"/>
    <e v="#REF!"/>
    <e v="#REF!"/>
  </r>
  <r>
    <s v="625100"/>
    <x v="6"/>
    <s v="Voyages et déplacements"/>
    <s v="NDF"/>
    <n v="318.52999999999997"/>
    <d v="2025-02-19T00:00:00"/>
    <s v="NOTE DE FRAIS"/>
    <m/>
    <e v="#N/A"/>
    <e v="#N/A"/>
    <n v="73682"/>
    <s v="25000045"/>
    <s v="Bob Fernandez"/>
    <s v="Q1"/>
    <e v="#REF!"/>
    <e v="#REF!"/>
    <e v="#REF!"/>
  </r>
  <r>
    <s v="625100"/>
    <x v="6"/>
    <s v="Voyages et déplacements"/>
    <s v="NDF"/>
    <n v="326.5"/>
    <d v="2025-10-02T00:00:00"/>
    <s v="HÔTEL - HOTEL CS"/>
    <m/>
    <e v="#N/A"/>
    <e v="#N/A"/>
    <n v="88615"/>
    <s v="25000222"/>
    <s v="Pauline Rullière"/>
    <s v="Q4"/>
    <e v="#REF!"/>
    <e v="#REF!"/>
    <e v="#REF!"/>
  </r>
  <r>
    <s v="625100"/>
    <x v="6"/>
    <s v="Voyages et déplacements"/>
    <s v="NDF"/>
    <n v="330.4"/>
    <d v="2025-01-31T00:00:00"/>
    <s v="NOTE DE FRAIS"/>
    <m/>
    <e v="#N/A"/>
    <e v="#N/A"/>
    <n v="74179"/>
    <s v="25000001"/>
    <s v="Alain Pinchard"/>
    <s v="Q1"/>
    <e v="#REF!"/>
    <e v="#REF!"/>
    <e v="#REF!"/>
  </r>
  <r>
    <s v="625100"/>
    <x v="6"/>
    <s v="Voyages et déplacements"/>
    <s v="NDF"/>
    <n v="332.45"/>
    <d v="2025-03-09T00:00:00"/>
    <s v="NDF"/>
    <m/>
    <e v="#N/A"/>
    <e v="#N/A"/>
    <n v="75762"/>
    <s v="25000069"/>
    <s v="Marie-Sarah Adenis"/>
    <s v="Q1"/>
    <e v="#REF!"/>
    <e v="#REF!"/>
    <e v="#REF!"/>
  </r>
  <r>
    <s v="625100"/>
    <x v="6"/>
    <s v="Voyages et déplacements"/>
    <s v="NDF"/>
    <n v="344.4"/>
    <d v="2025-06-05T00:00:00"/>
    <s v="HÔTEL - HOTEL 2N - AP - CHEMSPEC"/>
    <m/>
    <e v="#N/A"/>
    <e v="#N/A"/>
    <n v="95841"/>
    <s v="25000338"/>
    <s v="Alain Pinchard"/>
    <s v="Q2"/>
    <e v="#REF!"/>
    <e v="#REF!"/>
    <e v="#REF!"/>
  </r>
  <r>
    <s v="625100"/>
    <x v="6"/>
    <s v="Voyages et déplacements"/>
    <s v="NDF"/>
    <n v="346"/>
    <d v="2025-09-21T00:00:00"/>
    <s v="TRAIN - TRAIN ALLER RMC MATERIALS"/>
    <m/>
    <e v="#N/A"/>
    <e v="#N/A"/>
    <n v="88156"/>
    <s v="25000195"/>
    <s v="Pauline Rullière"/>
    <s v="Q3"/>
    <e v="#REF!"/>
    <e v="#REF!"/>
    <e v="#REF!"/>
  </r>
  <r>
    <s v="625100"/>
    <x v="6"/>
    <s v="Voyages et déplacements"/>
    <s v="NDF"/>
    <n v="349.67"/>
    <d v="2025-03-03T00:00:00"/>
    <s v="NOTE DE FRAIS"/>
    <m/>
    <e v="#N/A"/>
    <e v="#N/A"/>
    <n v="74274"/>
    <s v="25000058"/>
    <s v="Lucie Crépin"/>
    <s v="Q1"/>
    <e v="#REF!"/>
    <e v="#REF!"/>
    <e v="#REF!"/>
  </r>
  <r>
    <s v="625100"/>
    <x v="6"/>
    <s v="Voyages et déplacements"/>
    <s v="NDF"/>
    <n v="358.81"/>
    <d v="2025-01-31T00:00:00"/>
    <s v="NOTE DE FRAIS"/>
    <m/>
    <e v="#N/A"/>
    <e v="#N/A"/>
    <n v="74180"/>
    <s v="25000001"/>
    <s v="Alain Pinchard"/>
    <s v="Q1"/>
    <e v="#REF!"/>
    <e v="#REF!"/>
    <e v="#REF!"/>
  </r>
  <r>
    <s v="625100"/>
    <x v="6"/>
    <s v="Voyages et déplacements"/>
    <s v="NDF"/>
    <n v="361.5"/>
    <d v="2025-03-26T00:00:00"/>
    <s v="NDF"/>
    <m/>
    <e v="#N/A"/>
    <e v="#N/A"/>
    <n v="75810"/>
    <s v="25000086"/>
    <s v="Pauline Rullière"/>
    <s v="Q1"/>
    <e v="#REF!"/>
    <e v="#REF!"/>
    <e v="#REF!"/>
  </r>
  <r>
    <s v="625100"/>
    <x v="6"/>
    <s v="Voyages et déplacements"/>
    <s v="NDF"/>
    <n v="373.55"/>
    <d v="2025-01-01T00:00:00"/>
    <s v="NDF"/>
    <m/>
    <e v="#N/A"/>
    <e v="#N/A"/>
    <n v="75649"/>
    <s v="24000393"/>
    <s v="Kevin Cottet"/>
    <s v="Q1"/>
    <e v="#REF!"/>
    <e v="#REF!"/>
    <e v="#REF!"/>
  </r>
  <r>
    <s v="625100"/>
    <x v="6"/>
    <s v="Voyages et déplacements"/>
    <s v="NDF"/>
    <n v="374.9"/>
    <d v="2025-03-06T00:00:00"/>
    <s v="NDF"/>
    <m/>
    <e v="#N/A"/>
    <e v="#N/A"/>
    <n v="75760"/>
    <s v="25000062"/>
    <s v="Nicolas Canu"/>
    <s v="Q1"/>
    <e v="#REF!"/>
    <e v="#REF!"/>
    <e v="#REF!"/>
  </r>
  <r>
    <s v="625100"/>
    <x v="6"/>
    <s v="Voyages et déplacements"/>
    <s v="NDF"/>
    <n v="384.15"/>
    <d v="2025-06-04T00:00:00"/>
    <s v="NDF"/>
    <m/>
    <e v="#N/A"/>
    <e v="#N/A"/>
    <n v="76746"/>
    <s v="25000164"/>
    <s v="Marie-Sarah Adenis"/>
    <s v="Q2"/>
    <e v="#REF!"/>
    <e v="#REF!"/>
    <e v="#REF!"/>
  </r>
  <r>
    <s v="625100"/>
    <x v="6"/>
    <s v="Voyages et déplacements"/>
    <s v="NDF"/>
    <n v="398.79"/>
    <d v="2025-04-15T00:00:00"/>
    <s v="NDF"/>
    <m/>
    <e v="#N/A"/>
    <e v="#N/A"/>
    <n v="76502"/>
    <s v="25000167"/>
    <s v="Anne-Sophie Goutierre"/>
    <s v="Q2"/>
    <e v="#REF!"/>
    <e v="#REF!"/>
    <e v="#REF!"/>
  </r>
  <r>
    <s v="625100"/>
    <x v="6"/>
    <s v="Voyages et déplacements"/>
    <s v="NDF"/>
    <n v="400"/>
    <d v="2025-12-11T00:00:00"/>
    <s v="RESTAURANT MIDI - REPAS MIDI PS DÉCEMBRE 2025"/>
    <m/>
    <e v="#N/A"/>
    <e v="#N/A"/>
    <n v="93270"/>
    <s v="25000322"/>
    <s v="Lucie Crépin"/>
    <s v="Q4"/>
    <e v="#REF!"/>
    <e v="#REF!"/>
    <e v="#REF!"/>
  </r>
  <r>
    <s v="625100"/>
    <x v="6"/>
    <s v="Voyages et déplacements"/>
    <s v="NDF"/>
    <n v="407.1"/>
    <d v="2025-03-26T00:00:00"/>
    <s v="NDF"/>
    <m/>
    <e v="#N/A"/>
    <e v="#N/A"/>
    <n v="75804"/>
    <s v="25000052"/>
    <s v="Maud Sanchez"/>
    <s v="Q1"/>
    <e v="#REF!"/>
    <e v="#REF!"/>
    <e v="#REF!"/>
  </r>
  <r>
    <s v="625100"/>
    <x v="6"/>
    <s v="Voyages et déplacements"/>
    <s v="NDF"/>
    <n v="411.75"/>
    <d v="2025-12-01T00:00:00"/>
    <s v="HÔTEL - HOTEL KB"/>
    <m/>
    <e v="#N/A"/>
    <e v="#N/A"/>
    <n v="93471"/>
    <s v="25000289"/>
    <s v="Pauline Rullière"/>
    <s v="Q4"/>
    <e v="#REF!"/>
    <e v="#REF!"/>
    <e v="#REF!"/>
  </r>
  <r>
    <s v="625100"/>
    <x v="6"/>
    <s v="Voyages et déplacements"/>
    <s v="NDF"/>
    <n v="424.7"/>
    <d v="2025-03-19T00:00:00"/>
    <s v="NDF"/>
    <m/>
    <e v="#N/A"/>
    <e v="#N/A"/>
    <n v="75785"/>
    <s v="250000021"/>
    <s v="Marie Rézeau"/>
    <s v="Q1"/>
    <e v="#REF!"/>
    <e v="#REF!"/>
    <e v="#REF!"/>
  </r>
  <r>
    <s v="625100"/>
    <x v="6"/>
    <s v="Voyages et déplacements"/>
    <s v="NDF"/>
    <n v="437.86"/>
    <d v="2025-01-13T00:00:00"/>
    <s v="NOTE DE FRAIS"/>
    <m/>
    <e v="#N/A"/>
    <e v="#N/A"/>
    <n v="73616"/>
    <s v="25000007"/>
    <s v="Benjamin Barry"/>
    <s v="Q1"/>
    <e v="#REF!"/>
    <e v="#REF!"/>
    <e v="#REF!"/>
  </r>
  <r>
    <s v="625100"/>
    <x v="6"/>
    <s v="Voyages et déplacements"/>
    <s v="NDF"/>
    <n v="437.92"/>
    <d v="2025-05-27T00:00:00"/>
    <s v="NDF"/>
    <m/>
    <e v="#N/A"/>
    <e v="#N/A"/>
    <n v="76742"/>
    <s v="25000159"/>
    <s v="Marie-Sarah Adenis"/>
    <s v="Q2"/>
    <e v="#REF!"/>
    <e v="#REF!"/>
    <e v="#REF!"/>
  </r>
  <r>
    <s v="625100"/>
    <x v="6"/>
    <s v="Voyages et déplacements"/>
    <s v="NDF"/>
    <n v="443.43"/>
    <d v="2025-02-04T00:00:00"/>
    <s v="NDF"/>
    <m/>
    <e v="#N/A"/>
    <e v="#N/A"/>
    <n v="75706"/>
    <s v="25000070"/>
    <s v="Kevin Cottet"/>
    <s v="Q1"/>
    <e v="#REF!"/>
    <e v="#REF!"/>
    <e v="#REF!"/>
  </r>
  <r>
    <s v="625100"/>
    <x v="6"/>
    <s v="Voyages et déplacements"/>
    <s v="NDF"/>
    <n v="444.31"/>
    <d v="2025-11-24T00:00:00"/>
    <s v="DIVERS - LOCATION VOITURE"/>
    <m/>
    <e v="#N/A"/>
    <e v="#N/A"/>
    <n v="90965"/>
    <s v="25000265"/>
    <s v="Marie Rézeau"/>
    <s v="Q4"/>
    <e v="#REF!"/>
    <e v="#REF!"/>
    <e v="#REF!"/>
  </r>
  <r>
    <s v="625100"/>
    <x v="6"/>
    <s v="Voyages et déplacements"/>
    <s v="NDF"/>
    <n v="482.71"/>
    <d v="2025-06-03T00:00:00"/>
    <s v="NDF"/>
    <m/>
    <e v="#N/A"/>
    <e v="#N/A"/>
    <n v="76559"/>
    <s v="25000162"/>
    <s v="Bob Fernandez"/>
    <s v="Q2"/>
    <e v="#REF!"/>
    <e v="#REF!"/>
    <e v="#REF!"/>
  </r>
  <r>
    <s v="625100"/>
    <x v="6"/>
    <s v="Voyages et déplacements"/>
    <s v="NDF"/>
    <n v="499.26"/>
    <d v="2025-12-10T00:00:00"/>
    <s v="FRAIS KILOMÉTRIQUES - AR DOMICILE VEGEXTRA &amp; VEGEXTRA HOTEL"/>
    <m/>
    <e v="#N/A"/>
    <e v="#N/A"/>
    <n v="93306"/>
    <s v="25000332"/>
    <s v="Yves Combret"/>
    <s v="Q4"/>
    <e v="#REF!"/>
    <e v="#REF!"/>
    <e v="#REF!"/>
  </r>
  <r>
    <s v="625100"/>
    <x v="6"/>
    <s v="Voyages et déplacements"/>
    <s v="NDF"/>
    <n v="504.28"/>
    <d v="2025-02-28T00:00:00"/>
    <s v="CB PASSIM"/>
    <m/>
    <e v="#N/A"/>
    <e v="#N/A"/>
    <n v="76793"/>
    <m/>
    <s v="Pascal Simonney"/>
    <s v="Q1"/>
    <e v="#REF!"/>
    <e v="#REF!"/>
    <e v="#REF!"/>
  </r>
  <r>
    <s v="625100"/>
    <x v="6"/>
    <s v="Voyages et déplacements"/>
    <s v="NDF"/>
    <n v="506.2"/>
    <d v="2025-03-19T00:00:00"/>
    <s v="NDF"/>
    <m/>
    <e v="#N/A"/>
    <e v="#N/A"/>
    <n v="75786"/>
    <s v="250000021"/>
    <s v="Marie Rézeau"/>
    <s v="Q1"/>
    <e v="#REF!"/>
    <e v="#REF!"/>
    <e v="#REF!"/>
  </r>
  <r>
    <s v="625100"/>
    <x v="6"/>
    <s v="Voyages et déplacements"/>
    <s v="NDF"/>
    <n v="513.29999999999995"/>
    <d v="2025-01-01T00:00:00"/>
    <s v="NOTE DE FRAIS"/>
    <m/>
    <e v="#N/A"/>
    <e v="#N/A"/>
    <n v="73611"/>
    <s v="25000008"/>
    <s v="Emilie Amillastré"/>
    <s v="Q1"/>
    <e v="#REF!"/>
    <e v="#REF!"/>
    <e v="#REF!"/>
  </r>
  <r>
    <s v="625100"/>
    <x v="6"/>
    <s v="Voyages et déplacements"/>
    <s v="NDF"/>
    <n v="525.16"/>
    <d v="2025-10-02T00:00:00"/>
    <s v="HÔTEL - HOTEL PARIS ANNULÉ NON REMBOURSABLE"/>
    <m/>
    <e v="#N/A"/>
    <e v="#N/A"/>
    <n v="88399"/>
    <s v="25000258"/>
    <s v="Jérémie Blache"/>
    <s v="Q4"/>
    <e v="#REF!"/>
    <e v="#REF!"/>
    <e v="#REF!"/>
  </r>
  <r>
    <s v="625100"/>
    <x v="6"/>
    <s v="Voyages et déplacements"/>
    <s v="NDF"/>
    <n v="529.91999999999996"/>
    <d v="2025-06-18T00:00:00"/>
    <s v="NDF"/>
    <m/>
    <e v="#N/A"/>
    <e v="#N/A"/>
    <n v="76748"/>
    <s v="41722"/>
    <s v="Yves Combret"/>
    <s v="Q2"/>
    <e v="#REF!"/>
    <e v="#REF!"/>
    <e v="#REF!"/>
  </r>
  <r>
    <s v="625100"/>
    <x v="6"/>
    <s v="Voyages et déplacements"/>
    <s v="NDF"/>
    <n v="542.49"/>
    <d v="2025-03-20T00:00:00"/>
    <s v="NOTE DE FRAIS"/>
    <m/>
    <e v="#N/A"/>
    <e v="#N/A"/>
    <n v="73727"/>
    <s v="25000078"/>
    <s v="Océane Chabret"/>
    <s v="Q1"/>
    <e v="#REF!"/>
    <e v="#REF!"/>
    <e v="#REF!"/>
  </r>
  <r>
    <s v="625100"/>
    <x v="6"/>
    <s v="Voyages et déplacements"/>
    <s v="NDF"/>
    <n v="543.66999999999996"/>
    <d v="2025-03-26T00:00:00"/>
    <s v="NDF"/>
    <m/>
    <e v="#N/A"/>
    <e v="#N/A"/>
    <n v="75811"/>
    <s v="25000086"/>
    <s v="Pauline Rullière"/>
    <s v="Q1"/>
    <e v="#REF!"/>
    <e v="#REF!"/>
    <e v="#REF!"/>
  </r>
  <r>
    <s v="625100"/>
    <x v="6"/>
    <s v="Voyages et déplacements"/>
    <s v="NDF"/>
    <n v="557.73"/>
    <d v="2025-03-02T00:00:00"/>
    <s v="NDF"/>
    <m/>
    <e v="#N/A"/>
    <e v="#N/A"/>
    <n v="75742"/>
    <s v="25000043"/>
    <s v="Pauline Rullière"/>
    <s v="Q1"/>
    <e v="#REF!"/>
    <e v="#REF!"/>
    <e v="#REF!"/>
  </r>
  <r>
    <s v="625100"/>
    <x v="6"/>
    <s v="Voyages et déplacements"/>
    <s v="NDF"/>
    <n v="561.1"/>
    <d v="2025-01-01T00:00:00"/>
    <s v="NOTE DE FRAIS"/>
    <m/>
    <e v="#N/A"/>
    <e v="#N/A"/>
    <n v="74161"/>
    <s v="24000043"/>
    <s v="Alain Pinchard"/>
    <s v="Q1"/>
    <e v="#REF!"/>
    <e v="#REF!"/>
    <e v="#REF!"/>
  </r>
  <r>
    <s v="625100"/>
    <x v="6"/>
    <s v="Voyages et déplacements"/>
    <s v="NDF"/>
    <n v="577.20000000000005"/>
    <d v="2025-05-06T00:00:00"/>
    <s v="NDF"/>
    <m/>
    <e v="#N/A"/>
    <e v="#N/A"/>
    <n v="76509"/>
    <s v="25000168"/>
    <s v="Kevin Cottet"/>
    <s v="Q2"/>
    <e v="#REF!"/>
    <e v="#REF!"/>
    <e v="#REF!"/>
  </r>
  <r>
    <s v="625100"/>
    <x v="6"/>
    <s v="Voyages et déplacements"/>
    <s v="NDF"/>
    <n v="584.67999999999995"/>
    <d v="2025-01-07T00:00:00"/>
    <s v="NDF"/>
    <m/>
    <e v="#N/A"/>
    <e v="#N/A"/>
    <n v="75681"/>
    <s v="3307202564"/>
    <s v="Pierre-Yves Bolle"/>
    <s v="Q1"/>
    <e v="#REF!"/>
    <e v="#REF!"/>
    <e v="#REF!"/>
  </r>
  <r>
    <s v="625100"/>
    <x v="6"/>
    <s v="Voyages et déplacements"/>
    <s v="NDF"/>
    <n v="587.20000000000005"/>
    <d v="2025-02-08T00:00:00"/>
    <s v="NDF"/>
    <m/>
    <e v="#N/A"/>
    <e v="#N/A"/>
    <n v="75718"/>
    <s v="25000030"/>
    <s v="Kevin Cottet"/>
    <s v="Q1"/>
    <e v="#REF!"/>
    <e v="#REF!"/>
    <e v="#REF!"/>
  </r>
  <r>
    <s v="625100"/>
    <x v="6"/>
    <s v="Voyages et déplacements"/>
    <s v="NDF"/>
    <n v="592"/>
    <d v="2025-03-05T00:00:00"/>
    <s v="NDF"/>
    <m/>
    <e v="#N/A"/>
    <e v="#N/A"/>
    <n v="75756"/>
    <s v="25000065"/>
    <s v="Guillaume Boissonnat-Wu"/>
    <s v="Q1"/>
    <e v="#REF!"/>
    <e v="#REF!"/>
    <e v="#REF!"/>
  </r>
  <r>
    <s v="625100"/>
    <x v="6"/>
    <s v="Voyages et déplacements"/>
    <s v="NDF"/>
    <n v="594.1"/>
    <d v="2025-08-28T00:00:00"/>
    <s v="AVION - DÉPLACEMENT BIOTIKA 2025"/>
    <m/>
    <e v="#N/A"/>
    <e v="#N/A"/>
    <n v="88078"/>
    <s v="25000212"/>
    <s v="Bob Fernandez"/>
    <s v="Q3"/>
    <e v="#REF!"/>
    <e v="#REF!"/>
    <e v="#REF!"/>
  </r>
  <r>
    <s v="625100"/>
    <x v="6"/>
    <s v="Voyages et déplacements"/>
    <s v="NDF"/>
    <n v="594.1"/>
    <d v="2025-08-28T00:00:00"/>
    <s v="AVION - DÉPLACEMENT BIOTIKA 2025 (EMILIE)"/>
    <m/>
    <e v="#N/A"/>
    <e v="#N/A"/>
    <n v="88080"/>
    <s v="25000212"/>
    <s v="Bob Fernandez"/>
    <s v="Q3"/>
    <e v="#REF!"/>
    <e v="#REF!"/>
    <e v="#REF!"/>
  </r>
  <r>
    <s v="625100"/>
    <x v="6"/>
    <s v="Voyages et déplacements"/>
    <s v="NDF"/>
    <n v="600"/>
    <d v="2025-01-27T00:00:00"/>
    <s v="NOTE DE FRAIS"/>
    <m/>
    <e v="#N/A"/>
    <e v="#N/A"/>
    <n v="73641"/>
    <s v="25000002"/>
    <s v="Jérémie Blache"/>
    <s v="Q1"/>
    <e v="#REF!"/>
    <e v="#REF!"/>
    <e v="#REF!"/>
  </r>
  <r>
    <s v="625100"/>
    <x v="6"/>
    <s v="Voyages et déplacements"/>
    <s v="NDF"/>
    <n v="600"/>
    <d v="2025-02-01T00:00:00"/>
    <s v="NDF"/>
    <m/>
    <e v="#N/A"/>
    <e v="#N/A"/>
    <n v="76459"/>
    <s v="25000031"/>
    <s v="Jérémie Blache"/>
    <s v="Q1"/>
    <e v="#REF!"/>
    <e v="#REF!"/>
    <e v="#REF!"/>
  </r>
  <r>
    <s v="625100"/>
    <x v="6"/>
    <s v="Voyages et déplacements"/>
    <s v="NDF"/>
    <n v="600"/>
    <d v="2025-03-01T00:00:00"/>
    <s v="NDF"/>
    <m/>
    <e v="#N/A"/>
    <e v="#N/A"/>
    <n v="76473"/>
    <s v="25000063"/>
    <s v="Jérémie Blache"/>
    <s v="Q1"/>
    <e v="#REF!"/>
    <e v="#REF!"/>
    <e v="#REF!"/>
  </r>
  <r>
    <s v="625100"/>
    <x v="6"/>
    <s v="Voyages et déplacements"/>
    <s v="NDF"/>
    <n v="600"/>
    <d v="2025-06-24T00:00:00"/>
    <s v="NDF"/>
    <m/>
    <e v="#N/A"/>
    <e v="#N/A"/>
    <n v="76617"/>
    <s v="25000163"/>
    <s v="Jérémie Blache"/>
    <s v="Q2"/>
    <e v="#REF!"/>
    <e v="#REF!"/>
    <e v="#REF!"/>
  </r>
  <r>
    <s v="625100"/>
    <x v="6"/>
    <s v="Voyages et déplacements"/>
    <s v="NDF"/>
    <n v="604.79999999999995"/>
    <d v="2025-01-01T00:00:00"/>
    <s v="NOTE DE FRAIS"/>
    <m/>
    <e v="#N/A"/>
    <e v="#N/A"/>
    <n v="74165"/>
    <s v="25000012"/>
    <s v="Alain Pinchard"/>
    <s v="Q1"/>
    <e v="#REF!"/>
    <e v="#REF!"/>
    <e v="#REF!"/>
  </r>
  <r>
    <s v="625100"/>
    <x v="6"/>
    <s v="Voyages et déplacements"/>
    <s v="NDF"/>
    <n v="630"/>
    <d v="2025-08-28T00:00:00"/>
    <s v="HÔTEL - HOTEL BIOTIKA (3 NUITS, 2 CHAMBRES)"/>
    <m/>
    <e v="#N/A"/>
    <e v="#N/A"/>
    <n v="88587"/>
    <s v="25000214"/>
    <s v="Emilie Amillastré"/>
    <s v="Q3"/>
    <e v="#REF!"/>
    <e v="#REF!"/>
    <e v="#REF!"/>
  </r>
  <r>
    <s v="625100"/>
    <x v="6"/>
    <s v="Voyages et déplacements"/>
    <s v="NDF"/>
    <n v="661.11"/>
    <d v="2025-05-25T00:00:00"/>
    <s v="NDF"/>
    <m/>
    <e v="#N/A"/>
    <e v="#N/A"/>
    <n v="76740"/>
    <s v="25000161"/>
    <s v="Marie-Sarah Adenis"/>
    <s v="Q2"/>
    <e v="#REF!"/>
    <e v="#REF!"/>
    <e v="#REF!"/>
  </r>
  <r>
    <s v="625100"/>
    <x v="6"/>
    <s v="Voyages et déplacements"/>
    <s v="NDF"/>
    <n v="670.35"/>
    <d v="2025-01-01T00:00:00"/>
    <s v="NDF"/>
    <m/>
    <e v="#N/A"/>
    <e v="#N/A"/>
    <n v="75671"/>
    <s v="25000009"/>
    <s v="Pauline Rullière"/>
    <s v="Q1"/>
    <e v="#REF!"/>
    <e v="#REF!"/>
    <e v="#REF!"/>
  </r>
  <r>
    <s v="625100"/>
    <x v="6"/>
    <s v="Voyages et déplacements"/>
    <s v="NDF"/>
    <n v="676.75"/>
    <d v="2025-07-15T00:00:00"/>
    <s v="AVION - AVION A/R - TOULOUSE / BUDAPEST / TOULOUSE"/>
    <m/>
    <e v="#N/A"/>
    <e v="#N/A"/>
    <n v="88752"/>
    <s v="25000196"/>
    <s v="Benjamin Barry"/>
    <s v="Q3"/>
    <e v="#REF!"/>
    <e v="#REF!"/>
    <e v="#REF!"/>
  </r>
  <r>
    <s v="625100"/>
    <x v="6"/>
    <s v="Voyages et déplacements"/>
    <s v="NDF"/>
    <n v="680.1"/>
    <d v="2025-04-05T00:00:00"/>
    <s v="NDF"/>
    <m/>
    <e v="#N/A"/>
    <e v="#N/A"/>
    <n v="75838"/>
    <s v="25000106"/>
    <s v="Yves Combret"/>
    <s v="Q2"/>
    <e v="#REF!"/>
    <e v="#REF!"/>
    <e v="#REF!"/>
  </r>
  <r>
    <s v="625100"/>
    <x v="6"/>
    <s v="Voyages et déplacements"/>
    <s v="NDF"/>
    <n v="704.44"/>
    <d v="2025-06-02T00:00:00"/>
    <s v="NDF"/>
    <m/>
    <e v="#N/A"/>
    <e v="#N/A"/>
    <n v="76553"/>
    <s v="25000160"/>
    <s v="Benjamin Barry"/>
    <s v="Q2"/>
    <e v="#REF!"/>
    <e v="#REF!"/>
    <e v="#REF!"/>
  </r>
  <r>
    <s v="625100"/>
    <x v="6"/>
    <s v="Voyages et déplacements"/>
    <s v="NDF"/>
    <n v="717.95"/>
    <d v="2025-03-26T00:00:00"/>
    <s v="NDF"/>
    <m/>
    <e v="#N/A"/>
    <e v="#N/A"/>
    <n v="75812"/>
    <s v="25000086"/>
    <s v="Pauline Rullière"/>
    <s v="Q1"/>
    <e v="#REF!"/>
    <e v="#REF!"/>
    <e v="#REF!"/>
  </r>
  <r>
    <s v="625100"/>
    <x v="6"/>
    <s v="Voyages et déplacements"/>
    <s v="NDF"/>
    <n v="724"/>
    <d v="2025-07-23T00:00:00"/>
    <s v="HÔTEL - HOTEL"/>
    <m/>
    <e v="#N/A"/>
    <e v="#N/A"/>
    <n v="88863"/>
    <s v="25000194"/>
    <s v="Marie Rézeau"/>
    <s v="Q3"/>
    <e v="#REF!"/>
    <e v="#REF!"/>
    <e v="#REF!"/>
  </r>
  <r>
    <s v="625100"/>
    <x v="6"/>
    <s v="Voyages et déplacements"/>
    <s v="NDF"/>
    <n v="729.31"/>
    <d v="2025-03-04T00:00:00"/>
    <s v="NOTE DE FRAIS"/>
    <m/>
    <e v="#N/A"/>
    <e v="#N/A"/>
    <n v="73714"/>
    <s v="25000064"/>
    <s v="Marine Bonnaud"/>
    <s v="Q1"/>
    <e v="#REF!"/>
    <e v="#REF!"/>
    <e v="#REF!"/>
  </r>
  <r>
    <s v="625100"/>
    <x v="6"/>
    <s v="Voyages et déplacements"/>
    <s v="NDF"/>
    <n v="807.28"/>
    <d v="2025-03-04T00:00:00"/>
    <s v="NDF"/>
    <m/>
    <e v="#N/A"/>
    <e v="#N/A"/>
    <n v="75750"/>
    <s v="25000104"/>
    <s v="Kevin Cottet"/>
    <s v="Q1"/>
    <e v="#REF!"/>
    <e v="#REF!"/>
    <e v="#REF!"/>
  </r>
  <r>
    <s v="625100"/>
    <x v="6"/>
    <s v="Voyages et déplacements"/>
    <s v="NDF"/>
    <n v="824"/>
    <d v="2025-12-11T00:00:00"/>
    <s v="RESTAURANT SOIR - DINER PILI SCIENCE - TOULOUSE"/>
    <m/>
    <e v="#N/A"/>
    <e v="#N/A"/>
    <n v="93272"/>
    <s v="25000324"/>
    <s v="Pauline Rullière"/>
    <s v="Q4"/>
    <e v="#REF!"/>
    <e v="#REF!"/>
    <e v="#REF!"/>
  </r>
  <r>
    <s v="625100"/>
    <x v="6"/>
    <s v="Voyages et déplacements"/>
    <s v="NDF"/>
    <n v="885.32"/>
    <d v="2025-09-16T00:00:00"/>
    <s v="HÔTEL - HOTEL CS OCTOBRE 2025 ( POUR 7 PERSONNES POUR 2 NUITS)"/>
    <m/>
    <e v="#N/A"/>
    <e v="#N/A"/>
    <n v="88526"/>
    <s v="25000232"/>
    <s v="Audrey Baylac"/>
    <s v="Q3"/>
    <e v="#REF!"/>
    <e v="#REF!"/>
    <e v="#REF!"/>
  </r>
  <r>
    <s v="625100"/>
    <x v="6"/>
    <s v="Voyages et déplacements"/>
    <s v="NDF"/>
    <n v="919.5"/>
    <d v="2025-10-02T00:00:00"/>
    <s v="RESTAURANT SOIR - DINER CS"/>
    <m/>
    <e v="#N/A"/>
    <e v="#N/A"/>
    <n v="89240"/>
    <s v="25000260"/>
    <s v="Pauline Rullière"/>
    <s v="Q4"/>
    <e v="#REF!"/>
    <e v="#REF!"/>
    <e v="#REF!"/>
  </r>
  <r>
    <s v="625100"/>
    <x v="6"/>
    <s v="Voyages et déplacements"/>
    <s v="NDF"/>
    <n v="971.57"/>
    <d v="2025-03-14T00:00:00"/>
    <s v="NDF"/>
    <m/>
    <e v="#N/A"/>
    <e v="#N/A"/>
    <n v="75770"/>
    <s v="25000053"/>
    <s v="Maud Sanchez"/>
    <s v="Q1"/>
    <e v="#REF!"/>
    <e v="#REF!"/>
    <e v="#REF!"/>
  </r>
  <r>
    <s v="625100"/>
    <x v="6"/>
    <s v="Voyages et déplacements"/>
    <s v="NDF"/>
    <n v="1001.32"/>
    <d v="2025-03-13T00:00:00"/>
    <s v="NDF"/>
    <m/>
    <e v="#N/A"/>
    <e v="#N/A"/>
    <n v="76493"/>
    <s v="25000061"/>
    <s v="Pauline Rullière"/>
    <s v="Q1"/>
    <e v="#REF!"/>
    <e v="#REF!"/>
    <e v="#REF!"/>
  </r>
  <r>
    <s v="625100"/>
    <x v="6"/>
    <s v="Voyages et déplacements"/>
    <s v="NDF"/>
    <n v="1073.05"/>
    <d v="2025-02-26T00:00:00"/>
    <s v="NOTE DE FRAIS"/>
    <m/>
    <e v="#N/A"/>
    <e v="#N/A"/>
    <n v="74194"/>
    <s v="25000054"/>
    <s v="Benjamin Barry"/>
    <s v="Q1"/>
    <e v="#REF!"/>
    <e v="#REF!"/>
    <e v="#REF!"/>
  </r>
  <r>
    <s v="625100"/>
    <x v="6"/>
    <s v="Voyages et déplacements"/>
    <s v="NDF"/>
    <n v="1275.6099999999999"/>
    <d v="2025-04-22T00:00:00"/>
    <s v="NOTE DE FRAIS"/>
    <m/>
    <e v="#N/A"/>
    <e v="#N/A"/>
    <n v="74347"/>
    <s v="25000131"/>
    <s v="Kevin Cottet"/>
    <s v="Q2"/>
    <e v="#REF!"/>
    <e v="#REF!"/>
    <e v="#REF!"/>
  </r>
  <r>
    <s v="625100"/>
    <x v="6"/>
    <s v="Voyages et déplacements"/>
    <s v="NDF"/>
    <n v="1312"/>
    <d v="2025-03-03T00:00:00"/>
    <s v="NOTE DE FRAIS"/>
    <m/>
    <e v="#N/A"/>
    <e v="#N/A"/>
    <n v="73709"/>
    <s v="25000059"/>
    <s v="Lucie Crépin"/>
    <s v="Q1"/>
    <e v="#REF!"/>
    <e v="#REF!"/>
    <e v="#REF!"/>
  </r>
  <r>
    <s v="625100"/>
    <x v="6"/>
    <s v="Voyages et déplacements"/>
    <s v="NDF"/>
    <n v="1471.57"/>
    <d v="2025-02-12T00:00:00"/>
    <s v="NDF"/>
    <m/>
    <e v="#N/A"/>
    <e v="#N/A"/>
    <n v="76471"/>
    <s v="25000096"/>
    <s v="Pierre-Yves Bolle"/>
    <s v="Q1"/>
    <e v="#REF!"/>
    <e v="#REF!"/>
    <e v="#REF!"/>
  </r>
  <r>
    <s v="625100"/>
    <x v="6"/>
    <s v="Voyages et déplacements"/>
    <s v="NDF"/>
    <n v="1544"/>
    <d v="2025-09-10T00:00:00"/>
    <s v="TRAIN - CS OCTOBRE 2025"/>
    <m/>
    <e v="#N/A"/>
    <e v="#N/A"/>
    <n v="88140"/>
    <s v="25000223"/>
    <s v="Lucie Crépin"/>
    <s v="Q3"/>
    <e v="#REF!"/>
    <e v="#REF!"/>
    <e v="#REF!"/>
  </r>
  <r>
    <s v="625100"/>
    <x v="6"/>
    <s v="Voyages et déplacements"/>
    <s v="NDF"/>
    <n v="1827.26"/>
    <d v="2025-06-06T00:00:00"/>
    <s v="NDF"/>
    <m/>
    <e v="#N/A"/>
    <e v="#N/A"/>
    <n v="76798"/>
    <s v="25000122"/>
    <s v="Pierre-Yves Bolle"/>
    <s v="Q2"/>
    <e v="#REF!"/>
    <e v="#REF!"/>
    <e v="#REF!"/>
  </r>
  <r>
    <s v="625100"/>
    <x v="6"/>
    <s v="Voyages et déplacements"/>
    <s v="OD"/>
    <n v="-798"/>
    <d v="2025-12-11T00:00:00"/>
    <s v="SODLE VERSE PAR PR"/>
    <m/>
    <e v="#N/A"/>
    <e v="#N/A"/>
    <n v="94825"/>
    <s v="NDF 25000324"/>
    <s v="RJM LA ROSA NEGRA"/>
    <s v="Q4"/>
    <e v="#REF!"/>
    <e v="#REF!"/>
    <e v="#REF!"/>
  </r>
  <r>
    <s v="625100"/>
    <x v="6"/>
    <s v="Voyages et déplacements"/>
    <s v="OD"/>
    <n v="-116"/>
    <d v="2025-11-01T00:00:00"/>
    <s v="DÉPLACEMENT TOULOUSE NOVEMBRE"/>
    <m/>
    <e v="#N/A"/>
    <e v="#N/A"/>
    <n v="91791"/>
    <m/>
    <s v="SNCF"/>
    <s v="Q4"/>
    <e v="#REF!"/>
    <e v="#REF!"/>
    <e v="#REF!"/>
  </r>
  <r>
    <s v="625100"/>
    <x v="6"/>
    <s v="Voyages et déplacements"/>
    <s v="OD"/>
    <n v="-108.26"/>
    <d v="2025-11-01T00:00:00"/>
    <s v="Refund - Spendesk - Airfrance"/>
    <m/>
    <e v="#N/A"/>
    <e v="#N/A"/>
    <n v="91769"/>
    <m/>
    <s v="AIR FRANCE"/>
    <s v="Q4"/>
    <e v="#REF!"/>
    <e v="#REF!"/>
    <e v="#REF!"/>
  </r>
  <r>
    <s v="625100"/>
    <x v="6"/>
    <s v="Voyages et déplacements"/>
    <s v="OD"/>
    <n v="-95"/>
    <d v="2025-11-01T00:00:00"/>
    <s v="Refund - Spendesk - SNCF"/>
    <m/>
    <e v="#N/A"/>
    <e v="#N/A"/>
    <n v="91771"/>
    <m/>
    <s v="SNCF"/>
    <s v="Q4"/>
    <e v="#REF!"/>
    <e v="#REF!"/>
    <e v="#REF!"/>
  </r>
  <r>
    <s v="625100"/>
    <x v="6"/>
    <s v="Voyages et déplacements"/>
    <s v="OD"/>
    <n v="-88"/>
    <d v="2025-11-01T00:00:00"/>
    <s v="ALLER CONF B4C TECHDAYS"/>
    <m/>
    <e v="#N/A"/>
    <e v="#N/A"/>
    <n v="91793"/>
    <m/>
    <s v="SNCF"/>
    <s v="Q4"/>
    <e v="#REF!"/>
    <e v="#REF!"/>
    <e v="#REF!"/>
  </r>
  <r>
    <s v="625100"/>
    <x v="6"/>
    <s v="Voyages et déplacements"/>
    <s v="OD"/>
    <n v="-58"/>
    <d v="2025-11-01T00:00:00"/>
    <s v="Refund - Spendesk - SNCF"/>
    <m/>
    <e v="#N/A"/>
    <e v="#N/A"/>
    <n v="91773"/>
    <m/>
    <s v="SNCF"/>
    <s v="Q4"/>
    <e v="#REF!"/>
    <e v="#REF!"/>
    <e v="#REF!"/>
  </r>
  <r>
    <s v="625100"/>
    <x v="6"/>
    <s v="Voyages et déplacements"/>
    <s v="OD"/>
    <n v="-32.6"/>
    <d v="2025-11-01T00:00:00"/>
    <s v="Spendesk - Booking"/>
    <m/>
    <e v="#N/A"/>
    <e v="#N/A"/>
    <n v="91789"/>
    <m/>
    <s v="BOOKING"/>
    <s v="Q4"/>
    <e v="#REF!"/>
    <e v="#REF!"/>
    <e v="#REF!"/>
  </r>
  <r>
    <s v="625100"/>
    <x v="6"/>
    <s v="Voyages et déplacements"/>
    <s v="OD"/>
    <n v="-19.5"/>
    <d v="2025-01-01T00:00:00"/>
    <s v="Solde JULLAC"/>
    <m/>
    <e v="#N/A"/>
    <e v="#N/A"/>
    <n v="76277"/>
    <m/>
    <s v="Julie Lacondemine"/>
    <s v="Q1"/>
    <e v="#REF!"/>
    <e v="#REF!"/>
    <e v="#REF!"/>
  </r>
  <r>
    <s v="625100"/>
    <x v="6"/>
    <s v="Voyages et déplacements"/>
    <s v="OD"/>
    <n v="-18"/>
    <d v="2025-11-01T00:00:00"/>
    <s v="Refund - Spendesk - SNCF"/>
    <m/>
    <e v="#N/A"/>
    <e v="#N/A"/>
    <n v="91775"/>
    <m/>
    <s v="SNCF"/>
    <s v="Q4"/>
    <e v="#REF!"/>
    <e v="#REF!"/>
    <e v="#REF!"/>
  </r>
  <r>
    <s v="625100"/>
    <x v="6"/>
    <s v="Voyages et déplacements"/>
    <s v="OD"/>
    <n v="13.2"/>
    <d v="2025-01-01T00:00:00"/>
    <s v="Solde NDF AMEBRO"/>
    <m/>
    <e v="#N/A"/>
    <e v="#N/A"/>
    <n v="70531"/>
    <m/>
    <s v="Ameline Broquaire"/>
    <s v="Q1"/>
    <e v="#REF!"/>
    <e v="#REF!"/>
    <e v="#REF!"/>
  </r>
  <r>
    <s v="625100"/>
    <x v="6"/>
    <s v="Voyages et déplacements"/>
    <s v="OD"/>
    <n v="64.989999999999995"/>
    <d v="2025-01-01T00:00:00"/>
    <s v="Solde NDF MARREZ"/>
    <m/>
    <e v="#N/A"/>
    <e v="#N/A"/>
    <n v="70520"/>
    <m/>
    <s v="Marie Rézeau"/>
    <s v="Q1"/>
    <e v="#REF!"/>
    <e v="#REF!"/>
    <e v="#REF!"/>
  </r>
  <r>
    <s v="625100"/>
    <x v="6"/>
    <s v="Voyages et déplacements"/>
    <s v="OD"/>
    <n v="278.39999999999998"/>
    <d v="2025-01-01T00:00:00"/>
    <s v="Solde NDF PAURUL"/>
    <m/>
    <e v="#N/A"/>
    <e v="#N/A"/>
    <n v="70528"/>
    <m/>
    <s v="Pauline Rullière"/>
    <s v="Q1"/>
    <e v="#REF!"/>
    <e v="#REF!"/>
    <e v="#REF!"/>
  </r>
  <r>
    <s v="625100"/>
    <x v="6"/>
    <s v="Voyages et déplacements"/>
    <s v="SP"/>
    <n v="-174"/>
    <d v="2025-02-16T00:00:00"/>
    <s v="Annul - Règlement"/>
    <m/>
    <e v="#N/A"/>
    <e v="#N/A"/>
    <n v="64218"/>
    <s v="5b70eeba-5790-544c-8f85-aa168773edb4"/>
    <m/>
    <s v="Q1"/>
    <e v="#REF!"/>
    <e v="#REF!"/>
    <e v="#REF!"/>
  </r>
  <r>
    <s v="625100"/>
    <x v="6"/>
    <s v="Voyages et déplacements"/>
    <s v="SP"/>
    <n v="-88"/>
    <d v="2025-02-12T00:00:00"/>
    <s v="Annul - Règlement"/>
    <m/>
    <e v="#N/A"/>
    <e v="#N/A"/>
    <n v="64200"/>
    <s v="5027e044-f1a5-55a1-887b-2454645bd943"/>
    <m/>
    <s v="Q1"/>
    <e v="#REF!"/>
    <e v="#REF!"/>
    <e v="#REF!"/>
  </r>
  <r>
    <s v="626100"/>
    <x v="6"/>
    <s v="Internet, Téléphone, Télécommunications"/>
    <s v="AC"/>
    <n v="1"/>
    <d v="2025-11-30T00:00:00"/>
    <s v="SAMSUNG GALAXY A16 BLEU NUIT 128GO"/>
    <m/>
    <e v="#N/A"/>
    <e v="#N/A"/>
    <n v="92142"/>
    <s v="92598644"/>
    <s v="ORANGE"/>
    <s v="Q4"/>
    <e v="#REF!"/>
    <e v="#REF!"/>
    <e v="#REF!"/>
  </r>
  <r>
    <s v="626100"/>
    <x v="6"/>
    <s v="Internet, Téléphone, Télécommunications"/>
    <s v="AC"/>
    <n v="1.88"/>
    <d v="2025-05-31T00:00:00"/>
    <s v="INDEMNITÉS DE RETARD DE PAIEMENT"/>
    <m/>
    <e v="#N/A"/>
    <e v="#N/A"/>
    <n v="76193"/>
    <s v="90811925"/>
    <s v="ORANGE"/>
    <s v="Q2"/>
    <e v="#REF!"/>
    <e v="#REF!"/>
    <e v="#REF!"/>
  </r>
  <r>
    <s v="626100"/>
    <x v="6"/>
    <s v="Internet, Téléphone, Télécommunications"/>
    <s v="AC"/>
    <n v="27.49"/>
    <d v="2025-06-20T00:00:00"/>
    <s v="4G BOX"/>
    <m/>
    <e v="#N/A"/>
    <e v="#N/A"/>
    <n v="89578"/>
    <s v="1,18643E+13"/>
    <s v="BOUYGUES TELECOM"/>
    <s v="Q2"/>
    <e v="#REF!"/>
    <e v="#REF!"/>
    <e v="#REF!"/>
  </r>
  <r>
    <s v="626100"/>
    <x v="6"/>
    <s v="Internet, Téléphone, Télécommunications"/>
    <s v="AC"/>
    <n v="27.49"/>
    <d v="2025-07-20T00:00:00"/>
    <s v="4G BOX"/>
    <m/>
    <e v="#N/A"/>
    <e v="#N/A"/>
    <n v="87026"/>
    <s v="11047185040725"/>
    <s v="BOUYGUES TELECOM"/>
    <s v="Q3"/>
    <e v="#REF!"/>
    <e v="#REF!"/>
    <e v="#REF!"/>
  </r>
  <r>
    <s v="626100"/>
    <x v="6"/>
    <s v="Internet, Téléphone, Télécommunications"/>
    <s v="AC"/>
    <n v="27.49"/>
    <d v="2025-08-20T00:00:00"/>
    <s v="4G BOX"/>
    <m/>
    <e v="#N/A"/>
    <e v="#N/A"/>
    <n v="87039"/>
    <s v="11218192910825"/>
    <s v="BOUYGUES TELECOM"/>
    <s v="Q3"/>
    <e v="#REF!"/>
    <e v="#REF!"/>
    <e v="#REF!"/>
  </r>
  <r>
    <s v="626100"/>
    <x v="6"/>
    <s v="Internet, Téléphone, Télécommunications"/>
    <s v="AC"/>
    <n v="27.49"/>
    <d v="2025-09-20T00:00:00"/>
    <s v="4G BOX"/>
    <m/>
    <e v="#N/A"/>
    <e v="#N/A"/>
    <n v="82764"/>
    <s v="11404201060925"/>
    <s v="BOUYGUES TELECOM"/>
    <s v="Q3"/>
    <e v="#REF!"/>
    <e v="#REF!"/>
    <e v="#REF!"/>
  </r>
  <r>
    <s v="626100"/>
    <x v="6"/>
    <s v="Internet, Téléphone, Télécommunications"/>
    <s v="AC"/>
    <n v="27.49"/>
    <d v="2025-10-20T00:00:00"/>
    <s v="4G BOX"/>
    <m/>
    <e v="#N/A"/>
    <e v="#N/A"/>
    <n v="90065"/>
    <s v="11575482271025"/>
    <s v="BOUYGUES TELECOM"/>
    <s v="Q4"/>
    <e v="#REF!"/>
    <e v="#REF!"/>
    <e v="#REF!"/>
  </r>
  <r>
    <s v="626100"/>
    <x v="6"/>
    <s v="Internet, Téléphone, Télécommunications"/>
    <s v="AC"/>
    <n v="27.49"/>
    <d v="2025-11-20T00:00:00"/>
    <s v="4G BOX"/>
    <m/>
    <e v="#N/A"/>
    <e v="#N/A"/>
    <n v="91810"/>
    <s v="11765149481125"/>
    <s v="BOUYGUES TELECOM"/>
    <s v="Q4"/>
    <e v="#REF!"/>
    <e v="#REF!"/>
    <e v="#REF!"/>
  </r>
  <r>
    <s v="626100"/>
    <x v="6"/>
    <s v="Internet, Téléphone, Télécommunications"/>
    <s v="AC"/>
    <n v="27.49"/>
    <d v="2025-12-20T00:00:00"/>
    <s v="4G BOX"/>
    <m/>
    <e v="#N/A"/>
    <e v="#N/A"/>
    <n v="94956"/>
    <s v="11937344901225"/>
    <s v="BOUYGUES TELECOM"/>
    <s v="Q4"/>
    <e v="#REF!"/>
    <e v="#REF!"/>
    <e v="#REF!"/>
  </r>
  <r>
    <s v="626100"/>
    <x v="6"/>
    <s v="Internet, Téléphone, Télécommunications"/>
    <s v="AC"/>
    <n v="40"/>
    <d v="2025-06-30T00:00:00"/>
    <s v="FACTURE ORANGE"/>
    <m/>
    <e v="#N/A"/>
    <e v="#N/A"/>
    <n v="82166"/>
    <s v="91132425"/>
    <s v="ORANGE"/>
    <s v="Q2"/>
    <e v="#REF!"/>
    <e v="#REF!"/>
    <e v="#REF!"/>
  </r>
  <r>
    <s v="626100"/>
    <x v="6"/>
    <s v="Internet, Téléphone, Télécommunications"/>
    <s v="AC"/>
    <n v="40.619999999999997"/>
    <d v="2025-02-28T00:00:00"/>
    <s v="Mobile - Performance Pro - 4 lignes"/>
    <m/>
    <e v="#N/A"/>
    <e v="#N/A"/>
    <n v="67819"/>
    <s v="7"/>
    <s v="ORANGE"/>
    <s v="Q1"/>
    <e v="#REF!"/>
    <e v="#REF!"/>
    <e v="#REF!"/>
  </r>
  <r>
    <s v="626100"/>
    <x v="6"/>
    <s v="Internet, Téléphone, Télécommunications"/>
    <s v="AC"/>
    <n v="40.840000000000003"/>
    <d v="2025-06-30T00:00:00"/>
    <s v="FACTURE ORANGE"/>
    <m/>
    <e v="#N/A"/>
    <e v="#N/A"/>
    <n v="82168"/>
    <s v="91132536"/>
    <s v="ORANGE"/>
    <s v="Q2"/>
    <e v="#REF!"/>
    <e v="#REF!"/>
    <e v="#REF!"/>
  </r>
  <r>
    <s v="626100"/>
    <x v="6"/>
    <s v="Internet, Téléphone, Télécommunications"/>
    <s v="AC"/>
    <n v="43.5"/>
    <d v="2025-01-31T00:00:00"/>
    <s v="Mobile - Performance Pro - 1 ligne"/>
    <m/>
    <e v="#N/A"/>
    <e v="#N/A"/>
    <n v="71278"/>
    <s v="89346203"/>
    <s v="ORANGE"/>
    <s v="Q1"/>
    <e v="#REF!"/>
    <e v="#REF!"/>
    <e v="#REF!"/>
  </r>
  <r>
    <s v="626100"/>
    <x v="6"/>
    <s v="Internet, Téléphone, Télécommunications"/>
    <s v="AC"/>
    <n v="43.5"/>
    <d v="2025-02-28T00:00:00"/>
    <s v="Mobile - Performance Pro - 1 ligne"/>
    <m/>
    <e v="#N/A"/>
    <e v="#N/A"/>
    <n v="76188"/>
    <s v="89683765"/>
    <s v="ORANGE"/>
    <s v="Q1"/>
    <e v="#REF!"/>
    <e v="#REF!"/>
    <e v="#REF!"/>
  </r>
  <r>
    <s v="626100"/>
    <x v="6"/>
    <s v="Internet, Téléphone, Télécommunications"/>
    <s v="AC"/>
    <n v="43.5"/>
    <d v="2025-03-31T00:00:00"/>
    <s v="Mobile - Performance Pro - 1 ligne"/>
    <m/>
    <e v="#N/A"/>
    <e v="#N/A"/>
    <n v="71294"/>
    <s v="90013330"/>
    <s v="ORANGE"/>
    <s v="Q1"/>
    <e v="#REF!"/>
    <e v="#REF!"/>
    <e v="#REF!"/>
  </r>
  <r>
    <s v="626100"/>
    <x v="6"/>
    <s v="Internet, Téléphone, Télécommunications"/>
    <s v="AC"/>
    <n v="46.07"/>
    <d v="2025-05-20T00:00:00"/>
    <s v="ABONNEMENT 4G"/>
    <m/>
    <e v="#N/A"/>
    <e v="#N/A"/>
    <n v="76191"/>
    <s v="1,16908E+13"/>
    <s v="BOUYGUES TELECOM"/>
    <s v="Q2"/>
    <e v="#REF!"/>
    <e v="#REF!"/>
    <e v="#REF!"/>
  </r>
  <r>
    <s v="626100"/>
    <x v="6"/>
    <s v="Internet, Téléphone, Télécommunications"/>
    <s v="AC"/>
    <n v="48"/>
    <d v="2025-04-30T00:00:00"/>
    <s v="Mobile - Performance Pro - 13 lignes"/>
    <m/>
    <e v="#N/A"/>
    <e v="#N/A"/>
    <n v="72655"/>
    <s v="90361034"/>
    <s v="ORANGE"/>
    <s v="Q2"/>
    <e v="#REF!"/>
    <e v="#REF!"/>
    <e v="#REF!"/>
  </r>
  <r>
    <s v="626100"/>
    <x v="6"/>
    <s v="Internet, Téléphone, Télécommunications"/>
    <s v="AC"/>
    <n v="48"/>
    <d v="2025-05-31T00:00:00"/>
    <s v="Mobile - Performance Pro - 13 lignes"/>
    <m/>
    <e v="#N/A"/>
    <e v="#N/A"/>
    <n v="76196"/>
    <s v="90684696"/>
    <s v="ORANGE"/>
    <s v="Q2"/>
    <e v="#REF!"/>
    <e v="#REF!"/>
    <e v="#REF!"/>
  </r>
  <r>
    <s v="626100"/>
    <x v="6"/>
    <s v="Internet, Téléphone, Télécommunications"/>
    <s v="AC"/>
    <n v="48"/>
    <d v="2025-06-30T00:00:00"/>
    <s v="Mobile - Performance Pro - 13 lignes"/>
    <m/>
    <e v="#N/A"/>
    <e v="#N/A"/>
    <n v="78065"/>
    <s v="91008499"/>
    <s v="ORANGE"/>
    <s v="Q2"/>
    <e v="#REF!"/>
    <e v="#REF!"/>
    <e v="#REF!"/>
  </r>
  <r>
    <s v="626100"/>
    <x v="6"/>
    <s v="Internet, Téléphone, Télécommunications"/>
    <s v="AC"/>
    <n v="48"/>
    <d v="2025-07-31T00:00:00"/>
    <s v="Mobile - Performance Pro - 13 lignes"/>
    <m/>
    <e v="#N/A"/>
    <e v="#N/A"/>
    <n v="81277"/>
    <s v="91326859"/>
    <s v="ORANGE"/>
    <s v="Q3"/>
    <e v="#REF!"/>
    <e v="#REF!"/>
    <e v="#REF!"/>
  </r>
  <r>
    <s v="626100"/>
    <x v="6"/>
    <s v="Internet, Téléphone, Télécommunications"/>
    <s v="AC"/>
    <n v="48"/>
    <d v="2025-08-31T00:00:00"/>
    <s v="Mobile - Performance Pro - 13 lignes"/>
    <m/>
    <e v="#N/A"/>
    <e v="#N/A"/>
    <n v="82249"/>
    <s v="91644015"/>
    <s v="ORANGE"/>
    <s v="Q3"/>
    <e v="#REF!"/>
    <e v="#REF!"/>
    <e v="#REF!"/>
  </r>
  <r>
    <s v="626100"/>
    <x v="6"/>
    <s v="Internet, Téléphone, Télécommunications"/>
    <s v="AC"/>
    <n v="48"/>
    <d v="2025-09-30T00:00:00"/>
    <s v="Mobile - Performance Pro - 13 lignes"/>
    <m/>
    <e v="#N/A"/>
    <e v="#N/A"/>
    <n v="87060"/>
    <s v="91957330"/>
    <s v="ORANGE"/>
    <s v="Q3"/>
    <e v="#REF!"/>
    <e v="#REF!"/>
    <e v="#REF!"/>
  </r>
  <r>
    <s v="645300"/>
    <x v="6"/>
    <s v="COTISATIONS AUX CAISSES DE RETRAITE"/>
    <s v="SA"/>
    <n v="41.2"/>
    <d v="2025-01-31T00:00:00"/>
    <s v="CONTRIBUTION D'EQUILIBRE TECHNIQUE TU1"/>
    <m/>
    <e v="#N/A"/>
    <e v="#N/A"/>
    <n v="85506"/>
    <s v="SA202501"/>
    <m/>
    <s v="Q1"/>
    <e v="#REF!"/>
    <e v="#REF!"/>
    <e v="#REF!"/>
  </r>
  <r>
    <s v="645300"/>
    <x v="6"/>
    <s v="COTISATIONS AUX CAISSES DE RETRAITE"/>
    <s v="SA"/>
    <n v="41.2"/>
    <d v="2025-07-31T00:00:00"/>
    <s v="CONTRIBUTION D'EQUILIBRE TECHNIQUE TU1"/>
    <m/>
    <e v="#N/A"/>
    <e v="#N/A"/>
    <n v="79932"/>
    <s v="SA202507"/>
    <m/>
    <s v="Q3"/>
    <e v="#REF!"/>
    <e v="#REF!"/>
    <e v="#REF!"/>
  </r>
  <r>
    <s v="645300"/>
    <x v="6"/>
    <s v="COTISATIONS AUX CAISSES DE RETRAITE"/>
    <s v="SA"/>
    <n v="41.2"/>
    <d v="2025-08-31T00:00:00"/>
    <s v="CONTRIBUTION D'EQUILIBRE TECHNIQUE TU1"/>
    <m/>
    <e v="#N/A"/>
    <e v="#N/A"/>
    <n v="84047"/>
    <s v="SA202508"/>
    <m/>
    <s v="Q3"/>
    <e v="#REF!"/>
    <e v="#REF!"/>
    <e v="#REF!"/>
  </r>
  <r>
    <s v="626100"/>
    <x v="6"/>
    <s v="Internet, Téléphone, Télécommunications"/>
    <s v="AC"/>
    <n v="71.099999999999994"/>
    <d v="2025-03-31T00:00:00"/>
    <s v="Mobile - Performance Pro - 1 ligne"/>
    <m/>
    <e v="#N/A"/>
    <e v="#N/A"/>
    <n v="72582"/>
    <s v="90124303"/>
    <s v="ORANGE"/>
    <s v="Q1"/>
    <e v="#REF!"/>
    <e v="#REF!"/>
    <e v="#REF!"/>
  </r>
  <r>
    <s v="626100"/>
    <x v="6"/>
    <s v="Internet, Téléphone, Télécommunications"/>
    <s v="AC"/>
    <n v="111"/>
    <d v="2025-01-29T00:00:00"/>
    <s v="CONNECT PRO FIBRE"/>
    <m/>
    <e v="#N/A"/>
    <e v="#N/A"/>
    <n v="72527"/>
    <s v="04C993L662 25A7- 1J01"/>
    <s v="ORANGE"/>
    <s v="Q1"/>
    <e v="#REF!"/>
    <e v="#REF!"/>
    <e v="#REF!"/>
  </r>
  <r>
    <s v="626100"/>
    <x v="6"/>
    <s v="Internet, Téléphone, Télécommunications"/>
    <s v="AC"/>
    <n v="111"/>
    <d v="2025-03-03T00:00:00"/>
    <s v="CONNECT PRO FIBRE"/>
    <m/>
    <e v="#N/A"/>
    <e v="#N/A"/>
    <n v="80645"/>
    <s v="04C993L66225B5-1J02"/>
    <s v="ORANGE"/>
    <s v="Q1"/>
    <e v="#REF!"/>
    <e v="#REF!"/>
    <e v="#REF!"/>
  </r>
  <r>
    <s v="626100"/>
    <x v="6"/>
    <s v="Internet, Téléphone, Télécommunications"/>
    <s v="AC"/>
    <n v="111"/>
    <d v="2025-03-31T00:00:00"/>
    <s v="CONNECT PRO FIBRE"/>
    <m/>
    <e v="#N/A"/>
    <e v="#N/A"/>
    <n v="87261"/>
    <s v="04C993L66225C3-1J03"/>
    <s v="ORANGE"/>
    <s v="Q1"/>
    <e v="#REF!"/>
    <e v="#REF!"/>
    <e v="#REF!"/>
  </r>
  <r>
    <s v="626100"/>
    <x v="6"/>
    <s v="Internet, Téléphone, Télécommunications"/>
    <s v="AC"/>
    <n v="111"/>
    <d v="2025-04-30T00:00:00"/>
    <s v="CONNECT PRO FIBRE"/>
    <m/>
    <e v="#N/A"/>
    <e v="#N/A"/>
    <n v="80648"/>
    <s v="04C993L662 25D1-1J04"/>
    <s v="ORANGE"/>
    <s v="Q2"/>
    <e v="#REF!"/>
    <e v="#REF!"/>
    <e v="#REF!"/>
  </r>
  <r>
    <s v="626100"/>
    <x v="6"/>
    <s v="Internet, Téléphone, Télécommunications"/>
    <s v="AC"/>
    <n v="112.33"/>
    <d v="2025-05-30T00:00:00"/>
    <s v="CONNECT PRO FIBRE"/>
    <m/>
    <e v="#N/A"/>
    <e v="#N/A"/>
    <n v="80651"/>
    <s v="04C993L662 25D9-1J05"/>
    <s v="ORANGE"/>
    <s v="Q2"/>
    <e v="#REF!"/>
    <e v="#REF!"/>
    <e v="#REF!"/>
  </r>
  <r>
    <s v="626100"/>
    <x v="6"/>
    <s v="Internet, Téléphone, Télécommunications"/>
    <s v="AC"/>
    <n v="131"/>
    <d v="2025-06-30T00:00:00"/>
    <s v="CONNECT PRO FIBRE"/>
    <m/>
    <e v="#N/A"/>
    <e v="#N/A"/>
    <n v="80654"/>
    <s v="04C993L662 25E7-1J06"/>
    <s v="ORANGE"/>
    <s v="Q2"/>
    <e v="#REF!"/>
    <e v="#REF!"/>
    <e v="#REF!"/>
  </r>
  <r>
    <s v="626100"/>
    <x v="6"/>
    <s v="Internet, Téléphone, Télécommunications"/>
    <s v="AC"/>
    <n v="131"/>
    <d v="2025-07-29T00:00:00"/>
    <s v="CONNECT PRO FIBRE"/>
    <m/>
    <e v="#N/A"/>
    <e v="#N/A"/>
    <n v="87270"/>
    <s v="04C993L662 25F5-1J07"/>
    <s v="ORANGE"/>
    <s v="Q3"/>
    <e v="#REF!"/>
    <e v="#REF!"/>
    <e v="#REF!"/>
  </r>
  <r>
    <s v="626100"/>
    <x v="6"/>
    <s v="Internet, Téléphone, Télécommunications"/>
    <s v="AC"/>
    <n v="131"/>
    <d v="2025-08-28T00:00:00"/>
    <s v="CONNECT PRO FIBRE"/>
    <m/>
    <e v="#N/A"/>
    <e v="#N/A"/>
    <n v="82246"/>
    <s v="04C993L662 25G3-1J08"/>
    <s v="ORANGE"/>
    <s v="Q3"/>
    <e v="#REF!"/>
    <e v="#REF!"/>
    <e v="#REF!"/>
  </r>
  <r>
    <s v="626100"/>
    <x v="6"/>
    <s v="Internet, Téléphone, Télécommunications"/>
    <s v="AC"/>
    <n v="131"/>
    <d v="2025-09-30T00:00:00"/>
    <s v="BOX INTERNET LYON"/>
    <m/>
    <e v="#N/A"/>
    <e v="#N/A"/>
    <n v="90062"/>
    <s v="04C993L66225H1-1J09"/>
    <s v="ORANGE"/>
    <s v="Q3"/>
    <e v="#REF!"/>
    <e v="#REF!"/>
    <e v="#REF!"/>
  </r>
  <r>
    <s v="626100"/>
    <x v="6"/>
    <s v="Internet, Téléphone, Télécommunications"/>
    <s v="AC"/>
    <n v="131"/>
    <d v="2025-10-28T00:00:00"/>
    <s v="BOX INTERNET LYON"/>
    <m/>
    <e v="#N/A"/>
    <e v="#N/A"/>
    <n v="90074"/>
    <s v="04C993L662 25H9-1J10"/>
    <s v="ORANGE"/>
    <s v="Q4"/>
    <e v="#REF!"/>
    <e v="#REF!"/>
    <e v="#REF!"/>
  </r>
  <r>
    <s v="626100"/>
    <x v="6"/>
    <s v="Internet, Téléphone, Télécommunications"/>
    <s v="AC"/>
    <n v="131"/>
    <d v="2025-11-28T00:00:00"/>
    <s v="BOX INTERNET LYON"/>
    <m/>
    <e v="#N/A"/>
    <e v="#N/A"/>
    <n v="92957"/>
    <s v="04C993L6622517-1J11"/>
    <s v="ORANGE"/>
    <s v="Q4"/>
    <e v="#REF!"/>
    <e v="#REF!"/>
    <e v="#REF!"/>
  </r>
  <r>
    <s v="626100"/>
    <x v="6"/>
    <s v="Internet, Téléphone, Télécommunications"/>
    <s v="AC"/>
    <n v="131"/>
    <d v="2025-12-30T00:00:00"/>
    <s v="CONNECT PRO FIBRE"/>
    <m/>
    <e v="#N/A"/>
    <e v="#N/A"/>
    <n v="95468"/>
    <s v="04C993L66225J5-1J12"/>
    <s v="ORANGE"/>
    <s v="Q4"/>
    <e v="#REF!"/>
    <e v="#REF!"/>
    <e v="#REF!"/>
  </r>
  <r>
    <s v="626100"/>
    <x v="6"/>
    <s v="Internet, Téléphone, Télécommunications"/>
    <s v="AC"/>
    <n v="152"/>
    <d v="2025-02-28T00:00:00"/>
    <s v="Mobile - Performance Pro - 4 lignes"/>
    <m/>
    <e v="#N/A"/>
    <e v="#N/A"/>
    <n v="67820"/>
    <s v="7"/>
    <s v="ORANGE"/>
    <s v="Q1"/>
    <e v="#REF!"/>
    <e v="#REF!"/>
    <e v="#REF!"/>
  </r>
  <r>
    <s v="626100"/>
    <x v="6"/>
    <s v="Internet, Téléphone, Télécommunications"/>
    <s v="AC"/>
    <n v="152.52000000000001"/>
    <d v="2025-01-31T00:00:00"/>
    <s v="Mobile - Performance Pro - 4 lignes"/>
    <m/>
    <e v="#N/A"/>
    <e v="#N/A"/>
    <n v="73647"/>
    <s v="89376299"/>
    <s v="ORANGE"/>
    <s v="Q1"/>
    <e v="#REF!"/>
    <e v="#REF!"/>
    <e v="#REF!"/>
  </r>
  <r>
    <s v="626100"/>
    <x v="6"/>
    <s v="Internet, Téléphone, Télécommunications"/>
    <s v="AC"/>
    <n v="157.18"/>
    <d v="2025-03-31T00:00:00"/>
    <s v="Mobile - Performance Pro - 4 lignes"/>
    <m/>
    <e v="#N/A"/>
    <e v="#N/A"/>
    <n v="72591"/>
    <s v="89927071"/>
    <s v="ORANGE"/>
    <s v="Q1"/>
    <e v="#REF!"/>
    <e v="#REF!"/>
    <e v="#REF!"/>
  </r>
  <r>
    <s v="626100"/>
    <x v="6"/>
    <s v="Internet, Téléphone, Télécommunications"/>
    <s v="AC"/>
    <n v="200.9"/>
    <d v="2025-01-01T00:00:00"/>
    <s v="Mobile - Performance Pro - 8 lignes"/>
    <m/>
    <e v="#N/A"/>
    <e v="#N/A"/>
    <n v="76176"/>
    <s v="89030478"/>
    <s v="ORANGE"/>
    <s v="Q1"/>
    <e v="#REF!"/>
    <e v="#REF!"/>
    <e v="#REF!"/>
  </r>
  <r>
    <s v="626100"/>
    <x v="6"/>
    <s v="Internet, Téléphone, Télécommunications"/>
    <s v="AC"/>
    <n v="200.9"/>
    <d v="2025-01-31T00:00:00"/>
    <s v="Mobile - Performance Pro - 8 lignes"/>
    <m/>
    <e v="#N/A"/>
    <e v="#N/A"/>
    <n v="76182"/>
    <s v="89370326"/>
    <s v="ORANGE"/>
    <s v="Q1"/>
    <e v="#REF!"/>
    <e v="#REF!"/>
    <e v="#REF!"/>
  </r>
  <r>
    <s v="626100"/>
    <x v="6"/>
    <s v="Internet, Téléphone, Télécommunications"/>
    <s v="AC"/>
    <n v="201.42"/>
    <d v="2025-02-28T00:00:00"/>
    <s v="Mobile - Performance Pro - 8 lignes"/>
    <m/>
    <e v="#N/A"/>
    <e v="#N/A"/>
    <n v="81742"/>
    <s v="89705010"/>
    <s v="ORANGE"/>
    <s v="Q1"/>
    <e v="#REF!"/>
    <e v="#REF!"/>
    <e v="#REF!"/>
  </r>
  <r>
    <s v="626100"/>
    <x v="6"/>
    <s v="Internet, Téléphone, Télécommunications"/>
    <s v="AC"/>
    <n v="202.1"/>
    <d v="2025-03-31T00:00:00"/>
    <s v="Mobile - Performance Pro - 8 lignes"/>
    <m/>
    <e v="#N/A"/>
    <e v="#N/A"/>
    <n v="67918"/>
    <s v="90034605"/>
    <s v="ORANGE"/>
    <s v="Q1"/>
    <e v="#REF!"/>
    <e v="#REF!"/>
    <e v="#REF!"/>
  </r>
  <r>
    <s v="626100"/>
    <x v="6"/>
    <s v="Internet, Téléphone, Télécommunications"/>
    <s v="AC"/>
    <n v="334.5"/>
    <d v="2025-06-30T00:00:00"/>
    <s v="Mobile - Performance Pro - 13 lignes"/>
    <m/>
    <e v="#N/A"/>
    <e v="#N/A"/>
    <n v="78066"/>
    <s v="91008499"/>
    <s v="ORANGE"/>
    <s v="Q2"/>
    <e v="#REF!"/>
    <e v="#REF!"/>
    <e v="#REF!"/>
  </r>
  <r>
    <s v="626100"/>
    <x v="6"/>
    <s v="Internet, Téléphone, Télécommunications"/>
    <s v="AC"/>
    <n v="379.88"/>
    <d v="2025-07-31T00:00:00"/>
    <s v="Mobile - Performance Pro - 13 lignes"/>
    <m/>
    <e v="#N/A"/>
    <e v="#N/A"/>
    <n v="81278"/>
    <s v="91326859"/>
    <s v="ORANGE"/>
    <s v="Q3"/>
    <e v="#REF!"/>
    <e v="#REF!"/>
    <e v="#REF!"/>
  </r>
  <r>
    <s v="626100"/>
    <x v="6"/>
    <s v="Internet, Téléphone, Télécommunications"/>
    <s v="AC"/>
    <n v="383.33"/>
    <d v="2025-09-30T00:00:00"/>
    <s v="Mobile - Performance Pro - 13 lignes"/>
    <m/>
    <e v="#N/A"/>
    <e v="#N/A"/>
    <n v="87061"/>
    <s v="91957330"/>
    <s v="ORANGE"/>
    <s v="Q3"/>
    <e v="#REF!"/>
    <e v="#REF!"/>
    <e v="#REF!"/>
  </r>
  <r>
    <s v="645300"/>
    <x v="6"/>
    <s v="COTISATIONS AUX CAISSES DE RETRAITE"/>
    <s v="SA"/>
    <n v="41.2"/>
    <d v="2025-09-30T00:00:00"/>
    <s v="CONTRIBUTION D'EQUILIBRE TECHNIQUE TU1"/>
    <m/>
    <e v="#N/A"/>
    <e v="#N/A"/>
    <n v="84221"/>
    <s v="SA202509"/>
    <m/>
    <s v="Q3"/>
    <e v="#REF!"/>
    <e v="#REF!"/>
    <e v="#REF!"/>
  </r>
  <r>
    <s v="645300"/>
    <x v="6"/>
    <s v="COTISATIONS AUX CAISSES DE RETRAITE"/>
    <s v="SA"/>
    <n v="41.2"/>
    <d v="2025-10-31T00:00:00"/>
    <s v="CONTRIBUTION D'EQUILIBRE TECHNIQUE TU1"/>
    <m/>
    <e v="#N/A"/>
    <e v="#N/A"/>
    <n v="87887"/>
    <s v="SA202510"/>
    <m/>
    <s v="Q4"/>
    <e v="#REF!"/>
    <e v="#REF!"/>
    <e v="#REF!"/>
  </r>
  <r>
    <s v="626100"/>
    <x v="6"/>
    <s v="Internet, Téléphone, Télécommunications"/>
    <s v="AC"/>
    <n v="388.4"/>
    <d v="2025-08-31T00:00:00"/>
    <s v="Mobile - Performance Pro - 13 lignes"/>
    <m/>
    <e v="#N/A"/>
    <e v="#N/A"/>
    <n v="82250"/>
    <s v="91644015"/>
    <s v="ORANGE"/>
    <s v="Q3"/>
    <e v="#REF!"/>
    <e v="#REF!"/>
    <e v="#REF!"/>
  </r>
  <r>
    <s v="645300"/>
    <x v="6"/>
    <s v="COTISATIONS AUX CAISSES DE RETRAITE"/>
    <s v="SA"/>
    <n v="41.2"/>
    <d v="2025-11-30T00:00:00"/>
    <s v="CONTRIBUTION D'EQUILIBRE TECHNIQUE TU1"/>
    <m/>
    <e v="#N/A"/>
    <e v="#N/A"/>
    <n v="92394"/>
    <s v="SA202511"/>
    <m/>
    <s v="Q4"/>
    <e v="#REF!"/>
    <e v="#REF!"/>
    <e v="#REF!"/>
  </r>
  <r>
    <s v="626100"/>
    <x v="6"/>
    <s v="Internet, Téléphone, Télécommunications"/>
    <s v="AC"/>
    <n v="402.05"/>
    <d v="2025-04-30T00:00:00"/>
    <s v="Mobile - Performance Pro - 13 lignes"/>
    <m/>
    <e v="#N/A"/>
    <e v="#N/A"/>
    <n v="72656"/>
    <s v="90361034"/>
    <s v="ORANGE"/>
    <s v="Q2"/>
    <e v="#REF!"/>
    <e v="#REF!"/>
    <e v="#REF!"/>
  </r>
  <r>
    <s v="626100"/>
    <x v="6"/>
    <s v="Internet, Téléphone, Télécommunications"/>
    <s v="AC"/>
    <n v="447.66"/>
    <d v="2025-05-31T00:00:00"/>
    <s v="Mobile - Performance Pro - 13 lignes"/>
    <m/>
    <e v="#N/A"/>
    <e v="#N/A"/>
    <n v="76197"/>
    <s v="90684696"/>
    <s v="ORANGE"/>
    <s v="Q2"/>
    <e v="#REF!"/>
    <e v="#REF!"/>
    <e v="#REF!"/>
  </r>
  <r>
    <s v="626100"/>
    <x v="6"/>
    <s v="Internet, Téléphone, Télécommunications"/>
    <s v="AC"/>
    <n v="756"/>
    <d v="2025-01-02T00:00:00"/>
    <s v="BUSINESS INTERNET"/>
    <m/>
    <e v="#N/A"/>
    <e v="#N/A"/>
    <n v="73614"/>
    <s v="12501052746"/>
    <s v="ORANGE"/>
    <s v="Q1"/>
    <e v="#REF!"/>
    <e v="#REF!"/>
    <e v="#REF!"/>
  </r>
  <r>
    <s v="626100"/>
    <x v="6"/>
    <s v="Internet, Téléphone, Télécommunications"/>
    <s v="AC"/>
    <n v="756"/>
    <d v="2025-03-01T00:00:00"/>
    <s v="BUSINESS INTERNET"/>
    <m/>
    <e v="#N/A"/>
    <e v="#N/A"/>
    <n v="66139"/>
    <s v="12503051136"/>
    <s v="ORANGE"/>
    <s v="Q1"/>
    <e v="#REF!"/>
    <e v="#REF!"/>
    <e v="#REF!"/>
  </r>
  <r>
    <s v="626100"/>
    <x v="6"/>
    <s v="Internet, Téléphone, Télécommunications"/>
    <s v="AC"/>
    <n v="756"/>
    <d v="2025-05-01T00:00:00"/>
    <s v="BUSINESS INTERNET"/>
    <m/>
    <e v="#N/A"/>
    <e v="#N/A"/>
    <n v="77261"/>
    <s v="12505050205"/>
    <s v="ORANGE"/>
    <s v="Q2"/>
    <e v="#REF!"/>
    <e v="#REF!"/>
    <e v="#REF!"/>
  </r>
  <r>
    <s v="626100"/>
    <x v="6"/>
    <s v="Internet, Téléphone, Télécommunications"/>
    <s v="AC"/>
    <n v="756"/>
    <d v="2025-07-02T00:00:00"/>
    <s v="BUSINESS INTERNET"/>
    <m/>
    <e v="#N/A"/>
    <e v="#N/A"/>
    <n v="78798"/>
    <s v="12507049386"/>
    <s v="ORANGE"/>
    <s v="Q3"/>
    <e v="#REF!"/>
    <e v="#REF!"/>
    <e v="#REF!"/>
  </r>
  <r>
    <s v="626100"/>
    <x v="6"/>
    <s v="Internet, Téléphone, Télécommunications"/>
    <s v="AC"/>
    <n v="756"/>
    <d v="2025-09-02T00:00:00"/>
    <s v="BUSINESS INTERNET"/>
    <m/>
    <e v="#N/A"/>
    <e v="#N/A"/>
    <n v="82256"/>
    <s v="12509048545"/>
    <s v="ORANGE"/>
    <s v="Q3"/>
    <e v="#REF!"/>
    <e v="#REF!"/>
    <e v="#REF!"/>
  </r>
  <r>
    <s v="626100"/>
    <x v="6"/>
    <s v="Internet, Téléphone, Télécommunications"/>
    <s v="AC"/>
    <n v="756"/>
    <d v="2025-11-03T00:00:00"/>
    <s v="BUSINESS INTERNET - 2 MOIS"/>
    <m/>
    <e v="#N/A"/>
    <e v="#N/A"/>
    <n v="90083"/>
    <s v="12511046008"/>
    <s v="ORANGE"/>
    <s v="Q4"/>
    <e v="#REF!"/>
    <e v="#REF!"/>
    <e v="#REF!"/>
  </r>
  <r>
    <s v="626100"/>
    <x v="6"/>
    <s v="Internet, Téléphone, Télécommunications"/>
    <s v="AC"/>
    <n v="2086.4299999999998"/>
    <d v="2025-04-01T00:00:00"/>
    <s v="Solde Orange"/>
    <m/>
    <e v="#N/A"/>
    <e v="#N/A"/>
    <n v="74976"/>
    <m/>
    <s v="ORANGE"/>
    <s v="Q2"/>
    <e v="#REF!"/>
    <e v="#REF!"/>
    <e v="#REF!"/>
  </r>
  <r>
    <s v="626100"/>
    <x v="6"/>
    <s v="Internet, Téléphone, Télécommunications"/>
    <s v="OD"/>
    <n v="-756"/>
    <d v="2025-07-01T00:00:00"/>
    <s v="BUSINESS INTERNET"/>
    <m/>
    <e v="#N/A"/>
    <e v="#N/A"/>
    <n v="89476"/>
    <s v="FNP ORANGE"/>
    <s v="ORANGE"/>
    <s v="Q3"/>
    <e v="#REF!"/>
    <e v="#REF!"/>
    <e v="#REF!"/>
  </r>
  <r>
    <s v="626100"/>
    <x v="6"/>
    <s v="Internet, Téléphone, Télécommunications"/>
    <s v="OD"/>
    <n v="-450.05"/>
    <d v="2025-04-01T00:00:00"/>
    <s v="MOBILE - PERFORMANCE PRO - 13 LIGNES"/>
    <m/>
    <e v="#N/A"/>
    <e v="#N/A"/>
    <n v="89464"/>
    <s v="FNP ORANGE"/>
    <s v="ORANGE"/>
    <s v="Q2"/>
    <e v="#REF!"/>
    <e v="#REF!"/>
    <e v="#REF!"/>
  </r>
  <r>
    <s v="626100"/>
    <x v="6"/>
    <s v="Internet, Téléphone, Télécommunications"/>
    <s v="OD"/>
    <n v="-436.4"/>
    <d v="2025-08-01T00:00:00"/>
    <s v="MOBILE - PERFORMANCE PRO - 13 LIGNES"/>
    <m/>
    <e v="#N/A"/>
    <e v="#N/A"/>
    <n v="89472"/>
    <s v="FNP ORANGE"/>
    <s v="ORANGE"/>
    <s v="Q3"/>
    <e v="#REF!"/>
    <e v="#REF!"/>
    <e v="#REF!"/>
  </r>
  <r>
    <s v="626100"/>
    <x v="6"/>
    <s v="Internet, Téléphone, Télécommunications"/>
    <s v="OD"/>
    <n v="-382.5"/>
    <d v="2025-06-01T00:00:00"/>
    <s v="MOBILE - PERFORMANCE PRO - 13 LIGNES"/>
    <m/>
    <e v="#N/A"/>
    <e v="#N/A"/>
    <n v="89468"/>
    <s v="FNP ORANGE"/>
    <s v="ORANGE"/>
    <s v="Q2"/>
    <e v="#REF!"/>
    <e v="#REF!"/>
    <e v="#REF!"/>
  </r>
  <r>
    <s v="626100"/>
    <x v="6"/>
    <s v="Internet, Téléphone, Télécommunications"/>
    <s v="OD"/>
    <n v="-201.42"/>
    <d v="2025-02-01T00:00:00"/>
    <s v="MOBILE - PERFORMANCE PRO - 8 LIGNES"/>
    <m/>
    <e v="#N/A"/>
    <e v="#N/A"/>
    <n v="89480"/>
    <s v="FNP ORANGE"/>
    <s v="ORANGE"/>
    <s v="Q1"/>
    <e v="#REF!"/>
    <e v="#REF!"/>
    <e v="#REF!"/>
  </r>
  <r>
    <s v="626100"/>
    <x v="6"/>
    <s v="Internet, Téléphone, Télécommunications"/>
    <s v="OD"/>
    <n v="-111.52"/>
    <d v="2025-04-30T00:00:00"/>
    <s v="REGUL COMPTE ORANGE"/>
    <m/>
    <e v="#N/A"/>
    <e v="#N/A"/>
    <n v="90093"/>
    <m/>
    <s v="ORANGE"/>
    <s v="Q2"/>
    <e v="#REF!"/>
    <e v="#REF!"/>
    <e v="#REF!"/>
  </r>
  <r>
    <s v="626100"/>
    <x v="6"/>
    <s v="Internet, Téléphone, Télécommunications"/>
    <s v="OD"/>
    <n v="-43.5"/>
    <d v="2025-02-01T00:00:00"/>
    <s v="MOBILE - PERFORMANCE PRO - 1 LIGNE"/>
    <m/>
    <e v="#N/A"/>
    <e v="#N/A"/>
    <n v="89484"/>
    <s v="FNP ORANGE"/>
    <s v="ORANGE"/>
    <s v="Q1"/>
    <e v="#REF!"/>
    <e v="#REF!"/>
    <e v="#REF!"/>
  </r>
  <r>
    <s v="626100"/>
    <x v="6"/>
    <s v="Internet, Téléphone, Télécommunications"/>
    <s v="OD"/>
    <n v="43.5"/>
    <d v="2025-02-01T00:00:00"/>
    <s v="MOBILE - PERFORMANCE PRO - 1 LIGNE"/>
    <m/>
    <e v="#N/A"/>
    <e v="#N/A"/>
    <n v="89482"/>
    <s v="FNP ORANGE"/>
    <s v="ORANGE"/>
    <s v="Q1"/>
    <e v="#REF!"/>
    <e v="#REF!"/>
    <e v="#REF!"/>
  </r>
  <r>
    <s v="626100"/>
    <x v="6"/>
    <s v="Internet, Téléphone, Télécommunications"/>
    <s v="OD"/>
    <n v="201.42"/>
    <d v="2025-02-01T00:00:00"/>
    <s v="MOBILE - PERFORMANCE PRO - 8 LIGNES"/>
    <m/>
    <e v="#N/A"/>
    <e v="#N/A"/>
    <n v="89478"/>
    <s v="FNP ORANGE"/>
    <s v="ORANGE"/>
    <s v="Q1"/>
    <e v="#REF!"/>
    <e v="#REF!"/>
    <e v="#REF!"/>
  </r>
  <r>
    <s v="626100"/>
    <x v="6"/>
    <s v="Internet, Téléphone, Télécommunications"/>
    <s v="OD"/>
    <n v="382.5"/>
    <d v="2025-06-01T00:00:00"/>
    <s v="MOBILE - PERFORMANCE PRO - 13 LIGNES"/>
    <m/>
    <e v="#N/A"/>
    <e v="#N/A"/>
    <n v="89466"/>
    <s v="FNP ORANGE"/>
    <s v="ORANGE"/>
    <s v="Q2"/>
    <e v="#REF!"/>
    <e v="#REF!"/>
    <e v="#REF!"/>
  </r>
  <r>
    <s v="626100"/>
    <x v="6"/>
    <s v="Internet, Téléphone, Télécommunications"/>
    <s v="OD"/>
    <n v="436.4"/>
    <d v="2025-08-01T00:00:00"/>
    <s v="MOBILE - PERFORMANCE PRO - 13 LIGNES"/>
    <m/>
    <e v="#N/A"/>
    <e v="#N/A"/>
    <n v="89470"/>
    <s v="FNP ORANGE"/>
    <s v="ORANGE"/>
    <s v="Q3"/>
    <e v="#REF!"/>
    <e v="#REF!"/>
    <e v="#REF!"/>
  </r>
  <r>
    <s v="626100"/>
    <x v="6"/>
    <s v="Internet, Téléphone, Télécommunications"/>
    <s v="OD"/>
    <n v="450.05"/>
    <d v="2025-04-01T00:00:00"/>
    <s v="MOBILE - PERFORMANCE PRO - 13 LIGNES"/>
    <m/>
    <e v="#N/A"/>
    <e v="#N/A"/>
    <n v="89462"/>
    <s v="FNP ORANGE"/>
    <s v="ORANGE"/>
    <s v="Q2"/>
    <e v="#REF!"/>
    <e v="#REF!"/>
    <e v="#REF!"/>
  </r>
  <r>
    <s v="626100"/>
    <x v="6"/>
    <s v="Internet, Téléphone, Télécommunications"/>
    <s v="OD"/>
    <n v="756"/>
    <d v="2025-07-01T00:00:00"/>
    <s v="BUSINESS INTERNET"/>
    <m/>
    <e v="#N/A"/>
    <e v="#N/A"/>
    <n v="89474"/>
    <s v="FNP ORANGE"/>
    <s v="ORANGE"/>
    <s v="Q3"/>
    <e v="#REF!"/>
    <e v="#REF!"/>
    <e v="#REF!"/>
  </r>
  <r>
    <s v="626200"/>
    <x v="6"/>
    <s v="Affranchissements"/>
    <s v="AC"/>
    <n v="1.03"/>
    <d v="2025-07-02T00:00:00"/>
    <s v="LRAR CONVOCATION CAC"/>
    <m/>
    <e v="#N/A"/>
    <e v="#N/A"/>
    <n v="80856"/>
    <s v="L000000129024851"/>
    <s v="LA POSTE"/>
    <s v="Q3"/>
    <e v="#REF!"/>
    <e v="#REF!"/>
    <e v="#REF!"/>
  </r>
  <r>
    <s v="626200"/>
    <x v="6"/>
    <s v="Affranchissements"/>
    <s v="AC"/>
    <n v="1.03"/>
    <d v="2025-07-25T00:00:00"/>
    <s v="COURRIER CAC LRAR"/>
    <m/>
    <e v="#N/A"/>
    <e v="#N/A"/>
    <n v="80896"/>
    <s v="L000000134935634"/>
    <s v="LA POSTE"/>
    <s v="Q3"/>
    <e v="#REF!"/>
    <e v="#REF!"/>
    <e v="#REF!"/>
  </r>
  <r>
    <s v="626200"/>
    <x v="6"/>
    <s v="Affranchissements"/>
    <s v="AC"/>
    <n v="1.03"/>
    <d v="2025-10-03T00:00:00"/>
    <s v="COURRIER INFORMATION CAC - MODIFS OC"/>
    <m/>
    <e v="#N/A"/>
    <e v="#N/A"/>
    <n v="83041"/>
    <s v="45"/>
    <s v="LA POSTE"/>
    <s v="Q4"/>
    <e v="#REF!"/>
    <e v="#REF!"/>
    <e v="#REF!"/>
  </r>
  <r>
    <s v="626200"/>
    <x v="6"/>
    <s v="Affranchissements"/>
    <s v="AC"/>
    <n v="1.03"/>
    <d v="2025-12-18T00:00:00"/>
    <s v="LRAR CAC COMPTES 2024"/>
    <m/>
    <e v="#N/A"/>
    <e v="#N/A"/>
    <n v="93974"/>
    <s v="L000000140087491"/>
    <s v="LA POSTE"/>
    <s v="Q4"/>
    <e v="#REF!"/>
    <e v="#REF!"/>
    <e v="#REF!"/>
  </r>
  <r>
    <s v="626200"/>
    <x v="6"/>
    <s v="Affranchissements"/>
    <s v="AC"/>
    <n v="2.23"/>
    <d v="2025-12-11T00:00:00"/>
    <s v="COURRIER LRAR DGFIP - CRC 2023 ET 2024"/>
    <m/>
    <e v="#N/A"/>
    <e v="#N/A"/>
    <n v="93963"/>
    <s v="L000000139795116"/>
    <s v="LA POSTE"/>
    <s v="Q4"/>
    <e v="#REF!"/>
    <e v="#REF!"/>
    <e v="#REF!"/>
  </r>
  <r>
    <s v="626200"/>
    <x v="6"/>
    <s v="Affranchissements"/>
    <s v="AC"/>
    <n v="5.23"/>
    <d v="2025-11-27T00:00:00"/>
    <s v="ENVOI D'ÉCHANTILLONS CHEZ DES CLIENTS OU EN INTERNE (TWB OU ROUSSILLON)"/>
    <m/>
    <e v="#N/A"/>
    <e v="#N/A"/>
    <n v="91473"/>
    <s v="L000000139212223"/>
    <s v="LA POSTE"/>
    <s v="Q4"/>
    <e v="#REF!"/>
    <e v="#REF!"/>
    <e v="#REF!"/>
  </r>
  <r>
    <s v="626200"/>
    <x v="6"/>
    <s v="Affranchissements"/>
    <s v="AC"/>
    <n v="5.25"/>
    <d v="2025-04-04T00:00:00"/>
    <s v="ENVOI COLIS TWB"/>
    <m/>
    <e v="#N/A"/>
    <e v="#N/A"/>
    <n v="69713"/>
    <s v="L000000124067390"/>
    <s v="LA POSTE"/>
    <s v="Q2"/>
    <e v="#REF!"/>
    <e v="#REF!"/>
    <e v="#REF!"/>
  </r>
  <r>
    <s v="626200"/>
    <x v="6"/>
    <s v="Affranchissements"/>
    <s v="AC"/>
    <n v="5.25"/>
    <d v="2025-07-10T00:00:00"/>
    <s v="ENVOIE COLIS À PILI - TOULOUSE"/>
    <m/>
    <e v="#N/A"/>
    <e v="#N/A"/>
    <n v="80873"/>
    <s v="L000000130814986"/>
    <s v="LA POSTE"/>
    <s v="Q3"/>
    <e v="#REF!"/>
    <e v="#REF!"/>
    <e v="#REF!"/>
  </r>
  <r>
    <s v="626200"/>
    <x v="6"/>
    <s v="Affranchissements"/>
    <s v="AC"/>
    <n v="5.25"/>
    <d v="2025-09-03T00:00:00"/>
    <s v="ENVOIE COLIS CUPC POUR LE DÉPARTEMENT ANALYTIQUE À TOULOUSE"/>
    <m/>
    <e v="#N/A"/>
    <e v="#N/A"/>
    <n v="82959"/>
    <s v="L0000001361874485"/>
    <s v="LA POSTE"/>
    <s v="Q3"/>
    <e v="#REF!"/>
    <e v="#REF!"/>
    <e v="#REF!"/>
  </r>
  <r>
    <s v="626200"/>
    <x v="6"/>
    <s v="Affranchissements"/>
    <s v="AC"/>
    <n v="5.25"/>
    <d v="2025-10-03T00:00:00"/>
    <s v="COLIS"/>
    <m/>
    <e v="#N/A"/>
    <e v="#N/A"/>
    <n v="89591"/>
    <s v="8"/>
    <s v="LA POSTE"/>
    <s v="Q4"/>
    <e v="#REF!"/>
    <e v="#REF!"/>
    <e v="#REF!"/>
  </r>
  <r>
    <s v="626200"/>
    <x v="6"/>
    <s v="Affranchissements"/>
    <s v="AC"/>
    <n v="6.99"/>
    <d v="2025-07-02T00:00:00"/>
    <s v="LRAR CONVOCATION CAC"/>
    <m/>
    <e v="#N/A"/>
    <e v="#N/A"/>
    <n v="80857"/>
    <s v="L000000129024851"/>
    <s v="LA POSTE"/>
    <s v="Q3"/>
    <e v="#REF!"/>
    <e v="#REF!"/>
    <e v="#REF!"/>
  </r>
  <r>
    <s v="626200"/>
    <x v="6"/>
    <s v="Affranchissements"/>
    <s v="AC"/>
    <n v="6.99"/>
    <d v="2025-07-25T00:00:00"/>
    <s v="COURRIER CAC LRAR"/>
    <m/>
    <e v="#N/A"/>
    <e v="#N/A"/>
    <n v="80897"/>
    <s v="L000000134935634"/>
    <s v="LA POSTE"/>
    <s v="Q3"/>
    <e v="#REF!"/>
    <e v="#REF!"/>
    <e v="#REF!"/>
  </r>
  <r>
    <s v="626200"/>
    <x v="6"/>
    <s v="Affranchissements"/>
    <s v="AC"/>
    <n v="6.99"/>
    <d v="2025-10-03T00:00:00"/>
    <s v="COURRIER INFORMATION CAC - MODIFS OC"/>
    <m/>
    <e v="#N/A"/>
    <e v="#N/A"/>
    <n v="83042"/>
    <s v="45"/>
    <s v="LA POSTE"/>
    <s v="Q4"/>
    <e v="#REF!"/>
    <e v="#REF!"/>
    <e v="#REF!"/>
  </r>
  <r>
    <s v="626200"/>
    <x v="6"/>
    <s v="Affranchissements"/>
    <s v="AC"/>
    <n v="6.99"/>
    <d v="2025-12-18T00:00:00"/>
    <s v="LRAR CAC COMPTES 2024"/>
    <m/>
    <e v="#N/A"/>
    <e v="#N/A"/>
    <n v="93975"/>
    <s v="L000000140087491"/>
    <s v="LA POSTE"/>
    <s v="Q4"/>
    <e v="#REF!"/>
    <e v="#REF!"/>
    <e v="#REF!"/>
  </r>
  <r>
    <s v="626200"/>
    <x v="6"/>
    <s v="Affranchissements"/>
    <s v="AC"/>
    <n v="7.14"/>
    <d v="2025-03-18T00:00:00"/>
    <s v="LRAR"/>
    <m/>
    <e v="#N/A"/>
    <e v="#N/A"/>
    <n v="66070"/>
    <s v="16134"/>
    <s v="LA POSTE"/>
    <s v="Q1"/>
    <e v="#REF!"/>
    <e v="#REF!"/>
    <e v="#REF!"/>
  </r>
  <r>
    <s v="626200"/>
    <x v="6"/>
    <s v="Affranchissements"/>
    <s v="AC"/>
    <n v="7.14"/>
    <d v="2025-09-30T00:00:00"/>
    <s v="Frais la Poste"/>
    <m/>
    <e v="#N/A"/>
    <e v="#N/A"/>
    <n v="89749"/>
    <m/>
    <s v="LA POSTE"/>
    <s v="Q3"/>
    <e v="#REF!"/>
    <e v="#REF!"/>
    <e v="#REF!"/>
  </r>
  <r>
    <s v="626200"/>
    <x v="6"/>
    <s v="Affranchissements"/>
    <s v="AC"/>
    <n v="7.35"/>
    <d v="2025-11-27T00:00:00"/>
    <s v="ENVOI D'ÉCHANTILLONS CHEZ DES CLIENTS OU EN INTERNE (TWB OU ROUSSILLON)"/>
    <m/>
    <e v="#N/A"/>
    <e v="#N/A"/>
    <n v="91475"/>
    <s v="L000000139212223"/>
    <s v="LA POSTE"/>
    <s v="Q4"/>
    <e v="#REF!"/>
    <e v="#REF!"/>
    <e v="#REF!"/>
  </r>
  <r>
    <s v="626200"/>
    <x v="6"/>
    <s v="Affranchissements"/>
    <s v="AC"/>
    <n v="7.81"/>
    <d v="2025-12-11T00:00:00"/>
    <s v="COURRIER LRAR DGFIP - CRC 2023 ET 2024"/>
    <m/>
    <e v="#N/A"/>
    <e v="#N/A"/>
    <n v="93964"/>
    <s v="L000000139795116"/>
    <s v="LA POSTE"/>
    <s v="Q4"/>
    <e v="#REF!"/>
    <e v="#REF!"/>
    <e v="#REF!"/>
  </r>
  <r>
    <s v="626200"/>
    <x v="6"/>
    <s v="Affranchissements"/>
    <s v="AC"/>
    <n v="7.96"/>
    <d v="2025-04-08T00:00:00"/>
    <s v="PAIEMENT LRAR SERVICE RH"/>
    <m/>
    <e v="#N/A"/>
    <e v="#N/A"/>
    <n v="71314"/>
    <s v="940430NAT1I1316"/>
    <s v="LA POSTE"/>
    <s v="Q2"/>
    <e v="#REF!"/>
    <e v="#REF!"/>
    <e v="#REF!"/>
  </r>
  <r>
    <s v="626200"/>
    <x v="6"/>
    <s v="Affranchissements"/>
    <s v="AC"/>
    <n v="7.96"/>
    <d v="2025-10-31T00:00:00"/>
    <s v="Frais la Poste"/>
    <m/>
    <e v="#N/A"/>
    <e v="#N/A"/>
    <n v="89753"/>
    <m/>
    <s v="LA POSTE"/>
    <s v="Q4"/>
    <e v="#REF!"/>
    <e v="#REF!"/>
    <e v="#REF!"/>
  </r>
  <r>
    <s v="626200"/>
    <x v="6"/>
    <s v="Affranchissements"/>
    <s v="AC"/>
    <n v="8.35"/>
    <d v="2025-04-25T00:00:00"/>
    <s v="COLIS FILIPE GOMES - PORPHYCHEM"/>
    <m/>
    <e v="#N/A"/>
    <e v="#N/A"/>
    <n v="71351"/>
    <s v="L000000124706994"/>
    <s v="LA POSTE"/>
    <s v="Q2"/>
    <e v="#REF!"/>
    <e v="#REF!"/>
    <e v="#REF!"/>
  </r>
  <r>
    <s v="626200"/>
    <x v="6"/>
    <s v="Affranchissements"/>
    <s v="AC"/>
    <n v="9.9499999999999993"/>
    <d v="2025-05-22T00:00:00"/>
    <s v="ENVOI COLIS RÉFÉRENCE BIOPIGMENT À ROUSSILLON"/>
    <m/>
    <e v="#N/A"/>
    <e v="#N/A"/>
    <n v="74454"/>
    <s v="L000000125567652"/>
    <s v="LA POSTE"/>
    <s v="Q2"/>
    <e v="#REF!"/>
    <e v="#REF!"/>
    <e v="#REF!"/>
  </r>
  <r>
    <s v="626200"/>
    <x v="6"/>
    <s v="Affranchissements"/>
    <s v="AC"/>
    <n v="12.18"/>
    <d v="2025-02-06T00:00:00"/>
    <s v="LRAR AXE INFORMATIQUE"/>
    <m/>
    <e v="#N/A"/>
    <e v="#N/A"/>
    <n v="61421"/>
    <s v="103"/>
    <s v="LA POSTE"/>
    <s v="Q1"/>
    <e v="#REF!"/>
    <e v="#REF!"/>
    <e v="#REF!"/>
  </r>
  <r>
    <s v="626200"/>
    <x v="6"/>
    <s v="Affranchissements"/>
    <s v="AC"/>
    <n v="15.85"/>
    <d v="2025-11-07T00:00:00"/>
    <s v="ENVOI D'ÉCHANTILLONS POUR ANALYSES BRUKER"/>
    <m/>
    <e v="#N/A"/>
    <e v="#N/A"/>
    <n v="91429"/>
    <s v="L000000138475780"/>
    <s v="LA POSTE"/>
    <s v="Q4"/>
    <e v="#REF!"/>
    <e v="#REF!"/>
    <e v="#REF!"/>
  </r>
  <r>
    <s v="626200"/>
    <x v="6"/>
    <s v="Affranchissements"/>
    <s v="AC"/>
    <n v="16.61"/>
    <d v="2025-12-31T00:00:00"/>
    <s v="Frais la Poste"/>
    <m/>
    <e v="#N/A"/>
    <e v="#N/A"/>
    <n v="94167"/>
    <m/>
    <s v="LA POSTE"/>
    <s v="Q4"/>
    <e v="#REF!"/>
    <e v="#REF!"/>
    <e v="#REF!"/>
  </r>
  <r>
    <s v="626200"/>
    <x v="6"/>
    <s v="Affranchissements"/>
    <s v="AC"/>
    <n v="16.850000000000001"/>
    <d v="2025-02-05T00:00:00"/>
    <s v="ENVOI PRODUITS TAROS (BIOPIGMENT)"/>
    <m/>
    <e v="#N/A"/>
    <e v="#N/A"/>
    <n v="61414"/>
    <s v="100"/>
    <s v="LA POSTE"/>
    <s v="Q1"/>
    <e v="#REF!"/>
    <e v="#REF!"/>
    <e v="#REF!"/>
  </r>
  <r>
    <s v="626200"/>
    <x v="6"/>
    <s v="Affranchissements"/>
    <s v="AC"/>
    <n v="17.309999999999999"/>
    <d v="2025-03-24T00:00:00"/>
    <s v="EXPRESS DOMESTIC"/>
    <m/>
    <e v="#N/A"/>
    <e v="#N/A"/>
    <n v="67873"/>
    <s v="TLSR003676986"/>
    <s v="DHL"/>
    <s v="Q1"/>
    <e v="#REF!"/>
    <e v="#REF!"/>
    <e v="#REF!"/>
  </r>
  <r>
    <s v="626200"/>
    <x v="6"/>
    <s v="Affranchissements"/>
    <s v="AC"/>
    <n v="17.54"/>
    <d v="2025-11-24T00:00:00"/>
    <s v="EXPRESS DOMESTIC"/>
    <m/>
    <e v="#N/A"/>
    <e v="#N/A"/>
    <n v="91816"/>
    <s v="TLSR004207144"/>
    <s v="DHL"/>
    <s v="Q4"/>
    <e v="#REF!"/>
    <e v="#REF!"/>
    <e v="#REF!"/>
  </r>
  <r>
    <s v="626200"/>
    <x v="6"/>
    <s v="Affranchissements"/>
    <s v="AC"/>
    <n v="21.35"/>
    <d v="2025-07-03T00:00:00"/>
    <s v="ENVOI DU COLIS POUR LA MAINTENANCE DES DÉTECTEURS HCN"/>
    <m/>
    <e v="#N/A"/>
    <e v="#N/A"/>
    <n v="80859"/>
    <s v="L000000129151773"/>
    <s v="LA POSTE"/>
    <s v="Q3"/>
    <e v="#REF!"/>
    <e v="#REF!"/>
    <e v="#REF!"/>
  </r>
  <r>
    <s v="626200"/>
    <x v="6"/>
    <s v="Affranchissements"/>
    <s v="AC"/>
    <n v="22.96"/>
    <d v="2025-10-01T00:00:00"/>
    <s v="COURRIER RECOMMANDÉ POUR LE CAC MAZARS"/>
    <m/>
    <e v="#N/A"/>
    <e v="#N/A"/>
    <n v="91388"/>
    <s v="5"/>
    <s v="LA POSTE"/>
    <s v="Q4"/>
    <e v="#REF!"/>
    <e v="#REF!"/>
    <e v="#REF!"/>
  </r>
  <r>
    <s v="626200"/>
    <x v="6"/>
    <s v="Affranchissements"/>
    <s v="AC"/>
    <n v="23.13"/>
    <d v="2025-12-15T00:00:00"/>
    <s v="EXPRESS WW"/>
    <m/>
    <e v="#N/A"/>
    <e v="#N/A"/>
    <n v="92960"/>
    <s v="TLSR004260524"/>
    <s v="DHL"/>
    <s v="Q4"/>
    <e v="#REF!"/>
    <e v="#REF!"/>
    <e v="#REF!"/>
  </r>
  <r>
    <s v="626200"/>
    <x v="6"/>
    <s v="Affranchissements"/>
    <s v="AC"/>
    <n v="24.74"/>
    <d v="2025-11-30T00:00:00"/>
    <s v="Frais la Poste"/>
    <m/>
    <e v="#N/A"/>
    <e v="#N/A"/>
    <n v="91763"/>
    <m/>
    <s v="LA POSTE"/>
    <s v="Q4"/>
    <e v="#REF!"/>
    <e v="#REF!"/>
    <e v="#REF!"/>
  </r>
  <r>
    <s v="626200"/>
    <x v="6"/>
    <s v="Affranchissements"/>
    <s v="AC"/>
    <n v="29.89"/>
    <d v="2025-12-22T00:00:00"/>
    <s v="EXPRESS DOMESTIC"/>
    <m/>
    <e v="#N/A"/>
    <e v="#N/A"/>
    <n v="93650"/>
    <s v="TLSR004274653"/>
    <s v="DHL"/>
    <s v="Q4"/>
    <e v="#REF!"/>
    <e v="#REF!"/>
    <e v="#REF!"/>
  </r>
  <r>
    <s v="626200"/>
    <x v="6"/>
    <s v="Affranchissements"/>
    <s v="AC"/>
    <n v="35.700000000000003"/>
    <d v="2025-08-31T00:00:00"/>
    <s v="Frais la Poste"/>
    <m/>
    <e v="#N/A"/>
    <e v="#N/A"/>
    <n v="90153"/>
    <m/>
    <s v="LA POSTE"/>
    <s v="Q3"/>
    <e v="#REF!"/>
    <e v="#REF!"/>
    <e v="#REF!"/>
  </r>
  <r>
    <s v="626200"/>
    <x v="6"/>
    <s v="Affranchissements"/>
    <s v="AC"/>
    <n v="43.5"/>
    <d v="2025-12-15T00:00:00"/>
    <s v="EXPRESS WW"/>
    <m/>
    <e v="#N/A"/>
    <e v="#N/A"/>
    <n v="92961"/>
    <s v="TLSR004260524"/>
    <s v="DHL"/>
    <s v="Q4"/>
    <e v="#REF!"/>
    <e v="#REF!"/>
    <e v="#REF!"/>
  </r>
  <r>
    <s v="626200"/>
    <x v="6"/>
    <s v="Affranchissements"/>
    <s v="AC"/>
    <n v="48.37"/>
    <d v="2025-06-11T00:00:00"/>
    <s v="COURSIER ARCHIVES COH"/>
    <m/>
    <e v="#N/A"/>
    <e v="#N/A"/>
    <n v="78013"/>
    <s v="19"/>
    <s v="COURSIER"/>
    <s v="Q2"/>
    <e v="#REF!"/>
    <e v="#REF!"/>
    <e v="#REF!"/>
  </r>
  <r>
    <s v="626200"/>
    <x v="6"/>
    <s v="Affranchissements"/>
    <s v="AC"/>
    <n v="60.15"/>
    <d v="2025-11-30T00:00:00"/>
    <s v="EXPRESS DOMESTIC"/>
    <m/>
    <e v="#N/A"/>
    <e v="#N/A"/>
    <n v="91828"/>
    <s v="TLSR004232345"/>
    <s v="DHL"/>
    <s v="Q4"/>
    <e v="#REF!"/>
    <e v="#REF!"/>
    <e v="#REF!"/>
  </r>
  <r>
    <s v="626200"/>
    <x v="6"/>
    <s v="Affranchissements"/>
    <s v="NDF"/>
    <n v="159"/>
    <d v="2025-04-10T00:00:00"/>
    <s v="NOTE DE FRAIS"/>
    <m/>
    <e v="#N/A"/>
    <e v="#N/A"/>
    <n v="74320"/>
    <s v="25000112"/>
    <s v="Marie Rézeau"/>
    <s v="Q2"/>
    <e v="#REF!"/>
    <e v="#REF!"/>
    <e v="#REF!"/>
  </r>
  <r>
    <s v="627200"/>
    <x v="6"/>
    <s v="Frais sur emprunts"/>
    <s v="AC"/>
    <n v="12"/>
    <d v="2025-01-01T00:00:00"/>
    <s v="Frais Bpifrance - 01/2025"/>
    <m/>
    <e v="#N/A"/>
    <e v="#N/A"/>
    <n v="82856"/>
    <m/>
    <s v="BPI FRANCE"/>
    <s v="Q1"/>
    <e v="#REF!"/>
    <e v="#REF!"/>
    <e v="#REF!"/>
  </r>
  <r>
    <s v="627200"/>
    <x v="6"/>
    <s v="Frais sur emprunts"/>
    <s v="AC"/>
    <n v="12"/>
    <d v="2025-02-01T00:00:00"/>
    <s v="Frais Bpifrance - 02/2025"/>
    <m/>
    <e v="#N/A"/>
    <e v="#N/A"/>
    <n v="82860"/>
    <m/>
    <s v="BPI FRANCE"/>
    <s v="Q1"/>
    <e v="#REF!"/>
    <e v="#REF!"/>
    <e v="#REF!"/>
  </r>
  <r>
    <s v="627200"/>
    <x v="6"/>
    <s v="Frais sur emprunts"/>
    <s v="AC"/>
    <n v="12"/>
    <d v="2025-03-01T00:00:00"/>
    <s v="Frais Bpifrance - 03/2025"/>
    <m/>
    <e v="#N/A"/>
    <e v="#N/A"/>
    <n v="82863"/>
    <m/>
    <s v="BPI FRANCE"/>
    <s v="Q1"/>
    <e v="#REF!"/>
    <e v="#REF!"/>
    <e v="#REF!"/>
  </r>
  <r>
    <s v="627200"/>
    <x v="6"/>
    <s v="Frais sur emprunts"/>
    <s v="AC"/>
    <n v="12"/>
    <d v="2025-04-01T00:00:00"/>
    <s v="Frais Bpifrance - 04/2025"/>
    <m/>
    <e v="#N/A"/>
    <e v="#N/A"/>
    <n v="82866"/>
    <m/>
    <s v="BPI FRANCE"/>
    <s v="Q2"/>
    <e v="#REF!"/>
    <e v="#REF!"/>
    <e v="#REF!"/>
  </r>
  <r>
    <s v="627200"/>
    <x v="6"/>
    <s v="Frais sur emprunts"/>
    <s v="AC"/>
    <n v="12"/>
    <d v="2025-05-01T00:00:00"/>
    <s v="Frais Bpifrance - 05/2025"/>
    <m/>
    <e v="#N/A"/>
    <e v="#N/A"/>
    <n v="82869"/>
    <m/>
    <s v="BPI FRANCE"/>
    <s v="Q2"/>
    <e v="#REF!"/>
    <e v="#REF!"/>
    <e v="#REF!"/>
  </r>
  <r>
    <s v="627200"/>
    <x v="6"/>
    <s v="Frais sur emprunts"/>
    <s v="AC"/>
    <n v="12"/>
    <d v="2025-06-01T00:00:00"/>
    <s v="Frais Bpifrance - 06/2025"/>
    <m/>
    <e v="#N/A"/>
    <e v="#N/A"/>
    <n v="82874"/>
    <m/>
    <s v="BPI FRANCE"/>
    <s v="Q2"/>
    <e v="#REF!"/>
    <e v="#REF!"/>
    <e v="#REF!"/>
  </r>
  <r>
    <s v="627200"/>
    <x v="6"/>
    <s v="Frais sur emprunts"/>
    <s v="AC"/>
    <n v="12"/>
    <d v="2025-08-01T00:00:00"/>
    <s v="Frais Bpifrance - 08/2025"/>
    <m/>
    <e v="#N/A"/>
    <e v="#N/A"/>
    <n v="82878"/>
    <m/>
    <s v="BPI FRANCE"/>
    <s v="Q3"/>
    <e v="#REF!"/>
    <e v="#REF!"/>
    <e v="#REF!"/>
  </r>
  <r>
    <s v="627200"/>
    <x v="6"/>
    <s v="Frais sur emprunts"/>
    <s v="AC"/>
    <n v="12"/>
    <d v="2025-09-01T00:00:00"/>
    <s v="Frais Bpifrance - 09/2025"/>
    <m/>
    <e v="#N/A"/>
    <e v="#N/A"/>
    <n v="82880"/>
    <m/>
    <s v="BPI FRANCE"/>
    <s v="Q3"/>
    <e v="#REF!"/>
    <e v="#REF!"/>
    <e v="#REF!"/>
  </r>
  <r>
    <s v="627200"/>
    <x v="6"/>
    <s v="Frais sur emprunts"/>
    <s v="AC"/>
    <n v="12"/>
    <d v="2025-10-01T00:00:00"/>
    <s v="Frais Bpifrance - 10/2025"/>
    <m/>
    <e v="#N/A"/>
    <e v="#N/A"/>
    <n v="82882"/>
    <m/>
    <s v="BPI FRANCE"/>
    <s v="Q4"/>
    <e v="#REF!"/>
    <e v="#REF!"/>
    <e v="#REF!"/>
  </r>
  <r>
    <s v="627200"/>
    <x v="6"/>
    <s v="Frais sur emprunts"/>
    <s v="AC"/>
    <n v="12"/>
    <d v="2025-11-01T00:00:00"/>
    <s v="Frais Bpifrance - 11/2025"/>
    <m/>
    <e v="#N/A"/>
    <e v="#N/A"/>
    <n v="82884"/>
    <m/>
    <s v="BPI FRANCE"/>
    <s v="Q4"/>
    <e v="#REF!"/>
    <e v="#REF!"/>
    <e v="#REF!"/>
  </r>
  <r>
    <s v="627200"/>
    <x v="6"/>
    <s v="Frais sur emprunts"/>
    <s v="AC"/>
    <n v="12"/>
    <d v="2025-12-01T00:00:00"/>
    <s v="Frais Bpifrance - 12/2025"/>
    <m/>
    <e v="#N/A"/>
    <e v="#N/A"/>
    <n v="92131"/>
    <m/>
    <s v="BPI FRANCE"/>
    <s v="Q4"/>
    <e v="#REF!"/>
    <e v="#REF!"/>
    <e v="#REF!"/>
  </r>
  <r>
    <s v="627200"/>
    <x v="6"/>
    <s v="Frais sur emprunts"/>
    <s v="BPRI"/>
    <n v="-9.0299999999999994"/>
    <d v="2025-03-03T00:00:00"/>
    <s v="Frais bancaire"/>
    <m/>
    <e v="#N/A"/>
    <e v="#N/A"/>
    <n v="66564"/>
    <m/>
    <m/>
    <s v="Q1"/>
    <e v="#REF!"/>
    <e v="#REF!"/>
    <e v="#REF!"/>
  </r>
  <r>
    <s v="627200"/>
    <x v="6"/>
    <s v="Frais sur emprunts"/>
    <s v="BPRI"/>
    <n v="12"/>
    <d v="2025-07-14T00:00:00"/>
    <s v="PRLV SEPA BPIFRANCE FINANCEMENT"/>
    <m/>
    <e v="#N/A"/>
    <e v="#N/A"/>
    <n v="78443"/>
    <m/>
    <m/>
    <s v="Q3"/>
    <e v="#REF!"/>
    <e v="#REF!"/>
    <e v="#REF!"/>
  </r>
  <r>
    <s v="645300"/>
    <x v="6"/>
    <s v="COTISATIONS AUX CAISSES DE RETRAITE"/>
    <s v="SA"/>
    <n v="41.2"/>
    <d v="2025-12-31T00:00:00"/>
    <s v="CONTRIBUTION D'EQUILIBRE TECHNIQUE TU1"/>
    <m/>
    <e v="#N/A"/>
    <e v="#N/A"/>
    <n v="92857"/>
    <s v="SA202512"/>
    <m/>
    <s v="Q4"/>
    <e v="#REF!"/>
    <e v="#REF!"/>
    <e v="#REF!"/>
  </r>
  <r>
    <s v="645300"/>
    <x v="6"/>
    <s v="COTISATIONS AUX CAISSES DE RETRAITE"/>
    <s v="SA"/>
    <n v="41.75"/>
    <d v="2025-06-30T00:00:00"/>
    <s v="CONTRIBUTION D'EQUILIBRE TECHNIQUE TU1"/>
    <m/>
    <e v="#N/A"/>
    <e v="#N/A"/>
    <n v="80104"/>
    <s v="SA202506"/>
    <m/>
    <s v="Q2"/>
    <e v="#REF!"/>
    <e v="#REF!"/>
    <e v="#REF!"/>
  </r>
  <r>
    <s v="645300"/>
    <x v="6"/>
    <s v="COTISATIONS AUX CAISSES DE RETRAITE"/>
    <s v="SA"/>
    <n v="49.44"/>
    <d v="2025-05-31T00:00:00"/>
    <s v="CONTRIBUTION D'EQUILIBRE TECHNIQUE TU1"/>
    <m/>
    <e v="#N/A"/>
    <e v="#N/A"/>
    <n v="80272"/>
    <s v="SA202505"/>
    <m/>
    <s v="Q2"/>
    <e v="#REF!"/>
    <e v="#REF!"/>
    <e v="#REF!"/>
  </r>
  <r>
    <s v="645300"/>
    <x v="6"/>
    <s v="COTISATIONS AUX CAISSES DE RETRAITE"/>
    <s v="SA"/>
    <n v="56.35"/>
    <d v="2025-07-31T00:00:00"/>
    <s v="CONTRIBUTION D'EQUILIBRE TECHNIQUE TU1"/>
    <m/>
    <e v="#N/A"/>
    <e v="#N/A"/>
    <n v="79941"/>
    <s v="SA202507"/>
    <m/>
    <s v="Q3"/>
    <e v="#REF!"/>
    <e v="#REF!"/>
    <e v="#REF!"/>
  </r>
  <r>
    <s v="645300"/>
    <x v="6"/>
    <s v="COTISATIONS AUX CAISSES DE RETRAITE"/>
    <s v="SA"/>
    <n v="57.68"/>
    <d v="2025-03-31T00:00:00"/>
    <s v="CONTRIBUTION D'EQUILIBRE TECHNIQUE TU1"/>
    <m/>
    <e v="#N/A"/>
    <e v="#N/A"/>
    <n v="80615"/>
    <s v="SA202503"/>
    <m/>
    <s v="Q1"/>
    <e v="#REF!"/>
    <e v="#REF!"/>
    <e v="#REF!"/>
  </r>
  <r>
    <s v="645300"/>
    <x v="6"/>
    <s v="COTISATIONS AUX CAISSES DE RETRAITE"/>
    <s v="SA"/>
    <n v="65.34"/>
    <d v="2025-02-28T00:00:00"/>
    <s v="CONTRIBUTION D'EQUILIBRE TECHNIQUE TU1"/>
    <m/>
    <e v="#N/A"/>
    <e v="#N/A"/>
    <n v="85334"/>
    <s v="SA202502"/>
    <m/>
    <s v="Q1"/>
    <e v="#REF!"/>
    <e v="#REF!"/>
    <e v="#REF!"/>
  </r>
  <r>
    <s v="645300"/>
    <x v="6"/>
    <s v="COTISATIONS AUX CAISSES DE RETRAITE"/>
    <s v="SA"/>
    <n v="83.96"/>
    <d v="2025-03-31T00:00:00"/>
    <s v="CONTRIBUTION D'EQUILIBRE TECHNIQUE TU1"/>
    <m/>
    <e v="#N/A"/>
    <e v="#N/A"/>
    <n v="80624"/>
    <s v="SA202503"/>
    <m/>
    <s v="Q1"/>
    <e v="#REF!"/>
    <e v="#REF!"/>
    <e v="#REF!"/>
  </r>
  <r>
    <s v="645300"/>
    <x v="6"/>
    <s v="COTISATIONS AUX CAISSES DE RETRAITE"/>
    <s v="SA"/>
    <n v="84.81"/>
    <d v="2025-07-31T00:00:00"/>
    <s v="CONTRIBUTION D'EQUILIBRE TECHNIQUE TU1"/>
    <m/>
    <e v="#N/A"/>
    <e v="#N/A"/>
    <n v="79924"/>
    <s v="SA202507"/>
    <m/>
    <s v="Q3"/>
    <e v="#REF!"/>
    <e v="#REF!"/>
    <e v="#REF!"/>
  </r>
  <r>
    <s v="645300"/>
    <x v="6"/>
    <s v="COTISATIONS AUX CAISSES DE RETRAITE"/>
    <s v="SA"/>
    <n v="86.12"/>
    <d v="2025-01-31T00:00:00"/>
    <s v="CONTRIBUTION D'EQUILIBRE TECHNIQUE TU1"/>
    <m/>
    <e v="#N/A"/>
    <e v="#N/A"/>
    <n v="85515"/>
    <s v="SA202501"/>
    <m/>
    <s v="Q1"/>
    <e v="#REF!"/>
    <e v="#REF!"/>
    <e v="#REF!"/>
  </r>
  <r>
    <s v="645300"/>
    <x v="6"/>
    <s v="COTISATIONS AUX CAISSES DE RETRAITE"/>
    <s v="SA"/>
    <n v="89.55"/>
    <d v="2025-04-30T00:00:00"/>
    <s v="CONTRIBUTION D'EQUILIBRE TECHNIQUE TU1"/>
    <m/>
    <e v="#N/A"/>
    <e v="#N/A"/>
    <n v="80451"/>
    <s v="SA202504"/>
    <m/>
    <s v="Q2"/>
    <e v="#REF!"/>
    <e v="#REF!"/>
    <e v="#REF!"/>
  </r>
  <r>
    <s v="645300"/>
    <x v="6"/>
    <s v="COTISATIONS AUX CAISSES DE RETRAITE"/>
    <s v="SA"/>
    <n v="106.04"/>
    <d v="2025-08-31T00:00:00"/>
    <s v="CONTRIBUTION D'EQUILIBRE TECHNIQUE TU1"/>
    <m/>
    <e v="#N/A"/>
    <e v="#N/A"/>
    <n v="84056"/>
    <s v="SA202508"/>
    <m/>
    <s v="Q3"/>
    <e v="#REF!"/>
    <e v="#REF!"/>
    <e v="#REF!"/>
  </r>
  <r>
    <s v="645300"/>
    <x v="6"/>
    <s v="COTISATIONS AUX CAISSES DE RETRAITE"/>
    <s v="SA"/>
    <n v="106.04"/>
    <d v="2025-09-30T00:00:00"/>
    <s v="CONTRIBUTION D'EQUILIBRE TECHNIQUE TU1"/>
    <m/>
    <e v="#N/A"/>
    <e v="#N/A"/>
    <n v="84230"/>
    <s v="SA202509"/>
    <m/>
    <s v="Q3"/>
    <e v="#REF!"/>
    <e v="#REF!"/>
    <e v="#REF!"/>
  </r>
  <r>
    <s v="645300"/>
    <x v="6"/>
    <s v="COTISATIONS AUX CAISSES DE RETRAITE"/>
    <s v="SA"/>
    <n v="106.04"/>
    <d v="2025-10-31T00:00:00"/>
    <s v="CONTRIBUTION D'EQUILIBRE TECHNIQUE TU1"/>
    <m/>
    <e v="#N/A"/>
    <e v="#N/A"/>
    <n v="87896"/>
    <s v="SA202510"/>
    <m/>
    <s v="Q4"/>
    <e v="#REF!"/>
    <e v="#REF!"/>
    <e v="#REF!"/>
  </r>
  <r>
    <s v="645300"/>
    <x v="6"/>
    <s v="COTISATIONS AUX CAISSES DE RETRAITE"/>
    <s v="SA"/>
    <n v="106.04"/>
    <d v="2025-11-30T00:00:00"/>
    <s v="CONTRIBUTION D'EQUILIBRE TECHNIQUE TU1"/>
    <m/>
    <e v="#N/A"/>
    <e v="#N/A"/>
    <n v="92403"/>
    <s v="SA202511"/>
    <m/>
    <s v="Q4"/>
    <e v="#REF!"/>
    <e v="#REF!"/>
    <e v="#REF!"/>
  </r>
  <r>
    <s v="627200"/>
    <x v="6"/>
    <s v="Frais sur emprunts"/>
    <s v="BPRI"/>
    <n v="170.42"/>
    <d v="2025-05-30T00:00:00"/>
    <s v="Prélèvement BPI"/>
    <m/>
    <e v="#N/A"/>
    <e v="#N/A"/>
    <n v="75000"/>
    <m/>
    <m/>
    <s v="Q2"/>
    <e v="#REF!"/>
    <e v="#REF!"/>
    <e v="#REF!"/>
  </r>
  <r>
    <s v="645300"/>
    <x v="6"/>
    <s v="COTISATIONS AUX CAISSES DE RETRAITE"/>
    <s v="SA"/>
    <n v="106.04"/>
    <d v="2025-12-31T00:00:00"/>
    <s v="CONTRIBUTION D'EQUILIBRE TECHNIQUE TU1"/>
    <m/>
    <e v="#N/A"/>
    <e v="#N/A"/>
    <n v="92866"/>
    <s v="SA202512"/>
    <m/>
    <s v="Q4"/>
    <e v="#REF!"/>
    <e v="#REF!"/>
    <e v="#REF!"/>
  </r>
  <r>
    <s v="627200"/>
    <x v="6"/>
    <s v="Frais sur emprunts"/>
    <s v="OD"/>
    <n v="135.69999999999999"/>
    <d v="2025-01-03T00:00:00"/>
    <s v="Frais Bpifrance"/>
    <m/>
    <e v="#N/A"/>
    <e v="#N/A"/>
    <n v="90119"/>
    <m/>
    <s v="BPI FRANCE"/>
    <s v="Q1"/>
    <e v="#REF!"/>
    <e v="#REF!"/>
    <e v="#REF!"/>
  </r>
  <r>
    <s v="627200"/>
    <x v="6"/>
    <s v="Frais sur emprunts"/>
    <s v="OD"/>
    <n v="240"/>
    <d v="2025-04-22T00:00:00"/>
    <s v="Frais Bpifrance"/>
    <m/>
    <e v="#N/A"/>
    <e v="#N/A"/>
    <n v="90123"/>
    <m/>
    <s v="BPI FRANCE"/>
    <s v="Q2"/>
    <e v="#REF!"/>
    <e v="#REF!"/>
    <e v="#REF!"/>
  </r>
  <r>
    <s v="627200"/>
    <x v="6"/>
    <s v="Frais sur emprunts"/>
    <s v="OD"/>
    <n v="875"/>
    <d v="2025-01-03T00:00:00"/>
    <s v="Frais Bpifrance"/>
    <m/>
    <e v="#N/A"/>
    <e v="#N/A"/>
    <n v="90121"/>
    <m/>
    <s v="BPI FRANCE"/>
    <s v="Q1"/>
    <e v="#REF!"/>
    <e v="#REF!"/>
    <e v="#REF!"/>
  </r>
  <r>
    <s v="627800"/>
    <x v="6"/>
    <s v="Frais bancaires"/>
    <s v="AC"/>
    <n v="22.43"/>
    <d v="2025-09-30T00:00:00"/>
    <s v="Frais bancaires BPRI 09/2025"/>
    <m/>
    <e v="#N/A"/>
    <e v="#N/A"/>
    <n v="82935"/>
    <m/>
    <s v="Banque Populaire Rive de Paris"/>
    <s v="Q3"/>
    <e v="#REF!"/>
    <e v="#REF!"/>
    <e v="#REF!"/>
  </r>
  <r>
    <s v="627800"/>
    <x v="6"/>
    <s v="Frais bancaires"/>
    <s v="AC"/>
    <n v="22.43"/>
    <d v="2025-10-31T00:00:00"/>
    <s v="FRAIS BANCAIRES 2025 10 - NON SOUMIS TVA"/>
    <m/>
    <e v="#N/A"/>
    <e v="#N/A"/>
    <n v="87613"/>
    <s v="25100000000000028544"/>
    <s v="Banque Populaire Rive de Paris"/>
    <s v="Q4"/>
    <e v="#REF!"/>
    <e v="#REF!"/>
    <e v="#REF!"/>
  </r>
  <r>
    <s v="627800"/>
    <x v="6"/>
    <s v="Frais bancaires"/>
    <s v="AC"/>
    <n v="41.23"/>
    <d v="2025-02-28T00:00:00"/>
    <s v="FRAIS BANCAIRES"/>
    <m/>
    <e v="#N/A"/>
    <e v="#N/A"/>
    <n v="72543"/>
    <s v="2,50E+19"/>
    <s v="Banque Populaire Rive de Paris"/>
    <s v="Q1"/>
    <e v="#REF!"/>
    <e v="#REF!"/>
    <e v="#REF!"/>
  </r>
  <r>
    <s v="627800"/>
    <x v="6"/>
    <s v="Frais bancaires"/>
    <s v="AC"/>
    <n v="55"/>
    <d v="2025-11-28T00:00:00"/>
    <s v="FRAIS ET COMMISSIONS PRÉLEVÉS DU 01/11/2025 AU 28/11/2025"/>
    <m/>
    <e v="#N/A"/>
    <e v="#N/A"/>
    <n v="94280"/>
    <s v="25110000000000029581"/>
    <s v="Banque Populaire Rive de Paris"/>
    <s v="Q4"/>
    <e v="#REF!"/>
    <e v="#REF!"/>
    <e v="#REF!"/>
  </r>
  <r>
    <s v="627800"/>
    <x v="6"/>
    <s v="Frais bancaires"/>
    <s v="AC"/>
    <n v="60.6"/>
    <d v="2025-01-31T00:00:00"/>
    <s v="FRAIS BANCAIRES"/>
    <m/>
    <e v="#N/A"/>
    <e v="#N/A"/>
    <n v="72530"/>
    <s v="2,50E+19"/>
    <s v="Banque Populaire Rive de Paris"/>
    <s v="Q1"/>
    <e v="#REF!"/>
    <e v="#REF!"/>
    <e v="#REF!"/>
  </r>
  <r>
    <s v="627800"/>
    <x v="6"/>
    <s v="Frais bancaires"/>
    <s v="AC"/>
    <n v="60.6"/>
    <d v="2025-02-28T00:00:00"/>
    <s v="FRAIS BANCAIRES"/>
    <m/>
    <e v="#N/A"/>
    <e v="#N/A"/>
    <n v="72544"/>
    <s v="2,50E+19"/>
    <s v="Banque Populaire Rive de Paris"/>
    <s v="Q1"/>
    <e v="#REF!"/>
    <e v="#REF!"/>
    <e v="#REF!"/>
  </r>
  <r>
    <s v="627800"/>
    <x v="6"/>
    <s v="Frais bancaires"/>
    <s v="AC"/>
    <n v="60.6"/>
    <d v="2025-09-30T00:00:00"/>
    <s v="Frais bancaires BPRI 09/2025"/>
    <m/>
    <e v="#N/A"/>
    <e v="#N/A"/>
    <n v="82936"/>
    <m/>
    <s v="Banque Populaire Rive de Paris"/>
    <s v="Q3"/>
    <e v="#REF!"/>
    <e v="#REF!"/>
    <e v="#REF!"/>
  </r>
  <r>
    <s v="627800"/>
    <x v="6"/>
    <s v="Frais bancaires"/>
    <s v="AC"/>
    <n v="60.6"/>
    <d v="2025-10-31T00:00:00"/>
    <s v="FRAIS BANCAIRES 2025 10 - SOUMIS TVA"/>
    <m/>
    <e v="#N/A"/>
    <e v="#N/A"/>
    <n v="87612"/>
    <s v="25100000000000028544"/>
    <s v="Banque Populaire Rive de Paris"/>
    <s v="Q4"/>
    <e v="#REF!"/>
    <e v="#REF!"/>
    <e v="#REF!"/>
  </r>
  <r>
    <s v="627800"/>
    <x v="6"/>
    <s v="Frais bancaires"/>
    <s v="AC"/>
    <n v="60.6"/>
    <d v="2025-12-31T00:00:00"/>
    <s v="FRAIS ET COMMISSIONS PRÉLEVÉS DU 29/11/2025 AU 31/12/2025"/>
    <m/>
    <e v="#N/A"/>
    <e v="#N/A"/>
    <n v="94311"/>
    <s v="25120000000000029134"/>
    <s v="Banque Populaire Rive de Paris"/>
    <s v="Q4"/>
    <e v="#REF!"/>
    <e v="#REF!"/>
    <e v="#REF!"/>
  </r>
  <r>
    <s v="627800"/>
    <x v="6"/>
    <s v="Frais bancaires"/>
    <s v="AC"/>
    <n v="74.77"/>
    <d v="2025-11-28T00:00:00"/>
    <s v="FRAIS ET COMMISSIONS PRÉLEVÉS DU 01/11/2025 AU 28/11/2025"/>
    <m/>
    <e v="#N/A"/>
    <e v="#N/A"/>
    <n v="94281"/>
    <s v="25110000000000029581"/>
    <s v="Banque Populaire Rive de Paris"/>
    <s v="Q4"/>
    <e v="#REF!"/>
    <e v="#REF!"/>
    <e v="#REF!"/>
  </r>
  <r>
    <s v="627800"/>
    <x v="6"/>
    <s v="Frais bancaires"/>
    <s v="AC"/>
    <n v="79.53"/>
    <d v="2025-03-31T00:00:00"/>
    <s v="FRAIS BANCAIRES"/>
    <m/>
    <e v="#N/A"/>
    <e v="#N/A"/>
    <n v="72585"/>
    <s v="2,50E+19"/>
    <s v="Banque Populaire Rive de Paris"/>
    <s v="Q1"/>
    <e v="#REF!"/>
    <e v="#REF!"/>
    <e v="#REF!"/>
  </r>
  <r>
    <s v="627800"/>
    <x v="6"/>
    <s v="Frais bancaires"/>
    <s v="AC"/>
    <n v="95.14"/>
    <d v="2025-04-30T00:00:00"/>
    <s v="Frais bancaires BPRI 04/2025"/>
    <m/>
    <e v="#N/A"/>
    <e v="#N/A"/>
    <n v="82832"/>
    <m/>
    <s v="Banque Populaire Rive de Paris"/>
    <s v="Q2"/>
    <e v="#REF!"/>
    <e v="#REF!"/>
    <e v="#REF!"/>
  </r>
  <r>
    <s v="627800"/>
    <x v="6"/>
    <s v="Frais bancaires"/>
    <s v="AC"/>
    <n v="95.14"/>
    <d v="2025-06-30T00:00:00"/>
    <s v="Frais bancaires BPRI 06/2025"/>
    <m/>
    <e v="#N/A"/>
    <e v="#N/A"/>
    <n v="82851"/>
    <m/>
    <s v="Banque Populaire Rive de Paris"/>
    <s v="Q2"/>
    <e v="#REF!"/>
    <e v="#REF!"/>
    <e v="#REF!"/>
  </r>
  <r>
    <s v="627800"/>
    <x v="6"/>
    <s v="Frais bancaires"/>
    <s v="AC"/>
    <n v="100"/>
    <d v="2025-10-31T00:00:00"/>
    <s v="COMMANDE 3SKEY JB"/>
    <m/>
    <e v="#N/A"/>
    <e v="#N/A"/>
    <n v="87157"/>
    <s v="25100000000000028544"/>
    <s v="Banque Populaire Rive de Paris"/>
    <s v="Q4"/>
    <e v="#REF!"/>
    <e v="#REF!"/>
    <e v="#REF!"/>
  </r>
  <r>
    <s v="627800"/>
    <x v="6"/>
    <s v="Frais bancaires"/>
    <s v="AC"/>
    <n v="170.23"/>
    <d v="2025-12-31T00:00:00"/>
    <s v="FRAIS ET COMMISSIONS PRÉLEVÉS DU 29/11/2025 AU 31/12/2025"/>
    <m/>
    <e v="#N/A"/>
    <e v="#N/A"/>
    <n v="94312"/>
    <s v="25120000000000029134"/>
    <s v="Banque Populaire Rive de Paris"/>
    <s v="Q4"/>
    <e v="#REF!"/>
    <e v="#REF!"/>
    <e v="#REF!"/>
  </r>
  <r>
    <s v="627800"/>
    <x v="6"/>
    <s v="Frais bancaires"/>
    <s v="AC"/>
    <n v="193.69"/>
    <d v="2025-01-31T00:00:00"/>
    <s v="Frais bancaires BPRI 01/2025"/>
    <m/>
    <e v="#N/A"/>
    <e v="#N/A"/>
    <n v="82836"/>
    <m/>
    <s v="Banque Populaire Rive de Paris"/>
    <s v="Q1"/>
    <e v="#REF!"/>
    <e v="#REF!"/>
    <e v="#REF!"/>
  </r>
  <r>
    <s v="627800"/>
    <x v="6"/>
    <s v="Frais bancaires"/>
    <s v="AC"/>
    <n v="216.6"/>
    <d v="2025-03-31T00:00:00"/>
    <s v="FRAIS BANCAIRES"/>
    <m/>
    <e v="#N/A"/>
    <e v="#N/A"/>
    <n v="72586"/>
    <s v="2,50E+19"/>
    <s v="Banque Populaire Rive de Paris"/>
    <s v="Q1"/>
    <e v="#REF!"/>
    <e v="#REF!"/>
    <e v="#REF!"/>
  </r>
  <r>
    <s v="627800"/>
    <x v="6"/>
    <s v="Frais bancaires"/>
    <s v="AC"/>
    <n v="266.10000000000002"/>
    <d v="2025-05-31T00:00:00"/>
    <s v="Frais bancaires BPRI 05/2025"/>
    <m/>
    <e v="#N/A"/>
    <e v="#N/A"/>
    <n v="82839"/>
    <m/>
    <s v="Banque Populaire Rive de Paris"/>
    <s v="Q2"/>
    <e v="#REF!"/>
    <e v="#REF!"/>
    <e v="#REF!"/>
  </r>
  <r>
    <s v="627800"/>
    <x v="6"/>
    <s v="Frais bancaires"/>
    <s v="AC"/>
    <n v="781.47"/>
    <d v="2025-07-31T00:00:00"/>
    <s v="Frais bancaires BPRI 07/2025"/>
    <m/>
    <e v="#N/A"/>
    <e v="#N/A"/>
    <n v="82854"/>
    <m/>
    <s v="Banque Populaire Rive de Paris"/>
    <s v="Q3"/>
    <e v="#REF!"/>
    <e v="#REF!"/>
    <e v="#REF!"/>
  </r>
  <r>
    <s v="627800"/>
    <x v="6"/>
    <s v="Frais bancaires"/>
    <s v="AC"/>
    <n v="832.28"/>
    <d v="2025-10-31T00:00:00"/>
    <s v="ARRETE COMPTE T3 2025"/>
    <m/>
    <e v="#N/A"/>
    <e v="#N/A"/>
    <n v="87611"/>
    <s v="25100000000000028544"/>
    <s v="Banque Populaire Rive de Paris"/>
    <s v="Q4"/>
    <e v="#REF!"/>
    <e v="#REF!"/>
    <e v="#REF!"/>
  </r>
  <r>
    <s v="627800"/>
    <x v="6"/>
    <s v="Frais bancaires"/>
    <s v="AC"/>
    <n v="1061.49"/>
    <d v="2025-03-31T00:00:00"/>
    <s v="FRAIS BANCAIRES"/>
    <m/>
    <e v="#N/A"/>
    <e v="#N/A"/>
    <n v="72588"/>
    <s v="Frais2025Q1"/>
    <s v="Banque Populaire Rive de Paris"/>
    <s v="Q1"/>
    <e v="#REF!"/>
    <e v="#REF!"/>
    <e v="#REF!"/>
  </r>
  <r>
    <s v="627800"/>
    <x v="6"/>
    <s v="Frais bancaires"/>
    <s v="AC"/>
    <n v="1537.95"/>
    <d v="2025-01-31T00:00:00"/>
    <s v="FRAIS BANCAIRES"/>
    <m/>
    <e v="#N/A"/>
    <e v="#N/A"/>
    <n v="72531"/>
    <s v="2,50E+19"/>
    <s v="Banque Populaire Rive de Paris"/>
    <s v="Q1"/>
    <e v="#REF!"/>
    <e v="#REF!"/>
    <e v="#REF!"/>
  </r>
  <r>
    <s v="627800"/>
    <x v="6"/>
    <s v="Frais bancaires"/>
    <s v="BPRI"/>
    <n v="10"/>
    <d v="2025-07-02T00:00:00"/>
    <s v="FRAIS CORRESPONDANT ETRG"/>
    <m/>
    <e v="#N/A"/>
    <e v="#N/A"/>
    <n v="77060"/>
    <m/>
    <m/>
    <s v="Q3"/>
    <e v="#REF!"/>
    <e v="#REF!"/>
    <e v="#REF!"/>
  </r>
  <r>
    <s v="627800"/>
    <x v="6"/>
    <s v="Frais bancaires"/>
    <s v="BPRI"/>
    <n v="10"/>
    <d v="2025-08-19T00:00:00"/>
    <s v="FRAIS CORRESPONDANT ETRG"/>
    <m/>
    <e v="#N/A"/>
    <e v="#N/A"/>
    <n v="81558"/>
    <m/>
    <m/>
    <s v="Q3"/>
    <e v="#REF!"/>
    <e v="#REF!"/>
    <e v="#REF!"/>
  </r>
  <r>
    <s v="627800"/>
    <x v="6"/>
    <s v="Frais bancaires"/>
    <s v="BPRI"/>
    <n v="10"/>
    <d v="2025-08-23T00:00:00"/>
    <s v="FRAIS CORRESPONDANT ETRG"/>
    <m/>
    <e v="#N/A"/>
    <e v="#N/A"/>
    <n v="81626"/>
    <m/>
    <m/>
    <s v="Q3"/>
    <e v="#REF!"/>
    <e v="#REF!"/>
    <e v="#REF!"/>
  </r>
  <r>
    <s v="627800"/>
    <x v="6"/>
    <s v="Frais bancaires"/>
    <s v="BPRI"/>
    <n v="13.15"/>
    <d v="2025-07-02T00:00:00"/>
    <s v="FRAIS VIR ETRANGER EMIS"/>
    <m/>
    <e v="#N/A"/>
    <e v="#N/A"/>
    <n v="77063"/>
    <m/>
    <m/>
    <s v="Q3"/>
    <e v="#REF!"/>
    <e v="#REF!"/>
    <e v="#REF!"/>
  </r>
  <r>
    <s v="627800"/>
    <x v="6"/>
    <s v="Frais bancaires"/>
    <s v="BPRI"/>
    <n v="13.15"/>
    <d v="2025-08-19T00:00:00"/>
    <s v="FRAIS VIR ETRANGER EMIS"/>
    <m/>
    <e v="#N/A"/>
    <e v="#N/A"/>
    <n v="81554"/>
    <m/>
    <m/>
    <s v="Q3"/>
    <e v="#REF!"/>
    <e v="#REF!"/>
    <e v="#REF!"/>
  </r>
  <r>
    <s v="627800"/>
    <x v="6"/>
    <s v="Frais bancaires"/>
    <s v="BPRI"/>
    <n v="13.15"/>
    <d v="2025-08-19T00:00:00"/>
    <s v="FRAIS VIR ETRANGER EMIS"/>
    <m/>
    <e v="#N/A"/>
    <e v="#N/A"/>
    <n v="81556"/>
    <m/>
    <m/>
    <s v="Q3"/>
    <e v="#REF!"/>
    <e v="#REF!"/>
    <e v="#REF!"/>
  </r>
  <r>
    <s v="627800"/>
    <x v="6"/>
    <s v="Frais bancaires"/>
    <s v="BPRI"/>
    <n v="13.15"/>
    <d v="2025-08-23T00:00:00"/>
    <s v="FRAIS VIR ETRANGER EMIS"/>
    <m/>
    <e v="#N/A"/>
    <e v="#N/A"/>
    <n v="81629"/>
    <m/>
    <m/>
    <s v="Q3"/>
    <e v="#REF!"/>
    <e v="#REF!"/>
    <e v="#REF!"/>
  </r>
  <r>
    <s v="627800"/>
    <x v="6"/>
    <s v="Frais bancaires"/>
    <s v="BPRI"/>
    <n v="15.4"/>
    <d v="2025-07-02T00:00:00"/>
    <s v="COMMISSION DE CHANGE"/>
    <m/>
    <e v="#N/A"/>
    <e v="#N/A"/>
    <n v="77066"/>
    <m/>
    <m/>
    <s v="Q3"/>
    <e v="#REF!"/>
    <e v="#REF!"/>
    <e v="#REF!"/>
  </r>
  <r>
    <s v="627800"/>
    <x v="6"/>
    <s v="Frais bancaires"/>
    <s v="BPRI"/>
    <n v="15.4"/>
    <d v="2025-08-19T00:00:00"/>
    <s v="COMMISSION DE CHANGE"/>
    <m/>
    <e v="#N/A"/>
    <e v="#N/A"/>
    <n v="81560"/>
    <m/>
    <m/>
    <s v="Q3"/>
    <e v="#REF!"/>
    <e v="#REF!"/>
    <e v="#REF!"/>
  </r>
  <r>
    <s v="627800"/>
    <x v="6"/>
    <s v="Frais bancaires"/>
    <s v="BPRI"/>
    <n v="15.4"/>
    <d v="2025-08-19T00:00:00"/>
    <s v="COMMISSION DE CHANGE"/>
    <m/>
    <e v="#N/A"/>
    <e v="#N/A"/>
    <n v="81562"/>
    <m/>
    <m/>
    <s v="Q3"/>
    <e v="#REF!"/>
    <e v="#REF!"/>
    <e v="#REF!"/>
  </r>
  <r>
    <s v="627800"/>
    <x v="6"/>
    <s v="Frais bancaires"/>
    <s v="BPRI"/>
    <n v="15.4"/>
    <d v="2025-08-23T00:00:00"/>
    <s v="COMMISSION DE CHANGE"/>
    <m/>
    <e v="#N/A"/>
    <e v="#N/A"/>
    <n v="81632"/>
    <m/>
    <m/>
    <s v="Q3"/>
    <e v="#REF!"/>
    <e v="#REF!"/>
    <e v="#REF!"/>
  </r>
  <r>
    <s v="627800"/>
    <x v="6"/>
    <s v="Frais bancaires"/>
    <s v="BPRI"/>
    <n v="18.8"/>
    <d v="2025-06-11T00:00:00"/>
    <s v="Frais virement intl reçu"/>
    <m/>
    <e v="#N/A"/>
    <e v="#N/A"/>
    <n v="75941"/>
    <m/>
    <m/>
    <s v="Q2"/>
    <e v="#REF!"/>
    <e v="#REF!"/>
    <e v="#REF!"/>
  </r>
  <r>
    <s v="627800"/>
    <x v="6"/>
    <s v="Frais bancaires"/>
    <s v="BPRI"/>
    <n v="23.15"/>
    <d v="2025-07-24T00:00:00"/>
    <s v="FRAIS VIR ETRANGER EMIS"/>
    <m/>
    <e v="#N/A"/>
    <e v="#N/A"/>
    <n v="78441"/>
    <m/>
    <m/>
    <s v="Q3"/>
    <e v="#REF!"/>
    <e v="#REF!"/>
    <e v="#REF!"/>
  </r>
  <r>
    <s v="627800"/>
    <x v="6"/>
    <s v="Frais bancaires"/>
    <s v="BPRI"/>
    <n v="58"/>
    <d v="2025-06-17T00:00:00"/>
    <s v="COTIS CARTE VISA BUSINES"/>
    <m/>
    <e v="#N/A"/>
    <e v="#N/A"/>
    <n v="76125"/>
    <m/>
    <m/>
    <s v="Q2"/>
    <e v="#REF!"/>
    <e v="#REF!"/>
    <e v="#REF!"/>
  </r>
  <r>
    <s v="627800"/>
    <x v="6"/>
    <s v="Frais bancaires"/>
    <s v="BPRI"/>
    <n v="95.14"/>
    <d v="2025-07-08T00:00:00"/>
    <s v="COTIS FREQUENCE PRO"/>
    <m/>
    <e v="#N/A"/>
    <e v="#N/A"/>
    <n v="77209"/>
    <m/>
    <m/>
    <s v="Q3"/>
    <e v="#REF!"/>
    <e v="#REF!"/>
    <e v="#REF!"/>
  </r>
  <r>
    <s v="627800"/>
    <x v="6"/>
    <s v="Frais bancaires"/>
    <s v="BPRI"/>
    <n v="95.14"/>
    <d v="2025-08-06T00:00:00"/>
    <s v="COTIS FREQUENCE PRO"/>
    <m/>
    <e v="#N/A"/>
    <e v="#N/A"/>
    <n v="80714"/>
    <m/>
    <m/>
    <s v="Q3"/>
    <e v="#REF!"/>
    <e v="#REF!"/>
    <e v="#REF!"/>
  </r>
  <r>
    <s v="627800"/>
    <x v="6"/>
    <s v="Frais bancaires"/>
    <s v="OD"/>
    <n v="-2389.6999999999998"/>
    <d v="2025-03-31T00:00:00"/>
    <s v="Lettrage Pivot Spendesk Devise"/>
    <m/>
    <e v="#N/A"/>
    <e v="#N/A"/>
    <n v="71891"/>
    <m/>
    <m/>
    <s v="Q1"/>
    <e v="#REF!"/>
    <e v="#REF!"/>
    <e v="#REF!"/>
  </r>
  <r>
    <s v="627800"/>
    <x v="6"/>
    <s v="Frais bancaires"/>
    <s v="OD"/>
    <n v="-1610.66"/>
    <d v="2025-01-31T00:00:00"/>
    <s v="Frais bancaires BPRI"/>
    <m/>
    <e v="#N/A"/>
    <e v="#N/A"/>
    <n v="82844"/>
    <m/>
    <s v="Banque Populaire Rive de Paris"/>
    <s v="Q1"/>
    <e v="#REF!"/>
    <e v="#REF!"/>
    <e v="#REF!"/>
  </r>
  <r>
    <s v="627800"/>
    <x v="6"/>
    <s v="Frais bancaires"/>
    <s v="OD"/>
    <n v="-380.53"/>
    <d v="2025-03-31T00:00:00"/>
    <s v="Lettrage Pivot Spendesk Devise"/>
    <m/>
    <e v="#N/A"/>
    <e v="#N/A"/>
    <n v="71889"/>
    <m/>
    <m/>
    <s v="Q1"/>
    <e v="#REF!"/>
    <e v="#REF!"/>
    <e v="#REF!"/>
  </r>
  <r>
    <s v="627800"/>
    <x v="6"/>
    <s v="Frais bancaires"/>
    <s v="OD"/>
    <n v="-81.23"/>
    <d v="2025-03-31T00:00:00"/>
    <s v="Lettrage Pivot Spendesk Devise"/>
    <m/>
    <e v="#N/A"/>
    <e v="#N/A"/>
    <n v="71893"/>
    <m/>
    <m/>
    <s v="Q1"/>
    <e v="#REF!"/>
    <e v="#REF!"/>
    <e v="#REF!"/>
  </r>
  <r>
    <s v="627800"/>
    <x v="6"/>
    <s v="Frais bancaires"/>
    <s v="OD"/>
    <n v="0.03"/>
    <d v="2025-12-31T00:00:00"/>
    <s v="Lettrage devise - EUR"/>
    <m/>
    <e v="#N/A"/>
    <e v="#N/A"/>
    <n v="94161"/>
    <m/>
    <m/>
    <s v="Q4"/>
    <e v="#REF!"/>
    <e v="#REF!"/>
    <e v="#REF!"/>
  </r>
  <r>
    <s v="627800"/>
    <x v="6"/>
    <s v="Frais bancaires"/>
    <s v="OD"/>
    <n v="1"/>
    <d v="2025-02-28T00:00:00"/>
    <s v="Frais Spendesk"/>
    <m/>
    <e v="#N/A"/>
    <e v="#N/A"/>
    <n v="71455"/>
    <m/>
    <m/>
    <s v="Q1"/>
    <e v="#REF!"/>
    <e v="#REF!"/>
    <e v="#REF!"/>
  </r>
  <r>
    <s v="627800"/>
    <x v="6"/>
    <s v="Frais bancaires"/>
    <s v="OD"/>
    <n v="2851.46"/>
    <d v="2025-03-31T00:00:00"/>
    <s v="Lettrage Pivot Spendesk Devise"/>
    <m/>
    <e v="#N/A"/>
    <e v="#N/A"/>
    <n v="71887"/>
    <m/>
    <m/>
    <s v="Q1"/>
    <e v="#REF!"/>
    <e v="#REF!"/>
    <e v="#REF!"/>
  </r>
  <r>
    <s v="628100"/>
    <x v="12"/>
    <s v="Cotisations professionnelles"/>
    <s v="AC"/>
    <n v="113.8"/>
    <d v="2025-05-01T00:00:00"/>
    <s v="ABONNEMENT HELLOCSE FORFAIT 2 ANS"/>
    <m/>
    <s v="Non"/>
    <m/>
    <n v="82227"/>
    <s v="2025-05-2326"/>
    <s v="HELLOCSE"/>
    <s v="Q2"/>
    <e v="#REF!"/>
    <e v="#REF!"/>
    <e v="#REF!"/>
  </r>
  <r>
    <s v="628100"/>
    <x v="12"/>
    <s v="Cotisations professionnelles"/>
    <s v="AC"/>
    <n v="113.8"/>
    <d v="2025-06-01T00:00:00"/>
    <s v="ABONNEMENT HELLOCSE FORFAIT 2 ANS"/>
    <m/>
    <s v="Non"/>
    <m/>
    <n v="82232"/>
    <s v="2025-06-2317"/>
    <s v="HELLOCSE"/>
    <s v="Q2"/>
    <e v="#REF!"/>
    <e v="#REF!"/>
    <e v="#REF!"/>
  </r>
  <r>
    <s v="628100"/>
    <x v="12"/>
    <s v="Cotisations professionnelles"/>
    <s v="AC"/>
    <n v="113.8"/>
    <d v="2025-07-01T00:00:00"/>
    <s v="ABONNEMENT HELLOCSE FORFAIT 2 ANS"/>
    <m/>
    <s v="Non"/>
    <m/>
    <n v="82235"/>
    <s v="2025-07-2314"/>
    <s v="HELLOCSE"/>
    <s v="Q3"/>
    <e v="#REF!"/>
    <e v="#REF!"/>
    <e v="#REF!"/>
  </r>
  <r>
    <s v="628100"/>
    <x v="12"/>
    <s v="Cotisations professionnelles"/>
    <s v="AC"/>
    <n v="113.8"/>
    <d v="2025-08-01T00:00:00"/>
    <s v="ABONNEMENT HELLOCSE FORFAIT 2 ANS"/>
    <m/>
    <s v="Non"/>
    <m/>
    <n v="82238"/>
    <s v="2025-08-2316"/>
    <s v="HELLOCSE"/>
    <s v="Q3"/>
    <e v="#REF!"/>
    <e v="#REF!"/>
    <e v="#REF!"/>
  </r>
  <r>
    <s v="628100"/>
    <x v="12"/>
    <s v="Cotisations professionnelles"/>
    <s v="AC"/>
    <n v="113.8"/>
    <d v="2025-09-01T00:00:00"/>
    <s v="ABONNEMENT HELLOCSE FORFAIT 2 ANS"/>
    <m/>
    <s v="Non"/>
    <m/>
    <n v="82253"/>
    <s v="2025-09-2318"/>
    <s v="HELLOCSE"/>
    <s v="Q3"/>
    <e v="#REF!"/>
    <e v="#REF!"/>
    <e v="#REF!"/>
  </r>
  <r>
    <s v="628100"/>
    <x v="12"/>
    <s v="Cotisations professionnelles"/>
    <s v="AC"/>
    <n v="113.8"/>
    <d v="2025-10-01T00:00:00"/>
    <s v="ABONNEMENT HELLOCSE FORFAIT 2 ANS"/>
    <m/>
    <s v="Non"/>
    <m/>
    <n v="91052"/>
    <s v="2025-10-2310"/>
    <s v="HELLOCSE"/>
    <s v="Q4"/>
    <e v="#REF!"/>
    <e v="#REF!"/>
    <e v="#REF!"/>
  </r>
  <r>
    <s v="628100"/>
    <x v="12"/>
    <s v="Cotisations professionnelles"/>
    <s v="AC"/>
    <n v="113.8"/>
    <d v="2025-11-01T00:00:00"/>
    <s v="ABONNEMENT HELLOCSE FORFAIT 2 ANS"/>
    <m/>
    <s v="Non"/>
    <m/>
    <n v="91055"/>
    <s v="2025-11-2303"/>
    <s v="HELLOCSE"/>
    <s v="Q4"/>
    <e v="#REF!"/>
    <e v="#REF!"/>
    <e v="#REF!"/>
  </r>
  <r>
    <s v="628100"/>
    <x v="12"/>
    <s v="Cotisations professionnelles"/>
    <s v="AC"/>
    <n v="113.8"/>
    <d v="2025-12-01T00:00:00"/>
    <s v="ABONNEMENT HELLOCSE FORFAIT 2 ANS"/>
    <m/>
    <s v="Non"/>
    <m/>
    <n v="91845"/>
    <s v="2025-12-2287"/>
    <s v="HELLOCSE"/>
    <s v="Q4"/>
    <e v="#REF!"/>
    <e v="#REF!"/>
    <e v="#REF!"/>
  </r>
  <r>
    <s v="628100"/>
    <x v="12"/>
    <s v="Cotisations professionnelles"/>
    <s v="AC"/>
    <n v="458.77"/>
    <d v="2025-02-06T00:00:00"/>
    <s v="ACOMPTE COTISATION SYNDICALE"/>
    <m/>
    <s v="Non"/>
    <s v="Oui"/>
    <n v="64079"/>
    <s v="ACPTE106-022025"/>
    <s v="FRANCE CHIMIE"/>
    <s v="Q1"/>
    <e v="#REF!"/>
    <e v="#REF!"/>
    <e v="#REF!"/>
  </r>
  <r>
    <s v="628100"/>
    <x v="12"/>
    <s v="Cotisations professionnelles"/>
    <s v="AC"/>
    <n v="500"/>
    <d v="2025-09-01T00:00:00"/>
    <s v="RENOUVELLEMENT ADHÉSION À FRANCE DEEPTECH"/>
    <m/>
    <s v="Non"/>
    <m/>
    <n v="81844"/>
    <s v="2025"/>
    <s v="FRANCE DEEPTECH"/>
    <s v="Q3"/>
    <e v="#REF!"/>
    <e v="#REF!"/>
    <e v="#REF!"/>
  </r>
  <r>
    <s v="628100"/>
    <x v="12"/>
    <s v="Cotisations professionnelles"/>
    <s v="AC"/>
    <n v="600"/>
    <d v="2025-07-17T00:00:00"/>
    <s v="ADHÉSION SFC"/>
    <m/>
    <s v="Non"/>
    <m/>
    <n v="78918"/>
    <s v="95056"/>
    <s v="SOCIETE CHIMIQUE DE FRANCE"/>
    <s v="Q3"/>
    <e v="#REF!"/>
    <e v="#REF!"/>
    <e v="#REF!"/>
  </r>
  <r>
    <s v="628100"/>
    <x v="12"/>
    <s v="Cotisations professionnelles"/>
    <s v="AC"/>
    <n v="660"/>
    <d v="2025-10-08T00:00:00"/>
    <s v="ELECTIONS CSE PAR VOIE ÉLECTRONIQUE"/>
    <m/>
    <s v="Non"/>
    <m/>
    <n v="84997"/>
    <s v="F2025-11607"/>
    <s v="AGRUME"/>
    <s v="Q4"/>
    <e v="#REF!"/>
    <e v="#REF!"/>
    <e v="#REF!"/>
  </r>
  <r>
    <s v="628100"/>
    <x v="12"/>
    <s v="Cotisations professionnelles"/>
    <s v="AC"/>
    <n v="739.98"/>
    <d v="2025-07-11T00:00:00"/>
    <s v="APPEL DE SOLDE DE COTISATION"/>
    <m/>
    <s v="Non"/>
    <s v="Oui"/>
    <n v="78901"/>
    <s v="SD 106 - 072025"/>
    <s v="FRANCE CHIMIE"/>
    <s v="Q3"/>
    <e v="#REF!"/>
    <e v="#REF!"/>
    <e v="#REF!"/>
  </r>
  <r>
    <s v="628100"/>
    <x v="12"/>
    <s v="Cotisations professionnelles"/>
    <s v="AC"/>
    <n v="740"/>
    <d v="2025-01-03T00:00:00"/>
    <s v="COTISATION 2025 B4C"/>
    <m/>
    <s v="Non"/>
    <s v="Oui"/>
    <n v="68955"/>
    <s v="F2025/281"/>
    <s v="BIOECONOMY FOR CHANGE"/>
    <s v="Q1"/>
    <e v="#REF!"/>
    <e v="#REF!"/>
    <e v="#REF!"/>
  </r>
  <r>
    <s v="628100"/>
    <x v="12"/>
    <s v="Cotisations professionnelles"/>
    <s v="AC"/>
    <n v="1124"/>
    <d v="2025-01-30T00:00:00"/>
    <s v="COTISATION 2025"/>
    <m/>
    <s v="Non"/>
    <s v="Oui"/>
    <n v="61342"/>
    <s v="F2025003322"/>
    <s v="AXELERA"/>
    <s v="Q1"/>
    <e v="#REF!"/>
    <e v="#REF!"/>
    <e v="#REF!"/>
  </r>
  <r>
    <s v="628100"/>
    <x v="12"/>
    <s v="Cotisations professionnelles"/>
    <s v="AC"/>
    <n v="1124"/>
    <d v="2025-12-09T00:00:00"/>
    <s v="COTISATION AXELERA"/>
    <m/>
    <s v="Non"/>
    <s v="Oui"/>
    <n v="92163"/>
    <s v="F2025003757"/>
    <s v="AXELERA"/>
    <s v="Q4"/>
    <e v="#REF!"/>
    <e v="#REF!"/>
    <e v="#REF!"/>
  </r>
  <r>
    <s v="628100"/>
    <x v="12"/>
    <s v="Cotisations professionnelles"/>
    <s v="AC"/>
    <n v="2875"/>
    <d v="2025-02-18T00:00:00"/>
    <s v="COTISATION 2025"/>
    <m/>
    <s v="Non"/>
    <s v="Oui"/>
    <n v="61518"/>
    <s v="FA250036"/>
    <s v="ASSOCIATION CHIMIE DU VEGETAL"/>
    <s v="Q1"/>
    <e v="#REF!"/>
    <e v="#REF!"/>
    <e v="#REF!"/>
  </r>
  <r>
    <s v="628100"/>
    <x v="12"/>
    <s v="Cotisations professionnelles"/>
    <s v="AC"/>
    <n v="5000"/>
    <d v="2025-09-18T00:00:00"/>
    <s v="COTISATION TWB 2025"/>
    <m/>
    <s v="Non"/>
    <m/>
    <n v="82731"/>
    <s v="2110007191"/>
    <s v="INRAE TOULOUSE"/>
    <s v="Q3"/>
    <e v="#REF!"/>
    <e v="#REF!"/>
    <e v="#REF!"/>
  </r>
  <r>
    <s v="628100"/>
    <x v="12"/>
    <s v="Cotisations professionnelles"/>
    <s v="JC"/>
    <n v="125"/>
    <d v="2025-06-01T00:00:00"/>
    <s v="CCA START INDUSTRIE"/>
    <m/>
    <m/>
    <m/>
    <n v="86461"/>
    <s v="34-2025"/>
    <s v="STARTINDUSTRIE"/>
    <s v="Q2"/>
    <e v="#REF!"/>
    <e v="#REF!"/>
    <e v="#REF!"/>
  </r>
  <r>
    <s v="628100"/>
    <x v="12"/>
    <s v="Cotisations professionnelles"/>
    <s v="JC"/>
    <n v="125"/>
    <d v="2025-07-01T00:00:00"/>
    <s v="CCA START INDUSTRIE"/>
    <m/>
    <m/>
    <m/>
    <n v="86471"/>
    <s v="34-2025"/>
    <s v="STARTINDUSTRIE"/>
    <s v="Q3"/>
    <e v="#REF!"/>
    <e v="#REF!"/>
    <e v="#REF!"/>
  </r>
  <r>
    <s v="628100"/>
    <x v="12"/>
    <s v="Cotisations professionnelles"/>
    <s v="JC"/>
    <n v="125"/>
    <d v="2025-08-01T00:00:00"/>
    <s v="CCA START INDUSTRIE"/>
    <m/>
    <m/>
    <m/>
    <n v="86465"/>
    <s v="34-2025"/>
    <s v="STARTINDUSTRIE"/>
    <s v="Q3"/>
    <e v="#REF!"/>
    <e v="#REF!"/>
    <e v="#REF!"/>
  </r>
  <r>
    <s v="628100"/>
    <x v="12"/>
    <s v="Cotisations professionnelles"/>
    <s v="JC"/>
    <n v="125"/>
    <d v="2025-09-01T00:00:00"/>
    <s v="CCA START INDUSTRIE"/>
    <m/>
    <m/>
    <m/>
    <n v="86467"/>
    <s v="34-2025"/>
    <s v="STARTINDUSTRIE"/>
    <s v="Q3"/>
    <e v="#REF!"/>
    <e v="#REF!"/>
    <e v="#REF!"/>
  </r>
  <r>
    <s v="628100"/>
    <x v="12"/>
    <s v="Cotisations professionnelles"/>
    <s v="JC"/>
    <n v="125"/>
    <d v="2025-10-01T00:00:00"/>
    <s v="CCA START INDUSTRIE"/>
    <m/>
    <m/>
    <m/>
    <n v="86462"/>
    <s v="34-2025"/>
    <s v="STARTINDUSTRIE"/>
    <s v="Q4"/>
    <e v="#REF!"/>
    <e v="#REF!"/>
    <e v="#REF!"/>
  </r>
  <r>
    <s v="628100"/>
    <x v="12"/>
    <s v="Cotisations professionnelles"/>
    <s v="JC"/>
    <n v="125"/>
    <d v="2025-11-01T00:00:00"/>
    <s v="CCA START INDUSTRIE"/>
    <m/>
    <m/>
    <m/>
    <n v="86469"/>
    <s v="34-2025"/>
    <s v="STARTINDUSTRIE"/>
    <s v="Q4"/>
    <e v="#REF!"/>
    <e v="#REF!"/>
    <e v="#REF!"/>
  </r>
  <r>
    <s v="628100"/>
    <x v="12"/>
    <s v="Cotisations professionnelles"/>
    <s v="JC"/>
    <n v="125"/>
    <d v="2025-12-01T00:00:00"/>
    <s v="CCA START INDUSTRIE"/>
    <m/>
    <m/>
    <m/>
    <n v="86473"/>
    <s v="34-2025"/>
    <s v="STARTINDUSTRIE"/>
    <s v="Q4"/>
    <e v="#REF!"/>
    <e v="#REF!"/>
    <e v="#REF!"/>
  </r>
  <r>
    <s v="628100"/>
    <x v="12"/>
    <s v="Cotisations professionnelles"/>
    <s v="JC"/>
    <n v="326.39999999999998"/>
    <d v="2025-01-01T00:00:00"/>
    <s v="CCA START INDUSTRIE"/>
    <m/>
    <m/>
    <m/>
    <n v="86599"/>
    <m/>
    <s v="STARTINDUSTRIE"/>
    <s v="Q1"/>
    <e v="#REF!"/>
    <e v="#REF!"/>
    <e v="#REF!"/>
  </r>
  <r>
    <s v="628100"/>
    <x v="12"/>
    <s v="Cotisations professionnelles"/>
    <s v="JC"/>
    <n v="326.39999999999998"/>
    <d v="2025-02-01T00:00:00"/>
    <s v="CCA START INDUSTRIE"/>
    <m/>
    <m/>
    <m/>
    <n v="86604"/>
    <m/>
    <s v="STARTINDUSTRIE"/>
    <s v="Q1"/>
    <e v="#REF!"/>
    <e v="#REF!"/>
    <e v="#REF!"/>
  </r>
  <r>
    <s v="628100"/>
    <x v="12"/>
    <s v="Cotisations professionnelles"/>
    <s v="JC"/>
    <n v="326.39999999999998"/>
    <d v="2025-03-01T00:00:00"/>
    <s v="CCA START INDUSTRIE"/>
    <m/>
    <m/>
    <m/>
    <n v="86607"/>
    <m/>
    <s v="STARTINDUSTRIE"/>
    <s v="Q1"/>
    <e v="#REF!"/>
    <e v="#REF!"/>
    <e v="#REF!"/>
  </r>
  <r>
    <s v="628100"/>
    <x v="12"/>
    <s v="Cotisations professionnelles"/>
    <s v="JC"/>
    <n v="326.39999999999998"/>
    <d v="2025-04-01T00:00:00"/>
    <s v="CCA START INDUSTRIE"/>
    <m/>
    <m/>
    <m/>
    <n v="86609"/>
    <m/>
    <s v="STARTINDUSTRIE"/>
    <s v="Q2"/>
    <e v="#REF!"/>
    <e v="#REF!"/>
    <e v="#REF!"/>
  </r>
  <r>
    <s v="628100"/>
    <x v="12"/>
    <s v="Cotisations professionnelles"/>
    <s v="JC"/>
    <n v="326.39999999999998"/>
    <d v="2025-05-01T00:00:00"/>
    <s v="CCA START INDUSTRIE"/>
    <m/>
    <m/>
    <m/>
    <n v="86611"/>
    <m/>
    <s v="STARTINDUSTRIE"/>
    <s v="Q2"/>
    <e v="#REF!"/>
    <e v="#REF!"/>
    <e v="#REF!"/>
  </r>
  <r>
    <s v="628110"/>
    <x v="12"/>
    <s v="Formation du personnel"/>
    <s v="AC"/>
    <n v="64.5"/>
    <d v="2025-12-01T00:00:00"/>
    <s v="FORMATION JULIE"/>
    <m/>
    <s v="Non"/>
    <s v="Oui"/>
    <n v="97052"/>
    <s v="COMCRISE 13-0625"/>
    <s v="FRANCE CHIMIE"/>
    <s v="Q4"/>
    <e v="#REF!"/>
    <e v="#REF!"/>
    <e v="#REF!"/>
  </r>
  <r>
    <s v="628110"/>
    <x v="12"/>
    <s v="Formation du personnel"/>
    <s v="AC"/>
    <n v="150"/>
    <d v="2025-01-24T00:00:00"/>
    <s v="FORMATION PROFESSIONNELLE SST DU 15 AU 16/01/2025 AU PROFIT DE J .B"/>
    <m/>
    <s v="Non"/>
    <n v="0"/>
    <n v="61310"/>
    <s v="FAC1319"/>
    <s v="FORMATEC PRO SECURITE"/>
    <s v="Q1"/>
    <e v="#REF!"/>
    <e v="#REF!"/>
    <e v="#REF!"/>
  </r>
  <r>
    <s v="628110"/>
    <x v="12"/>
    <s v="Formation du personnel"/>
    <s v="AC"/>
    <n v="223"/>
    <d v="2025-09-24T00:00:00"/>
    <s v="PRESTATION COACHING DE LUCIE CREPIN MANAGER"/>
    <m/>
    <s v="Non"/>
    <m/>
    <n v="82746"/>
    <s v="F2025-028"/>
    <s v="BERNARD SEMBEILLES CONSULTING"/>
    <s v="Q3"/>
    <e v="#REF!"/>
    <e v="#REF!"/>
    <e v="#REF!"/>
  </r>
  <r>
    <s v="628110"/>
    <x v="12"/>
    <s v="Formation du personnel"/>
    <s v="AC"/>
    <n v="223"/>
    <d v="2025-12-17T00:00:00"/>
    <s v="PRESTATION COACHING MANAGER"/>
    <m/>
    <s v="Non"/>
    <m/>
    <n v="93008"/>
    <s v="F2025-048"/>
    <s v="BERNARD SEMBEILLES CONSULTING"/>
    <s v="Q4"/>
    <e v="#REF!"/>
    <e v="#REF!"/>
    <e v="#REF!"/>
  </r>
  <r>
    <s v="628110"/>
    <x v="12"/>
    <s v="Formation du personnel"/>
    <s v="AC"/>
    <n v="240"/>
    <d v="2025-01-22T00:00:00"/>
    <s v="RECYCLAGE SST M.A.C.  31/01/2025 AU 31/01/2025"/>
    <m/>
    <s v="Non"/>
    <n v="0"/>
    <n v="61297"/>
    <s v="FA16211-20250122"/>
    <s v="CNFSE RECYCLAGE"/>
    <s v="Q1"/>
    <e v="#REF!"/>
    <e v="#REF!"/>
    <e v="#REF!"/>
  </r>
  <r>
    <s v="628110"/>
    <x v="12"/>
    <s v="Formation du personnel"/>
    <s v="AC"/>
    <n v="320"/>
    <d v="2025-10-27T00:00:00"/>
    <s v="FORMATION MAINTIEN DES ACQUIS ET DES CONNAISSANCES DU SST"/>
    <m/>
    <s v="Non"/>
    <n v="0"/>
    <n v="87473"/>
    <s v="0002942"/>
    <s v="APF SECURITE"/>
    <s v="Q4"/>
    <e v="#REF!"/>
    <e v="#REF!"/>
    <e v="#REF!"/>
  </r>
  <r>
    <s v="628110"/>
    <x v="12"/>
    <s v="Formation du personnel"/>
    <s v="AC"/>
    <n v="334.5"/>
    <d v="2025-11-01T00:00:00"/>
    <s v="FORMATION LUCIE"/>
    <m/>
    <s v="Non"/>
    <m/>
    <n v="91080"/>
    <s v="F2025-034"/>
    <s v="BERNARD SEMBEILLES CONSULTING"/>
    <s v="Q4"/>
    <e v="#REF!"/>
    <e v="#REF!"/>
    <e v="#REF!"/>
  </r>
  <r>
    <s v="628110"/>
    <x v="12"/>
    <s v="Formation du personnel"/>
    <s v="AC"/>
    <n v="334.5"/>
    <d v="2025-11-07T00:00:00"/>
    <s v="FORMATION LUCIE"/>
    <m/>
    <s v="Non"/>
    <m/>
    <n v="91104"/>
    <s v="F2025-040"/>
    <s v="BERNARD SEMBEILLES CONSULTING"/>
    <s v="Q4"/>
    <e v="#REF!"/>
    <e v="#REF!"/>
    <e v="#REF!"/>
  </r>
  <r>
    <s v="628110"/>
    <x v="12"/>
    <s v="Formation du personnel"/>
    <s v="AC"/>
    <n v="430"/>
    <d v="2025-02-28T00:00:00"/>
    <s v="FORMATION  CLÉMENT ET MARIE"/>
    <s v="Non"/>
    <s v="Non"/>
    <m/>
    <n v="64142"/>
    <s v="93812420"/>
    <s v="OSIRIS"/>
    <s v="Q1"/>
    <e v="#REF!"/>
    <e v="#REF!"/>
    <e v="#REF!"/>
  </r>
  <r>
    <s v="628110"/>
    <x v="12"/>
    <s v="Formation du personnel"/>
    <s v="AC"/>
    <n v="446"/>
    <d v="2025-07-03T00:00:00"/>
    <s v="PRESTATION COACHING DE LUCIE CREPIN MANAGER SOCIÉTÉ PILI"/>
    <m/>
    <s v="Non"/>
    <m/>
    <n v="77337"/>
    <s v="F2025-025"/>
    <s v="BERNARD SEMBEILLES CONSULTING"/>
    <s v="Q3"/>
    <e v="#REF!"/>
    <e v="#REF!"/>
    <e v="#REF!"/>
  </r>
  <r>
    <s v="628110"/>
    <x v="12"/>
    <s v="Formation du personnel"/>
    <s v="AC"/>
    <n v="446"/>
    <d v="2025-08-27T00:00:00"/>
    <s v="PRESTATION COACHING DE LUCIE CREPIN MANAGER"/>
    <m/>
    <s v="Non"/>
    <m/>
    <n v="81834"/>
    <s v="F2025-027"/>
    <s v="BERNARD SEMBEILLES CONSULTING"/>
    <s v="Q3"/>
    <e v="#REF!"/>
    <e v="#REF!"/>
    <e v="#REF!"/>
  </r>
  <r>
    <s v="628110"/>
    <x v="12"/>
    <s v="Formation du personnel"/>
    <s v="AC"/>
    <n v="550"/>
    <d v="2025-11-30T00:00:00"/>
    <s v="FORMATION FDS MARIE"/>
    <m/>
    <s v="Non"/>
    <m/>
    <n v="91991"/>
    <s v="2025-0189-FACTURE"/>
    <s v="SICADAE"/>
    <s v="Q4"/>
    <e v="#REF!"/>
    <e v="#REF!"/>
    <e v="#REF!"/>
  </r>
  <r>
    <s v="628110"/>
    <x v="12"/>
    <s v="Formation du personnel"/>
    <s v="AC"/>
    <n v="600"/>
    <d v="2025-12-17T00:00:00"/>
    <s v="FORMATION PERFECTIONNEMENT TVA DANS LA CHIMIE G ZIANI"/>
    <m/>
    <s v="Non"/>
    <m/>
    <n v="94287"/>
    <s v="410741"/>
    <s v="MATHEZ CONSEIL FORMATION"/>
    <s v="Q4"/>
    <e v="#REF!"/>
    <e v="#REF!"/>
    <e v="#REF!"/>
  </r>
  <r>
    <s v="628110"/>
    <x v="12"/>
    <s v="Formation du personnel"/>
    <s v="AC"/>
    <n v="690"/>
    <d v="2025-06-25T00:00:00"/>
    <s v="UTILISATION LOGICIEL CHROMOLEON - NIVEAU 2 - 1 JOURNÉE"/>
    <m/>
    <s v="Non"/>
    <m/>
    <n v="77287"/>
    <s v="9131422299"/>
    <s v="THERMOELECTRON"/>
    <s v="Q2"/>
    <e v="#REF!"/>
    <e v="#REF!"/>
    <e v="#REF!"/>
  </r>
  <r>
    <s v="628110"/>
    <x v="12"/>
    <s v="Formation du personnel"/>
    <s v="AC"/>
    <n v="800"/>
    <d v="2025-02-12T00:00:00"/>
    <s v="FORMATION - LOÏC MASSEBOEUF  FORMATION - ANNE SOPHIE GOUTIERRE"/>
    <m/>
    <s v="Non"/>
    <n v="0"/>
    <n v="61465"/>
    <s v="F2025/0087"/>
    <s v="ASS FORMATION CONTINUE INDUS CHIMIQUES"/>
    <s v="Q1"/>
    <e v="#REF!"/>
    <e v="#REF!"/>
    <e v="#REF!"/>
  </r>
  <r>
    <s v="628110"/>
    <x v="12"/>
    <s v="Formation du personnel"/>
    <s v="AC"/>
    <n v="800"/>
    <d v="2025-06-30T00:00:00"/>
    <s v="FORMATION COMMUNICATION DE CRISE"/>
    <m/>
    <s v="Non"/>
    <m/>
    <n v="77310"/>
    <s v="FC230-324-202425/06"/>
    <s v="IRCOM"/>
    <s v="Q2"/>
    <e v="#REF!"/>
    <e v="#REF!"/>
    <e v="#REF!"/>
  </r>
  <r>
    <s v="628110"/>
    <x v="12"/>
    <s v="Formation du personnel"/>
    <s v="AC"/>
    <n v="831.6"/>
    <d v="2025-03-31T00:00:00"/>
    <s v="Solde - Metrohm"/>
    <m/>
    <s v="Non"/>
    <m/>
    <n v="73124"/>
    <m/>
    <s v="METROHM"/>
    <s v="Q1"/>
    <e v="#REF!"/>
    <e v="#REF!"/>
    <e v="#REF!"/>
  </r>
  <r>
    <s v="628110"/>
    <x v="12"/>
    <s v="Formation du personnel"/>
    <s v="AC"/>
    <n v="900"/>
    <d v="2025-04-18T00:00:00"/>
    <s v="COURS PARTICULIER D'ANGLAIS A.M"/>
    <m/>
    <s v="Non"/>
    <m/>
    <n v="69823"/>
    <s v="F-2025-01108"/>
    <s v="WOOSPEAK"/>
    <s v="Q2"/>
    <e v="#REF!"/>
    <e v="#REF!"/>
    <e v="#REF!"/>
  </r>
  <r>
    <s v="628110"/>
    <x v="12"/>
    <s v="Formation du personnel"/>
    <s v="AC"/>
    <n v="900"/>
    <d v="2025-04-24T00:00:00"/>
    <s v="A.D COURS PARTICULIER D'ANGLAIS"/>
    <m/>
    <s v="Non"/>
    <m/>
    <n v="71340"/>
    <s v="F-2025-01139"/>
    <s v="WOOSPEAK"/>
    <s v="Q2"/>
    <e v="#REF!"/>
    <e v="#REF!"/>
    <e v="#REF!"/>
  </r>
  <r>
    <s v="628110"/>
    <x v="12"/>
    <s v="Formation du personnel"/>
    <s v="AC"/>
    <n v="905"/>
    <d v="2025-04-30T00:00:00"/>
    <s v="FORMATION 04/2025 : HABILITATION ÉLECTRIQUE BR BC B1V B2V BE ESSAI H"/>
    <s v="Non"/>
    <s v="Non"/>
    <m/>
    <n v="73748"/>
    <s v="93812814"/>
    <s v="OSIRIS"/>
    <s v="Q2"/>
    <e v="#REF!"/>
    <e v="#REF!"/>
    <e v="#REF!"/>
  </r>
  <r>
    <s v="628110"/>
    <x v="12"/>
    <s v="Formation du personnel"/>
    <s v="AC"/>
    <n v="950"/>
    <d v="2025-11-27T00:00:00"/>
    <s v="FORMATION OBLIGATOIRE CSE ANTHONY"/>
    <m/>
    <s v="Non"/>
    <m/>
    <n v="91975"/>
    <s v="01932531"/>
    <s v="ADN CSE"/>
    <s v="Q4"/>
    <e v="#REF!"/>
    <e v="#REF!"/>
    <e v="#REF!"/>
  </r>
  <r>
    <s v="628110"/>
    <x v="12"/>
    <s v="Formation du personnel"/>
    <s v="AC"/>
    <n v="980"/>
    <d v="2025-04-29T00:00:00"/>
    <s v="FORMATION CCN GOUTIERRE-MASSEBOEUF"/>
    <m/>
    <s v="Non"/>
    <n v="0"/>
    <n v="72621"/>
    <s v="F2025/0308"/>
    <s v="ASS FORMATION CONTINUE INDUS CHIMIQUES"/>
    <s v="Q2"/>
    <e v="#REF!"/>
    <e v="#REF!"/>
    <e v="#REF!"/>
  </r>
  <r>
    <s v="628110"/>
    <x v="12"/>
    <s v="Formation du personnel"/>
    <s v="AC"/>
    <n v="990"/>
    <d v="2025-07-04T00:00:00"/>
    <s v="FORMATION À DISTANCE SAGE G. ZIANI"/>
    <m/>
    <s v="Non"/>
    <m/>
    <n v="78896"/>
    <s v="FAP11094"/>
    <s v="AXE GESCOM"/>
    <s v="Q3"/>
    <e v="#REF!"/>
    <e v="#REF!"/>
    <e v="#REF!"/>
  </r>
  <r>
    <s v="628110"/>
    <x v="12"/>
    <s v="Formation du personnel"/>
    <s v="AC"/>
    <n v="990"/>
    <d v="2025-07-11T00:00:00"/>
    <s v="FORMATION À DISTANCE SAGE"/>
    <m/>
    <s v="Non"/>
    <m/>
    <n v="78904"/>
    <s v="FAP11163"/>
    <s v="AXE GESCOM"/>
    <s v="Q3"/>
    <e v="#REF!"/>
    <e v="#REF!"/>
    <e v="#REF!"/>
  </r>
  <r>
    <s v="628110"/>
    <x v="12"/>
    <s v="Formation du personnel"/>
    <s v="AC"/>
    <n v="1320"/>
    <d v="2025-02-13T00:00:00"/>
    <s v="FORMATION SST INITIAL (SAUVETEUR SECOURISTE DU TRAVAIL) DATES : LES 10 ET 11 FÉVRIER 2025 (AMILLASTRE E, BONNAUD M, RAMOS N ET R"/>
    <m/>
    <s v="Non"/>
    <n v="0"/>
    <n v="61482"/>
    <s v="2643"/>
    <s v="APF SECURITE"/>
    <s v="Q1"/>
    <e v="#REF!"/>
    <e v="#REF!"/>
    <e v="#REF!"/>
  </r>
  <r>
    <s v="628110"/>
    <x v="12"/>
    <s v="Formation du personnel"/>
    <s v="AC"/>
    <n v="1338"/>
    <d v="2025-06-18T00:00:00"/>
    <s v="PRESTATION COACHING DE LUCIE CREPIN"/>
    <m/>
    <s v="Non"/>
    <m/>
    <n v="77275"/>
    <s v="F2025-019"/>
    <s v="BERNARD SEMBEILLES CONSULTING"/>
    <s v="Q2"/>
    <e v="#REF!"/>
    <e v="#REF!"/>
    <e v="#REF!"/>
  </r>
  <r>
    <s v="628110"/>
    <x v="12"/>
    <s v="Formation du personnel"/>
    <s v="AC"/>
    <n v="2190"/>
    <d v="2025-02-14T00:00:00"/>
    <s v="FORMATION MAUD SANCHEZ  MANAGER UNE ÉQUIPE DU 12/02 AU 14/02 - 21H LYON"/>
    <m/>
    <s v="Non"/>
    <n v="0"/>
    <n v="64093"/>
    <s v="9000647819"/>
    <s v="CEGOS"/>
    <s v="Q1"/>
    <e v="#REF!"/>
    <e v="#REF!"/>
    <e v="#REF!"/>
  </r>
  <r>
    <s v="628110"/>
    <x v="12"/>
    <s v="Formation du personnel"/>
    <s v="AC"/>
    <n v="6500"/>
    <d v="2025-09-10T00:00:00"/>
    <s v="FORMATION PAULINE"/>
    <m/>
    <s v="Non"/>
    <m/>
    <n v="82340"/>
    <s v="OP_202509_00068"/>
    <s v="OASYS PARIS"/>
    <s v="Q3"/>
    <e v="#REF!"/>
    <e v="#REF!"/>
    <e v="#REF!"/>
  </r>
  <r>
    <s v="628110"/>
    <x v="12"/>
    <s v="Formation du personnel"/>
    <s v="AC"/>
    <n v="6790"/>
    <d v="2025-04-03T00:00:00"/>
    <s v="MANAGER UNE ÉQUIPE NIVEAU 1"/>
    <m/>
    <s v="Non"/>
    <n v="0"/>
    <n v="71308"/>
    <s v="7000075208"/>
    <s v="CEGOS"/>
    <s v="Q2"/>
    <e v="#REF!"/>
    <e v="#REF!"/>
    <e v="#REF!"/>
  </r>
  <r>
    <s v="628800"/>
    <x v="12"/>
    <s v="Traitement des déchets"/>
    <s v="AC"/>
    <n v="125.92"/>
    <d v="2025-01-29T00:00:00"/>
    <s v="COLLECTE DASRI"/>
    <m/>
    <s v="Non"/>
    <n v="0"/>
    <n v="71275"/>
    <s v="FA2509484"/>
    <s v="SERVICE ACTION SANTE"/>
    <s v="Q1"/>
    <e v="#REF!"/>
    <e v="#REF!"/>
    <e v="#REF!"/>
  </r>
  <r>
    <s v="628800"/>
    <x v="12"/>
    <s v="Traitement des déchets"/>
    <s v="AC"/>
    <n v="737.65"/>
    <d v="2025-03-20T00:00:00"/>
    <s v="ENLÈVEMENT DÉCHETS CHIMIQUES LABO KB"/>
    <m/>
    <s v="Non"/>
    <n v="0"/>
    <n v="67861"/>
    <s v="FA2510473"/>
    <s v="SERVICE ACTION SANTE"/>
    <s v="Q1"/>
    <e v="#REF!"/>
    <e v="#REF!"/>
    <e v="#REF!"/>
  </r>
  <r>
    <s v="628800"/>
    <x v="12"/>
    <s v="Traitement des déchets"/>
    <s v="AC"/>
    <n v="1113.04"/>
    <d v="2025-10-29T00:00:00"/>
    <s v="ENLÈVEMENT DE DÉCHETS LABO KB"/>
    <m/>
    <s v="Non"/>
    <n v="0"/>
    <n v="87479"/>
    <s v="FA2513736"/>
    <s v="SERVICE ACTION SANTE"/>
    <s v="Q4"/>
    <e v="#REF!"/>
    <e v="#REF!"/>
    <e v="#REF!"/>
  </r>
  <r>
    <s v="628800"/>
    <x v="12"/>
    <s v="Traitement des déchets"/>
    <s v="AC"/>
    <n v="1251.74"/>
    <d v="2025-06-05T00:00:00"/>
    <s v="ENLÈVEMENT DÉCHETS LABO"/>
    <m/>
    <s v="Non"/>
    <n v="0"/>
    <n v="77272"/>
    <s v="FA2511788"/>
    <s v="SERVICE ACTION SANTE"/>
    <s v="Q2"/>
    <e v="#REF!"/>
    <e v="#REF!"/>
    <e v="#REF!"/>
  </r>
  <r>
    <s v="628800"/>
    <x v="12"/>
    <s v="Traitement des déchets"/>
    <s v="AC"/>
    <n v="1391.87"/>
    <d v="2025-01-29T00:00:00"/>
    <s v="COLLECTE EXCEPTIONNELLE DE DASRI DU 27/01/2025"/>
    <m/>
    <s v="Non"/>
    <n v="0"/>
    <n v="67805"/>
    <s v="FA2509484"/>
    <s v="SERVICE ACTION SANTE"/>
    <s v="Q1"/>
    <e v="#REF!"/>
    <e v="#REF!"/>
    <e v="#REF!"/>
  </r>
  <r>
    <s v="628800"/>
    <x v="12"/>
    <s v="Traitement des déchets"/>
    <s v="AC"/>
    <n v="1472.21"/>
    <d v="2025-02-11T00:00:00"/>
    <s v="ENLÈVEMENT DÉCHETS SOLIDES TOXIQUES"/>
    <m/>
    <s v="Non"/>
    <n v="0"/>
    <n v="61457"/>
    <s v="F061342800"/>
    <s v="CHIMIREC CENTRE EST"/>
    <s v="Q1"/>
    <e v="#REF!"/>
    <e v="#REF!"/>
    <e v="#REF!"/>
  </r>
  <r>
    <s v="628800"/>
    <x v="12"/>
    <s v="Traitement des déchets"/>
    <s v="AC"/>
    <n v="2930.4"/>
    <d v="2025-03-13T00:00:00"/>
    <s v="TRAITEMENT DÉCHETS"/>
    <m/>
    <s v="Non"/>
    <n v="0"/>
    <n v="65984"/>
    <s v="F061345232"/>
    <s v="CHIMIREC CENTRE EST"/>
    <s v="Q1"/>
    <e v="#REF!"/>
    <e v="#REF!"/>
    <e v="#REF!"/>
  </r>
  <r>
    <s v="628800"/>
    <x v="12"/>
    <s v="Traitement des déchets"/>
    <s v="AC"/>
    <n v="2973.73"/>
    <d v="2025-09-16T00:00:00"/>
    <s v="ENLÈVEMENT DE DÉCHETS"/>
    <m/>
    <s v="Non"/>
    <n v="0"/>
    <n v="82727"/>
    <s v="F061358047"/>
    <s v="CHIMIREC CENTRE EST"/>
    <s v="Q3"/>
    <e v="#REF!"/>
    <e v="#REF!"/>
    <e v="#REF!"/>
  </r>
  <r>
    <s v="628800"/>
    <x v="12"/>
    <s v="Traitement des déchets"/>
    <s v="AC"/>
    <n v="4767.26"/>
    <d v="2025-06-30T00:00:00"/>
    <s v="ENLÈVEMENT DÉCHETS"/>
    <m/>
    <s v="Non"/>
    <n v="0"/>
    <n v="78379"/>
    <s v="F061352698"/>
    <s v="CHIMIREC CENTRE EST"/>
    <s v="Q2"/>
    <e v="#REF!"/>
    <e v="#REF!"/>
    <e v="#REF!"/>
  </r>
  <r>
    <s v="645300"/>
    <x v="6"/>
    <s v="COTISATIONS AUX CAISSES DE RETRAITE"/>
    <s v="SA"/>
    <n v="114.28"/>
    <d v="2025-05-31T00:00:00"/>
    <s v="CONTRIBUTION D'EQUILIBRE TECHNIQUE TU1"/>
    <m/>
    <e v="#N/A"/>
    <e v="#N/A"/>
    <n v="80281"/>
    <s v="SA202505"/>
    <m/>
    <s v="Q2"/>
    <e v="#REF!"/>
    <e v="#REF!"/>
    <e v="#REF!"/>
  </r>
  <r>
    <s v="645300"/>
    <x v="6"/>
    <s v="COTISATIONS AUX CAISSES DE RETRAITE"/>
    <s v="SA"/>
    <n v="114.28"/>
    <d v="2025-06-30T00:00:00"/>
    <s v="CONTRIBUTION D'EQUILIBRE TECHNIQUE TU1"/>
    <m/>
    <e v="#N/A"/>
    <e v="#N/A"/>
    <n v="80113"/>
    <s v="SA202506"/>
    <m/>
    <s v="Q2"/>
    <e v="#REF!"/>
    <e v="#REF!"/>
    <e v="#REF!"/>
  </r>
  <r>
    <s v="645300"/>
    <x v="6"/>
    <s v="COTISATIONS AUX CAISSES DE RETRAITE"/>
    <s v="SA"/>
    <n v="238.06"/>
    <d v="2025-02-28T00:00:00"/>
    <s v="CONTRIBUTION D'EQUILIBRE TECHNIQUE TU1"/>
    <m/>
    <e v="#N/A"/>
    <e v="#N/A"/>
    <n v="85343"/>
    <s v="SA202502"/>
    <m/>
    <s v="Q1"/>
    <e v="#REF!"/>
    <e v="#REF!"/>
    <e v="#REF!"/>
  </r>
  <r>
    <s v="437300"/>
    <x v="6"/>
    <s v="RETRAITE"/>
    <s v="SA"/>
    <n v="-657.35"/>
    <d v="2025-02-28T00:00:00"/>
    <s v="CONTRIBUTION D'EQUILIBRE TECHNIQUE TU2"/>
    <m/>
    <e v="#N/A"/>
    <e v="#N/A"/>
    <n v="85199"/>
    <s v="SA202502"/>
    <m/>
    <s v="Q1"/>
    <e v="#REF!"/>
    <e v="#REF!"/>
    <e v="#REF!"/>
  </r>
  <r>
    <s v="437300"/>
    <x v="6"/>
    <s v="RETRAITE"/>
    <s v="SA"/>
    <n v="-166.78"/>
    <d v="2025-06-30T00:00:00"/>
    <s v="CONTRIBUTION D'EQUILIBRE TECHNIQUE TU2"/>
    <m/>
    <e v="#N/A"/>
    <e v="#N/A"/>
    <n v="79986"/>
    <s v="SA202506"/>
    <m/>
    <s v="Q2"/>
    <e v="#REF!"/>
    <e v="#REF!"/>
    <e v="#REF!"/>
  </r>
  <r>
    <s v="437300"/>
    <x v="6"/>
    <s v="RETRAITE"/>
    <s v="SA"/>
    <n v="-161.19999999999999"/>
    <d v="2025-08-31T00:00:00"/>
    <s v="CONTRIBUTION D'EQUILIBRE TECHNIQUE TU2"/>
    <m/>
    <e v="#N/A"/>
    <e v="#N/A"/>
    <n v="83931"/>
    <s v="SA202508"/>
    <m/>
    <s v="Q3"/>
    <e v="#REF!"/>
    <e v="#REF!"/>
    <e v="#REF!"/>
  </r>
  <r>
    <s v="437300"/>
    <x v="6"/>
    <s v="RETRAITE"/>
    <s v="SA"/>
    <n v="-160.26"/>
    <d v="2025-04-30T00:00:00"/>
    <s v="CONTRIBUTION D'EQUILIBRE TECHNIQUE TU2"/>
    <m/>
    <e v="#N/A"/>
    <e v="#N/A"/>
    <n v="80325"/>
    <s v="SA202504"/>
    <m/>
    <s v="Q2"/>
    <e v="#REF!"/>
    <e v="#REF!"/>
    <e v="#REF!"/>
  </r>
  <r>
    <s v="437300"/>
    <x v="6"/>
    <s v="RETRAITE"/>
    <s v="SA"/>
    <n v="-156.27000000000001"/>
    <d v="2025-09-30T00:00:00"/>
    <s v="CONTRIBUTION D'EQUILIBRE TECHNIQUE TU2"/>
    <m/>
    <e v="#N/A"/>
    <e v="#N/A"/>
    <n v="84105"/>
    <s v="SA202509"/>
    <m/>
    <s v="Q3"/>
    <e v="#REF!"/>
    <e v="#REF!"/>
    <e v="#REF!"/>
  </r>
  <r>
    <s v="437300"/>
    <x v="6"/>
    <s v="RETRAITE"/>
    <s v="SA"/>
    <n v="-153.78"/>
    <d v="2025-11-30T00:00:00"/>
    <s v="CONTRIBUTION D'EQUILIBRE TECHNIQUE TU2"/>
    <m/>
    <e v="#N/A"/>
    <e v="#N/A"/>
    <n v="92279"/>
    <s v="SA202511"/>
    <m/>
    <s v="Q4"/>
    <e v="#REF!"/>
    <e v="#REF!"/>
    <e v="#REF!"/>
  </r>
  <r>
    <s v="437300"/>
    <x v="6"/>
    <s v="RETRAITE"/>
    <s v="SA"/>
    <n v="-153.36000000000001"/>
    <d v="2025-10-31T00:00:00"/>
    <s v="CONTRIBUTION D'EQUILIBRE TECHNIQUE TU2"/>
    <m/>
    <e v="#N/A"/>
    <e v="#N/A"/>
    <n v="87770"/>
    <s v="SA202510"/>
    <m/>
    <s v="Q4"/>
    <e v="#REF!"/>
    <e v="#REF!"/>
    <e v="#REF!"/>
  </r>
  <r>
    <s v="437300"/>
    <x v="6"/>
    <s v="RETRAITE"/>
    <s v="SA"/>
    <n v="-149.57"/>
    <d v="2025-01-31T00:00:00"/>
    <s v="CONTRIBUTION D'EQUILIBRE TECHNIQUE TU2"/>
    <m/>
    <e v="#N/A"/>
    <e v="#N/A"/>
    <n v="85387"/>
    <s v="SA202501"/>
    <m/>
    <s v="Q1"/>
    <e v="#REF!"/>
    <e v="#REF!"/>
    <e v="#REF!"/>
  </r>
  <r>
    <s v="437300"/>
    <x v="6"/>
    <s v="RETRAITE"/>
    <s v="SA"/>
    <n v="-149.06"/>
    <d v="2025-12-31T00:00:00"/>
    <s v="CONTRIBUTION D'EQUILIBRE TECHNIQUE TU2"/>
    <m/>
    <e v="#N/A"/>
    <e v="#N/A"/>
    <n v="92738"/>
    <s v="SA202512"/>
    <m/>
    <s v="Q4"/>
    <e v="#REF!"/>
    <e v="#REF!"/>
    <e v="#REF!"/>
  </r>
  <r>
    <s v="437300"/>
    <x v="6"/>
    <s v="RETRAITE"/>
    <s v="SA"/>
    <n v="-145.71"/>
    <d v="2025-05-31T00:00:00"/>
    <s v="CONTRIBUTION D'EQUILIBRE TECHNIQUE TU2"/>
    <m/>
    <e v="#N/A"/>
    <e v="#N/A"/>
    <n v="80155"/>
    <s v="SA202505"/>
    <m/>
    <s v="Q2"/>
    <e v="#REF!"/>
    <e v="#REF!"/>
    <e v="#REF!"/>
  </r>
  <r>
    <s v="437300"/>
    <x v="6"/>
    <s v="RETRAITE"/>
    <s v="SA"/>
    <n v="-143.94999999999999"/>
    <d v="2025-03-31T00:00:00"/>
    <s v="CONTRIBUTION D'EQUILIBRE TECHNIQUE TU2"/>
    <m/>
    <e v="#N/A"/>
    <e v="#N/A"/>
    <n v="80495"/>
    <s v="SA202503"/>
    <m/>
    <s v="Q1"/>
    <e v="#REF!"/>
    <e v="#REF!"/>
    <e v="#REF!"/>
  </r>
  <r>
    <s v="437300"/>
    <x v="6"/>
    <s v="RETRAITE"/>
    <s v="SA"/>
    <n v="-137.82"/>
    <d v="2025-07-31T00:00:00"/>
    <s v="CONTRIBUTION D'EQUILIBRE TECHNIQUE TU2"/>
    <m/>
    <e v="#N/A"/>
    <e v="#N/A"/>
    <n v="79812"/>
    <s v="SA202507"/>
    <m/>
    <s v="Q3"/>
    <e v="#REF!"/>
    <e v="#REF!"/>
    <e v="#REF!"/>
  </r>
  <r>
    <s v="645300"/>
    <x v="6"/>
    <s v="COTISATIONS AUX CAISSES DE RETRAITE"/>
    <s v="SA"/>
    <n v="5.54"/>
    <d v="2025-01-31T00:00:00"/>
    <s v="CONTRIBUTION D'EQUILIBRE TECHNIQUE TU2"/>
    <m/>
    <e v="#N/A"/>
    <e v="#N/A"/>
    <n v="85525"/>
    <s v="SA202501"/>
    <m/>
    <s v="Q1"/>
    <e v="#REF!"/>
    <e v="#REF!"/>
    <e v="#REF!"/>
  </r>
  <r>
    <s v="645300"/>
    <x v="6"/>
    <s v="COTISATIONS AUX CAISSES DE RETRAITE"/>
    <s v="SA"/>
    <n v="5.68"/>
    <d v="2025-03-31T00:00:00"/>
    <s v="CONTRIBUTION D'EQUILIBRE TECHNIQUE TU2"/>
    <m/>
    <e v="#N/A"/>
    <e v="#N/A"/>
    <n v="80634"/>
    <s v="SA202503"/>
    <m/>
    <s v="Q1"/>
    <e v="#REF!"/>
    <e v="#REF!"/>
    <e v="#REF!"/>
  </r>
  <r>
    <s v="645300"/>
    <x v="6"/>
    <s v="COTISATIONS AUX CAISSES DE RETRAITE"/>
    <s v="SA"/>
    <n v="5.68"/>
    <d v="2025-04-30T00:00:00"/>
    <s v="CONTRIBUTION D'EQUILIBRE TECHNIQUE TU2"/>
    <m/>
    <e v="#N/A"/>
    <e v="#N/A"/>
    <n v="80461"/>
    <s v="SA202504"/>
    <m/>
    <s v="Q2"/>
    <e v="#REF!"/>
    <e v="#REF!"/>
    <e v="#REF!"/>
  </r>
  <r>
    <s v="645300"/>
    <x v="6"/>
    <s v="COTISATIONS AUX CAISSES DE RETRAITE"/>
    <s v="SA"/>
    <n v="5.68"/>
    <d v="2025-06-30T00:00:00"/>
    <s v="CONTRIBUTION D'EQUILIBRE TECHNIQUE TU2"/>
    <m/>
    <e v="#N/A"/>
    <e v="#N/A"/>
    <n v="80123"/>
    <s v="SA202506"/>
    <m/>
    <s v="Q2"/>
    <e v="#REF!"/>
    <e v="#REF!"/>
    <e v="#REF!"/>
  </r>
  <r>
    <s v="645300"/>
    <x v="6"/>
    <s v="COTISATIONS AUX CAISSES DE RETRAITE"/>
    <s v="SA"/>
    <n v="5.68"/>
    <d v="2025-07-31T00:00:00"/>
    <s v="CONTRIBUTION D'EQUILIBRE TECHNIQUE TU2"/>
    <m/>
    <e v="#N/A"/>
    <e v="#N/A"/>
    <n v="79951"/>
    <s v="SA202507"/>
    <m/>
    <s v="Q3"/>
    <e v="#REF!"/>
    <e v="#REF!"/>
    <e v="#REF!"/>
  </r>
  <r>
    <s v="645300"/>
    <x v="6"/>
    <s v="COTISATIONS AUX CAISSES DE RETRAITE"/>
    <s v="SA"/>
    <n v="5.68"/>
    <d v="2025-08-31T00:00:00"/>
    <s v="CONTRIBUTION D'EQUILIBRE TECHNIQUE TU2"/>
    <m/>
    <e v="#N/A"/>
    <e v="#N/A"/>
    <n v="84066"/>
    <s v="SA202508"/>
    <m/>
    <s v="Q3"/>
    <e v="#REF!"/>
    <e v="#REF!"/>
    <e v="#REF!"/>
  </r>
  <r>
    <s v="645300"/>
    <x v="6"/>
    <s v="COTISATIONS AUX CAISSES DE RETRAITE"/>
    <s v="SA"/>
    <n v="5.68"/>
    <d v="2025-11-30T00:00:00"/>
    <s v="CONTRIBUTION D'EQUILIBRE TECHNIQUE TU2"/>
    <m/>
    <e v="#N/A"/>
    <e v="#N/A"/>
    <n v="92413"/>
    <s v="SA202511"/>
    <m/>
    <s v="Q4"/>
    <e v="#REF!"/>
    <e v="#REF!"/>
    <e v="#REF!"/>
  </r>
  <r>
    <s v="645300"/>
    <x v="6"/>
    <s v="COTISATIONS AUX CAISSES DE RETRAITE"/>
    <s v="SA"/>
    <n v="5.68"/>
    <d v="2025-12-31T00:00:00"/>
    <s v="CONTRIBUTION D'EQUILIBRE TECHNIQUE TU2"/>
    <m/>
    <e v="#N/A"/>
    <e v="#N/A"/>
    <n v="92876"/>
    <s v="SA202512"/>
    <m/>
    <s v="Q4"/>
    <e v="#REF!"/>
    <e v="#REF!"/>
    <e v="#REF!"/>
  </r>
  <r>
    <s v="645300"/>
    <x v="6"/>
    <s v="COTISATIONS AUX CAISSES DE RETRAITE"/>
    <s v="SA"/>
    <n v="5.69"/>
    <d v="2025-09-30T00:00:00"/>
    <s v="CONTRIBUTION D'EQUILIBRE TECHNIQUE TU2"/>
    <m/>
    <e v="#N/A"/>
    <e v="#N/A"/>
    <n v="84240"/>
    <s v="SA202509"/>
    <m/>
    <s v="Q3"/>
    <e v="#REF!"/>
    <e v="#REF!"/>
    <e v="#REF!"/>
  </r>
  <r>
    <s v="645300"/>
    <x v="6"/>
    <s v="COTISATIONS AUX CAISSES DE RETRAITE"/>
    <s v="SA"/>
    <n v="5.78"/>
    <d v="2025-05-31T00:00:00"/>
    <s v="CONTRIBUTION D'EQUILIBRE TECHNIQUE TU2"/>
    <m/>
    <e v="#N/A"/>
    <e v="#N/A"/>
    <n v="80291"/>
    <s v="SA202505"/>
    <m/>
    <s v="Q2"/>
    <e v="#REF!"/>
    <e v="#REF!"/>
    <e v="#REF!"/>
  </r>
  <r>
    <s v="645300"/>
    <x v="6"/>
    <s v="COTISATIONS AUX CAISSES DE RETRAITE"/>
    <s v="SA"/>
    <n v="9.39"/>
    <d v="2025-10-31T00:00:00"/>
    <s v="CONTRIBUTION D'EQUILIBRE TECHNIQUE TU2"/>
    <m/>
    <e v="#N/A"/>
    <e v="#N/A"/>
    <n v="87906"/>
    <s v="SA202510"/>
    <m/>
    <s v="Q4"/>
    <e v="#REF!"/>
    <e v="#REF!"/>
    <e v="#REF!"/>
  </r>
  <r>
    <s v="645300"/>
    <x v="6"/>
    <s v="COTISATIONS AUX CAISSES DE RETRAITE"/>
    <s v="SA"/>
    <n v="19.829999999999998"/>
    <d v="2025-06-30T00:00:00"/>
    <s v="CONTRIBUTION D'EQUILIBRE TECHNIQUE TU2"/>
    <m/>
    <e v="#N/A"/>
    <e v="#N/A"/>
    <n v="80114"/>
    <s v="SA202506"/>
    <m/>
    <s v="Q2"/>
    <e v="#REF!"/>
    <e v="#REF!"/>
    <e v="#REF!"/>
  </r>
  <r>
    <s v="645300"/>
    <x v="6"/>
    <s v="COTISATIONS AUX CAISSES DE RETRAITE"/>
    <s v="SA"/>
    <n v="21.87"/>
    <d v="2025-01-31T00:00:00"/>
    <s v="CONTRIBUTION D'EQUILIBRE TECHNIQUE TU2"/>
    <m/>
    <e v="#N/A"/>
    <e v="#N/A"/>
    <n v="85507"/>
    <s v="SA202501"/>
    <m/>
    <s v="Q1"/>
    <e v="#REF!"/>
    <e v="#REF!"/>
    <e v="#REF!"/>
  </r>
  <r>
    <s v="645300"/>
    <x v="6"/>
    <s v="COTISATIONS AUX CAISSES DE RETRAITE"/>
    <s v="SA"/>
    <n v="22.13"/>
    <d v="2025-10-31T00:00:00"/>
    <s v="CONTRIBUTION D'EQUILIBRE TECHNIQUE TU2"/>
    <m/>
    <e v="#N/A"/>
    <e v="#N/A"/>
    <n v="87897"/>
    <s v="SA202510"/>
    <m/>
    <s v="Q4"/>
    <e v="#REF!"/>
    <e v="#REF!"/>
    <e v="#REF!"/>
  </r>
  <r>
    <s v="645300"/>
    <x v="6"/>
    <s v="COTISATIONS AUX CAISSES DE RETRAITE"/>
    <s v="SA"/>
    <n v="22.71"/>
    <d v="2025-12-31T00:00:00"/>
    <s v="CONTRIBUTION D'EQUILIBRE TECHNIQUE TU2"/>
    <m/>
    <e v="#N/A"/>
    <e v="#N/A"/>
    <n v="92867"/>
    <s v="SA202512"/>
    <m/>
    <s v="Q4"/>
    <e v="#REF!"/>
    <e v="#REF!"/>
    <e v="#REF!"/>
  </r>
  <r>
    <s v="645300"/>
    <x v="6"/>
    <s v="COTISATIONS AUX CAISSES DE RETRAITE"/>
    <s v="SA"/>
    <n v="23.51"/>
    <d v="2025-05-31T00:00:00"/>
    <s v="CONTRIBUTION D'EQUILIBRE TECHNIQUE TU2"/>
    <m/>
    <e v="#N/A"/>
    <e v="#N/A"/>
    <n v="80282"/>
    <s v="SA202505"/>
    <m/>
    <s v="Q2"/>
    <e v="#REF!"/>
    <e v="#REF!"/>
    <e v="#REF!"/>
  </r>
  <r>
    <s v="645300"/>
    <x v="6"/>
    <s v="COTISATIONS AUX CAISSES DE RETRAITE"/>
    <s v="SA"/>
    <n v="23.99"/>
    <d v="2025-02-28T00:00:00"/>
    <s v="CONTRIBUTION D'EQUILIBRE TECHNIQUE TU2"/>
    <m/>
    <e v="#N/A"/>
    <e v="#N/A"/>
    <n v="85353"/>
    <s v="SA202502"/>
    <m/>
    <s v="Q1"/>
    <e v="#REF!"/>
    <e v="#REF!"/>
    <e v="#REF!"/>
  </r>
  <r>
    <s v="645300"/>
    <x v="6"/>
    <s v="COTISATIONS AUX CAISSES DE RETRAITE"/>
    <s v="SA"/>
    <n v="24.42"/>
    <d v="2025-01-31T00:00:00"/>
    <s v="CONTRIBUTION D'EQUILIBRE TECHNIQUE TU2"/>
    <m/>
    <e v="#N/A"/>
    <e v="#N/A"/>
    <n v="85516"/>
    <s v="SA202501"/>
    <m/>
    <s v="Q1"/>
    <e v="#REF!"/>
    <e v="#REF!"/>
    <e v="#REF!"/>
  </r>
  <r>
    <s v="645300"/>
    <x v="6"/>
    <s v="COTISATIONS AUX CAISSES DE RETRAITE"/>
    <s v="SA"/>
    <n v="24.94"/>
    <d v="2025-07-31T00:00:00"/>
    <s v="CONTRIBUTION D'EQUILIBRE TECHNIQUE TU2"/>
    <m/>
    <e v="#N/A"/>
    <e v="#N/A"/>
    <n v="79942"/>
    <s v="SA202507"/>
    <m/>
    <s v="Q3"/>
    <e v="#REF!"/>
    <e v="#REF!"/>
    <e v="#REF!"/>
  </r>
  <r>
    <s v="645300"/>
    <x v="6"/>
    <s v="COTISATIONS AUX CAISSES DE RETRAITE"/>
    <s v="SA"/>
    <n v="25.47"/>
    <d v="2025-11-30T00:00:00"/>
    <s v="CONTRIBUTION D'EQUILIBRE TECHNIQUE TU2"/>
    <m/>
    <e v="#N/A"/>
    <e v="#N/A"/>
    <n v="92404"/>
    <s v="SA202511"/>
    <m/>
    <s v="Q4"/>
    <e v="#REF!"/>
    <e v="#REF!"/>
    <e v="#REF!"/>
  </r>
  <r>
    <s v="631200"/>
    <x v="6"/>
    <s v="TAXE D'APPRENTISSAGE"/>
    <s v="SA"/>
    <n v="73.319999999999993"/>
    <d v="2025-01-31T00:00:00"/>
    <s v="TAXE D'APPRENTISSAGE"/>
    <m/>
    <e v="#N/A"/>
    <e v="#N/A"/>
    <n v="85399"/>
    <s v="SA202501"/>
    <m/>
    <s v="Q1"/>
    <e v="#REF!"/>
    <e v="#REF!"/>
    <e v="#REF!"/>
  </r>
  <r>
    <s v="631200"/>
    <x v="6"/>
    <s v="TAXE D'APPRENTISSAGE"/>
    <s v="SA"/>
    <n v="74.83"/>
    <d v="2025-03-31T00:00:00"/>
    <s v="TAXE D'APPRENTISSAGE"/>
    <m/>
    <e v="#N/A"/>
    <e v="#N/A"/>
    <n v="80507"/>
    <s v="SA202503"/>
    <m/>
    <s v="Q1"/>
    <e v="#REF!"/>
    <e v="#REF!"/>
    <e v="#REF!"/>
  </r>
  <r>
    <s v="631200"/>
    <x v="6"/>
    <s v="TAXE D'APPRENTISSAGE"/>
    <s v="SA"/>
    <n v="74.83"/>
    <d v="2025-04-30T00:00:00"/>
    <s v="TAXE D'APPRENTISSAGE"/>
    <m/>
    <e v="#N/A"/>
    <e v="#N/A"/>
    <n v="80337"/>
    <s v="SA202504"/>
    <m/>
    <s v="Q2"/>
    <e v="#REF!"/>
    <e v="#REF!"/>
    <e v="#REF!"/>
  </r>
  <r>
    <s v="631200"/>
    <x v="6"/>
    <s v="TAXE D'APPRENTISSAGE"/>
    <s v="SA"/>
    <n v="74.83"/>
    <d v="2025-06-30T00:00:00"/>
    <s v="TAXE D'APPRENTISSAGE"/>
    <m/>
    <e v="#N/A"/>
    <e v="#N/A"/>
    <n v="79998"/>
    <s v="SA202506"/>
    <m/>
    <s v="Q2"/>
    <e v="#REF!"/>
    <e v="#REF!"/>
    <e v="#REF!"/>
  </r>
  <r>
    <s v="631200"/>
    <x v="6"/>
    <s v="TAXE D'APPRENTISSAGE"/>
    <s v="SA"/>
    <n v="74.83"/>
    <d v="2025-08-31T00:00:00"/>
    <s v="TAXE D'APPRENTISSAGE"/>
    <m/>
    <e v="#N/A"/>
    <e v="#N/A"/>
    <n v="83943"/>
    <s v="SA202508"/>
    <m/>
    <s v="Q3"/>
    <e v="#REF!"/>
    <e v="#REF!"/>
    <e v="#REF!"/>
  </r>
  <r>
    <s v="631200"/>
    <x v="6"/>
    <s v="TAXE D'APPRENTISSAGE"/>
    <s v="SA"/>
    <n v="74.83"/>
    <d v="2025-11-30T00:00:00"/>
    <s v="TAXE D'APPRENTISSAGE"/>
    <m/>
    <e v="#N/A"/>
    <e v="#N/A"/>
    <n v="92292"/>
    <s v="SA202511"/>
    <m/>
    <s v="Q4"/>
    <e v="#REF!"/>
    <e v="#REF!"/>
    <e v="#REF!"/>
  </r>
  <r>
    <s v="631200"/>
    <x v="6"/>
    <s v="TAXE D'APPRENTISSAGE"/>
    <s v="SA"/>
    <n v="74.849999999999994"/>
    <d v="2025-07-31T00:00:00"/>
    <s v="TAXE D'APPRENTISSAGE"/>
    <m/>
    <e v="#N/A"/>
    <e v="#N/A"/>
    <n v="79824"/>
    <s v="SA202507"/>
    <m/>
    <s v="Q3"/>
    <e v="#REF!"/>
    <e v="#REF!"/>
    <e v="#REF!"/>
  </r>
  <r>
    <s v="631200"/>
    <x v="6"/>
    <s v="TAXE D'APPRENTISSAGE"/>
    <s v="SA"/>
    <n v="74.849999999999994"/>
    <d v="2025-12-31T00:00:00"/>
    <s v="TAXE D'APPRENTISSAGE"/>
    <m/>
    <e v="#N/A"/>
    <e v="#N/A"/>
    <n v="92751"/>
    <s v="SA202512"/>
    <m/>
    <s v="Q4"/>
    <e v="#REF!"/>
    <e v="#REF!"/>
    <e v="#REF!"/>
  </r>
  <r>
    <s v="631200"/>
    <x v="6"/>
    <s v="TAXE D'APPRENTISSAGE"/>
    <s v="SA"/>
    <n v="74.86"/>
    <d v="2025-09-30T00:00:00"/>
    <s v="TAXE D'APPRENTISSAGE"/>
    <m/>
    <e v="#N/A"/>
    <e v="#N/A"/>
    <n v="84118"/>
    <s v="SA202509"/>
    <m/>
    <s v="Q3"/>
    <e v="#REF!"/>
    <e v="#REF!"/>
    <e v="#REF!"/>
  </r>
  <r>
    <s v="631200"/>
    <x v="6"/>
    <s v="TAXE D'APPRENTISSAGE"/>
    <s v="SA"/>
    <n v="75.12"/>
    <d v="2025-05-31T00:00:00"/>
    <s v="TAXE D'APPRENTISSAGE"/>
    <m/>
    <e v="#N/A"/>
    <e v="#N/A"/>
    <n v="80167"/>
    <s v="SA202505"/>
    <m/>
    <s v="Q2"/>
    <e v="#REF!"/>
    <e v="#REF!"/>
    <e v="#REF!"/>
  </r>
  <r>
    <s v="645300"/>
    <x v="6"/>
    <s v="COTISATIONS AUX CAISSES DE RETRAITE"/>
    <s v="SA"/>
    <n v="25.48"/>
    <d v="2025-09-30T00:00:00"/>
    <s v="CONTRIBUTION D'EQUILIBRE TECHNIQUE TU2"/>
    <m/>
    <e v="#N/A"/>
    <e v="#N/A"/>
    <n v="84231"/>
    <s v="SA202509"/>
    <m/>
    <s v="Q3"/>
    <e v="#REF!"/>
    <e v="#REF!"/>
    <e v="#REF!"/>
  </r>
  <r>
    <s v="645300"/>
    <x v="6"/>
    <s v="COTISATIONS AUX CAISSES DE RETRAITE"/>
    <s v="SA"/>
    <n v="25.62"/>
    <d v="2025-10-31T00:00:00"/>
    <s v="CONTRIBUTION D'EQUILIBRE TECHNIQUE TU2"/>
    <m/>
    <e v="#N/A"/>
    <e v="#N/A"/>
    <n v="87888"/>
    <s v="SA202510"/>
    <m/>
    <s v="Q4"/>
    <e v="#REF!"/>
    <e v="#REF!"/>
    <e v="#REF!"/>
  </r>
  <r>
    <s v="645300"/>
    <x v="6"/>
    <s v="COTISATIONS AUX CAISSES DE RETRAITE"/>
    <s v="SA"/>
    <n v="25.66"/>
    <d v="2025-07-31T00:00:00"/>
    <s v="CONTRIBUTION D'EQUILIBRE TECHNIQUE TU2"/>
    <m/>
    <e v="#N/A"/>
    <e v="#N/A"/>
    <n v="79933"/>
    <s v="SA202507"/>
    <m/>
    <s v="Q3"/>
    <e v="#REF!"/>
    <e v="#REF!"/>
    <e v="#REF!"/>
  </r>
  <r>
    <s v="645300"/>
    <x v="6"/>
    <s v="COTISATIONS AUX CAISSES DE RETRAITE"/>
    <s v="SA"/>
    <n v="25.7"/>
    <d v="2025-03-31T00:00:00"/>
    <s v="CONTRIBUTION D'EQUILIBRE TECHNIQUE TU2"/>
    <m/>
    <e v="#N/A"/>
    <e v="#N/A"/>
    <n v="80616"/>
    <s v="SA202503"/>
    <m/>
    <s v="Q1"/>
    <e v="#REF!"/>
    <e v="#REF!"/>
    <e v="#REF!"/>
  </r>
  <r>
    <s v="645300"/>
    <x v="6"/>
    <s v="COTISATIONS AUX CAISSES DE RETRAITE"/>
    <s v="SA"/>
    <n v="25.76"/>
    <d v="2025-12-31T00:00:00"/>
    <s v="CONTRIBUTION D'EQUILIBRE TECHNIQUE TU2"/>
    <m/>
    <e v="#N/A"/>
    <e v="#N/A"/>
    <n v="92858"/>
    <s v="SA202512"/>
    <m/>
    <s v="Q4"/>
    <e v="#REF!"/>
    <e v="#REF!"/>
    <e v="#REF!"/>
  </r>
  <r>
    <s v="645300"/>
    <x v="6"/>
    <s v="COTISATIONS AUX CAISSES DE RETRAITE"/>
    <s v="SA"/>
    <n v="25.87"/>
    <d v="2025-03-31T00:00:00"/>
    <s v="CONTRIBUTION D'EQUILIBRE TECHNIQUE TU2"/>
    <m/>
    <e v="#N/A"/>
    <e v="#N/A"/>
    <n v="80625"/>
    <s v="SA202503"/>
    <m/>
    <s v="Q1"/>
    <e v="#REF!"/>
    <e v="#REF!"/>
    <e v="#REF!"/>
  </r>
  <r>
    <s v="645300"/>
    <x v="6"/>
    <s v="COTISATIONS AUX CAISSES DE RETRAITE"/>
    <s v="SA"/>
    <n v="26.13"/>
    <d v="2025-11-30T00:00:00"/>
    <s v="CONTRIBUTION D'EQUILIBRE TECHNIQUE TU2"/>
    <m/>
    <e v="#N/A"/>
    <e v="#N/A"/>
    <n v="92395"/>
    <s v="SA202511"/>
    <m/>
    <s v="Q4"/>
    <e v="#REF!"/>
    <e v="#REF!"/>
    <e v="#REF!"/>
  </r>
  <r>
    <s v="631200"/>
    <x v="6"/>
    <s v="TAXE D'APPRENTISSAGE"/>
    <s v="SA"/>
    <n v="85.27"/>
    <d v="2025-10-31T00:00:00"/>
    <s v="TAXE D'APPRENTISSAGE"/>
    <m/>
    <e v="#N/A"/>
    <e v="#N/A"/>
    <n v="87783"/>
    <s v="SA202510"/>
    <m/>
    <s v="Q4"/>
    <e v="#REF!"/>
    <e v="#REF!"/>
    <e v="#REF!"/>
  </r>
  <r>
    <s v="645300"/>
    <x v="6"/>
    <s v="COTISATIONS AUX CAISSES DE RETRAITE"/>
    <s v="SA"/>
    <n v="26.35"/>
    <d v="2025-08-31T00:00:00"/>
    <s v="CONTRIBUTION D'EQUILIBRE TECHNIQUE TU2"/>
    <m/>
    <e v="#N/A"/>
    <e v="#N/A"/>
    <n v="84048"/>
    <s v="SA202508"/>
    <m/>
    <s v="Q3"/>
    <e v="#REF!"/>
    <e v="#REF!"/>
    <e v="#REF!"/>
  </r>
  <r>
    <s v="645300"/>
    <x v="6"/>
    <s v="COTISATIONS AUX CAISSES DE RETRAITE"/>
    <s v="SA"/>
    <n v="26.43"/>
    <d v="2025-07-31T00:00:00"/>
    <s v="CONTRIBUTION D'EQUILIBRE TECHNIQUE TU2"/>
    <m/>
    <e v="#N/A"/>
    <e v="#N/A"/>
    <n v="79925"/>
    <s v="SA202507"/>
    <m/>
    <s v="Q3"/>
    <e v="#REF!"/>
    <e v="#REF!"/>
    <e v="#REF!"/>
  </r>
  <r>
    <s v="645300"/>
    <x v="6"/>
    <s v="COTISATIONS AUX CAISSES DE RETRAITE"/>
    <s v="SA"/>
    <n v="27.14"/>
    <d v="2025-08-31T00:00:00"/>
    <s v="CONTRIBUTION D'EQUILIBRE TECHNIQUE TU2"/>
    <m/>
    <e v="#N/A"/>
    <e v="#N/A"/>
    <n v="84057"/>
    <s v="SA202508"/>
    <m/>
    <s v="Q3"/>
    <e v="#REF!"/>
    <e v="#REF!"/>
    <e v="#REF!"/>
  </r>
  <r>
    <s v="645300"/>
    <x v="6"/>
    <s v="COTISATIONS AUX CAISSES DE RETRAITE"/>
    <s v="SA"/>
    <n v="27.22"/>
    <d v="2025-05-31T00:00:00"/>
    <s v="CONTRIBUTION D'EQUILIBRE TECHNIQUE TU2"/>
    <m/>
    <e v="#N/A"/>
    <e v="#N/A"/>
    <n v="80273"/>
    <s v="SA202505"/>
    <m/>
    <s v="Q2"/>
    <e v="#REF!"/>
    <e v="#REF!"/>
    <e v="#REF!"/>
  </r>
  <r>
    <s v="645300"/>
    <x v="6"/>
    <s v="COTISATIONS AUX CAISSES DE RETRAITE"/>
    <s v="SA"/>
    <n v="29.13"/>
    <d v="2025-03-31T00:00:00"/>
    <s v="CONTRIBUTION D'EQUILIBRE TECHNIQUE TU2"/>
    <m/>
    <e v="#N/A"/>
    <e v="#N/A"/>
    <n v="80608"/>
    <s v="SA202503"/>
    <m/>
    <s v="Q1"/>
    <e v="#REF!"/>
    <e v="#REF!"/>
    <e v="#REF!"/>
  </r>
  <r>
    <s v="631200"/>
    <x v="6"/>
    <s v="TAXE D'APPRENTISSAGE"/>
    <s v="SA"/>
    <n v="127.42"/>
    <d v="2025-02-28T00:00:00"/>
    <s v="TAXE D'APPRENTISSAGE"/>
    <m/>
    <e v="#N/A"/>
    <e v="#N/A"/>
    <n v="85211"/>
    <s v="SA202502"/>
    <m/>
    <s v="Q1"/>
    <e v="#REF!"/>
    <e v="#REF!"/>
    <e v="#REF!"/>
  </r>
  <r>
    <s v="645300"/>
    <x v="6"/>
    <s v="COTISATIONS AUX CAISSES DE RETRAITE"/>
    <s v="SA"/>
    <n v="29.13"/>
    <d v="2025-04-30T00:00:00"/>
    <s v="CONTRIBUTION D'EQUILIBRE TECHNIQUE TU2"/>
    <m/>
    <e v="#N/A"/>
    <e v="#N/A"/>
    <n v="80435"/>
    <s v="SA202504"/>
    <m/>
    <s v="Q2"/>
    <e v="#REF!"/>
    <e v="#REF!"/>
    <e v="#REF!"/>
  </r>
  <r>
    <s v="631200"/>
    <x v="6"/>
    <s v="TAXE D'APPRENTISSAGE"/>
    <s v="SA"/>
    <n v="172.44"/>
    <d v="2025-03-31T00:00:00"/>
    <s v="TAXE D'APPRENTISSAGE"/>
    <m/>
    <e v="#N/A"/>
    <e v="#N/A"/>
    <n v="80501"/>
    <s v="SA202503"/>
    <m/>
    <s v="Q1"/>
    <e v="#REF!"/>
    <e v="#REF!"/>
    <e v="#REF!"/>
  </r>
  <r>
    <s v="631200"/>
    <x v="6"/>
    <s v="TAXE D'APPRENTISSAGE"/>
    <s v="SA"/>
    <n v="172.44"/>
    <d v="2025-04-30T00:00:00"/>
    <s v="TAXE D'APPRENTISSAGE"/>
    <m/>
    <e v="#N/A"/>
    <e v="#N/A"/>
    <n v="80331"/>
    <s v="SA202504"/>
    <m/>
    <s v="Q2"/>
    <e v="#REF!"/>
    <e v="#REF!"/>
    <e v="#REF!"/>
  </r>
  <r>
    <s v="631200"/>
    <x v="6"/>
    <s v="TAXE D'APPRENTISSAGE"/>
    <s v="SA"/>
    <n v="177.44"/>
    <d v="2025-05-31T00:00:00"/>
    <s v="TAXE D'APPRENTISSAGE"/>
    <m/>
    <e v="#N/A"/>
    <e v="#N/A"/>
    <n v="80161"/>
    <s v="SA202505"/>
    <m/>
    <s v="Q2"/>
    <e v="#REF!"/>
    <e v="#REF!"/>
    <e v="#REF!"/>
  </r>
  <r>
    <s v="631200"/>
    <x v="6"/>
    <s v="TAXE D'APPRENTISSAGE"/>
    <s v="SA"/>
    <n v="182.54"/>
    <d v="2025-07-31T00:00:00"/>
    <s v="TAXE D'APPRENTISSAGE"/>
    <m/>
    <e v="#N/A"/>
    <e v="#N/A"/>
    <n v="79818"/>
    <s v="SA202507"/>
    <m/>
    <s v="Q3"/>
    <e v="#REF!"/>
    <e v="#REF!"/>
    <e v="#REF!"/>
  </r>
  <r>
    <s v="631200"/>
    <x v="6"/>
    <s v="TAXE D'APPRENTISSAGE"/>
    <s v="SA"/>
    <n v="183.37"/>
    <d v="2025-09-30T00:00:00"/>
    <s v="TAXE D'APPRENTISSAGE"/>
    <m/>
    <e v="#N/A"/>
    <e v="#N/A"/>
    <n v="84112"/>
    <s v="SA202509"/>
    <m/>
    <s v="Q3"/>
    <e v="#REF!"/>
    <e v="#REF!"/>
    <e v="#REF!"/>
  </r>
  <r>
    <s v="631200"/>
    <x v="6"/>
    <s v="TAXE D'APPRENTISSAGE"/>
    <s v="SA"/>
    <n v="190.63"/>
    <d v="2025-10-31T00:00:00"/>
    <s v="TAXE D'APPRENTISSAGE"/>
    <m/>
    <e v="#N/A"/>
    <e v="#N/A"/>
    <n v="87777"/>
    <s v="SA202510"/>
    <m/>
    <s v="Q4"/>
    <e v="#REF!"/>
    <e v="#REF!"/>
    <e v="#REF!"/>
  </r>
  <r>
    <s v="631200"/>
    <x v="6"/>
    <s v="TAXE D'APPRENTISSAGE"/>
    <s v="SA"/>
    <n v="190.92"/>
    <d v="2025-11-30T00:00:00"/>
    <s v="TAXE D'APPRENTISSAGE"/>
    <m/>
    <e v="#N/A"/>
    <e v="#N/A"/>
    <n v="92286"/>
    <s v="SA202511"/>
    <m/>
    <s v="Q4"/>
    <e v="#REF!"/>
    <e v="#REF!"/>
    <e v="#REF!"/>
  </r>
  <r>
    <s v="631200"/>
    <x v="6"/>
    <s v="TAXE D'APPRENTISSAGE"/>
    <s v="SA"/>
    <n v="191.71"/>
    <d v="2025-12-31T00:00:00"/>
    <s v="TAXE D'APPRENTISSAGE"/>
    <m/>
    <e v="#N/A"/>
    <e v="#N/A"/>
    <n v="92745"/>
    <s v="SA202512"/>
    <m/>
    <s v="Q4"/>
    <e v="#REF!"/>
    <e v="#REF!"/>
    <e v="#REF!"/>
  </r>
  <r>
    <s v="631200"/>
    <x v="6"/>
    <s v="TAXE D'APPRENTISSAGE"/>
    <s v="SA"/>
    <n v="197.4"/>
    <d v="2025-08-31T00:00:00"/>
    <s v="TAXE D'APPRENTISSAGE"/>
    <m/>
    <e v="#N/A"/>
    <e v="#N/A"/>
    <n v="83937"/>
    <s v="SA202508"/>
    <m/>
    <s v="Q3"/>
    <e v="#REF!"/>
    <e v="#REF!"/>
    <e v="#REF!"/>
  </r>
  <r>
    <s v="631200"/>
    <x v="6"/>
    <s v="TAXE D'APPRENTISSAGE"/>
    <s v="SA"/>
    <n v="211.95"/>
    <d v="2025-06-30T00:00:00"/>
    <s v="TAXE D'APPRENTISSAGE"/>
    <m/>
    <e v="#N/A"/>
    <e v="#N/A"/>
    <n v="79992"/>
    <s v="SA202506"/>
    <m/>
    <s v="Q2"/>
    <e v="#REF!"/>
    <e v="#REF!"/>
    <e v="#REF!"/>
  </r>
  <r>
    <s v="631200"/>
    <x v="6"/>
    <s v="TAXE D'APPRENTISSAGE"/>
    <s v="SA"/>
    <n v="220.27"/>
    <d v="2025-01-31T00:00:00"/>
    <s v="TAXE D'APPRENTISSAGE"/>
    <m/>
    <e v="#N/A"/>
    <e v="#N/A"/>
    <n v="85393"/>
    <s v="SA202501"/>
    <m/>
    <s v="Q1"/>
    <e v="#REF!"/>
    <e v="#REF!"/>
    <e v="#REF!"/>
  </r>
  <r>
    <s v="631200"/>
    <x v="6"/>
    <s v="TAXE D'APPRENTISSAGE"/>
    <s v="SA"/>
    <n v="248.61"/>
    <d v="2025-01-31T00:00:00"/>
    <s v="TAXE D'APPRENTISSAGE"/>
    <m/>
    <e v="#N/A"/>
    <e v="#N/A"/>
    <n v="85395"/>
    <s v="SA202501"/>
    <m/>
    <s v="Q1"/>
    <e v="#REF!"/>
    <e v="#REF!"/>
    <e v="#REF!"/>
  </r>
  <r>
    <s v="631200"/>
    <x v="6"/>
    <s v="TAXE D'APPRENTISSAGE"/>
    <s v="SA"/>
    <n v="255.67"/>
    <d v="2025-10-31T00:00:00"/>
    <s v="TAXE D'APPRENTISSAGE"/>
    <m/>
    <e v="#N/A"/>
    <e v="#N/A"/>
    <n v="87779"/>
    <s v="SA202510"/>
    <m/>
    <s v="Q4"/>
    <e v="#REF!"/>
    <e v="#REF!"/>
    <e v="#REF!"/>
  </r>
  <r>
    <s v="631200"/>
    <x v="6"/>
    <s v="TAXE D'APPRENTISSAGE"/>
    <s v="SA"/>
    <n v="255.67"/>
    <d v="2025-12-31T00:00:00"/>
    <s v="TAXE D'APPRENTISSAGE"/>
    <m/>
    <e v="#N/A"/>
    <e v="#N/A"/>
    <n v="92747"/>
    <s v="SA202512"/>
    <m/>
    <s v="Q4"/>
    <e v="#REF!"/>
    <e v="#REF!"/>
    <e v="#REF!"/>
  </r>
  <r>
    <s v="631200"/>
    <x v="6"/>
    <s v="TAXE D'APPRENTISSAGE"/>
    <s v="SA"/>
    <n v="256.67"/>
    <d v="2025-11-30T00:00:00"/>
    <s v="TAXE D'APPRENTISSAGE"/>
    <m/>
    <e v="#N/A"/>
    <e v="#N/A"/>
    <n v="92288"/>
    <s v="SA202511"/>
    <m/>
    <s v="Q4"/>
    <e v="#REF!"/>
    <e v="#REF!"/>
    <e v="#REF!"/>
  </r>
  <r>
    <s v="631200"/>
    <x v="6"/>
    <s v="TAXE D'APPRENTISSAGE"/>
    <s v="SA"/>
    <n v="265.95999999999998"/>
    <d v="2025-08-31T00:00:00"/>
    <s v="TAXE D'APPRENTISSAGE"/>
    <m/>
    <e v="#N/A"/>
    <e v="#N/A"/>
    <n v="83939"/>
    <s v="SA202508"/>
    <m/>
    <s v="Q3"/>
    <e v="#REF!"/>
    <e v="#REF!"/>
    <e v="#REF!"/>
  </r>
  <r>
    <s v="631200"/>
    <x v="6"/>
    <s v="TAXE D'APPRENTISSAGE"/>
    <s v="SA"/>
    <n v="267.44"/>
    <d v="2025-07-31T00:00:00"/>
    <s v="TAXE D'APPRENTISSAGE"/>
    <m/>
    <e v="#N/A"/>
    <e v="#N/A"/>
    <n v="79820"/>
    <s v="SA202507"/>
    <m/>
    <s v="Q3"/>
    <e v="#REF!"/>
    <e v="#REF!"/>
    <e v="#REF!"/>
  </r>
  <r>
    <s v="631200"/>
    <x v="6"/>
    <s v="TAXE D'APPRENTISSAGE"/>
    <s v="SA"/>
    <n v="285.02"/>
    <d v="2025-09-30T00:00:00"/>
    <s v="TAXE D'APPRENTISSAGE"/>
    <m/>
    <e v="#N/A"/>
    <e v="#N/A"/>
    <n v="84114"/>
    <s v="SA202509"/>
    <m/>
    <s v="Q3"/>
    <e v="#REF!"/>
    <e v="#REF!"/>
    <e v="#REF!"/>
  </r>
  <r>
    <s v="631200"/>
    <x v="6"/>
    <s v="TAXE D'APPRENTISSAGE"/>
    <s v="SA"/>
    <n v="295.63"/>
    <d v="2025-05-31T00:00:00"/>
    <s v="TAXE D'APPRENTISSAGE"/>
    <m/>
    <e v="#N/A"/>
    <e v="#N/A"/>
    <n v="80163"/>
    <s v="SA202505"/>
    <m/>
    <s v="Q2"/>
    <e v="#REF!"/>
    <e v="#REF!"/>
    <e v="#REF!"/>
  </r>
  <r>
    <s v="631200"/>
    <x v="6"/>
    <s v="TAXE D'APPRENTISSAGE"/>
    <s v="SA"/>
    <n v="297.33999999999997"/>
    <d v="2025-03-31T00:00:00"/>
    <s v="TAXE D'APPRENTISSAGE"/>
    <m/>
    <e v="#N/A"/>
    <e v="#N/A"/>
    <n v="80503"/>
    <s v="SA202503"/>
    <m/>
    <s v="Q1"/>
    <e v="#REF!"/>
    <e v="#REF!"/>
    <e v="#REF!"/>
  </r>
  <r>
    <s v="631200"/>
    <x v="6"/>
    <s v="TAXE D'APPRENTISSAGE"/>
    <s v="SA"/>
    <n v="304.45"/>
    <d v="2025-04-30T00:00:00"/>
    <s v="TAXE D'APPRENTISSAGE"/>
    <m/>
    <e v="#N/A"/>
    <e v="#N/A"/>
    <n v="80333"/>
    <s v="SA202504"/>
    <m/>
    <s v="Q2"/>
    <e v="#REF!"/>
    <e v="#REF!"/>
    <e v="#REF!"/>
  </r>
  <r>
    <s v="631200"/>
    <x v="6"/>
    <s v="TAXE D'APPRENTISSAGE"/>
    <s v="SA"/>
    <n v="307.8"/>
    <d v="2025-06-30T00:00:00"/>
    <s v="TAXE D'APPRENTISSAGE"/>
    <m/>
    <e v="#N/A"/>
    <e v="#N/A"/>
    <n v="79994"/>
    <s v="SA202506"/>
    <m/>
    <s v="Q2"/>
    <e v="#REF!"/>
    <e v="#REF!"/>
    <e v="#REF!"/>
  </r>
  <r>
    <s v="631200"/>
    <x v="6"/>
    <s v="TAXE D'APPRENTISSAGE"/>
    <s v="SA"/>
    <n v="478.69"/>
    <d v="2025-02-28T00:00:00"/>
    <s v="TAXE D'APPRENTISSAGE"/>
    <m/>
    <e v="#N/A"/>
    <e v="#N/A"/>
    <n v="85207"/>
    <s v="SA202502"/>
    <m/>
    <s v="Q1"/>
    <e v="#REF!"/>
    <e v="#REF!"/>
    <e v="#REF!"/>
  </r>
  <r>
    <s v="631200"/>
    <x v="6"/>
    <s v="TAXE D'APPRENTISSAGE"/>
    <s v="SA"/>
    <n v="534.42999999999995"/>
    <d v="2025-02-28T00:00:00"/>
    <s v="TAXE D'APPRENTISSAGE"/>
    <m/>
    <e v="#N/A"/>
    <e v="#N/A"/>
    <n v="85205"/>
    <s v="SA202502"/>
    <m/>
    <s v="Q1"/>
    <e v="#REF!"/>
    <e v="#REF!"/>
    <e v="#REF!"/>
  </r>
  <r>
    <s v="631200"/>
    <x v="6"/>
    <s v="TAXE D'APPRENTISSAGE"/>
    <s v="SA"/>
    <n v="539.71"/>
    <d v="2025-12-31T00:00:00"/>
    <s v="TAXE D'APPRENTISSAGE"/>
    <m/>
    <e v="#N/A"/>
    <e v="#N/A"/>
    <n v="92749"/>
    <s v="SA202512"/>
    <m/>
    <s v="Q4"/>
    <e v="#REF!"/>
    <e v="#REF!"/>
    <e v="#REF!"/>
  </r>
  <r>
    <s v="631200"/>
    <x v="6"/>
    <s v="TAXE D'APPRENTISSAGE"/>
    <s v="SA"/>
    <n v="541.22"/>
    <d v="2025-06-30T00:00:00"/>
    <s v="TAXE D'APPRENTISSAGE"/>
    <m/>
    <e v="#N/A"/>
    <e v="#N/A"/>
    <n v="79996"/>
    <s v="SA202506"/>
    <m/>
    <s v="Q2"/>
    <e v="#REF!"/>
    <e v="#REF!"/>
    <e v="#REF!"/>
  </r>
  <r>
    <s v="631200"/>
    <x v="6"/>
    <s v="TAXE D'APPRENTISSAGE"/>
    <s v="SA"/>
    <n v="542.78"/>
    <d v="2025-08-31T00:00:00"/>
    <s v="TAXE D'APPRENTISSAGE"/>
    <m/>
    <e v="#N/A"/>
    <e v="#N/A"/>
    <n v="83941"/>
    <s v="SA202508"/>
    <m/>
    <s v="Q3"/>
    <e v="#REF!"/>
    <e v="#REF!"/>
    <e v="#REF!"/>
  </r>
  <r>
    <s v="631200"/>
    <x v="6"/>
    <s v="TAXE D'APPRENTISSAGE"/>
    <s v="SA"/>
    <n v="546.47"/>
    <d v="2025-05-31T00:00:00"/>
    <s v="TAXE D'APPRENTISSAGE"/>
    <m/>
    <e v="#N/A"/>
    <e v="#N/A"/>
    <n v="80165"/>
    <s v="SA202505"/>
    <m/>
    <s v="Q2"/>
    <e v="#REF!"/>
    <e v="#REF!"/>
    <e v="#REF!"/>
  </r>
  <r>
    <s v="631200"/>
    <x v="6"/>
    <s v="TAXE D'APPRENTISSAGE"/>
    <s v="SA"/>
    <n v="550.03"/>
    <d v="2025-04-30T00:00:00"/>
    <s v="TAXE D'APPRENTISSAGE"/>
    <m/>
    <e v="#N/A"/>
    <e v="#N/A"/>
    <n v="80335"/>
    <s v="SA202504"/>
    <m/>
    <s v="Q2"/>
    <e v="#REF!"/>
    <e v="#REF!"/>
    <e v="#REF!"/>
  </r>
  <r>
    <s v="631200"/>
    <x v="6"/>
    <s v="TAXE D'APPRENTISSAGE"/>
    <s v="SA"/>
    <n v="550.69000000000005"/>
    <d v="2025-10-31T00:00:00"/>
    <s v="TAXE D'APPRENTISSAGE"/>
    <m/>
    <e v="#N/A"/>
    <e v="#N/A"/>
    <n v="87781"/>
    <s v="SA202510"/>
    <m/>
    <s v="Q4"/>
    <e v="#REF!"/>
    <e v="#REF!"/>
    <e v="#REF!"/>
  </r>
  <r>
    <s v="631200"/>
    <x v="6"/>
    <s v="TAXE D'APPRENTISSAGE"/>
    <s v="SA"/>
    <n v="560.26"/>
    <d v="2025-11-30T00:00:00"/>
    <s v="TAXE D'APPRENTISSAGE"/>
    <m/>
    <e v="#N/A"/>
    <e v="#N/A"/>
    <n v="92290"/>
    <s v="SA202511"/>
    <m/>
    <s v="Q4"/>
    <e v="#REF!"/>
    <e v="#REF!"/>
    <e v="#REF!"/>
  </r>
  <r>
    <s v="631200"/>
    <x v="6"/>
    <s v="TAXE D'APPRENTISSAGE"/>
    <s v="SA"/>
    <n v="569.34"/>
    <d v="2025-03-31T00:00:00"/>
    <s v="TAXE D'APPRENTISSAGE"/>
    <m/>
    <e v="#N/A"/>
    <e v="#N/A"/>
    <n v="80505"/>
    <s v="SA202503"/>
    <m/>
    <s v="Q1"/>
    <e v="#REF!"/>
    <e v="#REF!"/>
    <e v="#REF!"/>
  </r>
  <r>
    <s v="631200"/>
    <x v="6"/>
    <s v="TAXE D'APPRENTISSAGE"/>
    <s v="SA"/>
    <n v="571.36"/>
    <d v="2025-01-31T00:00:00"/>
    <s v="TAXE D'APPRENTISSAGE"/>
    <m/>
    <e v="#N/A"/>
    <e v="#N/A"/>
    <n v="85397"/>
    <s v="SA202501"/>
    <m/>
    <s v="Q1"/>
    <e v="#REF!"/>
    <e v="#REF!"/>
    <e v="#REF!"/>
  </r>
  <r>
    <s v="631200"/>
    <x v="6"/>
    <s v="TAXE D'APPRENTISSAGE"/>
    <s v="SA"/>
    <n v="580.17999999999995"/>
    <d v="2025-09-30T00:00:00"/>
    <s v="TAXE D'APPRENTISSAGE"/>
    <m/>
    <e v="#N/A"/>
    <e v="#N/A"/>
    <n v="84116"/>
    <s v="SA202509"/>
    <m/>
    <s v="Q3"/>
    <e v="#REF!"/>
    <e v="#REF!"/>
    <e v="#REF!"/>
  </r>
  <r>
    <s v="631200"/>
    <x v="6"/>
    <s v="TAXE D'APPRENTISSAGE"/>
    <s v="SA"/>
    <n v="581.44000000000005"/>
    <d v="2025-07-31T00:00:00"/>
    <s v="TAXE D'APPRENTISSAGE"/>
    <m/>
    <e v="#N/A"/>
    <e v="#N/A"/>
    <n v="79822"/>
    <s v="SA202507"/>
    <m/>
    <s v="Q3"/>
    <e v="#REF!"/>
    <e v="#REF!"/>
    <e v="#REF!"/>
  </r>
  <r>
    <s v="631200"/>
    <x v="6"/>
    <s v="TAXE D'APPRENTISSAGE"/>
    <s v="SA"/>
    <n v="1010.23"/>
    <d v="2025-02-28T00:00:00"/>
    <s v="TAXE D'APPRENTISSAGE"/>
    <m/>
    <e v="#N/A"/>
    <e v="#N/A"/>
    <n v="85209"/>
    <s v="SA202502"/>
    <m/>
    <s v="Q1"/>
    <e v="#REF!"/>
    <e v="#REF!"/>
    <e v="#REF!"/>
  </r>
  <r>
    <s v="633300"/>
    <x v="6"/>
    <s v="FORMATION CONTINUE"/>
    <s v="SA"/>
    <n v="9.92"/>
    <d v="2025-04-30T00:00:00"/>
    <s v="CONTRIBUTION CPF-CDD"/>
    <m/>
    <e v="#N/A"/>
    <e v="#N/A"/>
    <n v="80342"/>
    <s v="SA202504"/>
    <m/>
    <s v="Q2"/>
    <e v="#REF!"/>
    <e v="#REF!"/>
    <e v="#REF!"/>
  </r>
  <r>
    <s v="633300"/>
    <x v="6"/>
    <s v="FORMATION CONTINUE"/>
    <s v="SA"/>
    <n v="16.97"/>
    <d v="2025-05-31T00:00:00"/>
    <s v="CONTRIBUTION CPF-CDD"/>
    <m/>
    <e v="#N/A"/>
    <e v="#N/A"/>
    <n v="80170"/>
    <s v="SA202505"/>
    <m/>
    <s v="Q2"/>
    <e v="#REF!"/>
    <e v="#REF!"/>
    <e v="#REF!"/>
  </r>
  <r>
    <s v="633300"/>
    <x v="6"/>
    <s v="FORMATION CONTINUE"/>
    <s v="SA"/>
    <n v="26.87"/>
    <d v="2025-05-31T00:00:00"/>
    <s v="CONTRIBUTION CPF-CDD"/>
    <m/>
    <e v="#N/A"/>
    <e v="#N/A"/>
    <n v="80172"/>
    <s v="SA202505"/>
    <m/>
    <s v="Q2"/>
    <e v="#REF!"/>
    <e v="#REF!"/>
    <e v="#REF!"/>
  </r>
  <r>
    <s v="633300"/>
    <x v="6"/>
    <s v="FORMATION CONTINUE"/>
    <s v="SA"/>
    <n v="28.41"/>
    <d v="2025-08-31T00:00:00"/>
    <s v="CONTRIBUTION CPF-CDD"/>
    <m/>
    <e v="#N/A"/>
    <e v="#N/A"/>
    <n v="83947"/>
    <s v="SA202508"/>
    <m/>
    <s v="Q3"/>
    <e v="#REF!"/>
    <e v="#REF!"/>
    <e v="#REF!"/>
  </r>
  <r>
    <s v="633300"/>
    <x v="6"/>
    <s v="FORMATION CONTINUE"/>
    <s v="SA"/>
    <n v="28.41"/>
    <d v="2025-10-31T00:00:00"/>
    <s v="CONTRIBUTION CPF-CDD"/>
    <m/>
    <e v="#N/A"/>
    <e v="#N/A"/>
    <n v="87787"/>
    <s v="SA202510"/>
    <m/>
    <s v="Q4"/>
    <e v="#REF!"/>
    <e v="#REF!"/>
    <e v="#REF!"/>
  </r>
  <r>
    <s v="633300"/>
    <x v="6"/>
    <s v="FORMATION CONTINUE"/>
    <s v="SA"/>
    <n v="28.41"/>
    <d v="2025-11-30T00:00:00"/>
    <s v="CONTRIBUTION CPF-CDD"/>
    <m/>
    <e v="#N/A"/>
    <e v="#N/A"/>
    <n v="92296"/>
    <s v="SA202511"/>
    <m/>
    <s v="Q4"/>
    <e v="#REF!"/>
    <e v="#REF!"/>
    <e v="#REF!"/>
  </r>
  <r>
    <s v="633300"/>
    <x v="6"/>
    <s v="FORMATION CONTINUE"/>
    <s v="SA"/>
    <n v="28.41"/>
    <d v="2025-12-31T00:00:00"/>
    <s v="CONTRIBUTION CPF-CDD"/>
    <m/>
    <e v="#N/A"/>
    <e v="#N/A"/>
    <n v="92755"/>
    <s v="SA202512"/>
    <m/>
    <s v="Q4"/>
    <e v="#REF!"/>
    <e v="#REF!"/>
    <e v="#REF!"/>
  </r>
  <r>
    <s v="633300"/>
    <x v="6"/>
    <s v="FORMATION CONTINUE"/>
    <s v="SA"/>
    <n v="41.3"/>
    <d v="2025-06-30T00:00:00"/>
    <s v="CONTRIBUTION CPF-CDD"/>
    <m/>
    <e v="#N/A"/>
    <e v="#N/A"/>
    <n v="80002"/>
    <s v="SA202506"/>
    <m/>
    <s v="Q2"/>
    <e v="#REF!"/>
    <e v="#REF!"/>
    <e v="#REF!"/>
  </r>
  <r>
    <s v="633300"/>
    <x v="6"/>
    <s v="FORMATION CONTINUE"/>
    <s v="SA"/>
    <n v="42.26"/>
    <d v="2025-01-31T00:00:00"/>
    <s v="CONTRIBUTION CPF-CDD"/>
    <m/>
    <e v="#N/A"/>
    <e v="#N/A"/>
    <n v="85402"/>
    <s v="SA202501"/>
    <m/>
    <s v="Q1"/>
    <e v="#REF!"/>
    <e v="#REF!"/>
    <e v="#REF!"/>
  </r>
  <r>
    <s v="633300"/>
    <x v="6"/>
    <s v="FORMATION CONTINUE"/>
    <s v="SA"/>
    <n v="45.96"/>
    <d v="2025-03-31T00:00:00"/>
    <s v="CONTRIBUTION CPF-CDD"/>
    <m/>
    <e v="#N/A"/>
    <e v="#N/A"/>
    <n v="80510"/>
    <s v="SA202503"/>
    <m/>
    <s v="Q1"/>
    <e v="#REF!"/>
    <e v="#REF!"/>
    <e v="#REF!"/>
  </r>
  <r>
    <s v="633300"/>
    <x v="6"/>
    <s v="FORMATION CONTINUE"/>
    <s v="SA"/>
    <n v="45.96"/>
    <d v="2025-04-30T00:00:00"/>
    <s v="CONTRIBUTION CPF-CDD"/>
    <m/>
    <e v="#N/A"/>
    <e v="#N/A"/>
    <n v="80340"/>
    <s v="SA202504"/>
    <m/>
    <s v="Q2"/>
    <e v="#REF!"/>
    <e v="#REF!"/>
    <e v="#REF!"/>
  </r>
  <r>
    <s v="633300"/>
    <x v="6"/>
    <s v="FORMATION CONTINUE"/>
    <s v="SA"/>
    <n v="62.41"/>
    <d v="2025-09-30T00:00:00"/>
    <s v="CONTRIBUTION CPF-CDD"/>
    <m/>
    <e v="#N/A"/>
    <e v="#N/A"/>
    <n v="84122"/>
    <s v="SA202509"/>
    <m/>
    <s v="Q3"/>
    <e v="#REF!"/>
    <e v="#REF!"/>
    <e v="#REF!"/>
  </r>
  <r>
    <s v="633300"/>
    <x v="6"/>
    <s v="FORMATION CONTINUE"/>
    <s v="SA"/>
    <n v="67.099999999999994"/>
    <d v="2025-02-28T00:00:00"/>
    <s v="CONTRIBUTION CPF-CDD"/>
    <m/>
    <e v="#N/A"/>
    <e v="#N/A"/>
    <n v="85214"/>
    <s v="SA202502"/>
    <m/>
    <s v="Q1"/>
    <e v="#REF!"/>
    <e v="#REF!"/>
    <e v="#REF!"/>
  </r>
  <r>
    <s v="633300"/>
    <x v="6"/>
    <s v="FORMATION CONTINUE"/>
    <s v="SA"/>
    <n v="68.349999999999994"/>
    <d v="2025-01-31T00:00:00"/>
    <s v="CONTRIBUTION FORMATION PROF. (LÉGAL)"/>
    <m/>
    <e v="#N/A"/>
    <e v="#N/A"/>
    <n v="85406"/>
    <s v="SA202501"/>
    <m/>
    <s v="Q1"/>
    <e v="#REF!"/>
    <e v="#REF!"/>
    <e v="#REF!"/>
  </r>
  <r>
    <s v="633300"/>
    <x v="6"/>
    <s v="FORMATION CONTINUE"/>
    <s v="SA"/>
    <n v="69.760000000000005"/>
    <d v="2025-03-31T00:00:00"/>
    <s v="CONTRIBUTION FORMATION PROF. (LÉGAL)"/>
    <m/>
    <e v="#N/A"/>
    <e v="#N/A"/>
    <n v="80514"/>
    <s v="SA202503"/>
    <m/>
    <s v="Q1"/>
    <e v="#REF!"/>
    <e v="#REF!"/>
    <e v="#REF!"/>
  </r>
  <r>
    <s v="633300"/>
    <x v="6"/>
    <s v="FORMATION CONTINUE"/>
    <s v="SA"/>
    <n v="69.760000000000005"/>
    <d v="2025-04-30T00:00:00"/>
    <s v="CONTRIBUTION FORMATION PROF. (LÉGAL)"/>
    <m/>
    <e v="#N/A"/>
    <e v="#N/A"/>
    <n v="80344"/>
    <s v="SA202504"/>
    <m/>
    <s v="Q2"/>
    <e v="#REF!"/>
    <e v="#REF!"/>
    <e v="#REF!"/>
  </r>
  <r>
    <s v="633300"/>
    <x v="6"/>
    <s v="FORMATION CONTINUE"/>
    <s v="SA"/>
    <n v="69.760000000000005"/>
    <d v="2025-06-30T00:00:00"/>
    <s v="CONTRIBUTION FORMATION PROF. (LÉGAL)"/>
    <m/>
    <e v="#N/A"/>
    <e v="#N/A"/>
    <n v="80004"/>
    <s v="SA202506"/>
    <m/>
    <s v="Q2"/>
    <e v="#REF!"/>
    <e v="#REF!"/>
    <e v="#REF!"/>
  </r>
  <r>
    <s v="633300"/>
    <x v="6"/>
    <s v="FORMATION CONTINUE"/>
    <s v="SA"/>
    <n v="69.760000000000005"/>
    <d v="2025-08-31T00:00:00"/>
    <s v="CONTRIBUTION FORMATION PROF. (LÉGAL)"/>
    <m/>
    <e v="#N/A"/>
    <e v="#N/A"/>
    <n v="83949"/>
    <s v="SA202508"/>
    <m/>
    <s v="Q3"/>
    <e v="#REF!"/>
    <e v="#REF!"/>
    <e v="#REF!"/>
  </r>
  <r>
    <s v="633300"/>
    <x v="6"/>
    <s v="FORMATION CONTINUE"/>
    <s v="SA"/>
    <n v="69.760000000000005"/>
    <d v="2025-11-30T00:00:00"/>
    <s v="CONTRIBUTION FORMATION PROF. (LÉGAL)"/>
    <m/>
    <e v="#N/A"/>
    <e v="#N/A"/>
    <n v="92298"/>
    <s v="SA202511"/>
    <m/>
    <s v="Q4"/>
    <e v="#REF!"/>
    <e v="#REF!"/>
    <e v="#REF!"/>
  </r>
  <r>
    <s v="633300"/>
    <x v="6"/>
    <s v="FORMATION CONTINUE"/>
    <s v="SA"/>
    <n v="69.78"/>
    <d v="2025-07-31T00:00:00"/>
    <s v="CONTRIBUTION FORMATION PROF. (LÉGAL)"/>
    <m/>
    <e v="#N/A"/>
    <e v="#N/A"/>
    <n v="79830"/>
    <s v="SA202507"/>
    <m/>
    <s v="Q3"/>
    <e v="#REF!"/>
    <e v="#REF!"/>
    <e v="#REF!"/>
  </r>
  <r>
    <s v="633300"/>
    <x v="6"/>
    <s v="FORMATION CONTINUE"/>
    <s v="SA"/>
    <n v="69.78"/>
    <d v="2025-12-31T00:00:00"/>
    <s v="CONTRIBUTION FORMATION PROF. (LÉGAL)"/>
    <m/>
    <e v="#N/A"/>
    <e v="#N/A"/>
    <n v="92757"/>
    <s v="SA202512"/>
    <m/>
    <s v="Q4"/>
    <e v="#REF!"/>
    <e v="#REF!"/>
    <e v="#REF!"/>
  </r>
  <r>
    <s v="633300"/>
    <x v="6"/>
    <s v="FORMATION CONTINUE"/>
    <s v="SA"/>
    <n v="69.790000000000006"/>
    <d v="2025-09-30T00:00:00"/>
    <s v="CONTRIBUTION FORMATION PROF. (LÉGAL)"/>
    <m/>
    <e v="#N/A"/>
    <e v="#N/A"/>
    <n v="84124"/>
    <s v="SA202509"/>
    <m/>
    <s v="Q3"/>
    <e v="#REF!"/>
    <e v="#REF!"/>
    <e v="#REF!"/>
  </r>
  <r>
    <s v="633300"/>
    <x v="6"/>
    <s v="FORMATION CONTINUE"/>
    <s v="SA"/>
    <n v="70.03"/>
    <d v="2025-05-31T00:00:00"/>
    <s v="CONTRIBUTION FORMATION PROF. (LÉGAL)"/>
    <m/>
    <e v="#N/A"/>
    <e v="#N/A"/>
    <n v="80174"/>
    <s v="SA202505"/>
    <m/>
    <s v="Q2"/>
    <e v="#REF!"/>
    <e v="#REF!"/>
    <e v="#REF!"/>
  </r>
  <r>
    <s v="633300"/>
    <x v="6"/>
    <s v="FORMATION CONTINUE"/>
    <s v="SA"/>
    <n v="70.430000000000007"/>
    <d v="2025-03-31T00:00:00"/>
    <s v="CONTRIBUTION CPF-CDD"/>
    <m/>
    <e v="#N/A"/>
    <e v="#N/A"/>
    <n v="80512"/>
    <s v="SA202503"/>
    <m/>
    <s v="Q1"/>
    <e v="#REF!"/>
    <e v="#REF!"/>
    <e v="#REF!"/>
  </r>
  <r>
    <s v="633300"/>
    <x v="6"/>
    <s v="FORMATION CONTINUE"/>
    <s v="SA"/>
    <n v="79.489999999999995"/>
    <d v="2025-10-31T00:00:00"/>
    <s v="CONTRIBUTION FORMATION PROF. (LÉGAL)"/>
    <m/>
    <e v="#N/A"/>
    <e v="#N/A"/>
    <n v="87789"/>
    <s v="SA202510"/>
    <m/>
    <s v="Q4"/>
    <e v="#REF!"/>
    <e v="#REF!"/>
    <e v="#REF!"/>
  </r>
  <r>
    <s v="633300"/>
    <x v="6"/>
    <s v="FORMATION CONTINUE"/>
    <s v="SA"/>
    <n v="111.4"/>
    <d v="2025-07-31T00:00:00"/>
    <s v="CONTRIBUTION CPF-CDD"/>
    <m/>
    <e v="#N/A"/>
    <e v="#N/A"/>
    <n v="79828"/>
    <s v="SA202507"/>
    <m/>
    <s v="Q3"/>
    <e v="#REF!"/>
    <e v="#REF!"/>
    <e v="#REF!"/>
  </r>
  <r>
    <s v="633300"/>
    <x v="6"/>
    <s v="FORMATION CONTINUE"/>
    <s v="SA"/>
    <n v="118.77"/>
    <d v="2025-02-28T00:00:00"/>
    <s v="CONTRIBUTION FORMATION PROF. (LÉGAL)"/>
    <m/>
    <e v="#N/A"/>
    <e v="#N/A"/>
    <n v="85218"/>
    <s v="SA202502"/>
    <m/>
    <s v="Q1"/>
    <e v="#REF!"/>
    <e v="#REF!"/>
    <e v="#REF!"/>
  </r>
  <r>
    <s v="633300"/>
    <x v="6"/>
    <s v="FORMATION CONTINUE"/>
    <s v="SA"/>
    <n v="160.75"/>
    <d v="2025-03-31T00:00:00"/>
    <s v="CONTRIBUTION FORMATION PROF. (LÉGAL)"/>
    <m/>
    <e v="#N/A"/>
    <e v="#N/A"/>
    <n v="80509"/>
    <s v="SA202503"/>
    <m/>
    <s v="Q1"/>
    <e v="#REF!"/>
    <e v="#REF!"/>
    <e v="#REF!"/>
  </r>
  <r>
    <s v="633300"/>
    <x v="6"/>
    <s v="FORMATION CONTINUE"/>
    <s v="SA"/>
    <n v="160.75"/>
    <d v="2025-04-30T00:00:00"/>
    <s v="CONTRIBUTION FORMATION PROF. (LÉGAL)"/>
    <m/>
    <e v="#N/A"/>
    <e v="#N/A"/>
    <n v="80339"/>
    <s v="SA202504"/>
    <m/>
    <s v="Q2"/>
    <e v="#REF!"/>
    <e v="#REF!"/>
    <e v="#REF!"/>
  </r>
  <r>
    <s v="633300"/>
    <x v="6"/>
    <s v="FORMATION CONTINUE"/>
    <s v="SA"/>
    <n v="165.41"/>
    <d v="2025-05-31T00:00:00"/>
    <s v="CONTRIBUTION FORMATION PROF. (LÉGAL)"/>
    <m/>
    <e v="#N/A"/>
    <e v="#N/A"/>
    <n v="80169"/>
    <s v="SA202505"/>
    <m/>
    <s v="Q2"/>
    <e v="#REF!"/>
    <e v="#REF!"/>
    <e v="#REF!"/>
  </r>
  <r>
    <s v="633300"/>
    <x v="6"/>
    <s v="FORMATION CONTINUE"/>
    <s v="SA"/>
    <n v="170.17"/>
    <d v="2025-07-31T00:00:00"/>
    <s v="CONTRIBUTION FORMATION PROF. (LÉGAL)"/>
    <m/>
    <e v="#N/A"/>
    <e v="#N/A"/>
    <n v="79826"/>
    <s v="SA202507"/>
    <m/>
    <s v="Q3"/>
    <e v="#REF!"/>
    <e v="#REF!"/>
    <e v="#REF!"/>
  </r>
  <r>
    <s v="633300"/>
    <x v="6"/>
    <s v="FORMATION CONTINUE"/>
    <s v="SA"/>
    <n v="170.94"/>
    <d v="2025-09-30T00:00:00"/>
    <s v="CONTRIBUTION FORMATION PROF. (LÉGAL)"/>
    <m/>
    <e v="#N/A"/>
    <e v="#N/A"/>
    <n v="84120"/>
    <s v="SA202509"/>
    <m/>
    <s v="Q3"/>
    <e v="#REF!"/>
    <e v="#REF!"/>
    <e v="#REF!"/>
  </r>
  <r>
    <s v="633300"/>
    <x v="6"/>
    <s v="FORMATION CONTINUE"/>
    <s v="SA"/>
    <n v="172.11"/>
    <d v="2025-01-31T00:00:00"/>
    <s v="CONTRIBUTION CPF-CDD"/>
    <m/>
    <e v="#N/A"/>
    <e v="#N/A"/>
    <n v="85404"/>
    <s v="SA202501"/>
    <m/>
    <s v="Q1"/>
    <e v="#REF!"/>
    <e v="#REF!"/>
    <e v="#REF!"/>
  </r>
  <r>
    <s v="633300"/>
    <x v="6"/>
    <s v="FORMATION CONTINUE"/>
    <s v="SA"/>
    <n v="177.71"/>
    <d v="2025-10-31T00:00:00"/>
    <s v="CONTRIBUTION FORMATION PROF. (LÉGAL)"/>
    <m/>
    <e v="#N/A"/>
    <e v="#N/A"/>
    <n v="87785"/>
    <s v="SA202510"/>
    <m/>
    <s v="Q4"/>
    <e v="#REF!"/>
    <e v="#REF!"/>
    <e v="#REF!"/>
  </r>
  <r>
    <s v="633300"/>
    <x v="6"/>
    <s v="FORMATION CONTINUE"/>
    <s v="SA"/>
    <n v="177.98"/>
    <d v="2025-11-30T00:00:00"/>
    <s v="CONTRIBUTION FORMATION PROF. (LÉGAL)"/>
    <m/>
    <e v="#N/A"/>
    <e v="#N/A"/>
    <n v="92294"/>
    <s v="SA202511"/>
    <m/>
    <s v="Q4"/>
    <e v="#REF!"/>
    <e v="#REF!"/>
    <e v="#REF!"/>
  </r>
  <r>
    <s v="633300"/>
    <x v="6"/>
    <s v="FORMATION CONTINUE"/>
    <s v="SA"/>
    <n v="178.71"/>
    <d v="2025-12-31T00:00:00"/>
    <s v="CONTRIBUTION FORMATION PROF. (LÉGAL)"/>
    <m/>
    <e v="#N/A"/>
    <e v="#N/A"/>
    <n v="92753"/>
    <s v="SA202512"/>
    <m/>
    <s v="Q4"/>
    <e v="#REF!"/>
    <e v="#REF!"/>
    <e v="#REF!"/>
  </r>
  <r>
    <s v="633300"/>
    <x v="6"/>
    <s v="FORMATION CONTINUE"/>
    <s v="SA"/>
    <n v="184.01"/>
    <d v="2025-08-31T00:00:00"/>
    <s v="CONTRIBUTION FORMATION PROF. (LÉGAL)"/>
    <m/>
    <e v="#N/A"/>
    <e v="#N/A"/>
    <n v="83945"/>
    <s v="SA202508"/>
    <m/>
    <s v="Q3"/>
    <e v="#REF!"/>
    <e v="#REF!"/>
    <e v="#REF!"/>
  </r>
  <r>
    <s v="633300"/>
    <x v="6"/>
    <s v="FORMATION CONTINUE"/>
    <s v="SA"/>
    <n v="193.54"/>
    <d v="2025-02-28T00:00:00"/>
    <s v="CONTRIBUTION CPF-CDD"/>
    <m/>
    <e v="#N/A"/>
    <e v="#N/A"/>
    <n v="85216"/>
    <s v="SA202502"/>
    <m/>
    <s v="Q1"/>
    <e v="#REF!"/>
    <e v="#REF!"/>
    <e v="#REF!"/>
  </r>
  <r>
    <s v="633300"/>
    <x v="6"/>
    <s v="FORMATION CONTINUE"/>
    <s v="SA"/>
    <n v="197.59"/>
    <d v="2025-06-30T00:00:00"/>
    <s v="CONTRIBUTION FORMATION PROF. (LÉGAL)"/>
    <m/>
    <e v="#N/A"/>
    <e v="#N/A"/>
    <n v="80000"/>
    <s v="SA202506"/>
    <m/>
    <s v="Q2"/>
    <e v="#REF!"/>
    <e v="#REF!"/>
    <e v="#REF!"/>
  </r>
  <r>
    <s v="633300"/>
    <x v="6"/>
    <s v="FORMATION CONTINUE"/>
    <s v="SA"/>
    <n v="205.33"/>
    <d v="2025-01-31T00:00:00"/>
    <s v="CONTRIBUTION FORMATION PROF. (LÉGAL)"/>
    <m/>
    <e v="#N/A"/>
    <e v="#N/A"/>
    <n v="85401"/>
    <s v="SA202501"/>
    <m/>
    <s v="Q1"/>
    <e v="#REF!"/>
    <e v="#REF!"/>
    <e v="#REF!"/>
  </r>
  <r>
    <s v="633300"/>
    <x v="6"/>
    <s v="FORMATION CONTINUE"/>
    <s v="SA"/>
    <n v="231.75"/>
    <d v="2025-01-31T00:00:00"/>
    <s v="CONTRIBUTION FORMATION PROF. (LÉGAL)"/>
    <m/>
    <e v="#N/A"/>
    <e v="#N/A"/>
    <n v="85403"/>
    <s v="SA202501"/>
    <m/>
    <s v="Q1"/>
    <e v="#REF!"/>
    <e v="#REF!"/>
    <e v="#REF!"/>
  </r>
  <r>
    <s v="633300"/>
    <x v="6"/>
    <s v="FORMATION CONTINUE"/>
    <s v="SA"/>
    <n v="238.33"/>
    <d v="2025-12-31T00:00:00"/>
    <s v="CONTRIBUTION FORMATION PROF. (LÉGAL)"/>
    <m/>
    <e v="#N/A"/>
    <e v="#N/A"/>
    <n v="92754"/>
    <s v="SA202512"/>
    <m/>
    <s v="Q4"/>
    <e v="#REF!"/>
    <e v="#REF!"/>
    <e v="#REF!"/>
  </r>
  <r>
    <s v="633300"/>
    <x v="6"/>
    <s v="FORMATION CONTINUE"/>
    <s v="SA"/>
    <n v="238.34"/>
    <d v="2025-10-31T00:00:00"/>
    <s v="CONTRIBUTION FORMATION PROF. (LÉGAL)"/>
    <m/>
    <e v="#N/A"/>
    <e v="#N/A"/>
    <n v="87786"/>
    <s v="SA202510"/>
    <m/>
    <s v="Q4"/>
    <e v="#REF!"/>
    <e v="#REF!"/>
    <e v="#REF!"/>
  </r>
  <r>
    <s v="633300"/>
    <x v="6"/>
    <s v="FORMATION CONTINUE"/>
    <s v="SA"/>
    <n v="239.27"/>
    <d v="2025-11-30T00:00:00"/>
    <s v="CONTRIBUTION FORMATION PROF. (LÉGAL)"/>
    <m/>
    <e v="#N/A"/>
    <e v="#N/A"/>
    <n v="92295"/>
    <s v="SA202511"/>
    <m/>
    <s v="Q4"/>
    <e v="#REF!"/>
    <e v="#REF!"/>
    <e v="#REF!"/>
  </r>
  <r>
    <s v="633300"/>
    <x v="6"/>
    <s v="FORMATION CONTINUE"/>
    <s v="SA"/>
    <n v="247.93"/>
    <d v="2025-08-31T00:00:00"/>
    <s v="CONTRIBUTION FORMATION PROF. (LÉGAL)"/>
    <m/>
    <e v="#N/A"/>
    <e v="#N/A"/>
    <n v="83946"/>
    <s v="SA202508"/>
    <m/>
    <s v="Q3"/>
    <e v="#REF!"/>
    <e v="#REF!"/>
    <e v="#REF!"/>
  </r>
  <r>
    <s v="633300"/>
    <x v="6"/>
    <s v="FORMATION CONTINUE"/>
    <s v="SA"/>
    <n v="249.3"/>
    <d v="2025-07-31T00:00:00"/>
    <s v="CONTRIBUTION FORMATION PROF. (LÉGAL)"/>
    <m/>
    <e v="#N/A"/>
    <e v="#N/A"/>
    <n v="79827"/>
    <s v="SA202507"/>
    <m/>
    <s v="Q3"/>
    <e v="#REF!"/>
    <e v="#REF!"/>
    <e v="#REF!"/>
  </r>
  <r>
    <s v="633300"/>
    <x v="6"/>
    <s v="FORMATION CONTINUE"/>
    <s v="SA"/>
    <n v="265.69"/>
    <d v="2025-09-30T00:00:00"/>
    <s v="CONTRIBUTION FORMATION PROF. (LÉGAL)"/>
    <m/>
    <e v="#N/A"/>
    <e v="#N/A"/>
    <n v="84121"/>
    <s v="SA202509"/>
    <m/>
    <s v="Q3"/>
    <e v="#REF!"/>
    <e v="#REF!"/>
    <e v="#REF!"/>
  </r>
  <r>
    <s v="633300"/>
    <x v="6"/>
    <s v="FORMATION CONTINUE"/>
    <s v="SA"/>
    <n v="275.58"/>
    <d v="2025-05-31T00:00:00"/>
    <s v="CONTRIBUTION FORMATION PROF. (LÉGAL)"/>
    <m/>
    <e v="#N/A"/>
    <e v="#N/A"/>
    <n v="80171"/>
    <s v="SA202505"/>
    <m/>
    <s v="Q2"/>
    <e v="#REF!"/>
    <e v="#REF!"/>
    <e v="#REF!"/>
  </r>
  <r>
    <s v="633300"/>
    <x v="6"/>
    <s v="FORMATION CONTINUE"/>
    <s v="SA"/>
    <n v="277.18"/>
    <d v="2025-03-31T00:00:00"/>
    <s v="CONTRIBUTION FORMATION PROF. (LÉGAL)"/>
    <m/>
    <e v="#N/A"/>
    <e v="#N/A"/>
    <n v="80511"/>
    <s v="SA202503"/>
    <m/>
    <s v="Q1"/>
    <e v="#REF!"/>
    <e v="#REF!"/>
    <e v="#REF!"/>
  </r>
  <r>
    <s v="633300"/>
    <x v="6"/>
    <s v="FORMATION CONTINUE"/>
    <s v="SA"/>
    <n v="283.8"/>
    <d v="2025-04-30T00:00:00"/>
    <s v="CONTRIBUTION FORMATION PROF. (LÉGAL)"/>
    <m/>
    <e v="#N/A"/>
    <e v="#N/A"/>
    <n v="80341"/>
    <s v="SA202504"/>
    <m/>
    <s v="Q2"/>
    <e v="#REF!"/>
    <e v="#REF!"/>
    <e v="#REF!"/>
  </r>
  <r>
    <s v="633300"/>
    <x v="6"/>
    <s v="FORMATION CONTINUE"/>
    <s v="SA"/>
    <n v="286.92"/>
    <d v="2025-06-30T00:00:00"/>
    <s v="CONTRIBUTION FORMATION PROF. (LÉGAL)"/>
    <m/>
    <e v="#N/A"/>
    <e v="#N/A"/>
    <n v="80001"/>
    <s v="SA202506"/>
    <m/>
    <s v="Q2"/>
    <e v="#REF!"/>
    <e v="#REF!"/>
    <e v="#REF!"/>
  </r>
  <r>
    <s v="633300"/>
    <x v="6"/>
    <s v="FORMATION CONTINUE"/>
    <s v="SA"/>
    <n v="446.22"/>
    <d v="2025-02-28T00:00:00"/>
    <s v="CONTRIBUTION FORMATION PROF. (LÉGAL)"/>
    <m/>
    <e v="#N/A"/>
    <e v="#N/A"/>
    <n v="85215"/>
    <s v="SA202502"/>
    <m/>
    <s v="Q1"/>
    <e v="#REF!"/>
    <e v="#REF!"/>
    <e v="#REF!"/>
  </r>
  <r>
    <s v="633300"/>
    <x v="6"/>
    <s v="FORMATION CONTINUE"/>
    <s v="SA"/>
    <n v="498.19"/>
    <d v="2025-02-28T00:00:00"/>
    <s v="CONTRIBUTION FORMATION PROF. (LÉGAL)"/>
    <m/>
    <e v="#N/A"/>
    <e v="#N/A"/>
    <n v="85213"/>
    <s v="SA202502"/>
    <m/>
    <s v="Q1"/>
    <e v="#REF!"/>
    <e v="#REF!"/>
    <e v="#REF!"/>
  </r>
  <r>
    <s v="633300"/>
    <x v="6"/>
    <s v="FORMATION CONTINUE"/>
    <s v="SA"/>
    <n v="503.15"/>
    <d v="2025-12-31T00:00:00"/>
    <s v="CONTRIBUTION FORMATION PROF. (LÉGAL)"/>
    <m/>
    <e v="#N/A"/>
    <e v="#N/A"/>
    <n v="92756"/>
    <s v="SA202512"/>
    <m/>
    <s v="Q4"/>
    <e v="#REF!"/>
    <e v="#REF!"/>
    <e v="#REF!"/>
  </r>
  <r>
    <s v="633300"/>
    <x v="6"/>
    <s v="FORMATION CONTINUE"/>
    <s v="SA"/>
    <n v="504.5"/>
    <d v="2025-06-30T00:00:00"/>
    <s v="CONTRIBUTION FORMATION PROF. (LÉGAL)"/>
    <m/>
    <e v="#N/A"/>
    <e v="#N/A"/>
    <n v="80003"/>
    <s v="SA202506"/>
    <m/>
    <s v="Q2"/>
    <e v="#REF!"/>
    <e v="#REF!"/>
    <e v="#REF!"/>
  </r>
  <r>
    <s v="633300"/>
    <x v="6"/>
    <s v="FORMATION CONTINUE"/>
    <s v="SA"/>
    <n v="506"/>
    <d v="2025-08-31T00:00:00"/>
    <s v="CONTRIBUTION FORMATION PROF. (LÉGAL)"/>
    <m/>
    <e v="#N/A"/>
    <e v="#N/A"/>
    <n v="83948"/>
    <s v="SA202508"/>
    <m/>
    <s v="Q3"/>
    <e v="#REF!"/>
    <e v="#REF!"/>
    <e v="#REF!"/>
  </r>
  <r>
    <s v="633300"/>
    <x v="6"/>
    <s v="FORMATION CONTINUE"/>
    <s v="SA"/>
    <n v="509.4"/>
    <d v="2025-05-31T00:00:00"/>
    <s v="CONTRIBUTION FORMATION PROF. (LÉGAL)"/>
    <m/>
    <e v="#N/A"/>
    <e v="#N/A"/>
    <n v="80173"/>
    <s v="SA202505"/>
    <m/>
    <s v="Q2"/>
    <e v="#REF!"/>
    <e v="#REF!"/>
    <e v="#REF!"/>
  </r>
  <r>
    <s v="633300"/>
    <x v="6"/>
    <s v="FORMATION CONTINUE"/>
    <s v="SA"/>
    <n v="512.76"/>
    <d v="2025-04-30T00:00:00"/>
    <s v="CONTRIBUTION FORMATION PROF. (LÉGAL)"/>
    <m/>
    <e v="#N/A"/>
    <e v="#N/A"/>
    <n v="80343"/>
    <s v="SA202504"/>
    <m/>
    <s v="Q2"/>
    <e v="#REF!"/>
    <e v="#REF!"/>
    <e v="#REF!"/>
  </r>
  <r>
    <s v="633300"/>
    <x v="6"/>
    <s v="FORMATION CONTINUE"/>
    <s v="SA"/>
    <n v="513.36"/>
    <d v="2025-10-31T00:00:00"/>
    <s v="CONTRIBUTION FORMATION PROF. (LÉGAL)"/>
    <m/>
    <e v="#N/A"/>
    <e v="#N/A"/>
    <n v="87788"/>
    <s v="SA202510"/>
    <m/>
    <s v="Q4"/>
    <e v="#REF!"/>
    <e v="#REF!"/>
    <e v="#REF!"/>
  </r>
  <r>
    <s v="633300"/>
    <x v="6"/>
    <s v="FORMATION CONTINUE"/>
    <s v="SA"/>
    <n v="522.27"/>
    <d v="2025-11-30T00:00:00"/>
    <s v="CONTRIBUTION FORMATION PROF. (LÉGAL)"/>
    <m/>
    <e v="#N/A"/>
    <e v="#N/A"/>
    <n v="92297"/>
    <s v="SA202511"/>
    <m/>
    <s v="Q4"/>
    <e v="#REF!"/>
    <e v="#REF!"/>
    <e v="#REF!"/>
  </r>
  <r>
    <s v="633300"/>
    <x v="6"/>
    <s v="FORMATION CONTINUE"/>
    <s v="SA"/>
    <n v="530.74"/>
    <d v="2025-03-31T00:00:00"/>
    <s v="CONTRIBUTION FORMATION PROF. (LÉGAL)"/>
    <m/>
    <e v="#N/A"/>
    <e v="#N/A"/>
    <n v="80513"/>
    <s v="SA202503"/>
    <m/>
    <s v="Q1"/>
    <e v="#REF!"/>
    <e v="#REF!"/>
    <e v="#REF!"/>
  </r>
  <r>
    <s v="633300"/>
    <x v="6"/>
    <s v="FORMATION CONTINUE"/>
    <s v="SA"/>
    <n v="532.63"/>
    <d v="2025-01-31T00:00:00"/>
    <s v="CONTRIBUTION FORMATION PROF. (LÉGAL)"/>
    <m/>
    <e v="#N/A"/>
    <e v="#N/A"/>
    <n v="85405"/>
    <s v="SA202501"/>
    <m/>
    <s v="Q1"/>
    <e v="#REF!"/>
    <e v="#REF!"/>
    <e v="#REF!"/>
  </r>
  <r>
    <s v="633300"/>
    <x v="6"/>
    <s v="FORMATION CONTINUE"/>
    <s v="SA"/>
    <n v="540.84"/>
    <d v="2025-09-30T00:00:00"/>
    <s v="CONTRIBUTION FORMATION PROF. (LÉGAL)"/>
    <m/>
    <e v="#N/A"/>
    <e v="#N/A"/>
    <n v="84123"/>
    <s v="SA202509"/>
    <m/>
    <s v="Q3"/>
    <e v="#REF!"/>
    <e v="#REF!"/>
    <e v="#REF!"/>
  </r>
  <r>
    <s v="633300"/>
    <x v="6"/>
    <s v="FORMATION CONTINUE"/>
    <s v="SA"/>
    <n v="542.03"/>
    <d v="2025-07-31T00:00:00"/>
    <s v="CONTRIBUTION FORMATION PROF. (LÉGAL)"/>
    <m/>
    <e v="#N/A"/>
    <e v="#N/A"/>
    <n v="79829"/>
    <s v="SA202507"/>
    <m/>
    <s v="Q3"/>
    <e v="#REF!"/>
    <e v="#REF!"/>
    <e v="#REF!"/>
  </r>
  <r>
    <s v="633300"/>
    <x v="6"/>
    <s v="FORMATION CONTINUE"/>
    <s v="SA"/>
    <n v="941.75"/>
    <d v="2025-02-28T00:00:00"/>
    <s v="CONTRIBUTION FORMATION PROF. (LÉGAL)"/>
    <m/>
    <e v="#N/A"/>
    <e v="#N/A"/>
    <n v="85217"/>
    <s v="SA202502"/>
    <m/>
    <s v="Q1"/>
    <e v="#REF!"/>
    <e v="#REF!"/>
    <e v="#REF!"/>
  </r>
  <r>
    <s v="635100"/>
    <x v="6"/>
    <s v="TAXE FONCIÈRE"/>
    <s v="AC"/>
    <n v="353.36"/>
    <d v="2025-09-16T00:00:00"/>
    <s v="TAXE FONCIERE"/>
    <m/>
    <e v="#N/A"/>
    <e v="#N/A"/>
    <n v="90179"/>
    <s v="023692"/>
    <s v="LIBERTY PM"/>
    <s v="Q3"/>
    <e v="#REF!"/>
    <e v="#REF!"/>
    <e v="#REF!"/>
  </r>
  <r>
    <s v="635100"/>
    <x v="6"/>
    <s v="TAXE FONCIÈRE"/>
    <s v="JC"/>
    <n v="2000"/>
    <d v="2025-01-01T00:00:00"/>
    <s v="CCA LOYERS KB"/>
    <m/>
    <e v="#N/A"/>
    <e v="#N/A"/>
    <n v="86405"/>
    <m/>
    <s v="LIBERTY PM"/>
    <s v="Q1"/>
    <e v="#REF!"/>
    <e v="#REF!"/>
    <e v="#REF!"/>
  </r>
  <r>
    <s v="635100"/>
    <x v="6"/>
    <s v="TAXE FONCIÈRE"/>
    <s v="JC"/>
    <n v="2000"/>
    <d v="2025-02-01T00:00:00"/>
    <s v="CCA LOYERS KB"/>
    <m/>
    <e v="#N/A"/>
    <e v="#N/A"/>
    <n v="86381"/>
    <m/>
    <s v="LIBERTY PM"/>
    <s v="Q1"/>
    <e v="#REF!"/>
    <e v="#REF!"/>
    <e v="#REF!"/>
  </r>
  <r>
    <s v="635100"/>
    <x v="6"/>
    <s v="TAXE FONCIÈRE"/>
    <s v="JC"/>
    <n v="2000"/>
    <d v="2025-03-01T00:00:00"/>
    <s v="CCA LOYERS KB"/>
    <m/>
    <e v="#N/A"/>
    <e v="#N/A"/>
    <n v="86385"/>
    <m/>
    <s v="LIBERTY PM"/>
    <s v="Q1"/>
    <e v="#REF!"/>
    <e v="#REF!"/>
    <e v="#REF!"/>
  </r>
  <r>
    <s v="635100"/>
    <x v="6"/>
    <s v="TAXE FONCIÈRE"/>
    <s v="JC"/>
    <n v="2000"/>
    <d v="2025-04-01T00:00:00"/>
    <s v="CCA LOYERS KB"/>
    <m/>
    <e v="#N/A"/>
    <e v="#N/A"/>
    <n v="86389"/>
    <m/>
    <s v="LIBERTY PM"/>
    <s v="Q2"/>
    <e v="#REF!"/>
    <e v="#REF!"/>
    <e v="#REF!"/>
  </r>
  <r>
    <s v="635100"/>
    <x v="6"/>
    <s v="TAXE FONCIÈRE"/>
    <s v="JC"/>
    <n v="2000"/>
    <d v="2025-05-01T00:00:00"/>
    <s v="CCA LOYERS KB"/>
    <m/>
    <e v="#N/A"/>
    <e v="#N/A"/>
    <n v="86401"/>
    <m/>
    <s v="LIBERTY PM"/>
    <s v="Q2"/>
    <e v="#REF!"/>
    <e v="#REF!"/>
    <e v="#REF!"/>
  </r>
  <r>
    <s v="635100"/>
    <x v="6"/>
    <s v="TAXE FONCIÈRE"/>
    <s v="JC"/>
    <n v="2000"/>
    <d v="2025-06-01T00:00:00"/>
    <s v="CCA LOYERS KB"/>
    <m/>
    <e v="#N/A"/>
    <e v="#N/A"/>
    <n v="86409"/>
    <m/>
    <s v="LIBERTY PM"/>
    <s v="Q2"/>
    <e v="#REF!"/>
    <e v="#REF!"/>
    <e v="#REF!"/>
  </r>
  <r>
    <s v="635100"/>
    <x v="6"/>
    <s v="TAXE FONCIÈRE"/>
    <s v="JC"/>
    <n v="2000"/>
    <d v="2025-07-01T00:00:00"/>
    <s v="CCA LOYERS KB"/>
    <m/>
    <e v="#N/A"/>
    <e v="#N/A"/>
    <n v="86413"/>
    <m/>
    <s v="LIBERTY PM"/>
    <s v="Q3"/>
    <e v="#REF!"/>
    <e v="#REF!"/>
    <e v="#REF!"/>
  </r>
  <r>
    <s v="635100"/>
    <x v="6"/>
    <s v="TAXE FONCIÈRE"/>
    <s v="JC"/>
    <n v="2000"/>
    <d v="2025-08-01T00:00:00"/>
    <s v="CCA LOYERS KB"/>
    <m/>
    <e v="#N/A"/>
    <e v="#N/A"/>
    <n v="86417"/>
    <m/>
    <s v="LIBERTY PM"/>
    <s v="Q3"/>
    <e v="#REF!"/>
    <e v="#REF!"/>
    <e v="#REF!"/>
  </r>
  <r>
    <s v="635100"/>
    <x v="6"/>
    <s v="TAXE FONCIÈRE"/>
    <s v="JC"/>
    <n v="2000"/>
    <d v="2025-09-01T00:00:00"/>
    <s v="CCA LOYERS KB"/>
    <m/>
    <e v="#N/A"/>
    <e v="#N/A"/>
    <n v="86421"/>
    <m/>
    <s v="LIBERTY PM"/>
    <s v="Q3"/>
    <e v="#REF!"/>
    <e v="#REF!"/>
    <e v="#REF!"/>
  </r>
  <r>
    <s v="635100"/>
    <x v="6"/>
    <s v="TAXE FONCIÈRE"/>
    <s v="JC"/>
    <n v="2000"/>
    <d v="2025-10-01T00:00:00"/>
    <s v="CCA LOYERS KB"/>
    <m/>
    <e v="#N/A"/>
    <e v="#N/A"/>
    <n v="86425"/>
    <m/>
    <s v="LIBERTY PM"/>
    <s v="Q4"/>
    <e v="#REF!"/>
    <e v="#REF!"/>
    <e v="#REF!"/>
  </r>
  <r>
    <s v="635100"/>
    <x v="6"/>
    <s v="TAXE FONCIÈRE"/>
    <s v="JC"/>
    <n v="2000"/>
    <d v="2025-11-01T00:00:00"/>
    <s v="CCA LOYERS KB"/>
    <m/>
    <e v="#N/A"/>
    <e v="#N/A"/>
    <n v="86429"/>
    <m/>
    <s v="LIBERTY PM"/>
    <s v="Q4"/>
    <e v="#REF!"/>
    <e v="#REF!"/>
    <e v="#REF!"/>
  </r>
  <r>
    <s v="635100"/>
    <x v="6"/>
    <s v="TAXE FONCIÈRE"/>
    <s v="JC"/>
    <n v="2000"/>
    <d v="2025-12-01T00:00:00"/>
    <s v="CCA LOYERS KB"/>
    <m/>
    <e v="#N/A"/>
    <e v="#N/A"/>
    <n v="86433"/>
    <m/>
    <s v="LIBERTY PM"/>
    <s v="Q4"/>
    <e v="#REF!"/>
    <e v="#REF!"/>
    <e v="#REF!"/>
  </r>
  <r>
    <s v="635100"/>
    <x v="6"/>
    <s v="TAXE FONCIÈRE"/>
    <s v="OD"/>
    <n v="3145.5"/>
    <d v="2025-03-05T00:00:00"/>
    <s v="Taxe sur les bureaux 2025"/>
    <m/>
    <e v="#N/A"/>
    <e v="#N/A"/>
    <n v="90176"/>
    <m/>
    <s v="LIBERTY PM"/>
    <s v="Q1"/>
    <e v="#REF!"/>
    <e v="#REF!"/>
    <e v="#REF!"/>
  </r>
  <r>
    <s v="635110"/>
    <x v="6"/>
    <s v="CONTRIBUTION ECO. TERRITORIALE"/>
    <s v="BPRI"/>
    <n v="24"/>
    <d v="2025-12-17T00:00:00"/>
    <s v="CFE 2025 - Roussillon"/>
    <m/>
    <e v="#N/A"/>
    <e v="#N/A"/>
    <n v="92672"/>
    <m/>
    <m/>
    <s v="Q4"/>
    <e v="#REF!"/>
    <e v="#REF!"/>
    <e v="#REF!"/>
  </r>
  <r>
    <s v="635110"/>
    <x v="6"/>
    <s v="CONTRIBUTION ECO. TERRITORIALE"/>
    <s v="BPRI"/>
    <n v="245"/>
    <d v="2025-12-29T00:00:00"/>
    <s v="CFE 2025 - Toulouse"/>
    <m/>
    <e v="#N/A"/>
    <e v="#N/A"/>
    <n v="93700"/>
    <m/>
    <m/>
    <s v="Q4"/>
    <e v="#REF!"/>
    <e v="#REF!"/>
    <e v="#REF!"/>
  </r>
  <r>
    <s v="635110"/>
    <x v="6"/>
    <s v="CONTRIBUTION ECO. TERRITORIALE"/>
    <s v="BPRI"/>
    <n v="10187"/>
    <d v="2025-12-17T00:00:00"/>
    <s v="CFE 2025 - KB"/>
    <m/>
    <e v="#N/A"/>
    <e v="#N/A"/>
    <n v="92668"/>
    <m/>
    <m/>
    <s v="Q4"/>
    <e v="#REF!"/>
    <e v="#REF!"/>
    <e v="#REF!"/>
  </r>
  <r>
    <s v="641100"/>
    <x v="6"/>
    <s v="SALAIRES ET APPOINTEMENTS"/>
    <s v="OD"/>
    <n v="-1.07"/>
    <d v="2025-09-30T00:00:00"/>
    <s v="REGUL NAP SLIMANE"/>
    <m/>
    <e v="#N/A"/>
    <e v="#N/A"/>
    <n v="84244"/>
    <m/>
    <m/>
    <s v="Q3"/>
    <e v="#REF!"/>
    <e v="#REF!"/>
    <e v="#REF!"/>
  </r>
  <r>
    <s v="641100"/>
    <x v="6"/>
    <s v="SALAIRES ET APPOINTEMENTS"/>
    <s v="SA"/>
    <n v="-13575.65"/>
    <d v="2025-07-31T00:00:00"/>
    <s v="ABSENCE POUR ENTRÉE/SORTIE"/>
    <m/>
    <e v="#N/A"/>
    <e v="#N/A"/>
    <n v="79832"/>
    <s v="SA202507"/>
    <m/>
    <s v="Q3"/>
    <e v="#REF!"/>
    <e v="#REF!"/>
    <e v="#REF!"/>
  </r>
  <r>
    <s v="641100"/>
    <x v="6"/>
    <s v="SALAIRES ET APPOINTEMENTS"/>
    <s v="SA"/>
    <n v="-9070.67"/>
    <d v="2025-12-31T00:00:00"/>
    <s v="ABSENCE MALADIE 021225-031225"/>
    <m/>
    <e v="#N/A"/>
    <e v="#N/A"/>
    <n v="92762"/>
    <s v="SA202512"/>
    <m/>
    <s v="Q4"/>
    <e v="#REF!"/>
    <e v="#REF!"/>
    <e v="#REF!"/>
  </r>
  <r>
    <s v="641100"/>
    <x v="6"/>
    <s v="SALAIRES ET APPOINTEMENTS"/>
    <s v="SA"/>
    <n v="-7057.49"/>
    <d v="2025-01-31T00:00:00"/>
    <s v="CONGÉ SANS SOLDE 241024"/>
    <m/>
    <e v="#N/A"/>
    <e v="#N/A"/>
    <n v="85414"/>
    <s v="SA202501"/>
    <m/>
    <s v="Q1"/>
    <e v="#REF!"/>
    <e v="#REF!"/>
    <e v="#REF!"/>
  </r>
  <r>
    <s v="641100"/>
    <x v="6"/>
    <s v="SALAIRES ET APPOINTEMENTS"/>
    <s v="SA"/>
    <n v="-6892.76"/>
    <d v="2025-07-31T00:00:00"/>
    <s v="ABSENCE POUR ENTRÉE/SORTIE"/>
    <m/>
    <e v="#N/A"/>
    <e v="#N/A"/>
    <n v="79837"/>
    <s v="SA202507"/>
    <m/>
    <s v="Q3"/>
    <e v="#REF!"/>
    <e v="#REF!"/>
    <e v="#REF!"/>
  </r>
  <r>
    <s v="641100"/>
    <x v="6"/>
    <s v="SALAIRES ET APPOINTEMENTS"/>
    <s v="SA"/>
    <n v="-6707.94"/>
    <d v="2025-03-31T00:00:00"/>
    <s v="ABSENCE POUR ENTRÉE/SORTIE"/>
    <m/>
    <e v="#N/A"/>
    <e v="#N/A"/>
    <n v="80520"/>
    <s v="SA202503"/>
    <m/>
    <s v="Q1"/>
    <e v="#REF!"/>
    <e v="#REF!"/>
    <e v="#REF!"/>
  </r>
  <r>
    <s v="641100"/>
    <x v="6"/>
    <s v="SALAIRES ET APPOINTEMENTS"/>
    <s v="SA"/>
    <n v="-6304.09"/>
    <d v="2025-06-30T00:00:00"/>
    <s v="CONGÉ SANS SOLDE 050625"/>
    <m/>
    <e v="#N/A"/>
    <e v="#N/A"/>
    <n v="80011"/>
    <s v="SA202506"/>
    <m/>
    <s v="Q2"/>
    <e v="#REF!"/>
    <e v="#REF!"/>
    <e v="#REF!"/>
  </r>
  <r>
    <s v="641100"/>
    <x v="6"/>
    <s v="SALAIRES ET APPOINTEMENTS"/>
    <s v="SA"/>
    <n v="-6054.67"/>
    <d v="2025-11-30T00:00:00"/>
    <s v="ABSENCE MALADIE 041125-181125"/>
    <m/>
    <e v="#N/A"/>
    <e v="#N/A"/>
    <n v="92302"/>
    <s v="SA202511"/>
    <m/>
    <s v="Q4"/>
    <e v="#REF!"/>
    <e v="#REF!"/>
    <e v="#REF!"/>
  </r>
  <r>
    <s v="641100"/>
    <x v="6"/>
    <s v="SALAIRES ET APPOINTEMENTS"/>
    <s v="SA"/>
    <n v="-5914.95"/>
    <d v="2025-01-31T00:00:00"/>
    <s v="ABSENCE POUR ENTRÉE/SORTIE"/>
    <m/>
    <e v="#N/A"/>
    <e v="#N/A"/>
    <n v="85412"/>
    <s v="SA202501"/>
    <m/>
    <s v="Q1"/>
    <e v="#REF!"/>
    <e v="#REF!"/>
    <e v="#REF!"/>
  </r>
  <r>
    <s v="641100"/>
    <x v="6"/>
    <s v="SALAIRES ET APPOINTEMENTS"/>
    <s v="SA"/>
    <n v="-5752.05"/>
    <d v="2025-10-31T00:00:00"/>
    <s v="ABSENCE MALADIE 061025"/>
    <m/>
    <e v="#N/A"/>
    <e v="#N/A"/>
    <n v="87794"/>
    <s v="SA202510"/>
    <m/>
    <s v="Q4"/>
    <e v="#REF!"/>
    <e v="#REF!"/>
    <e v="#REF!"/>
  </r>
  <r>
    <s v="641100"/>
    <x v="6"/>
    <s v="SALAIRES ET APPOINTEMENTS"/>
    <s v="SA"/>
    <n v="-5529.31"/>
    <d v="2025-06-30T00:00:00"/>
    <s v="CONGÉ SANS SOLDE 050625"/>
    <m/>
    <e v="#N/A"/>
    <e v="#N/A"/>
    <n v="80008"/>
    <s v="SA202506"/>
    <m/>
    <s v="Q2"/>
    <e v="#REF!"/>
    <e v="#REF!"/>
    <e v="#REF!"/>
  </r>
  <r>
    <s v="641100"/>
    <x v="6"/>
    <s v="SALAIRES ET APPOINTEMENTS"/>
    <s v="SA"/>
    <n v="-5411.08"/>
    <d v="2025-05-31T00:00:00"/>
    <s v="ABSENCE MALADIE 210525-230525"/>
    <m/>
    <e v="#N/A"/>
    <e v="#N/A"/>
    <n v="80179"/>
    <s v="SA202505"/>
    <m/>
    <s v="Q2"/>
    <e v="#REF!"/>
    <e v="#REF!"/>
    <e v="#REF!"/>
  </r>
  <r>
    <s v="641100"/>
    <x v="6"/>
    <s v="SALAIRES ET APPOINTEMENTS"/>
    <s v="SA"/>
    <n v="-4900.46"/>
    <d v="2025-08-31T00:00:00"/>
    <s v="CONGÉ SANS SOLDE 210725"/>
    <m/>
    <e v="#N/A"/>
    <e v="#N/A"/>
    <n v="83957"/>
    <s v="SA202508"/>
    <m/>
    <s v="Q3"/>
    <e v="#REF!"/>
    <e v="#REF!"/>
    <e v="#REF!"/>
  </r>
  <r>
    <s v="641100"/>
    <x v="6"/>
    <s v="SALAIRES ET APPOINTEMENTS"/>
    <s v="SA"/>
    <n v="-4858.74"/>
    <d v="2025-05-31T00:00:00"/>
    <s v="ABSENCE MALADIE 210525-230525"/>
    <m/>
    <e v="#N/A"/>
    <e v="#N/A"/>
    <n v="80177"/>
    <s v="SA202505"/>
    <m/>
    <s v="Q2"/>
    <e v="#REF!"/>
    <e v="#REF!"/>
    <e v="#REF!"/>
  </r>
  <r>
    <s v="641100"/>
    <x v="6"/>
    <s v="SALAIRES ET APPOINTEMENTS"/>
    <s v="SA"/>
    <n v="-3846.18"/>
    <d v="2025-12-31T00:00:00"/>
    <s v="ABSENCES"/>
    <m/>
    <e v="#N/A"/>
    <e v="#N/A"/>
    <n v="92763"/>
    <s v="SA202512"/>
    <m/>
    <s v="Q4"/>
    <e v="#REF!"/>
    <e v="#REF!"/>
    <e v="#REF!"/>
  </r>
  <r>
    <s v="641100"/>
    <x v="6"/>
    <s v="SALAIRES ET APPOINTEMENTS"/>
    <s v="SA"/>
    <n v="-2835.6"/>
    <d v="2025-02-28T00:00:00"/>
    <s v="ABSENCE MALADIE 200125-220125"/>
    <m/>
    <e v="#N/A"/>
    <e v="#N/A"/>
    <n v="85224"/>
    <s v="SA202502"/>
    <m/>
    <s v="Q1"/>
    <e v="#REF!"/>
    <e v="#REF!"/>
    <e v="#REF!"/>
  </r>
  <r>
    <s v="641100"/>
    <x v="6"/>
    <s v="SALAIRES ET APPOINTEMENTS"/>
    <s v="SA"/>
    <n v="-2282.67"/>
    <d v="2025-04-30T00:00:00"/>
    <s v="ABSENCES"/>
    <m/>
    <e v="#N/A"/>
    <e v="#N/A"/>
    <n v="80349"/>
    <s v="SA202504"/>
    <m/>
    <s v="Q2"/>
    <e v="#REF!"/>
    <e v="#REF!"/>
    <e v="#REF!"/>
  </r>
  <r>
    <s v="641100"/>
    <x v="6"/>
    <s v="SALAIRES ET APPOINTEMENTS"/>
    <s v="SA"/>
    <n v="-1841.03"/>
    <d v="2025-01-31T00:00:00"/>
    <s v="CONGÉ SANS SOLDE 241024"/>
    <m/>
    <e v="#N/A"/>
    <e v="#N/A"/>
    <n v="85410"/>
    <s v="SA202501"/>
    <m/>
    <s v="Q1"/>
    <e v="#REF!"/>
    <e v="#REF!"/>
    <e v="#REF!"/>
  </r>
  <r>
    <s v="641100"/>
    <x v="6"/>
    <s v="SALAIRES ET APPOINTEMENTS"/>
    <s v="SA"/>
    <n v="-1473.03"/>
    <d v="2025-02-28T00:00:00"/>
    <s v="ABSENCE MALADIE 200125-220125"/>
    <m/>
    <e v="#N/A"/>
    <e v="#N/A"/>
    <n v="85227"/>
    <s v="SA202502"/>
    <m/>
    <s v="Q1"/>
    <e v="#REF!"/>
    <e v="#REF!"/>
    <e v="#REF!"/>
  </r>
  <r>
    <s v="641100"/>
    <x v="6"/>
    <s v="SALAIRES ET APPOINTEMENTS"/>
    <s v="SA"/>
    <n v="-1230.74"/>
    <d v="2025-09-30T00:00:00"/>
    <s v="CONGÉ SANS SOLDE 250925-260925"/>
    <m/>
    <e v="#N/A"/>
    <e v="#N/A"/>
    <n v="84126"/>
    <s v="SA202509"/>
    <m/>
    <s v="Q3"/>
    <e v="#REF!"/>
    <e v="#REF!"/>
    <e v="#REF!"/>
  </r>
  <r>
    <s v="641100"/>
    <x v="6"/>
    <s v="SALAIRES ET APPOINTEMENTS"/>
    <s v="SA"/>
    <n v="-1146.93"/>
    <d v="2025-02-28T00:00:00"/>
    <s v="ABSENCE MALADIE 200125-220125"/>
    <m/>
    <e v="#N/A"/>
    <e v="#N/A"/>
    <n v="85221"/>
    <s v="SA202502"/>
    <m/>
    <s v="Q1"/>
    <e v="#REF!"/>
    <e v="#REF!"/>
    <e v="#REF!"/>
  </r>
  <r>
    <s v="641100"/>
    <x v="6"/>
    <s v="SALAIRES ET APPOINTEMENTS"/>
    <s v="SA"/>
    <n v="-1012.09"/>
    <d v="2025-03-31T00:00:00"/>
    <s v="ABSENCE POUR ENTRÉE/SORTIE"/>
    <m/>
    <e v="#N/A"/>
    <e v="#N/A"/>
    <n v="80517"/>
    <s v="SA202503"/>
    <m/>
    <s v="Q1"/>
    <e v="#REF!"/>
    <e v="#REF!"/>
    <e v="#REF!"/>
  </r>
  <r>
    <s v="641100"/>
    <x v="6"/>
    <s v="SALAIRES ET APPOINTEMENTS"/>
    <s v="SA"/>
    <n v="-876.66"/>
    <d v="2025-07-31T00:00:00"/>
    <s v="AJUSTEMENT DU NET"/>
    <m/>
    <e v="#N/A"/>
    <e v="#N/A"/>
    <n v="79833"/>
    <s v="SA202507"/>
    <m/>
    <s v="Q3"/>
    <e v="#REF!"/>
    <e v="#REF!"/>
    <e v="#REF!"/>
  </r>
  <r>
    <s v="641100"/>
    <x v="6"/>
    <s v="SALAIRES ET APPOINTEMENTS"/>
    <s v="SA"/>
    <n v="-854.24"/>
    <d v="2025-12-31T00:00:00"/>
    <s v="ABSENCE MALADIE 021225-031225"/>
    <m/>
    <e v="#N/A"/>
    <e v="#N/A"/>
    <n v="92760"/>
    <s v="SA202512"/>
    <m/>
    <s v="Q4"/>
    <e v="#REF!"/>
    <e v="#REF!"/>
    <e v="#REF!"/>
  </r>
  <r>
    <s v="641100"/>
    <x v="6"/>
    <s v="SALAIRES ET APPOINTEMENTS"/>
    <s v="SA"/>
    <n v="-810.81"/>
    <d v="2025-08-31T00:00:00"/>
    <s v="CONGÉ SANS SOLDE 210725"/>
    <m/>
    <e v="#N/A"/>
    <e v="#N/A"/>
    <n v="83953"/>
    <s v="SA202508"/>
    <m/>
    <s v="Q3"/>
    <e v="#REF!"/>
    <e v="#REF!"/>
    <e v="#REF!"/>
  </r>
  <r>
    <s v="641100"/>
    <x v="6"/>
    <s v="SALAIRES ET APPOINTEMENTS"/>
    <s v="SA"/>
    <n v="-623.39"/>
    <d v="2025-07-31T00:00:00"/>
    <s v="AJUSTEMENT DU NET"/>
    <m/>
    <e v="#N/A"/>
    <e v="#N/A"/>
    <n v="79838"/>
    <s v="SA202507"/>
    <m/>
    <s v="Q3"/>
    <e v="#REF!"/>
    <e v="#REF!"/>
    <e v="#REF!"/>
  </r>
  <r>
    <s v="641100"/>
    <x v="6"/>
    <s v="SALAIRES ET APPOINTEMENTS"/>
    <s v="SA"/>
    <n v="-578.20000000000005"/>
    <d v="2025-05-31T00:00:00"/>
    <s v="AJUSTEMENT DU NET"/>
    <m/>
    <e v="#N/A"/>
    <e v="#N/A"/>
    <n v="80180"/>
    <s v="SA202505"/>
    <m/>
    <s v="Q2"/>
    <e v="#REF!"/>
    <e v="#REF!"/>
    <e v="#REF!"/>
  </r>
  <r>
    <s v="641100"/>
    <x v="6"/>
    <s v="SALAIRES ET APPOINTEMENTS"/>
    <s v="SA"/>
    <n v="-559.54999999999995"/>
    <d v="2025-06-30T00:00:00"/>
    <s v="AJUSTEMENT DU NET"/>
    <m/>
    <e v="#N/A"/>
    <e v="#N/A"/>
    <n v="80010"/>
    <s v="SA202506"/>
    <m/>
    <s v="Q2"/>
    <e v="#REF!"/>
    <e v="#REF!"/>
    <e v="#REF!"/>
  </r>
  <r>
    <s v="641100"/>
    <x v="6"/>
    <s v="SALAIRES ET APPOINTEMENTS"/>
    <s v="SA"/>
    <n v="-558.62"/>
    <d v="2025-12-31T00:00:00"/>
    <s v="AJUSTEMENT DU NET"/>
    <m/>
    <e v="#N/A"/>
    <e v="#N/A"/>
    <n v="92764"/>
    <s v="SA202512"/>
    <m/>
    <s v="Q4"/>
    <e v="#REF!"/>
    <e v="#REF!"/>
    <e v="#REF!"/>
  </r>
  <r>
    <s v="641100"/>
    <x v="6"/>
    <s v="SALAIRES ET APPOINTEMENTS"/>
    <s v="SA"/>
    <n v="-515.37"/>
    <d v="2025-10-31T00:00:00"/>
    <s v="ABSENCE MALADIE 061025"/>
    <m/>
    <e v="#N/A"/>
    <e v="#N/A"/>
    <n v="87797"/>
    <s v="SA202510"/>
    <m/>
    <s v="Q4"/>
    <e v="#REF!"/>
    <e v="#REF!"/>
    <e v="#REF!"/>
  </r>
  <r>
    <s v="641100"/>
    <x v="6"/>
    <s v="SALAIRES ET APPOINTEMENTS"/>
    <s v="SA"/>
    <n v="-480.49"/>
    <d v="2025-08-31T00:00:00"/>
    <s v="AJUSTEMENT DU NET"/>
    <m/>
    <e v="#N/A"/>
    <e v="#N/A"/>
    <n v="83956"/>
    <s v="SA202508"/>
    <m/>
    <s v="Q3"/>
    <e v="#REF!"/>
    <e v="#REF!"/>
    <e v="#REF!"/>
  </r>
  <r>
    <s v="641100"/>
    <x v="6"/>
    <s v="SALAIRES ET APPOINTEMENTS"/>
    <s v="SA"/>
    <n v="-474.53"/>
    <d v="2025-09-30T00:00:00"/>
    <s v="CONGÉ SANS SOLDE 250925-260925"/>
    <m/>
    <e v="#N/A"/>
    <e v="#N/A"/>
    <n v="84130"/>
    <s v="SA202509"/>
    <m/>
    <s v="Q3"/>
    <e v="#REF!"/>
    <e v="#REF!"/>
    <e v="#REF!"/>
  </r>
  <r>
    <s v="641100"/>
    <x v="6"/>
    <s v="SALAIRES ET APPOINTEMENTS"/>
    <s v="SA"/>
    <n v="-414.44"/>
    <d v="2025-04-30T00:00:00"/>
    <s v="ABSENCES"/>
    <m/>
    <e v="#N/A"/>
    <e v="#N/A"/>
    <n v="80347"/>
    <s v="SA202504"/>
    <m/>
    <s v="Q2"/>
    <e v="#REF!"/>
    <e v="#REF!"/>
    <e v="#REF!"/>
  </r>
  <r>
    <s v="641100"/>
    <x v="6"/>
    <s v="SALAIRES ET APPOINTEMENTS"/>
    <s v="SA"/>
    <n v="-342.3"/>
    <d v="2025-10-31T00:00:00"/>
    <s v="ABSENCE MALADIE 061025"/>
    <m/>
    <e v="#N/A"/>
    <e v="#N/A"/>
    <n v="87792"/>
    <s v="SA202510"/>
    <m/>
    <s v="Q4"/>
    <e v="#REF!"/>
    <e v="#REF!"/>
    <e v="#REF!"/>
  </r>
  <r>
    <s v="641100"/>
    <x v="6"/>
    <s v="SALAIRES ET APPOINTEMENTS"/>
    <s v="SA"/>
    <n v="-317.88"/>
    <d v="2025-11-30T00:00:00"/>
    <s v="AJUSTEMENT DU NET"/>
    <m/>
    <e v="#N/A"/>
    <e v="#N/A"/>
    <n v="92303"/>
    <s v="SA202511"/>
    <m/>
    <s v="Q4"/>
    <e v="#REF!"/>
    <e v="#REF!"/>
    <e v="#REF!"/>
  </r>
  <r>
    <s v="641100"/>
    <x v="6"/>
    <s v="SALAIRES ET APPOINTEMENTS"/>
    <s v="SA"/>
    <n v="-307.69"/>
    <d v="2025-08-31T00:00:00"/>
    <s v="CONGÉ SANS SOLDE 210725"/>
    <m/>
    <e v="#N/A"/>
    <e v="#N/A"/>
    <n v="83951"/>
    <s v="SA202508"/>
    <m/>
    <s v="Q3"/>
    <e v="#REF!"/>
    <e v="#REF!"/>
    <e v="#REF!"/>
  </r>
  <r>
    <s v="641100"/>
    <x v="6"/>
    <s v="SALAIRES ET APPOINTEMENTS"/>
    <s v="SA"/>
    <n v="-273.95999999999998"/>
    <d v="2025-03-31T00:00:00"/>
    <s v="AJUSTEMENT DU NET"/>
    <m/>
    <e v="#N/A"/>
    <e v="#N/A"/>
    <n v="80521"/>
    <s v="SA202503"/>
    <m/>
    <s v="Q1"/>
    <e v="#REF!"/>
    <e v="#REF!"/>
    <e v="#REF!"/>
  </r>
  <r>
    <s v="641100"/>
    <x v="6"/>
    <s v="SALAIRES ET APPOINTEMENTS"/>
    <s v="SA"/>
    <n v="-250.4"/>
    <d v="2025-10-31T00:00:00"/>
    <s v="AJUSTEMENT DU NET"/>
    <m/>
    <e v="#N/A"/>
    <e v="#N/A"/>
    <n v="87795"/>
    <s v="SA202510"/>
    <m/>
    <s v="Q4"/>
    <e v="#REF!"/>
    <e v="#REF!"/>
    <e v="#REF!"/>
  </r>
  <r>
    <s v="641100"/>
    <x v="6"/>
    <s v="SALAIRES ET APPOINTEMENTS"/>
    <s v="SA"/>
    <n v="-218.62"/>
    <d v="2025-09-30T00:00:00"/>
    <s v="ABSENCE POUR ENTRÉE/SORTIE"/>
    <m/>
    <e v="#N/A"/>
    <e v="#N/A"/>
    <n v="84128"/>
    <s v="SA202509"/>
    <m/>
    <s v="Q3"/>
    <e v="#REF!"/>
    <e v="#REF!"/>
    <e v="#REF!"/>
  </r>
  <r>
    <s v="641100"/>
    <x v="6"/>
    <s v="SALAIRES ET APPOINTEMENTS"/>
    <s v="SA"/>
    <n v="-217.65"/>
    <d v="2025-01-31T00:00:00"/>
    <s v="AJUSTEMENT DU NET"/>
    <m/>
    <e v="#N/A"/>
    <e v="#N/A"/>
    <n v="85413"/>
    <s v="SA202501"/>
    <m/>
    <s v="Q1"/>
    <e v="#REF!"/>
    <e v="#REF!"/>
    <e v="#REF!"/>
  </r>
  <r>
    <s v="641100"/>
    <x v="6"/>
    <s v="SALAIRES ET APPOINTEMENTS"/>
    <s v="SA"/>
    <n v="-162.15"/>
    <d v="2025-07-31T00:00:00"/>
    <s v="ABSENCE POUR ENTRÉE/SORTIE"/>
    <m/>
    <e v="#N/A"/>
    <e v="#N/A"/>
    <n v="79835"/>
    <s v="SA202507"/>
    <m/>
    <s v="Q3"/>
    <e v="#REF!"/>
    <e v="#REF!"/>
    <e v="#REF!"/>
  </r>
  <r>
    <s v="641100"/>
    <x v="6"/>
    <s v="SALAIRES ET APPOINTEMENTS"/>
    <s v="SA"/>
    <n v="-142.08000000000001"/>
    <d v="2025-04-30T00:00:00"/>
    <s v="RAPPEL SUR SALAIRE DE BASE (02/2025)"/>
    <m/>
    <e v="#N/A"/>
    <e v="#N/A"/>
    <n v="80358"/>
    <s v="SA202504"/>
    <m/>
    <s v="Q2"/>
    <e v="#REF!"/>
    <e v="#REF!"/>
    <e v="#REF!"/>
  </r>
  <r>
    <s v="641100"/>
    <x v="6"/>
    <s v="SALAIRES ET APPOINTEMENTS"/>
    <s v="SA"/>
    <n v="-94.19"/>
    <d v="2025-02-28T00:00:00"/>
    <s v="AJUSTEMENT DU NET"/>
    <m/>
    <e v="#N/A"/>
    <e v="#N/A"/>
    <n v="85225"/>
    <s v="SA202502"/>
    <m/>
    <s v="Q1"/>
    <e v="#REF!"/>
    <e v="#REF!"/>
    <e v="#REF!"/>
  </r>
  <r>
    <s v="641100"/>
    <x v="6"/>
    <s v="SALAIRES ET APPOINTEMENTS"/>
    <s v="SA"/>
    <n v="-93.27"/>
    <d v="2025-02-28T00:00:00"/>
    <s v="AJUSTEMENT DU NET"/>
    <m/>
    <e v="#N/A"/>
    <e v="#N/A"/>
    <n v="85228"/>
    <s v="SA202502"/>
    <m/>
    <s v="Q1"/>
    <e v="#REF!"/>
    <e v="#REF!"/>
    <e v="#REF!"/>
  </r>
  <r>
    <s v="641100"/>
    <x v="6"/>
    <s v="SALAIRES ET APPOINTEMENTS"/>
    <s v="SA"/>
    <n v="-84.49"/>
    <d v="2025-03-31T00:00:00"/>
    <s v="AJUSTEMENT DU NET"/>
    <m/>
    <e v="#N/A"/>
    <e v="#N/A"/>
    <n v="80518"/>
    <s v="SA202503"/>
    <m/>
    <s v="Q1"/>
    <e v="#REF!"/>
    <e v="#REF!"/>
    <e v="#REF!"/>
  </r>
  <r>
    <s v="641100"/>
    <x v="6"/>
    <s v="SALAIRES ET APPOINTEMENTS"/>
    <s v="SA"/>
    <n v="-81.209999999999994"/>
    <d v="2025-08-31T00:00:00"/>
    <s v="ABSENCE POUR ENTRÉE/SORTIE"/>
    <m/>
    <e v="#N/A"/>
    <e v="#N/A"/>
    <n v="83955"/>
    <s v="SA202508"/>
    <m/>
    <s v="Q3"/>
    <e v="#REF!"/>
    <e v="#REF!"/>
    <e v="#REF!"/>
  </r>
  <r>
    <s v="641100"/>
    <x v="6"/>
    <s v="SALAIRES ET APPOINTEMENTS"/>
    <s v="SA"/>
    <n v="-76.61"/>
    <d v="2025-02-28T00:00:00"/>
    <s v="AJUSTEMENT DU NET"/>
    <m/>
    <e v="#N/A"/>
    <e v="#N/A"/>
    <n v="85222"/>
    <s v="SA202502"/>
    <m/>
    <s v="Q1"/>
    <e v="#REF!"/>
    <e v="#REF!"/>
    <e v="#REF!"/>
  </r>
  <r>
    <s v="641100"/>
    <x v="6"/>
    <s v="SALAIRES ET APPOINTEMENTS"/>
    <s v="SA"/>
    <n v="-60.72"/>
    <d v="2025-01-31T00:00:00"/>
    <s v="AJUSTEMENT DU NET"/>
    <m/>
    <e v="#N/A"/>
    <e v="#N/A"/>
    <n v="85409"/>
    <s v="SA202501"/>
    <m/>
    <s v="Q1"/>
    <e v="#REF!"/>
    <e v="#REF!"/>
    <e v="#REF!"/>
  </r>
  <r>
    <s v="641100"/>
    <x v="6"/>
    <s v="SALAIRES ET APPOINTEMENTS"/>
    <s v="SA"/>
    <n v="-22.77"/>
    <d v="2025-06-30T00:00:00"/>
    <s v="AJUSTEMENT DU NET"/>
    <m/>
    <e v="#N/A"/>
    <e v="#N/A"/>
    <n v="80007"/>
    <s v="SA202506"/>
    <m/>
    <s v="Q2"/>
    <e v="#REF!"/>
    <e v="#REF!"/>
    <e v="#REF!"/>
  </r>
  <r>
    <s v="641100"/>
    <x v="6"/>
    <s v="SALAIRES ET APPOINTEMENTS"/>
    <s v="SA"/>
    <n v="60.85"/>
    <d v="2025-01-31T00:00:00"/>
    <s v="AN GSC"/>
    <m/>
    <e v="#N/A"/>
    <e v="#N/A"/>
    <n v="85407"/>
    <s v="SA202501"/>
    <m/>
    <s v="Q1"/>
    <e v="#REF!"/>
    <e v="#REF!"/>
    <e v="#REF!"/>
  </r>
  <r>
    <s v="641100"/>
    <x v="6"/>
    <s v="SALAIRES ET APPOINTEMENTS"/>
    <s v="SA"/>
    <n v="60.85"/>
    <d v="2025-02-28T00:00:00"/>
    <s v="AN GSC"/>
    <m/>
    <e v="#N/A"/>
    <e v="#N/A"/>
    <n v="85219"/>
    <s v="SA202502"/>
    <m/>
    <s v="Q1"/>
    <e v="#REF!"/>
    <e v="#REF!"/>
    <e v="#REF!"/>
  </r>
  <r>
    <s v="641100"/>
    <x v="6"/>
    <s v="SALAIRES ET APPOINTEMENTS"/>
    <s v="SA"/>
    <n v="60.85"/>
    <d v="2025-03-31T00:00:00"/>
    <s v="AN GSC"/>
    <m/>
    <e v="#N/A"/>
    <e v="#N/A"/>
    <n v="80515"/>
    <s v="SA202503"/>
    <m/>
    <s v="Q1"/>
    <e v="#REF!"/>
    <e v="#REF!"/>
    <e v="#REF!"/>
  </r>
  <r>
    <s v="641100"/>
    <x v="6"/>
    <s v="SALAIRES ET APPOINTEMENTS"/>
    <s v="SA"/>
    <n v="60.85"/>
    <d v="2025-04-30T00:00:00"/>
    <s v="AN GSC"/>
    <m/>
    <e v="#N/A"/>
    <e v="#N/A"/>
    <n v="80345"/>
    <s v="SA202504"/>
    <m/>
    <s v="Q2"/>
    <e v="#REF!"/>
    <e v="#REF!"/>
    <e v="#REF!"/>
  </r>
  <r>
    <s v="641100"/>
    <x v="6"/>
    <s v="SALAIRES ET APPOINTEMENTS"/>
    <s v="SA"/>
    <n v="60.85"/>
    <d v="2025-05-31T00:00:00"/>
    <s v="AN GSC"/>
    <m/>
    <e v="#N/A"/>
    <e v="#N/A"/>
    <n v="80175"/>
    <s v="SA202505"/>
    <m/>
    <s v="Q2"/>
    <e v="#REF!"/>
    <e v="#REF!"/>
    <e v="#REF!"/>
  </r>
  <r>
    <s v="641100"/>
    <x v="6"/>
    <s v="SALAIRES ET APPOINTEMENTS"/>
    <s v="SA"/>
    <n v="60.85"/>
    <d v="2025-06-30T00:00:00"/>
    <s v="AN GSC"/>
    <m/>
    <e v="#N/A"/>
    <e v="#N/A"/>
    <n v="80005"/>
    <s v="SA202506"/>
    <m/>
    <s v="Q2"/>
    <e v="#REF!"/>
    <e v="#REF!"/>
    <e v="#REF!"/>
  </r>
  <r>
    <s v="641100"/>
    <x v="6"/>
    <s v="SALAIRES ET APPOINTEMENTS"/>
    <s v="SA"/>
    <n v="60.85"/>
    <d v="2025-07-31T00:00:00"/>
    <s v="AN GSC"/>
    <m/>
    <e v="#N/A"/>
    <e v="#N/A"/>
    <n v="79831"/>
    <s v="SA202507"/>
    <m/>
    <s v="Q3"/>
    <e v="#REF!"/>
    <e v="#REF!"/>
    <e v="#REF!"/>
  </r>
  <r>
    <s v="641100"/>
    <x v="6"/>
    <s v="SALAIRES ET APPOINTEMENTS"/>
    <s v="SA"/>
    <n v="60.85"/>
    <d v="2025-08-31T00:00:00"/>
    <s v="AN GSC"/>
    <m/>
    <e v="#N/A"/>
    <e v="#N/A"/>
    <n v="83950"/>
    <s v="SA202508"/>
    <m/>
    <s v="Q3"/>
    <e v="#REF!"/>
    <e v="#REF!"/>
    <e v="#REF!"/>
  </r>
  <r>
    <s v="641100"/>
    <x v="6"/>
    <s v="SALAIRES ET APPOINTEMENTS"/>
    <s v="SA"/>
    <n v="60.85"/>
    <d v="2025-09-30T00:00:00"/>
    <s v="AN GSC"/>
    <m/>
    <e v="#N/A"/>
    <e v="#N/A"/>
    <n v="84125"/>
    <s v="SA202509"/>
    <m/>
    <s v="Q3"/>
    <e v="#REF!"/>
    <e v="#REF!"/>
    <e v="#REF!"/>
  </r>
  <r>
    <s v="641100"/>
    <x v="6"/>
    <s v="SALAIRES ET APPOINTEMENTS"/>
    <s v="SA"/>
    <n v="60.85"/>
    <d v="2025-10-31T00:00:00"/>
    <s v="AN GSC"/>
    <m/>
    <e v="#N/A"/>
    <e v="#N/A"/>
    <n v="87790"/>
    <s v="SA202510"/>
    <m/>
    <s v="Q4"/>
    <e v="#REF!"/>
    <e v="#REF!"/>
    <e v="#REF!"/>
  </r>
  <r>
    <s v="641100"/>
    <x v="6"/>
    <s v="SALAIRES ET APPOINTEMENTS"/>
    <s v="SA"/>
    <n v="60.85"/>
    <d v="2025-11-30T00:00:00"/>
    <s v="AN GSC"/>
    <m/>
    <e v="#N/A"/>
    <e v="#N/A"/>
    <n v="92299"/>
    <s v="SA202511"/>
    <m/>
    <s v="Q4"/>
    <e v="#REF!"/>
    <e v="#REF!"/>
    <e v="#REF!"/>
  </r>
  <r>
    <s v="641100"/>
    <x v="6"/>
    <s v="SALAIRES ET APPOINTEMENTS"/>
    <s v="SA"/>
    <n v="60.85"/>
    <d v="2025-12-31T00:00:00"/>
    <s v="AN GSC"/>
    <m/>
    <e v="#N/A"/>
    <e v="#N/A"/>
    <n v="92758"/>
    <s v="SA202512"/>
    <m/>
    <s v="Q4"/>
    <e v="#REF!"/>
    <e v="#REF!"/>
    <e v="#REF!"/>
  </r>
  <r>
    <s v="641100"/>
    <x v="6"/>
    <s v="SALAIRES ET APPOINTEMENTS"/>
    <s v="SA"/>
    <n v="299.24"/>
    <d v="2025-03-31T00:00:00"/>
    <s v="RAPPEL DE SALAIRE DE BASE (02/2025)"/>
    <m/>
    <e v="#N/A"/>
    <e v="#N/A"/>
    <n v="80528"/>
    <s v="SA202503"/>
    <m/>
    <s v="Q1"/>
    <e v="#REF!"/>
    <e v="#REF!"/>
    <e v="#REF!"/>
  </r>
  <r>
    <s v="641100"/>
    <x v="6"/>
    <s v="SALAIRES ET APPOINTEMENTS"/>
    <s v="SA"/>
    <n v="407.7"/>
    <d v="2025-04-30T00:00:00"/>
    <s v="RAPPEL SUR SALAIRE DE BASE (02/2025)"/>
    <m/>
    <e v="#N/A"/>
    <e v="#N/A"/>
    <n v="80355"/>
    <s v="SA202504"/>
    <m/>
    <s v="Q2"/>
    <e v="#REF!"/>
    <e v="#REF!"/>
    <e v="#REF!"/>
  </r>
  <r>
    <s v="641100"/>
    <x v="6"/>
    <s v="SALAIRES ET APPOINTEMENTS"/>
    <s v="SA"/>
    <n v="477.3"/>
    <d v="2025-05-31T00:00:00"/>
    <s v="RAPPEL SUR SALAIRE DE BASE (04/2025)"/>
    <m/>
    <e v="#N/A"/>
    <e v="#N/A"/>
    <n v="80190"/>
    <s v="SA202505"/>
    <m/>
    <s v="Q2"/>
    <e v="#REF!"/>
    <e v="#REF!"/>
    <e v="#REF!"/>
  </r>
  <r>
    <s v="641100"/>
    <x v="6"/>
    <s v="SALAIRES ET APPOINTEMENTS"/>
    <s v="SA"/>
    <n v="1422.84"/>
    <d v="2025-03-31T00:00:00"/>
    <s v="MISE À JOUR COEFFICIENT 250"/>
    <m/>
    <e v="#N/A"/>
    <e v="#N/A"/>
    <n v="80527"/>
    <s v="SA202503"/>
    <m/>
    <s v="Q1"/>
    <e v="#REF!"/>
    <e v="#REF!"/>
    <e v="#REF!"/>
  </r>
  <r>
    <s v="641100"/>
    <x v="6"/>
    <s v="SALAIRES ET APPOINTEMENTS"/>
    <s v="SA"/>
    <n v="11558.33"/>
    <d v="2025-01-31T00:00:00"/>
    <s v="SALAIRE"/>
    <m/>
    <e v="#N/A"/>
    <e v="#N/A"/>
    <n v="85416"/>
    <s v="SA202501"/>
    <m/>
    <s v="Q1"/>
    <e v="#REF!"/>
    <e v="#REF!"/>
    <e v="#REF!"/>
  </r>
  <r>
    <s v="641100"/>
    <x v="6"/>
    <s v="SALAIRES ET APPOINTEMENTS"/>
    <s v="SA"/>
    <n v="11883.15"/>
    <d v="2025-02-28T00:00:00"/>
    <s v="SALAIRE"/>
    <m/>
    <e v="#N/A"/>
    <e v="#N/A"/>
    <n v="85229"/>
    <s v="SA202502"/>
    <m/>
    <s v="Q1"/>
    <e v="#REF!"/>
    <e v="#REF!"/>
    <e v="#REF!"/>
  </r>
  <r>
    <s v="641100"/>
    <x v="6"/>
    <s v="SALAIRES ET APPOINTEMENTS"/>
    <s v="SA"/>
    <n v="12683.15"/>
    <d v="2025-03-31T00:00:00"/>
    <s v="SALAIRE"/>
    <m/>
    <e v="#N/A"/>
    <e v="#N/A"/>
    <n v="80523"/>
    <s v="SA202503"/>
    <m/>
    <s v="Q1"/>
    <e v="#REF!"/>
    <e v="#REF!"/>
    <e v="#REF!"/>
  </r>
  <r>
    <s v="641100"/>
    <x v="6"/>
    <s v="SALAIRES ET APPOINTEMENTS"/>
    <s v="SA"/>
    <n v="12683.15"/>
    <d v="2025-04-30T00:00:00"/>
    <s v="SALAIRE"/>
    <m/>
    <e v="#N/A"/>
    <e v="#N/A"/>
    <n v="80351"/>
    <s v="SA202504"/>
    <m/>
    <s v="Q2"/>
    <e v="#REF!"/>
    <e v="#REF!"/>
    <e v="#REF!"/>
  </r>
  <r>
    <s v="641100"/>
    <x v="6"/>
    <s v="SALAIRES ET APPOINTEMENTS"/>
    <s v="SA"/>
    <n v="12683.15"/>
    <d v="2025-05-31T00:00:00"/>
    <s v="SALAIRE"/>
    <m/>
    <e v="#N/A"/>
    <e v="#N/A"/>
    <n v="80182"/>
    <s v="SA202505"/>
    <m/>
    <s v="Q2"/>
    <e v="#REF!"/>
    <e v="#REF!"/>
    <e v="#REF!"/>
  </r>
  <r>
    <s v="641100"/>
    <x v="6"/>
    <s v="SALAIRES ET APPOINTEMENTS"/>
    <s v="SA"/>
    <n v="12683.15"/>
    <d v="2025-06-30T00:00:00"/>
    <s v="SALAIRE"/>
    <m/>
    <e v="#N/A"/>
    <e v="#N/A"/>
    <n v="80013"/>
    <s v="SA202506"/>
    <m/>
    <s v="Q2"/>
    <e v="#REF!"/>
    <e v="#REF!"/>
    <e v="#REF!"/>
  </r>
  <r>
    <s v="641100"/>
    <x v="6"/>
    <s v="SALAIRES ET APPOINTEMENTS"/>
    <s v="SA"/>
    <n v="12683.15"/>
    <d v="2025-07-31T00:00:00"/>
    <s v="SALAIRE"/>
    <m/>
    <e v="#N/A"/>
    <e v="#N/A"/>
    <n v="79840"/>
    <s v="SA202507"/>
    <m/>
    <s v="Q3"/>
    <e v="#REF!"/>
    <e v="#REF!"/>
    <e v="#REF!"/>
  </r>
  <r>
    <s v="641100"/>
    <x v="6"/>
    <s v="SALAIRES ET APPOINTEMENTS"/>
    <s v="SA"/>
    <n v="12683.15"/>
    <d v="2025-08-31T00:00:00"/>
    <s v="SALAIRE"/>
    <m/>
    <e v="#N/A"/>
    <e v="#N/A"/>
    <n v="83959"/>
    <s v="SA202508"/>
    <m/>
    <s v="Q3"/>
    <e v="#REF!"/>
    <e v="#REF!"/>
    <e v="#REF!"/>
  </r>
  <r>
    <s v="641100"/>
    <x v="6"/>
    <s v="SALAIRES ET APPOINTEMENTS"/>
    <s v="SA"/>
    <n v="12683.15"/>
    <d v="2025-09-30T00:00:00"/>
    <s v="SALAIRE"/>
    <m/>
    <e v="#N/A"/>
    <e v="#N/A"/>
    <n v="84132"/>
    <s v="SA202509"/>
    <m/>
    <s v="Q3"/>
    <e v="#REF!"/>
    <e v="#REF!"/>
    <e v="#REF!"/>
  </r>
  <r>
    <s v="641100"/>
    <x v="6"/>
    <s v="SALAIRES ET APPOINTEMENTS"/>
    <s v="SA"/>
    <n v="12683.15"/>
    <d v="2025-10-31T00:00:00"/>
    <s v="SALAIRE"/>
    <m/>
    <e v="#N/A"/>
    <e v="#N/A"/>
    <n v="87798"/>
    <s v="SA202510"/>
    <m/>
    <s v="Q4"/>
    <e v="#REF!"/>
    <e v="#REF!"/>
    <e v="#REF!"/>
  </r>
  <r>
    <s v="641100"/>
    <x v="6"/>
    <s v="SALAIRES ET APPOINTEMENTS"/>
    <s v="SA"/>
    <n v="12683.15"/>
    <d v="2025-11-30T00:00:00"/>
    <s v="SALAIRE"/>
    <m/>
    <e v="#N/A"/>
    <e v="#N/A"/>
    <n v="92305"/>
    <s v="SA202511"/>
    <m/>
    <s v="Q4"/>
    <e v="#REF!"/>
    <e v="#REF!"/>
    <e v="#REF!"/>
  </r>
  <r>
    <s v="641100"/>
    <x v="6"/>
    <s v="SALAIRES ET APPOINTEMENTS"/>
    <s v="SA"/>
    <n v="12683.15"/>
    <d v="2025-12-31T00:00:00"/>
    <s v="SALAIRE"/>
    <m/>
    <e v="#N/A"/>
    <e v="#N/A"/>
    <n v="92766"/>
    <s v="SA202512"/>
    <m/>
    <s v="Q4"/>
    <e v="#REF!"/>
    <e v="#REF!"/>
    <e v="#REF!"/>
  </r>
  <r>
    <s v="641100"/>
    <x v="6"/>
    <s v="SALAIRES ET APPOINTEMENTS"/>
    <s v="SA"/>
    <n v="29166.66"/>
    <d v="2025-03-31T00:00:00"/>
    <s v="SALAIRE"/>
    <m/>
    <e v="#N/A"/>
    <e v="#N/A"/>
    <n v="80516"/>
    <s v="SA202503"/>
    <m/>
    <s v="Q1"/>
    <e v="#REF!"/>
    <e v="#REF!"/>
    <e v="#REF!"/>
  </r>
  <r>
    <s v="641100"/>
    <x v="6"/>
    <s v="SALAIRES ET APPOINTEMENTS"/>
    <s v="SA"/>
    <n v="29166.66"/>
    <d v="2025-04-30T00:00:00"/>
    <s v="SALAIRE"/>
    <m/>
    <e v="#N/A"/>
    <e v="#N/A"/>
    <n v="80346"/>
    <s v="SA202504"/>
    <m/>
    <s v="Q2"/>
    <e v="#REF!"/>
    <e v="#REF!"/>
    <e v="#REF!"/>
  </r>
  <r>
    <s v="641100"/>
    <x v="6"/>
    <s v="SALAIRES ET APPOINTEMENTS"/>
    <s v="SA"/>
    <n v="29166.66"/>
    <d v="2025-05-31T00:00:00"/>
    <s v="SALAIRE"/>
    <m/>
    <e v="#N/A"/>
    <e v="#N/A"/>
    <n v="80176"/>
    <s v="SA202505"/>
    <m/>
    <s v="Q2"/>
    <e v="#REF!"/>
    <e v="#REF!"/>
    <e v="#REF!"/>
  </r>
  <r>
    <s v="641100"/>
    <x v="6"/>
    <s v="SALAIRES ET APPOINTEMENTS"/>
    <s v="SA"/>
    <n v="32250"/>
    <d v="2025-08-31T00:00:00"/>
    <s v="SALAIRE"/>
    <m/>
    <e v="#N/A"/>
    <e v="#N/A"/>
    <n v="83952"/>
    <s v="SA202508"/>
    <m/>
    <s v="Q3"/>
    <e v="#REF!"/>
    <e v="#REF!"/>
    <e v="#REF!"/>
  </r>
  <r>
    <s v="641100"/>
    <x v="6"/>
    <s v="SALAIRES ET APPOINTEMENTS"/>
    <s v="SA"/>
    <n v="32250"/>
    <d v="2025-09-30T00:00:00"/>
    <s v="SALAIRE"/>
    <m/>
    <e v="#N/A"/>
    <e v="#N/A"/>
    <n v="84127"/>
    <s v="SA202509"/>
    <m/>
    <s v="Q3"/>
    <e v="#REF!"/>
    <e v="#REF!"/>
    <e v="#REF!"/>
  </r>
  <r>
    <s v="641100"/>
    <x v="6"/>
    <s v="SALAIRES ET APPOINTEMENTS"/>
    <s v="SA"/>
    <n v="32250"/>
    <d v="2025-10-31T00:00:00"/>
    <s v="SALAIRE"/>
    <m/>
    <e v="#N/A"/>
    <e v="#N/A"/>
    <n v="87791"/>
    <s v="SA202510"/>
    <m/>
    <s v="Q4"/>
    <e v="#REF!"/>
    <e v="#REF!"/>
    <e v="#REF!"/>
  </r>
  <r>
    <s v="641100"/>
    <x v="6"/>
    <s v="SALAIRES ET APPOINTEMENTS"/>
    <s v="SA"/>
    <n v="32250"/>
    <d v="2025-11-30T00:00:00"/>
    <s v="SALAIRE"/>
    <m/>
    <e v="#N/A"/>
    <e v="#N/A"/>
    <n v="92300"/>
    <s v="SA202511"/>
    <m/>
    <s v="Q4"/>
    <e v="#REF!"/>
    <e v="#REF!"/>
    <e v="#REF!"/>
  </r>
  <r>
    <s v="641100"/>
    <x v="6"/>
    <s v="SALAIRES ET APPOINTEMENTS"/>
    <s v="SA"/>
    <n v="32250"/>
    <d v="2025-12-31T00:00:00"/>
    <s v="SALAIRE"/>
    <m/>
    <e v="#N/A"/>
    <e v="#N/A"/>
    <n v="92759"/>
    <s v="SA202512"/>
    <m/>
    <s v="Q4"/>
    <e v="#REF!"/>
    <e v="#REF!"/>
    <e v="#REF!"/>
  </r>
  <r>
    <s v="641100"/>
    <x v="6"/>
    <s v="SALAIRES ET APPOINTEMENTS"/>
    <s v="SA"/>
    <n v="35833.33"/>
    <d v="2025-06-30T00:00:00"/>
    <s v="SALAIRE"/>
    <m/>
    <e v="#N/A"/>
    <e v="#N/A"/>
    <n v="80006"/>
    <s v="SA202506"/>
    <m/>
    <s v="Q2"/>
    <e v="#REF!"/>
    <e v="#REF!"/>
    <e v="#REF!"/>
  </r>
  <r>
    <s v="641100"/>
    <x v="6"/>
    <s v="SALAIRES ET APPOINTEMENTS"/>
    <s v="SA"/>
    <n v="35833.33"/>
    <d v="2025-07-31T00:00:00"/>
    <s v="SALAIRE"/>
    <m/>
    <e v="#N/A"/>
    <e v="#N/A"/>
    <n v="79834"/>
    <s v="SA202507"/>
    <m/>
    <s v="Q3"/>
    <e v="#REF!"/>
    <e v="#REF!"/>
    <e v="#REF!"/>
  </r>
  <r>
    <s v="641100"/>
    <x v="6"/>
    <s v="SALAIRES ET APPOINTEMENTS"/>
    <s v="SA"/>
    <n v="37249.99"/>
    <d v="2025-01-31T00:00:00"/>
    <s v="SALAIRE"/>
    <m/>
    <e v="#N/A"/>
    <e v="#N/A"/>
    <n v="85408"/>
    <s v="SA202501"/>
    <m/>
    <s v="Q1"/>
    <e v="#REF!"/>
    <e v="#REF!"/>
    <e v="#REF!"/>
  </r>
  <r>
    <s v="641100"/>
    <x v="6"/>
    <s v="SALAIRES ET APPOINTEMENTS"/>
    <s v="SA"/>
    <n v="37249.99"/>
    <d v="2025-02-28T00:00:00"/>
    <s v="SALAIRE"/>
    <m/>
    <e v="#N/A"/>
    <e v="#N/A"/>
    <n v="85220"/>
    <s v="SA202502"/>
    <m/>
    <s v="Q1"/>
    <e v="#REF!"/>
    <e v="#REF!"/>
    <e v="#REF!"/>
  </r>
  <r>
    <s v="641100"/>
    <x v="6"/>
    <s v="SALAIRES ET APPOINTEMENTS"/>
    <s v="SA"/>
    <n v="42536.41"/>
    <d v="2025-01-31T00:00:00"/>
    <s v="SALAIRE"/>
    <m/>
    <e v="#N/A"/>
    <e v="#N/A"/>
    <n v="85411"/>
    <s v="SA202501"/>
    <m/>
    <s v="Q1"/>
    <e v="#REF!"/>
    <e v="#REF!"/>
    <e v="#REF!"/>
  </r>
  <r>
    <s v="641100"/>
    <x v="6"/>
    <s v="SALAIRES ET APPOINTEMENTS"/>
    <s v="SA"/>
    <n v="43110.62"/>
    <d v="2025-10-31T00:00:00"/>
    <s v="SALAIRE"/>
    <m/>
    <e v="#N/A"/>
    <e v="#N/A"/>
    <n v="87793"/>
    <s v="SA202510"/>
    <m/>
    <s v="Q4"/>
    <e v="#REF!"/>
    <e v="#REF!"/>
    <e v="#REF!"/>
  </r>
  <r>
    <s v="641100"/>
    <x v="6"/>
    <s v="SALAIRES ET APPOINTEMENTS"/>
    <s v="SA"/>
    <n v="43110.62"/>
    <d v="2025-11-30T00:00:00"/>
    <s v="SALAIRE"/>
    <m/>
    <e v="#N/A"/>
    <e v="#N/A"/>
    <n v="92301"/>
    <s v="SA202511"/>
    <m/>
    <s v="Q4"/>
    <e v="#REF!"/>
    <e v="#REF!"/>
    <e v="#REF!"/>
  </r>
  <r>
    <s v="641100"/>
    <x v="6"/>
    <s v="SALAIRES ET APPOINTEMENTS"/>
    <s v="SA"/>
    <n v="43110.62"/>
    <d v="2025-12-31T00:00:00"/>
    <s v="SALAIRE"/>
    <m/>
    <e v="#N/A"/>
    <e v="#N/A"/>
    <n v="92761"/>
    <s v="SA202512"/>
    <m/>
    <s v="Q4"/>
    <e v="#REF!"/>
    <e v="#REF!"/>
    <e v="#REF!"/>
  </r>
  <r>
    <s v="641100"/>
    <x v="6"/>
    <s v="SALAIRES ET APPOINTEMENTS"/>
    <s v="SA"/>
    <n v="45417.53"/>
    <d v="2025-07-31T00:00:00"/>
    <s v="SALAIRE"/>
    <m/>
    <e v="#N/A"/>
    <e v="#N/A"/>
    <n v="79836"/>
    <s v="SA202507"/>
    <m/>
    <s v="Q3"/>
    <e v="#REF!"/>
    <e v="#REF!"/>
    <e v="#REF!"/>
  </r>
  <r>
    <s v="641100"/>
    <x v="6"/>
    <s v="SALAIRES ET APPOINTEMENTS"/>
    <s v="SA"/>
    <n v="45417.53"/>
    <d v="2025-08-31T00:00:00"/>
    <s v="SALAIRE"/>
    <m/>
    <e v="#N/A"/>
    <e v="#N/A"/>
    <n v="83954"/>
    <s v="SA202508"/>
    <m/>
    <s v="Q3"/>
    <e v="#REF!"/>
    <e v="#REF!"/>
    <e v="#REF!"/>
  </r>
  <r>
    <s v="641100"/>
    <x v="6"/>
    <s v="SALAIRES ET APPOINTEMENTS"/>
    <s v="SA"/>
    <n v="45952"/>
    <d v="2025-09-30T00:00:00"/>
    <s v="SALAIRE"/>
    <m/>
    <e v="#N/A"/>
    <e v="#N/A"/>
    <n v="84129"/>
    <s v="SA202509"/>
    <m/>
    <s v="Q3"/>
    <e v="#REF!"/>
    <e v="#REF!"/>
    <e v="#REF!"/>
  </r>
  <r>
    <s v="641100"/>
    <x v="6"/>
    <s v="SALAIRES ET APPOINTEMENTS"/>
    <s v="SA"/>
    <n v="49000.86"/>
    <d v="2025-02-28T00:00:00"/>
    <s v="SALAIRE"/>
    <m/>
    <e v="#N/A"/>
    <e v="#N/A"/>
    <n v="85223"/>
    <s v="SA202502"/>
    <m/>
    <s v="Q1"/>
    <e v="#REF!"/>
    <e v="#REF!"/>
    <e v="#REF!"/>
  </r>
  <r>
    <s v="641100"/>
    <x v="6"/>
    <s v="SALAIRES ET APPOINTEMENTS"/>
    <s v="SA"/>
    <n v="49300.1"/>
    <d v="2025-03-31T00:00:00"/>
    <s v="SALAIRE"/>
    <m/>
    <e v="#N/A"/>
    <e v="#N/A"/>
    <n v="80519"/>
    <s v="SA202503"/>
    <m/>
    <s v="Q1"/>
    <e v="#REF!"/>
    <e v="#REF!"/>
    <e v="#REF!"/>
  </r>
  <r>
    <s v="641100"/>
    <x v="6"/>
    <s v="SALAIRES ET APPOINTEMENTS"/>
    <s v="SA"/>
    <n v="49800.1"/>
    <d v="2025-04-30T00:00:00"/>
    <s v="SALAIRE"/>
    <m/>
    <e v="#N/A"/>
    <e v="#N/A"/>
    <n v="80348"/>
    <s v="SA202504"/>
    <m/>
    <s v="Q2"/>
    <e v="#REF!"/>
    <e v="#REF!"/>
    <e v="#REF!"/>
  </r>
  <r>
    <s v="641100"/>
    <x v="6"/>
    <s v="SALAIRES ET APPOINTEMENTS"/>
    <s v="SA"/>
    <n v="50216.77"/>
    <d v="2025-06-30T00:00:00"/>
    <s v="SALAIRE"/>
    <m/>
    <e v="#N/A"/>
    <e v="#N/A"/>
    <n v="80009"/>
    <s v="SA202506"/>
    <m/>
    <s v="Q2"/>
    <e v="#REF!"/>
    <e v="#REF!"/>
    <e v="#REF!"/>
  </r>
  <r>
    <s v="641100"/>
    <x v="6"/>
    <s v="SALAIRES ET APPOINTEMENTS"/>
    <s v="SA"/>
    <n v="54396.56"/>
    <d v="2025-05-31T00:00:00"/>
    <s v="SALAIRE"/>
    <m/>
    <e v="#N/A"/>
    <e v="#N/A"/>
    <n v="80178"/>
    <s v="SA202505"/>
    <m/>
    <s v="Q2"/>
    <e v="#REF!"/>
    <e v="#REF!"/>
    <e v="#REF!"/>
  </r>
  <r>
    <s v="641100"/>
    <x v="6"/>
    <s v="SALAIRES ET APPOINTEMENTS"/>
    <s v="SA"/>
    <n v="92775.46"/>
    <d v="2025-04-30T00:00:00"/>
    <s v="SALAIRE"/>
    <m/>
    <e v="#N/A"/>
    <e v="#N/A"/>
    <n v="80350"/>
    <s v="SA202504"/>
    <m/>
    <s v="Q2"/>
    <e v="#REF!"/>
    <e v="#REF!"/>
    <e v="#REF!"/>
  </r>
  <r>
    <s v="641100"/>
    <x v="6"/>
    <s v="SALAIRES ET APPOINTEMENTS"/>
    <s v="SA"/>
    <n v="93252.76"/>
    <d v="2025-05-31T00:00:00"/>
    <s v="SALAIRE"/>
    <m/>
    <e v="#N/A"/>
    <e v="#N/A"/>
    <n v="80181"/>
    <s v="SA202505"/>
    <m/>
    <s v="Q2"/>
    <e v="#REF!"/>
    <e v="#REF!"/>
    <e v="#REF!"/>
  </r>
  <r>
    <s v="641100"/>
    <x v="6"/>
    <s v="SALAIRES ET APPOINTEMENTS"/>
    <s v="SA"/>
    <n v="94067.23"/>
    <d v="2025-08-31T00:00:00"/>
    <s v="SALAIRE"/>
    <m/>
    <e v="#N/A"/>
    <e v="#N/A"/>
    <n v="83958"/>
    <s v="SA202508"/>
    <m/>
    <s v="Q3"/>
    <e v="#REF!"/>
    <e v="#REF!"/>
    <e v="#REF!"/>
  </r>
  <r>
    <s v="641100"/>
    <x v="6"/>
    <s v="SALAIRES ET APPOINTEMENTS"/>
    <s v="SA"/>
    <n v="94308.39"/>
    <d v="2025-10-31T00:00:00"/>
    <s v="SALAIRE"/>
    <m/>
    <e v="#N/A"/>
    <e v="#N/A"/>
    <n v="87796"/>
    <s v="SA202510"/>
    <m/>
    <s v="Q4"/>
    <e v="#REF!"/>
    <e v="#REF!"/>
    <e v="#REF!"/>
  </r>
  <r>
    <s v="641100"/>
    <x v="6"/>
    <s v="SALAIRES ET APPOINTEMENTS"/>
    <s v="SA"/>
    <n v="94308.39"/>
    <d v="2025-11-30T00:00:00"/>
    <s v="SALAIRE"/>
    <m/>
    <e v="#N/A"/>
    <e v="#N/A"/>
    <n v="92304"/>
    <s v="SA202511"/>
    <m/>
    <s v="Q4"/>
    <e v="#REF!"/>
    <e v="#REF!"/>
    <e v="#REF!"/>
  </r>
  <r>
    <s v="641100"/>
    <x v="6"/>
    <s v="SALAIRES ET APPOINTEMENTS"/>
    <s v="SA"/>
    <n v="94308.39"/>
    <d v="2025-12-31T00:00:00"/>
    <s v="SALAIRE"/>
    <m/>
    <e v="#N/A"/>
    <e v="#N/A"/>
    <n v="92765"/>
    <s v="SA202512"/>
    <m/>
    <s v="Q4"/>
    <e v="#REF!"/>
    <e v="#REF!"/>
    <e v="#REF!"/>
  </r>
  <r>
    <s v="641100"/>
    <x v="6"/>
    <s v="SALAIRES ET APPOINTEMENTS"/>
    <s v="SA"/>
    <n v="96753.9"/>
    <d v="2025-06-30T00:00:00"/>
    <s v="SALAIRE"/>
    <m/>
    <e v="#N/A"/>
    <e v="#N/A"/>
    <n v="80012"/>
    <s v="SA202506"/>
    <m/>
    <s v="Q2"/>
    <e v="#REF!"/>
    <e v="#REF!"/>
    <e v="#REF!"/>
  </r>
  <r>
    <s v="641100"/>
    <x v="6"/>
    <s v="SALAIRES ET APPOINTEMENTS"/>
    <s v="SA"/>
    <n v="96753.9"/>
    <d v="2025-07-31T00:00:00"/>
    <s v="SALAIRE"/>
    <m/>
    <e v="#N/A"/>
    <e v="#N/A"/>
    <n v="79839"/>
    <s v="SA202507"/>
    <m/>
    <s v="Q3"/>
    <e v="#REF!"/>
    <e v="#REF!"/>
    <e v="#REF!"/>
  </r>
  <r>
    <s v="641100"/>
    <x v="6"/>
    <s v="SALAIRES ET APPOINTEMENTS"/>
    <s v="SA"/>
    <n v="97178.54"/>
    <d v="2025-09-30T00:00:00"/>
    <s v="SALAIRE"/>
    <m/>
    <e v="#N/A"/>
    <e v="#N/A"/>
    <n v="84131"/>
    <s v="SA202509"/>
    <m/>
    <s v="Q3"/>
    <e v="#REF!"/>
    <e v="#REF!"/>
    <e v="#REF!"/>
  </r>
  <r>
    <s v="641100"/>
    <x v="6"/>
    <s v="SALAIRES ET APPOINTEMENTS"/>
    <s v="SA"/>
    <n v="100066.26"/>
    <d v="2025-03-31T00:00:00"/>
    <s v="SALAIRE"/>
    <m/>
    <e v="#N/A"/>
    <e v="#N/A"/>
    <n v="80522"/>
    <s v="SA202503"/>
    <m/>
    <s v="Q1"/>
    <e v="#REF!"/>
    <e v="#REF!"/>
    <e v="#REF!"/>
  </r>
  <r>
    <s v="641100"/>
    <x v="6"/>
    <s v="SALAIRES ET APPOINTEMENTS"/>
    <s v="SA"/>
    <n v="100469.79"/>
    <d v="2025-02-28T00:00:00"/>
    <s v="SALAIRE"/>
    <m/>
    <e v="#N/A"/>
    <e v="#N/A"/>
    <n v="85226"/>
    <s v="SA202502"/>
    <m/>
    <s v="Q1"/>
    <e v="#REF!"/>
    <e v="#REF!"/>
    <e v="#REF!"/>
  </r>
  <r>
    <s v="641100"/>
    <x v="6"/>
    <s v="SALAIRES ET APPOINTEMENTS"/>
    <s v="SA"/>
    <n v="101629.41"/>
    <d v="2025-01-31T00:00:00"/>
    <s v="SALAIRE"/>
    <m/>
    <e v="#N/A"/>
    <e v="#N/A"/>
    <n v="85415"/>
    <s v="SA202501"/>
    <m/>
    <s v="Q1"/>
    <e v="#REF!"/>
    <e v="#REF!"/>
    <e v="#REF!"/>
  </r>
  <r>
    <s v="641200"/>
    <x v="6"/>
    <s v="CONGÉS PAYÉS"/>
    <s v="JC"/>
    <n v="-162084"/>
    <d v="2025-01-01T00:00:00"/>
    <s v="Extourne Provision"/>
    <m/>
    <e v="#N/A"/>
    <e v="#N/A"/>
    <n v="72180"/>
    <m/>
    <m/>
    <s v="Q1"/>
    <e v="#REF!"/>
    <e v="#REF!"/>
    <e v="#REF!"/>
  </r>
  <r>
    <s v="641200"/>
    <x v="6"/>
    <s v="CONGÉS PAYÉS"/>
    <s v="JC"/>
    <n v="-84253.96"/>
    <d v="2025-05-01T00:00:00"/>
    <s v="PROVISION CP"/>
    <m/>
    <e v="#N/A"/>
    <e v="#N/A"/>
    <n v="92589"/>
    <s v="Extourne Provision CP"/>
    <m/>
    <s v="Q2"/>
    <e v="#REF!"/>
    <e v="#REF!"/>
    <e v="#REF!"/>
  </r>
  <r>
    <s v="641200"/>
    <x v="6"/>
    <s v="CONGÉS PAYÉS"/>
    <s v="JC"/>
    <n v="-84138.65"/>
    <d v="2025-07-01T00:00:00"/>
    <s v="Extourne Provision CP"/>
    <m/>
    <e v="#N/A"/>
    <e v="#N/A"/>
    <n v="85878"/>
    <m/>
    <m/>
    <s v="Q3"/>
    <e v="#REF!"/>
    <e v="#REF!"/>
    <e v="#REF!"/>
  </r>
  <r>
    <s v="641200"/>
    <x v="6"/>
    <s v="CONGÉS PAYÉS"/>
    <s v="JC"/>
    <n v="-83190.759999999995"/>
    <d v="2025-04-01T00:00:00"/>
    <s v="PROVISION CP"/>
    <m/>
    <e v="#N/A"/>
    <e v="#N/A"/>
    <n v="92509"/>
    <s v="Extourne Provision CP"/>
    <m/>
    <s v="Q2"/>
    <e v="#REF!"/>
    <e v="#REF!"/>
    <e v="#REF!"/>
  </r>
  <r>
    <s v="641200"/>
    <x v="6"/>
    <s v="CONGÉS PAYÉS"/>
    <s v="JC"/>
    <n v="-79386.86"/>
    <d v="2025-12-01T00:00:00"/>
    <s v="PROVISION CP"/>
    <m/>
    <e v="#N/A"/>
    <e v="#N/A"/>
    <n v="92446"/>
    <s v="Extourne Provision CP"/>
    <m/>
    <s v="Q4"/>
    <e v="#REF!"/>
    <e v="#REF!"/>
    <e v="#REF!"/>
  </r>
  <r>
    <s v="641200"/>
    <x v="6"/>
    <s v="CONGÉS PAYÉS"/>
    <s v="JC"/>
    <n v="-79087.929999999993"/>
    <d v="2025-03-01T00:00:00"/>
    <s v="PROVISION CP"/>
    <m/>
    <e v="#N/A"/>
    <e v="#N/A"/>
    <n v="92549"/>
    <s v="Extourne Provision CP"/>
    <m/>
    <s v="Q1"/>
    <e v="#REF!"/>
    <e v="#REF!"/>
    <e v="#REF!"/>
  </r>
  <r>
    <s v="641200"/>
    <x v="6"/>
    <s v="CONGÉS PAYÉS"/>
    <s v="JC"/>
    <n v="-79003.399999999994"/>
    <d v="2025-08-01T00:00:00"/>
    <s v="Extourne Provision CP"/>
    <m/>
    <e v="#N/A"/>
    <e v="#N/A"/>
    <n v="85916"/>
    <m/>
    <m/>
    <s v="Q3"/>
    <e v="#REF!"/>
    <e v="#REF!"/>
    <e v="#REF!"/>
  </r>
  <r>
    <s v="641200"/>
    <x v="6"/>
    <s v="CONGÉS PAYÉS"/>
    <s v="JC"/>
    <n v="-78072.55"/>
    <d v="2025-06-01T00:00:00"/>
    <s v="PROVISION CP"/>
    <m/>
    <e v="#N/A"/>
    <e v="#N/A"/>
    <n v="92629"/>
    <s v="Extourne Provision CP"/>
    <m/>
    <s v="Q2"/>
    <e v="#REF!"/>
    <e v="#REF!"/>
    <e v="#REF!"/>
  </r>
  <r>
    <s v="641200"/>
    <x v="6"/>
    <s v="CONGÉS PAYÉS"/>
    <s v="JC"/>
    <n v="-75874"/>
    <d v="2025-01-01T00:00:00"/>
    <s v="Extourne Provision"/>
    <m/>
    <e v="#N/A"/>
    <e v="#N/A"/>
    <n v="92648"/>
    <s v="Extourne Provision"/>
    <m/>
    <s v="Q1"/>
    <e v="#REF!"/>
    <e v="#REF!"/>
    <e v="#REF!"/>
  </r>
  <r>
    <s v="641200"/>
    <x v="6"/>
    <s v="CONGÉS PAYÉS"/>
    <s v="JC"/>
    <n v="-75733.09"/>
    <d v="2025-02-01T00:00:00"/>
    <s v="Extourne Provision CP"/>
    <m/>
    <e v="#N/A"/>
    <e v="#N/A"/>
    <n v="92467"/>
    <m/>
    <m/>
    <s v="Q1"/>
    <e v="#REF!"/>
    <e v="#REF!"/>
    <e v="#REF!"/>
  </r>
  <r>
    <s v="641200"/>
    <x v="6"/>
    <s v="CONGÉS PAYÉS"/>
    <s v="JC"/>
    <n v="-74863.679999999993"/>
    <d v="2025-11-01T00:00:00"/>
    <s v="PROVISION CP"/>
    <m/>
    <e v="#N/A"/>
    <e v="#N/A"/>
    <n v="87957"/>
    <s v="Extourne Provision CP"/>
    <m/>
    <s v="Q4"/>
    <e v="#REF!"/>
    <e v="#REF!"/>
    <e v="#REF!"/>
  </r>
  <r>
    <s v="641200"/>
    <x v="6"/>
    <s v="CONGÉS PAYÉS"/>
    <s v="JC"/>
    <n v="-63142.44"/>
    <d v="2025-10-01T00:00:00"/>
    <s v="Extourne Provision CP"/>
    <m/>
    <e v="#N/A"/>
    <e v="#N/A"/>
    <n v="85836"/>
    <m/>
    <m/>
    <s v="Q4"/>
    <e v="#REF!"/>
    <e v="#REF!"/>
    <e v="#REF!"/>
  </r>
  <r>
    <s v="641200"/>
    <x v="6"/>
    <s v="CONGÉS PAYÉS"/>
    <s v="JC"/>
    <n v="-61582.34"/>
    <d v="2025-09-01T00:00:00"/>
    <s v="PROVISION CP"/>
    <m/>
    <e v="#N/A"/>
    <e v="#N/A"/>
    <n v="85968"/>
    <s v="Extourne Provision CP"/>
    <m/>
    <s v="Q3"/>
    <e v="#REF!"/>
    <e v="#REF!"/>
    <e v="#REF!"/>
  </r>
  <r>
    <s v="641200"/>
    <x v="6"/>
    <s v="CONGÉS PAYÉS"/>
    <s v="JC"/>
    <n v="-54213.760000000002"/>
    <d v="2025-05-01T00:00:00"/>
    <s v="PROVISION CP"/>
    <m/>
    <e v="#N/A"/>
    <e v="#N/A"/>
    <n v="92588"/>
    <s v="Extourne Provision CP"/>
    <m/>
    <s v="Q2"/>
    <e v="#REF!"/>
    <e v="#REF!"/>
    <e v="#REF!"/>
  </r>
  <r>
    <s v="641200"/>
    <x v="6"/>
    <s v="CONGÉS PAYÉS"/>
    <s v="JC"/>
    <n v="-53966.97"/>
    <d v="2025-06-01T00:00:00"/>
    <s v="PROVISION CP"/>
    <m/>
    <e v="#N/A"/>
    <e v="#N/A"/>
    <n v="92628"/>
    <s v="Extourne Provision CP"/>
    <m/>
    <s v="Q2"/>
    <e v="#REF!"/>
    <e v="#REF!"/>
    <e v="#REF!"/>
  </r>
  <r>
    <s v="641200"/>
    <x v="6"/>
    <s v="CONGÉS PAYÉS"/>
    <s v="JC"/>
    <n v="-53326.6"/>
    <d v="2025-04-01T00:00:00"/>
    <s v="PROVISION CP"/>
    <m/>
    <e v="#N/A"/>
    <e v="#N/A"/>
    <n v="92508"/>
    <s v="Extourne Provision CP"/>
    <m/>
    <s v="Q2"/>
    <e v="#REF!"/>
    <e v="#REF!"/>
    <e v="#REF!"/>
  </r>
  <r>
    <s v="641200"/>
    <x v="6"/>
    <s v="CONGÉS PAYÉS"/>
    <s v="JC"/>
    <n v="-50626.96"/>
    <d v="2025-03-01T00:00:00"/>
    <s v="PROVISION CP"/>
    <m/>
    <e v="#N/A"/>
    <e v="#N/A"/>
    <n v="92548"/>
    <s v="Extourne Provision CP"/>
    <m/>
    <s v="Q1"/>
    <e v="#REF!"/>
    <e v="#REF!"/>
    <e v="#REF!"/>
  </r>
  <r>
    <s v="641200"/>
    <x v="6"/>
    <s v="CONGÉS PAYÉS"/>
    <s v="JC"/>
    <n v="-49052.46"/>
    <d v="2025-07-01T00:00:00"/>
    <s v="Extourne Provision CP"/>
    <m/>
    <e v="#N/A"/>
    <e v="#N/A"/>
    <n v="85876"/>
    <m/>
    <m/>
    <s v="Q3"/>
    <e v="#REF!"/>
    <e v="#REF!"/>
    <e v="#REF!"/>
  </r>
  <r>
    <s v="641200"/>
    <x v="6"/>
    <s v="CONGÉS PAYÉS"/>
    <s v="JC"/>
    <n v="-47887.23"/>
    <d v="2025-02-01T00:00:00"/>
    <s v="Extourne Provision CP"/>
    <m/>
    <e v="#N/A"/>
    <e v="#N/A"/>
    <n v="92466"/>
    <m/>
    <m/>
    <s v="Q1"/>
    <e v="#REF!"/>
    <e v="#REF!"/>
    <e v="#REF!"/>
  </r>
  <r>
    <s v="641200"/>
    <x v="6"/>
    <s v="CONGÉS PAYÉS"/>
    <s v="JC"/>
    <n v="-47259.74"/>
    <d v="2025-08-01T00:00:00"/>
    <s v="Extourne Provision CP"/>
    <m/>
    <e v="#N/A"/>
    <e v="#N/A"/>
    <n v="85918"/>
    <m/>
    <m/>
    <s v="Q3"/>
    <e v="#REF!"/>
    <e v="#REF!"/>
    <e v="#REF!"/>
  </r>
  <r>
    <s v="641200"/>
    <x v="6"/>
    <s v="CONGÉS PAYÉS"/>
    <s v="JC"/>
    <n v="-46166"/>
    <d v="2025-01-01T00:00:00"/>
    <s v="Extourne Provision"/>
    <m/>
    <e v="#N/A"/>
    <e v="#N/A"/>
    <n v="92647"/>
    <s v="Extourne Provision"/>
    <m/>
    <s v="Q1"/>
    <e v="#REF!"/>
    <e v="#REF!"/>
    <e v="#REF!"/>
  </r>
  <r>
    <s v="641200"/>
    <x v="6"/>
    <s v="CONGÉS PAYÉS"/>
    <s v="JC"/>
    <n v="-45233.75"/>
    <d v="2025-12-01T00:00:00"/>
    <s v="PROVISION CP"/>
    <m/>
    <e v="#N/A"/>
    <e v="#N/A"/>
    <n v="92445"/>
    <s v="Extourne Provision CP"/>
    <m/>
    <s v="Q4"/>
    <e v="#REF!"/>
    <e v="#REF!"/>
    <e v="#REF!"/>
  </r>
  <r>
    <s v="641200"/>
    <x v="6"/>
    <s v="CONGÉS PAYÉS"/>
    <s v="JC"/>
    <n v="-42856.53"/>
    <d v="2025-11-01T00:00:00"/>
    <s v="PROVISION CP"/>
    <m/>
    <e v="#N/A"/>
    <e v="#N/A"/>
    <n v="87956"/>
    <s v="Extourne Provision CP"/>
    <m/>
    <s v="Q4"/>
    <e v="#REF!"/>
    <e v="#REF!"/>
    <e v="#REF!"/>
  </r>
  <r>
    <s v="641200"/>
    <x v="6"/>
    <s v="CONGÉS PAYÉS"/>
    <s v="JC"/>
    <n v="-37646.379999999997"/>
    <d v="2025-09-01T00:00:00"/>
    <s v="PROVISION CP"/>
    <m/>
    <e v="#N/A"/>
    <e v="#N/A"/>
    <n v="85967"/>
    <s v="Extourne Provision CP"/>
    <m/>
    <s v="Q3"/>
    <e v="#REF!"/>
    <e v="#REF!"/>
    <e v="#REF!"/>
  </r>
  <r>
    <s v="641200"/>
    <x v="6"/>
    <s v="CONGÉS PAYÉS"/>
    <s v="JC"/>
    <n v="-36768.019999999997"/>
    <d v="2025-10-01T00:00:00"/>
    <s v="Extourne Provision CP"/>
    <m/>
    <e v="#N/A"/>
    <e v="#N/A"/>
    <n v="85835"/>
    <m/>
    <m/>
    <s v="Q4"/>
    <e v="#REF!"/>
    <e v="#REF!"/>
    <e v="#REF!"/>
  </r>
  <r>
    <s v="641200"/>
    <x v="6"/>
    <s v="CONGÉS PAYÉS"/>
    <s v="JC"/>
    <n v="-24268"/>
    <d v="2025-01-01T00:00:00"/>
    <s v="Extourne Provision"/>
    <m/>
    <e v="#N/A"/>
    <e v="#N/A"/>
    <n v="92646"/>
    <s v="Extourne Provision"/>
    <m/>
    <s v="Q1"/>
    <e v="#REF!"/>
    <e v="#REF!"/>
    <e v="#REF!"/>
  </r>
  <r>
    <s v="641200"/>
    <x v="6"/>
    <s v="CONGÉS PAYÉS"/>
    <s v="JC"/>
    <n v="-23811.26"/>
    <d v="2025-02-01T00:00:00"/>
    <s v="Extourne Provision CP"/>
    <m/>
    <e v="#N/A"/>
    <e v="#N/A"/>
    <n v="92463"/>
    <m/>
    <m/>
    <s v="Q1"/>
    <e v="#REF!"/>
    <e v="#REF!"/>
    <e v="#REF!"/>
  </r>
  <r>
    <s v="641200"/>
    <x v="6"/>
    <s v="CONGÉS PAYÉS"/>
    <s v="JC"/>
    <n v="-22547.57"/>
    <d v="2025-07-01T00:00:00"/>
    <s v="Extourne Provision CP"/>
    <m/>
    <e v="#N/A"/>
    <e v="#N/A"/>
    <n v="85875"/>
    <m/>
    <m/>
    <s v="Q3"/>
    <e v="#REF!"/>
    <e v="#REF!"/>
    <e v="#REF!"/>
  </r>
  <r>
    <s v="641200"/>
    <x v="6"/>
    <s v="CONGÉS PAYÉS"/>
    <s v="JC"/>
    <n v="-21815.1"/>
    <d v="2025-08-01T00:00:00"/>
    <s v="Extourne Provision CP"/>
    <m/>
    <e v="#N/A"/>
    <e v="#N/A"/>
    <n v="85919"/>
    <m/>
    <m/>
    <s v="Q3"/>
    <e v="#REF!"/>
    <e v="#REF!"/>
    <e v="#REF!"/>
  </r>
  <r>
    <s v="641200"/>
    <x v="6"/>
    <s v="CONGÉS PAYÉS"/>
    <s v="JC"/>
    <n v="-20667.36"/>
    <d v="2025-06-01T00:00:00"/>
    <s v="PROVISION CP"/>
    <m/>
    <e v="#N/A"/>
    <e v="#N/A"/>
    <n v="92627"/>
    <s v="Extourne Provision CP"/>
    <m/>
    <s v="Q2"/>
    <e v="#REF!"/>
    <e v="#REF!"/>
    <e v="#REF!"/>
  </r>
  <r>
    <s v="641200"/>
    <x v="6"/>
    <s v="CONGÉS PAYÉS"/>
    <s v="JC"/>
    <n v="-19419.150000000001"/>
    <d v="2025-05-01T00:00:00"/>
    <s v="PROVISION CP"/>
    <m/>
    <e v="#N/A"/>
    <e v="#N/A"/>
    <n v="92587"/>
    <s v="Extourne Provision CP"/>
    <m/>
    <s v="Q2"/>
    <e v="#REF!"/>
    <e v="#REF!"/>
    <e v="#REF!"/>
  </r>
  <r>
    <s v="641200"/>
    <x v="6"/>
    <s v="CONGÉS PAYÉS"/>
    <s v="JC"/>
    <n v="-18578.59"/>
    <d v="2025-08-01T00:00:00"/>
    <s v="Extourne Provision CP"/>
    <m/>
    <e v="#N/A"/>
    <e v="#N/A"/>
    <n v="85917"/>
    <m/>
    <m/>
    <s v="Q3"/>
    <e v="#REF!"/>
    <e v="#REF!"/>
    <e v="#REF!"/>
  </r>
  <r>
    <s v="641200"/>
    <x v="6"/>
    <s v="CONGÉS PAYÉS"/>
    <s v="JC"/>
    <n v="-18540.53"/>
    <d v="2025-12-01T00:00:00"/>
    <s v="PROVISION CP"/>
    <m/>
    <e v="#N/A"/>
    <e v="#N/A"/>
    <n v="92444"/>
    <s v="Extourne Provision CP"/>
    <m/>
    <s v="Q4"/>
    <e v="#REF!"/>
    <e v="#REF!"/>
    <e v="#REF!"/>
  </r>
  <r>
    <s v="641200"/>
    <x v="6"/>
    <s v="CONGÉS PAYÉS"/>
    <s v="JC"/>
    <n v="-18485.89"/>
    <d v="2025-04-01T00:00:00"/>
    <s v="PROVISION CP"/>
    <m/>
    <e v="#N/A"/>
    <e v="#N/A"/>
    <n v="92507"/>
    <s v="Extourne Provision CP"/>
    <m/>
    <s v="Q2"/>
    <e v="#REF!"/>
    <e v="#REF!"/>
    <e v="#REF!"/>
  </r>
  <r>
    <s v="641200"/>
    <x v="6"/>
    <s v="CONGÉS PAYÉS"/>
    <s v="JC"/>
    <n v="-18235.98"/>
    <d v="2025-07-01T00:00:00"/>
    <s v="Extourne Provision CP"/>
    <m/>
    <e v="#N/A"/>
    <e v="#N/A"/>
    <n v="85877"/>
    <m/>
    <m/>
    <s v="Q3"/>
    <e v="#REF!"/>
    <e v="#REF!"/>
    <e v="#REF!"/>
  </r>
  <r>
    <s v="641200"/>
    <x v="6"/>
    <s v="CONGÉS PAYÉS"/>
    <s v="JC"/>
    <n v="-17990.09"/>
    <d v="2025-05-01T00:00:00"/>
    <s v="PROVISION CP"/>
    <m/>
    <e v="#N/A"/>
    <e v="#N/A"/>
    <n v="92590"/>
    <s v="Extourne Provision CP"/>
    <m/>
    <s v="Q2"/>
    <e v="#REF!"/>
    <e v="#REF!"/>
    <e v="#REF!"/>
  </r>
  <r>
    <s v="641200"/>
    <x v="6"/>
    <s v="CONGÉS PAYÉS"/>
    <s v="JC"/>
    <n v="-17564.3"/>
    <d v="2025-09-01T00:00:00"/>
    <s v="PROVISION CP"/>
    <m/>
    <e v="#N/A"/>
    <e v="#N/A"/>
    <n v="85969"/>
    <s v="Extourne Provision CP"/>
    <m/>
    <s v="Q3"/>
    <e v="#REF!"/>
    <e v="#REF!"/>
    <e v="#REF!"/>
  </r>
  <r>
    <s v="641200"/>
    <x v="6"/>
    <s v="CONGÉS PAYÉS"/>
    <s v="JC"/>
    <n v="-17222.53"/>
    <d v="2025-10-01T00:00:00"/>
    <s v="Extourne Provision CP"/>
    <m/>
    <e v="#N/A"/>
    <e v="#N/A"/>
    <n v="85837"/>
    <m/>
    <m/>
    <s v="Q4"/>
    <e v="#REF!"/>
    <e v="#REF!"/>
    <e v="#REF!"/>
  </r>
  <r>
    <s v="641200"/>
    <x v="6"/>
    <s v="CONGÉS PAYÉS"/>
    <s v="JC"/>
    <n v="-16920.150000000001"/>
    <d v="2025-06-01T00:00:00"/>
    <s v="PROVISION CP"/>
    <m/>
    <e v="#N/A"/>
    <e v="#N/A"/>
    <n v="92630"/>
    <s v="Extourne Provision CP"/>
    <m/>
    <s v="Q2"/>
    <e v="#REF!"/>
    <e v="#REF!"/>
    <e v="#REF!"/>
  </r>
  <r>
    <s v="641200"/>
    <x v="6"/>
    <s v="CONGÉS PAYÉS"/>
    <s v="JC"/>
    <n v="-16869.07"/>
    <d v="2025-11-01T00:00:00"/>
    <s v="PROVISION CP"/>
    <m/>
    <e v="#N/A"/>
    <e v="#N/A"/>
    <n v="87955"/>
    <s v="Extourne Provision CP"/>
    <m/>
    <s v="Q4"/>
    <e v="#REF!"/>
    <e v="#REF!"/>
    <e v="#REF!"/>
  </r>
  <r>
    <s v="641200"/>
    <x v="6"/>
    <s v="CONGÉS PAYÉS"/>
    <s v="JC"/>
    <n v="-16848.43"/>
    <d v="2025-04-01T00:00:00"/>
    <s v="PROVISION CP"/>
    <m/>
    <e v="#N/A"/>
    <e v="#N/A"/>
    <n v="92510"/>
    <s v="Extourne Provision CP"/>
    <m/>
    <s v="Q2"/>
    <e v="#REF!"/>
    <e v="#REF!"/>
    <e v="#REF!"/>
  </r>
  <r>
    <s v="641200"/>
    <x v="6"/>
    <s v="CONGÉS PAYÉS"/>
    <s v="JC"/>
    <n v="-16501.39"/>
    <d v="2025-03-01T00:00:00"/>
    <s v="PROVISION CP"/>
    <m/>
    <e v="#N/A"/>
    <e v="#N/A"/>
    <n v="92547"/>
    <s v="Extourne Provision CP"/>
    <m/>
    <s v="Q1"/>
    <e v="#REF!"/>
    <e v="#REF!"/>
    <e v="#REF!"/>
  </r>
  <r>
    <s v="641200"/>
    <x v="6"/>
    <s v="CONGÉS PAYÉS"/>
    <s v="JC"/>
    <n v="-15825.56"/>
    <d v="2025-12-01T00:00:00"/>
    <s v="PROVISION CP"/>
    <m/>
    <e v="#N/A"/>
    <e v="#N/A"/>
    <n v="92447"/>
    <s v="Extourne Provision CP"/>
    <m/>
    <s v="Q4"/>
    <e v="#REF!"/>
    <e v="#REF!"/>
    <e v="#REF!"/>
  </r>
  <r>
    <s v="641200"/>
    <x v="6"/>
    <s v="CONGÉS PAYÉS"/>
    <s v="JC"/>
    <n v="-15776"/>
    <d v="2025-01-01T00:00:00"/>
    <s v="Extourne Provision"/>
    <m/>
    <e v="#N/A"/>
    <e v="#N/A"/>
    <n v="92649"/>
    <s v="Extourne Provision"/>
    <m/>
    <s v="Q1"/>
    <e v="#REF!"/>
    <e v="#REF!"/>
    <e v="#REF!"/>
  </r>
  <r>
    <s v="641200"/>
    <x v="6"/>
    <s v="CONGÉS PAYÉS"/>
    <s v="JC"/>
    <n v="-15291.4"/>
    <d v="2025-03-01T00:00:00"/>
    <s v="PROVISION CP"/>
    <m/>
    <e v="#N/A"/>
    <e v="#N/A"/>
    <n v="92550"/>
    <s v="Extourne Provision CP"/>
    <m/>
    <s v="Q1"/>
    <e v="#REF!"/>
    <e v="#REF!"/>
    <e v="#REF!"/>
  </r>
  <r>
    <s v="641200"/>
    <x v="6"/>
    <s v="CONGÉS PAYÉS"/>
    <s v="JC"/>
    <n v="-15212.9"/>
    <d v="2025-10-01T00:00:00"/>
    <s v="Extourne Provision CP"/>
    <m/>
    <e v="#N/A"/>
    <e v="#N/A"/>
    <n v="85832"/>
    <m/>
    <m/>
    <s v="Q4"/>
    <e v="#REF!"/>
    <e v="#REF!"/>
    <e v="#REF!"/>
  </r>
  <r>
    <s v="641200"/>
    <x v="6"/>
    <s v="CONGÉS PAYÉS"/>
    <s v="JC"/>
    <n v="-14557.25"/>
    <d v="2025-11-01T00:00:00"/>
    <s v="PROVISION CP"/>
    <m/>
    <e v="#N/A"/>
    <e v="#N/A"/>
    <n v="87958"/>
    <s v="Extourne Provision CP"/>
    <m/>
    <s v="Q4"/>
    <e v="#REF!"/>
    <e v="#REF!"/>
    <e v="#REF!"/>
  </r>
  <r>
    <s v="641200"/>
    <x v="6"/>
    <s v="CONGÉS PAYÉS"/>
    <s v="JC"/>
    <n v="-14049.96"/>
    <d v="2025-09-01T00:00:00"/>
    <s v="PROVISION CP"/>
    <m/>
    <e v="#N/A"/>
    <e v="#N/A"/>
    <n v="85966"/>
    <s v="Extourne Provision CP"/>
    <m/>
    <s v="Q3"/>
    <e v="#REF!"/>
    <e v="#REF!"/>
    <e v="#REF!"/>
  </r>
  <r>
    <s v="641200"/>
    <x v="6"/>
    <s v="CONGÉS PAYÉS"/>
    <s v="JC"/>
    <n v="-13764.26"/>
    <d v="2025-02-01T00:00:00"/>
    <s v="Extourne Provision CP"/>
    <m/>
    <e v="#N/A"/>
    <e v="#N/A"/>
    <n v="92468"/>
    <m/>
    <m/>
    <s v="Q1"/>
    <e v="#REF!"/>
    <e v="#REF!"/>
    <e v="#REF!"/>
  </r>
  <r>
    <s v="641200"/>
    <x v="6"/>
    <s v="CONGÉS PAYÉS"/>
    <s v="JC"/>
    <n v="13764.26"/>
    <d v="2025-01-31T00:00:00"/>
    <s v="Provision CP"/>
    <m/>
    <e v="#N/A"/>
    <e v="#N/A"/>
    <n v="90032"/>
    <m/>
    <m/>
    <s v="Q1"/>
    <e v="#REF!"/>
    <e v="#REF!"/>
    <e v="#REF!"/>
  </r>
  <r>
    <s v="641200"/>
    <x v="6"/>
    <s v="CONGÉS PAYÉS"/>
    <s v="JC"/>
    <n v="14049.96"/>
    <d v="2025-08-31T00:00:00"/>
    <s v="PROVISION CP"/>
    <m/>
    <e v="#N/A"/>
    <e v="#N/A"/>
    <n v="85946"/>
    <s v="Provision CP"/>
    <m/>
    <s v="Q3"/>
    <e v="#REF!"/>
    <e v="#REF!"/>
    <e v="#REF!"/>
  </r>
  <r>
    <s v="641200"/>
    <x v="6"/>
    <s v="CONGÉS PAYÉS"/>
    <s v="JC"/>
    <n v="14557.25"/>
    <d v="2025-10-31T00:00:00"/>
    <s v="PROVISION CP"/>
    <m/>
    <e v="#N/A"/>
    <e v="#N/A"/>
    <n v="87938"/>
    <s v="Provision CP"/>
    <m/>
    <s v="Q4"/>
    <e v="#REF!"/>
    <e v="#REF!"/>
    <e v="#REF!"/>
  </r>
  <r>
    <s v="641200"/>
    <x v="6"/>
    <s v="CONGÉS PAYÉS"/>
    <s v="JC"/>
    <n v="15044.91"/>
    <d v="2025-12-31T00:00:00"/>
    <s v="PROVISION CP"/>
    <m/>
    <e v="#N/A"/>
    <e v="#N/A"/>
    <n v="92904"/>
    <s v="Provision CP"/>
    <m/>
    <s v="Q4"/>
    <e v="#REF!"/>
    <e v="#REF!"/>
    <e v="#REF!"/>
  </r>
  <r>
    <s v="641200"/>
    <x v="6"/>
    <s v="CONGÉS PAYÉS"/>
    <s v="JC"/>
    <n v="15212.9"/>
    <d v="2025-09-30T00:00:00"/>
    <s v="Provision CP"/>
    <m/>
    <e v="#N/A"/>
    <e v="#N/A"/>
    <n v="85820"/>
    <m/>
    <m/>
    <s v="Q3"/>
    <e v="#REF!"/>
    <e v="#REF!"/>
    <e v="#REF!"/>
  </r>
  <r>
    <s v="641200"/>
    <x v="6"/>
    <s v="CONGÉS PAYÉS"/>
    <s v="JC"/>
    <n v="15291.4"/>
    <d v="2025-02-28T00:00:00"/>
    <s v="PROVISION CP"/>
    <m/>
    <e v="#N/A"/>
    <e v="#N/A"/>
    <n v="92530"/>
    <s v="Provision CP"/>
    <m/>
    <s v="Q1"/>
    <e v="#REF!"/>
    <e v="#REF!"/>
    <e v="#REF!"/>
  </r>
  <r>
    <s v="641200"/>
    <x v="6"/>
    <s v="CONGÉS PAYÉS"/>
    <s v="JC"/>
    <n v="15825.56"/>
    <d v="2025-11-30T00:00:00"/>
    <s v="PROVISION CP"/>
    <m/>
    <e v="#N/A"/>
    <e v="#N/A"/>
    <n v="92427"/>
    <s v="Provision CP"/>
    <m/>
    <s v="Q4"/>
    <e v="#REF!"/>
    <e v="#REF!"/>
    <e v="#REF!"/>
  </r>
  <r>
    <s v="641200"/>
    <x v="6"/>
    <s v="CONGÉS PAYÉS"/>
    <s v="JC"/>
    <n v="16501.39"/>
    <d v="2025-02-28T00:00:00"/>
    <s v="PROVISION CP"/>
    <m/>
    <e v="#N/A"/>
    <e v="#N/A"/>
    <n v="92527"/>
    <s v="Provision CP"/>
    <m/>
    <s v="Q1"/>
    <e v="#REF!"/>
    <e v="#REF!"/>
    <e v="#REF!"/>
  </r>
  <r>
    <s v="641200"/>
    <x v="6"/>
    <s v="CONGÉS PAYÉS"/>
    <s v="JC"/>
    <n v="16848.43"/>
    <d v="2025-03-31T00:00:00"/>
    <s v="PROVISION CP"/>
    <m/>
    <e v="#N/A"/>
    <e v="#N/A"/>
    <n v="92490"/>
    <s v="Provision CP"/>
    <m/>
    <s v="Q1"/>
    <e v="#REF!"/>
    <e v="#REF!"/>
    <e v="#REF!"/>
  </r>
  <r>
    <s v="641200"/>
    <x v="6"/>
    <s v="CONGÉS PAYÉS"/>
    <s v="JC"/>
    <n v="16869.07"/>
    <d v="2025-10-31T00:00:00"/>
    <s v="PROVISION CP"/>
    <m/>
    <e v="#N/A"/>
    <e v="#N/A"/>
    <n v="87935"/>
    <s v="Provision CP"/>
    <m/>
    <s v="Q4"/>
    <e v="#REF!"/>
    <e v="#REF!"/>
    <e v="#REF!"/>
  </r>
  <r>
    <s v="641200"/>
    <x v="6"/>
    <s v="CONGÉS PAYÉS"/>
    <s v="JC"/>
    <n v="16920.150000000001"/>
    <d v="2025-05-31T00:00:00"/>
    <s v="PROVISION CP"/>
    <m/>
    <e v="#N/A"/>
    <e v="#N/A"/>
    <n v="92610"/>
    <s v="Provision CP"/>
    <m/>
    <s v="Q2"/>
    <e v="#REF!"/>
    <e v="#REF!"/>
    <e v="#REF!"/>
  </r>
  <r>
    <s v="641200"/>
    <x v="6"/>
    <s v="CONGÉS PAYÉS"/>
    <s v="JC"/>
    <n v="17222.53"/>
    <d v="2025-09-30T00:00:00"/>
    <s v="Provision CP"/>
    <m/>
    <e v="#N/A"/>
    <e v="#N/A"/>
    <n v="85825"/>
    <m/>
    <m/>
    <s v="Q3"/>
    <e v="#REF!"/>
    <e v="#REF!"/>
    <e v="#REF!"/>
  </r>
  <r>
    <s v="641200"/>
    <x v="6"/>
    <s v="CONGÉS PAYÉS"/>
    <s v="JC"/>
    <n v="17564.3"/>
    <d v="2025-08-31T00:00:00"/>
    <s v="PROVISION CP"/>
    <m/>
    <e v="#N/A"/>
    <e v="#N/A"/>
    <n v="85949"/>
    <s v="Provision CP"/>
    <m/>
    <s v="Q3"/>
    <e v="#REF!"/>
    <e v="#REF!"/>
    <e v="#REF!"/>
  </r>
  <r>
    <s v="641200"/>
    <x v="6"/>
    <s v="CONGÉS PAYÉS"/>
    <s v="JC"/>
    <n v="17990.09"/>
    <d v="2025-04-30T00:00:00"/>
    <s v="PROVISION CP"/>
    <m/>
    <e v="#N/A"/>
    <e v="#N/A"/>
    <n v="92570"/>
    <s v="Provision CP"/>
    <m/>
    <s v="Q2"/>
    <e v="#REF!"/>
    <e v="#REF!"/>
    <e v="#REF!"/>
  </r>
  <r>
    <s v="641200"/>
    <x v="6"/>
    <s v="CONGÉS PAYÉS"/>
    <s v="JC"/>
    <n v="18235.98"/>
    <d v="2025-06-30T00:00:00"/>
    <s v="Provision CP"/>
    <m/>
    <e v="#N/A"/>
    <e v="#N/A"/>
    <n v="85844"/>
    <m/>
    <m/>
    <s v="Q2"/>
    <e v="#REF!"/>
    <e v="#REF!"/>
    <e v="#REF!"/>
  </r>
  <r>
    <s v="641200"/>
    <x v="6"/>
    <s v="CONGÉS PAYÉS"/>
    <s v="JC"/>
    <n v="18485.89"/>
    <d v="2025-03-31T00:00:00"/>
    <s v="PROVISION CP"/>
    <m/>
    <e v="#N/A"/>
    <e v="#N/A"/>
    <n v="92487"/>
    <s v="Provision CP"/>
    <m/>
    <s v="Q1"/>
    <e v="#REF!"/>
    <e v="#REF!"/>
    <e v="#REF!"/>
  </r>
  <r>
    <s v="641200"/>
    <x v="6"/>
    <s v="CONGÉS PAYÉS"/>
    <s v="JC"/>
    <n v="18540.53"/>
    <d v="2025-11-30T00:00:00"/>
    <s v="PROVISION CP"/>
    <m/>
    <e v="#N/A"/>
    <e v="#N/A"/>
    <n v="92424"/>
    <s v="Provision CP"/>
    <m/>
    <s v="Q4"/>
    <e v="#REF!"/>
    <e v="#REF!"/>
    <e v="#REF!"/>
  </r>
  <r>
    <s v="641200"/>
    <x v="6"/>
    <s v="CONGÉS PAYÉS"/>
    <s v="JC"/>
    <n v="18578.59"/>
    <d v="2025-07-31T00:00:00"/>
    <s v="Provision CP"/>
    <m/>
    <e v="#N/A"/>
    <e v="#N/A"/>
    <n v="85908"/>
    <m/>
    <m/>
    <s v="Q3"/>
    <e v="#REF!"/>
    <e v="#REF!"/>
    <e v="#REF!"/>
  </r>
  <r>
    <s v="641200"/>
    <x v="6"/>
    <s v="CONGÉS PAYÉS"/>
    <s v="JC"/>
    <n v="18696.38"/>
    <d v="2025-12-31T00:00:00"/>
    <s v="PROVISION CP"/>
    <m/>
    <e v="#N/A"/>
    <e v="#N/A"/>
    <n v="92901"/>
    <s v="Provision CP"/>
    <m/>
    <s v="Q4"/>
    <e v="#REF!"/>
    <e v="#REF!"/>
    <e v="#REF!"/>
  </r>
  <r>
    <s v="641200"/>
    <x v="6"/>
    <s v="CONGÉS PAYÉS"/>
    <s v="JC"/>
    <n v="19419.150000000001"/>
    <d v="2025-04-30T00:00:00"/>
    <s v="PROVISION CP"/>
    <m/>
    <e v="#N/A"/>
    <e v="#N/A"/>
    <n v="92567"/>
    <s v="Provision CP"/>
    <m/>
    <s v="Q2"/>
    <e v="#REF!"/>
    <e v="#REF!"/>
    <e v="#REF!"/>
  </r>
  <r>
    <s v="641200"/>
    <x v="6"/>
    <s v="CONGÉS PAYÉS"/>
    <s v="JC"/>
    <n v="20667.36"/>
    <d v="2025-05-31T00:00:00"/>
    <s v="PROVISION CP"/>
    <m/>
    <e v="#N/A"/>
    <e v="#N/A"/>
    <n v="92607"/>
    <s v="Provision CP"/>
    <m/>
    <s v="Q2"/>
    <e v="#REF!"/>
    <e v="#REF!"/>
    <e v="#REF!"/>
  </r>
  <r>
    <s v="641200"/>
    <x v="6"/>
    <s v="CONGÉS PAYÉS"/>
    <s v="JC"/>
    <n v="21815.1"/>
    <d v="2025-07-31T00:00:00"/>
    <s v="Provision CP"/>
    <m/>
    <e v="#N/A"/>
    <e v="#N/A"/>
    <n v="85906"/>
    <m/>
    <m/>
    <s v="Q3"/>
    <e v="#REF!"/>
    <e v="#REF!"/>
    <e v="#REF!"/>
  </r>
  <r>
    <s v="641200"/>
    <x v="6"/>
    <s v="CONGÉS PAYÉS"/>
    <s v="JC"/>
    <n v="22547.57"/>
    <d v="2025-06-30T00:00:00"/>
    <s v="Provision CP"/>
    <m/>
    <e v="#N/A"/>
    <e v="#N/A"/>
    <n v="85846"/>
    <m/>
    <m/>
    <s v="Q2"/>
    <e v="#REF!"/>
    <e v="#REF!"/>
    <e v="#REF!"/>
  </r>
  <r>
    <s v="641200"/>
    <x v="6"/>
    <s v="CONGÉS PAYÉS"/>
    <s v="JC"/>
    <n v="23811.26"/>
    <d v="2025-01-31T00:00:00"/>
    <s v="Provision CP"/>
    <m/>
    <e v="#N/A"/>
    <e v="#N/A"/>
    <n v="72139"/>
    <m/>
    <m/>
    <s v="Q1"/>
    <e v="#REF!"/>
    <e v="#REF!"/>
    <e v="#REF!"/>
  </r>
  <r>
    <s v="641200"/>
    <x v="6"/>
    <s v="CONGÉS PAYÉS"/>
    <s v="JC"/>
    <n v="36768.019999999997"/>
    <d v="2025-09-30T00:00:00"/>
    <s v="Provision CP"/>
    <m/>
    <e v="#N/A"/>
    <e v="#N/A"/>
    <n v="85823"/>
    <m/>
    <m/>
    <s v="Q3"/>
    <e v="#REF!"/>
    <e v="#REF!"/>
    <e v="#REF!"/>
  </r>
  <r>
    <s v="641200"/>
    <x v="6"/>
    <s v="CONGÉS PAYÉS"/>
    <s v="JC"/>
    <n v="37646.379999999997"/>
    <d v="2025-08-31T00:00:00"/>
    <s v="PROVISION CP"/>
    <m/>
    <e v="#N/A"/>
    <e v="#N/A"/>
    <n v="85947"/>
    <s v="Provision CP"/>
    <m/>
    <s v="Q3"/>
    <e v="#REF!"/>
    <e v="#REF!"/>
    <e v="#REF!"/>
  </r>
  <r>
    <s v="641200"/>
    <x v="6"/>
    <s v="CONGÉS PAYÉS"/>
    <s v="JC"/>
    <n v="42856.53"/>
    <d v="2025-10-31T00:00:00"/>
    <s v="PROVISION CP"/>
    <m/>
    <e v="#N/A"/>
    <e v="#N/A"/>
    <n v="87936"/>
    <s v="Provision CP"/>
    <m/>
    <s v="Q4"/>
    <e v="#REF!"/>
    <e v="#REF!"/>
    <e v="#REF!"/>
  </r>
  <r>
    <s v="641200"/>
    <x v="6"/>
    <s v="CONGÉS PAYÉS"/>
    <s v="JC"/>
    <n v="45233.75"/>
    <d v="2025-11-30T00:00:00"/>
    <s v="PROVISION CP"/>
    <m/>
    <e v="#N/A"/>
    <e v="#N/A"/>
    <n v="92425"/>
    <s v="Provision CP"/>
    <m/>
    <s v="Q4"/>
    <e v="#REF!"/>
    <e v="#REF!"/>
    <e v="#REF!"/>
  </r>
  <r>
    <s v="641200"/>
    <x v="6"/>
    <s v="CONGÉS PAYÉS"/>
    <s v="JC"/>
    <n v="46246.73"/>
    <d v="2025-12-31T00:00:00"/>
    <s v="PROVISION CP"/>
    <m/>
    <e v="#N/A"/>
    <e v="#N/A"/>
    <n v="92902"/>
    <s v="Provision CP"/>
    <m/>
    <s v="Q4"/>
    <e v="#REF!"/>
    <e v="#REF!"/>
    <e v="#REF!"/>
  </r>
  <r>
    <s v="641200"/>
    <x v="6"/>
    <s v="CONGÉS PAYÉS"/>
    <s v="JC"/>
    <n v="47259.74"/>
    <d v="2025-07-31T00:00:00"/>
    <s v="Provision CP"/>
    <m/>
    <e v="#N/A"/>
    <e v="#N/A"/>
    <n v="85907"/>
    <m/>
    <m/>
    <s v="Q3"/>
    <e v="#REF!"/>
    <e v="#REF!"/>
    <e v="#REF!"/>
  </r>
  <r>
    <s v="641200"/>
    <x v="6"/>
    <s v="CONGÉS PAYÉS"/>
    <s v="JC"/>
    <n v="47887.23"/>
    <d v="2025-01-31T00:00:00"/>
    <s v="Provision CP"/>
    <m/>
    <e v="#N/A"/>
    <e v="#N/A"/>
    <n v="90030"/>
    <m/>
    <m/>
    <s v="Q1"/>
    <e v="#REF!"/>
    <e v="#REF!"/>
    <e v="#REF!"/>
  </r>
  <r>
    <s v="641200"/>
    <x v="6"/>
    <s v="CONGÉS PAYÉS"/>
    <s v="JC"/>
    <n v="49052.46"/>
    <d v="2025-06-30T00:00:00"/>
    <s v="Provision CP"/>
    <m/>
    <e v="#N/A"/>
    <e v="#N/A"/>
    <n v="85845"/>
    <m/>
    <m/>
    <s v="Q2"/>
    <e v="#REF!"/>
    <e v="#REF!"/>
    <e v="#REF!"/>
  </r>
  <r>
    <s v="641200"/>
    <x v="6"/>
    <s v="CONGÉS PAYÉS"/>
    <s v="JC"/>
    <n v="50626.96"/>
    <d v="2025-02-28T00:00:00"/>
    <s v="PROVISION CP"/>
    <m/>
    <e v="#N/A"/>
    <e v="#N/A"/>
    <n v="92528"/>
    <s v="Provision CP"/>
    <m/>
    <s v="Q1"/>
    <e v="#REF!"/>
    <e v="#REF!"/>
    <e v="#REF!"/>
  </r>
  <r>
    <s v="641200"/>
    <x v="6"/>
    <s v="CONGÉS PAYÉS"/>
    <s v="JC"/>
    <n v="53326.6"/>
    <d v="2025-03-31T00:00:00"/>
    <s v="PROVISION CP"/>
    <m/>
    <e v="#N/A"/>
    <e v="#N/A"/>
    <n v="92488"/>
    <s v="Provision CP"/>
    <m/>
    <s v="Q1"/>
    <e v="#REF!"/>
    <e v="#REF!"/>
    <e v="#REF!"/>
  </r>
  <r>
    <s v="641200"/>
    <x v="6"/>
    <s v="CONGÉS PAYÉS"/>
    <s v="JC"/>
    <n v="53966.97"/>
    <d v="2025-05-31T00:00:00"/>
    <s v="PROVISION CP"/>
    <m/>
    <e v="#N/A"/>
    <e v="#N/A"/>
    <n v="92608"/>
    <s v="Provision CP"/>
    <m/>
    <s v="Q2"/>
    <e v="#REF!"/>
    <e v="#REF!"/>
    <e v="#REF!"/>
  </r>
  <r>
    <s v="641200"/>
    <x v="6"/>
    <s v="CONGÉS PAYÉS"/>
    <s v="JC"/>
    <n v="54213.760000000002"/>
    <d v="2025-04-30T00:00:00"/>
    <s v="PROVISION CP"/>
    <m/>
    <e v="#N/A"/>
    <e v="#N/A"/>
    <n v="92568"/>
    <s v="Provision CP"/>
    <m/>
    <s v="Q2"/>
    <e v="#REF!"/>
    <e v="#REF!"/>
    <e v="#REF!"/>
  </r>
  <r>
    <s v="641200"/>
    <x v="6"/>
    <s v="CONGÉS PAYÉS"/>
    <s v="JC"/>
    <n v="61582.34"/>
    <d v="2025-08-31T00:00:00"/>
    <s v="PROVISION CP"/>
    <m/>
    <e v="#N/A"/>
    <e v="#N/A"/>
    <n v="85948"/>
    <s v="Provision CP"/>
    <m/>
    <s v="Q3"/>
    <e v="#REF!"/>
    <e v="#REF!"/>
    <e v="#REF!"/>
  </r>
  <r>
    <s v="641200"/>
    <x v="6"/>
    <s v="CONGÉS PAYÉS"/>
    <s v="JC"/>
    <n v="63142.44"/>
    <d v="2025-09-30T00:00:00"/>
    <s v="Provision CP"/>
    <m/>
    <e v="#N/A"/>
    <e v="#N/A"/>
    <n v="85824"/>
    <m/>
    <m/>
    <s v="Q3"/>
    <e v="#REF!"/>
    <e v="#REF!"/>
    <e v="#REF!"/>
  </r>
  <r>
    <s v="641200"/>
    <x v="6"/>
    <s v="CONGÉS PAYÉS"/>
    <s v="JC"/>
    <n v="74863.679999999993"/>
    <d v="2025-10-31T00:00:00"/>
    <s v="PROVISION CP"/>
    <m/>
    <e v="#N/A"/>
    <e v="#N/A"/>
    <n v="87937"/>
    <s v="Provision CP"/>
    <m/>
    <s v="Q4"/>
    <e v="#REF!"/>
    <e v="#REF!"/>
    <e v="#REF!"/>
  </r>
  <r>
    <s v="641200"/>
    <x v="6"/>
    <s v="CONGÉS PAYÉS"/>
    <s v="JC"/>
    <n v="75733.09"/>
    <d v="2025-01-31T00:00:00"/>
    <s v="Provision CP"/>
    <m/>
    <e v="#N/A"/>
    <e v="#N/A"/>
    <n v="90031"/>
    <m/>
    <m/>
    <s v="Q1"/>
    <e v="#REF!"/>
    <e v="#REF!"/>
    <e v="#REF!"/>
  </r>
  <r>
    <s v="641200"/>
    <x v="6"/>
    <s v="CONGÉS PAYÉS"/>
    <s v="JC"/>
    <n v="78072.55"/>
    <d v="2025-05-31T00:00:00"/>
    <s v="PROVISION CP"/>
    <m/>
    <e v="#N/A"/>
    <e v="#N/A"/>
    <n v="92609"/>
    <s v="Provision CP"/>
    <m/>
    <s v="Q2"/>
    <e v="#REF!"/>
    <e v="#REF!"/>
    <e v="#REF!"/>
  </r>
  <r>
    <s v="641200"/>
    <x v="6"/>
    <s v="CONGÉS PAYÉS"/>
    <s v="JC"/>
    <n v="79003.399999999994"/>
    <d v="2025-07-31T00:00:00"/>
    <s v="Provision CP"/>
    <m/>
    <e v="#N/A"/>
    <e v="#N/A"/>
    <n v="85909"/>
    <m/>
    <m/>
    <s v="Q3"/>
    <e v="#REF!"/>
    <e v="#REF!"/>
    <e v="#REF!"/>
  </r>
  <r>
    <s v="641200"/>
    <x v="6"/>
    <s v="CONGÉS PAYÉS"/>
    <s v="JC"/>
    <n v="79087.929999999993"/>
    <d v="2025-02-28T00:00:00"/>
    <s v="PROVISION CP"/>
    <m/>
    <e v="#N/A"/>
    <e v="#N/A"/>
    <n v="92529"/>
    <s v="Provision CP"/>
    <m/>
    <s v="Q1"/>
    <e v="#REF!"/>
    <e v="#REF!"/>
    <e v="#REF!"/>
  </r>
  <r>
    <s v="641200"/>
    <x v="6"/>
    <s v="CONGÉS PAYÉS"/>
    <s v="JC"/>
    <n v="79386.86"/>
    <d v="2025-11-30T00:00:00"/>
    <s v="PROVISION CP"/>
    <m/>
    <e v="#N/A"/>
    <e v="#N/A"/>
    <n v="92426"/>
    <s v="Provision CP"/>
    <m/>
    <s v="Q4"/>
    <e v="#REF!"/>
    <e v="#REF!"/>
    <e v="#REF!"/>
  </r>
  <r>
    <s v="641200"/>
    <x v="6"/>
    <s v="CONGÉS PAYÉS"/>
    <s v="JC"/>
    <n v="80972.740000000005"/>
    <d v="2025-12-31T00:00:00"/>
    <s v="PROVISION CP"/>
    <m/>
    <e v="#N/A"/>
    <e v="#N/A"/>
    <n v="92903"/>
    <s v="Provision CP"/>
    <m/>
    <s v="Q4"/>
    <e v="#REF!"/>
    <e v="#REF!"/>
    <e v="#REF!"/>
  </r>
  <r>
    <s v="641200"/>
    <x v="6"/>
    <s v="CONGÉS PAYÉS"/>
    <s v="JC"/>
    <n v="83190.759999999995"/>
    <d v="2025-03-31T00:00:00"/>
    <s v="PROVISION CP"/>
    <m/>
    <e v="#N/A"/>
    <e v="#N/A"/>
    <n v="92489"/>
    <s v="Provision CP"/>
    <m/>
    <s v="Q1"/>
    <e v="#REF!"/>
    <e v="#REF!"/>
    <e v="#REF!"/>
  </r>
  <r>
    <s v="641200"/>
    <x v="6"/>
    <s v="CONGÉS PAYÉS"/>
    <s v="JC"/>
    <n v="84138.65"/>
    <d v="2025-06-30T00:00:00"/>
    <s v="Provision CP"/>
    <m/>
    <e v="#N/A"/>
    <e v="#N/A"/>
    <n v="85843"/>
    <m/>
    <m/>
    <s v="Q2"/>
    <e v="#REF!"/>
    <e v="#REF!"/>
    <e v="#REF!"/>
  </r>
  <r>
    <s v="641200"/>
    <x v="6"/>
    <s v="CONGÉS PAYÉS"/>
    <s v="JC"/>
    <n v="84253.96"/>
    <d v="2025-04-30T00:00:00"/>
    <s v="PROVISION CP"/>
    <m/>
    <e v="#N/A"/>
    <e v="#N/A"/>
    <n v="92569"/>
    <s v="Provision CP"/>
    <m/>
    <s v="Q2"/>
    <e v="#REF!"/>
    <e v="#REF!"/>
    <e v="#REF!"/>
  </r>
  <r>
    <s v="641200"/>
    <x v="6"/>
    <s v="CONGÉS PAYÉS"/>
    <s v="JC"/>
    <n v="162084"/>
    <d v="2025-01-01T00:00:00"/>
    <s v="Extourne Provision"/>
    <m/>
    <e v="#N/A"/>
    <e v="#N/A"/>
    <n v="92645"/>
    <s v="Extourne Provision"/>
    <m/>
    <s v="Q1"/>
    <e v="#REF!"/>
    <e v="#REF!"/>
    <e v="#REF!"/>
  </r>
  <r>
    <s v="641200"/>
    <x v="6"/>
    <s v="CONGÉS PAYÉS"/>
    <s v="SA"/>
    <n v="0.32"/>
    <d v="2025-08-31T00:00:00"/>
    <s v="INDEMNITÉ CONGÉS PAYÉS (2,5 JOURS)"/>
    <m/>
    <e v="#N/A"/>
    <e v="#N/A"/>
    <n v="83963"/>
    <s v="SA202508"/>
    <m/>
    <s v="Q3"/>
    <e v="#REF!"/>
    <e v="#REF!"/>
    <e v="#REF!"/>
  </r>
  <r>
    <s v="641200"/>
    <x v="6"/>
    <s v="CONGÉS PAYÉS"/>
    <s v="SA"/>
    <n v="3.19"/>
    <d v="2025-07-31T00:00:00"/>
    <s v="CONGÉS PAYÉS PRIS 110725-300725 (13 JOURS)"/>
    <m/>
    <e v="#N/A"/>
    <e v="#N/A"/>
    <n v="79844"/>
    <s v="SA202507"/>
    <m/>
    <s v="Q3"/>
    <e v="#REF!"/>
    <e v="#REF!"/>
    <e v="#REF!"/>
  </r>
  <r>
    <s v="641200"/>
    <x v="6"/>
    <s v="CONGÉS PAYÉS"/>
    <s v="SA"/>
    <n v="3.51"/>
    <d v="2025-12-31T00:00:00"/>
    <s v="CONGÉS PAYÉS PRIS 151225 (0,5 JOUR)"/>
    <m/>
    <e v="#N/A"/>
    <e v="#N/A"/>
    <n v="92770"/>
    <s v="SA202512"/>
    <m/>
    <s v="Q4"/>
    <e v="#REF!"/>
    <e v="#REF!"/>
    <e v="#REF!"/>
  </r>
  <r>
    <s v="641200"/>
    <x v="6"/>
    <s v="CONGÉS PAYÉS"/>
    <s v="SA"/>
    <n v="5.0999999999999996"/>
    <d v="2025-09-30T00:00:00"/>
    <s v="CONGÉS PAYÉS PRIS 120925-190925 (6 JOURS)"/>
    <m/>
    <e v="#N/A"/>
    <e v="#N/A"/>
    <n v="84135"/>
    <s v="SA202509"/>
    <m/>
    <s v="Q3"/>
    <e v="#REF!"/>
    <e v="#REF!"/>
    <e v="#REF!"/>
  </r>
  <r>
    <s v="641200"/>
    <x v="6"/>
    <s v="CONGÉS PAYÉS"/>
    <s v="SA"/>
    <n v="8.36"/>
    <d v="2025-04-30T00:00:00"/>
    <s v="CONGÉS PAYÉS PRIS 210325 (0,5 JOUR)"/>
    <m/>
    <e v="#N/A"/>
    <e v="#N/A"/>
    <n v="80353"/>
    <s v="SA202504"/>
    <m/>
    <s v="Q2"/>
    <e v="#REF!"/>
    <e v="#REF!"/>
    <e v="#REF!"/>
  </r>
  <r>
    <s v="641200"/>
    <x v="6"/>
    <s v="CONGÉS PAYÉS"/>
    <s v="SA"/>
    <n v="12.71"/>
    <d v="2025-02-28T00:00:00"/>
    <s v="INDEMNITÉ COMPENSATRICE DE CONGÉS PAYÉS"/>
    <m/>
    <e v="#N/A"/>
    <e v="#N/A"/>
    <n v="85233"/>
    <s v="SA202502"/>
    <m/>
    <s v="Q1"/>
    <e v="#REF!"/>
    <e v="#REF!"/>
    <e v="#REF!"/>
  </r>
  <r>
    <s v="641200"/>
    <x v="6"/>
    <s v="CONGÉS PAYÉS"/>
    <s v="SA"/>
    <n v="22.99"/>
    <d v="2025-01-31T00:00:00"/>
    <s v="INDEMNITÉ COMPENSATRICE DE CONGÉS PAYÉS"/>
    <m/>
    <e v="#N/A"/>
    <e v="#N/A"/>
    <n v="85417"/>
    <s v="SA202501"/>
    <m/>
    <s v="Q1"/>
    <e v="#REF!"/>
    <e v="#REF!"/>
    <e v="#REF!"/>
  </r>
  <r>
    <s v="641200"/>
    <x v="6"/>
    <s v="CONGÉS PAYÉS"/>
    <s v="SA"/>
    <n v="30.84"/>
    <d v="2025-06-30T00:00:00"/>
    <s v="CONGÉS PAYÉS PRIS 300525 (1 JOUR)"/>
    <m/>
    <e v="#N/A"/>
    <e v="#N/A"/>
    <n v="80014"/>
    <s v="SA202506"/>
    <m/>
    <s v="Q2"/>
    <e v="#REF!"/>
    <e v="#REF!"/>
    <e v="#REF!"/>
  </r>
  <r>
    <s v="641200"/>
    <x v="6"/>
    <s v="CONGÉS PAYÉS"/>
    <s v="SA"/>
    <n v="48.6"/>
    <d v="2025-11-30T00:00:00"/>
    <s v="CONGÉS PAYÉS PRIS 101125 (1 JOUR)"/>
    <m/>
    <e v="#N/A"/>
    <e v="#N/A"/>
    <n v="92306"/>
    <s v="SA202511"/>
    <m/>
    <s v="Q4"/>
    <e v="#REF!"/>
    <e v="#REF!"/>
    <e v="#REF!"/>
  </r>
  <r>
    <s v="641200"/>
    <x v="6"/>
    <s v="CONGÉS PAYÉS"/>
    <s v="SA"/>
    <n v="48.81"/>
    <d v="2025-01-31T00:00:00"/>
    <s v="INDEMNITÉ COMPENSATRICE DE CONGÉS PAYÉS"/>
    <m/>
    <e v="#N/A"/>
    <e v="#N/A"/>
    <n v="85418"/>
    <s v="SA202501"/>
    <m/>
    <s v="Q1"/>
    <e v="#REF!"/>
    <e v="#REF!"/>
    <e v="#REF!"/>
  </r>
  <r>
    <s v="641200"/>
    <x v="6"/>
    <s v="CONGÉS PAYÉS"/>
    <s v="SA"/>
    <n v="49.31"/>
    <d v="2025-05-31T00:00:00"/>
    <s v="INDEMNITÉ CONGÉS PAYÉS"/>
    <m/>
    <e v="#N/A"/>
    <e v="#N/A"/>
    <n v="80186"/>
    <s v="SA202505"/>
    <m/>
    <s v="Q2"/>
    <e v="#REF!"/>
    <e v="#REF!"/>
    <e v="#REF!"/>
  </r>
  <r>
    <s v="641200"/>
    <x v="6"/>
    <s v="CONGÉS PAYÉS"/>
    <s v="SA"/>
    <n v="69.34"/>
    <d v="2025-12-31T00:00:00"/>
    <s v="CONGÉS PAYÉS PRIS 151225 (0,5 JOUR)"/>
    <m/>
    <e v="#N/A"/>
    <e v="#N/A"/>
    <n v="92768"/>
    <s v="SA202512"/>
    <m/>
    <s v="Q4"/>
    <e v="#REF!"/>
    <e v="#REF!"/>
    <e v="#REF!"/>
  </r>
  <r>
    <s v="641200"/>
    <x v="6"/>
    <s v="CONGÉS PAYÉS"/>
    <s v="SA"/>
    <n v="73.33"/>
    <d v="2025-07-31T00:00:00"/>
    <s v="CONGÉS PAYÉS PRIS 110725-300725 (13 JOURS)"/>
    <m/>
    <e v="#N/A"/>
    <e v="#N/A"/>
    <n v="79842"/>
    <s v="SA202507"/>
    <m/>
    <s v="Q3"/>
    <e v="#REF!"/>
    <e v="#REF!"/>
    <e v="#REF!"/>
  </r>
  <r>
    <s v="641200"/>
    <x v="6"/>
    <s v="CONGÉS PAYÉS"/>
    <s v="SA"/>
    <n v="101.99"/>
    <d v="2025-10-31T00:00:00"/>
    <s v="INDEMNITÉ CONGÉS PAYÉS (5 JOURS)"/>
    <m/>
    <e v="#N/A"/>
    <e v="#N/A"/>
    <n v="87799"/>
    <s v="SA202510"/>
    <m/>
    <s v="Q4"/>
    <e v="#REF!"/>
    <e v="#REF!"/>
    <e v="#REF!"/>
  </r>
  <r>
    <s v="641200"/>
    <x v="6"/>
    <s v="CONGÉS PAYÉS"/>
    <s v="SA"/>
    <n v="128.91"/>
    <d v="2025-04-30T00:00:00"/>
    <s v="CONGÉS PAYÉS PRIS 210325 (0,5 JOUR)"/>
    <m/>
    <e v="#N/A"/>
    <e v="#N/A"/>
    <n v="80352"/>
    <s v="SA202504"/>
    <m/>
    <s v="Q2"/>
    <e v="#REF!"/>
    <e v="#REF!"/>
    <e v="#REF!"/>
  </r>
  <r>
    <s v="641200"/>
    <x v="6"/>
    <s v="CONGÉS PAYÉS"/>
    <s v="SA"/>
    <n v="165.87"/>
    <d v="2025-11-30T00:00:00"/>
    <s v="CONGÉS PAYÉS PRIS 101125 (1 JOUR)"/>
    <m/>
    <e v="#N/A"/>
    <e v="#N/A"/>
    <n v="92308"/>
    <s v="SA202511"/>
    <m/>
    <s v="Q4"/>
    <e v="#REF!"/>
    <e v="#REF!"/>
    <e v="#REF!"/>
  </r>
  <r>
    <s v="641200"/>
    <x v="6"/>
    <s v="CONGÉS PAYÉS"/>
    <s v="SA"/>
    <n v="182.28"/>
    <d v="2025-12-31T00:00:00"/>
    <s v="CONGÉS PAYÉS PRIS 151225 (0,5 JOUR)"/>
    <m/>
    <e v="#N/A"/>
    <e v="#N/A"/>
    <n v="92767"/>
    <s v="SA202512"/>
    <m/>
    <s v="Q4"/>
    <e v="#REF!"/>
    <e v="#REF!"/>
    <e v="#REF!"/>
  </r>
  <r>
    <s v="641200"/>
    <x v="6"/>
    <s v="CONGÉS PAYÉS"/>
    <s v="SA"/>
    <n v="182.35"/>
    <d v="2025-06-30T00:00:00"/>
    <s v="CONGÉS PAYÉS PRIS 300525 (1 JOUR)"/>
    <m/>
    <e v="#N/A"/>
    <e v="#N/A"/>
    <n v="80016"/>
    <s v="SA202506"/>
    <m/>
    <s v="Q2"/>
    <e v="#REF!"/>
    <e v="#REF!"/>
    <e v="#REF!"/>
  </r>
  <r>
    <s v="641200"/>
    <x v="6"/>
    <s v="CONGÉS PAYÉS"/>
    <s v="SA"/>
    <n v="202.18"/>
    <d v="2025-03-31T00:00:00"/>
    <s v="CONGÉS PAYÉS PRIS 030325-040325 (2 JOURS)"/>
    <m/>
    <e v="#N/A"/>
    <e v="#N/A"/>
    <n v="80524"/>
    <s v="SA202503"/>
    <m/>
    <s v="Q1"/>
    <e v="#REF!"/>
    <e v="#REF!"/>
    <e v="#REF!"/>
  </r>
  <r>
    <s v="641200"/>
    <x v="6"/>
    <s v="CONGÉS PAYÉS"/>
    <s v="SA"/>
    <n v="239.49"/>
    <d v="2025-11-30T00:00:00"/>
    <s v="CONGÉS PAYÉS PRIS 101125 (1 JOUR)"/>
    <m/>
    <e v="#N/A"/>
    <e v="#N/A"/>
    <n v="92307"/>
    <s v="SA202511"/>
    <m/>
    <s v="Q4"/>
    <e v="#REF!"/>
    <e v="#REF!"/>
    <e v="#REF!"/>
  </r>
  <r>
    <s v="641200"/>
    <x v="6"/>
    <s v="CONGÉS PAYÉS"/>
    <s v="SA"/>
    <n v="252.4"/>
    <d v="2025-12-31T00:00:00"/>
    <s v="CONGÉS PAYÉS PRIS 151225 (0,5 JOUR)"/>
    <m/>
    <e v="#N/A"/>
    <e v="#N/A"/>
    <n v="92769"/>
    <s v="SA202512"/>
    <m/>
    <s v="Q4"/>
    <e v="#REF!"/>
    <e v="#REF!"/>
    <e v="#REF!"/>
  </r>
  <r>
    <s v="641200"/>
    <x v="6"/>
    <s v="CONGÉS PAYÉS"/>
    <s v="SA"/>
    <n v="305.5"/>
    <d v="2025-05-31T00:00:00"/>
    <s v="INDEMNITÉ CONGÉS PAYÉS"/>
    <m/>
    <e v="#N/A"/>
    <e v="#N/A"/>
    <n v="80184"/>
    <s v="SA202505"/>
    <m/>
    <s v="Q2"/>
    <e v="#REF!"/>
    <e v="#REF!"/>
    <e v="#REF!"/>
  </r>
  <r>
    <s v="641200"/>
    <x v="6"/>
    <s v="CONGÉS PAYÉS"/>
    <s v="SA"/>
    <n v="326.89999999999998"/>
    <d v="2025-02-28T00:00:00"/>
    <s v="INDEMNITÉ COMPENSATRICE DE CONGÉS PAYÉS"/>
    <m/>
    <e v="#N/A"/>
    <e v="#N/A"/>
    <n v="85231"/>
    <s v="SA202502"/>
    <m/>
    <s v="Q1"/>
    <e v="#REF!"/>
    <e v="#REF!"/>
    <e v="#REF!"/>
  </r>
  <r>
    <s v="641200"/>
    <x v="6"/>
    <s v="CONGÉS PAYÉS"/>
    <s v="SA"/>
    <n v="470.04"/>
    <d v="2025-08-31T00:00:00"/>
    <s v="INDEMNITÉ CONGÉS PAYÉS (2,5 JOURS)"/>
    <m/>
    <e v="#N/A"/>
    <e v="#N/A"/>
    <n v="83961"/>
    <s v="SA202508"/>
    <m/>
    <s v="Q3"/>
    <e v="#REF!"/>
    <e v="#REF!"/>
    <e v="#REF!"/>
  </r>
  <r>
    <s v="641200"/>
    <x v="6"/>
    <s v="CONGÉS PAYÉS"/>
    <s v="SA"/>
    <n v="476.88"/>
    <d v="2025-09-30T00:00:00"/>
    <s v="CONGÉS PAYÉS PRIS 120925-190925 (6 JOURS)"/>
    <m/>
    <e v="#N/A"/>
    <e v="#N/A"/>
    <n v="84134"/>
    <s v="SA202509"/>
    <m/>
    <s v="Q3"/>
    <e v="#REF!"/>
    <e v="#REF!"/>
    <e v="#REF!"/>
  </r>
  <r>
    <s v="641200"/>
    <x v="6"/>
    <s v="CONGÉS PAYÉS"/>
    <s v="SA"/>
    <n v="847.57"/>
    <d v="2025-05-31T00:00:00"/>
    <s v="INDEMNITÉ CONGÉS PAYÉS"/>
    <m/>
    <e v="#N/A"/>
    <e v="#N/A"/>
    <n v="80183"/>
    <s v="SA202505"/>
    <m/>
    <s v="Q2"/>
    <e v="#REF!"/>
    <e v="#REF!"/>
    <e v="#REF!"/>
  </r>
  <r>
    <s v="641200"/>
    <x v="6"/>
    <s v="CONGÉS PAYÉS"/>
    <s v="SA"/>
    <n v="868.58"/>
    <d v="2025-01-31T00:00:00"/>
    <s v="INDEMNITÉ COMPENSATRICE DE CONGÉS PAYÉS"/>
    <m/>
    <e v="#N/A"/>
    <e v="#N/A"/>
    <n v="85420"/>
    <s v="SA202501"/>
    <m/>
    <s v="Q1"/>
    <e v="#REF!"/>
    <e v="#REF!"/>
    <e v="#REF!"/>
  </r>
  <r>
    <s v="641200"/>
    <x v="6"/>
    <s v="CONGÉS PAYÉS"/>
    <s v="SA"/>
    <n v="875.6"/>
    <d v="2025-01-31T00:00:00"/>
    <s v="INDEMNITÉ COMPENSATRICE DE CONGÉS PAYÉS"/>
    <m/>
    <e v="#N/A"/>
    <e v="#N/A"/>
    <n v="85419"/>
    <s v="SA202501"/>
    <m/>
    <s v="Q1"/>
    <e v="#REF!"/>
    <e v="#REF!"/>
    <e v="#REF!"/>
  </r>
  <r>
    <s v="641200"/>
    <x v="6"/>
    <s v="CONGÉS PAYÉS"/>
    <s v="SA"/>
    <n v="1220.8599999999999"/>
    <d v="2025-08-31T00:00:00"/>
    <s v="INDEMNITÉ CONGÉS PAYÉS (2,5 JOURS)"/>
    <m/>
    <e v="#N/A"/>
    <e v="#N/A"/>
    <n v="83962"/>
    <s v="SA202508"/>
    <m/>
    <s v="Q3"/>
    <e v="#REF!"/>
    <e v="#REF!"/>
    <e v="#REF!"/>
  </r>
  <r>
    <s v="641200"/>
    <x v="6"/>
    <s v="CONGÉS PAYÉS"/>
    <s v="SA"/>
    <n v="1454.6"/>
    <d v="2025-08-31T00:00:00"/>
    <s v="INDEMNITÉ CONGÉS PAYÉS (2,5 JOURS)"/>
    <m/>
    <e v="#N/A"/>
    <e v="#N/A"/>
    <n v="83960"/>
    <s v="SA202508"/>
    <m/>
    <s v="Q3"/>
    <e v="#REF!"/>
    <e v="#REF!"/>
    <e v="#REF!"/>
  </r>
  <r>
    <s v="641200"/>
    <x v="6"/>
    <s v="CONGÉS PAYÉS"/>
    <s v="SA"/>
    <n v="1508.88"/>
    <d v="2025-03-31T00:00:00"/>
    <s v="CONGÉS PAYÉS PRIS 030325-040325 (2 JOURS)"/>
    <m/>
    <e v="#N/A"/>
    <e v="#N/A"/>
    <n v="80525"/>
    <s v="SA202503"/>
    <m/>
    <s v="Q1"/>
    <e v="#REF!"/>
    <e v="#REF!"/>
    <e v="#REF!"/>
  </r>
  <r>
    <s v="641200"/>
    <x v="6"/>
    <s v="CONGÉS PAYÉS"/>
    <s v="SA"/>
    <n v="1769.29"/>
    <d v="2025-10-31T00:00:00"/>
    <s v="INDEMNITÉ CONGÉS PAYÉS (5 JOURS)"/>
    <m/>
    <e v="#N/A"/>
    <e v="#N/A"/>
    <n v="87800"/>
    <s v="SA202510"/>
    <m/>
    <s v="Q4"/>
    <e v="#REF!"/>
    <e v="#REF!"/>
    <e v="#REF!"/>
  </r>
  <r>
    <s v="641200"/>
    <x v="6"/>
    <s v="CONGÉS PAYÉS"/>
    <s v="SA"/>
    <n v="2159.65"/>
    <d v="2025-05-31T00:00:00"/>
    <s v="INDEMNITÉ CONGÉS PAYÉS"/>
    <m/>
    <e v="#N/A"/>
    <e v="#N/A"/>
    <n v="80185"/>
    <s v="SA202505"/>
    <m/>
    <s v="Q2"/>
    <e v="#REF!"/>
    <e v="#REF!"/>
    <e v="#REF!"/>
  </r>
  <r>
    <s v="641200"/>
    <x v="6"/>
    <s v="CONGÉS PAYÉS"/>
    <s v="SA"/>
    <n v="2489.69"/>
    <d v="2025-09-30T00:00:00"/>
    <s v="CONGÉS PAYÉS PRIS 120925-190925 (6 JOURS)"/>
    <m/>
    <e v="#N/A"/>
    <e v="#N/A"/>
    <n v="84133"/>
    <s v="SA202509"/>
    <m/>
    <s v="Q3"/>
    <e v="#REF!"/>
    <e v="#REF!"/>
    <e v="#REF!"/>
  </r>
  <r>
    <s v="641200"/>
    <x v="6"/>
    <s v="CONGÉS PAYÉS"/>
    <s v="SA"/>
    <n v="2602.6799999999998"/>
    <d v="2025-02-28T00:00:00"/>
    <s v="INDEMNITÉ COMPENSATRICE DE CONGÉS PAYÉS"/>
    <m/>
    <e v="#N/A"/>
    <e v="#N/A"/>
    <n v="85232"/>
    <s v="SA202502"/>
    <m/>
    <s v="Q1"/>
    <e v="#REF!"/>
    <e v="#REF!"/>
    <e v="#REF!"/>
  </r>
  <r>
    <s v="641200"/>
    <x v="6"/>
    <s v="CONGÉS PAYÉS"/>
    <s v="SA"/>
    <n v="2753.97"/>
    <d v="2025-06-30T00:00:00"/>
    <s v="CONGÉS PAYÉS PRIS 300525 (1 JOUR)"/>
    <m/>
    <e v="#N/A"/>
    <e v="#N/A"/>
    <n v="80015"/>
    <s v="SA202506"/>
    <m/>
    <s v="Q2"/>
    <e v="#REF!"/>
    <e v="#REF!"/>
    <e v="#REF!"/>
  </r>
  <r>
    <s v="641200"/>
    <x v="6"/>
    <s v="CONGÉS PAYÉS"/>
    <s v="SA"/>
    <n v="2926.41"/>
    <d v="2025-07-31T00:00:00"/>
    <s v="CONGÉS PAYÉS PRIS 110725-300725 (13 JOURS)"/>
    <m/>
    <e v="#N/A"/>
    <e v="#N/A"/>
    <n v="79843"/>
    <s v="SA202507"/>
    <m/>
    <s v="Q3"/>
    <e v="#REF!"/>
    <e v="#REF!"/>
    <e v="#REF!"/>
  </r>
  <r>
    <s v="641200"/>
    <x v="6"/>
    <s v="CONGÉS PAYÉS"/>
    <s v="SA"/>
    <n v="3138.38"/>
    <d v="2025-07-31T00:00:00"/>
    <s v="CONGÉS PAYÉS PRIS 110725-300725 (13 JOURS)"/>
    <m/>
    <e v="#N/A"/>
    <e v="#N/A"/>
    <n v="79841"/>
    <s v="SA202507"/>
    <m/>
    <s v="Q3"/>
    <e v="#REF!"/>
    <e v="#REF!"/>
    <e v="#REF!"/>
  </r>
  <r>
    <s v="641200"/>
    <x v="6"/>
    <s v="CONGÉS PAYÉS"/>
    <s v="SA"/>
    <n v="11546.69"/>
    <d v="2025-02-28T00:00:00"/>
    <s v="INDEMNITÉ COMPENSATRICE DE CONGÉS PAYÉS"/>
    <m/>
    <e v="#N/A"/>
    <e v="#N/A"/>
    <n v="85230"/>
    <s v="SA202502"/>
    <m/>
    <s v="Q1"/>
    <e v="#REF!"/>
    <e v="#REF!"/>
    <e v="#REF!"/>
  </r>
  <r>
    <s v="641220"/>
    <x v="6"/>
    <s v="RTT"/>
    <s v="JC"/>
    <n v="-11747.66"/>
    <d v="2025-08-01T00:00:00"/>
    <s v="Extourne Provision RTT"/>
    <m/>
    <e v="#N/A"/>
    <e v="#N/A"/>
    <n v="85939"/>
    <m/>
    <m/>
    <s v="Q3"/>
    <e v="#REF!"/>
    <e v="#REF!"/>
    <e v="#REF!"/>
  </r>
  <r>
    <s v="641220"/>
    <x v="6"/>
    <s v="RTT"/>
    <s v="JC"/>
    <n v="-11619.47"/>
    <d v="2025-07-01T00:00:00"/>
    <s v="Extourne Provision RTT"/>
    <m/>
    <e v="#N/A"/>
    <e v="#N/A"/>
    <n v="85868"/>
    <m/>
    <m/>
    <s v="Q3"/>
    <e v="#REF!"/>
    <e v="#REF!"/>
    <e v="#REF!"/>
  </r>
  <r>
    <s v="641220"/>
    <x v="6"/>
    <s v="RTT"/>
    <s v="JC"/>
    <n v="-11526.47"/>
    <d v="2025-11-01T00:00:00"/>
    <s v="PROVISION RTT"/>
    <m/>
    <e v="#N/A"/>
    <e v="#N/A"/>
    <n v="87967"/>
    <s v="Extourne Provision RTT"/>
    <m/>
    <s v="Q4"/>
    <e v="#REF!"/>
    <e v="#REF!"/>
    <e v="#REF!"/>
  </r>
  <r>
    <s v="641220"/>
    <x v="6"/>
    <s v="RTT"/>
    <s v="JC"/>
    <n v="-10935.14"/>
    <d v="2025-10-01T00:00:00"/>
    <s v="Extourne Provision RTT"/>
    <m/>
    <e v="#N/A"/>
    <e v="#N/A"/>
    <n v="85899"/>
    <m/>
    <m/>
    <s v="Q4"/>
    <e v="#REF!"/>
    <e v="#REF!"/>
    <e v="#REF!"/>
  </r>
  <r>
    <s v="641220"/>
    <x v="6"/>
    <s v="RTT"/>
    <s v="JC"/>
    <n v="-10304.200000000001"/>
    <d v="2025-05-01T00:00:00"/>
    <s v="PROVISION RTT"/>
    <m/>
    <e v="#N/A"/>
    <e v="#N/A"/>
    <n v="92599"/>
    <s v="Extourne Provision RTT"/>
    <m/>
    <s v="Q2"/>
    <e v="#REF!"/>
    <e v="#REF!"/>
    <e v="#REF!"/>
  </r>
  <r>
    <s v="641220"/>
    <x v="6"/>
    <s v="RTT"/>
    <s v="JC"/>
    <n v="-9953.18"/>
    <d v="2025-12-01T00:00:00"/>
    <s v="PROVISION RTT"/>
    <m/>
    <e v="#N/A"/>
    <e v="#N/A"/>
    <n v="92456"/>
    <s v="Extourne Provision RTT"/>
    <m/>
    <s v="Q4"/>
    <e v="#REF!"/>
    <e v="#REF!"/>
    <e v="#REF!"/>
  </r>
  <r>
    <s v="641220"/>
    <x v="6"/>
    <s v="RTT"/>
    <s v="JC"/>
    <n v="-9481.5"/>
    <d v="2025-09-01T00:00:00"/>
    <s v="PROVISION RTT"/>
    <m/>
    <e v="#N/A"/>
    <e v="#N/A"/>
    <n v="85978"/>
    <s v="Extourne Provision RTT"/>
    <m/>
    <s v="Q3"/>
    <e v="#REF!"/>
    <e v="#REF!"/>
    <e v="#REF!"/>
  </r>
  <r>
    <s v="641220"/>
    <x v="6"/>
    <s v="RTT"/>
    <s v="JC"/>
    <n v="-9172.4"/>
    <d v="2025-04-01T00:00:00"/>
    <s v="PROVISION RTT"/>
    <m/>
    <e v="#N/A"/>
    <e v="#N/A"/>
    <n v="92519"/>
    <s v="Extourne Provision RTT"/>
    <m/>
    <s v="Q2"/>
    <e v="#REF!"/>
    <e v="#REF!"/>
    <e v="#REF!"/>
  </r>
  <r>
    <s v="641220"/>
    <x v="6"/>
    <s v="RTT"/>
    <s v="JC"/>
    <n v="-8617.18"/>
    <d v="2025-06-01T00:00:00"/>
    <s v="PROVISION RTT"/>
    <m/>
    <e v="#N/A"/>
    <e v="#N/A"/>
    <n v="92639"/>
    <s v="Extourne Provision RTT"/>
    <m/>
    <s v="Q2"/>
    <e v="#REF!"/>
    <e v="#REF!"/>
    <e v="#REF!"/>
  </r>
  <r>
    <s v="641220"/>
    <x v="6"/>
    <s v="RTT"/>
    <s v="JC"/>
    <n v="-8177.02"/>
    <d v="2025-08-01T00:00:00"/>
    <s v="Extourne Provision RTT"/>
    <m/>
    <e v="#N/A"/>
    <e v="#N/A"/>
    <n v="85936"/>
    <m/>
    <m/>
    <s v="Q3"/>
    <e v="#REF!"/>
    <e v="#REF!"/>
    <e v="#REF!"/>
  </r>
  <r>
    <s v="641220"/>
    <x v="6"/>
    <s v="RTT"/>
    <s v="JC"/>
    <n v="-7581.97"/>
    <d v="2025-11-01T00:00:00"/>
    <s v="PROVISION RTT"/>
    <m/>
    <e v="#N/A"/>
    <e v="#N/A"/>
    <n v="87966"/>
    <s v="Extourne Provision RTT"/>
    <m/>
    <s v="Q4"/>
    <e v="#REF!"/>
    <e v="#REF!"/>
    <e v="#REF!"/>
  </r>
  <r>
    <s v="641220"/>
    <x v="6"/>
    <s v="RTT"/>
    <s v="JC"/>
    <n v="-7079.6"/>
    <d v="2025-03-01T00:00:00"/>
    <s v="PROVISION RTT"/>
    <m/>
    <e v="#N/A"/>
    <e v="#N/A"/>
    <n v="92559"/>
    <s v="Extourne Provision RTT"/>
    <m/>
    <s v="Q1"/>
    <e v="#REF!"/>
    <e v="#REF!"/>
    <e v="#REF!"/>
  </r>
  <r>
    <s v="641220"/>
    <x v="6"/>
    <s v="RTT"/>
    <s v="JC"/>
    <n v="-7052.24"/>
    <d v="2025-07-01T00:00:00"/>
    <s v="Extourne Provision RTT"/>
    <m/>
    <e v="#N/A"/>
    <e v="#N/A"/>
    <n v="85871"/>
    <m/>
    <m/>
    <s v="Q3"/>
    <e v="#REF!"/>
    <e v="#REF!"/>
    <e v="#REF!"/>
  </r>
  <r>
    <s v="641220"/>
    <x v="6"/>
    <s v="RTT"/>
    <s v="JC"/>
    <n v="-6907.13"/>
    <d v="2025-12-01T00:00:00"/>
    <s v="PROVISION RTT"/>
    <m/>
    <e v="#N/A"/>
    <e v="#N/A"/>
    <n v="92455"/>
    <s v="Extourne Provision RTT"/>
    <m/>
    <s v="Q4"/>
    <e v="#REF!"/>
    <e v="#REF!"/>
    <e v="#REF!"/>
  </r>
  <r>
    <s v="641220"/>
    <x v="6"/>
    <s v="RTT"/>
    <s v="JC"/>
    <n v="-6868.3"/>
    <d v="2025-10-01T00:00:00"/>
    <s v="Extourne Provision RTT"/>
    <m/>
    <e v="#N/A"/>
    <e v="#N/A"/>
    <n v="85896"/>
    <m/>
    <m/>
    <s v="Q4"/>
    <e v="#REF!"/>
    <e v="#REF!"/>
    <e v="#REF!"/>
  </r>
  <r>
    <s v="641220"/>
    <x v="6"/>
    <s v="RTT"/>
    <s v="JC"/>
    <n v="-6751"/>
    <d v="2025-01-01T00:00:00"/>
    <s v="Extourne Provision"/>
    <m/>
    <e v="#N/A"/>
    <e v="#N/A"/>
    <n v="72190"/>
    <m/>
    <m/>
    <s v="Q1"/>
    <e v="#REF!"/>
    <e v="#REF!"/>
    <e v="#REF!"/>
  </r>
  <r>
    <s v="641220"/>
    <x v="6"/>
    <s v="RTT"/>
    <s v="JC"/>
    <n v="-6209.68"/>
    <d v="2025-05-01T00:00:00"/>
    <s v="PROVISION RTT"/>
    <m/>
    <e v="#N/A"/>
    <e v="#N/A"/>
    <n v="92598"/>
    <s v="Extourne Provision RTT"/>
    <m/>
    <s v="Q2"/>
    <e v="#REF!"/>
    <e v="#REF!"/>
    <e v="#REF!"/>
  </r>
  <r>
    <s v="641220"/>
    <x v="6"/>
    <s v="RTT"/>
    <s v="JC"/>
    <n v="-6155.94"/>
    <d v="2025-06-01T00:00:00"/>
    <s v="PROVISION RTT"/>
    <m/>
    <e v="#N/A"/>
    <e v="#N/A"/>
    <n v="92638"/>
    <s v="Extourne Provision RTT"/>
    <m/>
    <s v="Q2"/>
    <e v="#REF!"/>
    <e v="#REF!"/>
    <e v="#REF!"/>
  </r>
  <r>
    <s v="641220"/>
    <x v="6"/>
    <s v="RTT"/>
    <s v="JC"/>
    <n v="-5442.21"/>
    <d v="2025-09-01T00:00:00"/>
    <s v="PROVISION RTT"/>
    <m/>
    <e v="#N/A"/>
    <e v="#N/A"/>
    <n v="85977"/>
    <s v="Extourne Provision RTT"/>
    <m/>
    <s v="Q3"/>
    <e v="#REF!"/>
    <e v="#REF!"/>
    <e v="#REF!"/>
  </r>
  <r>
    <s v="641220"/>
    <x v="6"/>
    <s v="RTT"/>
    <s v="JC"/>
    <n v="-4743.84"/>
    <d v="2025-04-01T00:00:00"/>
    <s v="PROVISION RTT"/>
    <m/>
    <e v="#N/A"/>
    <e v="#N/A"/>
    <n v="92518"/>
    <s v="Extourne Provision RTT"/>
    <m/>
    <s v="Q2"/>
    <e v="#REF!"/>
    <e v="#REF!"/>
    <e v="#REF!"/>
  </r>
  <r>
    <s v="641220"/>
    <x v="6"/>
    <s v="RTT"/>
    <s v="JC"/>
    <n v="-3793"/>
    <d v="2025-01-01T00:00:00"/>
    <s v="Extourne Provision"/>
    <m/>
    <e v="#N/A"/>
    <e v="#N/A"/>
    <n v="92654"/>
    <s v="Extourne Provision"/>
    <m/>
    <s v="Q1"/>
    <e v="#REF!"/>
    <e v="#REF!"/>
    <e v="#REF!"/>
  </r>
  <r>
    <s v="641220"/>
    <x v="6"/>
    <s v="RTT"/>
    <s v="JC"/>
    <n v="-3193.67"/>
    <d v="2025-02-01T00:00:00"/>
    <s v="Extourne Provision RTT"/>
    <m/>
    <e v="#N/A"/>
    <e v="#N/A"/>
    <n v="92474"/>
    <m/>
    <m/>
    <s v="Q1"/>
    <e v="#REF!"/>
    <e v="#REF!"/>
    <e v="#REF!"/>
  </r>
  <r>
    <s v="641220"/>
    <x v="6"/>
    <s v="RTT"/>
    <s v="JC"/>
    <n v="-2805.64"/>
    <d v="2025-03-01T00:00:00"/>
    <s v="PROVISION RTT"/>
    <m/>
    <e v="#N/A"/>
    <e v="#N/A"/>
    <n v="92558"/>
    <s v="Extourne Provision RTT"/>
    <m/>
    <s v="Q1"/>
    <e v="#REF!"/>
    <e v="#REF!"/>
    <e v="#REF!"/>
  </r>
  <r>
    <s v="641220"/>
    <x v="6"/>
    <s v="RTT"/>
    <s v="JC"/>
    <n v="-2763.42"/>
    <d v="2025-08-01T00:00:00"/>
    <s v="Extourne Provision RTT"/>
    <m/>
    <e v="#N/A"/>
    <e v="#N/A"/>
    <n v="85937"/>
    <m/>
    <m/>
    <s v="Q3"/>
    <e v="#REF!"/>
    <e v="#REF!"/>
    <e v="#REF!"/>
  </r>
  <r>
    <s v="641220"/>
    <x v="6"/>
    <s v="RTT"/>
    <s v="JC"/>
    <n v="-2691.9"/>
    <d v="2025-05-01T00:00:00"/>
    <s v="PROVISION RTT"/>
    <m/>
    <e v="#N/A"/>
    <e v="#N/A"/>
    <n v="92597"/>
    <s v="Extourne Provision RTT"/>
    <m/>
    <s v="Q2"/>
    <e v="#REF!"/>
    <e v="#REF!"/>
    <e v="#REF!"/>
  </r>
  <r>
    <s v="641220"/>
    <x v="6"/>
    <s v="RTT"/>
    <s v="JC"/>
    <n v="-2663.44"/>
    <d v="2025-10-01T00:00:00"/>
    <s v="Extourne Provision RTT"/>
    <m/>
    <e v="#N/A"/>
    <e v="#N/A"/>
    <n v="85897"/>
    <m/>
    <m/>
    <s v="Q4"/>
    <e v="#REF!"/>
    <e v="#REF!"/>
    <e v="#REF!"/>
  </r>
  <r>
    <s v="641220"/>
    <x v="6"/>
    <s v="RTT"/>
    <s v="JC"/>
    <n v="-2621.21"/>
    <d v="2025-12-01T00:00:00"/>
    <s v="PROVISION RTT"/>
    <m/>
    <e v="#N/A"/>
    <e v="#N/A"/>
    <n v="92454"/>
    <s v="Extourne Provision RTT"/>
    <m/>
    <s v="Q4"/>
    <e v="#REF!"/>
    <e v="#REF!"/>
    <e v="#REF!"/>
  </r>
  <r>
    <s v="641220"/>
    <x v="6"/>
    <s v="RTT"/>
    <s v="JC"/>
    <n v="-2468.81"/>
    <d v="2025-07-01T00:00:00"/>
    <s v="Extourne Provision RTT"/>
    <m/>
    <e v="#N/A"/>
    <e v="#N/A"/>
    <n v="85869"/>
    <m/>
    <m/>
    <s v="Q3"/>
    <e v="#REF!"/>
    <e v="#REF!"/>
    <e v="#REF!"/>
  </r>
  <r>
    <s v="641220"/>
    <x v="6"/>
    <s v="RTT"/>
    <s v="JC"/>
    <n v="-2398.11"/>
    <d v="2025-07-01T00:00:00"/>
    <s v="Extourne Provision RTT"/>
    <m/>
    <e v="#N/A"/>
    <e v="#N/A"/>
    <n v="85870"/>
    <m/>
    <m/>
    <s v="Q3"/>
    <e v="#REF!"/>
    <e v="#REF!"/>
    <e v="#REF!"/>
  </r>
  <r>
    <s v="641220"/>
    <x v="6"/>
    <s v="RTT"/>
    <s v="JC"/>
    <n v="-2395.79"/>
    <d v="2025-04-01T00:00:00"/>
    <s v="PROVISION RTT"/>
    <m/>
    <e v="#N/A"/>
    <e v="#N/A"/>
    <n v="92517"/>
    <s v="Extourne Provision RTT"/>
    <m/>
    <s v="Q2"/>
    <e v="#REF!"/>
    <e v="#REF!"/>
    <e v="#REF!"/>
  </r>
  <r>
    <s v="641220"/>
    <x v="6"/>
    <s v="RTT"/>
    <s v="JC"/>
    <n v="-2211.15"/>
    <d v="2025-06-01T00:00:00"/>
    <s v="PROVISION RTT"/>
    <m/>
    <e v="#N/A"/>
    <e v="#N/A"/>
    <n v="92640"/>
    <s v="Extourne Provision RTT"/>
    <m/>
    <s v="Q2"/>
    <e v="#REF!"/>
    <e v="#REF!"/>
    <e v="#REF!"/>
  </r>
  <r>
    <s v="641220"/>
    <x v="6"/>
    <s v="RTT"/>
    <s v="JC"/>
    <n v="-2023.18"/>
    <d v="2025-11-01T00:00:00"/>
    <s v="PROVISION RTT"/>
    <m/>
    <e v="#N/A"/>
    <e v="#N/A"/>
    <n v="87965"/>
    <s v="Extourne Provision RTT"/>
    <m/>
    <s v="Q4"/>
    <e v="#REF!"/>
    <e v="#REF!"/>
    <e v="#REF!"/>
  </r>
  <r>
    <s v="641220"/>
    <x v="6"/>
    <s v="RTT"/>
    <s v="JC"/>
    <n v="-1900"/>
    <d v="2025-01-01T00:00:00"/>
    <s v="Extourne Provision"/>
    <m/>
    <e v="#N/A"/>
    <e v="#N/A"/>
    <n v="92652"/>
    <s v="Extourne Provision"/>
    <m/>
    <s v="Q1"/>
    <e v="#REF!"/>
    <e v="#REF!"/>
    <e v="#REF!"/>
  </r>
  <r>
    <s v="641220"/>
    <x v="6"/>
    <s v="RTT"/>
    <s v="JC"/>
    <n v="-1768.92"/>
    <d v="2025-05-01T00:00:00"/>
    <s v="PROVISION RTT"/>
    <m/>
    <e v="#N/A"/>
    <e v="#N/A"/>
    <n v="92600"/>
    <s v="Extourne Provision RTT"/>
    <m/>
    <s v="Q2"/>
    <e v="#REF!"/>
    <e v="#REF!"/>
    <e v="#REF!"/>
  </r>
  <r>
    <s v="641220"/>
    <x v="6"/>
    <s v="RTT"/>
    <s v="JC"/>
    <n v="-1676.67"/>
    <d v="2025-06-01T00:00:00"/>
    <s v="PROVISION RTT"/>
    <m/>
    <e v="#N/A"/>
    <e v="#N/A"/>
    <n v="92637"/>
    <s v="Extourne Provision RTT"/>
    <m/>
    <s v="Q2"/>
    <e v="#REF!"/>
    <e v="#REF!"/>
    <e v="#REF!"/>
  </r>
  <r>
    <s v="641220"/>
    <x v="6"/>
    <s v="RTT"/>
    <s v="JC"/>
    <n v="-1636.67"/>
    <d v="2025-09-01T00:00:00"/>
    <s v="PROVISION RTT"/>
    <m/>
    <e v="#N/A"/>
    <e v="#N/A"/>
    <n v="85976"/>
    <s v="Extourne Provision RTT"/>
    <m/>
    <s v="Q3"/>
    <e v="#REF!"/>
    <e v="#REF!"/>
    <e v="#REF!"/>
  </r>
  <r>
    <s v="641220"/>
    <x v="6"/>
    <s v="RTT"/>
    <s v="JC"/>
    <n v="-1511.31"/>
    <d v="2025-03-01T00:00:00"/>
    <s v="PROVISION RTT"/>
    <m/>
    <e v="#N/A"/>
    <e v="#N/A"/>
    <n v="92557"/>
    <s v="Extourne Provision RTT"/>
    <m/>
    <s v="Q1"/>
    <e v="#REF!"/>
    <e v="#REF!"/>
    <e v="#REF!"/>
  </r>
  <r>
    <s v="641220"/>
    <x v="6"/>
    <s v="RTT"/>
    <s v="JC"/>
    <n v="-1326.7"/>
    <d v="2025-04-01T00:00:00"/>
    <s v="PROVISION RTT"/>
    <m/>
    <e v="#N/A"/>
    <e v="#N/A"/>
    <n v="92520"/>
    <s v="Extourne Provision RTT"/>
    <m/>
    <s v="Q2"/>
    <e v="#REF!"/>
    <e v="#REF!"/>
    <e v="#REF!"/>
  </r>
  <r>
    <s v="641220"/>
    <x v="6"/>
    <s v="RTT"/>
    <s v="JC"/>
    <n v="-1325"/>
    <d v="2025-01-01T00:00:00"/>
    <s v="Extourne Provision"/>
    <m/>
    <e v="#N/A"/>
    <e v="#N/A"/>
    <n v="92655"/>
    <s v="Extourne Provision"/>
    <m/>
    <s v="Q1"/>
    <e v="#REF!"/>
    <e v="#REF!"/>
    <e v="#REF!"/>
  </r>
  <r>
    <s v="641220"/>
    <x v="6"/>
    <s v="RTT"/>
    <s v="JC"/>
    <n v="-1309.3699999999999"/>
    <d v="2025-08-01T00:00:00"/>
    <s v="Extourne Provision RTT"/>
    <m/>
    <e v="#N/A"/>
    <e v="#N/A"/>
    <n v="85938"/>
    <m/>
    <m/>
    <s v="Q3"/>
    <e v="#REF!"/>
    <e v="#REF!"/>
    <e v="#REF!"/>
  </r>
  <r>
    <s v="641220"/>
    <x v="6"/>
    <s v="RTT"/>
    <s v="JC"/>
    <n v="-1270.94"/>
    <d v="2025-11-01T00:00:00"/>
    <s v="PROVISION RTT"/>
    <m/>
    <e v="#N/A"/>
    <e v="#N/A"/>
    <n v="87968"/>
    <s v="Extourne Provision RTT"/>
    <m/>
    <s v="Q4"/>
    <e v="#REF!"/>
    <e v="#REF!"/>
    <e v="#REF!"/>
  </r>
  <r>
    <s v="641220"/>
    <x v="6"/>
    <s v="RTT"/>
    <s v="JC"/>
    <n v="-1013.29"/>
    <d v="2025-10-01T00:00:00"/>
    <s v="Extourne Provision RTT"/>
    <m/>
    <e v="#N/A"/>
    <e v="#N/A"/>
    <n v="85898"/>
    <m/>
    <m/>
    <s v="Q4"/>
    <e v="#REF!"/>
    <e v="#REF!"/>
    <e v="#REF!"/>
  </r>
  <r>
    <s v="641220"/>
    <x v="6"/>
    <s v="RTT"/>
    <s v="JC"/>
    <n v="-940.22"/>
    <d v="2025-12-01T00:00:00"/>
    <s v="PROVISION RTT"/>
    <m/>
    <e v="#N/A"/>
    <e v="#N/A"/>
    <n v="92457"/>
    <s v="Extourne Provision RTT"/>
    <m/>
    <s v="Q4"/>
    <e v="#REF!"/>
    <e v="#REF!"/>
    <e v="#REF!"/>
  </r>
  <r>
    <s v="641220"/>
    <x v="6"/>
    <s v="RTT"/>
    <s v="JC"/>
    <n v="-934.09"/>
    <d v="2025-01-31T00:00:00"/>
    <s v="Provision RTT"/>
    <m/>
    <e v="#N/A"/>
    <e v="#N/A"/>
    <n v="72155"/>
    <m/>
    <m/>
    <s v="Q1"/>
    <e v="#REF!"/>
    <e v="#REF!"/>
    <e v="#REF!"/>
  </r>
  <r>
    <s v="641220"/>
    <x v="6"/>
    <s v="RTT"/>
    <s v="JC"/>
    <n v="-810.63"/>
    <d v="2025-03-01T00:00:00"/>
    <s v="PROVISION RTT"/>
    <m/>
    <e v="#N/A"/>
    <e v="#N/A"/>
    <n v="92560"/>
    <s v="Extourne Provision RTT"/>
    <m/>
    <s v="Q1"/>
    <e v="#REF!"/>
    <e v="#REF!"/>
    <e v="#REF!"/>
  </r>
  <r>
    <s v="641220"/>
    <x v="6"/>
    <s v="RTT"/>
    <s v="JC"/>
    <n v="-699.89"/>
    <d v="2025-09-01T00:00:00"/>
    <s v="PROVISION RTT"/>
    <m/>
    <e v="#N/A"/>
    <e v="#N/A"/>
    <n v="85979"/>
    <s v="Extourne Provision RTT"/>
    <m/>
    <s v="Q3"/>
    <e v="#REF!"/>
    <e v="#REF!"/>
    <e v="#REF!"/>
  </r>
  <r>
    <s v="641220"/>
    <x v="6"/>
    <s v="RTT"/>
    <s v="JC"/>
    <n v="-588.37"/>
    <d v="2025-01-31T00:00:00"/>
    <s v="Provision RTT"/>
    <m/>
    <e v="#N/A"/>
    <e v="#N/A"/>
    <n v="90038"/>
    <m/>
    <m/>
    <s v="Q1"/>
    <e v="#REF!"/>
    <e v="#REF!"/>
    <e v="#REF!"/>
  </r>
  <r>
    <s v="641220"/>
    <x v="6"/>
    <s v="RTT"/>
    <s v="JC"/>
    <n v="-515.30999999999995"/>
    <d v="2025-12-31T00:00:00"/>
    <s v="PROVISION RTT"/>
    <m/>
    <e v="#N/A"/>
    <e v="#N/A"/>
    <n v="92914"/>
    <s v="Provision RTT"/>
    <m/>
    <s v="Q4"/>
    <e v="#REF!"/>
    <e v="#REF!"/>
    <e v="#REF!"/>
  </r>
  <r>
    <s v="641220"/>
    <x v="6"/>
    <s v="RTT"/>
    <s v="JC"/>
    <n v="-410.63"/>
    <d v="2025-02-01T00:00:00"/>
    <s v="Extourne Provision RTT"/>
    <m/>
    <e v="#N/A"/>
    <e v="#N/A"/>
    <n v="92476"/>
    <m/>
    <m/>
    <s v="Q1"/>
    <e v="#REF!"/>
    <e v="#REF!"/>
    <e v="#REF!"/>
  </r>
  <r>
    <s v="641220"/>
    <x v="6"/>
    <s v="RTT"/>
    <s v="JC"/>
    <n v="267"/>
    <d v="2025-01-01T00:00:00"/>
    <s v="Extourne Provision"/>
    <m/>
    <e v="#N/A"/>
    <e v="#N/A"/>
    <n v="92653"/>
    <s v="Extourne Provision"/>
    <m/>
    <s v="Q1"/>
    <e v="#REF!"/>
    <e v="#REF!"/>
    <e v="#REF!"/>
  </r>
  <r>
    <s v="641220"/>
    <x v="6"/>
    <s v="RTT"/>
    <s v="JC"/>
    <n v="410.63"/>
    <d v="2025-01-31T00:00:00"/>
    <s v="Provision RTT"/>
    <m/>
    <e v="#N/A"/>
    <e v="#N/A"/>
    <n v="90040"/>
    <m/>
    <m/>
    <s v="Q1"/>
    <e v="#REF!"/>
    <e v="#REF!"/>
    <e v="#REF!"/>
  </r>
  <r>
    <s v="641220"/>
    <x v="6"/>
    <s v="RTT"/>
    <s v="JC"/>
    <n v="588.37"/>
    <d v="2025-02-01T00:00:00"/>
    <s v="Extourne Provision RTT"/>
    <m/>
    <e v="#N/A"/>
    <e v="#N/A"/>
    <n v="92475"/>
    <m/>
    <m/>
    <s v="Q1"/>
    <e v="#REF!"/>
    <e v="#REF!"/>
    <e v="#REF!"/>
  </r>
  <r>
    <s v="641220"/>
    <x v="6"/>
    <s v="RTT"/>
    <s v="JC"/>
    <n v="699.89"/>
    <d v="2025-08-31T00:00:00"/>
    <s v="PROVISION RTT"/>
    <m/>
    <e v="#N/A"/>
    <e v="#N/A"/>
    <n v="85959"/>
    <s v="Provision RTT"/>
    <m/>
    <s v="Q3"/>
    <e v="#REF!"/>
    <e v="#REF!"/>
    <e v="#REF!"/>
  </r>
  <r>
    <s v="641220"/>
    <x v="6"/>
    <s v="RTT"/>
    <s v="JC"/>
    <n v="810.63"/>
    <d v="2025-02-28T00:00:00"/>
    <s v="PROVISION RTT"/>
    <m/>
    <e v="#N/A"/>
    <e v="#N/A"/>
    <n v="92540"/>
    <s v="Provision RTT"/>
    <m/>
    <s v="Q1"/>
    <e v="#REF!"/>
    <e v="#REF!"/>
    <e v="#REF!"/>
  </r>
  <r>
    <s v="641220"/>
    <x v="6"/>
    <s v="RTT"/>
    <s v="JC"/>
    <n v="934.09"/>
    <d v="2025-02-01T00:00:00"/>
    <s v="Extourne Provision RTT"/>
    <m/>
    <e v="#N/A"/>
    <e v="#N/A"/>
    <n v="92477"/>
    <m/>
    <m/>
    <s v="Q1"/>
    <e v="#REF!"/>
    <e v="#REF!"/>
    <e v="#REF!"/>
  </r>
  <r>
    <s v="641220"/>
    <x v="6"/>
    <s v="RTT"/>
    <s v="JC"/>
    <n v="940.22"/>
    <d v="2025-11-30T00:00:00"/>
    <s v="PROVISION RTT"/>
    <m/>
    <e v="#N/A"/>
    <e v="#N/A"/>
    <n v="92437"/>
    <s v="Provision RTT"/>
    <m/>
    <s v="Q4"/>
    <e v="#REF!"/>
    <e v="#REF!"/>
    <e v="#REF!"/>
  </r>
  <r>
    <s v="641220"/>
    <x v="6"/>
    <s v="RTT"/>
    <s v="JC"/>
    <n v="1013.29"/>
    <d v="2025-09-30T00:00:00"/>
    <s v="Provision RTT"/>
    <m/>
    <e v="#N/A"/>
    <e v="#N/A"/>
    <n v="85886"/>
    <m/>
    <m/>
    <s v="Q3"/>
    <e v="#REF!"/>
    <e v="#REF!"/>
    <e v="#REF!"/>
  </r>
  <r>
    <s v="641220"/>
    <x v="6"/>
    <s v="RTT"/>
    <s v="JC"/>
    <n v="1270.94"/>
    <d v="2025-10-31T00:00:00"/>
    <s v="PROVISION RTT"/>
    <m/>
    <e v="#N/A"/>
    <e v="#N/A"/>
    <n v="87948"/>
    <s v="Provision RTT"/>
    <m/>
    <s v="Q4"/>
    <e v="#REF!"/>
    <e v="#REF!"/>
    <e v="#REF!"/>
  </r>
  <r>
    <s v="641220"/>
    <x v="6"/>
    <s v="RTT"/>
    <s v="JC"/>
    <n v="1309.3699999999999"/>
    <d v="2025-07-31T00:00:00"/>
    <s v="Provision RTT"/>
    <m/>
    <e v="#N/A"/>
    <e v="#N/A"/>
    <n v="85926"/>
    <m/>
    <m/>
    <s v="Q3"/>
    <e v="#REF!"/>
    <e v="#REF!"/>
    <e v="#REF!"/>
  </r>
  <r>
    <s v="641220"/>
    <x v="6"/>
    <s v="RTT"/>
    <s v="JC"/>
    <n v="1326.7"/>
    <d v="2025-03-31T00:00:00"/>
    <s v="PROVISION RTT"/>
    <m/>
    <e v="#N/A"/>
    <e v="#N/A"/>
    <n v="92500"/>
    <s v="Provision RTT"/>
    <m/>
    <s v="Q1"/>
    <e v="#REF!"/>
    <e v="#REF!"/>
    <e v="#REF!"/>
  </r>
  <r>
    <s v="641220"/>
    <x v="6"/>
    <s v="RTT"/>
    <s v="JC"/>
    <n v="1511.31"/>
    <d v="2025-02-28T00:00:00"/>
    <s v="PROVISION RTT"/>
    <m/>
    <e v="#N/A"/>
    <e v="#N/A"/>
    <n v="92537"/>
    <s v="Provision RTT"/>
    <m/>
    <s v="Q1"/>
    <e v="#REF!"/>
    <e v="#REF!"/>
    <e v="#REF!"/>
  </r>
  <r>
    <s v="641220"/>
    <x v="6"/>
    <s v="RTT"/>
    <s v="JC"/>
    <n v="1636.67"/>
    <d v="2025-08-31T00:00:00"/>
    <s v="PROVISION RTT"/>
    <m/>
    <e v="#N/A"/>
    <e v="#N/A"/>
    <n v="85956"/>
    <s v="Provision RTT"/>
    <m/>
    <s v="Q3"/>
    <e v="#REF!"/>
    <e v="#REF!"/>
    <e v="#REF!"/>
  </r>
  <r>
    <s v="641220"/>
    <x v="6"/>
    <s v="RTT"/>
    <s v="JC"/>
    <n v="1676.67"/>
    <d v="2025-05-31T00:00:00"/>
    <s v="PROVISION RTT"/>
    <m/>
    <e v="#N/A"/>
    <e v="#N/A"/>
    <n v="92617"/>
    <s v="Provision RTT"/>
    <m/>
    <s v="Q2"/>
    <e v="#REF!"/>
    <e v="#REF!"/>
    <e v="#REF!"/>
  </r>
  <r>
    <s v="641220"/>
    <x v="6"/>
    <s v="RTT"/>
    <s v="JC"/>
    <n v="1768.92"/>
    <d v="2025-04-30T00:00:00"/>
    <s v="PROVISION RTT"/>
    <m/>
    <e v="#N/A"/>
    <e v="#N/A"/>
    <n v="92580"/>
    <s v="Provision RTT"/>
    <m/>
    <s v="Q2"/>
    <e v="#REF!"/>
    <e v="#REF!"/>
    <e v="#REF!"/>
  </r>
  <r>
    <s v="641220"/>
    <x v="6"/>
    <s v="RTT"/>
    <s v="JC"/>
    <n v="2023.18"/>
    <d v="2025-10-31T00:00:00"/>
    <s v="PROVISION RTT"/>
    <m/>
    <e v="#N/A"/>
    <e v="#N/A"/>
    <n v="87945"/>
    <s v="Provision RTT"/>
    <m/>
    <s v="Q4"/>
    <e v="#REF!"/>
    <e v="#REF!"/>
    <e v="#REF!"/>
  </r>
  <r>
    <s v="641220"/>
    <x v="6"/>
    <s v="RTT"/>
    <s v="JC"/>
    <n v="2211.15"/>
    <d v="2025-05-31T00:00:00"/>
    <s v="PROVISION RTT"/>
    <m/>
    <e v="#N/A"/>
    <e v="#N/A"/>
    <n v="92620"/>
    <s v="Provision RTT"/>
    <m/>
    <s v="Q2"/>
    <e v="#REF!"/>
    <e v="#REF!"/>
    <e v="#REF!"/>
  </r>
  <r>
    <s v="641220"/>
    <x v="6"/>
    <s v="RTT"/>
    <s v="JC"/>
    <n v="2395.79"/>
    <d v="2025-03-31T00:00:00"/>
    <s v="PROVISION RTT"/>
    <m/>
    <e v="#N/A"/>
    <e v="#N/A"/>
    <n v="92497"/>
    <s v="Provision RTT"/>
    <m/>
    <s v="Q1"/>
    <e v="#REF!"/>
    <e v="#REF!"/>
    <e v="#REF!"/>
  </r>
  <r>
    <s v="641220"/>
    <x v="6"/>
    <s v="RTT"/>
    <s v="JC"/>
    <n v="2398.11"/>
    <d v="2025-06-30T00:00:00"/>
    <s v="Provision RTT"/>
    <m/>
    <e v="#N/A"/>
    <e v="#N/A"/>
    <n v="85853"/>
    <m/>
    <m/>
    <s v="Q2"/>
    <e v="#REF!"/>
    <e v="#REF!"/>
    <e v="#REF!"/>
  </r>
  <r>
    <s v="641220"/>
    <x v="6"/>
    <s v="RTT"/>
    <s v="JC"/>
    <n v="2468.81"/>
    <d v="2025-06-30T00:00:00"/>
    <s v="Provision RTT"/>
    <m/>
    <e v="#N/A"/>
    <e v="#N/A"/>
    <n v="85858"/>
    <m/>
    <m/>
    <s v="Q2"/>
    <e v="#REF!"/>
    <e v="#REF!"/>
    <e v="#REF!"/>
  </r>
  <r>
    <s v="641220"/>
    <x v="6"/>
    <s v="RTT"/>
    <s v="JC"/>
    <n v="2621.21"/>
    <d v="2025-11-30T00:00:00"/>
    <s v="PROVISION RTT"/>
    <m/>
    <e v="#N/A"/>
    <e v="#N/A"/>
    <n v="92434"/>
    <s v="Provision RTT"/>
    <m/>
    <s v="Q4"/>
    <e v="#REF!"/>
    <e v="#REF!"/>
    <e v="#REF!"/>
  </r>
  <r>
    <s v="641220"/>
    <x v="6"/>
    <s v="RTT"/>
    <s v="JC"/>
    <n v="2628.95"/>
    <d v="2025-12-31T00:00:00"/>
    <s v="PROVISION RTT"/>
    <m/>
    <e v="#N/A"/>
    <e v="#N/A"/>
    <n v="92911"/>
    <s v="Provision RTT"/>
    <m/>
    <s v="Q4"/>
    <e v="#REF!"/>
    <e v="#REF!"/>
    <e v="#REF!"/>
  </r>
  <r>
    <s v="641220"/>
    <x v="6"/>
    <s v="RTT"/>
    <s v="JC"/>
    <n v="2663.44"/>
    <d v="2025-09-30T00:00:00"/>
    <s v="Provision RTT"/>
    <m/>
    <e v="#N/A"/>
    <e v="#N/A"/>
    <n v="85889"/>
    <m/>
    <m/>
    <s v="Q3"/>
    <e v="#REF!"/>
    <e v="#REF!"/>
    <e v="#REF!"/>
  </r>
  <r>
    <s v="641220"/>
    <x v="6"/>
    <s v="RTT"/>
    <s v="JC"/>
    <n v="2691.9"/>
    <d v="2025-04-30T00:00:00"/>
    <s v="PROVISION RTT"/>
    <m/>
    <e v="#N/A"/>
    <e v="#N/A"/>
    <n v="92577"/>
    <s v="Provision RTT"/>
    <m/>
    <s v="Q2"/>
    <e v="#REF!"/>
    <e v="#REF!"/>
    <e v="#REF!"/>
  </r>
  <r>
    <s v="641220"/>
    <x v="6"/>
    <s v="RTT"/>
    <s v="JC"/>
    <n v="2763.42"/>
    <d v="2025-07-31T00:00:00"/>
    <s v="Provision RTT"/>
    <m/>
    <e v="#N/A"/>
    <e v="#N/A"/>
    <n v="85929"/>
    <m/>
    <m/>
    <s v="Q3"/>
    <e v="#REF!"/>
    <e v="#REF!"/>
    <e v="#REF!"/>
  </r>
  <r>
    <s v="641220"/>
    <x v="6"/>
    <s v="RTT"/>
    <s v="JC"/>
    <n v="2805.64"/>
    <d v="2025-02-28T00:00:00"/>
    <s v="PROVISION RTT"/>
    <m/>
    <e v="#N/A"/>
    <e v="#N/A"/>
    <n v="92538"/>
    <s v="Provision RTT"/>
    <m/>
    <s v="Q1"/>
    <e v="#REF!"/>
    <e v="#REF!"/>
    <e v="#REF!"/>
  </r>
  <r>
    <s v="641220"/>
    <x v="6"/>
    <s v="RTT"/>
    <s v="JC"/>
    <n v="3193.67"/>
    <d v="2025-01-31T00:00:00"/>
    <s v="Provision RTT"/>
    <m/>
    <e v="#N/A"/>
    <e v="#N/A"/>
    <n v="90037"/>
    <m/>
    <m/>
    <s v="Q1"/>
    <e v="#REF!"/>
    <e v="#REF!"/>
    <e v="#REF!"/>
  </r>
  <r>
    <s v="641220"/>
    <x v="6"/>
    <s v="RTT"/>
    <s v="JC"/>
    <n v="3574.64"/>
    <d v="2025-12-31T00:00:00"/>
    <s v="PROVISION RTT"/>
    <m/>
    <e v="#N/A"/>
    <e v="#N/A"/>
    <n v="92912"/>
    <s v="Provision RTT"/>
    <m/>
    <s v="Q4"/>
    <e v="#REF!"/>
    <e v="#REF!"/>
    <e v="#REF!"/>
  </r>
  <r>
    <s v="641220"/>
    <x v="6"/>
    <s v="RTT"/>
    <s v="JC"/>
    <n v="3876.12"/>
    <d v="2025-12-31T00:00:00"/>
    <s v="PROVISION RTT"/>
    <m/>
    <e v="#N/A"/>
    <e v="#N/A"/>
    <n v="92913"/>
    <s v="Provision RTT"/>
    <m/>
    <s v="Q4"/>
    <e v="#REF!"/>
    <e v="#REF!"/>
    <e v="#REF!"/>
  </r>
  <r>
    <s v="641220"/>
    <x v="6"/>
    <s v="RTT"/>
    <s v="JC"/>
    <n v="4743.84"/>
    <d v="2025-03-31T00:00:00"/>
    <s v="PROVISION RTT"/>
    <m/>
    <e v="#N/A"/>
    <e v="#N/A"/>
    <n v="92498"/>
    <s v="Provision RTT"/>
    <m/>
    <s v="Q1"/>
    <e v="#REF!"/>
    <e v="#REF!"/>
    <e v="#REF!"/>
  </r>
  <r>
    <s v="641220"/>
    <x v="6"/>
    <s v="RTT"/>
    <s v="JC"/>
    <n v="5442.21"/>
    <d v="2025-08-31T00:00:00"/>
    <s v="PROVISION RTT"/>
    <m/>
    <e v="#N/A"/>
    <e v="#N/A"/>
    <n v="85957"/>
    <s v="Provision RTT"/>
    <m/>
    <s v="Q3"/>
    <e v="#REF!"/>
    <e v="#REF!"/>
    <e v="#REF!"/>
  </r>
  <r>
    <s v="641220"/>
    <x v="6"/>
    <s v="RTT"/>
    <s v="JC"/>
    <n v="6155.94"/>
    <d v="2025-05-31T00:00:00"/>
    <s v="PROVISION RTT"/>
    <m/>
    <e v="#N/A"/>
    <e v="#N/A"/>
    <n v="92618"/>
    <s v="Provision RTT"/>
    <m/>
    <s v="Q2"/>
    <e v="#REF!"/>
    <e v="#REF!"/>
    <e v="#REF!"/>
  </r>
  <r>
    <s v="641220"/>
    <x v="6"/>
    <s v="RTT"/>
    <s v="JC"/>
    <n v="6209.68"/>
    <d v="2025-04-30T00:00:00"/>
    <s v="PROVISION RTT"/>
    <m/>
    <e v="#N/A"/>
    <e v="#N/A"/>
    <n v="92578"/>
    <s v="Provision RTT"/>
    <m/>
    <s v="Q2"/>
    <e v="#REF!"/>
    <e v="#REF!"/>
    <e v="#REF!"/>
  </r>
  <r>
    <s v="641220"/>
    <x v="6"/>
    <s v="RTT"/>
    <s v="JC"/>
    <n v="6751"/>
    <d v="2025-01-01T00:00:00"/>
    <s v="Extourne Provision"/>
    <m/>
    <e v="#N/A"/>
    <e v="#N/A"/>
    <n v="92651"/>
    <s v="Extourne Provision"/>
    <m/>
    <s v="Q1"/>
    <e v="#REF!"/>
    <e v="#REF!"/>
    <e v="#REF!"/>
  </r>
  <r>
    <s v="641220"/>
    <x v="6"/>
    <s v="RTT"/>
    <s v="JC"/>
    <n v="6868.3"/>
    <d v="2025-09-30T00:00:00"/>
    <s v="Provision RTT"/>
    <m/>
    <e v="#N/A"/>
    <e v="#N/A"/>
    <n v="85888"/>
    <m/>
    <m/>
    <s v="Q3"/>
    <e v="#REF!"/>
    <e v="#REF!"/>
    <e v="#REF!"/>
  </r>
  <r>
    <s v="641220"/>
    <x v="6"/>
    <s v="RTT"/>
    <s v="JC"/>
    <n v="6907.13"/>
    <d v="2025-11-30T00:00:00"/>
    <s v="PROVISION RTT"/>
    <m/>
    <e v="#N/A"/>
    <e v="#N/A"/>
    <n v="92435"/>
    <s v="Provision RTT"/>
    <m/>
    <s v="Q4"/>
    <e v="#REF!"/>
    <e v="#REF!"/>
    <e v="#REF!"/>
  </r>
  <r>
    <s v="641220"/>
    <x v="6"/>
    <s v="RTT"/>
    <s v="JC"/>
    <n v="7052.24"/>
    <d v="2025-06-30T00:00:00"/>
    <s v="Provision RTT"/>
    <m/>
    <e v="#N/A"/>
    <e v="#N/A"/>
    <n v="85856"/>
    <m/>
    <m/>
    <s v="Q2"/>
    <e v="#REF!"/>
    <e v="#REF!"/>
    <e v="#REF!"/>
  </r>
  <r>
    <s v="641220"/>
    <x v="6"/>
    <s v="RTT"/>
    <s v="JC"/>
    <n v="7079.6"/>
    <d v="2025-02-28T00:00:00"/>
    <s v="PROVISION RTT"/>
    <m/>
    <e v="#N/A"/>
    <e v="#N/A"/>
    <n v="92539"/>
    <s v="Provision RTT"/>
    <m/>
    <s v="Q1"/>
    <e v="#REF!"/>
    <e v="#REF!"/>
    <e v="#REF!"/>
  </r>
  <r>
    <s v="641220"/>
    <x v="6"/>
    <s v="RTT"/>
    <s v="JC"/>
    <n v="7581.97"/>
    <d v="2025-10-31T00:00:00"/>
    <s v="PROVISION RTT"/>
    <m/>
    <e v="#N/A"/>
    <e v="#N/A"/>
    <n v="87946"/>
    <s v="Provision RTT"/>
    <m/>
    <s v="Q4"/>
    <e v="#REF!"/>
    <e v="#REF!"/>
    <e v="#REF!"/>
  </r>
  <r>
    <s v="641220"/>
    <x v="6"/>
    <s v="RTT"/>
    <s v="JC"/>
    <n v="8177.02"/>
    <d v="2025-07-31T00:00:00"/>
    <s v="Provision RTT"/>
    <m/>
    <e v="#N/A"/>
    <e v="#N/A"/>
    <n v="85928"/>
    <m/>
    <m/>
    <s v="Q3"/>
    <e v="#REF!"/>
    <e v="#REF!"/>
    <e v="#REF!"/>
  </r>
  <r>
    <s v="641220"/>
    <x v="6"/>
    <s v="RTT"/>
    <s v="JC"/>
    <n v="8617.18"/>
    <d v="2025-05-31T00:00:00"/>
    <s v="PROVISION RTT"/>
    <m/>
    <e v="#N/A"/>
    <e v="#N/A"/>
    <n v="92619"/>
    <s v="Provision RTT"/>
    <m/>
    <s v="Q2"/>
    <e v="#REF!"/>
    <e v="#REF!"/>
    <e v="#REF!"/>
  </r>
  <r>
    <s v="641220"/>
    <x v="6"/>
    <s v="RTT"/>
    <s v="JC"/>
    <n v="9172.4"/>
    <d v="2025-03-31T00:00:00"/>
    <s v="PROVISION RTT"/>
    <m/>
    <e v="#N/A"/>
    <e v="#N/A"/>
    <n v="92499"/>
    <s v="Provision RTT"/>
    <m/>
    <s v="Q1"/>
    <e v="#REF!"/>
    <e v="#REF!"/>
    <e v="#REF!"/>
  </r>
  <r>
    <s v="641220"/>
    <x v="6"/>
    <s v="RTT"/>
    <s v="JC"/>
    <n v="9481.5"/>
    <d v="2025-08-31T00:00:00"/>
    <s v="PROVISION RTT"/>
    <m/>
    <e v="#N/A"/>
    <e v="#N/A"/>
    <n v="85958"/>
    <s v="Provision RTT"/>
    <m/>
    <s v="Q3"/>
    <e v="#REF!"/>
    <e v="#REF!"/>
    <e v="#REF!"/>
  </r>
  <r>
    <s v="641220"/>
    <x v="6"/>
    <s v="RTT"/>
    <s v="JC"/>
    <n v="9953.18"/>
    <d v="2025-11-30T00:00:00"/>
    <s v="PROVISION RTT"/>
    <m/>
    <e v="#N/A"/>
    <e v="#N/A"/>
    <n v="92436"/>
    <s v="Provision RTT"/>
    <m/>
    <s v="Q4"/>
    <e v="#REF!"/>
    <e v="#REF!"/>
    <e v="#REF!"/>
  </r>
  <r>
    <s v="641220"/>
    <x v="6"/>
    <s v="RTT"/>
    <s v="JC"/>
    <n v="10304.200000000001"/>
    <d v="2025-04-30T00:00:00"/>
    <s v="PROVISION RTT"/>
    <m/>
    <e v="#N/A"/>
    <e v="#N/A"/>
    <n v="92579"/>
    <s v="Provision RTT"/>
    <m/>
    <s v="Q2"/>
    <e v="#REF!"/>
    <e v="#REF!"/>
    <e v="#REF!"/>
  </r>
  <r>
    <s v="641220"/>
    <x v="6"/>
    <s v="RTT"/>
    <s v="JC"/>
    <n v="10935.14"/>
    <d v="2025-09-30T00:00:00"/>
    <s v="Provision RTT"/>
    <m/>
    <e v="#N/A"/>
    <e v="#N/A"/>
    <n v="85887"/>
    <m/>
    <m/>
    <s v="Q3"/>
    <e v="#REF!"/>
    <e v="#REF!"/>
    <e v="#REF!"/>
  </r>
  <r>
    <s v="641220"/>
    <x v="6"/>
    <s v="RTT"/>
    <s v="JC"/>
    <n v="11526.47"/>
    <d v="2025-10-31T00:00:00"/>
    <s v="PROVISION RTT"/>
    <m/>
    <e v="#N/A"/>
    <e v="#N/A"/>
    <n v="87947"/>
    <s v="Provision RTT"/>
    <m/>
    <s v="Q4"/>
    <e v="#REF!"/>
    <e v="#REF!"/>
    <e v="#REF!"/>
  </r>
  <r>
    <s v="641220"/>
    <x v="6"/>
    <s v="RTT"/>
    <s v="JC"/>
    <n v="11619.47"/>
    <d v="2025-06-30T00:00:00"/>
    <s v="Provision RTT"/>
    <m/>
    <e v="#N/A"/>
    <e v="#N/A"/>
    <n v="85857"/>
    <m/>
    <m/>
    <s v="Q2"/>
    <e v="#REF!"/>
    <e v="#REF!"/>
    <e v="#REF!"/>
  </r>
  <r>
    <s v="641220"/>
    <x v="6"/>
    <s v="RTT"/>
    <s v="JC"/>
    <n v="11747.66"/>
    <d v="2025-07-31T00:00:00"/>
    <s v="Provision RTT"/>
    <m/>
    <e v="#N/A"/>
    <e v="#N/A"/>
    <n v="85927"/>
    <m/>
    <m/>
    <s v="Q3"/>
    <e v="#REF!"/>
    <e v="#REF!"/>
    <e v="#REF!"/>
  </r>
  <r>
    <s v="641220"/>
    <x v="6"/>
    <s v="RTT"/>
    <s v="SA"/>
    <n v="132.44999999999999"/>
    <d v="2025-09-30T00:00:00"/>
    <s v="INDEMNITÉ COMPENSATRICE DE RTT"/>
    <m/>
    <e v="#N/A"/>
    <e v="#N/A"/>
    <n v="84137"/>
    <s v="SA202509"/>
    <m/>
    <s v="Q3"/>
    <e v="#REF!"/>
    <e v="#REF!"/>
    <e v="#REF!"/>
  </r>
  <r>
    <s v="641220"/>
    <x v="6"/>
    <s v="RTT"/>
    <s v="SA"/>
    <n v="508.77"/>
    <d v="2025-03-31T00:00:00"/>
    <s v="INDEMNITÉ DE RTT"/>
    <m/>
    <e v="#N/A"/>
    <e v="#N/A"/>
    <n v="80529"/>
    <s v="SA202503"/>
    <m/>
    <s v="Q1"/>
    <e v="#REF!"/>
    <e v="#REF!"/>
    <e v="#REF!"/>
  </r>
  <r>
    <s v="641220"/>
    <x v="6"/>
    <s v="RTT"/>
    <s v="SA"/>
    <n v="885.88"/>
    <d v="2025-06-30T00:00:00"/>
    <s v="INDEMNITÉ COMPENSATRICE DE RTT"/>
    <m/>
    <e v="#N/A"/>
    <e v="#N/A"/>
    <n v="80017"/>
    <s v="SA202506"/>
    <m/>
    <s v="Q2"/>
    <e v="#REF!"/>
    <e v="#REF!"/>
    <e v="#REF!"/>
  </r>
  <r>
    <s v="641250"/>
    <x v="6"/>
    <s v="ABSENCES DIVERSES"/>
    <s v="SA"/>
    <n v="262.27999999999997"/>
    <d v="2025-05-31T00:00:00"/>
    <s v="MAINTIEN ABSENCE MALADIE 100%"/>
    <m/>
    <e v="#N/A"/>
    <e v="#N/A"/>
    <n v="80187"/>
    <s v="SA202505"/>
    <m/>
    <s v="Q2"/>
    <e v="#REF!"/>
    <e v="#REF!"/>
    <e v="#REF!"/>
  </r>
  <r>
    <s v="641250"/>
    <x v="6"/>
    <s v="ABSENCES DIVERSES"/>
    <s v="SA"/>
    <n v="267.24"/>
    <d v="2025-03-31T00:00:00"/>
    <s v="MAINTIEN ABSENCE MALADIE 100%"/>
    <m/>
    <e v="#N/A"/>
    <e v="#N/A"/>
    <n v="80526"/>
    <s v="SA202503"/>
    <m/>
    <s v="Q1"/>
    <e v="#REF!"/>
    <e v="#REF!"/>
    <e v="#REF!"/>
  </r>
  <r>
    <s v="641250"/>
    <x v="6"/>
    <s v="ABSENCES DIVERSES"/>
    <s v="SA"/>
    <n v="486.14"/>
    <d v="2025-09-30T00:00:00"/>
    <s v="MAINTIEN ABSENCE MALADIE 100%"/>
    <m/>
    <e v="#N/A"/>
    <e v="#N/A"/>
    <n v="84138"/>
    <s v="SA202509"/>
    <m/>
    <s v="Q3"/>
    <e v="#REF!"/>
    <e v="#REF!"/>
    <e v="#REF!"/>
  </r>
  <r>
    <s v="641250"/>
    <x v="6"/>
    <s v="ABSENCES DIVERSES"/>
    <s v="SA"/>
    <n v="720.67"/>
    <d v="2025-02-28T00:00:00"/>
    <s v="MAINTIEN ABSENCE PATERNITÉ/ACCUEIL DE L'ENFANT 100%"/>
    <m/>
    <e v="#N/A"/>
    <e v="#N/A"/>
    <n v="85241"/>
    <s v="SA202502"/>
    <m/>
    <s v="Q1"/>
    <e v="#REF!"/>
    <e v="#REF!"/>
    <e v="#REF!"/>
  </r>
  <r>
    <s v="641250"/>
    <x v="6"/>
    <s v="ABSENCES DIVERSES"/>
    <s v="SA"/>
    <n v="724.53"/>
    <d v="2025-02-28T00:00:00"/>
    <s v="MAINTIEN ABSENCE PATERNITÉ/ACCUEIL DE L'ENFANT 100%"/>
    <m/>
    <e v="#N/A"/>
    <e v="#N/A"/>
    <n v="85238"/>
    <s v="SA202502"/>
    <m/>
    <s v="Q1"/>
    <e v="#REF!"/>
    <e v="#REF!"/>
    <e v="#REF!"/>
  </r>
  <r>
    <s v="641250"/>
    <x v="6"/>
    <s v="ABSENCES DIVERSES"/>
    <s v="SA"/>
    <n v="746.04"/>
    <d v="2025-02-28T00:00:00"/>
    <s v="INDEMNITÉ COMPENSATRICE DE RTT"/>
    <m/>
    <e v="#N/A"/>
    <e v="#N/A"/>
    <n v="85234"/>
    <s v="SA202502"/>
    <m/>
    <s v="Q1"/>
    <e v="#REF!"/>
    <e v="#REF!"/>
    <e v="#REF!"/>
  </r>
  <r>
    <s v="641250"/>
    <x v="6"/>
    <s v="ABSENCES DIVERSES"/>
    <s v="SA"/>
    <n v="761.59"/>
    <d v="2025-06-30T00:00:00"/>
    <s v="MAINTIEN ABSENCE MALADIE 100%"/>
    <m/>
    <e v="#N/A"/>
    <e v="#N/A"/>
    <n v="80019"/>
    <s v="SA202506"/>
    <m/>
    <s v="Q2"/>
    <e v="#REF!"/>
    <e v="#REF!"/>
    <e v="#REF!"/>
  </r>
  <r>
    <s v="641250"/>
    <x v="6"/>
    <s v="ABSENCES DIVERSES"/>
    <s v="SA"/>
    <n v="948.6"/>
    <d v="2025-03-31T00:00:00"/>
    <s v="MAINTIEN ABSENCE MALADIE 100%"/>
    <m/>
    <e v="#N/A"/>
    <e v="#N/A"/>
    <n v="80530"/>
    <s v="SA202503"/>
    <m/>
    <s v="Q1"/>
    <e v="#REF!"/>
    <e v="#REF!"/>
    <e v="#REF!"/>
  </r>
  <r>
    <s v="641250"/>
    <x v="6"/>
    <s v="ABSENCES DIVERSES"/>
    <s v="SA"/>
    <n v="963.33"/>
    <d v="2025-02-28T00:00:00"/>
    <s v="MAINTIEN ABSENCE PATERNITÉ/ACCUEIL DE L'ENFANT 100%"/>
    <m/>
    <e v="#N/A"/>
    <e v="#N/A"/>
    <n v="85246"/>
    <s v="SA202502"/>
    <m/>
    <s v="Q1"/>
    <e v="#REF!"/>
    <e v="#REF!"/>
    <e v="#REF!"/>
  </r>
  <r>
    <s v="641250"/>
    <x v="6"/>
    <s v="ABSENCES DIVERSES"/>
    <s v="SA"/>
    <n v="1454.21"/>
    <d v="2025-01-31T00:00:00"/>
    <s v="MAINTIEN ABSENCE PATERNITÉ/ACCUEIL DE L'ENFANT 100%"/>
    <m/>
    <e v="#N/A"/>
    <e v="#N/A"/>
    <n v="85421"/>
    <s v="SA202501"/>
    <m/>
    <s v="Q1"/>
    <e v="#REF!"/>
    <e v="#REF!"/>
    <e v="#REF!"/>
  </r>
  <r>
    <s v="641250"/>
    <x v="6"/>
    <s v="ABSENCES DIVERSES"/>
    <s v="SA"/>
    <n v="1704.92"/>
    <d v="2025-06-30T00:00:00"/>
    <s v="MAINTIEN ABSENCE MALADIE 100%"/>
    <m/>
    <e v="#N/A"/>
    <e v="#N/A"/>
    <n v="80020"/>
    <s v="SA202506"/>
    <m/>
    <s v="Q2"/>
    <e v="#REF!"/>
    <e v="#REF!"/>
    <e v="#REF!"/>
  </r>
  <r>
    <s v="641250"/>
    <x v="6"/>
    <s v="ABSENCES DIVERSES"/>
    <s v="SA"/>
    <n v="1927.07"/>
    <d v="2025-07-31T00:00:00"/>
    <s v="MAINTIEN ABSENCE PATERNITÉ/ACCUEIL DE L'ENFANT 100%"/>
    <m/>
    <e v="#N/A"/>
    <e v="#N/A"/>
    <n v="79847"/>
    <s v="SA202507"/>
    <m/>
    <s v="Q3"/>
    <e v="#REF!"/>
    <e v="#REF!"/>
    <e v="#REF!"/>
  </r>
  <r>
    <s v="641250"/>
    <x v="6"/>
    <s v="ABSENCES DIVERSES"/>
    <s v="SA"/>
    <n v="2173.83"/>
    <d v="2025-08-31T00:00:00"/>
    <s v="IJSS BRUTES"/>
    <m/>
    <e v="#N/A"/>
    <e v="#N/A"/>
    <n v="83964"/>
    <s v="SA202508"/>
    <m/>
    <s v="Q3"/>
    <e v="#REF!"/>
    <e v="#REF!"/>
    <e v="#REF!"/>
  </r>
  <r>
    <s v="641250"/>
    <x v="6"/>
    <s v="ABSENCES DIVERSES"/>
    <s v="SA"/>
    <n v="2250.94"/>
    <d v="2025-05-31T00:00:00"/>
    <s v="MAINTIEN ABSENCE MALADIE 100%"/>
    <m/>
    <e v="#N/A"/>
    <e v="#N/A"/>
    <n v="80188"/>
    <s v="SA202505"/>
    <m/>
    <s v="Q2"/>
    <e v="#REF!"/>
    <e v="#REF!"/>
    <e v="#REF!"/>
  </r>
  <r>
    <s v="641250"/>
    <x v="6"/>
    <s v="ABSENCES DIVERSES"/>
    <s v="SA"/>
    <n v="2789.05"/>
    <d v="2025-01-31T00:00:00"/>
    <s v="MAINTIEN ABSENCE PATERNITÉ/ACCUEIL DE L'ENFANT 100%"/>
    <m/>
    <e v="#N/A"/>
    <e v="#N/A"/>
    <n v="85423"/>
    <s v="SA202501"/>
    <m/>
    <s v="Q1"/>
    <e v="#REF!"/>
    <e v="#REF!"/>
    <e v="#REF!"/>
  </r>
  <r>
    <s v="641250"/>
    <x v="6"/>
    <s v="ABSENCES DIVERSES"/>
    <s v="SA"/>
    <n v="3100.99"/>
    <d v="2025-06-30T00:00:00"/>
    <s v="INDEMNITÉ COMPENSATRICE DE PRÉAVIS"/>
    <m/>
    <e v="#N/A"/>
    <e v="#N/A"/>
    <n v="80018"/>
    <s v="SA202506"/>
    <m/>
    <s v="Q2"/>
    <e v="#REF!"/>
    <e v="#REF!"/>
    <e v="#REF!"/>
  </r>
  <r>
    <s v="641250"/>
    <x v="6"/>
    <s v="ABSENCES DIVERSES"/>
    <s v="SA"/>
    <n v="6358.8"/>
    <d v="2025-07-31T00:00:00"/>
    <s v="MAINTIEN ABSENCE PATERNITÉ/ACCUEIL DE L'ENFANT 100%"/>
    <m/>
    <e v="#N/A"/>
    <e v="#N/A"/>
    <n v="79845"/>
    <s v="SA202507"/>
    <m/>
    <s v="Q3"/>
    <e v="#REF!"/>
    <e v="#REF!"/>
    <e v="#REF!"/>
  </r>
  <r>
    <s v="641300"/>
    <x v="6"/>
    <s v="REMUNERATIONS VARIABLES"/>
    <s v="JC"/>
    <n v="-140887"/>
    <d v="2025-12-01T00:00:00"/>
    <s v="PROV. VARIABLES 2025"/>
    <m/>
    <e v="#N/A"/>
    <e v="#N/A"/>
    <n v="85801"/>
    <s v="Ext. Prov. Variables 2025"/>
    <m/>
    <s v="Q4"/>
    <e v="#REF!"/>
    <e v="#REF!"/>
    <e v="#REF!"/>
  </r>
  <r>
    <s v="641300"/>
    <x v="6"/>
    <s v="REMUNERATIONS VARIABLES"/>
    <s v="JC"/>
    <n v="-128079.08"/>
    <d v="2025-11-01T00:00:00"/>
    <s v="PROV. VARIABLES 2025"/>
    <m/>
    <e v="#N/A"/>
    <e v="#N/A"/>
    <n v="85781"/>
    <s v="Ext. Prov. Variables 2025"/>
    <m/>
    <s v="Q4"/>
    <e v="#REF!"/>
    <e v="#REF!"/>
    <e v="#REF!"/>
  </r>
  <r>
    <s v="641300"/>
    <x v="6"/>
    <s v="REMUNERATIONS VARIABLES"/>
    <s v="JC"/>
    <n v="-115271.18"/>
    <d v="2025-10-01T00:00:00"/>
    <s v="PROV. VARIABLES 2025"/>
    <m/>
    <e v="#N/A"/>
    <e v="#N/A"/>
    <n v="85761"/>
    <s v="Ext. Prov. Variables 2025"/>
    <m/>
    <s v="Q4"/>
    <e v="#REF!"/>
    <e v="#REF!"/>
    <e v="#REF!"/>
  </r>
  <r>
    <s v="641300"/>
    <x v="6"/>
    <s v="REMUNERATIONS VARIABLES"/>
    <s v="JC"/>
    <n v="-102463.27"/>
    <d v="2025-09-01T00:00:00"/>
    <s v="PROV. VARIABLES 2025"/>
    <m/>
    <e v="#N/A"/>
    <e v="#N/A"/>
    <n v="85741"/>
    <s v="Ext. Prov. Variables 2025"/>
    <m/>
    <s v="Q3"/>
    <e v="#REF!"/>
    <e v="#REF!"/>
    <e v="#REF!"/>
  </r>
  <r>
    <s v="641300"/>
    <x v="6"/>
    <s v="REMUNERATIONS VARIABLES"/>
    <s v="JC"/>
    <n v="-89655.35"/>
    <d v="2025-08-01T00:00:00"/>
    <s v="PROV. VARIABLES 2025"/>
    <m/>
    <e v="#N/A"/>
    <e v="#N/A"/>
    <n v="85721"/>
    <s v="Ext. Prov. Variables 2025"/>
    <m/>
    <s v="Q3"/>
    <e v="#REF!"/>
    <e v="#REF!"/>
    <e v="#REF!"/>
  </r>
  <r>
    <s v="641300"/>
    <x v="6"/>
    <s v="REMUNERATIONS VARIABLES"/>
    <s v="JC"/>
    <n v="-76847.45"/>
    <d v="2025-07-01T00:00:00"/>
    <s v="PROV. VARIABLES 2025"/>
    <m/>
    <e v="#N/A"/>
    <e v="#N/A"/>
    <n v="85701"/>
    <s v="Ext. Prov. Variables 2025"/>
    <m/>
    <s v="Q3"/>
    <e v="#REF!"/>
    <e v="#REF!"/>
    <e v="#REF!"/>
  </r>
  <r>
    <s v="641300"/>
    <x v="6"/>
    <s v="REMUNERATIONS VARIABLES"/>
    <s v="JC"/>
    <n v="-64039.54"/>
    <d v="2025-06-01T00:00:00"/>
    <s v="PROV. VARIABLES 2025"/>
    <m/>
    <e v="#N/A"/>
    <e v="#N/A"/>
    <n v="85681"/>
    <s v="Ext. Prov. Variables 2025"/>
    <m/>
    <s v="Q2"/>
    <e v="#REF!"/>
    <e v="#REF!"/>
    <e v="#REF!"/>
  </r>
  <r>
    <s v="641300"/>
    <x v="6"/>
    <s v="REMUNERATIONS VARIABLES"/>
    <s v="JC"/>
    <n v="-62890.89"/>
    <d v="2025-02-01T00:00:00"/>
    <s v="EXTOURNE PROVISION VARIABLES 2024"/>
    <m/>
    <e v="#N/A"/>
    <e v="#N/A"/>
    <n v="85576"/>
    <m/>
    <m/>
    <s v="Q1"/>
    <e v="#REF!"/>
    <e v="#REF!"/>
    <e v="#REF!"/>
  </r>
  <r>
    <s v="641300"/>
    <x v="6"/>
    <s v="REMUNERATIONS VARIABLES"/>
    <s v="JC"/>
    <n v="-51231.64"/>
    <d v="2025-05-01T00:00:00"/>
    <s v="PROV. VARIABLES 2025"/>
    <m/>
    <e v="#N/A"/>
    <e v="#N/A"/>
    <n v="85661"/>
    <s v="Ext. Prov. Variables 2025"/>
    <m/>
    <s v="Q2"/>
    <e v="#REF!"/>
    <e v="#REF!"/>
    <e v="#REF!"/>
  </r>
  <r>
    <s v="641300"/>
    <x v="6"/>
    <s v="REMUNERATIONS VARIABLES"/>
    <s v="JC"/>
    <n v="-49794.91"/>
    <d v="2025-12-01T00:00:00"/>
    <s v="PROV. VARIABLES 2025"/>
    <m/>
    <e v="#N/A"/>
    <e v="#N/A"/>
    <n v="85800"/>
    <s v="Ext. Prov. Variables 2025"/>
    <m/>
    <s v="Q4"/>
    <e v="#REF!"/>
    <e v="#REF!"/>
    <e v="#REF!"/>
  </r>
  <r>
    <s v="641300"/>
    <x v="6"/>
    <s v="REMUNERATIONS VARIABLES"/>
    <s v="JC"/>
    <n v="-45268.1"/>
    <d v="2025-11-01T00:00:00"/>
    <s v="PROV. VARIABLES 2025"/>
    <m/>
    <e v="#N/A"/>
    <e v="#N/A"/>
    <n v="85780"/>
    <s v="Ext. Prov. Variables 2025"/>
    <m/>
    <s v="Q4"/>
    <e v="#REF!"/>
    <e v="#REF!"/>
    <e v="#REF!"/>
  </r>
  <r>
    <s v="641300"/>
    <x v="6"/>
    <s v="REMUNERATIONS VARIABLES"/>
    <s v="JC"/>
    <n v="-40741.29"/>
    <d v="2025-10-01T00:00:00"/>
    <s v="PROV. VARIABLES 2025"/>
    <m/>
    <e v="#N/A"/>
    <e v="#N/A"/>
    <n v="85760"/>
    <s v="Ext. Prov. Variables 2025"/>
    <m/>
    <s v="Q4"/>
    <e v="#REF!"/>
    <e v="#REF!"/>
    <e v="#REF!"/>
  </r>
  <r>
    <s v="641300"/>
    <x v="6"/>
    <s v="REMUNERATIONS VARIABLES"/>
    <s v="JC"/>
    <n v="-40291.01"/>
    <d v="2025-02-01T00:00:00"/>
    <s v="EXTOURNE PROVISION VARIABLES 2024"/>
    <m/>
    <e v="#N/A"/>
    <e v="#N/A"/>
    <n v="85574"/>
    <m/>
    <m/>
    <s v="Q1"/>
    <e v="#REF!"/>
    <e v="#REF!"/>
    <e v="#REF!"/>
  </r>
  <r>
    <s v="641300"/>
    <x v="6"/>
    <s v="REMUNERATIONS VARIABLES"/>
    <s v="JC"/>
    <n v="-38423.730000000003"/>
    <d v="2025-04-01T00:00:00"/>
    <s v="PROV. VARIABLES 2025"/>
    <m/>
    <e v="#N/A"/>
    <e v="#N/A"/>
    <n v="85641"/>
    <s v="Ext. Prov. Variables 2025"/>
    <m/>
    <s v="Q2"/>
    <e v="#REF!"/>
    <e v="#REF!"/>
    <e v="#REF!"/>
  </r>
  <r>
    <s v="641300"/>
    <x v="6"/>
    <s v="REMUNERATIONS VARIABLES"/>
    <s v="JC"/>
    <n v="-36214.480000000003"/>
    <d v="2025-09-01T00:00:00"/>
    <s v="PROV. VARIABLES 2025"/>
    <m/>
    <e v="#N/A"/>
    <e v="#N/A"/>
    <n v="85740"/>
    <s v="Ext. Prov. Variables 2025"/>
    <m/>
    <s v="Q3"/>
    <e v="#REF!"/>
    <e v="#REF!"/>
    <e v="#REF!"/>
  </r>
  <r>
    <s v="641300"/>
    <x v="6"/>
    <s v="REMUNERATIONS VARIABLES"/>
    <s v="JC"/>
    <n v="-33165.57"/>
    <d v="2025-02-01T00:00:00"/>
    <s v="EXTOURNE PROVISION VARIABLES 2024"/>
    <m/>
    <e v="#N/A"/>
    <e v="#N/A"/>
    <n v="85575"/>
    <m/>
    <m/>
    <s v="Q1"/>
    <e v="#REF!"/>
    <e v="#REF!"/>
    <e v="#REF!"/>
  </r>
  <r>
    <s v="641300"/>
    <x v="6"/>
    <s v="REMUNERATIONS VARIABLES"/>
    <s v="JC"/>
    <n v="-31687.67"/>
    <d v="2025-08-01T00:00:00"/>
    <s v="PROV. VARIABLES 2025"/>
    <m/>
    <e v="#N/A"/>
    <e v="#N/A"/>
    <n v="85720"/>
    <s v="Ext. Prov. Variables 2025"/>
    <m/>
    <s v="Q3"/>
    <e v="#REF!"/>
    <e v="#REF!"/>
    <e v="#REF!"/>
  </r>
  <r>
    <s v="641300"/>
    <x v="6"/>
    <s v="REMUNERATIONS VARIABLES"/>
    <s v="JC"/>
    <n v="-31301.72"/>
    <d v="2025-12-01T00:00:00"/>
    <s v="PROV. VARIABLES 2025"/>
    <m/>
    <e v="#N/A"/>
    <e v="#N/A"/>
    <n v="85799"/>
    <s v="Ext. Prov. Variables 2025"/>
    <m/>
    <s v="Q4"/>
    <e v="#REF!"/>
    <e v="#REF!"/>
    <e v="#REF!"/>
  </r>
  <r>
    <s v="641300"/>
    <x v="6"/>
    <s v="REMUNERATIONS VARIABLES"/>
    <s v="JC"/>
    <n v="-28456.11"/>
    <d v="2025-11-01T00:00:00"/>
    <s v="PROV. VARIABLES 2025"/>
    <m/>
    <e v="#N/A"/>
    <e v="#N/A"/>
    <n v="85779"/>
    <s v="Ext. Prov. Variables 2025"/>
    <m/>
    <s v="Q4"/>
    <e v="#REF!"/>
    <e v="#REF!"/>
    <e v="#REF!"/>
  </r>
  <r>
    <s v="641300"/>
    <x v="6"/>
    <s v="REMUNERATIONS VARIABLES"/>
    <s v="JC"/>
    <n v="-27160.86"/>
    <d v="2025-07-01T00:00:00"/>
    <s v="PROV. VARIABLES 2025"/>
    <m/>
    <e v="#N/A"/>
    <e v="#N/A"/>
    <n v="85700"/>
    <s v="Ext. Prov. Variables 2025"/>
    <m/>
    <s v="Q3"/>
    <e v="#REF!"/>
    <e v="#REF!"/>
    <e v="#REF!"/>
  </r>
  <r>
    <s v="641300"/>
    <x v="6"/>
    <s v="REMUNERATIONS VARIABLES"/>
    <s v="JC"/>
    <n v="-25615.82"/>
    <d v="2025-03-01T00:00:00"/>
    <s v="PROV. VARIABLES 2025"/>
    <m/>
    <e v="#N/A"/>
    <e v="#N/A"/>
    <n v="85621"/>
    <s v="Ext. Prov. Variables 2025"/>
    <m/>
    <s v="Q1"/>
    <e v="#REF!"/>
    <e v="#REF!"/>
    <e v="#REF!"/>
  </r>
  <r>
    <s v="641300"/>
    <x v="6"/>
    <s v="REMUNERATIONS VARIABLES"/>
    <s v="JC"/>
    <n v="-25610.5"/>
    <d v="2025-10-01T00:00:00"/>
    <s v="PROV. VARIABLES 2025"/>
    <m/>
    <e v="#N/A"/>
    <e v="#N/A"/>
    <n v="85759"/>
    <s v="Ext. Prov. Variables 2025"/>
    <m/>
    <s v="Q4"/>
    <e v="#REF!"/>
    <e v="#REF!"/>
    <e v="#REF!"/>
  </r>
  <r>
    <s v="641300"/>
    <x v="6"/>
    <s v="REMUNERATIONS VARIABLES"/>
    <s v="JC"/>
    <n v="-22764.89"/>
    <d v="2025-09-01T00:00:00"/>
    <s v="PROV. VARIABLES 2025"/>
    <m/>
    <e v="#N/A"/>
    <e v="#N/A"/>
    <n v="85739"/>
    <s v="Ext. Prov. Variables 2025"/>
    <m/>
    <s v="Q3"/>
    <e v="#REF!"/>
    <e v="#REF!"/>
    <e v="#REF!"/>
  </r>
  <r>
    <s v="641300"/>
    <x v="6"/>
    <s v="REMUNERATIONS VARIABLES"/>
    <s v="JC"/>
    <n v="-22634.05"/>
    <d v="2025-06-01T00:00:00"/>
    <s v="PROV. VARIABLES 2025"/>
    <m/>
    <e v="#N/A"/>
    <e v="#N/A"/>
    <n v="85680"/>
    <s v="Ext. Prov. Variables 2025"/>
    <m/>
    <s v="Q2"/>
    <e v="#REF!"/>
    <e v="#REF!"/>
    <e v="#REF!"/>
  </r>
  <r>
    <s v="641300"/>
    <x v="6"/>
    <s v="REMUNERATIONS VARIABLES"/>
    <s v="JC"/>
    <n v="-19919.28"/>
    <d v="2025-08-01T00:00:00"/>
    <s v="PROV. VARIABLES 2025"/>
    <m/>
    <e v="#N/A"/>
    <e v="#N/A"/>
    <n v="85719"/>
    <s v="Ext. Prov. Variables 2025"/>
    <m/>
    <s v="Q3"/>
    <e v="#REF!"/>
    <e v="#REF!"/>
    <e v="#REF!"/>
  </r>
  <r>
    <s v="641300"/>
    <x v="6"/>
    <s v="REMUNERATIONS VARIABLES"/>
    <s v="JC"/>
    <n v="-18107.240000000002"/>
    <d v="2025-05-01T00:00:00"/>
    <s v="PROV. VARIABLES 2025"/>
    <m/>
    <e v="#N/A"/>
    <e v="#N/A"/>
    <n v="85660"/>
    <s v="Ext. Prov. Variables 2025"/>
    <m/>
    <s v="Q2"/>
    <e v="#REF!"/>
    <e v="#REF!"/>
    <e v="#REF!"/>
  </r>
  <r>
    <s v="641300"/>
    <x v="6"/>
    <s v="REMUNERATIONS VARIABLES"/>
    <s v="JC"/>
    <n v="-17073.669999999998"/>
    <d v="2025-07-01T00:00:00"/>
    <s v="PROV. VARIABLES 2025"/>
    <m/>
    <e v="#N/A"/>
    <e v="#N/A"/>
    <n v="85699"/>
    <s v="Ext. Prov. Variables 2025"/>
    <m/>
    <s v="Q3"/>
    <e v="#REF!"/>
    <e v="#REF!"/>
    <e v="#REF!"/>
  </r>
  <r>
    <s v="641300"/>
    <x v="6"/>
    <s v="REMUNERATIONS VARIABLES"/>
    <s v="JC"/>
    <n v="-14403.03"/>
    <d v="2025-12-01T00:00:00"/>
    <s v="PROV. VARIABLES 2025"/>
    <m/>
    <e v="#N/A"/>
    <e v="#N/A"/>
    <n v="85802"/>
    <s v="Ext. Prov. Variables 2025"/>
    <m/>
    <s v="Q4"/>
    <e v="#REF!"/>
    <e v="#REF!"/>
    <e v="#REF!"/>
  </r>
  <r>
    <s v="641300"/>
    <x v="6"/>
    <s v="REMUNERATIONS VARIABLES"/>
    <s v="JC"/>
    <n v="-14228.06"/>
    <d v="2025-06-01T00:00:00"/>
    <s v="PROV. VARIABLES 2025"/>
    <m/>
    <e v="#N/A"/>
    <e v="#N/A"/>
    <n v="85679"/>
    <s v="Ext. Prov. Variables 2025"/>
    <m/>
    <s v="Q2"/>
    <e v="#REF!"/>
    <e v="#REF!"/>
    <e v="#REF!"/>
  </r>
  <r>
    <s v="641300"/>
    <x v="6"/>
    <s v="REMUNERATIONS VARIABLES"/>
    <s v="JC"/>
    <n v="-13580.43"/>
    <d v="2025-04-01T00:00:00"/>
    <s v="PROV. VARIABLES 2025"/>
    <m/>
    <e v="#N/A"/>
    <e v="#N/A"/>
    <n v="85640"/>
    <s v="Ext. Prov. Variables 2025"/>
    <m/>
    <s v="Q2"/>
    <e v="#REF!"/>
    <e v="#REF!"/>
    <e v="#REF!"/>
  </r>
  <r>
    <s v="641300"/>
    <x v="6"/>
    <s v="REMUNERATIONS VARIABLES"/>
    <s v="JC"/>
    <n v="-13093.67"/>
    <d v="2025-11-01T00:00:00"/>
    <s v="PROV. VARIABLES 2025"/>
    <m/>
    <e v="#N/A"/>
    <e v="#N/A"/>
    <n v="85782"/>
    <s v="Ext. Prov. Variables 2025"/>
    <m/>
    <s v="Q4"/>
    <e v="#REF!"/>
    <e v="#REF!"/>
    <e v="#REF!"/>
  </r>
  <r>
    <s v="641300"/>
    <x v="6"/>
    <s v="REMUNERATIONS VARIABLES"/>
    <s v="JC"/>
    <n v="-12807.91"/>
    <d v="2025-02-01T00:00:00"/>
    <s v="PROV. VARIABLES 2025"/>
    <m/>
    <e v="#N/A"/>
    <e v="#N/A"/>
    <n v="85601"/>
    <s v="Ext. Prov. Variables 2025"/>
    <m/>
    <s v="Q1"/>
    <e v="#REF!"/>
    <e v="#REF!"/>
    <e v="#REF!"/>
  </r>
  <r>
    <s v="641300"/>
    <x v="6"/>
    <s v="REMUNERATIONS VARIABLES"/>
    <s v="JC"/>
    <n v="-11784.3"/>
    <d v="2025-10-01T00:00:00"/>
    <s v="PROV. VARIABLES 2025"/>
    <m/>
    <e v="#N/A"/>
    <e v="#N/A"/>
    <n v="85762"/>
    <s v="Ext. Prov. Variables 2025"/>
    <m/>
    <s v="Q4"/>
    <e v="#REF!"/>
    <e v="#REF!"/>
    <e v="#REF!"/>
  </r>
  <r>
    <s v="641300"/>
    <x v="6"/>
    <s v="REMUNERATIONS VARIABLES"/>
    <s v="JC"/>
    <n v="-11382.44"/>
    <d v="2025-05-01T00:00:00"/>
    <s v="PROV. VARIABLES 2025"/>
    <m/>
    <e v="#N/A"/>
    <e v="#N/A"/>
    <n v="85659"/>
    <s v="Ext. Prov. Variables 2025"/>
    <m/>
    <s v="Q2"/>
    <e v="#REF!"/>
    <e v="#REF!"/>
    <e v="#REF!"/>
  </r>
  <r>
    <s v="641300"/>
    <x v="6"/>
    <s v="REMUNERATIONS VARIABLES"/>
    <s v="JC"/>
    <n v="-10577.53"/>
    <d v="2025-02-01T00:00:00"/>
    <s v="EXTOURNE PROVISION VARIABLES 2024"/>
    <m/>
    <e v="#N/A"/>
    <e v="#N/A"/>
    <n v="85577"/>
    <m/>
    <m/>
    <s v="Q1"/>
    <e v="#REF!"/>
    <e v="#REF!"/>
    <e v="#REF!"/>
  </r>
  <r>
    <s v="641300"/>
    <x v="6"/>
    <s v="REMUNERATIONS VARIABLES"/>
    <s v="JC"/>
    <n v="-10474.93"/>
    <d v="2025-09-01T00:00:00"/>
    <s v="PROV. VARIABLES 2025"/>
    <m/>
    <e v="#N/A"/>
    <e v="#N/A"/>
    <n v="85742"/>
    <s v="Ext. Prov. Variables 2025"/>
    <m/>
    <s v="Q3"/>
    <e v="#REF!"/>
    <e v="#REF!"/>
    <e v="#REF!"/>
  </r>
  <r>
    <s v="641300"/>
    <x v="6"/>
    <s v="REMUNERATIONS VARIABLES"/>
    <s v="JC"/>
    <n v="-9165.57"/>
    <d v="2025-08-01T00:00:00"/>
    <s v="PROV. VARIABLES 2025"/>
    <m/>
    <e v="#N/A"/>
    <e v="#N/A"/>
    <n v="85722"/>
    <s v="Ext. Prov. Variables 2025"/>
    <m/>
    <s v="Q3"/>
    <e v="#REF!"/>
    <e v="#REF!"/>
    <e v="#REF!"/>
  </r>
  <r>
    <s v="641300"/>
    <x v="6"/>
    <s v="REMUNERATIONS VARIABLES"/>
    <s v="JC"/>
    <n v="-9053.6200000000008"/>
    <d v="2025-03-01T00:00:00"/>
    <s v="PROV. VARIABLES 2025"/>
    <m/>
    <e v="#N/A"/>
    <e v="#N/A"/>
    <n v="85620"/>
    <s v="Ext. Prov. Variables 2025"/>
    <m/>
    <s v="Q1"/>
    <e v="#REF!"/>
    <e v="#REF!"/>
    <e v="#REF!"/>
  </r>
  <r>
    <s v="641300"/>
    <x v="6"/>
    <s v="REMUNERATIONS VARIABLES"/>
    <s v="JC"/>
    <n v="-8536.83"/>
    <d v="2025-04-01T00:00:00"/>
    <s v="PROV. VARIABLES 2025"/>
    <m/>
    <e v="#N/A"/>
    <e v="#N/A"/>
    <n v="85639"/>
    <s v="Ext. Prov. Variables 2025"/>
    <m/>
    <s v="Q2"/>
    <e v="#REF!"/>
    <e v="#REF!"/>
    <e v="#REF!"/>
  </r>
  <r>
    <s v="641300"/>
    <x v="6"/>
    <s v="REMUNERATIONS VARIABLES"/>
    <s v="JC"/>
    <n v="-7856.2"/>
    <d v="2025-07-01T00:00:00"/>
    <s v="PROV. VARIABLES 2025"/>
    <m/>
    <e v="#N/A"/>
    <e v="#N/A"/>
    <n v="85702"/>
    <s v="Ext. Prov. Variables 2025"/>
    <m/>
    <s v="Q3"/>
    <e v="#REF!"/>
    <e v="#REF!"/>
    <e v="#REF!"/>
  </r>
  <r>
    <s v="641300"/>
    <x v="6"/>
    <s v="REMUNERATIONS VARIABLES"/>
    <s v="JC"/>
    <n v="-6546.83"/>
    <d v="2025-06-01T00:00:00"/>
    <s v="PROV. VARIABLES 2025"/>
    <m/>
    <e v="#N/A"/>
    <e v="#N/A"/>
    <n v="85682"/>
    <s v="Ext. Prov. Variables 2025"/>
    <m/>
    <s v="Q2"/>
    <e v="#REF!"/>
    <e v="#REF!"/>
    <e v="#REF!"/>
  </r>
  <r>
    <s v="641300"/>
    <x v="6"/>
    <s v="REMUNERATIONS VARIABLES"/>
    <s v="JC"/>
    <n v="-5691.22"/>
    <d v="2025-03-01T00:00:00"/>
    <s v="PROV. VARIABLES 2025"/>
    <m/>
    <e v="#N/A"/>
    <e v="#N/A"/>
    <n v="85619"/>
    <s v="Ext. Prov. Variables 2025"/>
    <m/>
    <s v="Q1"/>
    <e v="#REF!"/>
    <e v="#REF!"/>
    <e v="#REF!"/>
  </r>
  <r>
    <s v="641300"/>
    <x v="6"/>
    <s v="REMUNERATIONS VARIABLES"/>
    <s v="JC"/>
    <n v="-5237.47"/>
    <d v="2025-05-01T00:00:00"/>
    <s v="PROV. VARIABLES 2025"/>
    <m/>
    <e v="#N/A"/>
    <e v="#N/A"/>
    <n v="85662"/>
    <s v="Ext. Prov. Variables 2025"/>
    <m/>
    <s v="Q2"/>
    <e v="#REF!"/>
    <e v="#REF!"/>
    <e v="#REF!"/>
  </r>
  <r>
    <s v="641300"/>
    <x v="6"/>
    <s v="REMUNERATIONS VARIABLES"/>
    <s v="JC"/>
    <n v="-4526.8100000000004"/>
    <d v="2025-02-01T00:00:00"/>
    <s v="PROV. VARIABLES 2025"/>
    <m/>
    <e v="#N/A"/>
    <e v="#N/A"/>
    <n v="85600"/>
    <s v="Ext. Prov. Variables 2025"/>
    <m/>
    <s v="Q1"/>
    <e v="#REF!"/>
    <e v="#REF!"/>
    <e v="#REF!"/>
  </r>
  <r>
    <s v="641300"/>
    <x v="6"/>
    <s v="REMUNERATIONS VARIABLES"/>
    <s v="JC"/>
    <n v="-3928.1"/>
    <d v="2025-04-01T00:00:00"/>
    <s v="PROV. VARIABLES 2025"/>
    <m/>
    <e v="#N/A"/>
    <e v="#N/A"/>
    <n v="85642"/>
    <s v="Ext. Prov. Variables 2025"/>
    <m/>
    <s v="Q2"/>
    <e v="#REF!"/>
    <e v="#REF!"/>
    <e v="#REF!"/>
  </r>
  <r>
    <s v="641300"/>
    <x v="6"/>
    <s v="REMUNERATIONS VARIABLES"/>
    <s v="JC"/>
    <n v="-2845.61"/>
    <d v="2025-02-01T00:00:00"/>
    <s v="PROV. VARIABLES 2025"/>
    <m/>
    <e v="#N/A"/>
    <e v="#N/A"/>
    <n v="85599"/>
    <s v="Ext. Prov. Variables 2025"/>
    <m/>
    <s v="Q1"/>
    <e v="#REF!"/>
    <e v="#REF!"/>
    <e v="#REF!"/>
  </r>
  <r>
    <s v="641300"/>
    <x v="6"/>
    <s v="REMUNERATIONS VARIABLES"/>
    <s v="JC"/>
    <n v="-2618.73"/>
    <d v="2025-03-01T00:00:00"/>
    <s v="PROV. VARIABLES 2025"/>
    <m/>
    <e v="#N/A"/>
    <e v="#N/A"/>
    <n v="85622"/>
    <s v="Ext. Prov. Variables 2025"/>
    <m/>
    <s v="Q1"/>
    <e v="#REF!"/>
    <e v="#REF!"/>
    <e v="#REF!"/>
  </r>
  <r>
    <s v="641300"/>
    <x v="6"/>
    <s v="REMUNERATIONS VARIABLES"/>
    <s v="JC"/>
    <n v="-1309.3699999999999"/>
    <d v="2025-02-01T00:00:00"/>
    <s v="PROV. VARIABLES 2025"/>
    <m/>
    <e v="#N/A"/>
    <e v="#N/A"/>
    <n v="85602"/>
    <s v="Ext. Prov. Variables 2025"/>
    <m/>
    <s v="Q1"/>
    <e v="#REF!"/>
    <e v="#REF!"/>
    <e v="#REF!"/>
  </r>
  <r>
    <s v="641300"/>
    <x v="6"/>
    <s v="REMUNERATIONS VARIABLES"/>
    <s v="JC"/>
    <n v="1309.3699999999999"/>
    <d v="2025-01-31T00:00:00"/>
    <s v="PROV. VARIABLES 2025"/>
    <m/>
    <e v="#N/A"/>
    <e v="#N/A"/>
    <n v="85592"/>
    <s v="Prov. Variables 2025"/>
    <m/>
    <s v="Q1"/>
    <e v="#REF!"/>
    <e v="#REF!"/>
    <e v="#REF!"/>
  </r>
  <r>
    <s v="641300"/>
    <x v="6"/>
    <s v="REMUNERATIONS VARIABLES"/>
    <s v="JC"/>
    <n v="2618.73"/>
    <d v="2025-02-28T00:00:00"/>
    <s v="PROV. VARIABLES 2025"/>
    <m/>
    <e v="#N/A"/>
    <e v="#N/A"/>
    <n v="85612"/>
    <s v="Prov. Variables 2025"/>
    <m/>
    <s v="Q1"/>
    <e v="#REF!"/>
    <e v="#REF!"/>
    <e v="#REF!"/>
  </r>
  <r>
    <s v="641300"/>
    <x v="6"/>
    <s v="REMUNERATIONS VARIABLES"/>
    <s v="JC"/>
    <n v="2845.61"/>
    <d v="2025-01-31T00:00:00"/>
    <s v="PROV. VARIABLES 2025"/>
    <m/>
    <e v="#N/A"/>
    <e v="#N/A"/>
    <n v="85589"/>
    <s v="Prov. Variables 2025"/>
    <m/>
    <s v="Q1"/>
    <e v="#REF!"/>
    <e v="#REF!"/>
    <e v="#REF!"/>
  </r>
  <r>
    <s v="641300"/>
    <x v="6"/>
    <s v="REMUNERATIONS VARIABLES"/>
    <s v="JC"/>
    <n v="3928.1"/>
    <d v="2025-03-31T00:00:00"/>
    <s v="PROV. VARIABLES 2025"/>
    <m/>
    <e v="#N/A"/>
    <e v="#N/A"/>
    <n v="85632"/>
    <s v="Prov. Variables 2025"/>
    <m/>
    <s v="Q1"/>
    <e v="#REF!"/>
    <e v="#REF!"/>
    <e v="#REF!"/>
  </r>
  <r>
    <s v="641300"/>
    <x v="6"/>
    <s v="REMUNERATIONS VARIABLES"/>
    <s v="JC"/>
    <n v="4526.8100000000004"/>
    <d v="2025-01-31T00:00:00"/>
    <s v="PROV. VARIABLES 2025"/>
    <m/>
    <e v="#N/A"/>
    <e v="#N/A"/>
    <n v="85590"/>
    <s v="Prov. Variables 2025"/>
    <m/>
    <s v="Q1"/>
    <e v="#REF!"/>
    <e v="#REF!"/>
    <e v="#REF!"/>
  </r>
  <r>
    <s v="641300"/>
    <x v="6"/>
    <s v="REMUNERATIONS VARIABLES"/>
    <s v="JC"/>
    <n v="5237.47"/>
    <d v="2025-04-30T00:00:00"/>
    <s v="PROV. VARIABLES 2025"/>
    <m/>
    <e v="#N/A"/>
    <e v="#N/A"/>
    <n v="85652"/>
    <s v="Prov. Variables 2025"/>
    <m/>
    <s v="Q2"/>
    <e v="#REF!"/>
    <e v="#REF!"/>
    <e v="#REF!"/>
  </r>
  <r>
    <s v="641300"/>
    <x v="6"/>
    <s v="REMUNERATIONS VARIABLES"/>
    <s v="JC"/>
    <n v="5691.22"/>
    <d v="2025-02-28T00:00:00"/>
    <s v="PROV. VARIABLES 2025"/>
    <m/>
    <e v="#N/A"/>
    <e v="#N/A"/>
    <n v="85609"/>
    <s v="Prov. Variables 2025"/>
    <m/>
    <s v="Q1"/>
    <e v="#REF!"/>
    <e v="#REF!"/>
    <e v="#REF!"/>
  </r>
  <r>
    <s v="641300"/>
    <x v="6"/>
    <s v="REMUNERATIONS VARIABLES"/>
    <s v="JC"/>
    <n v="6546.83"/>
    <d v="2025-05-31T00:00:00"/>
    <s v="PROV. VARIABLES 2025"/>
    <m/>
    <e v="#N/A"/>
    <e v="#N/A"/>
    <n v="85672"/>
    <s v="Prov. Variables 2025"/>
    <m/>
    <s v="Q2"/>
    <e v="#REF!"/>
    <e v="#REF!"/>
    <e v="#REF!"/>
  </r>
  <r>
    <s v="641300"/>
    <x v="6"/>
    <s v="REMUNERATIONS VARIABLES"/>
    <s v="JC"/>
    <n v="7856.2"/>
    <d v="2025-06-30T00:00:00"/>
    <s v="PROV. VARIABLES 2025"/>
    <m/>
    <e v="#N/A"/>
    <e v="#N/A"/>
    <n v="85692"/>
    <s v="Prov. Variables 2025"/>
    <m/>
    <s v="Q2"/>
    <e v="#REF!"/>
    <e v="#REF!"/>
    <e v="#REF!"/>
  </r>
  <r>
    <s v="641300"/>
    <x v="6"/>
    <s v="REMUNERATIONS VARIABLES"/>
    <s v="JC"/>
    <n v="8536.83"/>
    <d v="2025-03-31T00:00:00"/>
    <s v="PROV. VARIABLES 2025"/>
    <m/>
    <e v="#N/A"/>
    <e v="#N/A"/>
    <n v="85629"/>
    <s v="Prov. Variables 2025"/>
    <m/>
    <s v="Q1"/>
    <e v="#REF!"/>
    <e v="#REF!"/>
    <e v="#REF!"/>
  </r>
  <r>
    <s v="641300"/>
    <x v="6"/>
    <s v="REMUNERATIONS VARIABLES"/>
    <s v="JC"/>
    <n v="9053.6200000000008"/>
    <d v="2025-02-28T00:00:00"/>
    <s v="PROV. VARIABLES 2025"/>
    <m/>
    <e v="#N/A"/>
    <e v="#N/A"/>
    <n v="85610"/>
    <s v="Prov. Variables 2025"/>
    <m/>
    <s v="Q1"/>
    <e v="#REF!"/>
    <e v="#REF!"/>
    <e v="#REF!"/>
  </r>
  <r>
    <s v="641300"/>
    <x v="6"/>
    <s v="REMUNERATIONS VARIABLES"/>
    <s v="JC"/>
    <n v="9165.57"/>
    <d v="2025-07-31T00:00:00"/>
    <s v="PROV. VARIABLES 2025"/>
    <m/>
    <e v="#N/A"/>
    <e v="#N/A"/>
    <n v="85712"/>
    <s v="Prov. Variables 2025"/>
    <m/>
    <s v="Q3"/>
    <e v="#REF!"/>
    <e v="#REF!"/>
    <e v="#REF!"/>
  </r>
  <r>
    <s v="641300"/>
    <x v="6"/>
    <s v="REMUNERATIONS VARIABLES"/>
    <s v="JC"/>
    <n v="10474.93"/>
    <d v="2025-08-31T00:00:00"/>
    <s v="PROV. VARIABLES 2025"/>
    <m/>
    <e v="#N/A"/>
    <e v="#N/A"/>
    <n v="85732"/>
    <s v="Prov. Variables 2025"/>
    <m/>
    <s v="Q3"/>
    <e v="#REF!"/>
    <e v="#REF!"/>
    <e v="#REF!"/>
  </r>
  <r>
    <s v="641300"/>
    <x v="6"/>
    <s v="REMUNERATIONS VARIABLES"/>
    <s v="JC"/>
    <n v="11382.44"/>
    <d v="2025-04-30T00:00:00"/>
    <s v="PROV. VARIABLES 2025"/>
    <m/>
    <e v="#N/A"/>
    <e v="#N/A"/>
    <n v="85649"/>
    <s v="Prov. Variables 2025"/>
    <m/>
    <s v="Q2"/>
    <e v="#REF!"/>
    <e v="#REF!"/>
    <e v="#REF!"/>
  </r>
  <r>
    <s v="641300"/>
    <x v="6"/>
    <s v="REMUNERATIONS VARIABLES"/>
    <s v="JC"/>
    <n v="11784.3"/>
    <d v="2025-09-30T00:00:00"/>
    <s v="PROV. VARIABLES 2025"/>
    <m/>
    <e v="#N/A"/>
    <e v="#N/A"/>
    <n v="85752"/>
    <s v="Prov. Variables 2025"/>
    <m/>
    <s v="Q3"/>
    <e v="#REF!"/>
    <e v="#REF!"/>
    <e v="#REF!"/>
  </r>
  <r>
    <s v="641300"/>
    <x v="6"/>
    <s v="REMUNERATIONS VARIABLES"/>
    <s v="JC"/>
    <n v="12807.91"/>
    <d v="2025-01-31T00:00:00"/>
    <s v="PROV. VARIABLES 2025"/>
    <m/>
    <e v="#N/A"/>
    <e v="#N/A"/>
    <n v="85591"/>
    <s v="Prov. Variables 2025"/>
    <m/>
    <s v="Q1"/>
    <e v="#REF!"/>
    <e v="#REF!"/>
    <e v="#REF!"/>
  </r>
  <r>
    <s v="641300"/>
    <x v="6"/>
    <s v="REMUNERATIONS VARIABLES"/>
    <s v="JC"/>
    <n v="13093.67"/>
    <d v="2025-10-31T00:00:00"/>
    <s v="PROV. VARIABLES 2025"/>
    <m/>
    <e v="#N/A"/>
    <e v="#N/A"/>
    <n v="85772"/>
    <s v="Prov. Variables 2025"/>
    <m/>
    <s v="Q4"/>
    <e v="#REF!"/>
    <e v="#REF!"/>
    <e v="#REF!"/>
  </r>
  <r>
    <s v="641300"/>
    <x v="6"/>
    <s v="REMUNERATIONS VARIABLES"/>
    <s v="JC"/>
    <n v="13580.43"/>
    <d v="2025-03-31T00:00:00"/>
    <s v="PROV. VARIABLES 2025"/>
    <m/>
    <e v="#N/A"/>
    <e v="#N/A"/>
    <n v="85630"/>
    <s v="Prov. Variables 2025"/>
    <m/>
    <s v="Q1"/>
    <e v="#REF!"/>
    <e v="#REF!"/>
    <e v="#REF!"/>
  </r>
  <r>
    <s v="641300"/>
    <x v="6"/>
    <s v="REMUNERATIONS VARIABLES"/>
    <s v="JC"/>
    <n v="14228.06"/>
    <d v="2025-05-31T00:00:00"/>
    <s v="PROV. VARIABLES 2025"/>
    <m/>
    <e v="#N/A"/>
    <e v="#N/A"/>
    <n v="85669"/>
    <s v="Prov. Variables 2025"/>
    <m/>
    <s v="Q2"/>
    <e v="#REF!"/>
    <e v="#REF!"/>
    <e v="#REF!"/>
  </r>
  <r>
    <s v="641300"/>
    <x v="6"/>
    <s v="REMUNERATIONS VARIABLES"/>
    <s v="JC"/>
    <n v="14403.03"/>
    <d v="2025-11-30T00:00:00"/>
    <s v="PROV. VARIABLES 2025"/>
    <m/>
    <e v="#N/A"/>
    <e v="#N/A"/>
    <n v="85792"/>
    <s v="Prov. Variables 2025"/>
    <m/>
    <s v="Q4"/>
    <e v="#REF!"/>
    <e v="#REF!"/>
    <e v="#REF!"/>
  </r>
  <r>
    <s v="641300"/>
    <x v="6"/>
    <s v="REMUNERATIONS VARIABLES"/>
    <s v="JC"/>
    <n v="15712.4"/>
    <d v="2025-12-31T00:00:00"/>
    <s v="PROV. VARIABLES 2025"/>
    <m/>
    <e v="#N/A"/>
    <e v="#N/A"/>
    <n v="85812"/>
    <s v="Prov. Variables 2025"/>
    <m/>
    <s v="Q4"/>
    <e v="#REF!"/>
    <e v="#REF!"/>
    <e v="#REF!"/>
  </r>
  <r>
    <s v="641300"/>
    <x v="6"/>
    <s v="REMUNERATIONS VARIABLES"/>
    <s v="JC"/>
    <n v="17073.669999999998"/>
    <d v="2025-06-30T00:00:00"/>
    <s v="PROV. VARIABLES 2025"/>
    <m/>
    <e v="#N/A"/>
    <e v="#N/A"/>
    <n v="85689"/>
    <s v="Prov. Variables 2025"/>
    <m/>
    <s v="Q2"/>
    <e v="#REF!"/>
    <e v="#REF!"/>
    <e v="#REF!"/>
  </r>
  <r>
    <s v="641300"/>
    <x v="6"/>
    <s v="REMUNERATIONS VARIABLES"/>
    <s v="JC"/>
    <n v="18107.240000000002"/>
    <d v="2025-04-30T00:00:00"/>
    <s v="PROV. VARIABLES 2025"/>
    <m/>
    <e v="#N/A"/>
    <e v="#N/A"/>
    <n v="85650"/>
    <s v="Prov. Variables 2025"/>
    <m/>
    <s v="Q2"/>
    <e v="#REF!"/>
    <e v="#REF!"/>
    <e v="#REF!"/>
  </r>
  <r>
    <s v="641300"/>
    <x v="6"/>
    <s v="REMUNERATIONS VARIABLES"/>
    <s v="JC"/>
    <n v="19919.28"/>
    <d v="2025-07-31T00:00:00"/>
    <s v="PROV. VARIABLES 2025"/>
    <m/>
    <e v="#N/A"/>
    <e v="#N/A"/>
    <n v="85709"/>
    <s v="Prov. Variables 2025"/>
    <m/>
    <s v="Q3"/>
    <e v="#REF!"/>
    <e v="#REF!"/>
    <e v="#REF!"/>
  </r>
  <r>
    <s v="641300"/>
    <x v="6"/>
    <s v="REMUNERATIONS VARIABLES"/>
    <s v="JC"/>
    <n v="22634.05"/>
    <d v="2025-05-31T00:00:00"/>
    <s v="PROV. VARIABLES 2025"/>
    <m/>
    <e v="#N/A"/>
    <e v="#N/A"/>
    <n v="85670"/>
    <s v="Prov. Variables 2025"/>
    <m/>
    <s v="Q2"/>
    <e v="#REF!"/>
    <e v="#REF!"/>
    <e v="#REF!"/>
  </r>
  <r>
    <s v="641300"/>
    <x v="6"/>
    <s v="REMUNERATIONS VARIABLES"/>
    <s v="JC"/>
    <n v="22764.89"/>
    <d v="2025-08-31T00:00:00"/>
    <s v="PROV. VARIABLES 2025"/>
    <m/>
    <e v="#N/A"/>
    <e v="#N/A"/>
    <n v="85729"/>
    <s v="Prov. Variables 2025"/>
    <m/>
    <s v="Q3"/>
    <e v="#REF!"/>
    <e v="#REF!"/>
    <e v="#REF!"/>
  </r>
  <r>
    <s v="641300"/>
    <x v="6"/>
    <s v="REMUNERATIONS VARIABLES"/>
    <s v="JC"/>
    <n v="25610.5"/>
    <d v="2025-09-30T00:00:00"/>
    <s v="PROV. VARIABLES 2025"/>
    <m/>
    <e v="#N/A"/>
    <e v="#N/A"/>
    <n v="85749"/>
    <s v="Prov. Variables 2025"/>
    <m/>
    <s v="Q3"/>
    <e v="#REF!"/>
    <e v="#REF!"/>
    <e v="#REF!"/>
  </r>
  <r>
    <s v="641300"/>
    <x v="6"/>
    <s v="REMUNERATIONS VARIABLES"/>
    <s v="JC"/>
    <n v="25615.82"/>
    <d v="2025-02-28T00:00:00"/>
    <s v="PROV. VARIABLES 2025"/>
    <m/>
    <e v="#N/A"/>
    <e v="#N/A"/>
    <n v="85611"/>
    <s v="Prov. Variables 2025"/>
    <m/>
    <s v="Q1"/>
    <e v="#REF!"/>
    <e v="#REF!"/>
    <e v="#REF!"/>
  </r>
  <r>
    <s v="641300"/>
    <x v="6"/>
    <s v="REMUNERATIONS VARIABLES"/>
    <s v="JC"/>
    <n v="27160.86"/>
    <d v="2025-06-30T00:00:00"/>
    <s v="PROV. VARIABLES 2025"/>
    <m/>
    <e v="#N/A"/>
    <e v="#N/A"/>
    <n v="85690"/>
    <s v="Prov. Variables 2025"/>
    <m/>
    <s v="Q2"/>
    <e v="#REF!"/>
    <e v="#REF!"/>
    <e v="#REF!"/>
  </r>
  <r>
    <s v="641300"/>
    <x v="6"/>
    <s v="REMUNERATIONS VARIABLES"/>
    <s v="JC"/>
    <n v="28456.11"/>
    <d v="2025-10-31T00:00:00"/>
    <s v="PROV. VARIABLES 2025"/>
    <m/>
    <e v="#N/A"/>
    <e v="#N/A"/>
    <n v="85769"/>
    <s v="Prov. Variables 2025"/>
    <m/>
    <s v="Q4"/>
    <e v="#REF!"/>
    <e v="#REF!"/>
    <e v="#REF!"/>
  </r>
  <r>
    <s v="641300"/>
    <x v="6"/>
    <s v="REMUNERATIONS VARIABLES"/>
    <s v="JC"/>
    <n v="31301.72"/>
    <d v="2025-11-30T00:00:00"/>
    <s v="PROV. VARIABLES 2025"/>
    <m/>
    <e v="#N/A"/>
    <e v="#N/A"/>
    <n v="85789"/>
    <s v="Prov. Variables 2025"/>
    <m/>
    <s v="Q4"/>
    <e v="#REF!"/>
    <e v="#REF!"/>
    <e v="#REF!"/>
  </r>
  <r>
    <s v="641300"/>
    <x v="6"/>
    <s v="REMUNERATIONS VARIABLES"/>
    <s v="JC"/>
    <n v="31687.67"/>
    <d v="2025-07-31T00:00:00"/>
    <s v="PROV. VARIABLES 2025"/>
    <m/>
    <e v="#N/A"/>
    <e v="#N/A"/>
    <n v="85710"/>
    <s v="Prov. Variables 2025"/>
    <m/>
    <s v="Q3"/>
    <e v="#REF!"/>
    <e v="#REF!"/>
    <e v="#REF!"/>
  </r>
  <r>
    <s v="641300"/>
    <x v="6"/>
    <s v="REMUNERATIONS VARIABLES"/>
    <s v="JC"/>
    <n v="34147.33"/>
    <d v="2025-12-31T00:00:00"/>
    <s v="PROV. VARIABLES 2025"/>
    <m/>
    <e v="#N/A"/>
    <e v="#N/A"/>
    <n v="85809"/>
    <s v="Prov. Variables 2025"/>
    <m/>
    <s v="Q4"/>
    <e v="#REF!"/>
    <e v="#REF!"/>
    <e v="#REF!"/>
  </r>
  <r>
    <s v="641300"/>
    <x v="6"/>
    <s v="REMUNERATIONS VARIABLES"/>
    <s v="JC"/>
    <n v="36214.480000000003"/>
    <d v="2025-08-31T00:00:00"/>
    <s v="PROV. VARIABLES 2025"/>
    <m/>
    <e v="#N/A"/>
    <e v="#N/A"/>
    <n v="85730"/>
    <s v="Prov. Variables 2025"/>
    <m/>
    <s v="Q3"/>
    <e v="#REF!"/>
    <e v="#REF!"/>
    <e v="#REF!"/>
  </r>
  <r>
    <s v="641300"/>
    <x v="6"/>
    <s v="REMUNERATIONS VARIABLES"/>
    <s v="JC"/>
    <n v="38423.730000000003"/>
    <d v="2025-03-31T00:00:00"/>
    <s v="PROV. VARIABLES 2025"/>
    <m/>
    <e v="#N/A"/>
    <e v="#N/A"/>
    <n v="85631"/>
    <s v="Prov. Variables 2025"/>
    <m/>
    <s v="Q1"/>
    <e v="#REF!"/>
    <e v="#REF!"/>
    <e v="#REF!"/>
  </r>
  <r>
    <s v="641300"/>
    <x v="6"/>
    <s v="REMUNERATIONS VARIABLES"/>
    <s v="JC"/>
    <n v="40741.29"/>
    <d v="2025-09-30T00:00:00"/>
    <s v="PROV. VARIABLES 2025"/>
    <m/>
    <e v="#N/A"/>
    <e v="#N/A"/>
    <n v="85750"/>
    <s v="Prov. Variables 2025"/>
    <m/>
    <s v="Q3"/>
    <e v="#REF!"/>
    <e v="#REF!"/>
    <e v="#REF!"/>
  </r>
  <r>
    <s v="641300"/>
    <x v="6"/>
    <s v="REMUNERATIONS VARIABLES"/>
    <s v="JC"/>
    <n v="45268.1"/>
    <d v="2025-10-31T00:00:00"/>
    <s v="PROV. VARIABLES 2025"/>
    <m/>
    <e v="#N/A"/>
    <e v="#N/A"/>
    <n v="85770"/>
    <s v="Prov. Variables 2025"/>
    <m/>
    <s v="Q4"/>
    <e v="#REF!"/>
    <e v="#REF!"/>
    <e v="#REF!"/>
  </r>
  <r>
    <s v="641300"/>
    <x v="6"/>
    <s v="REMUNERATIONS VARIABLES"/>
    <s v="JC"/>
    <n v="49794.91"/>
    <d v="2025-11-30T00:00:00"/>
    <s v="PROV. VARIABLES 2025"/>
    <m/>
    <e v="#N/A"/>
    <e v="#N/A"/>
    <n v="85790"/>
    <s v="Prov. Variables 2025"/>
    <m/>
    <s v="Q4"/>
    <e v="#REF!"/>
    <e v="#REF!"/>
    <e v="#REF!"/>
  </r>
  <r>
    <s v="641300"/>
    <x v="6"/>
    <s v="REMUNERATIONS VARIABLES"/>
    <s v="JC"/>
    <n v="51231.64"/>
    <d v="2025-04-30T00:00:00"/>
    <s v="PROV. VARIABLES 2025"/>
    <m/>
    <e v="#N/A"/>
    <e v="#N/A"/>
    <n v="85651"/>
    <s v="Prov. Variables 2025"/>
    <m/>
    <s v="Q2"/>
    <e v="#REF!"/>
    <e v="#REF!"/>
    <e v="#REF!"/>
  </r>
  <r>
    <s v="641300"/>
    <x v="6"/>
    <s v="REMUNERATIONS VARIABLES"/>
    <s v="JC"/>
    <n v="54321.72"/>
    <d v="2025-12-31T00:00:00"/>
    <s v="PROV. VARIABLES 2025"/>
    <m/>
    <e v="#N/A"/>
    <e v="#N/A"/>
    <n v="85810"/>
    <s v="Prov. Variables 2025"/>
    <m/>
    <s v="Q4"/>
    <e v="#REF!"/>
    <e v="#REF!"/>
    <e v="#REF!"/>
  </r>
  <r>
    <s v="641300"/>
    <x v="6"/>
    <s v="REMUNERATIONS VARIABLES"/>
    <s v="JC"/>
    <n v="64039.54"/>
    <d v="2025-05-31T00:00:00"/>
    <s v="PROV. VARIABLES 2025"/>
    <m/>
    <e v="#N/A"/>
    <e v="#N/A"/>
    <n v="85671"/>
    <s v="Prov. Variables 2025"/>
    <m/>
    <s v="Q2"/>
    <e v="#REF!"/>
    <e v="#REF!"/>
    <e v="#REF!"/>
  </r>
  <r>
    <s v="641300"/>
    <x v="6"/>
    <s v="REMUNERATIONS VARIABLES"/>
    <s v="JC"/>
    <n v="76847.45"/>
    <d v="2025-06-30T00:00:00"/>
    <s v="PROV. VARIABLES 2025"/>
    <m/>
    <e v="#N/A"/>
    <e v="#N/A"/>
    <n v="85691"/>
    <s v="Prov. Variables 2025"/>
    <m/>
    <s v="Q2"/>
    <e v="#REF!"/>
    <e v="#REF!"/>
    <e v="#REF!"/>
  </r>
  <r>
    <s v="641300"/>
    <x v="6"/>
    <s v="REMUNERATIONS VARIABLES"/>
    <s v="JC"/>
    <n v="89655.35"/>
    <d v="2025-07-31T00:00:00"/>
    <s v="PROV. VARIABLES 2025"/>
    <m/>
    <e v="#N/A"/>
    <e v="#N/A"/>
    <n v="85711"/>
    <s v="Prov. Variables 2025"/>
    <m/>
    <s v="Q3"/>
    <e v="#REF!"/>
    <e v="#REF!"/>
    <e v="#REF!"/>
  </r>
  <r>
    <s v="641300"/>
    <x v="6"/>
    <s v="REMUNERATIONS VARIABLES"/>
    <s v="JC"/>
    <n v="102463.27"/>
    <d v="2025-08-31T00:00:00"/>
    <s v="PROV. VARIABLES 2025"/>
    <m/>
    <e v="#N/A"/>
    <e v="#N/A"/>
    <n v="85731"/>
    <s v="Prov. Variables 2025"/>
    <m/>
    <s v="Q3"/>
    <e v="#REF!"/>
    <e v="#REF!"/>
    <e v="#REF!"/>
  </r>
  <r>
    <s v="641300"/>
    <x v="6"/>
    <s v="REMUNERATIONS VARIABLES"/>
    <s v="JC"/>
    <n v="115271.18"/>
    <d v="2025-09-30T00:00:00"/>
    <s v="PROV. VARIABLES 2025"/>
    <m/>
    <e v="#N/A"/>
    <e v="#N/A"/>
    <n v="85751"/>
    <s v="Prov. Variables 2025"/>
    <m/>
    <s v="Q3"/>
    <e v="#REF!"/>
    <e v="#REF!"/>
    <e v="#REF!"/>
  </r>
  <r>
    <s v="641300"/>
    <x v="6"/>
    <s v="REMUNERATIONS VARIABLES"/>
    <s v="JC"/>
    <n v="128079.08"/>
    <d v="2025-10-31T00:00:00"/>
    <s v="PROV. VARIABLES 2025"/>
    <m/>
    <e v="#N/A"/>
    <e v="#N/A"/>
    <n v="85771"/>
    <s v="Prov. Variables 2025"/>
    <m/>
    <s v="Q4"/>
    <e v="#REF!"/>
    <e v="#REF!"/>
    <e v="#REF!"/>
  </r>
  <r>
    <s v="641300"/>
    <x v="6"/>
    <s v="REMUNERATIONS VARIABLES"/>
    <s v="JC"/>
    <n v="140887"/>
    <d v="2025-11-30T00:00:00"/>
    <s v="PROV. VARIABLES 2025"/>
    <m/>
    <e v="#N/A"/>
    <e v="#N/A"/>
    <n v="85791"/>
    <s v="Prov. Variables 2025"/>
    <m/>
    <s v="Q4"/>
    <e v="#REF!"/>
    <e v="#REF!"/>
    <e v="#REF!"/>
  </r>
  <r>
    <s v="641300"/>
    <x v="6"/>
    <s v="REMUNERATIONS VARIABLES"/>
    <s v="JC"/>
    <n v="153694.91"/>
    <d v="2025-12-31T00:00:00"/>
    <s v="PROV. VARIABLES 2025"/>
    <m/>
    <e v="#N/A"/>
    <e v="#N/A"/>
    <n v="85811"/>
    <s v="Prov. Variables 2025"/>
    <m/>
    <s v="Q4"/>
    <e v="#REF!"/>
    <e v="#REF!"/>
    <e v="#REF!"/>
  </r>
  <r>
    <s v="641300"/>
    <x v="6"/>
    <s v="REMUNERATIONS VARIABLES"/>
    <s v="SA"/>
    <n v="131.79"/>
    <d v="2025-12-31T00:00:00"/>
    <s v="PRIME D'ANCIENNETÉ"/>
    <m/>
    <e v="#N/A"/>
    <e v="#N/A"/>
    <n v="92772"/>
    <s v="SA202512"/>
    <m/>
    <s v="Q4"/>
    <e v="#REF!"/>
    <e v="#REF!"/>
    <e v="#REF!"/>
  </r>
  <r>
    <s v="641300"/>
    <x v="6"/>
    <s v="REMUNERATIONS VARIABLES"/>
    <s v="SA"/>
    <n v="153.72"/>
    <d v="2025-11-30T00:00:00"/>
    <s v="PRIME D'ANCIENNETÉ"/>
    <m/>
    <e v="#N/A"/>
    <e v="#N/A"/>
    <n v="92309"/>
    <s v="SA202511"/>
    <m/>
    <s v="Q4"/>
    <e v="#REF!"/>
    <e v="#REF!"/>
    <e v="#REF!"/>
  </r>
  <r>
    <s v="641300"/>
    <x v="6"/>
    <s v="REMUNERATIONS VARIABLES"/>
    <s v="SA"/>
    <n v="223.59"/>
    <d v="2025-10-31T00:00:00"/>
    <s v="PRIME D'ANCIENNETÉ"/>
    <m/>
    <e v="#N/A"/>
    <e v="#N/A"/>
    <n v="87802"/>
    <s v="SA202510"/>
    <m/>
    <s v="Q4"/>
    <e v="#REF!"/>
    <e v="#REF!"/>
    <e v="#REF!"/>
  </r>
  <r>
    <s v="641300"/>
    <x v="6"/>
    <s v="REMUNERATIONS VARIABLES"/>
    <s v="SA"/>
    <n v="342.3"/>
    <d v="2025-10-31T00:00:00"/>
    <s v="IJSS BRUTES"/>
    <m/>
    <e v="#N/A"/>
    <e v="#N/A"/>
    <n v="87801"/>
    <s v="SA202510"/>
    <m/>
    <s v="Q4"/>
    <e v="#REF!"/>
    <e v="#REF!"/>
    <e v="#REF!"/>
  </r>
  <r>
    <s v="641300"/>
    <x v="6"/>
    <s v="REMUNERATIONS VARIABLES"/>
    <s v="SA"/>
    <n v="442.01"/>
    <d v="2025-12-31T00:00:00"/>
    <s v="PRIME D'ANCIENNETÉ"/>
    <m/>
    <e v="#N/A"/>
    <e v="#N/A"/>
    <n v="92775"/>
    <s v="SA202512"/>
    <m/>
    <s v="Q4"/>
    <e v="#REF!"/>
    <e v="#REF!"/>
    <e v="#REF!"/>
  </r>
  <r>
    <s v="641300"/>
    <x v="6"/>
    <s v="REMUNERATIONS VARIABLES"/>
    <s v="SA"/>
    <n v="509.07"/>
    <d v="2025-11-30T00:00:00"/>
    <s v="PRIME D'ANCIENNETÉ"/>
    <m/>
    <e v="#N/A"/>
    <e v="#N/A"/>
    <n v="92311"/>
    <s v="SA202511"/>
    <m/>
    <s v="Q4"/>
    <e v="#REF!"/>
    <e v="#REF!"/>
    <e v="#REF!"/>
  </r>
  <r>
    <s v="641300"/>
    <x v="6"/>
    <s v="REMUNERATIONS VARIABLES"/>
    <s v="SA"/>
    <n v="515.37"/>
    <d v="2025-10-31T00:00:00"/>
    <s v="IJSS BRUTES"/>
    <m/>
    <e v="#N/A"/>
    <e v="#N/A"/>
    <n v="87805"/>
    <s v="SA202510"/>
    <m/>
    <s v="Q4"/>
    <e v="#REF!"/>
    <e v="#REF!"/>
    <e v="#REF!"/>
  </r>
  <r>
    <s v="641300"/>
    <x v="6"/>
    <s v="REMUNERATIONS VARIABLES"/>
    <s v="SA"/>
    <n v="545.01"/>
    <d v="2025-10-31T00:00:00"/>
    <s v="PRIME D'ANCIENNETÉ"/>
    <m/>
    <e v="#N/A"/>
    <e v="#N/A"/>
    <n v="87804"/>
    <s v="SA202510"/>
    <m/>
    <s v="Q4"/>
    <e v="#REF!"/>
    <e v="#REF!"/>
    <e v="#REF!"/>
  </r>
  <r>
    <s v="641300"/>
    <x v="6"/>
    <s v="REMUNERATIONS VARIABLES"/>
    <s v="SA"/>
    <n v="876.17"/>
    <d v="2025-12-31T00:00:00"/>
    <s v="IJSS BRUTES"/>
    <m/>
    <e v="#N/A"/>
    <e v="#N/A"/>
    <n v="92771"/>
    <s v="SA202512"/>
    <m/>
    <s v="Q4"/>
    <e v="#REF!"/>
    <e v="#REF!"/>
    <e v="#REF!"/>
  </r>
  <r>
    <s v="641300"/>
    <x v="6"/>
    <s v="REMUNERATIONS VARIABLES"/>
    <s v="SA"/>
    <n v="2000.1"/>
    <d v="2025-11-30T00:00:00"/>
    <s v="PRIME INVENTION"/>
    <m/>
    <e v="#N/A"/>
    <e v="#N/A"/>
    <n v="92312"/>
    <s v="SA202511"/>
    <m/>
    <s v="Q4"/>
    <e v="#REF!"/>
    <e v="#REF!"/>
    <e v="#REF!"/>
  </r>
  <r>
    <s v="641300"/>
    <x v="6"/>
    <s v="REMUNERATIONS VARIABLES"/>
    <s v="SA"/>
    <n v="3250"/>
    <d v="2025-02-28T00:00:00"/>
    <s v="VARIABLE COLLABORATIF"/>
    <m/>
    <e v="#N/A"/>
    <e v="#N/A"/>
    <n v="85244"/>
    <s v="SA202502"/>
    <m/>
    <s v="Q1"/>
    <e v="#REF!"/>
    <e v="#REF!"/>
    <e v="#REF!"/>
  </r>
  <r>
    <s v="641300"/>
    <x v="6"/>
    <s v="REMUNERATIONS VARIABLES"/>
    <s v="SA"/>
    <n v="3846.18"/>
    <d v="2025-12-31T00:00:00"/>
    <s v="INDEMNITÉ COMPENSATRICE DE PRÉAVIS"/>
    <m/>
    <e v="#N/A"/>
    <e v="#N/A"/>
    <n v="92774"/>
    <s v="SA202512"/>
    <m/>
    <s v="Q4"/>
    <e v="#REF!"/>
    <e v="#REF!"/>
    <e v="#REF!"/>
  </r>
  <r>
    <s v="641300"/>
    <x v="6"/>
    <s v="REMUNERATIONS VARIABLES"/>
    <s v="SA"/>
    <n v="4160.75"/>
    <d v="2025-02-28T00:00:00"/>
    <s v="VARIABLE INDIVIDUEL"/>
    <m/>
    <e v="#N/A"/>
    <e v="#N/A"/>
    <n v="85248"/>
    <s v="SA202502"/>
    <m/>
    <s v="Q1"/>
    <e v="#REF!"/>
    <e v="#REF!"/>
    <e v="#REF!"/>
  </r>
  <r>
    <s v="641300"/>
    <x v="6"/>
    <s v="REMUNERATIONS VARIABLES"/>
    <s v="SA"/>
    <n v="4348.87"/>
    <d v="2025-11-30T00:00:00"/>
    <s v="IJSS BRUTES"/>
    <m/>
    <e v="#N/A"/>
    <e v="#N/A"/>
    <n v="92310"/>
    <s v="SA202511"/>
    <m/>
    <s v="Q4"/>
    <e v="#REF!"/>
    <e v="#REF!"/>
    <e v="#REF!"/>
  </r>
  <r>
    <s v="641300"/>
    <x v="6"/>
    <s v="REMUNERATIONS VARIABLES"/>
    <s v="SA"/>
    <n v="4383.54"/>
    <d v="2025-10-31T00:00:00"/>
    <s v="IJSS BRUTES"/>
    <m/>
    <e v="#N/A"/>
    <e v="#N/A"/>
    <n v="87803"/>
    <s v="SA202510"/>
    <m/>
    <s v="Q4"/>
    <e v="#REF!"/>
    <e v="#REF!"/>
    <e v="#REF!"/>
  </r>
  <r>
    <s v="641300"/>
    <x v="6"/>
    <s v="REMUNERATIONS VARIABLES"/>
    <s v="SA"/>
    <n v="4385"/>
    <d v="2025-02-28T00:00:00"/>
    <s v="VARIABLE COLLABORATIF"/>
    <m/>
    <e v="#N/A"/>
    <e v="#N/A"/>
    <n v="85236"/>
    <s v="SA202502"/>
    <m/>
    <s v="Q1"/>
    <e v="#REF!"/>
    <e v="#REF!"/>
    <e v="#REF!"/>
  </r>
  <r>
    <s v="641300"/>
    <x v="6"/>
    <s v="REMUNERATIONS VARIABLES"/>
    <s v="SA"/>
    <n v="6104.89"/>
    <d v="2025-12-31T00:00:00"/>
    <s v="IJSS BRUTES"/>
    <m/>
    <e v="#N/A"/>
    <e v="#N/A"/>
    <n v="92773"/>
    <s v="SA202512"/>
    <m/>
    <s v="Q4"/>
    <e v="#REF!"/>
    <e v="#REF!"/>
    <e v="#REF!"/>
  </r>
  <r>
    <s v="641300"/>
    <x v="6"/>
    <s v="REMUNERATIONS VARIABLES"/>
    <s v="SA"/>
    <n v="6141.8"/>
    <d v="2025-02-28T00:00:00"/>
    <s v="VARIABLE COLLABORATIF"/>
    <m/>
    <e v="#N/A"/>
    <e v="#N/A"/>
    <n v="85247"/>
    <s v="SA202502"/>
    <m/>
    <s v="Q1"/>
    <e v="#REF!"/>
    <e v="#REF!"/>
    <e v="#REF!"/>
  </r>
  <r>
    <s v="641300"/>
    <x v="6"/>
    <s v="REMUNERATIONS VARIABLES"/>
    <s v="SA"/>
    <n v="11249.79"/>
    <d v="2025-02-28T00:00:00"/>
    <s v="VARIABLE COLLABORATIF"/>
    <m/>
    <e v="#N/A"/>
    <e v="#N/A"/>
    <n v="85239"/>
    <s v="SA202502"/>
    <m/>
    <s v="Q1"/>
    <e v="#REF!"/>
    <e v="#REF!"/>
    <e v="#REF!"/>
  </r>
  <r>
    <s v="641300"/>
    <x v="6"/>
    <s v="REMUNERATIONS VARIABLES"/>
    <s v="SA"/>
    <n v="21053.59"/>
    <d v="2025-02-28T00:00:00"/>
    <s v="VARIABLE INDIVIDUEL"/>
    <m/>
    <e v="#N/A"/>
    <e v="#N/A"/>
    <n v="85240"/>
    <s v="SA202502"/>
    <m/>
    <s v="Q1"/>
    <e v="#REF!"/>
    <e v="#REF!"/>
    <e v="#REF!"/>
  </r>
  <r>
    <s v="641300"/>
    <x v="6"/>
    <s v="REMUNERATIONS VARIABLES"/>
    <s v="SA"/>
    <n v="34858.58"/>
    <d v="2025-02-28T00:00:00"/>
    <s v="VARIABLE INDIVIDUEL"/>
    <m/>
    <e v="#N/A"/>
    <e v="#N/A"/>
    <n v="85237"/>
    <s v="SA202502"/>
    <m/>
    <s v="Q1"/>
    <e v="#REF!"/>
    <e v="#REF!"/>
    <e v="#REF!"/>
  </r>
  <r>
    <s v="641300"/>
    <x v="6"/>
    <s v="REMUNERATIONS VARIABLES"/>
    <s v="SA"/>
    <n v="58005.94"/>
    <d v="2025-02-28T00:00:00"/>
    <s v="VARIABLE INDIVIDUEL"/>
    <m/>
    <e v="#N/A"/>
    <e v="#N/A"/>
    <n v="85245"/>
    <s v="SA202502"/>
    <m/>
    <s v="Q1"/>
    <e v="#REF!"/>
    <e v="#REF!"/>
    <e v="#REF!"/>
  </r>
  <r>
    <s v="641350"/>
    <x v="6"/>
    <s v="PRIMES DIVERSES"/>
    <s v="JC"/>
    <n v="-20423"/>
    <d v="2025-03-01T00:00:00"/>
    <s v="Extourne Provision précarité"/>
    <m/>
    <e v="#N/A"/>
    <e v="#N/A"/>
    <n v="85818"/>
    <m/>
    <m/>
    <s v="Q1"/>
    <e v="#REF!"/>
    <e v="#REF!"/>
    <e v="#REF!"/>
  </r>
  <r>
    <s v="641350"/>
    <x v="6"/>
    <s v="PRIMES DIVERSES"/>
    <s v="SA"/>
    <n v="83.85"/>
    <d v="2025-09-30T00:00:00"/>
    <s v="PRIME D'ANCIENNETÉ"/>
    <m/>
    <e v="#N/A"/>
    <e v="#N/A"/>
    <n v="84136"/>
    <s v="SA202509"/>
    <m/>
    <s v="Q3"/>
    <e v="#REF!"/>
    <e v="#REF!"/>
    <e v="#REF!"/>
  </r>
  <r>
    <s v="641350"/>
    <x v="6"/>
    <s v="PRIMES DIVERSES"/>
    <s v="SA"/>
    <n v="440.16"/>
    <d v="2025-01-31T00:00:00"/>
    <s v="PRIME D'ANCIENNETÉ"/>
    <m/>
    <e v="#N/A"/>
    <e v="#N/A"/>
    <n v="85424"/>
    <s v="SA202501"/>
    <m/>
    <s v="Q1"/>
    <e v="#REF!"/>
    <e v="#REF!"/>
    <e v="#REF!"/>
  </r>
  <r>
    <s v="641350"/>
    <x v="6"/>
    <s v="PRIMES DIVERSES"/>
    <s v="SA"/>
    <n v="441.22"/>
    <d v="2025-02-28T00:00:00"/>
    <s v="PRIME D'ANCIENNETÉ"/>
    <m/>
    <e v="#N/A"/>
    <e v="#N/A"/>
    <n v="85242"/>
    <s v="SA202502"/>
    <m/>
    <s v="Q1"/>
    <e v="#REF!"/>
    <e v="#REF!"/>
    <e v="#REF!"/>
  </r>
  <r>
    <s v="641350"/>
    <x v="6"/>
    <s v="PRIMES DIVERSES"/>
    <s v="SA"/>
    <n v="445.66"/>
    <d v="2025-03-31T00:00:00"/>
    <s v="PRIME D'ANCIENNETÉ"/>
    <m/>
    <e v="#N/A"/>
    <e v="#N/A"/>
    <n v="80531"/>
    <s v="SA202503"/>
    <m/>
    <s v="Q1"/>
    <e v="#REF!"/>
    <e v="#REF!"/>
    <e v="#REF!"/>
  </r>
  <r>
    <s v="641350"/>
    <x v="6"/>
    <s v="PRIMES DIVERSES"/>
    <s v="SA"/>
    <n v="452.78"/>
    <d v="2025-04-30T00:00:00"/>
    <s v="PRIME D'ANCIENNETÉ"/>
    <m/>
    <e v="#N/A"/>
    <e v="#N/A"/>
    <n v="80357"/>
    <s v="SA202504"/>
    <m/>
    <s v="Q2"/>
    <e v="#REF!"/>
    <e v="#REF!"/>
    <e v="#REF!"/>
  </r>
  <r>
    <s v="641350"/>
    <x v="6"/>
    <s v="PRIMES DIVERSES"/>
    <s v="SA"/>
    <n v="460.41"/>
    <d v="2025-07-31T00:00:00"/>
    <s v="PRIME D'ANCIENNETÉ"/>
    <m/>
    <e v="#N/A"/>
    <e v="#N/A"/>
    <n v="79848"/>
    <s v="SA202507"/>
    <m/>
    <s v="Q3"/>
    <e v="#REF!"/>
    <e v="#REF!"/>
    <e v="#REF!"/>
  </r>
  <r>
    <s v="641350"/>
    <x v="6"/>
    <s v="PRIMES DIVERSES"/>
    <s v="SA"/>
    <n v="468.15"/>
    <d v="2025-05-31T00:00:00"/>
    <s v="PRIME D'ANCIENNETÉ"/>
    <m/>
    <e v="#N/A"/>
    <e v="#N/A"/>
    <n v="80189"/>
    <s v="SA202505"/>
    <m/>
    <s v="Q2"/>
    <e v="#REF!"/>
    <e v="#REF!"/>
    <e v="#REF!"/>
  </r>
  <r>
    <s v="641350"/>
    <x v="6"/>
    <s v="PRIMES DIVERSES"/>
    <s v="SA"/>
    <n v="468.15"/>
    <d v="2025-06-30T00:00:00"/>
    <s v="PRIME D'ANCIENNETÉ"/>
    <m/>
    <e v="#N/A"/>
    <e v="#N/A"/>
    <n v="80021"/>
    <s v="SA202506"/>
    <m/>
    <s v="Q2"/>
    <e v="#REF!"/>
    <e v="#REF!"/>
    <e v="#REF!"/>
  </r>
  <r>
    <s v="641350"/>
    <x v="6"/>
    <s v="PRIMES DIVERSES"/>
    <s v="SA"/>
    <n v="533.4"/>
    <d v="2025-09-30T00:00:00"/>
    <s v="PRIME D'ANCIENNETÉ"/>
    <m/>
    <e v="#N/A"/>
    <e v="#N/A"/>
    <n v="84139"/>
    <s v="SA202509"/>
    <m/>
    <s v="Q3"/>
    <e v="#REF!"/>
    <e v="#REF!"/>
    <e v="#REF!"/>
  </r>
  <r>
    <s v="641350"/>
    <x v="6"/>
    <s v="PRIMES DIVERSES"/>
    <s v="SA"/>
    <n v="545.01"/>
    <d v="2025-08-31T00:00:00"/>
    <s v="PRIME D'ANCIENNETÉ"/>
    <m/>
    <e v="#N/A"/>
    <e v="#N/A"/>
    <n v="83965"/>
    <s v="SA202508"/>
    <m/>
    <s v="Q3"/>
    <e v="#REF!"/>
    <e v="#REF!"/>
    <e v="#REF!"/>
  </r>
  <r>
    <s v="641350"/>
    <x v="6"/>
    <s v="PRIMES DIVERSES"/>
    <s v="SA"/>
    <n v="1679"/>
    <d v="2025-04-30T00:00:00"/>
    <s v="INDEMNITÉS JOURS DE REPOS 10%"/>
    <m/>
    <e v="#N/A"/>
    <e v="#N/A"/>
    <n v="80354"/>
    <s v="SA202504"/>
    <m/>
    <s v="Q2"/>
    <e v="#REF!"/>
    <e v="#REF!"/>
    <e v="#REF!"/>
  </r>
  <r>
    <s v="641350"/>
    <x v="6"/>
    <s v="PRIMES DIVERSES"/>
    <s v="SA"/>
    <n v="1733.4"/>
    <d v="2025-02-28T00:00:00"/>
    <s v="PRIME INVENTION"/>
    <m/>
    <e v="#N/A"/>
    <e v="#N/A"/>
    <n v="85235"/>
    <s v="SA202502"/>
    <m/>
    <s v="Q1"/>
    <e v="#REF!"/>
    <e v="#REF!"/>
    <e v="#REF!"/>
  </r>
  <r>
    <s v="641350"/>
    <x v="6"/>
    <s v="PRIMES DIVERSES"/>
    <s v="SA"/>
    <n v="2411.41"/>
    <d v="2025-04-30T00:00:00"/>
    <s v="INDEMNITÉS JOURS DE REPOS 10%"/>
    <m/>
    <e v="#N/A"/>
    <e v="#N/A"/>
    <n v="80356"/>
    <s v="SA202504"/>
    <m/>
    <s v="Q2"/>
    <e v="#REF!"/>
    <e v="#REF!"/>
    <e v="#REF!"/>
  </r>
  <r>
    <s v="641350"/>
    <x v="6"/>
    <s v="PRIMES DIVERSES"/>
    <s v="SA"/>
    <n v="4300.21"/>
    <d v="2025-01-31T00:00:00"/>
    <s v="INDEMNITÉ DE PRÉCARITÉ"/>
    <m/>
    <e v="#N/A"/>
    <e v="#N/A"/>
    <n v="85422"/>
    <s v="SA202501"/>
    <m/>
    <s v="Q1"/>
    <e v="#REF!"/>
    <e v="#REF!"/>
    <e v="#REF!"/>
  </r>
  <r>
    <s v="641350"/>
    <x v="6"/>
    <s v="PRIMES DIVERSES"/>
    <s v="SA"/>
    <n v="4623.62"/>
    <d v="2025-07-31T00:00:00"/>
    <s v="INDEMNITÉ DE PRÉCARITÉ"/>
    <m/>
    <e v="#N/A"/>
    <e v="#N/A"/>
    <n v="79846"/>
    <s v="SA202507"/>
    <m/>
    <s v="Q3"/>
    <e v="#REF!"/>
    <e v="#REF!"/>
    <e v="#REF!"/>
  </r>
  <r>
    <s v="641350"/>
    <x v="6"/>
    <s v="PRIMES DIVERSES"/>
    <s v="SA"/>
    <n v="8666.7999999999993"/>
    <d v="2025-02-28T00:00:00"/>
    <s v="PRIME INVENTION"/>
    <m/>
    <e v="#N/A"/>
    <e v="#N/A"/>
    <n v="85243"/>
    <s v="SA202502"/>
    <m/>
    <s v="Q1"/>
    <e v="#REF!"/>
    <e v="#REF!"/>
    <e v="#REF!"/>
  </r>
  <r>
    <s v="641400"/>
    <x v="6"/>
    <s v="INDEMNITÉS TRANSPORT"/>
    <s v="NDF"/>
    <n v="48"/>
    <d v="2025-09-16T00:00:00"/>
    <s v="Remboursement Transport"/>
    <m/>
    <e v="#N/A"/>
    <e v="#N/A"/>
    <n v="89065"/>
    <m/>
    <s v="Eugénie Terrangle"/>
    <s v="Q3"/>
    <e v="#REF!"/>
    <e v="#REF!"/>
    <e v="#REF!"/>
  </r>
  <r>
    <s v="641400"/>
    <x v="6"/>
    <s v="INDEMNITÉS TRANSPORT"/>
    <s v="NDF"/>
    <n v="64"/>
    <d v="2025-09-16T00:00:00"/>
    <s v="Remboursement Transport"/>
    <m/>
    <e v="#N/A"/>
    <e v="#N/A"/>
    <n v="89070"/>
    <m/>
    <s v="Jules Garnier"/>
    <s v="Q3"/>
    <e v="#REF!"/>
    <e v="#REF!"/>
    <e v="#REF!"/>
  </r>
  <r>
    <s v="641400"/>
    <x v="6"/>
    <s v="INDEMNITÉS TRANSPORT"/>
    <s v="SA"/>
    <n v="-1.21"/>
    <d v="2025-06-30T00:00:00"/>
    <s v="RÉGULARISATION SUR LE NET À PAYER"/>
    <m/>
    <e v="#N/A"/>
    <e v="#N/A"/>
    <n v="80025"/>
    <s v="SA202506"/>
    <m/>
    <s v="Q2"/>
    <e v="#REF!"/>
    <e v="#REF!"/>
    <e v="#REF!"/>
  </r>
  <r>
    <s v="641400"/>
    <x v="6"/>
    <s v="INDEMNITÉS TRANSPORT"/>
    <s v="SA"/>
    <n v="1.21"/>
    <d v="2025-07-31T00:00:00"/>
    <s v="RÉGULARISATION SUR LE NET À PAYER 06/2025"/>
    <m/>
    <e v="#N/A"/>
    <e v="#N/A"/>
    <n v="79852"/>
    <s v="SA202507"/>
    <m/>
    <s v="Q3"/>
    <e v="#REF!"/>
    <e v="#REF!"/>
    <e v="#REF!"/>
  </r>
  <r>
    <s v="641400"/>
    <x v="6"/>
    <s v="INDEMNITÉS TRANSPORT"/>
    <s v="SA"/>
    <n v="44.4"/>
    <d v="2025-06-30T00:00:00"/>
    <s v="ABONNEMENT TRANSPORT"/>
    <m/>
    <e v="#N/A"/>
    <e v="#N/A"/>
    <n v="80022"/>
    <s v="SA202506"/>
    <m/>
    <s v="Q2"/>
    <e v="#REF!"/>
    <e v="#REF!"/>
    <e v="#REF!"/>
  </r>
  <r>
    <s v="641400"/>
    <x v="6"/>
    <s v="INDEMNITÉS TRANSPORT"/>
    <s v="SA"/>
    <n v="44.4"/>
    <d v="2025-08-31T00:00:00"/>
    <s v="ABONNEMENT TRANSPORT"/>
    <m/>
    <e v="#N/A"/>
    <e v="#N/A"/>
    <n v="83966"/>
    <s v="SA202508"/>
    <m/>
    <s v="Q3"/>
    <e v="#REF!"/>
    <e v="#REF!"/>
    <e v="#REF!"/>
  </r>
  <r>
    <s v="641400"/>
    <x v="6"/>
    <s v="INDEMNITÉS TRANSPORT"/>
    <s v="SA"/>
    <n v="44.4"/>
    <d v="2025-09-30T00:00:00"/>
    <s v="ABONNEMENT TRANSPORT"/>
    <m/>
    <e v="#N/A"/>
    <e v="#N/A"/>
    <n v="84140"/>
    <s v="SA202509"/>
    <m/>
    <s v="Q3"/>
    <e v="#REF!"/>
    <e v="#REF!"/>
    <e v="#REF!"/>
  </r>
  <r>
    <s v="641400"/>
    <x v="6"/>
    <s v="INDEMNITÉS TRANSPORT"/>
    <s v="SA"/>
    <n v="44.4"/>
    <d v="2025-10-31T00:00:00"/>
    <s v="ABONNEMENT TRANSPORT"/>
    <m/>
    <e v="#N/A"/>
    <e v="#N/A"/>
    <n v="87806"/>
    <s v="SA202510"/>
    <m/>
    <s v="Q4"/>
    <e v="#REF!"/>
    <e v="#REF!"/>
    <e v="#REF!"/>
  </r>
  <r>
    <s v="641400"/>
    <x v="6"/>
    <s v="INDEMNITÉS TRANSPORT"/>
    <s v="SA"/>
    <n v="44.4"/>
    <d v="2025-11-30T00:00:00"/>
    <s v="REMBOURSEMENT TRANSPORT"/>
    <m/>
    <e v="#N/A"/>
    <e v="#N/A"/>
    <n v="92313"/>
    <s v="SA202511"/>
    <m/>
    <s v="Q4"/>
    <e v="#REF!"/>
    <e v="#REF!"/>
    <e v="#REF!"/>
  </r>
  <r>
    <s v="641400"/>
    <x v="6"/>
    <s v="INDEMNITÉS TRANSPORT"/>
    <s v="SA"/>
    <n v="68.599999999999994"/>
    <d v="2025-06-30T00:00:00"/>
    <s v="ABONNEMENT TRANSPORT"/>
    <m/>
    <e v="#N/A"/>
    <e v="#N/A"/>
    <n v="80023"/>
    <s v="SA202506"/>
    <m/>
    <s v="Q2"/>
    <e v="#REF!"/>
    <e v="#REF!"/>
    <e v="#REF!"/>
  </r>
  <r>
    <s v="641400"/>
    <x v="6"/>
    <s v="INDEMNITÉS TRANSPORT"/>
    <s v="SA"/>
    <n v="68.8"/>
    <d v="2025-09-30T00:00:00"/>
    <s v="ABONNEMENT TRANSPORT"/>
    <m/>
    <e v="#N/A"/>
    <e v="#N/A"/>
    <n v="84141"/>
    <s v="SA202509"/>
    <m/>
    <s v="Q3"/>
    <e v="#REF!"/>
    <e v="#REF!"/>
    <e v="#REF!"/>
  </r>
  <r>
    <s v="641400"/>
    <x v="6"/>
    <s v="INDEMNITÉS TRANSPORT"/>
    <s v="SA"/>
    <n v="69"/>
    <d v="2025-07-31T00:00:00"/>
    <s v="ABONNEMENT TRANSPORT"/>
    <m/>
    <e v="#N/A"/>
    <e v="#N/A"/>
    <n v="79850"/>
    <s v="SA202507"/>
    <m/>
    <s v="Q3"/>
    <e v="#REF!"/>
    <e v="#REF!"/>
    <e v="#REF!"/>
  </r>
  <r>
    <s v="641400"/>
    <x v="6"/>
    <s v="INDEMNITÉS TRANSPORT"/>
    <s v="SA"/>
    <n v="72.3"/>
    <d v="2025-06-30T00:00:00"/>
    <s v="ABONNEMENT TRANSPORT"/>
    <m/>
    <e v="#N/A"/>
    <e v="#N/A"/>
    <n v="80026"/>
    <s v="SA202506"/>
    <m/>
    <s v="Q2"/>
    <e v="#REF!"/>
    <e v="#REF!"/>
    <e v="#REF!"/>
  </r>
  <r>
    <s v="641400"/>
    <x v="6"/>
    <s v="INDEMNITÉS TRANSPORT"/>
    <s v="SA"/>
    <n v="72.3"/>
    <d v="2025-07-31T00:00:00"/>
    <s v="ABONNEMENT TRANSPORT"/>
    <m/>
    <e v="#N/A"/>
    <e v="#N/A"/>
    <n v="79853"/>
    <s v="SA202507"/>
    <m/>
    <s v="Q3"/>
    <e v="#REF!"/>
    <e v="#REF!"/>
    <e v="#REF!"/>
  </r>
  <r>
    <s v="641400"/>
    <x v="6"/>
    <s v="INDEMNITÉS TRANSPORT"/>
    <s v="SA"/>
    <n v="72.3"/>
    <d v="2025-08-31T00:00:00"/>
    <s v="ABONNEMENT TRANSPORT"/>
    <m/>
    <e v="#N/A"/>
    <e v="#N/A"/>
    <n v="83969"/>
    <s v="SA202508"/>
    <m/>
    <s v="Q3"/>
    <e v="#REF!"/>
    <e v="#REF!"/>
    <e v="#REF!"/>
  </r>
  <r>
    <s v="641400"/>
    <x v="6"/>
    <s v="INDEMNITÉS TRANSPORT"/>
    <s v="SA"/>
    <n v="72.3"/>
    <d v="2025-09-30T00:00:00"/>
    <s v="ABONNEMENT TRANSPORT"/>
    <m/>
    <e v="#N/A"/>
    <e v="#N/A"/>
    <n v="84143"/>
    <s v="SA202509"/>
    <m/>
    <s v="Q3"/>
    <e v="#REF!"/>
    <e v="#REF!"/>
    <e v="#REF!"/>
  </r>
  <r>
    <s v="641400"/>
    <x v="6"/>
    <s v="INDEMNITÉS TRANSPORT"/>
    <s v="SA"/>
    <n v="72.3"/>
    <d v="2025-10-31T00:00:00"/>
    <s v="ABONNEMENT TRANSPORT"/>
    <m/>
    <e v="#N/A"/>
    <e v="#N/A"/>
    <n v="87809"/>
    <s v="SA202510"/>
    <m/>
    <s v="Q4"/>
    <e v="#REF!"/>
    <e v="#REF!"/>
    <e v="#REF!"/>
  </r>
  <r>
    <s v="641400"/>
    <x v="6"/>
    <s v="INDEMNITÉS TRANSPORT"/>
    <s v="SA"/>
    <n v="72.3"/>
    <d v="2025-11-30T00:00:00"/>
    <s v="REMBOURSEMENT TRANSPORT"/>
    <m/>
    <e v="#N/A"/>
    <e v="#N/A"/>
    <n v="92316"/>
    <s v="SA202511"/>
    <m/>
    <s v="Q4"/>
    <e v="#REF!"/>
    <e v="#REF!"/>
    <e v="#REF!"/>
  </r>
  <r>
    <s v="641400"/>
    <x v="6"/>
    <s v="INDEMNITÉS TRANSPORT"/>
    <s v="SA"/>
    <n v="72.3"/>
    <d v="2025-12-31T00:00:00"/>
    <s v="RMBOURSEMENT TRANSPORT"/>
    <m/>
    <e v="#N/A"/>
    <e v="#N/A"/>
    <n v="92779"/>
    <s v="SA202512"/>
    <m/>
    <s v="Q4"/>
    <e v="#REF!"/>
    <e v="#REF!"/>
    <e v="#REF!"/>
  </r>
  <r>
    <s v="641400"/>
    <x v="6"/>
    <s v="INDEMNITÉS TRANSPORT"/>
    <s v="SA"/>
    <n v="75.77"/>
    <d v="2025-09-30T00:00:00"/>
    <s v="ABONNEMENT TRANSPORT"/>
    <m/>
    <e v="#N/A"/>
    <e v="#N/A"/>
    <n v="84142"/>
    <s v="SA202509"/>
    <m/>
    <s v="Q3"/>
    <e v="#REF!"/>
    <e v="#REF!"/>
    <e v="#REF!"/>
  </r>
  <r>
    <s v="641400"/>
    <x v="6"/>
    <s v="INDEMNITÉS TRANSPORT"/>
    <s v="SA"/>
    <n v="88.8"/>
    <d v="2025-01-31T00:00:00"/>
    <s v="FORFAIT ANNUEL NAVIGO TOUTES ZONES"/>
    <m/>
    <e v="#N/A"/>
    <e v="#N/A"/>
    <n v="85425"/>
    <s v="SA202501"/>
    <m/>
    <s v="Q1"/>
    <e v="#REF!"/>
    <e v="#REF!"/>
    <e v="#REF!"/>
  </r>
  <r>
    <s v="641400"/>
    <x v="6"/>
    <s v="INDEMNITÉS TRANSPORT"/>
    <s v="SA"/>
    <n v="88.8"/>
    <d v="2025-12-31T00:00:00"/>
    <s v="RMBOURSEMENT TRANSPORT"/>
    <m/>
    <e v="#N/A"/>
    <e v="#N/A"/>
    <n v="92776"/>
    <s v="SA202512"/>
    <m/>
    <s v="Q4"/>
    <e v="#REF!"/>
    <e v="#REF!"/>
    <e v="#REF!"/>
  </r>
  <r>
    <s v="641400"/>
    <x v="6"/>
    <s v="INDEMNITÉS TRANSPORT"/>
    <s v="SA"/>
    <n v="90.52"/>
    <d v="2025-10-31T00:00:00"/>
    <s v="ABONNEMENT TRANSPORT"/>
    <m/>
    <e v="#N/A"/>
    <e v="#N/A"/>
    <n v="87808"/>
    <s v="SA202510"/>
    <m/>
    <s v="Q4"/>
    <e v="#REF!"/>
    <e v="#REF!"/>
    <e v="#REF!"/>
  </r>
  <r>
    <s v="641400"/>
    <x v="6"/>
    <s v="INDEMNITÉS TRANSPORT"/>
    <s v="SA"/>
    <n v="116.7"/>
    <d v="2025-01-31T00:00:00"/>
    <s v="FORFAIT ANNUEL NAVIGO TOUTES ZONES"/>
    <m/>
    <e v="#N/A"/>
    <e v="#N/A"/>
    <n v="85428"/>
    <s v="SA202501"/>
    <m/>
    <s v="Q1"/>
    <e v="#REF!"/>
    <e v="#REF!"/>
    <e v="#REF!"/>
  </r>
  <r>
    <s v="641400"/>
    <x v="6"/>
    <s v="INDEMNITÉS TRANSPORT"/>
    <s v="SA"/>
    <n v="116.7"/>
    <d v="2025-02-28T00:00:00"/>
    <s v="FORFAIT ANNUEL NAVIGO TOUTES ZONES"/>
    <m/>
    <e v="#N/A"/>
    <e v="#N/A"/>
    <n v="85253"/>
    <s v="SA202502"/>
    <m/>
    <s v="Q1"/>
    <e v="#REF!"/>
    <e v="#REF!"/>
    <e v="#REF!"/>
  </r>
  <r>
    <s v="641400"/>
    <x v="6"/>
    <s v="INDEMNITÉS TRANSPORT"/>
    <s v="SA"/>
    <n v="116.7"/>
    <d v="2025-03-31T00:00:00"/>
    <s v="FORFAIT ANNUEL NAVIGO TOUTES ZONES"/>
    <m/>
    <e v="#N/A"/>
    <e v="#N/A"/>
    <n v="80535"/>
    <s v="SA202503"/>
    <m/>
    <s v="Q1"/>
    <e v="#REF!"/>
    <e v="#REF!"/>
    <e v="#REF!"/>
  </r>
  <r>
    <s v="641400"/>
    <x v="6"/>
    <s v="INDEMNITÉS TRANSPORT"/>
    <s v="SA"/>
    <n v="116.7"/>
    <d v="2025-04-30T00:00:00"/>
    <s v="FORFAIT ANNUEL NAVIGO TOUTES ZONES"/>
    <m/>
    <e v="#N/A"/>
    <e v="#N/A"/>
    <n v="80362"/>
    <s v="SA202504"/>
    <m/>
    <s v="Q2"/>
    <e v="#REF!"/>
    <e v="#REF!"/>
    <e v="#REF!"/>
  </r>
  <r>
    <s v="641400"/>
    <x v="6"/>
    <s v="INDEMNITÉS TRANSPORT"/>
    <s v="SA"/>
    <n v="116.7"/>
    <d v="2025-05-31T00:00:00"/>
    <s v="FORFAIT ANNUEL NAVIGO TOUTES ZONES"/>
    <m/>
    <e v="#N/A"/>
    <e v="#N/A"/>
    <n v="80194"/>
    <s v="SA202505"/>
    <m/>
    <s v="Q2"/>
    <e v="#REF!"/>
    <e v="#REF!"/>
    <e v="#REF!"/>
  </r>
  <r>
    <s v="641400"/>
    <x v="6"/>
    <s v="INDEMNITÉS TRANSPORT"/>
    <s v="SA"/>
    <n v="119.15"/>
    <d v="2025-08-31T00:00:00"/>
    <s v="ABONNEMENT TRANSPORT"/>
    <m/>
    <e v="#N/A"/>
    <e v="#N/A"/>
    <n v="83967"/>
    <s v="SA202508"/>
    <m/>
    <s v="Q3"/>
    <e v="#REF!"/>
    <e v="#REF!"/>
    <e v="#REF!"/>
  </r>
  <r>
    <s v="641400"/>
    <x v="6"/>
    <s v="INDEMNITÉS TRANSPORT"/>
    <s v="SA"/>
    <n v="124.2"/>
    <d v="2025-01-31T00:00:00"/>
    <s v="FORFAIT ANNUEL NAVIGO TOUTES ZONES"/>
    <m/>
    <e v="#N/A"/>
    <e v="#N/A"/>
    <n v="85426"/>
    <s v="SA202501"/>
    <m/>
    <s v="Q1"/>
    <e v="#REF!"/>
    <e v="#REF!"/>
    <e v="#REF!"/>
  </r>
  <r>
    <s v="641400"/>
    <x v="6"/>
    <s v="INDEMNITÉS TRANSPORT"/>
    <s v="SA"/>
    <n v="133.19999999999999"/>
    <d v="2025-03-31T00:00:00"/>
    <s v="FORFAIT ANNUEL NAVIGO TOUTES ZONES"/>
    <m/>
    <e v="#N/A"/>
    <e v="#N/A"/>
    <n v="80532"/>
    <s v="SA202503"/>
    <m/>
    <s v="Q1"/>
    <e v="#REF!"/>
    <e v="#REF!"/>
    <e v="#REF!"/>
  </r>
  <r>
    <s v="641400"/>
    <x v="6"/>
    <s v="INDEMNITÉS TRANSPORT"/>
    <s v="SA"/>
    <n v="133.19999999999999"/>
    <d v="2025-04-30T00:00:00"/>
    <s v="FORFAIT ANNUEL NAVIGO TOUTES ZONES"/>
    <m/>
    <e v="#N/A"/>
    <e v="#N/A"/>
    <n v="80359"/>
    <s v="SA202504"/>
    <m/>
    <s v="Q2"/>
    <e v="#REF!"/>
    <e v="#REF!"/>
    <e v="#REF!"/>
  </r>
  <r>
    <s v="641400"/>
    <x v="6"/>
    <s v="INDEMNITÉS TRANSPORT"/>
    <s v="SA"/>
    <n v="133.19999999999999"/>
    <d v="2025-05-31T00:00:00"/>
    <s v="FORFAIT ANNUEL NAVIGO TOUTES ZONES"/>
    <m/>
    <e v="#N/A"/>
    <e v="#N/A"/>
    <n v="80191"/>
    <s v="SA202505"/>
    <m/>
    <s v="Q2"/>
    <e v="#REF!"/>
    <e v="#REF!"/>
    <e v="#REF!"/>
  </r>
  <r>
    <s v="641400"/>
    <x v="6"/>
    <s v="INDEMNITÉS TRANSPORT"/>
    <s v="SA"/>
    <n v="133.19999999999999"/>
    <d v="2025-07-31T00:00:00"/>
    <s v="ABONNEMENT TRANSPORT"/>
    <m/>
    <e v="#N/A"/>
    <e v="#N/A"/>
    <n v="79849"/>
    <s v="SA202507"/>
    <m/>
    <s v="Q3"/>
    <e v="#REF!"/>
    <e v="#REF!"/>
    <e v="#REF!"/>
  </r>
  <r>
    <s v="641400"/>
    <x v="6"/>
    <s v="INDEMNITÉS TRANSPORT"/>
    <s v="SA"/>
    <n v="134.1"/>
    <d v="2025-12-31T00:00:00"/>
    <s v="RMBOURSEMENT TRANSPORT"/>
    <m/>
    <e v="#N/A"/>
    <e v="#N/A"/>
    <n v="92778"/>
    <s v="SA202512"/>
    <m/>
    <s v="Q4"/>
    <e v="#REF!"/>
    <e v="#REF!"/>
    <e v="#REF!"/>
  </r>
  <r>
    <s v="641400"/>
    <x v="6"/>
    <s v="INDEMNITÉS TRANSPORT"/>
    <s v="SA"/>
    <n v="157.66999999999999"/>
    <d v="2025-06-30T00:00:00"/>
    <s v="ABONNEMENT TRANSPORT"/>
    <m/>
    <e v="#N/A"/>
    <e v="#N/A"/>
    <n v="80024"/>
    <s v="SA202506"/>
    <m/>
    <s v="Q2"/>
    <e v="#REF!"/>
    <e v="#REF!"/>
    <e v="#REF!"/>
  </r>
  <r>
    <s v="641400"/>
    <x v="6"/>
    <s v="INDEMNITÉS TRANSPORT"/>
    <s v="SA"/>
    <n v="158.07"/>
    <d v="2025-08-31T00:00:00"/>
    <s v="ABONNEMENT TRANSPORT"/>
    <m/>
    <e v="#N/A"/>
    <e v="#N/A"/>
    <n v="83968"/>
    <s v="SA202508"/>
    <m/>
    <s v="Q3"/>
    <e v="#REF!"/>
    <e v="#REF!"/>
    <e v="#REF!"/>
  </r>
  <r>
    <s v="641400"/>
    <x v="6"/>
    <s v="INDEMNITÉS TRANSPORT"/>
    <s v="SA"/>
    <n v="159.44999999999999"/>
    <d v="2025-12-31T00:00:00"/>
    <s v="RMBOURSEMENT TRANSPORT"/>
    <m/>
    <e v="#N/A"/>
    <e v="#N/A"/>
    <n v="92777"/>
    <s v="SA202512"/>
    <m/>
    <s v="Q4"/>
    <e v="#REF!"/>
    <e v="#REF!"/>
    <e v="#REF!"/>
  </r>
  <r>
    <s v="641400"/>
    <x v="6"/>
    <s v="INDEMNITÉS TRANSPORT"/>
    <s v="SA"/>
    <n v="200.8"/>
    <d v="2025-11-30T00:00:00"/>
    <s v="REMBOURSEMENT TRANSPORT"/>
    <m/>
    <e v="#N/A"/>
    <e v="#N/A"/>
    <n v="92314"/>
    <s v="SA202511"/>
    <m/>
    <s v="Q4"/>
    <e v="#REF!"/>
    <e v="#REF!"/>
    <e v="#REF!"/>
  </r>
  <r>
    <s v="641400"/>
    <x v="6"/>
    <s v="INDEMNITÉS TRANSPORT"/>
    <s v="SA"/>
    <n v="207.65"/>
    <d v="2025-04-30T00:00:00"/>
    <s v="FORFAIT ANNUEL NAVIGO TOUTES ZONES"/>
    <m/>
    <e v="#N/A"/>
    <e v="#N/A"/>
    <n v="80360"/>
    <s v="SA202504"/>
    <m/>
    <s v="Q2"/>
    <e v="#REF!"/>
    <e v="#REF!"/>
    <e v="#REF!"/>
  </r>
  <r>
    <s v="641400"/>
    <x v="6"/>
    <s v="INDEMNITÉS TRANSPORT"/>
    <s v="SA"/>
    <n v="207.65"/>
    <d v="2025-05-31T00:00:00"/>
    <s v="FORFAIT ANNUEL NAVIGO TOUTES ZONES"/>
    <m/>
    <e v="#N/A"/>
    <e v="#N/A"/>
    <n v="80192"/>
    <s v="SA202505"/>
    <m/>
    <s v="Q2"/>
    <e v="#REF!"/>
    <e v="#REF!"/>
    <e v="#REF!"/>
  </r>
  <r>
    <s v="641400"/>
    <x v="6"/>
    <s v="INDEMNITÉS TRANSPORT"/>
    <s v="SA"/>
    <n v="291.77"/>
    <d v="2025-11-30T00:00:00"/>
    <s v="REMBOURSEMENT TRANSPORT"/>
    <m/>
    <e v="#N/A"/>
    <e v="#N/A"/>
    <n v="92315"/>
    <s v="SA202511"/>
    <m/>
    <s v="Q4"/>
    <e v="#REF!"/>
    <e v="#REF!"/>
    <e v="#REF!"/>
  </r>
  <r>
    <s v="641400"/>
    <x v="6"/>
    <s v="INDEMNITÉS TRANSPORT"/>
    <s v="SA"/>
    <n v="293.05"/>
    <d v="2025-02-28T00:00:00"/>
    <s v="FORFAIT ANNUEL NAVIGO TOUTES ZONES"/>
    <m/>
    <e v="#N/A"/>
    <e v="#N/A"/>
    <n v="85251"/>
    <s v="SA202502"/>
    <m/>
    <s v="Q1"/>
    <e v="#REF!"/>
    <e v="#REF!"/>
    <e v="#REF!"/>
  </r>
  <r>
    <s v="641400"/>
    <x v="6"/>
    <s v="INDEMNITÉS TRANSPORT"/>
    <s v="SA"/>
    <n v="314.52"/>
    <d v="2025-03-31T00:00:00"/>
    <s v="FORFAIT ANNUEL NAVIGO TOUTES ZONES"/>
    <m/>
    <e v="#N/A"/>
    <e v="#N/A"/>
    <n v="80534"/>
    <s v="SA202503"/>
    <m/>
    <s v="Q1"/>
    <e v="#REF!"/>
    <e v="#REF!"/>
    <e v="#REF!"/>
  </r>
  <r>
    <s v="641400"/>
    <x v="6"/>
    <s v="INDEMNITÉS TRANSPORT"/>
    <s v="SA"/>
    <n v="338.17"/>
    <d v="2025-04-30T00:00:00"/>
    <s v="FORFAIT ANNUEL NAVIGO TOUTES ZONES"/>
    <m/>
    <e v="#N/A"/>
    <e v="#N/A"/>
    <n v="80361"/>
    <s v="SA202504"/>
    <m/>
    <s v="Q2"/>
    <e v="#REF!"/>
    <e v="#REF!"/>
    <e v="#REF!"/>
  </r>
  <r>
    <s v="641400"/>
    <x v="6"/>
    <s v="INDEMNITÉS TRANSPORT"/>
    <s v="SA"/>
    <n v="350.4"/>
    <d v="2025-02-28T00:00:00"/>
    <s v="FORFAIT ANNUEL NAVIGO TOUTES ZONES"/>
    <m/>
    <e v="#N/A"/>
    <e v="#N/A"/>
    <n v="85249"/>
    <s v="SA202502"/>
    <m/>
    <s v="Q1"/>
    <e v="#REF!"/>
    <e v="#REF!"/>
    <e v="#REF!"/>
  </r>
  <r>
    <s v="641400"/>
    <x v="6"/>
    <s v="INDEMNITÉS TRANSPORT"/>
    <s v="SA"/>
    <n v="353.97"/>
    <d v="2025-05-31T00:00:00"/>
    <s v="FORFAIT ANNUEL NAVIGO TOUTES ZONES"/>
    <m/>
    <e v="#N/A"/>
    <e v="#N/A"/>
    <n v="80193"/>
    <s v="SA202505"/>
    <m/>
    <s v="Q2"/>
    <e v="#REF!"/>
    <e v="#REF!"/>
    <e v="#REF!"/>
  </r>
  <r>
    <s v="641400"/>
    <x v="6"/>
    <s v="INDEMNITÉS TRANSPORT"/>
    <s v="SA"/>
    <n v="426.97"/>
    <d v="2025-01-31T00:00:00"/>
    <s v="FORFAIT ANNUEL NAVIGO TOUTES ZONES"/>
    <m/>
    <e v="#N/A"/>
    <e v="#N/A"/>
    <n v="85427"/>
    <s v="SA202501"/>
    <m/>
    <s v="Q1"/>
    <e v="#REF!"/>
    <e v="#REF!"/>
    <e v="#REF!"/>
  </r>
  <r>
    <s v="641400"/>
    <x v="6"/>
    <s v="INDEMNITÉS TRANSPORT"/>
    <s v="SA"/>
    <n v="426.97"/>
    <d v="2025-02-28T00:00:00"/>
    <s v="FORFAIT ANNUEL NAVIGO TOUTES ZONES"/>
    <m/>
    <e v="#N/A"/>
    <e v="#N/A"/>
    <n v="85252"/>
    <s v="SA202502"/>
    <m/>
    <s v="Q1"/>
    <e v="#REF!"/>
    <e v="#REF!"/>
    <e v="#REF!"/>
  </r>
  <r>
    <s v="641400"/>
    <x v="6"/>
    <s v="INDEMNITÉS TRANSPORT"/>
    <s v="SA"/>
    <n v="456.35"/>
    <d v="2025-03-31T00:00:00"/>
    <s v="FORFAIT ANNUEL NAVIGO TOUTES ZONES"/>
    <m/>
    <e v="#N/A"/>
    <e v="#N/A"/>
    <n v="80533"/>
    <s v="SA202503"/>
    <m/>
    <s v="Q1"/>
    <e v="#REF!"/>
    <e v="#REF!"/>
    <e v="#REF!"/>
  </r>
  <r>
    <s v="641400"/>
    <x v="6"/>
    <s v="INDEMNITÉS TRANSPORT"/>
    <s v="SA"/>
    <n v="652.29999999999995"/>
    <d v="2025-10-31T00:00:00"/>
    <s v="ABONNEMENT TRANSPORT"/>
    <m/>
    <e v="#N/A"/>
    <e v="#N/A"/>
    <n v="87807"/>
    <s v="SA202510"/>
    <m/>
    <s v="Q4"/>
    <e v="#REF!"/>
    <e v="#REF!"/>
    <e v="#REF!"/>
  </r>
  <r>
    <s v="641400"/>
    <x v="6"/>
    <s v="INDEMNITÉS TRANSPORT"/>
    <s v="SA"/>
    <n v="1021.07"/>
    <d v="2025-07-31T00:00:00"/>
    <s v="ABONNEMENT TRANSPORT"/>
    <m/>
    <e v="#N/A"/>
    <e v="#N/A"/>
    <n v="79851"/>
    <s v="SA202507"/>
    <m/>
    <s v="Q3"/>
    <e v="#REF!"/>
    <e v="#REF!"/>
    <e v="#REF!"/>
  </r>
  <r>
    <s v="641400"/>
    <x v="6"/>
    <s v="INDEMNITÉS TRANSPORT"/>
    <s v="SA"/>
    <n v="16200"/>
    <d v="2025-02-28T00:00:00"/>
    <s v="INDEMNITÉ DE RUPTURE CONVENTIONNELLE (CSG)"/>
    <m/>
    <e v="#N/A"/>
    <e v="#N/A"/>
    <n v="85250"/>
    <s v="SA202502"/>
    <m/>
    <s v="Q1"/>
    <e v="#REF!"/>
    <e v="#REF!"/>
    <e v="#REF!"/>
  </r>
  <r>
    <s v="641500"/>
    <x v="6"/>
    <s v="INDEMNITÉS DIVERSES"/>
    <s v="SA"/>
    <n v="1328.12"/>
    <d v="2025-07-31T00:00:00"/>
    <s v="INDEMNITÉ DE LICENCIEMENT EXONÉRÉE"/>
    <m/>
    <e v="#N/A"/>
    <e v="#N/A"/>
    <n v="79854"/>
    <s v="SA202507"/>
    <m/>
    <s v="Q3"/>
    <e v="#REF!"/>
    <e v="#REF!"/>
    <e v="#REF!"/>
  </r>
  <r>
    <s v="645100"/>
    <x v="6"/>
    <s v="URSSAF"/>
    <s v="OD"/>
    <n v="0"/>
    <d v="2025-12-15T00:00:00"/>
    <s v="Echéancier Urssaf - Nov2025 - TO - Majoration"/>
    <m/>
    <e v="#N/A"/>
    <e v="#N/A"/>
    <n v="95628"/>
    <m/>
    <m/>
    <s v="Q4"/>
    <e v="#REF!"/>
    <e v="#REF!"/>
    <e v="#REF!"/>
  </r>
  <r>
    <s v="645100"/>
    <x v="6"/>
    <s v="URSSAF"/>
    <s v="OD"/>
    <n v="642"/>
    <d v="2025-12-15T00:00:00"/>
    <s v="Echéancier Urssaf - Nov2025 - RO "/>
    <m/>
    <e v="#N/A"/>
    <e v="#N/A"/>
    <n v="95637"/>
    <m/>
    <m/>
    <s v="Q4"/>
    <e v="#REF!"/>
    <e v="#REF!"/>
    <e v="#REF!"/>
  </r>
  <r>
    <s v="645100"/>
    <x v="6"/>
    <s v="URSSAF"/>
    <s v="OD"/>
    <n v="1050"/>
    <d v="2025-12-15T00:00:00"/>
    <s v="Echéancier Urssaf - Nov2025 - KB - Majoration"/>
    <m/>
    <e v="#N/A"/>
    <e v="#N/A"/>
    <n v="95647"/>
    <m/>
    <m/>
    <s v="Q4"/>
    <e v="#REF!"/>
    <e v="#REF!"/>
    <e v="#REF!"/>
  </r>
  <r>
    <s v="645100"/>
    <x v="6"/>
    <s v="URSSAF"/>
    <s v="OD"/>
    <n v="1414"/>
    <d v="2025-12-15T00:00:00"/>
    <s v="Echéancier Urssaf - Nov2025 - TO - Majoration"/>
    <m/>
    <e v="#N/A"/>
    <e v="#N/A"/>
    <n v="95627"/>
    <m/>
    <m/>
    <s v="Q4"/>
    <e v="#REF!"/>
    <e v="#REF!"/>
    <e v="#REF!"/>
  </r>
  <r>
    <s v="645100"/>
    <x v="6"/>
    <s v="URSSAF"/>
    <s v="SA"/>
    <n v="-987.32"/>
    <d v="2025-01-31T00:00:00"/>
    <s v="RÉDUCTION GÉNÉRALE DES COTISATIONS PATRONALES"/>
    <m/>
    <e v="#N/A"/>
    <e v="#N/A"/>
    <n v="85464"/>
    <s v="SA202501"/>
    <m/>
    <s v="Q1"/>
    <e v="#REF!"/>
    <e v="#REF!"/>
    <e v="#REF!"/>
  </r>
  <r>
    <s v="645100"/>
    <x v="6"/>
    <s v="URSSAF"/>
    <s v="SA"/>
    <n v="-765.27"/>
    <d v="2025-12-31T00:00:00"/>
    <s v="RÉDUCTION GÉNÉRALE DES COTISATIONS PATRONALES"/>
    <m/>
    <e v="#N/A"/>
    <e v="#N/A"/>
    <n v="92815"/>
    <s v="SA202512"/>
    <m/>
    <s v="Q4"/>
    <e v="#REF!"/>
    <e v="#REF!"/>
    <e v="#REF!"/>
  </r>
  <r>
    <s v="645100"/>
    <x v="6"/>
    <s v="URSSAF"/>
    <s v="SA"/>
    <n v="-765.26"/>
    <d v="2025-11-30T00:00:00"/>
    <s v="RÉDUCTION GÉNÉRALE DES COTISATIONS PATRONALES"/>
    <m/>
    <e v="#N/A"/>
    <e v="#N/A"/>
    <n v="92352"/>
    <s v="SA202511"/>
    <m/>
    <s v="Q4"/>
    <e v="#REF!"/>
    <e v="#REF!"/>
    <e v="#REF!"/>
  </r>
  <r>
    <s v="645100"/>
    <x v="6"/>
    <s v="URSSAF"/>
    <s v="SA"/>
    <n v="-765.25"/>
    <d v="2025-09-30T00:00:00"/>
    <s v="RÉDUCTION GÉNÉRALE DES COTISATIONS PATRONALES"/>
    <m/>
    <e v="#N/A"/>
    <e v="#N/A"/>
    <n v="84179"/>
    <s v="SA202509"/>
    <m/>
    <s v="Q3"/>
    <e v="#REF!"/>
    <e v="#REF!"/>
    <e v="#REF!"/>
  </r>
  <r>
    <s v="645100"/>
    <x v="6"/>
    <s v="URSSAF"/>
    <s v="SA"/>
    <n v="-765.25"/>
    <d v="2025-10-31T00:00:00"/>
    <s v="RÉDUCTION GÉNÉRALE DES COTISATIONS PATRONALES"/>
    <m/>
    <e v="#N/A"/>
    <e v="#N/A"/>
    <n v="87845"/>
    <s v="SA202510"/>
    <m/>
    <s v="Q4"/>
    <e v="#REF!"/>
    <e v="#REF!"/>
    <e v="#REF!"/>
  </r>
  <r>
    <s v="645100"/>
    <x v="6"/>
    <s v="URSSAF"/>
    <s v="SA"/>
    <n v="-752.87"/>
    <d v="2025-03-31T00:00:00"/>
    <s v="ALLOCATIONS FAMILIALES (COMPLÉMENT)"/>
    <m/>
    <e v="#N/A"/>
    <e v="#N/A"/>
    <n v="80564"/>
    <s v="SA202503"/>
    <m/>
    <s v="Q1"/>
    <e v="#REF!"/>
    <e v="#REF!"/>
    <e v="#REF!"/>
  </r>
  <r>
    <s v="645100"/>
    <x v="6"/>
    <s v="URSSAF"/>
    <s v="SA"/>
    <n v="-641.95000000000005"/>
    <d v="2025-08-31T00:00:00"/>
    <s v="ALLOCATIONS FAMILIALES (COMPLÉMENT)"/>
    <m/>
    <e v="#N/A"/>
    <e v="#N/A"/>
    <n v="83998"/>
    <s v="SA202508"/>
    <m/>
    <s v="Q3"/>
    <e v="#REF!"/>
    <e v="#REF!"/>
    <e v="#REF!"/>
  </r>
  <r>
    <s v="645100"/>
    <x v="6"/>
    <s v="URSSAF"/>
    <s v="SA"/>
    <n v="-607.97"/>
    <d v="2025-06-30T00:00:00"/>
    <s v="RÉDUCTION GÉNÉRALE DES COTISATIONS PATRONALES"/>
    <m/>
    <e v="#N/A"/>
    <e v="#N/A"/>
    <n v="80062"/>
    <s v="SA202506"/>
    <m/>
    <s v="Q2"/>
    <e v="#REF!"/>
    <e v="#REF!"/>
    <e v="#REF!"/>
  </r>
  <r>
    <s v="645100"/>
    <x v="6"/>
    <s v="URSSAF"/>
    <s v="SA"/>
    <n v="-598.58000000000004"/>
    <d v="2025-05-31T00:00:00"/>
    <s v="RÉDUCTION GÉNÉRALE DES COTISATIONS PATRONALES"/>
    <m/>
    <e v="#N/A"/>
    <e v="#N/A"/>
    <n v="80230"/>
    <s v="SA202505"/>
    <m/>
    <s v="Q2"/>
    <e v="#REF!"/>
    <e v="#REF!"/>
    <e v="#REF!"/>
  </r>
  <r>
    <s v="645100"/>
    <x v="6"/>
    <s v="URSSAF"/>
    <s v="SA"/>
    <n v="-571.08000000000004"/>
    <d v="2025-01-31T00:00:00"/>
    <s v="RÉDUCTION GÉNÉRALE DES COTISATIONS PATRONALES"/>
    <m/>
    <e v="#N/A"/>
    <e v="#N/A"/>
    <n v="85451"/>
    <s v="SA202501"/>
    <m/>
    <s v="Q1"/>
    <e v="#REF!"/>
    <e v="#REF!"/>
    <e v="#REF!"/>
  </r>
  <r>
    <s v="645100"/>
    <x v="6"/>
    <s v="URSSAF"/>
    <s v="SA"/>
    <n v="-545.69000000000005"/>
    <d v="2025-08-31T00:00:00"/>
    <s v="RÉDUCTION GÉNÉRALE DES COTISATIONS PATRONALES"/>
    <m/>
    <e v="#N/A"/>
    <e v="#N/A"/>
    <n v="84005"/>
    <s v="SA202508"/>
    <m/>
    <s v="Q3"/>
    <e v="#REF!"/>
    <e v="#REF!"/>
    <e v="#REF!"/>
  </r>
  <r>
    <s v="645100"/>
    <x v="6"/>
    <s v="URSSAF"/>
    <s v="SA"/>
    <n v="-513.94000000000005"/>
    <d v="2025-03-31T00:00:00"/>
    <s v="RÉDUCTION GÉNÉRALE DES COTISATIONS PATRONALES"/>
    <m/>
    <e v="#N/A"/>
    <e v="#N/A"/>
    <n v="80571"/>
    <s v="SA202503"/>
    <m/>
    <s v="Q1"/>
    <e v="#REF!"/>
    <e v="#REF!"/>
    <e v="#REF!"/>
  </r>
  <r>
    <s v="645100"/>
    <x v="6"/>
    <s v="URSSAF"/>
    <s v="SA"/>
    <n v="-513.92999999999995"/>
    <d v="2025-04-30T00:00:00"/>
    <s v="RÉDUCTION GÉNÉRALE DES COTISATIONS PATRONALES"/>
    <m/>
    <e v="#N/A"/>
    <e v="#N/A"/>
    <n v="80400"/>
    <s v="SA202504"/>
    <m/>
    <s v="Q2"/>
    <e v="#REF!"/>
    <e v="#REF!"/>
    <e v="#REF!"/>
  </r>
  <r>
    <s v="645100"/>
    <x v="6"/>
    <s v="URSSAF"/>
    <s v="SA"/>
    <n v="-433.29"/>
    <d v="2025-04-30T00:00:00"/>
    <s v="ALLOCATIONS FAMILIALES (COMPLÉMENT)"/>
    <m/>
    <e v="#N/A"/>
    <e v="#N/A"/>
    <n v="80392"/>
    <s v="SA202504"/>
    <m/>
    <s v="Q2"/>
    <e v="#REF!"/>
    <e v="#REF!"/>
    <e v="#REF!"/>
  </r>
  <r>
    <s v="645100"/>
    <x v="6"/>
    <s v="URSSAF"/>
    <s v="SA"/>
    <n v="-362.31"/>
    <d v="2025-07-31T00:00:00"/>
    <s v="RÉDUCTION GÉNÉRALE DES COTISATIONS PATRONALES"/>
    <m/>
    <e v="#N/A"/>
    <e v="#N/A"/>
    <n v="79890"/>
    <s v="SA202507"/>
    <m/>
    <s v="Q3"/>
    <e v="#REF!"/>
    <e v="#REF!"/>
    <e v="#REF!"/>
  </r>
  <r>
    <s v="645100"/>
    <x v="6"/>
    <s v="URSSAF"/>
    <s v="SA"/>
    <n v="-322.49"/>
    <d v="2025-05-31T00:00:00"/>
    <s v="RÉDUCTION GÉNÉRALE DES COTISATIONS PATRONALES"/>
    <m/>
    <e v="#N/A"/>
    <e v="#N/A"/>
    <n v="80217"/>
    <s v="SA202505"/>
    <m/>
    <s v="Q2"/>
    <e v="#REF!"/>
    <e v="#REF!"/>
    <e v="#REF!"/>
  </r>
  <r>
    <s v="645100"/>
    <x v="6"/>
    <s v="URSSAF"/>
    <s v="SA"/>
    <n v="-321.14999999999998"/>
    <d v="2025-06-30T00:00:00"/>
    <s v="RÉDUCTION GÉNÉRALE DES COTISATIONS PATRONALES"/>
    <m/>
    <e v="#N/A"/>
    <e v="#N/A"/>
    <n v="80049"/>
    <s v="SA202506"/>
    <m/>
    <s v="Q2"/>
    <e v="#REF!"/>
    <e v="#REF!"/>
    <e v="#REF!"/>
  </r>
  <r>
    <s v="645100"/>
    <x v="6"/>
    <s v="URSSAF"/>
    <s v="SA"/>
    <n v="-312.92"/>
    <d v="2025-10-31T00:00:00"/>
    <s v="RÉDUCTION GÉNÉRALE DES COTISATIONS PATRONALES"/>
    <m/>
    <e v="#N/A"/>
    <e v="#N/A"/>
    <n v="87832"/>
    <s v="SA202510"/>
    <m/>
    <s v="Q4"/>
    <e v="#REF!"/>
    <e v="#REF!"/>
    <e v="#REF!"/>
  </r>
  <r>
    <s v="645100"/>
    <x v="6"/>
    <s v="URSSAF"/>
    <s v="SA"/>
    <n v="-312.92"/>
    <d v="2025-11-30T00:00:00"/>
    <s v="RÉDUCTION GÉNÉRALE DES COTISATIONS PATRONALES"/>
    <m/>
    <e v="#N/A"/>
    <e v="#N/A"/>
    <n v="92339"/>
    <s v="SA202511"/>
    <m/>
    <s v="Q4"/>
    <e v="#REF!"/>
    <e v="#REF!"/>
    <e v="#REF!"/>
  </r>
  <r>
    <s v="645100"/>
    <x v="6"/>
    <s v="URSSAF"/>
    <s v="SA"/>
    <n v="-312.91000000000003"/>
    <d v="2025-12-31T00:00:00"/>
    <s v="RÉDUCTION GÉNÉRALE DES COTISATIONS PATRONALES"/>
    <m/>
    <e v="#N/A"/>
    <e v="#N/A"/>
    <n v="92802"/>
    <s v="SA202512"/>
    <m/>
    <s v="Q4"/>
    <e v="#REF!"/>
    <e v="#REF!"/>
    <e v="#REF!"/>
  </r>
  <r>
    <s v="645100"/>
    <x v="6"/>
    <s v="URSSAF"/>
    <s v="SA"/>
    <n v="-272.76"/>
    <d v="2025-07-31T00:00:00"/>
    <s v="RÉDUCTION GÉNÉRALE DES COTISATIONS PATRONALES"/>
    <m/>
    <e v="#N/A"/>
    <e v="#N/A"/>
    <n v="79877"/>
    <s v="SA202507"/>
    <m/>
    <s v="Q3"/>
    <e v="#REF!"/>
    <e v="#REF!"/>
    <e v="#REF!"/>
  </r>
  <r>
    <s v="645100"/>
    <x v="6"/>
    <s v="URSSAF"/>
    <s v="SA"/>
    <n v="-248.62"/>
    <d v="2025-09-30T00:00:00"/>
    <s v="RÉDUCTION GÉNÉRALE DES COTISATIONS PATRONALES"/>
    <m/>
    <e v="#N/A"/>
    <e v="#N/A"/>
    <n v="84166"/>
    <s v="SA202509"/>
    <m/>
    <s v="Q3"/>
    <e v="#REF!"/>
    <e v="#REF!"/>
    <e v="#REF!"/>
  </r>
  <r>
    <s v="645100"/>
    <x v="6"/>
    <s v="URSSAF"/>
    <s v="SA"/>
    <n v="-233.61"/>
    <d v="2025-03-31T00:00:00"/>
    <s v="RÉDUCTION GÉNÉRALE DES COTISATIONS PATRONALES"/>
    <m/>
    <e v="#N/A"/>
    <e v="#N/A"/>
    <n v="80558"/>
    <s v="SA202503"/>
    <m/>
    <s v="Q1"/>
    <e v="#REF!"/>
    <e v="#REF!"/>
    <e v="#REF!"/>
  </r>
  <r>
    <s v="645100"/>
    <x v="6"/>
    <s v="URSSAF"/>
    <s v="SA"/>
    <n v="-196.23"/>
    <d v="2025-04-30T00:00:00"/>
    <s v="RÉDUCTION GÉNÉRALE DES COTISATIONS PATRONALES"/>
    <m/>
    <e v="#N/A"/>
    <e v="#N/A"/>
    <n v="80386"/>
    <s v="SA202504"/>
    <m/>
    <s v="Q2"/>
    <e v="#REF!"/>
    <e v="#REF!"/>
    <e v="#REF!"/>
  </r>
  <r>
    <s v="645100"/>
    <x v="6"/>
    <s v="URSSAF"/>
    <s v="SA"/>
    <n v="-124.95"/>
    <d v="2025-08-31T00:00:00"/>
    <s v="RÉDUCTION GÉNÉRALE DES COTISATIONS PATRONALES"/>
    <m/>
    <e v="#N/A"/>
    <e v="#N/A"/>
    <n v="83992"/>
    <s v="SA202508"/>
    <m/>
    <s v="Q3"/>
    <e v="#REF!"/>
    <e v="#REF!"/>
    <e v="#REF!"/>
  </r>
  <r>
    <s v="645100"/>
    <x v="6"/>
    <s v="URSSAF"/>
    <s v="SA"/>
    <n v="-68.25"/>
    <d v="2025-04-30T00:00:00"/>
    <s v="DÉDUCTION FORFAITAIRE/HEURES SUPPLÉMENTAIRES"/>
    <m/>
    <e v="#N/A"/>
    <e v="#N/A"/>
    <n v="80396"/>
    <s v="SA202504"/>
    <m/>
    <s v="Q2"/>
    <e v="#REF!"/>
    <e v="#REF!"/>
    <e v="#REF!"/>
  </r>
  <r>
    <s v="645100"/>
    <x v="6"/>
    <s v="URSSAF"/>
    <s v="SA"/>
    <n v="-57.75"/>
    <d v="2025-04-30T00:00:00"/>
    <s v="DÉDUCTION FORFAITAIRE/HEURES SUPPLÉMENTAIRES"/>
    <m/>
    <e v="#N/A"/>
    <e v="#N/A"/>
    <n v="80382"/>
    <s v="SA202504"/>
    <m/>
    <s v="Q2"/>
    <e v="#REF!"/>
    <e v="#REF!"/>
    <e v="#REF!"/>
  </r>
  <r>
    <s v="645100"/>
    <x v="6"/>
    <s v="URSSAF"/>
    <s v="SA"/>
    <n v="-22.56"/>
    <d v="2025-02-28T00:00:00"/>
    <s v="RÉDUCTION GÉNÉRALE DES COTISATIONS PATRONALES"/>
    <m/>
    <e v="#N/A"/>
    <e v="#N/A"/>
    <n v="85277"/>
    <s v="SA202502"/>
    <m/>
    <s v="Q1"/>
    <e v="#REF!"/>
    <e v="#REF!"/>
    <e v="#REF!"/>
  </r>
  <r>
    <s v="645100"/>
    <x v="6"/>
    <s v="URSSAF"/>
    <s v="SA"/>
    <n v="-16.739999999999998"/>
    <d v="2025-03-31T00:00:00"/>
    <s v="MALADIE (COMPLÉMENT)"/>
    <m/>
    <e v="#N/A"/>
    <e v="#N/A"/>
    <n v="80582"/>
    <s v="SA202503"/>
    <m/>
    <s v="Q1"/>
    <e v="#REF!"/>
    <e v="#REF!"/>
    <e v="#REF!"/>
  </r>
  <r>
    <s v="645100"/>
    <x v="6"/>
    <s v="URSSAF"/>
    <s v="SA"/>
    <n v="-4.9800000000000004"/>
    <d v="2025-02-28T00:00:00"/>
    <s v="RÉDUCTION GÉNÉRALE DES COTISATIONS PATRONALES"/>
    <m/>
    <e v="#N/A"/>
    <e v="#N/A"/>
    <n v="85290"/>
    <s v="SA202502"/>
    <m/>
    <s v="Q1"/>
    <e v="#REF!"/>
    <e v="#REF!"/>
    <e v="#REF!"/>
  </r>
  <r>
    <s v="645100"/>
    <x v="6"/>
    <s v="URSSAF"/>
    <s v="SA"/>
    <n v="1.99"/>
    <d v="2025-01-31T00:00:00"/>
    <s v="CONTRIBUTION AU DIALOGUE SOCIAL"/>
    <m/>
    <e v="#N/A"/>
    <e v="#N/A"/>
    <n v="85473"/>
    <s v="SA202501"/>
    <m/>
    <s v="Q1"/>
    <e v="#REF!"/>
    <e v="#REF!"/>
    <e v="#REF!"/>
  </r>
  <r>
    <s v="645100"/>
    <x v="6"/>
    <s v="URSSAF"/>
    <s v="SA"/>
    <n v="2.0299999999999998"/>
    <d v="2025-03-31T00:00:00"/>
    <s v="CONTRIBUTION AU DIALOGUE SOCIAL"/>
    <m/>
    <e v="#N/A"/>
    <e v="#N/A"/>
    <n v="80580"/>
    <s v="SA202503"/>
    <m/>
    <s v="Q1"/>
    <e v="#REF!"/>
    <e v="#REF!"/>
    <e v="#REF!"/>
  </r>
  <r>
    <s v="645100"/>
    <x v="6"/>
    <s v="URSSAF"/>
    <s v="SA"/>
    <n v="2.0299999999999998"/>
    <d v="2025-04-30T00:00:00"/>
    <s v="CONTRIBUTION AU DIALOGUE SOCIAL"/>
    <m/>
    <e v="#N/A"/>
    <e v="#N/A"/>
    <n v="80409"/>
    <s v="SA202504"/>
    <m/>
    <s v="Q2"/>
    <e v="#REF!"/>
    <e v="#REF!"/>
    <e v="#REF!"/>
  </r>
  <r>
    <s v="645100"/>
    <x v="6"/>
    <s v="URSSAF"/>
    <s v="SA"/>
    <n v="2.0299999999999998"/>
    <d v="2025-05-31T00:00:00"/>
    <s v="CONTRIBUTION AU DIALOGUE SOCIAL"/>
    <m/>
    <e v="#N/A"/>
    <e v="#N/A"/>
    <n v="80239"/>
    <s v="SA202505"/>
    <m/>
    <s v="Q2"/>
    <e v="#REF!"/>
    <e v="#REF!"/>
    <e v="#REF!"/>
  </r>
  <r>
    <s v="645100"/>
    <x v="6"/>
    <s v="URSSAF"/>
    <s v="SA"/>
    <n v="2.0299999999999998"/>
    <d v="2025-06-30T00:00:00"/>
    <s v="CONTRIBUTION AU DIALOGUE SOCIAL"/>
    <m/>
    <e v="#N/A"/>
    <e v="#N/A"/>
    <n v="80071"/>
    <s v="SA202506"/>
    <m/>
    <s v="Q2"/>
    <e v="#REF!"/>
    <e v="#REF!"/>
    <e v="#REF!"/>
  </r>
  <r>
    <s v="645100"/>
    <x v="6"/>
    <s v="URSSAF"/>
    <s v="SA"/>
    <n v="2.0299999999999998"/>
    <d v="2025-07-31T00:00:00"/>
    <s v="CONTRIBUTION AU DIALOGUE SOCIAL"/>
    <m/>
    <e v="#N/A"/>
    <e v="#N/A"/>
    <n v="79899"/>
    <s v="SA202507"/>
    <m/>
    <s v="Q3"/>
    <e v="#REF!"/>
    <e v="#REF!"/>
    <e v="#REF!"/>
  </r>
  <r>
    <s v="645100"/>
    <x v="6"/>
    <s v="URSSAF"/>
    <s v="SA"/>
    <n v="2.0299999999999998"/>
    <d v="2025-08-31T00:00:00"/>
    <s v="CONTRIBUTION AU DIALOGUE SOCIAL"/>
    <m/>
    <e v="#N/A"/>
    <e v="#N/A"/>
    <n v="84014"/>
    <s v="SA202508"/>
    <m/>
    <s v="Q3"/>
    <e v="#REF!"/>
    <e v="#REF!"/>
    <e v="#REF!"/>
  </r>
  <r>
    <s v="645100"/>
    <x v="6"/>
    <s v="URSSAF"/>
    <s v="SA"/>
    <n v="2.0299999999999998"/>
    <d v="2025-09-30T00:00:00"/>
    <s v="CONTRIBUTION AU DIALOGUE SOCIAL"/>
    <m/>
    <e v="#N/A"/>
    <e v="#N/A"/>
    <n v="84188"/>
    <s v="SA202509"/>
    <m/>
    <s v="Q3"/>
    <e v="#REF!"/>
    <e v="#REF!"/>
    <e v="#REF!"/>
  </r>
  <r>
    <s v="645100"/>
    <x v="6"/>
    <s v="URSSAF"/>
    <s v="SA"/>
    <n v="2.0299999999999998"/>
    <d v="2025-11-30T00:00:00"/>
    <s v="CONTRIBUTION AU DIALOGUE SOCIAL"/>
    <m/>
    <e v="#N/A"/>
    <e v="#N/A"/>
    <n v="92361"/>
    <s v="SA202511"/>
    <m/>
    <s v="Q4"/>
    <e v="#REF!"/>
    <e v="#REF!"/>
    <e v="#REF!"/>
  </r>
  <r>
    <s v="645100"/>
    <x v="6"/>
    <s v="URSSAF"/>
    <s v="SA"/>
    <n v="2.0299999999999998"/>
    <d v="2025-12-31T00:00:00"/>
    <s v="CONTRIBUTION AU DIALOGUE SOCIAL"/>
    <m/>
    <e v="#N/A"/>
    <e v="#N/A"/>
    <n v="92824"/>
    <s v="SA202512"/>
    <m/>
    <s v="Q4"/>
    <e v="#REF!"/>
    <e v="#REF!"/>
    <e v="#REF!"/>
  </r>
  <r>
    <s v="645100"/>
    <x v="6"/>
    <s v="URSSAF"/>
    <s v="SA"/>
    <n v="2.31"/>
    <d v="2025-10-31T00:00:00"/>
    <s v="CONTRIBUTION AU DIALOGUE SOCIAL"/>
    <m/>
    <e v="#N/A"/>
    <e v="#N/A"/>
    <n v="87854"/>
    <s v="SA202510"/>
    <m/>
    <s v="Q4"/>
    <e v="#REF!"/>
    <e v="#REF!"/>
    <e v="#REF!"/>
  </r>
  <r>
    <s v="645100"/>
    <x v="6"/>
    <s v="URSSAF"/>
    <s v="SA"/>
    <n v="3.06"/>
    <d v="2025-03-31T00:00:00"/>
    <s v="CONTRIBUTION AU DIALOGUE SOCIAL"/>
    <m/>
    <e v="#N/A"/>
    <e v="#N/A"/>
    <n v="80542"/>
    <s v="SA202503"/>
    <m/>
    <s v="Q1"/>
    <e v="#REF!"/>
    <e v="#REF!"/>
    <e v="#REF!"/>
  </r>
  <r>
    <s v="645100"/>
    <x v="6"/>
    <s v="URSSAF"/>
    <s v="SA"/>
    <n v="3.06"/>
    <d v="2025-04-30T00:00:00"/>
    <s v="CONTRIBUTION AU DIALOGUE SOCIAL"/>
    <m/>
    <e v="#N/A"/>
    <e v="#N/A"/>
    <n v="80369"/>
    <s v="SA202504"/>
    <m/>
    <s v="Q2"/>
    <e v="#REF!"/>
    <e v="#REF!"/>
    <e v="#REF!"/>
  </r>
  <r>
    <s v="645100"/>
    <x v="6"/>
    <s v="URSSAF"/>
    <s v="SA"/>
    <n v="3.2"/>
    <d v="2025-05-31T00:00:00"/>
    <s v="CONTRIBUTION AU DIALOGUE SOCIAL"/>
    <m/>
    <e v="#N/A"/>
    <e v="#N/A"/>
    <n v="80201"/>
    <s v="SA202505"/>
    <m/>
    <s v="Q2"/>
    <e v="#REF!"/>
    <e v="#REF!"/>
    <e v="#REF!"/>
  </r>
  <r>
    <s v="645100"/>
    <x v="6"/>
    <s v="URSSAF"/>
    <s v="SA"/>
    <n v="3.35"/>
    <d v="2025-07-31T00:00:00"/>
    <s v="CONTRIBUTION AU DIALOGUE SOCIAL"/>
    <m/>
    <e v="#N/A"/>
    <e v="#N/A"/>
    <n v="79861"/>
    <s v="SA202507"/>
    <m/>
    <s v="Q3"/>
    <e v="#REF!"/>
    <e v="#REF!"/>
    <e v="#REF!"/>
  </r>
  <r>
    <s v="645100"/>
    <x v="6"/>
    <s v="URSSAF"/>
    <s v="SA"/>
    <n v="3.36"/>
    <d v="2025-09-30T00:00:00"/>
    <s v="CONTRIBUTION AU DIALOGUE SOCIAL"/>
    <m/>
    <e v="#N/A"/>
    <e v="#N/A"/>
    <n v="84150"/>
    <s v="SA202509"/>
    <m/>
    <s v="Q3"/>
    <e v="#REF!"/>
    <e v="#REF!"/>
    <e v="#REF!"/>
  </r>
  <r>
    <s v="645100"/>
    <x v="6"/>
    <s v="URSSAF"/>
    <s v="SA"/>
    <n v="3.46"/>
    <d v="2025-02-28T00:00:00"/>
    <s v="CONTRIBUTION AU DIALOGUE SOCIAL"/>
    <m/>
    <e v="#N/A"/>
    <e v="#N/A"/>
    <n v="85299"/>
    <s v="SA202502"/>
    <m/>
    <s v="Q1"/>
    <e v="#REF!"/>
    <e v="#REF!"/>
    <e v="#REF!"/>
  </r>
  <r>
    <s v="645100"/>
    <x v="6"/>
    <s v="URSSAF"/>
    <s v="SA"/>
    <n v="3.56"/>
    <d v="2025-10-31T00:00:00"/>
    <s v="CONTRIBUTION AU DIALOGUE SOCIAL"/>
    <m/>
    <e v="#N/A"/>
    <e v="#N/A"/>
    <n v="87816"/>
    <s v="SA202510"/>
    <m/>
    <s v="Q4"/>
    <e v="#REF!"/>
    <e v="#REF!"/>
    <e v="#REF!"/>
  </r>
  <r>
    <s v="645100"/>
    <x v="6"/>
    <s v="URSSAF"/>
    <s v="SA"/>
    <n v="3.57"/>
    <d v="2025-11-30T00:00:00"/>
    <s v="CONTRIBUTION AU DIALOGUE SOCIAL"/>
    <m/>
    <e v="#N/A"/>
    <e v="#N/A"/>
    <n v="92323"/>
    <s v="SA202511"/>
    <m/>
    <s v="Q4"/>
    <e v="#REF!"/>
    <e v="#REF!"/>
    <e v="#REF!"/>
  </r>
  <r>
    <s v="645100"/>
    <x v="6"/>
    <s v="URSSAF"/>
    <s v="SA"/>
    <n v="3.59"/>
    <d v="2025-12-31T00:00:00"/>
    <s v="CONTRIBUTION AU DIALOGUE SOCIAL"/>
    <m/>
    <e v="#N/A"/>
    <e v="#N/A"/>
    <n v="92786"/>
    <s v="SA202512"/>
    <m/>
    <s v="Q4"/>
    <e v="#REF!"/>
    <e v="#REF!"/>
    <e v="#REF!"/>
  </r>
  <r>
    <s v="645100"/>
    <x v="6"/>
    <s v="URSSAF"/>
    <s v="SA"/>
    <n v="3.74"/>
    <d v="2025-08-31T00:00:00"/>
    <s v="CONTRIBUTION AU DIALOGUE SOCIAL"/>
    <m/>
    <e v="#N/A"/>
    <e v="#N/A"/>
    <n v="83976"/>
    <s v="SA202508"/>
    <m/>
    <s v="Q3"/>
    <e v="#REF!"/>
    <e v="#REF!"/>
    <e v="#REF!"/>
  </r>
  <r>
    <s v="645100"/>
    <x v="6"/>
    <s v="URSSAF"/>
    <s v="SA"/>
    <n v="4.1399999999999997"/>
    <d v="2025-06-30T00:00:00"/>
    <s v="CONTRIBUTION AU DIALOGUE SOCIAL"/>
    <m/>
    <e v="#N/A"/>
    <e v="#N/A"/>
    <n v="80033"/>
    <s v="SA202506"/>
    <m/>
    <s v="Q2"/>
    <e v="#REF!"/>
    <e v="#REF!"/>
    <e v="#REF!"/>
  </r>
  <r>
    <s v="645100"/>
    <x v="6"/>
    <s v="URSSAF"/>
    <s v="SA"/>
    <n v="4.3600000000000003"/>
    <d v="2025-01-31T00:00:00"/>
    <s v="CONTRIBUTION AU DIALOGUE SOCIAL"/>
    <m/>
    <e v="#N/A"/>
    <e v="#N/A"/>
    <n v="85435"/>
    <s v="SA202501"/>
    <m/>
    <s v="Q1"/>
    <e v="#REF!"/>
    <e v="#REF!"/>
    <e v="#REF!"/>
  </r>
  <r>
    <s v="645100"/>
    <x v="6"/>
    <s v="URSSAF"/>
    <s v="SA"/>
    <n v="6.75"/>
    <d v="2025-01-31T00:00:00"/>
    <s v="CONTRIBUTION AU DIALOGUE SOCIAL"/>
    <m/>
    <e v="#N/A"/>
    <e v="#N/A"/>
    <n v="85447"/>
    <s v="SA202501"/>
    <m/>
    <s v="Q1"/>
    <e v="#REF!"/>
    <e v="#REF!"/>
    <e v="#REF!"/>
  </r>
  <r>
    <s v="645100"/>
    <x v="6"/>
    <s v="URSSAF"/>
    <s v="SA"/>
    <n v="6.95"/>
    <d v="2025-10-31T00:00:00"/>
    <s v="CONTRIBUTION AU DIALOGUE SOCIAL"/>
    <m/>
    <e v="#N/A"/>
    <e v="#N/A"/>
    <n v="87828"/>
    <s v="SA202510"/>
    <m/>
    <s v="Q4"/>
    <e v="#REF!"/>
    <e v="#REF!"/>
    <e v="#REF!"/>
  </r>
  <r>
    <s v="645100"/>
    <x v="6"/>
    <s v="URSSAF"/>
    <s v="SA"/>
    <n v="6.95"/>
    <d v="2025-12-31T00:00:00"/>
    <s v="CONTRIBUTION AU DIALOGUE SOCIAL"/>
    <m/>
    <e v="#N/A"/>
    <e v="#N/A"/>
    <n v="92798"/>
    <s v="SA202512"/>
    <m/>
    <s v="Q4"/>
    <e v="#REF!"/>
    <e v="#REF!"/>
    <e v="#REF!"/>
  </r>
  <r>
    <s v="645100"/>
    <x v="6"/>
    <s v="URSSAF"/>
    <s v="SA"/>
    <n v="6.97"/>
    <d v="2025-11-30T00:00:00"/>
    <s v="CONTRIBUTION AU DIALOGUE SOCIAL"/>
    <m/>
    <e v="#N/A"/>
    <e v="#N/A"/>
    <n v="92335"/>
    <s v="SA202511"/>
    <m/>
    <s v="Q4"/>
    <e v="#REF!"/>
    <e v="#REF!"/>
    <e v="#REF!"/>
  </r>
  <r>
    <s v="645100"/>
    <x v="6"/>
    <s v="URSSAF"/>
    <s v="SA"/>
    <n v="7.21"/>
    <d v="2025-08-31T00:00:00"/>
    <s v="CONTRIBUTION AU DIALOGUE SOCIAL"/>
    <m/>
    <e v="#N/A"/>
    <e v="#N/A"/>
    <n v="83988"/>
    <s v="SA202508"/>
    <m/>
    <s v="Q3"/>
    <e v="#REF!"/>
    <e v="#REF!"/>
    <e v="#REF!"/>
  </r>
  <r>
    <s v="645100"/>
    <x v="6"/>
    <s v="URSSAF"/>
    <s v="SA"/>
    <n v="7.27"/>
    <d v="2025-07-31T00:00:00"/>
    <s v="CONTRIBUTION AU DIALOGUE SOCIAL"/>
    <m/>
    <e v="#N/A"/>
    <e v="#N/A"/>
    <n v="79873"/>
    <s v="SA202507"/>
    <m/>
    <s v="Q3"/>
    <e v="#REF!"/>
    <e v="#REF!"/>
    <e v="#REF!"/>
  </r>
  <r>
    <s v="645100"/>
    <x v="6"/>
    <s v="URSSAF"/>
    <s v="SA"/>
    <n v="7.74"/>
    <d v="2025-09-30T00:00:00"/>
    <s v="CONTRIBUTION AU DIALOGUE SOCIAL"/>
    <m/>
    <e v="#N/A"/>
    <e v="#N/A"/>
    <n v="84162"/>
    <s v="SA202509"/>
    <m/>
    <s v="Q3"/>
    <e v="#REF!"/>
    <e v="#REF!"/>
    <e v="#REF!"/>
  </r>
  <r>
    <s v="645100"/>
    <x v="6"/>
    <s v="URSSAF"/>
    <s v="SA"/>
    <n v="8.01"/>
    <d v="2025-05-31T00:00:00"/>
    <s v="CONTRIBUTION AU DIALOGUE SOCIAL"/>
    <m/>
    <e v="#N/A"/>
    <e v="#N/A"/>
    <n v="80213"/>
    <s v="SA202505"/>
    <m/>
    <s v="Q2"/>
    <e v="#REF!"/>
    <e v="#REF!"/>
    <e v="#REF!"/>
  </r>
  <r>
    <s v="645100"/>
    <x v="6"/>
    <s v="URSSAF"/>
    <s v="SA"/>
    <n v="8.07"/>
    <d v="2025-03-31T00:00:00"/>
    <s v="CONTRIBUTION AU DIALOGUE SOCIAL"/>
    <m/>
    <e v="#N/A"/>
    <e v="#N/A"/>
    <n v="80554"/>
    <s v="SA202503"/>
    <m/>
    <s v="Q1"/>
    <e v="#REF!"/>
    <e v="#REF!"/>
    <e v="#REF!"/>
  </r>
  <r>
    <s v="645100"/>
    <x v="6"/>
    <s v="URSSAF"/>
    <s v="SA"/>
    <n v="8.27"/>
    <d v="2025-04-30T00:00:00"/>
    <s v="CONTRIBUTION AU DIALOGUE SOCIAL"/>
    <m/>
    <e v="#N/A"/>
    <e v="#N/A"/>
    <n v="80381"/>
    <s v="SA202504"/>
    <m/>
    <s v="Q2"/>
    <e v="#REF!"/>
    <e v="#REF!"/>
    <e v="#REF!"/>
  </r>
  <r>
    <s v="645100"/>
    <x v="6"/>
    <s v="URSSAF"/>
    <s v="SA"/>
    <n v="8.34"/>
    <d v="2025-06-30T00:00:00"/>
    <s v="CONTRIBUTION AU DIALOGUE SOCIAL"/>
    <m/>
    <e v="#N/A"/>
    <e v="#N/A"/>
    <n v="80045"/>
    <s v="SA202506"/>
    <m/>
    <s v="Q2"/>
    <e v="#REF!"/>
    <e v="#REF!"/>
    <e v="#REF!"/>
  </r>
  <r>
    <s v="645100"/>
    <x v="6"/>
    <s v="URSSAF"/>
    <s v="SA"/>
    <n v="9.7899999999999991"/>
    <d v="2025-01-31T00:00:00"/>
    <s v="FNAL PLAFONNÉ"/>
    <m/>
    <e v="#N/A"/>
    <e v="#N/A"/>
    <n v="85474"/>
    <s v="SA202501"/>
    <m/>
    <s v="Q1"/>
    <e v="#REF!"/>
    <e v="#REF!"/>
    <e v="#REF!"/>
  </r>
  <r>
    <s v="645100"/>
    <x v="6"/>
    <s v="URSSAF"/>
    <s v="SA"/>
    <n v="9.99"/>
    <d v="2025-03-31T00:00:00"/>
    <s v="FNAL PLAFONNÉ"/>
    <m/>
    <e v="#N/A"/>
    <e v="#N/A"/>
    <n v="80581"/>
    <s v="SA202503"/>
    <m/>
    <s v="Q1"/>
    <e v="#REF!"/>
    <e v="#REF!"/>
    <e v="#REF!"/>
  </r>
  <r>
    <s v="645100"/>
    <x v="6"/>
    <s v="URSSAF"/>
    <s v="SA"/>
    <n v="9.99"/>
    <d v="2025-04-30T00:00:00"/>
    <s v="FNAL PLAFONNÉ"/>
    <m/>
    <e v="#N/A"/>
    <e v="#N/A"/>
    <n v="80410"/>
    <s v="SA202504"/>
    <m/>
    <s v="Q2"/>
    <e v="#REF!"/>
    <e v="#REF!"/>
    <e v="#REF!"/>
  </r>
  <r>
    <s v="645100"/>
    <x v="6"/>
    <s v="URSSAF"/>
    <s v="SA"/>
    <n v="9.99"/>
    <d v="2025-05-31T00:00:00"/>
    <s v="FNAL PLAFONNÉ"/>
    <m/>
    <e v="#N/A"/>
    <e v="#N/A"/>
    <n v="80240"/>
    <s v="SA202505"/>
    <m/>
    <s v="Q2"/>
    <e v="#REF!"/>
    <e v="#REF!"/>
    <e v="#REF!"/>
  </r>
  <r>
    <s v="645100"/>
    <x v="6"/>
    <s v="URSSAF"/>
    <s v="SA"/>
    <n v="9.99"/>
    <d v="2025-06-30T00:00:00"/>
    <s v="FNAL PLAFONNÉ"/>
    <m/>
    <e v="#N/A"/>
    <e v="#N/A"/>
    <n v="80072"/>
    <s v="SA202506"/>
    <m/>
    <s v="Q2"/>
    <e v="#REF!"/>
    <e v="#REF!"/>
    <e v="#REF!"/>
  </r>
  <r>
    <s v="645100"/>
    <x v="6"/>
    <s v="URSSAF"/>
    <s v="SA"/>
    <n v="9.99"/>
    <d v="2025-07-31T00:00:00"/>
    <s v="FNAL PLAFONNÉ"/>
    <m/>
    <e v="#N/A"/>
    <e v="#N/A"/>
    <n v="79900"/>
    <s v="SA202507"/>
    <m/>
    <s v="Q3"/>
    <e v="#REF!"/>
    <e v="#REF!"/>
    <e v="#REF!"/>
  </r>
  <r>
    <s v="645100"/>
    <x v="6"/>
    <s v="URSSAF"/>
    <s v="SA"/>
    <n v="9.99"/>
    <d v="2025-08-31T00:00:00"/>
    <s v="FNAL PLAFONNÉ"/>
    <m/>
    <e v="#N/A"/>
    <e v="#N/A"/>
    <n v="84015"/>
    <s v="SA202508"/>
    <m/>
    <s v="Q3"/>
    <e v="#REF!"/>
    <e v="#REF!"/>
    <e v="#REF!"/>
  </r>
  <r>
    <s v="645100"/>
    <x v="6"/>
    <s v="URSSAF"/>
    <s v="SA"/>
    <n v="9.99"/>
    <d v="2025-09-30T00:00:00"/>
    <s v="FNAL PLAFONNÉ"/>
    <m/>
    <e v="#N/A"/>
    <e v="#N/A"/>
    <n v="84189"/>
    <s v="SA202509"/>
    <m/>
    <s v="Q3"/>
    <e v="#REF!"/>
    <e v="#REF!"/>
    <e v="#REF!"/>
  </r>
  <r>
    <s v="645100"/>
    <x v="6"/>
    <s v="URSSAF"/>
    <s v="SA"/>
    <n v="9.99"/>
    <d v="2025-10-31T00:00:00"/>
    <s v="FNAL PLAFONNÉ"/>
    <m/>
    <e v="#N/A"/>
    <e v="#N/A"/>
    <n v="87855"/>
    <s v="SA202510"/>
    <m/>
    <s v="Q4"/>
    <e v="#REF!"/>
    <e v="#REF!"/>
    <e v="#REF!"/>
  </r>
  <r>
    <s v="645100"/>
    <x v="6"/>
    <s v="URSSAF"/>
    <s v="SA"/>
    <n v="9.99"/>
    <d v="2025-11-30T00:00:00"/>
    <s v="FNAL PLAFONNÉ"/>
    <m/>
    <e v="#N/A"/>
    <e v="#N/A"/>
    <n v="92362"/>
    <s v="SA202511"/>
    <m/>
    <s v="Q4"/>
    <e v="#REF!"/>
    <e v="#REF!"/>
    <e v="#REF!"/>
  </r>
  <r>
    <s v="645100"/>
    <x v="6"/>
    <s v="URSSAF"/>
    <s v="SA"/>
    <n v="9.99"/>
    <d v="2025-12-31T00:00:00"/>
    <s v="FNAL PLAFONNÉ"/>
    <m/>
    <e v="#N/A"/>
    <e v="#N/A"/>
    <n v="92825"/>
    <s v="SA202512"/>
    <m/>
    <s v="Q4"/>
    <e v="#REF!"/>
    <e v="#REF!"/>
    <e v="#REF!"/>
  </r>
  <r>
    <s v="645100"/>
    <x v="6"/>
    <s v="URSSAF"/>
    <s v="SA"/>
    <n v="10.18"/>
    <d v="2025-02-28T00:00:00"/>
    <s v="FNAL PLAFONNÉ"/>
    <m/>
    <e v="#N/A"/>
    <e v="#N/A"/>
    <n v="85300"/>
    <s v="SA202502"/>
    <m/>
    <s v="Q1"/>
    <e v="#REF!"/>
    <e v="#REF!"/>
    <e v="#REF!"/>
  </r>
  <r>
    <s v="645100"/>
    <x v="6"/>
    <s v="URSSAF"/>
    <s v="SA"/>
    <n v="10.51"/>
    <d v="2025-02-28T00:00:00"/>
    <s v="CONTRIBUTION AU DIALOGUE SOCIAL"/>
    <m/>
    <e v="#N/A"/>
    <e v="#N/A"/>
    <n v="85261"/>
    <s v="SA202502"/>
    <m/>
    <s v="Q1"/>
    <e v="#REF!"/>
    <e v="#REF!"/>
    <e v="#REF!"/>
  </r>
  <r>
    <s v="645100"/>
    <x v="6"/>
    <s v="URSSAF"/>
    <s v="SA"/>
    <n v="12.99"/>
    <d v="2025-02-28T00:00:00"/>
    <s v="CONTRIBUTION AU DIALOGUE SOCIAL"/>
    <m/>
    <e v="#N/A"/>
    <e v="#N/A"/>
    <n v="85273"/>
    <s v="SA202502"/>
    <m/>
    <s v="Q1"/>
    <e v="#REF!"/>
    <e v="#REF!"/>
    <e v="#REF!"/>
  </r>
  <r>
    <s v="645100"/>
    <x v="6"/>
    <s v="URSSAF"/>
    <s v="SA"/>
    <n v="14.64"/>
    <d v="2025-12-31T00:00:00"/>
    <s v="CONTRIBUTION AU DIALOGUE SOCIAL"/>
    <m/>
    <e v="#N/A"/>
    <e v="#N/A"/>
    <n v="92811"/>
    <s v="SA202512"/>
    <m/>
    <s v="Q4"/>
    <e v="#REF!"/>
    <e v="#REF!"/>
    <e v="#REF!"/>
  </r>
  <r>
    <s v="645100"/>
    <x v="6"/>
    <s v="URSSAF"/>
    <s v="SA"/>
    <n v="14.68"/>
    <d v="2025-06-30T00:00:00"/>
    <s v="CONTRIBUTION AU DIALOGUE SOCIAL"/>
    <m/>
    <e v="#N/A"/>
    <e v="#N/A"/>
    <n v="80058"/>
    <s v="SA202506"/>
    <m/>
    <s v="Q2"/>
    <e v="#REF!"/>
    <e v="#REF!"/>
    <e v="#REF!"/>
  </r>
  <r>
    <s v="645100"/>
    <x v="6"/>
    <s v="URSSAF"/>
    <s v="SA"/>
    <n v="14.74"/>
    <d v="2025-08-31T00:00:00"/>
    <s v="CONTRIBUTION AU DIALOGUE SOCIAL"/>
    <m/>
    <e v="#N/A"/>
    <e v="#N/A"/>
    <n v="84001"/>
    <s v="SA202508"/>
    <m/>
    <s v="Q3"/>
    <e v="#REF!"/>
    <e v="#REF!"/>
    <e v="#REF!"/>
  </r>
  <r>
    <s v="645100"/>
    <x v="6"/>
    <s v="URSSAF"/>
    <s v="SA"/>
    <n v="14.81"/>
    <d v="2025-05-31T00:00:00"/>
    <s v="CONTRIBUTION AU DIALOGUE SOCIAL"/>
    <m/>
    <e v="#N/A"/>
    <e v="#N/A"/>
    <n v="80226"/>
    <s v="SA202505"/>
    <m/>
    <s v="Q2"/>
    <e v="#REF!"/>
    <e v="#REF!"/>
    <e v="#REF!"/>
  </r>
  <r>
    <s v="645100"/>
    <x v="6"/>
    <s v="URSSAF"/>
    <s v="SA"/>
    <n v="14.93"/>
    <d v="2025-04-30T00:00:00"/>
    <s v="CONTRIBUTION AU DIALOGUE SOCIAL"/>
    <m/>
    <e v="#N/A"/>
    <e v="#N/A"/>
    <n v="80395"/>
    <s v="SA202504"/>
    <m/>
    <s v="Q2"/>
    <e v="#REF!"/>
    <e v="#REF!"/>
    <e v="#REF!"/>
  </r>
  <r>
    <s v="645100"/>
    <x v="6"/>
    <s v="URSSAF"/>
    <s v="SA"/>
    <n v="14.93"/>
    <d v="2025-10-31T00:00:00"/>
    <s v="CONTRIBUTION AU DIALOGUE SOCIAL"/>
    <m/>
    <e v="#N/A"/>
    <e v="#N/A"/>
    <n v="87841"/>
    <s v="SA202510"/>
    <m/>
    <s v="Q4"/>
    <e v="#REF!"/>
    <e v="#REF!"/>
    <e v="#REF!"/>
  </r>
  <r>
    <s v="645100"/>
    <x v="6"/>
    <s v="URSSAF"/>
    <s v="SA"/>
    <n v="15.18"/>
    <d v="2025-11-30T00:00:00"/>
    <s v="CONTRIBUTION AU DIALOGUE SOCIAL"/>
    <m/>
    <e v="#N/A"/>
    <e v="#N/A"/>
    <n v="92348"/>
    <s v="SA202511"/>
    <m/>
    <s v="Q4"/>
    <e v="#REF!"/>
    <e v="#REF!"/>
    <e v="#REF!"/>
  </r>
  <r>
    <s v="645100"/>
    <x v="6"/>
    <s v="URSSAF"/>
    <s v="SA"/>
    <n v="15.19"/>
    <d v="2025-09-30T00:00:00"/>
    <s v="FNAL PLAFONNÉ"/>
    <m/>
    <e v="#N/A"/>
    <e v="#N/A"/>
    <n v="84151"/>
    <s v="SA202509"/>
    <m/>
    <s v="Q3"/>
    <e v="#REF!"/>
    <e v="#REF!"/>
    <e v="#REF!"/>
  </r>
  <r>
    <s v="645100"/>
    <x v="6"/>
    <s v="URSSAF"/>
    <s v="SA"/>
    <n v="15.37"/>
    <d v="2025-03-31T00:00:00"/>
    <s v="FNAL PLAFONNÉ"/>
    <m/>
    <e v="#N/A"/>
    <e v="#N/A"/>
    <n v="80543"/>
    <s v="SA202503"/>
    <m/>
    <s v="Q1"/>
    <e v="#REF!"/>
    <e v="#REF!"/>
    <e v="#REF!"/>
  </r>
  <r>
    <s v="645100"/>
    <x v="6"/>
    <s v="URSSAF"/>
    <s v="SA"/>
    <n v="15.37"/>
    <d v="2025-04-30T00:00:00"/>
    <s v="FNAL PLAFONNÉ"/>
    <m/>
    <e v="#N/A"/>
    <e v="#N/A"/>
    <n v="80370"/>
    <s v="SA202504"/>
    <m/>
    <s v="Q2"/>
    <e v="#REF!"/>
    <e v="#REF!"/>
    <e v="#REF!"/>
  </r>
  <r>
    <s v="645100"/>
    <x v="6"/>
    <s v="URSSAF"/>
    <s v="SA"/>
    <n v="15.37"/>
    <d v="2025-05-31T00:00:00"/>
    <s v="FNAL PLAFONNÉ"/>
    <m/>
    <e v="#N/A"/>
    <e v="#N/A"/>
    <n v="80202"/>
    <s v="SA202505"/>
    <m/>
    <s v="Q2"/>
    <e v="#REF!"/>
    <e v="#REF!"/>
    <e v="#REF!"/>
  </r>
  <r>
    <s v="645100"/>
    <x v="6"/>
    <s v="URSSAF"/>
    <s v="SA"/>
    <n v="15.44"/>
    <d v="2025-03-31T00:00:00"/>
    <s v="CONTRIBUTION AU DIALOGUE SOCIAL"/>
    <m/>
    <e v="#N/A"/>
    <e v="#N/A"/>
    <n v="80567"/>
    <s v="SA202503"/>
    <m/>
    <s v="Q1"/>
    <e v="#REF!"/>
    <e v="#REF!"/>
    <e v="#REF!"/>
  </r>
  <r>
    <s v="645100"/>
    <x v="6"/>
    <s v="URSSAF"/>
    <s v="SA"/>
    <n v="15.52"/>
    <d v="2025-01-31T00:00:00"/>
    <s v="CONTRIBUTION AU DIALOGUE SOCIAL"/>
    <m/>
    <e v="#N/A"/>
    <e v="#N/A"/>
    <n v="85460"/>
    <s v="SA202501"/>
    <m/>
    <s v="Q1"/>
    <e v="#REF!"/>
    <e v="#REF!"/>
    <e v="#REF!"/>
  </r>
  <r>
    <s v="645100"/>
    <x v="6"/>
    <s v="URSSAF"/>
    <s v="SA"/>
    <n v="15.59"/>
    <d v="2025-08-31T00:00:00"/>
    <s v="FNAL PLAFONNÉ"/>
    <m/>
    <e v="#N/A"/>
    <e v="#N/A"/>
    <n v="83977"/>
    <s v="SA202508"/>
    <m/>
    <s v="Q3"/>
    <e v="#REF!"/>
    <e v="#REF!"/>
    <e v="#REF!"/>
  </r>
  <r>
    <s v="645100"/>
    <x v="6"/>
    <s v="URSSAF"/>
    <s v="SA"/>
    <n v="15.72"/>
    <d v="2025-10-31T00:00:00"/>
    <s v="FNAL PLAFONNÉ"/>
    <m/>
    <e v="#N/A"/>
    <e v="#N/A"/>
    <n v="87817"/>
    <s v="SA202510"/>
    <m/>
    <s v="Q4"/>
    <e v="#REF!"/>
    <e v="#REF!"/>
    <e v="#REF!"/>
  </r>
  <r>
    <s v="645100"/>
    <x v="6"/>
    <s v="URSSAF"/>
    <s v="SA"/>
    <n v="15.72"/>
    <d v="2025-11-30T00:00:00"/>
    <s v="FNAL PLAFONNÉ"/>
    <m/>
    <e v="#N/A"/>
    <e v="#N/A"/>
    <n v="92324"/>
    <s v="SA202511"/>
    <m/>
    <s v="Q4"/>
    <e v="#REF!"/>
    <e v="#REF!"/>
    <e v="#REF!"/>
  </r>
  <r>
    <s v="645100"/>
    <x v="6"/>
    <s v="URSSAF"/>
    <s v="SA"/>
    <n v="15.72"/>
    <d v="2025-12-31T00:00:00"/>
    <s v="FNAL PLAFONNÉ"/>
    <m/>
    <e v="#N/A"/>
    <e v="#N/A"/>
    <n v="92787"/>
    <s v="SA202512"/>
    <m/>
    <s v="Q4"/>
    <e v="#REF!"/>
    <e v="#REF!"/>
    <e v="#REF!"/>
  </r>
  <r>
    <s v="645100"/>
    <x v="6"/>
    <s v="URSSAF"/>
    <s v="SA"/>
    <n v="15.74"/>
    <d v="2025-09-30T00:00:00"/>
    <s v="CONTRIBUTION AU DIALOGUE SOCIAL"/>
    <m/>
    <e v="#N/A"/>
    <e v="#N/A"/>
    <n v="84175"/>
    <s v="SA202509"/>
    <m/>
    <s v="Q3"/>
    <e v="#REF!"/>
    <e v="#REF!"/>
    <e v="#REF!"/>
  </r>
  <r>
    <s v="645100"/>
    <x v="6"/>
    <s v="URSSAF"/>
    <s v="SA"/>
    <n v="15.77"/>
    <d v="2025-07-31T00:00:00"/>
    <s v="CONTRIBUTION AU DIALOGUE SOCIAL"/>
    <m/>
    <e v="#N/A"/>
    <e v="#N/A"/>
    <n v="79886"/>
    <s v="SA202507"/>
    <m/>
    <s v="Q3"/>
    <e v="#REF!"/>
    <e v="#REF!"/>
    <e v="#REF!"/>
  </r>
  <r>
    <s v="645100"/>
    <x v="6"/>
    <s v="URSSAF"/>
    <s v="SA"/>
    <n v="18.38"/>
    <d v="2025-07-31T00:00:00"/>
    <s v="FNAL PLAFONNÉ"/>
    <m/>
    <e v="#N/A"/>
    <e v="#N/A"/>
    <n v="79862"/>
    <s v="SA202507"/>
    <m/>
    <s v="Q3"/>
    <e v="#REF!"/>
    <e v="#REF!"/>
    <e v="#REF!"/>
  </r>
  <r>
    <s v="645100"/>
    <x v="6"/>
    <s v="URSSAF"/>
    <s v="SA"/>
    <n v="19.190000000000001"/>
    <d v="2025-06-30T00:00:00"/>
    <s v="FNAL PLAFONNÉ"/>
    <m/>
    <e v="#N/A"/>
    <e v="#N/A"/>
    <n v="80034"/>
    <s v="SA202506"/>
    <m/>
    <s v="Q2"/>
    <e v="#REF!"/>
    <e v="#REF!"/>
    <e v="#REF!"/>
  </r>
  <r>
    <s v="645100"/>
    <x v="6"/>
    <s v="URSSAF"/>
    <s v="SA"/>
    <n v="19.3"/>
    <d v="2025-01-31T00:00:00"/>
    <s v="FNAL PLAFONNÉ"/>
    <m/>
    <e v="#N/A"/>
    <e v="#N/A"/>
    <n v="85436"/>
    <s v="SA202501"/>
    <m/>
    <s v="Q1"/>
    <e v="#REF!"/>
    <e v="#REF!"/>
    <e v="#REF!"/>
  </r>
  <r>
    <s v="645100"/>
    <x v="6"/>
    <s v="URSSAF"/>
    <s v="SA"/>
    <n v="19.8"/>
    <d v="2025-02-28T00:00:00"/>
    <s v="FNAL PLAFONNÉ"/>
    <m/>
    <e v="#N/A"/>
    <e v="#N/A"/>
    <n v="85262"/>
    <s v="SA202502"/>
    <m/>
    <s v="Q1"/>
    <e v="#REF!"/>
    <e v="#REF!"/>
    <e v="#REF!"/>
  </r>
  <r>
    <s v="645100"/>
    <x v="6"/>
    <s v="URSSAF"/>
    <s v="SA"/>
    <n v="27.42"/>
    <d v="2025-02-28T00:00:00"/>
    <s v="CONTRIBUTION AU DIALOGUE SOCIAL"/>
    <m/>
    <e v="#N/A"/>
    <e v="#N/A"/>
    <n v="85286"/>
    <s v="SA202502"/>
    <m/>
    <s v="Q1"/>
    <e v="#REF!"/>
    <e v="#REF!"/>
    <e v="#REF!"/>
  </r>
  <r>
    <s v="645100"/>
    <x v="6"/>
    <s v="URSSAF"/>
    <s v="SA"/>
    <n v="31.07"/>
    <d v="2025-01-31T00:00:00"/>
    <s v="AGS"/>
    <m/>
    <e v="#N/A"/>
    <e v="#N/A"/>
    <n v="85467"/>
    <s v="SA202501"/>
    <m/>
    <s v="Q1"/>
    <e v="#REF!"/>
    <e v="#REF!"/>
    <e v="#REF!"/>
  </r>
  <r>
    <s v="645100"/>
    <x v="6"/>
    <s v="URSSAF"/>
    <s v="SA"/>
    <n v="31.09"/>
    <d v="2025-11-30T00:00:00"/>
    <s v="FNAL PLAFONNÉ"/>
    <m/>
    <e v="#N/A"/>
    <e v="#N/A"/>
    <n v="92336"/>
    <s v="SA202511"/>
    <m/>
    <s v="Q4"/>
    <e v="#REF!"/>
    <e v="#REF!"/>
    <e v="#REF!"/>
  </r>
  <r>
    <s v="645100"/>
    <x v="6"/>
    <s v="URSSAF"/>
    <s v="SA"/>
    <n v="31.09"/>
    <d v="2025-12-31T00:00:00"/>
    <s v="FNAL PLAFONNÉ"/>
    <m/>
    <e v="#N/A"/>
    <e v="#N/A"/>
    <n v="92799"/>
    <s v="SA202512"/>
    <m/>
    <s v="Q4"/>
    <e v="#REF!"/>
    <e v="#REF!"/>
    <e v="#REF!"/>
  </r>
  <r>
    <s v="645100"/>
    <x v="6"/>
    <s v="URSSAF"/>
    <s v="SA"/>
    <n v="31.16"/>
    <d v="2025-10-31T00:00:00"/>
    <s v="FNAL PLAFONNÉ"/>
    <m/>
    <e v="#N/A"/>
    <e v="#N/A"/>
    <n v="87829"/>
    <s v="SA202510"/>
    <m/>
    <s v="Q4"/>
    <e v="#REF!"/>
    <e v="#REF!"/>
    <e v="#REF!"/>
  </r>
  <r>
    <s v="645100"/>
    <x v="6"/>
    <s v="URSSAF"/>
    <s v="SA"/>
    <n v="31.71"/>
    <d v="2025-03-31T00:00:00"/>
    <s v="AGS"/>
    <m/>
    <e v="#N/A"/>
    <e v="#N/A"/>
    <n v="80574"/>
    <s v="SA202503"/>
    <m/>
    <s v="Q1"/>
    <e v="#REF!"/>
    <e v="#REF!"/>
    <e v="#REF!"/>
  </r>
  <r>
    <s v="645100"/>
    <x v="6"/>
    <s v="URSSAF"/>
    <s v="SA"/>
    <n v="31.71"/>
    <d v="2025-04-30T00:00:00"/>
    <s v="AGS"/>
    <m/>
    <e v="#N/A"/>
    <e v="#N/A"/>
    <n v="80403"/>
    <s v="SA202504"/>
    <m/>
    <s v="Q2"/>
    <e v="#REF!"/>
    <e v="#REF!"/>
    <e v="#REF!"/>
  </r>
  <r>
    <s v="645100"/>
    <x v="6"/>
    <s v="URSSAF"/>
    <s v="SA"/>
    <n v="31.71"/>
    <d v="2025-06-30T00:00:00"/>
    <s v="AGS"/>
    <m/>
    <e v="#N/A"/>
    <e v="#N/A"/>
    <n v="80065"/>
    <s v="SA202506"/>
    <m/>
    <s v="Q2"/>
    <e v="#REF!"/>
    <e v="#REF!"/>
    <e v="#REF!"/>
  </r>
  <r>
    <s v="645100"/>
    <x v="6"/>
    <s v="URSSAF"/>
    <s v="SA"/>
    <n v="31.71"/>
    <d v="2025-08-31T00:00:00"/>
    <s v="AGS"/>
    <m/>
    <e v="#N/A"/>
    <e v="#N/A"/>
    <n v="84008"/>
    <s v="SA202508"/>
    <m/>
    <s v="Q3"/>
    <e v="#REF!"/>
    <e v="#REF!"/>
    <e v="#REF!"/>
  </r>
  <r>
    <s v="645100"/>
    <x v="6"/>
    <s v="URSSAF"/>
    <s v="SA"/>
    <n v="31.71"/>
    <d v="2025-11-30T00:00:00"/>
    <s v="AGS"/>
    <m/>
    <e v="#N/A"/>
    <e v="#N/A"/>
    <n v="92355"/>
    <s v="SA202511"/>
    <m/>
    <s v="Q4"/>
    <e v="#REF!"/>
    <e v="#REF!"/>
    <e v="#REF!"/>
  </r>
  <r>
    <s v="645100"/>
    <x v="6"/>
    <s v="URSSAF"/>
    <s v="SA"/>
    <n v="31.72"/>
    <d v="2025-07-31T00:00:00"/>
    <s v="AGS"/>
    <m/>
    <e v="#N/A"/>
    <e v="#N/A"/>
    <n v="79893"/>
    <s v="SA202507"/>
    <m/>
    <s v="Q3"/>
    <e v="#REF!"/>
    <e v="#REF!"/>
    <e v="#REF!"/>
  </r>
  <r>
    <s v="645100"/>
    <x v="6"/>
    <s v="URSSAF"/>
    <s v="SA"/>
    <n v="31.72"/>
    <d v="2025-09-30T00:00:00"/>
    <s v="AGS"/>
    <m/>
    <e v="#N/A"/>
    <e v="#N/A"/>
    <n v="84182"/>
    <s v="SA202509"/>
    <m/>
    <s v="Q3"/>
    <e v="#REF!"/>
    <e v="#REF!"/>
    <e v="#REF!"/>
  </r>
  <r>
    <s v="645100"/>
    <x v="6"/>
    <s v="URSSAF"/>
    <s v="SA"/>
    <n v="31.72"/>
    <d v="2025-12-31T00:00:00"/>
    <s v="AGS"/>
    <m/>
    <e v="#N/A"/>
    <e v="#N/A"/>
    <n v="92818"/>
    <s v="SA202512"/>
    <m/>
    <s v="Q4"/>
    <e v="#REF!"/>
    <e v="#REF!"/>
    <e v="#REF!"/>
  </r>
  <r>
    <s v="645100"/>
    <x v="6"/>
    <s v="URSSAF"/>
    <s v="SA"/>
    <n v="31.75"/>
    <d v="2025-01-31T00:00:00"/>
    <s v="FNAL PLAFONNÉ"/>
    <m/>
    <e v="#N/A"/>
    <e v="#N/A"/>
    <n v="85448"/>
    <s v="SA202501"/>
    <m/>
    <s v="Q1"/>
    <e v="#REF!"/>
    <e v="#REF!"/>
    <e v="#REF!"/>
  </r>
  <r>
    <s v="645100"/>
    <x v="6"/>
    <s v="URSSAF"/>
    <s v="SA"/>
    <n v="31.83"/>
    <d v="2025-05-31T00:00:00"/>
    <s v="AGS"/>
    <m/>
    <e v="#N/A"/>
    <e v="#N/A"/>
    <n v="80233"/>
    <s v="SA202505"/>
    <m/>
    <s v="Q2"/>
    <e v="#REF!"/>
    <e v="#REF!"/>
    <e v="#REF!"/>
  </r>
  <r>
    <s v="645100"/>
    <x v="6"/>
    <s v="URSSAF"/>
    <s v="SA"/>
    <n v="32.549999999999997"/>
    <d v="2025-08-31T00:00:00"/>
    <s v="FNAL PLAFONNÉ"/>
    <m/>
    <e v="#N/A"/>
    <e v="#N/A"/>
    <n v="83989"/>
    <s v="SA202508"/>
    <m/>
    <s v="Q3"/>
    <e v="#REF!"/>
    <e v="#REF!"/>
    <e v="#REF!"/>
  </r>
  <r>
    <s v="645100"/>
    <x v="6"/>
    <s v="URSSAF"/>
    <s v="SA"/>
    <n v="33.14"/>
    <d v="2025-07-31T00:00:00"/>
    <s v="FNAL PLAFONNÉ"/>
    <m/>
    <e v="#N/A"/>
    <e v="#N/A"/>
    <n v="79874"/>
    <s v="SA202507"/>
    <m/>
    <s v="Q3"/>
    <e v="#REF!"/>
    <e v="#REF!"/>
    <e v="#REF!"/>
  </r>
  <r>
    <s v="645100"/>
    <x v="6"/>
    <s v="URSSAF"/>
    <s v="SA"/>
    <n v="33.44"/>
    <d v="2025-06-30T00:00:00"/>
    <s v="FNAL PLAFONNÉ"/>
    <m/>
    <e v="#N/A"/>
    <e v="#N/A"/>
    <n v="80046"/>
    <s v="SA202506"/>
    <m/>
    <s v="Q2"/>
    <e v="#REF!"/>
    <e v="#REF!"/>
    <e v="#REF!"/>
  </r>
  <r>
    <s v="645100"/>
    <x v="6"/>
    <s v="URSSAF"/>
    <s v="SA"/>
    <n v="34.43"/>
    <d v="2025-09-30T00:00:00"/>
    <s v="FNAL PLAFONNÉ"/>
    <m/>
    <e v="#N/A"/>
    <e v="#N/A"/>
    <n v="84163"/>
    <s v="SA202509"/>
    <m/>
    <s v="Q3"/>
    <e v="#REF!"/>
    <e v="#REF!"/>
    <e v="#REF!"/>
  </r>
  <r>
    <s v="645100"/>
    <x v="6"/>
    <s v="URSSAF"/>
    <s v="SA"/>
    <n v="36.130000000000003"/>
    <d v="2025-10-31T00:00:00"/>
    <s v="AGS"/>
    <m/>
    <e v="#N/A"/>
    <e v="#N/A"/>
    <n v="87848"/>
    <s v="SA202510"/>
    <m/>
    <s v="Q4"/>
    <e v="#REF!"/>
    <e v="#REF!"/>
    <e v="#REF!"/>
  </r>
  <r>
    <s v="645100"/>
    <x v="6"/>
    <s v="URSSAF"/>
    <s v="SA"/>
    <n v="36.81"/>
    <d v="2025-04-30T00:00:00"/>
    <s v="FNAL PLAFONNÉ"/>
    <m/>
    <e v="#N/A"/>
    <e v="#N/A"/>
    <n v="80383"/>
    <s v="SA202504"/>
    <m/>
    <s v="Q2"/>
    <e v="#REF!"/>
    <e v="#REF!"/>
    <e v="#REF!"/>
  </r>
  <r>
    <s v="645100"/>
    <x v="6"/>
    <s v="URSSAF"/>
    <s v="SA"/>
    <n v="37.17"/>
    <d v="2025-05-31T00:00:00"/>
    <s v="FNAL PLAFONNÉ"/>
    <m/>
    <e v="#N/A"/>
    <e v="#N/A"/>
    <n v="80214"/>
    <s v="SA202505"/>
    <m/>
    <s v="Q2"/>
    <e v="#REF!"/>
    <e v="#REF!"/>
    <e v="#REF!"/>
  </r>
  <r>
    <s v="645100"/>
    <x v="6"/>
    <s v="URSSAF"/>
    <s v="SA"/>
    <n v="37.28"/>
    <d v="2025-01-31T00:00:00"/>
    <s v="CONTRIBUTION SOLIDARITÉ AUTONOMIE"/>
    <m/>
    <e v="#N/A"/>
    <e v="#N/A"/>
    <n v="85472"/>
    <s v="SA202501"/>
    <m/>
    <s v="Q1"/>
    <e v="#REF!"/>
    <e v="#REF!"/>
    <e v="#REF!"/>
  </r>
  <r>
    <s v="645100"/>
    <x v="6"/>
    <s v="URSSAF"/>
    <s v="SA"/>
    <n v="38.049999999999997"/>
    <d v="2025-03-31T00:00:00"/>
    <s v="CONTRIBUTION SOLIDARITÉ AUTONOMIE"/>
    <m/>
    <e v="#N/A"/>
    <e v="#N/A"/>
    <n v="80579"/>
    <s v="SA202503"/>
    <m/>
    <s v="Q1"/>
    <e v="#REF!"/>
    <e v="#REF!"/>
    <e v="#REF!"/>
  </r>
  <r>
    <s v="645100"/>
    <x v="6"/>
    <s v="URSSAF"/>
    <s v="SA"/>
    <n v="38.049999999999997"/>
    <d v="2025-04-30T00:00:00"/>
    <s v="CONTRIBUTION SOLIDARITÉ AUTONOMIE"/>
    <m/>
    <e v="#N/A"/>
    <e v="#N/A"/>
    <n v="80408"/>
    <s v="SA202504"/>
    <m/>
    <s v="Q2"/>
    <e v="#REF!"/>
    <e v="#REF!"/>
    <e v="#REF!"/>
  </r>
  <r>
    <s v="645100"/>
    <x v="6"/>
    <s v="URSSAF"/>
    <s v="SA"/>
    <n v="38.049999999999997"/>
    <d v="2025-06-30T00:00:00"/>
    <s v="CONTRIBUTION SOLIDARITÉ AUTONOMIE"/>
    <m/>
    <e v="#N/A"/>
    <e v="#N/A"/>
    <n v="80070"/>
    <s v="SA202506"/>
    <m/>
    <s v="Q2"/>
    <e v="#REF!"/>
    <e v="#REF!"/>
    <e v="#REF!"/>
  </r>
  <r>
    <s v="645100"/>
    <x v="6"/>
    <s v="URSSAF"/>
    <s v="SA"/>
    <n v="38.049999999999997"/>
    <d v="2025-08-31T00:00:00"/>
    <s v="CONTRIBUTION SOLIDARITÉ AUTONOMIE"/>
    <m/>
    <e v="#N/A"/>
    <e v="#N/A"/>
    <n v="84013"/>
    <s v="SA202508"/>
    <m/>
    <s v="Q3"/>
    <e v="#REF!"/>
    <e v="#REF!"/>
    <e v="#REF!"/>
  </r>
  <r>
    <s v="645100"/>
    <x v="6"/>
    <s v="URSSAF"/>
    <s v="SA"/>
    <n v="38.049999999999997"/>
    <d v="2025-11-30T00:00:00"/>
    <s v="CONTRIBUTION SOLIDARITÉ AUTONOMIE - EXO PART APPRENTI"/>
    <m/>
    <e v="#N/A"/>
    <e v="#N/A"/>
    <n v="92360"/>
    <s v="SA202511"/>
    <m/>
    <s v="Q4"/>
    <e v="#REF!"/>
    <e v="#REF!"/>
    <e v="#REF!"/>
  </r>
  <r>
    <s v="645100"/>
    <x v="6"/>
    <s v="URSSAF"/>
    <s v="SA"/>
    <n v="38.06"/>
    <d v="2025-07-31T00:00:00"/>
    <s v="CONTRIBUTION SOLIDARITÉ AUTONOMIE"/>
    <m/>
    <e v="#N/A"/>
    <e v="#N/A"/>
    <n v="79898"/>
    <s v="SA202507"/>
    <m/>
    <s v="Q3"/>
    <e v="#REF!"/>
    <e v="#REF!"/>
    <e v="#REF!"/>
  </r>
  <r>
    <s v="645100"/>
    <x v="6"/>
    <s v="URSSAF"/>
    <s v="SA"/>
    <n v="38.06"/>
    <d v="2025-09-30T00:00:00"/>
    <s v="CONTRIBUTION SOLIDARITÉ AUTONOMIE - EXO PART APPRENTI"/>
    <m/>
    <e v="#N/A"/>
    <e v="#N/A"/>
    <n v="84187"/>
    <s v="SA202509"/>
    <m/>
    <s v="Q3"/>
    <e v="#REF!"/>
    <e v="#REF!"/>
    <e v="#REF!"/>
  </r>
  <r>
    <s v="645100"/>
    <x v="6"/>
    <s v="URSSAF"/>
    <s v="SA"/>
    <n v="38.06"/>
    <d v="2025-12-31T00:00:00"/>
    <s v="CONTRIBUTION SOLIDARITÉ AUTONOMIE - EXO PART APPRENTI"/>
    <m/>
    <e v="#N/A"/>
    <e v="#N/A"/>
    <n v="92823"/>
    <s v="SA202512"/>
    <m/>
    <s v="Q4"/>
    <e v="#REF!"/>
    <e v="#REF!"/>
    <e v="#REF!"/>
  </r>
  <r>
    <s v="645100"/>
    <x v="6"/>
    <s v="URSSAF"/>
    <s v="SA"/>
    <n v="38.19"/>
    <d v="2025-03-31T00:00:00"/>
    <s v="FNAL PLAFONNÉ"/>
    <m/>
    <e v="#N/A"/>
    <e v="#N/A"/>
    <n v="80555"/>
    <s v="SA202503"/>
    <m/>
    <s v="Q1"/>
    <e v="#REF!"/>
    <e v="#REF!"/>
    <e v="#REF!"/>
  </r>
  <r>
    <s v="645100"/>
    <x v="6"/>
    <s v="URSSAF"/>
    <s v="SA"/>
    <n v="38.19"/>
    <d v="2025-05-31T00:00:00"/>
    <s v="CONTRIBUTION SOLIDARITÉ AUTONOMIE"/>
    <m/>
    <e v="#N/A"/>
    <e v="#N/A"/>
    <n v="80238"/>
    <s v="SA202505"/>
    <m/>
    <s v="Q2"/>
    <e v="#REF!"/>
    <e v="#REF!"/>
    <e v="#REF!"/>
  </r>
  <r>
    <s v="645100"/>
    <x v="6"/>
    <s v="URSSAF"/>
    <s v="SA"/>
    <n v="41.54"/>
    <d v="2025-02-28T00:00:00"/>
    <s v="FNAL PLAFONNÉ"/>
    <m/>
    <e v="#N/A"/>
    <e v="#N/A"/>
    <n v="85274"/>
    <s v="SA202502"/>
    <m/>
    <s v="Q1"/>
    <e v="#REF!"/>
    <e v="#REF!"/>
    <e v="#REF!"/>
  </r>
  <r>
    <s v="645100"/>
    <x v="6"/>
    <s v="URSSAF"/>
    <s v="SA"/>
    <n v="43.36"/>
    <d v="2025-10-31T00:00:00"/>
    <s v="CONTRIBUTION SOLIDARITÉ AUTONOMIE - EXO PART APPRENTI"/>
    <m/>
    <e v="#N/A"/>
    <e v="#N/A"/>
    <n v="87853"/>
    <s v="SA202510"/>
    <m/>
    <s v="Q4"/>
    <e v="#REF!"/>
    <e v="#REF!"/>
    <e v="#REF!"/>
  </r>
  <r>
    <s v="645100"/>
    <x v="6"/>
    <s v="URSSAF"/>
    <s v="SA"/>
    <n v="47.92"/>
    <d v="2025-04-30T00:00:00"/>
    <s v="AGS"/>
    <m/>
    <e v="#N/A"/>
    <e v="#N/A"/>
    <n v="80363"/>
    <s v="SA202504"/>
    <m/>
    <s v="Q2"/>
    <e v="#REF!"/>
    <e v="#REF!"/>
    <e v="#REF!"/>
  </r>
  <r>
    <s v="645100"/>
    <x v="6"/>
    <s v="URSSAF"/>
    <s v="SA"/>
    <n v="50.04"/>
    <d v="2025-05-31T00:00:00"/>
    <s v="AGS"/>
    <m/>
    <e v="#N/A"/>
    <e v="#N/A"/>
    <n v="80195"/>
    <s v="SA202505"/>
    <m/>
    <s v="Q2"/>
    <e v="#REF!"/>
    <e v="#REF!"/>
    <e v="#REF!"/>
  </r>
  <r>
    <s v="645100"/>
    <x v="6"/>
    <s v="URSSAF"/>
    <s v="SA"/>
    <n v="52.2"/>
    <d v="2025-07-31T00:00:00"/>
    <s v="AGS"/>
    <m/>
    <e v="#N/A"/>
    <e v="#N/A"/>
    <n v="79855"/>
    <s v="SA202507"/>
    <m/>
    <s v="Q3"/>
    <e v="#REF!"/>
    <e v="#REF!"/>
    <e v="#REF!"/>
  </r>
  <r>
    <s v="645100"/>
    <x v="6"/>
    <s v="URSSAF"/>
    <s v="SA"/>
    <n v="52.55"/>
    <d v="2025-09-30T00:00:00"/>
    <s v="AGS"/>
    <m/>
    <e v="#N/A"/>
    <e v="#N/A"/>
    <n v="84144"/>
    <s v="SA202509"/>
    <m/>
    <s v="Q3"/>
    <e v="#REF!"/>
    <e v="#REF!"/>
    <e v="#REF!"/>
  </r>
  <r>
    <s v="645100"/>
    <x v="6"/>
    <s v="URSSAF"/>
    <s v="SA"/>
    <n v="53.99"/>
    <d v="2025-02-28T00:00:00"/>
    <s v="AGS"/>
    <m/>
    <e v="#N/A"/>
    <e v="#N/A"/>
    <n v="85293"/>
    <s v="SA202502"/>
    <m/>
    <s v="Q1"/>
    <e v="#REF!"/>
    <e v="#REF!"/>
    <e v="#REF!"/>
  </r>
  <r>
    <s v="645100"/>
    <x v="6"/>
    <s v="URSSAF"/>
    <s v="SA"/>
    <n v="55.63"/>
    <d v="2025-10-31T00:00:00"/>
    <s v="AGS"/>
    <m/>
    <e v="#N/A"/>
    <e v="#N/A"/>
    <n v="87810"/>
    <s v="SA202510"/>
    <m/>
    <s v="Q4"/>
    <e v="#REF!"/>
    <e v="#REF!"/>
    <e v="#REF!"/>
  </r>
  <r>
    <s v="645100"/>
    <x v="6"/>
    <s v="URSSAF"/>
    <s v="SA"/>
    <n v="55.75"/>
    <d v="2025-11-30T00:00:00"/>
    <s v="AGS"/>
    <m/>
    <e v="#N/A"/>
    <e v="#N/A"/>
    <n v="92317"/>
    <s v="SA202511"/>
    <m/>
    <s v="Q4"/>
    <e v="#REF!"/>
    <e v="#REF!"/>
    <e v="#REF!"/>
  </r>
  <r>
    <s v="645100"/>
    <x v="6"/>
    <s v="URSSAF"/>
    <s v="SA"/>
    <n v="56.08"/>
    <d v="2025-12-31T00:00:00"/>
    <s v="AGS"/>
    <m/>
    <e v="#N/A"/>
    <e v="#N/A"/>
    <n v="92780"/>
    <s v="SA202512"/>
    <m/>
    <s v="Q4"/>
    <e v="#REF!"/>
    <e v="#REF!"/>
    <e v="#REF!"/>
  </r>
  <r>
    <s v="645100"/>
    <x v="6"/>
    <s v="URSSAF"/>
    <s v="SA"/>
    <n v="58.5"/>
    <d v="2025-08-31T00:00:00"/>
    <s v="AGS"/>
    <m/>
    <e v="#N/A"/>
    <e v="#N/A"/>
    <n v="83970"/>
    <s v="SA202508"/>
    <m/>
    <s v="Q3"/>
    <e v="#REF!"/>
    <e v="#REF!"/>
    <e v="#REF!"/>
  </r>
  <r>
    <s v="645100"/>
    <x v="6"/>
    <s v="URSSAF"/>
    <s v="SA"/>
    <n v="60.83"/>
    <d v="2025-03-31T00:00:00"/>
    <s v="AGS"/>
    <m/>
    <e v="#N/A"/>
    <e v="#N/A"/>
    <n v="80536"/>
    <s v="SA202503"/>
    <m/>
    <s v="Q1"/>
    <e v="#REF!"/>
    <e v="#REF!"/>
    <e v="#REF!"/>
  </r>
  <r>
    <s v="645100"/>
    <x v="6"/>
    <s v="URSSAF"/>
    <s v="SA"/>
    <n v="64.67"/>
    <d v="2025-06-30T00:00:00"/>
    <s v="AGS"/>
    <m/>
    <e v="#N/A"/>
    <e v="#N/A"/>
    <n v="80027"/>
    <s v="SA202506"/>
    <m/>
    <s v="Q2"/>
    <e v="#REF!"/>
    <e v="#REF!"/>
    <e v="#REF!"/>
  </r>
  <r>
    <s v="645100"/>
    <x v="6"/>
    <s v="URSSAF"/>
    <s v="SA"/>
    <n v="64.790000000000006"/>
    <d v="2025-02-28T00:00:00"/>
    <s v="CONTRIBUTION SOLIDARITÉ AUTONOMIE"/>
    <m/>
    <e v="#N/A"/>
    <e v="#N/A"/>
    <n v="85298"/>
    <s v="SA202502"/>
    <m/>
    <s v="Q1"/>
    <e v="#REF!"/>
    <e v="#REF!"/>
    <e v="#REF!"/>
  </r>
  <r>
    <s v="645100"/>
    <x v="6"/>
    <s v="URSSAF"/>
    <s v="SA"/>
    <n v="68.19"/>
    <d v="2025-01-31T00:00:00"/>
    <s v="AGS"/>
    <m/>
    <e v="#N/A"/>
    <e v="#N/A"/>
    <n v="85429"/>
    <s v="SA202501"/>
    <m/>
    <s v="Q1"/>
    <e v="#REF!"/>
    <e v="#REF!"/>
    <e v="#REF!"/>
  </r>
  <r>
    <s v="645100"/>
    <x v="6"/>
    <s v="URSSAF"/>
    <s v="SA"/>
    <n v="69.48"/>
    <d v="2025-01-31T00:00:00"/>
    <s v="ALLOCATIONS FAMILIALES (COMPLÉMENT)"/>
    <m/>
    <e v="#N/A"/>
    <e v="#N/A"/>
    <n v="85470"/>
    <s v="SA202501"/>
    <m/>
    <s v="Q1"/>
    <e v="#REF!"/>
    <e v="#REF!"/>
    <e v="#REF!"/>
  </r>
  <r>
    <s v="645100"/>
    <x v="6"/>
    <s v="URSSAF"/>
    <s v="SA"/>
    <n v="78.900000000000006"/>
    <d v="2025-04-30T00:00:00"/>
    <s v="FNAL PLAFONNÉ"/>
    <m/>
    <e v="#N/A"/>
    <e v="#N/A"/>
    <n v="80397"/>
    <s v="SA202504"/>
    <m/>
    <s v="Q2"/>
    <e v="#REF!"/>
    <e v="#REF!"/>
    <e v="#REF!"/>
  </r>
  <r>
    <s v="645100"/>
    <x v="6"/>
    <s v="URSSAF"/>
    <s v="SA"/>
    <n v="79.14"/>
    <d v="2025-08-31T00:00:00"/>
    <s v="FNAL PLAFONNÉ"/>
    <m/>
    <e v="#N/A"/>
    <e v="#N/A"/>
    <n v="84002"/>
    <s v="SA202508"/>
    <m/>
    <s v="Q3"/>
    <e v="#REF!"/>
    <e v="#REF!"/>
    <e v="#REF!"/>
  </r>
  <r>
    <s v="645100"/>
    <x v="6"/>
    <s v="URSSAF"/>
    <s v="SA"/>
    <n v="80.73"/>
    <d v="2025-12-31T00:00:00"/>
    <s v="FNAL PLAFONNÉ"/>
    <m/>
    <e v="#N/A"/>
    <e v="#N/A"/>
    <n v="92812"/>
    <s v="SA202512"/>
    <m/>
    <s v="Q4"/>
    <e v="#REF!"/>
    <e v="#REF!"/>
    <e v="#REF!"/>
  </r>
  <r>
    <s v="645100"/>
    <x v="6"/>
    <s v="URSSAF"/>
    <s v="SA"/>
    <n v="81.489999999999995"/>
    <d v="2025-05-31T00:00:00"/>
    <s v="FNAL PLAFONNÉ"/>
    <m/>
    <e v="#N/A"/>
    <e v="#N/A"/>
    <n v="80227"/>
    <s v="SA202505"/>
    <m/>
    <s v="Q2"/>
    <e v="#REF!"/>
    <e v="#REF!"/>
    <e v="#REF!"/>
  </r>
  <r>
    <s v="645100"/>
    <x v="6"/>
    <s v="URSSAF"/>
    <s v="SA"/>
    <n v="82.35"/>
    <d v="2025-06-30T00:00:00"/>
    <s v="FNAL PLAFONNÉ"/>
    <m/>
    <e v="#N/A"/>
    <e v="#N/A"/>
    <n v="80059"/>
    <s v="SA202506"/>
    <m/>
    <s v="Q2"/>
    <e v="#REF!"/>
    <e v="#REF!"/>
    <e v="#REF!"/>
  </r>
  <r>
    <s v="645100"/>
    <x v="6"/>
    <s v="URSSAF"/>
    <s v="SA"/>
    <n v="82.87"/>
    <d v="2025-10-31T00:00:00"/>
    <s v="FNAL PLAFONNÉ"/>
    <m/>
    <e v="#N/A"/>
    <e v="#N/A"/>
    <n v="87842"/>
    <s v="SA202510"/>
    <m/>
    <s v="Q4"/>
    <e v="#REF!"/>
    <e v="#REF!"/>
    <e v="#REF!"/>
  </r>
  <r>
    <s v="645100"/>
    <x v="6"/>
    <s v="URSSAF"/>
    <s v="SA"/>
    <n v="82.89"/>
    <d v="2025-11-30T00:00:00"/>
    <s v="FNAL PLAFONNÉ"/>
    <m/>
    <e v="#N/A"/>
    <e v="#N/A"/>
    <n v="92349"/>
    <s v="SA202511"/>
    <m/>
    <s v="Q4"/>
    <e v="#REF!"/>
    <e v="#REF!"/>
    <e v="#REF!"/>
  </r>
  <r>
    <s v="645100"/>
    <x v="6"/>
    <s v="URSSAF"/>
    <s v="SA"/>
    <n v="84.25"/>
    <d v="2025-03-31T00:00:00"/>
    <s v="FNAL PLAFONNÉ"/>
    <m/>
    <e v="#N/A"/>
    <e v="#N/A"/>
    <n v="80568"/>
    <s v="SA202503"/>
    <m/>
    <s v="Q1"/>
    <e v="#REF!"/>
    <e v="#REF!"/>
    <e v="#REF!"/>
  </r>
  <r>
    <s v="645100"/>
    <x v="6"/>
    <s v="URSSAF"/>
    <s v="SA"/>
    <n v="85.27"/>
    <d v="2025-01-31T00:00:00"/>
    <s v="FNAL PLAFONNÉ"/>
    <m/>
    <e v="#N/A"/>
    <e v="#N/A"/>
    <n v="85461"/>
    <s v="SA202501"/>
    <m/>
    <s v="Q1"/>
    <e v="#REF!"/>
    <e v="#REF!"/>
    <e v="#REF!"/>
  </r>
  <r>
    <s v="645100"/>
    <x v="6"/>
    <s v="URSSAF"/>
    <s v="SA"/>
    <n v="86.27"/>
    <d v="2025-09-30T00:00:00"/>
    <s v="FNAL PLAFONNÉ"/>
    <m/>
    <e v="#N/A"/>
    <e v="#N/A"/>
    <n v="84176"/>
    <s v="SA202509"/>
    <m/>
    <s v="Q3"/>
    <e v="#REF!"/>
    <e v="#REF!"/>
    <e v="#REF!"/>
  </r>
  <r>
    <s v="645100"/>
    <x v="6"/>
    <s v="URSSAF"/>
    <s v="SA"/>
    <n v="86.75"/>
    <d v="2025-07-31T00:00:00"/>
    <s v="FNAL PLAFONNÉ"/>
    <m/>
    <e v="#N/A"/>
    <e v="#N/A"/>
    <n v="79887"/>
    <s v="SA202507"/>
    <m/>
    <s v="Q3"/>
    <e v="#REF!"/>
    <e v="#REF!"/>
    <e v="#REF!"/>
  </r>
  <r>
    <s v="645100"/>
    <x v="6"/>
    <s v="URSSAF"/>
    <s v="SA"/>
    <n v="87.68"/>
    <d v="2025-03-31T00:00:00"/>
    <s v="CONTRIBUTION SOLIDARITÉ AUTONOMIE"/>
    <m/>
    <e v="#N/A"/>
    <e v="#N/A"/>
    <n v="80541"/>
    <s v="SA202503"/>
    <m/>
    <s v="Q1"/>
    <e v="#REF!"/>
    <e v="#REF!"/>
    <e v="#REF!"/>
  </r>
  <r>
    <s v="645100"/>
    <x v="6"/>
    <s v="URSSAF"/>
    <s v="SA"/>
    <n v="87.68"/>
    <d v="2025-04-30T00:00:00"/>
    <s v="CONTRIBUTION SOLIDARITÉ AUTONOMIE"/>
    <m/>
    <e v="#N/A"/>
    <e v="#N/A"/>
    <n v="80368"/>
    <s v="SA202504"/>
    <m/>
    <s v="Q2"/>
    <e v="#REF!"/>
    <e v="#REF!"/>
    <e v="#REF!"/>
  </r>
  <r>
    <s v="645100"/>
    <x v="6"/>
    <s v="URSSAF"/>
    <s v="SA"/>
    <n v="90.22"/>
    <d v="2025-05-31T00:00:00"/>
    <s v="CONTRIBUTION SOLIDARITÉ AUTONOMIE"/>
    <m/>
    <e v="#N/A"/>
    <e v="#N/A"/>
    <n v="80200"/>
    <s v="SA202505"/>
    <m/>
    <s v="Q2"/>
    <e v="#REF!"/>
    <e v="#REF!"/>
    <e v="#REF!"/>
  </r>
  <r>
    <s v="645100"/>
    <x v="6"/>
    <s v="URSSAF"/>
    <s v="SA"/>
    <n v="92.82"/>
    <d v="2025-07-31T00:00:00"/>
    <s v="CONTRIBUTION SOLIDARITÉ AUTONOMIE"/>
    <m/>
    <e v="#N/A"/>
    <e v="#N/A"/>
    <n v="79860"/>
    <s v="SA202507"/>
    <m/>
    <s v="Q3"/>
    <e v="#REF!"/>
    <e v="#REF!"/>
    <e v="#REF!"/>
  </r>
  <r>
    <s v="645100"/>
    <x v="6"/>
    <s v="URSSAF"/>
    <s v="SA"/>
    <n v="93.24"/>
    <d v="2025-09-30T00:00:00"/>
    <s v="CONTRIBUTION SOLIDARITÉ AUTONOMIE - EXO PART APPRENTI"/>
    <m/>
    <e v="#N/A"/>
    <e v="#N/A"/>
    <n v="84149"/>
    <s v="SA202509"/>
    <m/>
    <s v="Q3"/>
    <e v="#REF!"/>
    <e v="#REF!"/>
    <e v="#REF!"/>
  </r>
  <r>
    <s v="645100"/>
    <x v="6"/>
    <s v="URSSAF"/>
    <s v="SA"/>
    <n v="96.93"/>
    <d v="2025-10-31T00:00:00"/>
    <s v="CONTRIBUTION SOLIDARITÉ AUTONOMIE - EXO PART APPRENTI"/>
    <m/>
    <e v="#N/A"/>
    <e v="#N/A"/>
    <n v="87815"/>
    <s v="SA202510"/>
    <m/>
    <s v="Q4"/>
    <e v="#REF!"/>
    <e v="#REF!"/>
    <e v="#REF!"/>
  </r>
  <r>
    <s v="645100"/>
    <x v="6"/>
    <s v="URSSAF"/>
    <s v="SA"/>
    <n v="97.08"/>
    <d v="2025-11-30T00:00:00"/>
    <s v="CONTRIBUTION SOLIDARITÉ AUTONOMIE - EXO PART APPRENTI"/>
    <m/>
    <e v="#N/A"/>
    <e v="#N/A"/>
    <n v="92322"/>
    <s v="SA202511"/>
    <m/>
    <s v="Q4"/>
    <e v="#REF!"/>
    <e v="#REF!"/>
    <e v="#REF!"/>
  </r>
  <r>
    <s v="645100"/>
    <x v="6"/>
    <s v="URSSAF"/>
    <s v="SA"/>
    <n v="97.48"/>
    <d v="2025-12-31T00:00:00"/>
    <s v="CONTRIBUTION SOLIDARITÉ AUTONOMIE - EXO PART APPRENTI"/>
    <m/>
    <e v="#N/A"/>
    <e v="#N/A"/>
    <n v="92785"/>
    <s v="SA202512"/>
    <m/>
    <s v="Q4"/>
    <e v="#REF!"/>
    <e v="#REF!"/>
    <e v="#REF!"/>
  </r>
  <r>
    <s v="645100"/>
    <x v="6"/>
    <s v="URSSAF"/>
    <s v="SA"/>
    <n v="100.37"/>
    <d v="2025-08-31T00:00:00"/>
    <s v="CONTRIBUTION SOLIDARITÉ AUTONOMIE"/>
    <m/>
    <e v="#N/A"/>
    <e v="#N/A"/>
    <n v="83975"/>
    <s v="SA202508"/>
    <m/>
    <s v="Q3"/>
    <e v="#REF!"/>
    <e v="#REF!"/>
    <e v="#REF!"/>
  </r>
  <r>
    <s v="645100"/>
    <x v="6"/>
    <s v="URSSAF"/>
    <s v="SA"/>
    <n v="100.66"/>
    <d v="2025-01-31T00:00:00"/>
    <s v="ACCIDENT DU TRAVAIL"/>
    <m/>
    <e v="#N/A"/>
    <e v="#N/A"/>
    <n v="85468"/>
    <s v="SA202501"/>
    <m/>
    <s v="Q1"/>
    <e v="#REF!"/>
    <e v="#REF!"/>
    <e v="#REF!"/>
  </r>
  <r>
    <s v="645100"/>
    <x v="6"/>
    <s v="URSSAF"/>
    <s v="SA"/>
    <n v="102.73"/>
    <d v="2025-03-31T00:00:00"/>
    <s v="ACCIDENT DU TRAVAIL"/>
    <m/>
    <e v="#N/A"/>
    <e v="#N/A"/>
    <n v="80575"/>
    <s v="SA202503"/>
    <m/>
    <s v="Q1"/>
    <e v="#REF!"/>
    <e v="#REF!"/>
    <e v="#REF!"/>
  </r>
  <r>
    <s v="645100"/>
    <x v="6"/>
    <s v="URSSAF"/>
    <s v="SA"/>
    <n v="102.73"/>
    <d v="2025-04-30T00:00:00"/>
    <s v="ACCIDENT DU TRAVAIL"/>
    <m/>
    <e v="#N/A"/>
    <e v="#N/A"/>
    <n v="80404"/>
    <s v="SA202504"/>
    <m/>
    <s v="Q2"/>
    <e v="#REF!"/>
    <e v="#REF!"/>
    <e v="#REF!"/>
  </r>
  <r>
    <s v="645100"/>
    <x v="6"/>
    <s v="URSSAF"/>
    <s v="SA"/>
    <n v="105"/>
    <d v="2025-09-30T00:00:00"/>
    <s v="ALLOCATIONS FAMILIALES (COMPLÉMENT)"/>
    <m/>
    <e v="#N/A"/>
    <e v="#N/A"/>
    <n v="84171"/>
    <s v="SA202509"/>
    <m/>
    <s v="Q3"/>
    <e v="#REF!"/>
    <e v="#REF!"/>
    <e v="#REF!"/>
  </r>
  <r>
    <s v="645100"/>
    <x v="6"/>
    <s v="URSSAF"/>
    <s v="SA"/>
    <n v="105"/>
    <d v="2025-10-31T00:00:00"/>
    <s v="ALLOCATIONS FAMILIALES (COMPLÉMENT)"/>
    <m/>
    <e v="#N/A"/>
    <e v="#N/A"/>
    <n v="87837"/>
    <s v="SA202510"/>
    <m/>
    <s v="Q4"/>
    <e v="#REF!"/>
    <e v="#REF!"/>
    <e v="#REF!"/>
  </r>
  <r>
    <s v="645100"/>
    <x v="6"/>
    <s v="URSSAF"/>
    <s v="SA"/>
    <n v="105"/>
    <d v="2025-11-30T00:00:00"/>
    <s v="ALLOCATIONS FAMILIALES (COMPLÉMENT)"/>
    <m/>
    <e v="#N/A"/>
    <e v="#N/A"/>
    <n v="92344"/>
    <s v="SA202511"/>
    <m/>
    <s v="Q4"/>
    <e v="#REF!"/>
    <e v="#REF!"/>
    <e v="#REF!"/>
  </r>
  <r>
    <s v="645100"/>
    <x v="6"/>
    <s v="URSSAF"/>
    <s v="SA"/>
    <n v="105.3"/>
    <d v="2025-02-28T00:00:00"/>
    <s v="FNAL PLAFONNÉ"/>
    <m/>
    <e v="#N/A"/>
    <e v="#N/A"/>
    <n v="85287"/>
    <s v="SA202502"/>
    <m/>
    <s v="Q1"/>
    <e v="#REF!"/>
    <e v="#REF!"/>
    <e v="#REF!"/>
  </r>
  <r>
    <s v="645100"/>
    <x v="6"/>
    <s v="URSSAF"/>
    <s v="SA"/>
    <n v="105.35"/>
    <d v="2025-01-31T00:00:00"/>
    <s v="AGS"/>
    <m/>
    <e v="#N/A"/>
    <e v="#N/A"/>
    <n v="85441"/>
    <s v="SA202501"/>
    <m/>
    <s v="Q1"/>
    <e v="#REF!"/>
    <e v="#REF!"/>
    <e v="#REF!"/>
  </r>
  <r>
    <s v="645100"/>
    <x v="6"/>
    <s v="URSSAF"/>
    <s v="SA"/>
    <n v="106.17"/>
    <d v="2025-12-31T00:00:00"/>
    <s v="ALLOCATIONS FAMILIALES (COMPLÉMENT)"/>
    <m/>
    <e v="#N/A"/>
    <e v="#N/A"/>
    <n v="92807"/>
    <s v="SA202512"/>
    <m/>
    <s v="Q4"/>
    <e v="#REF!"/>
    <e v="#REF!"/>
    <e v="#REF!"/>
  </r>
  <r>
    <s v="645100"/>
    <x v="6"/>
    <s v="URSSAF"/>
    <s v="SA"/>
    <n v="107.77"/>
    <d v="2025-06-30T00:00:00"/>
    <s v="CONTRIBUTION SOLIDARITÉ AUTONOMIE"/>
    <m/>
    <e v="#N/A"/>
    <e v="#N/A"/>
    <n v="80032"/>
    <s v="SA202506"/>
    <m/>
    <s v="Q2"/>
    <e v="#REF!"/>
    <e v="#REF!"/>
    <e v="#REF!"/>
  </r>
  <r>
    <s v="645100"/>
    <x v="6"/>
    <s v="URSSAF"/>
    <s v="SA"/>
    <n v="108.33"/>
    <d v="2025-10-31T00:00:00"/>
    <s v="AGS"/>
    <m/>
    <e v="#N/A"/>
    <e v="#N/A"/>
    <n v="87822"/>
    <s v="SA202510"/>
    <m/>
    <s v="Q4"/>
    <e v="#REF!"/>
    <e v="#REF!"/>
    <e v="#REF!"/>
  </r>
  <r>
    <s v="645100"/>
    <x v="6"/>
    <s v="URSSAF"/>
    <s v="SA"/>
    <n v="108.34"/>
    <d v="2025-12-31T00:00:00"/>
    <s v="AGS"/>
    <m/>
    <e v="#N/A"/>
    <e v="#N/A"/>
    <n v="92792"/>
    <s v="SA202512"/>
    <m/>
    <s v="Q4"/>
    <e v="#REF!"/>
    <e v="#REF!"/>
    <e v="#REF!"/>
  </r>
  <r>
    <s v="645100"/>
    <x v="6"/>
    <s v="URSSAF"/>
    <s v="SA"/>
    <n v="108.75"/>
    <d v="2025-11-30T00:00:00"/>
    <s v="AGS"/>
    <m/>
    <e v="#N/A"/>
    <e v="#N/A"/>
    <n v="92329"/>
    <s v="SA202511"/>
    <m/>
    <s v="Q4"/>
    <e v="#REF!"/>
    <e v="#REF!"/>
    <e v="#REF!"/>
  </r>
  <r>
    <s v="645100"/>
    <x v="6"/>
    <s v="URSSAF"/>
    <s v="SA"/>
    <n v="112"/>
    <d v="2025-01-31T00:00:00"/>
    <s v="CONTRIBUTION SOLIDARITÉ AUTONOMIE"/>
    <m/>
    <e v="#N/A"/>
    <e v="#N/A"/>
    <n v="85434"/>
    <s v="SA202501"/>
    <m/>
    <s v="Q1"/>
    <e v="#REF!"/>
    <e v="#REF!"/>
    <e v="#REF!"/>
  </r>
  <r>
    <s v="645100"/>
    <x v="6"/>
    <s v="URSSAF"/>
    <s v="SA"/>
    <n v="112.69"/>
    <d v="2025-08-31T00:00:00"/>
    <s v="AGS"/>
    <m/>
    <e v="#N/A"/>
    <e v="#N/A"/>
    <n v="83982"/>
    <s v="SA202508"/>
    <m/>
    <s v="Q3"/>
    <e v="#REF!"/>
    <e v="#REF!"/>
    <e v="#REF!"/>
  </r>
  <r>
    <s v="645100"/>
    <x v="6"/>
    <s v="URSSAF"/>
    <s v="SA"/>
    <n v="112.88"/>
    <d v="2025-06-30T00:00:00"/>
    <s v="ACCIDENT DU TRAVAIL"/>
    <m/>
    <e v="#N/A"/>
    <e v="#N/A"/>
    <n v="80066"/>
    <s v="SA202506"/>
    <m/>
    <s v="Q2"/>
    <e v="#REF!"/>
    <e v="#REF!"/>
    <e v="#REF!"/>
  </r>
  <r>
    <s v="645100"/>
    <x v="6"/>
    <s v="URSSAF"/>
    <s v="SA"/>
    <n v="112.88"/>
    <d v="2025-08-31T00:00:00"/>
    <s v="ACCIDENT DU TRAVAIL"/>
    <m/>
    <e v="#N/A"/>
    <e v="#N/A"/>
    <n v="84009"/>
    <s v="SA202508"/>
    <m/>
    <s v="Q3"/>
    <e v="#REF!"/>
    <e v="#REF!"/>
    <e v="#REF!"/>
  </r>
  <r>
    <s v="645100"/>
    <x v="6"/>
    <s v="URSSAF"/>
    <s v="SA"/>
    <n v="112.88"/>
    <d v="2025-11-30T00:00:00"/>
    <s v="ACCIDENT DU TRAVAIL - EXO PART APPRENTI"/>
    <m/>
    <e v="#N/A"/>
    <e v="#N/A"/>
    <n v="92356"/>
    <s v="SA202511"/>
    <m/>
    <s v="Q4"/>
    <e v="#REF!"/>
    <e v="#REF!"/>
    <e v="#REF!"/>
  </r>
  <r>
    <s v="645100"/>
    <x v="6"/>
    <s v="URSSAF"/>
    <s v="SA"/>
    <n v="112.91"/>
    <d v="2025-07-31T00:00:00"/>
    <s v="ACCIDENT DU TRAVAIL"/>
    <m/>
    <e v="#N/A"/>
    <e v="#N/A"/>
    <n v="79894"/>
    <s v="SA202507"/>
    <m/>
    <s v="Q3"/>
    <e v="#REF!"/>
    <e v="#REF!"/>
    <e v="#REF!"/>
  </r>
  <r>
    <s v="645100"/>
    <x v="6"/>
    <s v="URSSAF"/>
    <s v="SA"/>
    <n v="112.91"/>
    <d v="2025-12-31T00:00:00"/>
    <s v="ACCIDENT DU TRAVAIL - EXO PART APPRENTI"/>
    <m/>
    <e v="#N/A"/>
    <e v="#N/A"/>
    <n v="92819"/>
    <s v="SA202512"/>
    <m/>
    <s v="Q4"/>
    <e v="#REF!"/>
    <e v="#REF!"/>
    <e v="#REF!"/>
  </r>
  <r>
    <s v="645100"/>
    <x v="6"/>
    <s v="URSSAF"/>
    <s v="SA"/>
    <n v="112.92"/>
    <d v="2025-09-30T00:00:00"/>
    <s v="ACCIDENT DU TRAVAIL - EXO PART APPRENTI"/>
    <m/>
    <e v="#N/A"/>
    <e v="#N/A"/>
    <n v="84183"/>
    <s v="SA202509"/>
    <m/>
    <s v="Q3"/>
    <e v="#REF!"/>
    <e v="#REF!"/>
    <e v="#REF!"/>
  </r>
  <r>
    <s v="645100"/>
    <x v="6"/>
    <s v="URSSAF"/>
    <s v="SA"/>
    <n v="113.31"/>
    <d v="2025-05-31T00:00:00"/>
    <s v="ACCIDENT DU TRAVAIL"/>
    <m/>
    <e v="#N/A"/>
    <e v="#N/A"/>
    <n v="80234"/>
    <s v="SA202505"/>
    <m/>
    <s v="Q2"/>
    <e v="#REF!"/>
    <e v="#REF!"/>
    <e v="#REF!"/>
  </r>
  <r>
    <s v="645100"/>
    <x v="6"/>
    <s v="URSSAF"/>
    <s v="SA"/>
    <n v="113.31"/>
    <d v="2025-07-31T00:00:00"/>
    <s v="AGS"/>
    <m/>
    <e v="#N/A"/>
    <e v="#N/A"/>
    <n v="79867"/>
    <s v="SA202507"/>
    <m/>
    <s v="Q3"/>
    <e v="#REF!"/>
    <e v="#REF!"/>
    <e v="#REF!"/>
  </r>
  <r>
    <s v="645100"/>
    <x v="6"/>
    <s v="URSSAF"/>
    <s v="SA"/>
    <n v="120.76"/>
    <d v="2025-09-30T00:00:00"/>
    <s v="AGS"/>
    <m/>
    <e v="#N/A"/>
    <e v="#N/A"/>
    <n v="84156"/>
    <s v="SA202509"/>
    <m/>
    <s v="Q3"/>
    <e v="#REF!"/>
    <e v="#REF!"/>
    <e v="#REF!"/>
  </r>
  <r>
    <s v="645100"/>
    <x v="6"/>
    <s v="URSSAF"/>
    <s v="SA"/>
    <n v="125.26"/>
    <d v="2025-05-31T00:00:00"/>
    <s v="AGS"/>
    <m/>
    <e v="#N/A"/>
    <e v="#N/A"/>
    <n v="80207"/>
    <s v="SA202505"/>
    <m/>
    <s v="Q2"/>
    <e v="#REF!"/>
    <e v="#REF!"/>
    <e v="#REF!"/>
  </r>
  <r>
    <s v="645100"/>
    <x v="6"/>
    <s v="URSSAF"/>
    <s v="SA"/>
    <n v="126.42"/>
    <d v="2025-01-31T00:00:00"/>
    <s v="CONTRIBUTION SOLIDARITÉ AUTONOMIE"/>
    <m/>
    <e v="#N/A"/>
    <e v="#N/A"/>
    <n v="85446"/>
    <s v="SA202501"/>
    <m/>
    <s v="Q1"/>
    <e v="#REF!"/>
    <e v="#REF!"/>
    <e v="#REF!"/>
  </r>
  <r>
    <s v="645100"/>
    <x v="6"/>
    <s v="URSSAF"/>
    <s v="SA"/>
    <n v="128.63"/>
    <d v="2025-10-31T00:00:00"/>
    <s v="ACCIDENT DU TRAVAIL - EXO PART APPRENTI"/>
    <m/>
    <e v="#N/A"/>
    <e v="#N/A"/>
    <n v="87849"/>
    <s v="SA202510"/>
    <m/>
    <s v="Q4"/>
    <e v="#REF!"/>
    <e v="#REF!"/>
    <e v="#REF!"/>
  </r>
  <r>
    <s v="645100"/>
    <x v="6"/>
    <s v="URSSAF"/>
    <s v="SA"/>
    <n v="128.99"/>
    <d v="2025-04-30T00:00:00"/>
    <s v="AGS"/>
    <m/>
    <e v="#N/A"/>
    <e v="#N/A"/>
    <n v="80375"/>
    <s v="SA202504"/>
    <m/>
    <s v="Q2"/>
    <e v="#REF!"/>
    <e v="#REF!"/>
    <e v="#REF!"/>
  </r>
  <r>
    <s v="645100"/>
    <x v="6"/>
    <s v="URSSAF"/>
    <s v="SA"/>
    <n v="130"/>
    <d v="2025-10-31T00:00:00"/>
    <s v="CONTRIBUTION SOLIDARITÉ AUTONOMIE - EXO PART APPRENTI"/>
    <m/>
    <e v="#N/A"/>
    <e v="#N/A"/>
    <n v="87827"/>
    <s v="SA202510"/>
    <m/>
    <s v="Q4"/>
    <e v="#REF!"/>
    <e v="#REF!"/>
    <e v="#REF!"/>
  </r>
  <r>
    <s v="645100"/>
    <x v="6"/>
    <s v="URSSAF"/>
    <s v="SA"/>
    <n v="130"/>
    <d v="2025-12-31T00:00:00"/>
    <s v="CONTRIBUTION SOLIDARITÉ AUTONOMIE - EXO PART APPRENTI"/>
    <m/>
    <e v="#N/A"/>
    <e v="#N/A"/>
    <n v="92797"/>
    <s v="SA202512"/>
    <m/>
    <s v="Q4"/>
    <e v="#REF!"/>
    <e v="#REF!"/>
    <e v="#REF!"/>
  </r>
  <r>
    <s v="645100"/>
    <x v="6"/>
    <s v="URSSAF"/>
    <s v="SA"/>
    <n v="130.41"/>
    <d v="2025-06-30T00:00:00"/>
    <s v="AGS"/>
    <m/>
    <e v="#N/A"/>
    <e v="#N/A"/>
    <n v="80039"/>
    <s v="SA202506"/>
    <m/>
    <s v="Q2"/>
    <e v="#REF!"/>
    <e v="#REF!"/>
    <e v="#REF!"/>
  </r>
  <r>
    <s v="645100"/>
    <x v="6"/>
    <s v="URSSAF"/>
    <s v="SA"/>
    <n v="130.51"/>
    <d v="2025-11-30T00:00:00"/>
    <s v="CONTRIBUTION SOLIDARITÉ AUTONOMIE - EXO PART APPRENTI"/>
    <m/>
    <e v="#N/A"/>
    <e v="#N/A"/>
    <n v="92334"/>
    <s v="SA202511"/>
    <m/>
    <s v="Q4"/>
    <e v="#REF!"/>
    <e v="#REF!"/>
    <e v="#REF!"/>
  </r>
  <r>
    <s v="645100"/>
    <x v="6"/>
    <s v="URSSAF"/>
    <s v="SA"/>
    <n v="131.53"/>
    <d v="2025-03-31T00:00:00"/>
    <s v="AGS"/>
    <m/>
    <e v="#N/A"/>
    <e v="#N/A"/>
    <n v="80548"/>
    <s v="SA202503"/>
    <m/>
    <s v="Q1"/>
    <e v="#REF!"/>
    <e v="#REF!"/>
    <e v="#REF!"/>
  </r>
  <r>
    <s v="645100"/>
    <x v="6"/>
    <s v="URSSAF"/>
    <s v="SA"/>
    <n v="135.22"/>
    <d v="2025-08-31T00:00:00"/>
    <s v="CONTRIBUTION SOLIDARITÉ AUTONOMIE"/>
    <m/>
    <e v="#N/A"/>
    <e v="#N/A"/>
    <n v="83987"/>
    <s v="SA202508"/>
    <m/>
    <s v="Q3"/>
    <e v="#REF!"/>
    <e v="#REF!"/>
    <e v="#REF!"/>
  </r>
  <r>
    <s v="645100"/>
    <x v="6"/>
    <s v="URSSAF"/>
    <s v="SA"/>
    <n v="135.99"/>
    <d v="2025-07-31T00:00:00"/>
    <s v="CONTRIBUTION SOLIDARITÉ AUTONOMIE"/>
    <m/>
    <e v="#N/A"/>
    <e v="#N/A"/>
    <n v="79872"/>
    <s v="SA202507"/>
    <m/>
    <s v="Q3"/>
    <e v="#REF!"/>
    <e v="#REF!"/>
    <e v="#REF!"/>
  </r>
  <r>
    <s v="645100"/>
    <x v="6"/>
    <s v="URSSAF"/>
    <s v="SA"/>
    <n v="144.91999999999999"/>
    <d v="2025-09-30T00:00:00"/>
    <s v="CONTRIBUTION SOLIDARITÉ AUTONOMIE - EXO PART APPRENTI"/>
    <m/>
    <e v="#N/A"/>
    <e v="#N/A"/>
    <n v="84161"/>
    <s v="SA202509"/>
    <m/>
    <s v="Q3"/>
    <e v="#REF!"/>
    <e v="#REF!"/>
    <e v="#REF!"/>
  </r>
  <r>
    <s v="645100"/>
    <x v="6"/>
    <s v="URSSAF"/>
    <s v="SA"/>
    <n v="150.30000000000001"/>
    <d v="2025-05-31T00:00:00"/>
    <s v="CONTRIBUTION SOLIDARITÉ AUTONOMIE"/>
    <m/>
    <e v="#N/A"/>
    <e v="#N/A"/>
    <n v="80212"/>
    <s v="SA202505"/>
    <m/>
    <s v="Q2"/>
    <e v="#REF!"/>
    <e v="#REF!"/>
    <e v="#REF!"/>
  </r>
  <r>
    <s v="645100"/>
    <x v="6"/>
    <s v="URSSAF"/>
    <s v="SA"/>
    <n v="151.19"/>
    <d v="2025-03-31T00:00:00"/>
    <s v="CONTRIBUTION SOLIDARITÉ AUTONOMIE"/>
    <m/>
    <e v="#N/A"/>
    <e v="#N/A"/>
    <n v="80553"/>
    <s v="SA202503"/>
    <m/>
    <s v="Q1"/>
    <e v="#REF!"/>
    <e v="#REF!"/>
    <e v="#REF!"/>
  </r>
  <r>
    <s v="645100"/>
    <x v="6"/>
    <s v="URSSAF"/>
    <s v="SA"/>
    <n v="151.31"/>
    <d v="2025-02-28T00:00:00"/>
    <s v="AGS"/>
    <m/>
    <e v="#N/A"/>
    <e v="#N/A"/>
    <n v="85254"/>
    <s v="SA202502"/>
    <m/>
    <s v="Q1"/>
    <e v="#REF!"/>
    <e v="#REF!"/>
    <e v="#REF!"/>
  </r>
  <r>
    <s v="645100"/>
    <x v="6"/>
    <s v="URSSAF"/>
    <s v="SA"/>
    <n v="154.80000000000001"/>
    <d v="2025-04-30T00:00:00"/>
    <s v="CONTRIBUTION SOLIDARITÉ AUTONOMIE"/>
    <m/>
    <e v="#N/A"/>
    <e v="#N/A"/>
    <n v="80380"/>
    <s v="SA202504"/>
    <m/>
    <s v="Q2"/>
    <e v="#REF!"/>
    <e v="#REF!"/>
    <e v="#REF!"/>
  </r>
  <r>
    <s v="645100"/>
    <x v="6"/>
    <s v="URSSAF"/>
    <s v="SA"/>
    <n v="156.30000000000001"/>
    <d v="2025-03-31T00:00:00"/>
    <s v="ALLOCATIONS FAMILIALES (COMPLÉMENT)"/>
    <m/>
    <e v="#N/A"/>
    <e v="#N/A"/>
    <n v="80577"/>
    <s v="SA202503"/>
    <m/>
    <s v="Q1"/>
    <e v="#REF!"/>
    <e v="#REF!"/>
    <e v="#REF!"/>
  </r>
  <r>
    <s v="645100"/>
    <x v="6"/>
    <s v="URSSAF"/>
    <s v="SA"/>
    <n v="156.30000000000001"/>
    <d v="2025-04-30T00:00:00"/>
    <s v="ALLOCATIONS FAMILIALES (COMPLÉMENT)"/>
    <m/>
    <e v="#N/A"/>
    <e v="#N/A"/>
    <n v="80406"/>
    <s v="SA202504"/>
    <m/>
    <s v="Q2"/>
    <e v="#REF!"/>
    <e v="#REF!"/>
    <e v="#REF!"/>
  </r>
  <r>
    <s v="645100"/>
    <x v="6"/>
    <s v="URSSAF"/>
    <s v="SA"/>
    <n v="156.30000000000001"/>
    <d v="2025-06-30T00:00:00"/>
    <s v="ALLOCATIONS FAMILIALES (COMPLÉMENT)"/>
    <m/>
    <e v="#N/A"/>
    <e v="#N/A"/>
    <n v="80068"/>
    <s v="SA202506"/>
    <m/>
    <s v="Q2"/>
    <e v="#REF!"/>
    <e v="#REF!"/>
    <e v="#REF!"/>
  </r>
  <r>
    <s v="645100"/>
    <x v="6"/>
    <s v="URSSAF"/>
    <s v="SA"/>
    <n v="156.30000000000001"/>
    <d v="2025-07-31T00:00:00"/>
    <s v="ALLOCATIONS FAMILIALES (COMPLÉMENT)"/>
    <m/>
    <e v="#N/A"/>
    <e v="#N/A"/>
    <n v="79896"/>
    <s v="SA202507"/>
    <m/>
    <s v="Q3"/>
    <e v="#REF!"/>
    <e v="#REF!"/>
    <e v="#REF!"/>
  </r>
  <r>
    <s v="645100"/>
    <x v="6"/>
    <s v="URSSAF"/>
    <s v="SA"/>
    <n v="156.30000000000001"/>
    <d v="2025-08-31T00:00:00"/>
    <s v="ALLOCATIONS FAMILIALES (COMPLÉMENT)"/>
    <m/>
    <e v="#N/A"/>
    <e v="#N/A"/>
    <n v="84011"/>
    <s v="SA202508"/>
    <m/>
    <s v="Q3"/>
    <e v="#REF!"/>
    <e v="#REF!"/>
    <e v="#REF!"/>
  </r>
  <r>
    <s v="645100"/>
    <x v="6"/>
    <s v="URSSAF"/>
    <s v="SA"/>
    <n v="156.30000000000001"/>
    <d v="2025-09-30T00:00:00"/>
    <s v="ALLOCATIONS FAMILIALES (COMPLÉMENT)"/>
    <m/>
    <e v="#N/A"/>
    <e v="#N/A"/>
    <n v="84184"/>
    <s v="SA202509"/>
    <m/>
    <s v="Q3"/>
    <e v="#REF!"/>
    <e v="#REF!"/>
    <e v="#REF!"/>
  </r>
  <r>
    <s v="645100"/>
    <x v="6"/>
    <s v="URSSAF"/>
    <s v="SA"/>
    <n v="156.30000000000001"/>
    <d v="2025-11-30T00:00:00"/>
    <s v="ALLOCATIONS FAMILIALES (COMPLÉMENT)"/>
    <m/>
    <e v="#N/A"/>
    <e v="#N/A"/>
    <n v="92357"/>
    <s v="SA202511"/>
    <m/>
    <s v="Q4"/>
    <e v="#REF!"/>
    <e v="#REF!"/>
    <e v="#REF!"/>
  </r>
  <r>
    <s v="645100"/>
    <x v="6"/>
    <s v="URSSAF"/>
    <s v="SA"/>
    <n v="156.30000000000001"/>
    <d v="2025-12-31T00:00:00"/>
    <s v="ALLOCATIONS FAMILIALES (COMPLÉMENT)"/>
    <m/>
    <e v="#N/A"/>
    <e v="#N/A"/>
    <n v="92820"/>
    <s v="SA202512"/>
    <m/>
    <s v="Q4"/>
    <e v="#REF!"/>
    <e v="#REF!"/>
    <e v="#REF!"/>
  </r>
  <r>
    <s v="645100"/>
    <x v="6"/>
    <s v="URSSAF"/>
    <s v="SA"/>
    <n v="156.5"/>
    <d v="2025-06-30T00:00:00"/>
    <s v="CONTRIBUTION SOLIDARITÉ AUTONOMIE"/>
    <m/>
    <e v="#N/A"/>
    <e v="#N/A"/>
    <n v="80044"/>
    <s v="SA202506"/>
    <m/>
    <s v="Q2"/>
    <e v="#REF!"/>
    <e v="#REF!"/>
    <e v="#REF!"/>
  </r>
  <r>
    <s v="645100"/>
    <x v="6"/>
    <s v="URSSAF"/>
    <s v="SA"/>
    <n v="157.15"/>
    <d v="2025-05-31T00:00:00"/>
    <s v="ALLOCATIONS FAMILIALES (COMPLÉMENT)"/>
    <m/>
    <e v="#N/A"/>
    <e v="#N/A"/>
    <n v="80236"/>
    <s v="SA202505"/>
    <m/>
    <s v="Q2"/>
    <e v="#REF!"/>
    <e v="#REF!"/>
    <e v="#REF!"/>
  </r>
  <r>
    <s v="645100"/>
    <x v="6"/>
    <s v="URSSAF"/>
    <s v="SA"/>
    <n v="174.93"/>
    <d v="2025-02-28T00:00:00"/>
    <s v="ACCIDENT DU TRAVAIL"/>
    <m/>
    <e v="#N/A"/>
    <e v="#N/A"/>
    <n v="85294"/>
    <s v="SA202502"/>
    <m/>
    <s v="Q1"/>
    <e v="#REF!"/>
    <e v="#REF!"/>
    <e v="#REF!"/>
  </r>
  <r>
    <s v="645100"/>
    <x v="6"/>
    <s v="URSSAF"/>
    <s v="SA"/>
    <n v="188.15"/>
    <d v="2025-10-31T00:00:00"/>
    <s v="ALLOCATIONS FAMILIALES (COMPLÉMENT)"/>
    <m/>
    <e v="#N/A"/>
    <e v="#N/A"/>
    <n v="87850"/>
    <s v="SA202510"/>
    <m/>
    <s v="Q4"/>
    <e v="#REF!"/>
    <e v="#REF!"/>
    <e v="#REF!"/>
  </r>
  <r>
    <s v="645100"/>
    <x v="6"/>
    <s v="URSSAF"/>
    <s v="SA"/>
    <n v="197.29"/>
    <d v="2025-02-28T00:00:00"/>
    <s v="AGS"/>
    <m/>
    <e v="#N/A"/>
    <e v="#N/A"/>
    <n v="85267"/>
    <s v="SA202502"/>
    <m/>
    <s v="Q1"/>
    <e v="#REF!"/>
    <e v="#REF!"/>
    <e v="#REF!"/>
  </r>
  <r>
    <s v="645100"/>
    <x v="6"/>
    <s v="URSSAF"/>
    <s v="SA"/>
    <n v="198"/>
    <d v="2025-06-30T00:00:00"/>
    <s v="ALLOCATIONS FAMILIALES (COMPLÉMENT)"/>
    <m/>
    <e v="#N/A"/>
    <e v="#N/A"/>
    <n v="80055"/>
    <s v="SA202506"/>
    <m/>
    <s v="Q2"/>
    <e v="#REF!"/>
    <e v="#REF!"/>
    <e v="#REF!"/>
  </r>
  <r>
    <s v="645100"/>
    <x v="6"/>
    <s v="URSSAF"/>
    <s v="SA"/>
    <n v="198"/>
    <d v="2025-07-31T00:00:00"/>
    <s v="ALLOCATIONS FAMILIALES (COMPLÉMENT)"/>
    <m/>
    <e v="#N/A"/>
    <e v="#N/A"/>
    <n v="79883"/>
    <s v="SA202507"/>
    <m/>
    <s v="Q3"/>
    <e v="#REF!"/>
    <e v="#REF!"/>
    <e v="#REF!"/>
  </r>
  <r>
    <s v="645100"/>
    <x v="6"/>
    <s v="URSSAF"/>
    <s v="SA"/>
    <n v="199.25"/>
    <d v="2025-05-31T00:00:00"/>
    <s v="ALLOCATIONS FAMILIALES (COMPLÉMENT)"/>
    <m/>
    <e v="#N/A"/>
    <e v="#N/A"/>
    <n v="80223"/>
    <s v="SA202505"/>
    <m/>
    <s v="Q2"/>
    <e v="#REF!"/>
    <e v="#REF!"/>
    <e v="#REF!"/>
  </r>
  <r>
    <s v="645100"/>
    <x v="6"/>
    <s v="URSSAF"/>
    <s v="SA"/>
    <n v="206.9"/>
    <d v="2025-01-31T00:00:00"/>
    <s v="ALLOCATIONS FAMILIALES (COMPLÉMENT)"/>
    <m/>
    <e v="#N/A"/>
    <e v="#N/A"/>
    <n v="85457"/>
    <s v="SA202501"/>
    <m/>
    <s v="Q1"/>
    <e v="#REF!"/>
    <e v="#REF!"/>
    <e v="#REF!"/>
  </r>
  <r>
    <s v="645100"/>
    <x v="6"/>
    <s v="URSSAF"/>
    <s v="SA"/>
    <n v="228.7"/>
    <d v="2025-12-31T00:00:00"/>
    <s v="AGS"/>
    <m/>
    <e v="#N/A"/>
    <e v="#N/A"/>
    <n v="92805"/>
    <s v="SA202512"/>
    <m/>
    <s v="Q4"/>
    <e v="#REF!"/>
    <e v="#REF!"/>
    <e v="#REF!"/>
  </r>
  <r>
    <s v="645100"/>
    <x v="6"/>
    <s v="URSSAF"/>
    <s v="SA"/>
    <n v="229.33"/>
    <d v="2025-06-30T00:00:00"/>
    <s v="AGS"/>
    <m/>
    <e v="#N/A"/>
    <e v="#N/A"/>
    <n v="80052"/>
    <s v="SA202506"/>
    <m/>
    <s v="Q2"/>
    <e v="#REF!"/>
    <e v="#REF!"/>
    <e v="#REF!"/>
  </r>
  <r>
    <s v="645100"/>
    <x v="6"/>
    <s v="URSSAF"/>
    <s v="SA"/>
    <n v="230"/>
    <d v="2025-08-31T00:00:00"/>
    <s v="AGS"/>
    <m/>
    <e v="#N/A"/>
    <e v="#N/A"/>
    <n v="83995"/>
    <s v="SA202508"/>
    <m/>
    <s v="Q3"/>
    <e v="#REF!"/>
    <e v="#REF!"/>
    <e v="#REF!"/>
  </r>
  <r>
    <s v="645100"/>
    <x v="6"/>
    <s v="URSSAF"/>
    <s v="SA"/>
    <n v="231.55"/>
    <d v="2025-05-31T00:00:00"/>
    <s v="AGS"/>
    <m/>
    <e v="#N/A"/>
    <e v="#N/A"/>
    <n v="80220"/>
    <s v="SA202505"/>
    <m/>
    <s v="Q2"/>
    <e v="#REF!"/>
    <e v="#REF!"/>
    <e v="#REF!"/>
  </r>
  <r>
    <s v="645100"/>
    <x v="6"/>
    <s v="URSSAF"/>
    <s v="SA"/>
    <n v="233.08"/>
    <d v="2025-04-30T00:00:00"/>
    <s v="AGS"/>
    <m/>
    <e v="#N/A"/>
    <e v="#N/A"/>
    <n v="80389"/>
    <s v="SA202504"/>
    <m/>
    <s v="Q2"/>
    <e v="#REF!"/>
    <e v="#REF!"/>
    <e v="#REF!"/>
  </r>
  <r>
    <s v="645100"/>
    <x v="6"/>
    <s v="URSSAF"/>
    <s v="SA"/>
    <n v="233.33"/>
    <d v="2025-10-31T00:00:00"/>
    <s v="AGS"/>
    <m/>
    <e v="#N/A"/>
    <e v="#N/A"/>
    <n v="87835"/>
    <s v="SA202510"/>
    <m/>
    <s v="Q4"/>
    <e v="#REF!"/>
    <e v="#REF!"/>
    <e v="#REF!"/>
  </r>
  <r>
    <s v="645100"/>
    <x v="6"/>
    <s v="URSSAF"/>
    <s v="SA"/>
    <n v="236.73"/>
    <d v="2025-03-31T00:00:00"/>
    <s v="ACCIDENT DU TRAVAIL"/>
    <m/>
    <e v="#N/A"/>
    <e v="#N/A"/>
    <n v="80537"/>
    <s v="SA202503"/>
    <m/>
    <s v="Q1"/>
    <e v="#REF!"/>
    <e v="#REF!"/>
    <e v="#REF!"/>
  </r>
  <r>
    <s v="645100"/>
    <x v="6"/>
    <s v="URSSAF"/>
    <s v="SA"/>
    <n v="236.73"/>
    <d v="2025-04-30T00:00:00"/>
    <s v="ACCIDENT DU TRAVAIL"/>
    <m/>
    <e v="#N/A"/>
    <e v="#N/A"/>
    <n v="80364"/>
    <s v="SA202504"/>
    <m/>
    <s v="Q2"/>
    <e v="#REF!"/>
    <e v="#REF!"/>
    <e v="#REF!"/>
  </r>
  <r>
    <s v="645100"/>
    <x v="6"/>
    <s v="URSSAF"/>
    <s v="SA"/>
    <n v="237.37"/>
    <d v="2025-11-30T00:00:00"/>
    <s v="AGS"/>
    <m/>
    <e v="#N/A"/>
    <e v="#N/A"/>
    <n v="92342"/>
    <s v="SA202511"/>
    <m/>
    <s v="Q4"/>
    <e v="#REF!"/>
    <e v="#REF!"/>
    <e v="#REF!"/>
  </r>
  <r>
    <s v="645100"/>
    <x v="6"/>
    <s v="URSSAF"/>
    <s v="SA"/>
    <n v="241.26"/>
    <d v="2025-03-31T00:00:00"/>
    <s v="AGS"/>
    <m/>
    <e v="#N/A"/>
    <e v="#N/A"/>
    <n v="80561"/>
    <s v="SA202503"/>
    <m/>
    <s v="Q1"/>
    <e v="#REF!"/>
    <e v="#REF!"/>
    <e v="#REF!"/>
  </r>
  <r>
    <s v="645100"/>
    <x v="6"/>
    <s v="URSSAF"/>
    <s v="SA"/>
    <n v="242.16"/>
    <d v="2025-01-31T00:00:00"/>
    <s v="AGS"/>
    <m/>
    <e v="#N/A"/>
    <e v="#N/A"/>
    <n v="85454"/>
    <s v="SA202501"/>
    <m/>
    <s v="Q1"/>
    <e v="#REF!"/>
    <e v="#REF!"/>
    <e v="#REF!"/>
  </r>
  <r>
    <s v="645100"/>
    <x v="6"/>
    <s v="URSSAF"/>
    <s v="SA"/>
    <n v="243.4"/>
    <d v="2025-02-28T00:00:00"/>
    <s v="CONTRIBUTION SOLIDARITÉ AUTONOMIE"/>
    <m/>
    <e v="#N/A"/>
    <e v="#N/A"/>
    <n v="85272"/>
    <s v="SA202502"/>
    <m/>
    <s v="Q1"/>
    <e v="#REF!"/>
    <e v="#REF!"/>
    <e v="#REF!"/>
  </r>
  <r>
    <s v="645100"/>
    <x v="6"/>
    <s v="URSSAF"/>
    <s v="SA"/>
    <n v="245.84"/>
    <d v="2025-09-30T00:00:00"/>
    <s v="AGS"/>
    <m/>
    <e v="#N/A"/>
    <e v="#N/A"/>
    <n v="84169"/>
    <s v="SA202509"/>
    <m/>
    <s v="Q3"/>
    <e v="#REF!"/>
    <e v="#REF!"/>
    <e v="#REF!"/>
  </r>
  <r>
    <s v="645100"/>
    <x v="6"/>
    <s v="URSSAF"/>
    <s v="SA"/>
    <n v="246.37"/>
    <d v="2025-07-31T00:00:00"/>
    <s v="AGS"/>
    <m/>
    <e v="#N/A"/>
    <e v="#N/A"/>
    <n v="79880"/>
    <s v="SA202507"/>
    <m/>
    <s v="Q3"/>
    <e v="#REF!"/>
    <e v="#REF!"/>
    <e v="#REF!"/>
  </r>
  <r>
    <s v="645100"/>
    <x v="6"/>
    <s v="URSSAF"/>
    <s v="SA"/>
    <n v="251.03"/>
    <d v="2025-01-31T00:00:00"/>
    <s v="VIEILLESSE DÉPLAFONNÉE"/>
    <m/>
    <e v="#N/A"/>
    <e v="#N/A"/>
    <n v="85477"/>
    <s v="SA202501"/>
    <m/>
    <s v="Q1"/>
    <e v="#REF!"/>
    <e v="#REF!"/>
    <e v="#REF!"/>
  </r>
  <r>
    <s v="645100"/>
    <x v="6"/>
    <s v="URSSAF"/>
    <s v="SA"/>
    <n v="256.2"/>
    <d v="2025-03-31T00:00:00"/>
    <s v="VIEILLESSE DÉPLAFONNÉE"/>
    <m/>
    <e v="#N/A"/>
    <e v="#N/A"/>
    <n v="80584"/>
    <s v="SA202503"/>
    <m/>
    <s v="Q1"/>
    <e v="#REF!"/>
    <e v="#REF!"/>
    <e v="#REF!"/>
  </r>
  <r>
    <s v="645100"/>
    <x v="6"/>
    <s v="URSSAF"/>
    <s v="SA"/>
    <n v="256.2"/>
    <d v="2025-04-30T00:00:00"/>
    <s v="VIEILLESSE DÉPLAFONNÉE"/>
    <m/>
    <e v="#N/A"/>
    <e v="#N/A"/>
    <n v="80413"/>
    <s v="SA202504"/>
    <m/>
    <s v="Q2"/>
    <e v="#REF!"/>
    <e v="#REF!"/>
    <e v="#REF!"/>
  </r>
  <r>
    <s v="645100"/>
    <x v="6"/>
    <s v="URSSAF"/>
    <s v="SA"/>
    <n v="256.2"/>
    <d v="2025-06-30T00:00:00"/>
    <s v="VIEILLESSE DÉPLAFONNÉE"/>
    <m/>
    <e v="#N/A"/>
    <e v="#N/A"/>
    <n v="80075"/>
    <s v="SA202506"/>
    <m/>
    <s v="Q2"/>
    <e v="#REF!"/>
    <e v="#REF!"/>
    <e v="#REF!"/>
  </r>
  <r>
    <s v="645100"/>
    <x v="6"/>
    <s v="URSSAF"/>
    <s v="SA"/>
    <n v="256.2"/>
    <d v="2025-08-31T00:00:00"/>
    <s v="VIEILLESSE DÉPLAFONNÉE"/>
    <m/>
    <e v="#N/A"/>
    <e v="#N/A"/>
    <n v="84018"/>
    <s v="SA202508"/>
    <m/>
    <s v="Q3"/>
    <e v="#REF!"/>
    <e v="#REF!"/>
    <e v="#REF!"/>
  </r>
  <r>
    <s v="645100"/>
    <x v="6"/>
    <s v="URSSAF"/>
    <s v="SA"/>
    <n v="256.2"/>
    <d v="2025-11-30T00:00:00"/>
    <s v="VIEILLESSE DÉPLAFONNÉE - EXO PART APPRENTI"/>
    <m/>
    <e v="#N/A"/>
    <e v="#N/A"/>
    <n v="92365"/>
    <s v="SA202511"/>
    <m/>
    <s v="Q4"/>
    <e v="#REF!"/>
    <e v="#REF!"/>
    <e v="#REF!"/>
  </r>
  <r>
    <s v="645100"/>
    <x v="6"/>
    <s v="URSSAF"/>
    <s v="SA"/>
    <n v="256.26"/>
    <d v="2025-07-31T00:00:00"/>
    <s v="VIEILLESSE DÉPLAFONNÉE"/>
    <m/>
    <e v="#N/A"/>
    <e v="#N/A"/>
    <n v="79903"/>
    <s v="SA202507"/>
    <m/>
    <s v="Q3"/>
    <e v="#REF!"/>
    <e v="#REF!"/>
    <e v="#REF!"/>
  </r>
  <r>
    <s v="645100"/>
    <x v="6"/>
    <s v="URSSAF"/>
    <s v="SA"/>
    <n v="256.27"/>
    <d v="2025-12-31T00:00:00"/>
    <s v="VIEILLESSE DÉPLAFONNÉE - EXO PART APPRENTI"/>
    <m/>
    <e v="#N/A"/>
    <e v="#N/A"/>
    <n v="92828"/>
    <s v="SA202512"/>
    <m/>
    <s v="Q4"/>
    <e v="#REF!"/>
    <e v="#REF!"/>
    <e v="#REF!"/>
  </r>
  <r>
    <s v="645100"/>
    <x v="6"/>
    <s v="URSSAF"/>
    <s v="SA"/>
    <n v="256.3"/>
    <d v="2025-09-30T00:00:00"/>
    <s v="VIEILLESSE DÉPLAFONNÉE - EXO PART APPRENTI"/>
    <m/>
    <e v="#N/A"/>
    <e v="#N/A"/>
    <n v="84192"/>
    <s v="SA202509"/>
    <m/>
    <s v="Q3"/>
    <e v="#REF!"/>
    <e v="#REF!"/>
    <e v="#REF!"/>
  </r>
  <r>
    <s v="645100"/>
    <x v="6"/>
    <s v="URSSAF"/>
    <s v="SA"/>
    <n v="257.19"/>
    <d v="2025-05-31T00:00:00"/>
    <s v="VIEILLESSE DÉPLAFONNÉE"/>
    <m/>
    <e v="#N/A"/>
    <e v="#N/A"/>
    <n v="80243"/>
    <s v="SA202505"/>
    <m/>
    <s v="Q2"/>
    <e v="#REF!"/>
    <e v="#REF!"/>
    <e v="#REF!"/>
  </r>
  <r>
    <s v="645100"/>
    <x v="6"/>
    <s v="URSSAF"/>
    <s v="SA"/>
    <n v="267.66000000000003"/>
    <d v="2025-05-31T00:00:00"/>
    <s v="ACCIDENT DU TRAVAIL"/>
    <m/>
    <e v="#N/A"/>
    <e v="#N/A"/>
    <n v="80196"/>
    <s v="SA202505"/>
    <m/>
    <s v="Q2"/>
    <e v="#REF!"/>
    <e v="#REF!"/>
    <e v="#REF!"/>
  </r>
  <r>
    <s v="645100"/>
    <x v="6"/>
    <s v="URSSAF"/>
    <s v="SA"/>
    <n v="271.75"/>
    <d v="2025-02-28T00:00:00"/>
    <s v="CONTRIBUTION SOLIDARITÉ AUTONOMIE"/>
    <m/>
    <e v="#N/A"/>
    <e v="#N/A"/>
    <n v="85260"/>
    <s v="SA202502"/>
    <m/>
    <s v="Q1"/>
    <e v="#REF!"/>
    <e v="#REF!"/>
    <e v="#REF!"/>
  </r>
  <r>
    <s v="645100"/>
    <x v="6"/>
    <s v="URSSAF"/>
    <s v="SA"/>
    <n v="274.44"/>
    <d v="2025-12-31T00:00:00"/>
    <s v="CONTRIBUTION SOLIDARITÉ AUTONOMIE - EXO PART APPRENTI"/>
    <m/>
    <e v="#N/A"/>
    <e v="#N/A"/>
    <n v="92810"/>
    <s v="SA202512"/>
    <m/>
    <s v="Q4"/>
    <e v="#REF!"/>
    <e v="#REF!"/>
    <e v="#REF!"/>
  </r>
  <r>
    <s v="645100"/>
    <x v="6"/>
    <s v="URSSAF"/>
    <s v="SA"/>
    <n v="275.19"/>
    <d v="2025-06-30T00:00:00"/>
    <s v="CONTRIBUTION SOLIDARITÉ AUTONOMIE"/>
    <m/>
    <e v="#N/A"/>
    <e v="#N/A"/>
    <n v="80057"/>
    <s v="SA202506"/>
    <m/>
    <s v="Q2"/>
    <e v="#REF!"/>
    <e v="#REF!"/>
    <e v="#REF!"/>
  </r>
  <r>
    <s v="645100"/>
    <x v="6"/>
    <s v="URSSAF"/>
    <s v="SA"/>
    <n v="275.35000000000002"/>
    <d v="2025-07-31T00:00:00"/>
    <s v="ACCIDENT DU TRAVAIL"/>
    <m/>
    <e v="#N/A"/>
    <e v="#N/A"/>
    <n v="79856"/>
    <s v="SA202507"/>
    <m/>
    <s v="Q3"/>
    <e v="#REF!"/>
    <e v="#REF!"/>
    <e v="#REF!"/>
  </r>
  <r>
    <s v="645100"/>
    <x v="6"/>
    <s v="URSSAF"/>
    <s v="SA"/>
    <n v="275.99"/>
    <d v="2025-08-31T00:00:00"/>
    <s v="CONTRIBUTION SOLIDARITÉ AUTONOMIE"/>
    <m/>
    <e v="#N/A"/>
    <e v="#N/A"/>
    <n v="84000"/>
    <s v="SA202508"/>
    <m/>
    <s v="Q3"/>
    <e v="#REF!"/>
    <e v="#REF!"/>
    <e v="#REF!"/>
  </r>
  <r>
    <s v="645100"/>
    <x v="6"/>
    <s v="URSSAF"/>
    <s v="SA"/>
    <n v="276.61"/>
    <d v="2025-09-30T00:00:00"/>
    <s v="ACCIDENT DU TRAVAIL - EXO PART APPRENTI"/>
    <m/>
    <e v="#N/A"/>
    <e v="#N/A"/>
    <n v="84145"/>
    <s v="SA202509"/>
    <m/>
    <s v="Q3"/>
    <e v="#REF!"/>
    <e v="#REF!"/>
    <e v="#REF!"/>
  </r>
  <r>
    <s v="645100"/>
    <x v="6"/>
    <s v="URSSAF"/>
    <s v="SA"/>
    <n v="277.86"/>
    <d v="2025-05-31T00:00:00"/>
    <s v="CONTRIBUTION SOLIDARITÉ AUTONOMIE"/>
    <m/>
    <e v="#N/A"/>
    <e v="#N/A"/>
    <n v="80225"/>
    <s v="SA202505"/>
    <m/>
    <s v="Q2"/>
    <e v="#REF!"/>
    <e v="#REF!"/>
    <e v="#REF!"/>
  </r>
  <r>
    <s v="645100"/>
    <x v="6"/>
    <s v="URSSAF"/>
    <s v="SA"/>
    <n v="279.66000000000003"/>
    <d v="2025-04-30T00:00:00"/>
    <s v="CONTRIBUTION SOLIDARITÉ AUTONOMIE"/>
    <m/>
    <e v="#N/A"/>
    <e v="#N/A"/>
    <n v="80394"/>
    <s v="SA202504"/>
    <m/>
    <s v="Q2"/>
    <e v="#REF!"/>
    <e v="#REF!"/>
    <e v="#REF!"/>
  </r>
  <r>
    <s v="645100"/>
    <x v="6"/>
    <s v="URSSAF"/>
    <s v="SA"/>
    <n v="280"/>
    <d v="2025-10-31T00:00:00"/>
    <s v="CONTRIBUTION SOLIDARITÉ AUTONOMIE - EXO PART APPRENTI"/>
    <m/>
    <e v="#N/A"/>
    <e v="#N/A"/>
    <n v="87840"/>
    <s v="SA202510"/>
    <m/>
    <s v="Q4"/>
    <e v="#REF!"/>
    <e v="#REF!"/>
    <e v="#REF!"/>
  </r>
  <r>
    <s v="645100"/>
    <x v="6"/>
    <s v="URSSAF"/>
    <s v="SA"/>
    <n v="284.86"/>
    <d v="2025-11-30T00:00:00"/>
    <s v="CONTRIBUTION SOLIDARITÉ AUTONOMIE - EXO PART APPRENTI"/>
    <m/>
    <e v="#N/A"/>
    <e v="#N/A"/>
    <n v="92347"/>
    <s v="SA202511"/>
    <m/>
    <s v="Q4"/>
    <e v="#REF!"/>
    <e v="#REF!"/>
    <e v="#REF!"/>
  </r>
  <r>
    <s v="645100"/>
    <x v="6"/>
    <s v="URSSAF"/>
    <s v="SA"/>
    <n v="287.56"/>
    <d v="2025-10-31T00:00:00"/>
    <s v="ACCIDENT DU TRAVAIL - EXO PART APPRENTI"/>
    <m/>
    <e v="#N/A"/>
    <e v="#N/A"/>
    <n v="87811"/>
    <s v="SA202510"/>
    <m/>
    <s v="Q4"/>
    <e v="#REF!"/>
    <e v="#REF!"/>
    <e v="#REF!"/>
  </r>
  <r>
    <s v="645100"/>
    <x v="6"/>
    <s v="URSSAF"/>
    <s v="SA"/>
    <n v="287.99"/>
    <d v="2025-11-30T00:00:00"/>
    <s v="ACCIDENT DU TRAVAIL - EXO PART APPRENTI"/>
    <m/>
    <e v="#N/A"/>
    <e v="#N/A"/>
    <n v="92318"/>
    <s v="SA202511"/>
    <m/>
    <s v="Q4"/>
    <e v="#REF!"/>
    <e v="#REF!"/>
    <e v="#REF!"/>
  </r>
  <r>
    <s v="645100"/>
    <x v="6"/>
    <s v="URSSAF"/>
    <s v="SA"/>
    <n v="289.18"/>
    <d v="2025-12-31T00:00:00"/>
    <s v="ACCIDENT DU TRAVAIL - EXO PART APPRENTI"/>
    <m/>
    <e v="#N/A"/>
    <e v="#N/A"/>
    <n v="92781"/>
    <s v="SA202512"/>
    <m/>
    <s v="Q4"/>
    <e v="#REF!"/>
    <e v="#REF!"/>
    <e v="#REF!"/>
  </r>
  <r>
    <s v="645100"/>
    <x v="6"/>
    <s v="URSSAF"/>
    <s v="SA"/>
    <n v="289.5"/>
    <d v="2025-03-31T00:00:00"/>
    <s v="CONTRIBUTION SOLIDARITÉ AUTONOMIE"/>
    <m/>
    <e v="#N/A"/>
    <e v="#N/A"/>
    <n v="80566"/>
    <s v="SA202503"/>
    <m/>
    <s v="Q1"/>
    <e v="#REF!"/>
    <e v="#REF!"/>
    <e v="#REF!"/>
  </r>
  <r>
    <s v="645100"/>
    <x v="6"/>
    <s v="URSSAF"/>
    <s v="SA"/>
    <n v="290.56"/>
    <d v="2025-01-31T00:00:00"/>
    <s v="CONTRIBUTION SOLIDARITÉ AUTONOMIE"/>
    <m/>
    <e v="#N/A"/>
    <e v="#N/A"/>
    <n v="85459"/>
    <s v="SA202501"/>
    <m/>
    <s v="Q1"/>
    <e v="#REF!"/>
    <e v="#REF!"/>
    <e v="#REF!"/>
  </r>
  <r>
    <s v="645100"/>
    <x v="6"/>
    <s v="URSSAF"/>
    <s v="SA"/>
    <n v="291.94"/>
    <d v="2025-10-31T00:00:00"/>
    <s v="VIEILLESSE DÉPLAFONNÉE - EXO PART APPRENTI"/>
    <m/>
    <e v="#N/A"/>
    <e v="#N/A"/>
    <n v="87858"/>
    <s v="SA202510"/>
    <m/>
    <s v="Q4"/>
    <e v="#REF!"/>
    <e v="#REF!"/>
    <e v="#REF!"/>
  </r>
  <r>
    <s v="645100"/>
    <x v="6"/>
    <s v="URSSAF"/>
    <s v="SA"/>
    <n v="294.99"/>
    <d v="2025-09-30T00:00:00"/>
    <s v="CONTRIBUTION SOLIDARITÉ AUTONOMIE - EXO PART APPRENTI"/>
    <m/>
    <e v="#N/A"/>
    <e v="#N/A"/>
    <n v="84174"/>
    <s v="SA202509"/>
    <m/>
    <s v="Q3"/>
    <e v="#REF!"/>
    <e v="#REF!"/>
    <e v="#REF!"/>
  </r>
  <r>
    <s v="645100"/>
    <x v="6"/>
    <s v="URSSAF"/>
    <s v="SA"/>
    <n v="295.63"/>
    <d v="2025-07-31T00:00:00"/>
    <s v="CONTRIBUTION SOLIDARITÉ AUTONOMIE"/>
    <m/>
    <e v="#N/A"/>
    <e v="#N/A"/>
    <n v="79885"/>
    <s v="SA202507"/>
    <m/>
    <s v="Q3"/>
    <e v="#REF!"/>
    <e v="#REF!"/>
    <e v="#REF!"/>
  </r>
  <r>
    <s v="645100"/>
    <x v="6"/>
    <s v="URSSAF"/>
    <s v="SA"/>
    <n v="297.77"/>
    <d v="2025-08-31T00:00:00"/>
    <s v="ACCIDENT DU TRAVAIL"/>
    <m/>
    <e v="#N/A"/>
    <e v="#N/A"/>
    <n v="83971"/>
    <s v="SA202508"/>
    <m/>
    <s v="Q3"/>
    <e v="#REF!"/>
    <e v="#REF!"/>
    <e v="#REF!"/>
  </r>
  <r>
    <s v="645100"/>
    <x v="6"/>
    <s v="URSSAF"/>
    <s v="SA"/>
    <n v="302.23"/>
    <d v="2025-01-31T00:00:00"/>
    <s v="ALLOCATIONS FAMILIALES (COMPLÉMENT)"/>
    <m/>
    <e v="#N/A"/>
    <e v="#N/A"/>
    <n v="85444"/>
    <s v="SA202501"/>
    <m/>
    <s v="Q1"/>
    <e v="#REF!"/>
    <e v="#REF!"/>
    <e v="#REF!"/>
  </r>
  <r>
    <s v="645100"/>
    <x v="6"/>
    <s v="URSSAF"/>
    <s v="SA"/>
    <n v="302.39"/>
    <d v="2025-01-31T00:00:00"/>
    <s v="ACCIDENT DU TRAVAIL"/>
    <m/>
    <e v="#N/A"/>
    <e v="#N/A"/>
    <n v="85430"/>
    <s v="SA202501"/>
    <m/>
    <s v="Q1"/>
    <e v="#REF!"/>
    <e v="#REF!"/>
    <e v="#REF!"/>
  </r>
  <r>
    <s v="645100"/>
    <x v="6"/>
    <s v="URSSAF"/>
    <s v="SA"/>
    <n v="308.14"/>
    <d v="2025-03-31T00:00:00"/>
    <s v="ALLOCATIONS FAMILIALES (COMPLÉMENT)"/>
    <m/>
    <e v="#N/A"/>
    <e v="#N/A"/>
    <n v="80551"/>
    <s v="SA202503"/>
    <m/>
    <s v="Q1"/>
    <e v="#REF!"/>
    <e v="#REF!"/>
    <e v="#REF!"/>
  </r>
  <r>
    <s v="645100"/>
    <x v="6"/>
    <s v="URSSAF"/>
    <s v="SA"/>
    <n v="319.73"/>
    <d v="2025-06-30T00:00:00"/>
    <s v="ACCIDENT DU TRAVAIL"/>
    <m/>
    <e v="#N/A"/>
    <e v="#N/A"/>
    <n v="80028"/>
    <s v="SA202506"/>
    <m/>
    <s v="Q2"/>
    <e v="#REF!"/>
    <e v="#REF!"/>
    <e v="#REF!"/>
  </r>
  <r>
    <s v="645100"/>
    <x v="6"/>
    <s v="URSSAF"/>
    <s v="SA"/>
    <n v="341.33"/>
    <d v="2025-01-31T00:00:00"/>
    <s v="ACCIDENT DU TRAVAIL"/>
    <m/>
    <e v="#N/A"/>
    <e v="#N/A"/>
    <n v="85442"/>
    <s v="SA202501"/>
    <m/>
    <s v="Q1"/>
    <e v="#REF!"/>
    <e v="#REF!"/>
    <e v="#REF!"/>
  </r>
  <r>
    <s v="645100"/>
    <x v="6"/>
    <s v="URSSAF"/>
    <s v="SA"/>
    <n v="381.6"/>
    <d v="2025-02-28T00:00:00"/>
    <s v="ALLOCATIONS FAMILIALES (COMPLÉMENT)"/>
    <m/>
    <e v="#N/A"/>
    <e v="#N/A"/>
    <n v="85296"/>
    <s v="SA202502"/>
    <m/>
    <s v="Q1"/>
    <e v="#REF!"/>
    <e v="#REF!"/>
    <e v="#REF!"/>
  </r>
  <r>
    <s v="645100"/>
    <x v="6"/>
    <s v="URSSAF"/>
    <s v="SA"/>
    <n v="385.67"/>
    <d v="2025-12-31T00:00:00"/>
    <s v="ACCIDENT DU TRAVAIL - EXO PART APPRENTI"/>
    <m/>
    <e v="#N/A"/>
    <e v="#N/A"/>
    <n v="92793"/>
    <s v="SA202512"/>
    <m/>
    <s v="Q4"/>
    <e v="#REF!"/>
    <e v="#REF!"/>
    <e v="#REF!"/>
  </r>
  <r>
    <s v="645100"/>
    <x v="6"/>
    <s v="URSSAF"/>
    <s v="SA"/>
    <n v="385.68"/>
    <d v="2025-10-31T00:00:00"/>
    <s v="ACCIDENT DU TRAVAIL - EXO PART APPRENTI"/>
    <m/>
    <e v="#N/A"/>
    <e v="#N/A"/>
    <n v="87823"/>
    <s v="SA202510"/>
    <m/>
    <s v="Q4"/>
    <e v="#REF!"/>
    <e v="#REF!"/>
    <e v="#REF!"/>
  </r>
  <r>
    <s v="645100"/>
    <x v="6"/>
    <s v="URSSAF"/>
    <s v="SA"/>
    <n v="387.19"/>
    <d v="2025-11-30T00:00:00"/>
    <s v="ACCIDENT DU TRAVAIL - EXO PART APPRENTI"/>
    <m/>
    <e v="#N/A"/>
    <e v="#N/A"/>
    <n v="92330"/>
    <s v="SA202511"/>
    <m/>
    <s v="Q4"/>
    <e v="#REF!"/>
    <e v="#REF!"/>
    <e v="#REF!"/>
  </r>
  <r>
    <s v="645100"/>
    <x v="6"/>
    <s v="URSSAF"/>
    <s v="SA"/>
    <n v="401.18"/>
    <d v="2025-08-31T00:00:00"/>
    <s v="ACCIDENT DU TRAVAIL"/>
    <m/>
    <e v="#N/A"/>
    <e v="#N/A"/>
    <n v="83983"/>
    <s v="SA202508"/>
    <m/>
    <s v="Q3"/>
    <e v="#REF!"/>
    <e v="#REF!"/>
    <e v="#REF!"/>
  </r>
  <r>
    <s v="645100"/>
    <x v="6"/>
    <s v="URSSAF"/>
    <s v="SA"/>
    <n v="401.54"/>
    <d v="2025-05-31T00:00:00"/>
    <s v="ALLOCATIONS FAMILIALES (COMPLÉMENT)"/>
    <m/>
    <e v="#N/A"/>
    <e v="#N/A"/>
    <n v="80210"/>
    <s v="SA202505"/>
    <m/>
    <s v="Q2"/>
    <e v="#REF!"/>
    <e v="#REF!"/>
    <e v="#REF!"/>
  </r>
  <r>
    <s v="645100"/>
    <x v="6"/>
    <s v="URSSAF"/>
    <s v="SA"/>
    <n v="403.44"/>
    <d v="2025-07-31T00:00:00"/>
    <s v="ACCIDENT DU TRAVAIL"/>
    <m/>
    <e v="#N/A"/>
    <e v="#N/A"/>
    <n v="79868"/>
    <s v="SA202507"/>
    <m/>
    <s v="Q3"/>
    <e v="#REF!"/>
    <e v="#REF!"/>
    <e v="#REF!"/>
  </r>
  <r>
    <s v="645100"/>
    <x v="6"/>
    <s v="URSSAF"/>
    <s v="SA"/>
    <n v="407.4"/>
    <d v="2025-10-31T00:00:00"/>
    <s v="ALLOCATIONS FAMILIALES (COMPLÉMENT)"/>
    <m/>
    <e v="#N/A"/>
    <e v="#N/A"/>
    <n v="87824"/>
    <s v="SA202510"/>
    <m/>
    <s v="Q4"/>
    <e v="#REF!"/>
    <e v="#REF!"/>
    <e v="#REF!"/>
  </r>
  <r>
    <s v="645100"/>
    <x v="6"/>
    <s v="URSSAF"/>
    <s v="SA"/>
    <n v="407.56"/>
    <d v="2025-07-31T00:00:00"/>
    <s v="ALLOCATIONS FAMILIALES (COMPLÉMENT)"/>
    <m/>
    <e v="#N/A"/>
    <e v="#N/A"/>
    <n v="79870"/>
    <s v="SA202507"/>
    <m/>
    <s v="Q3"/>
    <e v="#REF!"/>
    <e v="#REF!"/>
    <e v="#REF!"/>
  </r>
  <r>
    <s v="645100"/>
    <x v="6"/>
    <s v="URSSAF"/>
    <s v="SA"/>
    <n v="408.21"/>
    <d v="2025-03-31T00:00:00"/>
    <s v="ACCIDENT DU TRAVAIL"/>
    <m/>
    <e v="#N/A"/>
    <e v="#N/A"/>
    <n v="80549"/>
    <s v="SA202503"/>
    <m/>
    <s v="Q1"/>
    <e v="#REF!"/>
    <e v="#REF!"/>
    <e v="#REF!"/>
  </r>
  <r>
    <s v="645100"/>
    <x v="6"/>
    <s v="URSSAF"/>
    <s v="SA"/>
    <n v="408.44"/>
    <d v="2025-12-31T00:00:00"/>
    <s v="ALLOCATIONS FAMILIALES (COMPLÉMENT)"/>
    <m/>
    <e v="#N/A"/>
    <e v="#N/A"/>
    <n v="92794"/>
    <s v="SA202512"/>
    <m/>
    <s v="Q4"/>
    <e v="#REF!"/>
    <e v="#REF!"/>
    <e v="#REF!"/>
  </r>
  <r>
    <s v="645100"/>
    <x v="6"/>
    <s v="URSSAF"/>
    <s v="SA"/>
    <n v="411.57"/>
    <d v="2025-11-30T00:00:00"/>
    <s v="ALLOCATIONS FAMILIALES (COMPLÉMENT)"/>
    <m/>
    <e v="#N/A"/>
    <e v="#N/A"/>
    <n v="92331"/>
    <s v="SA202511"/>
    <m/>
    <s v="Q4"/>
    <e v="#REF!"/>
    <e v="#REF!"/>
    <e v="#REF!"/>
  </r>
  <r>
    <s v="645100"/>
    <x v="6"/>
    <s v="URSSAF"/>
    <s v="SA"/>
    <n v="413.13"/>
    <d v="2025-08-31T00:00:00"/>
    <s v="ALLOCATIONS FAMILIALES (COMPLÉMENT)"/>
    <m/>
    <e v="#N/A"/>
    <e v="#N/A"/>
    <n v="83985"/>
    <s v="SA202508"/>
    <m/>
    <s v="Q3"/>
    <e v="#REF!"/>
    <e v="#REF!"/>
    <e v="#REF!"/>
  </r>
  <r>
    <s v="645100"/>
    <x v="6"/>
    <s v="URSSAF"/>
    <s v="SA"/>
    <n v="417.98"/>
    <d v="2025-04-30T00:00:00"/>
    <s v="ACCIDENT DU TRAVAIL"/>
    <m/>
    <e v="#N/A"/>
    <e v="#N/A"/>
    <n v="80376"/>
    <s v="SA202504"/>
    <m/>
    <s v="Q2"/>
    <e v="#REF!"/>
    <e v="#REF!"/>
    <e v="#REF!"/>
  </r>
  <r>
    <s v="645100"/>
    <x v="6"/>
    <s v="URSSAF"/>
    <s v="SA"/>
    <n v="428.05"/>
    <d v="2025-02-28T00:00:00"/>
    <s v="AGS"/>
    <m/>
    <e v="#N/A"/>
    <e v="#N/A"/>
    <n v="85280"/>
    <s v="SA202502"/>
    <m/>
    <s v="Q1"/>
    <e v="#REF!"/>
    <e v="#REF!"/>
    <e v="#REF!"/>
  </r>
  <r>
    <s v="645100"/>
    <x v="6"/>
    <s v="URSSAF"/>
    <s v="SA"/>
    <n v="428.73"/>
    <d v="2025-01-31T00:00:00"/>
    <s v="ALLOCATIONS FAMILIALES"/>
    <m/>
    <e v="#N/A"/>
    <e v="#N/A"/>
    <n v="85469"/>
    <s v="SA202501"/>
    <m/>
    <s v="Q1"/>
    <e v="#REF!"/>
    <e v="#REF!"/>
    <e v="#REF!"/>
  </r>
  <r>
    <s v="645100"/>
    <x v="6"/>
    <s v="URSSAF"/>
    <s v="SA"/>
    <n v="429.93"/>
    <d v="2025-09-30T00:00:00"/>
    <s v="ACCIDENT DU TRAVAIL - EXO PART APPRENTI"/>
    <m/>
    <e v="#N/A"/>
    <e v="#N/A"/>
    <n v="84157"/>
    <s v="SA202509"/>
    <m/>
    <s v="Q3"/>
    <e v="#REF!"/>
    <e v="#REF!"/>
    <e v="#REF!"/>
  </r>
  <r>
    <s v="645100"/>
    <x v="6"/>
    <s v="URSSAF"/>
    <s v="SA"/>
    <n v="436.22"/>
    <d v="2025-02-28T00:00:00"/>
    <s v="VIEILLESSE DÉPLAFONNÉE"/>
    <m/>
    <e v="#N/A"/>
    <e v="#N/A"/>
    <n v="85303"/>
    <s v="SA202502"/>
    <m/>
    <s v="Q1"/>
    <e v="#REF!"/>
    <e v="#REF!"/>
    <e v="#REF!"/>
  </r>
  <r>
    <s v="645100"/>
    <x v="6"/>
    <s v="URSSAF"/>
    <s v="SA"/>
    <n v="436.76"/>
    <d v="2025-09-30T00:00:00"/>
    <s v="ALLOCATIONS FAMILIALES (COMPLÉMENT)"/>
    <m/>
    <e v="#N/A"/>
    <e v="#N/A"/>
    <n v="84158"/>
    <s v="SA202509"/>
    <m/>
    <s v="Q3"/>
    <e v="#REF!"/>
    <e v="#REF!"/>
    <e v="#REF!"/>
  </r>
  <r>
    <s v="645100"/>
    <x v="6"/>
    <s v="URSSAF"/>
    <s v="SA"/>
    <n v="437.56"/>
    <d v="2025-03-31T00:00:00"/>
    <s v="ALLOCATIONS FAMILIALES"/>
    <m/>
    <e v="#N/A"/>
    <e v="#N/A"/>
    <n v="80576"/>
    <s v="SA202503"/>
    <m/>
    <s v="Q1"/>
    <e v="#REF!"/>
    <e v="#REF!"/>
    <e v="#REF!"/>
  </r>
  <r>
    <s v="645100"/>
    <x v="6"/>
    <s v="URSSAF"/>
    <s v="SA"/>
    <n v="437.56"/>
    <d v="2025-04-30T00:00:00"/>
    <s v="ALLOCATIONS FAMILIALES"/>
    <m/>
    <e v="#N/A"/>
    <e v="#N/A"/>
    <n v="80405"/>
    <s v="SA202504"/>
    <m/>
    <s v="Q2"/>
    <e v="#REF!"/>
    <e v="#REF!"/>
    <e v="#REF!"/>
  </r>
  <r>
    <s v="645100"/>
    <x v="6"/>
    <s v="URSSAF"/>
    <s v="SA"/>
    <n v="437.56"/>
    <d v="2025-06-30T00:00:00"/>
    <s v="ALLOCATIONS FAMILIALES"/>
    <m/>
    <e v="#N/A"/>
    <e v="#N/A"/>
    <n v="80067"/>
    <s v="SA202506"/>
    <m/>
    <s v="Q2"/>
    <e v="#REF!"/>
    <e v="#REF!"/>
    <e v="#REF!"/>
  </r>
  <r>
    <s v="645100"/>
    <x v="6"/>
    <s v="URSSAF"/>
    <s v="SA"/>
    <n v="437.56"/>
    <d v="2025-11-30T00:00:00"/>
    <s v="ALLOCATIONS FAMILIALES - EXO PART APPRENTI"/>
    <m/>
    <e v="#N/A"/>
    <e v="#N/A"/>
    <n v="92358"/>
    <s v="SA202511"/>
    <m/>
    <s v="Q4"/>
    <e v="#REF!"/>
    <e v="#REF!"/>
    <e v="#REF!"/>
  </r>
  <r>
    <s v="645100"/>
    <x v="6"/>
    <s v="URSSAF"/>
    <s v="SA"/>
    <n v="437.57"/>
    <d v="2025-08-31T00:00:00"/>
    <s v="ALLOCATIONS FAMILIALES"/>
    <m/>
    <e v="#N/A"/>
    <e v="#N/A"/>
    <n v="84010"/>
    <s v="SA202508"/>
    <m/>
    <s v="Q3"/>
    <e v="#REF!"/>
    <e v="#REF!"/>
    <e v="#REF!"/>
  </r>
  <r>
    <s v="645100"/>
    <x v="6"/>
    <s v="URSSAF"/>
    <s v="SA"/>
    <n v="437.67"/>
    <d v="2025-07-31T00:00:00"/>
    <s v="ALLOCATIONS FAMILIALES"/>
    <m/>
    <e v="#N/A"/>
    <e v="#N/A"/>
    <n v="79895"/>
    <s v="SA202507"/>
    <m/>
    <s v="Q3"/>
    <e v="#REF!"/>
    <e v="#REF!"/>
    <e v="#REF!"/>
  </r>
  <r>
    <s v="645100"/>
    <x v="6"/>
    <s v="URSSAF"/>
    <s v="SA"/>
    <n v="437.68"/>
    <d v="2025-12-31T00:00:00"/>
    <s v="ALLOCATIONS FAMILIALES - EXO PART APPRENTI"/>
    <m/>
    <e v="#N/A"/>
    <e v="#N/A"/>
    <n v="92821"/>
    <s v="SA202512"/>
    <m/>
    <s v="Q4"/>
    <e v="#REF!"/>
    <e v="#REF!"/>
    <e v="#REF!"/>
  </r>
  <r>
    <s v="645100"/>
    <x v="6"/>
    <s v="URSSAF"/>
    <s v="SA"/>
    <n v="437.74"/>
    <d v="2025-09-30T00:00:00"/>
    <s v="ALLOCATIONS FAMILIALES - EXO PART APPRENTI"/>
    <m/>
    <e v="#N/A"/>
    <e v="#N/A"/>
    <n v="84185"/>
    <s v="SA202509"/>
    <m/>
    <s v="Q3"/>
    <e v="#REF!"/>
    <e v="#REF!"/>
    <e v="#REF!"/>
  </r>
  <r>
    <s v="645100"/>
    <x v="6"/>
    <s v="URSSAF"/>
    <s v="SA"/>
    <n v="439.27"/>
    <d v="2025-05-31T00:00:00"/>
    <s v="ALLOCATIONS FAMILIALES"/>
    <m/>
    <e v="#N/A"/>
    <e v="#N/A"/>
    <n v="80235"/>
    <s v="SA202505"/>
    <m/>
    <s v="Q2"/>
    <e v="#REF!"/>
    <e v="#REF!"/>
    <e v="#REF!"/>
  </r>
  <r>
    <s v="645100"/>
    <x v="6"/>
    <s v="URSSAF"/>
    <s v="SA"/>
    <n v="445.93"/>
    <d v="2025-05-31T00:00:00"/>
    <s v="ACCIDENT DU TRAVAIL"/>
    <m/>
    <e v="#N/A"/>
    <e v="#N/A"/>
    <n v="80208"/>
    <s v="SA202505"/>
    <m/>
    <s v="Q2"/>
    <e v="#REF!"/>
    <e v="#REF!"/>
    <e v="#REF!"/>
  </r>
  <r>
    <s v="645100"/>
    <x v="6"/>
    <s v="URSSAF"/>
    <s v="SA"/>
    <n v="461.6"/>
    <d v="2025-03-31T00:00:00"/>
    <s v="ALLOCATIONS FAMILIALES (COMPLÉMENT)"/>
    <m/>
    <e v="#N/A"/>
    <e v="#N/A"/>
    <n v="80539"/>
    <s v="SA202503"/>
    <m/>
    <s v="Q1"/>
    <e v="#REF!"/>
    <e v="#REF!"/>
    <e v="#REF!"/>
  </r>
  <r>
    <s v="645100"/>
    <x v="6"/>
    <s v="URSSAF"/>
    <s v="SA"/>
    <n v="461.6"/>
    <d v="2025-04-30T00:00:00"/>
    <s v="ALLOCATIONS FAMILIALES (COMPLÉMENT)"/>
    <m/>
    <e v="#N/A"/>
    <e v="#N/A"/>
    <n v="80366"/>
    <s v="SA202504"/>
    <m/>
    <s v="Q2"/>
    <e v="#REF!"/>
    <e v="#REF!"/>
    <e v="#REF!"/>
  </r>
  <r>
    <s v="645100"/>
    <x v="6"/>
    <s v="URSSAF"/>
    <s v="SA"/>
    <n v="464.29"/>
    <d v="2025-06-30T00:00:00"/>
    <s v="ACCIDENT DU TRAVAIL"/>
    <m/>
    <e v="#N/A"/>
    <e v="#N/A"/>
    <n v="80040"/>
    <s v="SA202506"/>
    <m/>
    <s v="Q2"/>
    <e v="#REF!"/>
    <e v="#REF!"/>
    <e v="#REF!"/>
  </r>
  <r>
    <s v="645100"/>
    <x v="6"/>
    <s v="URSSAF"/>
    <s v="SA"/>
    <n v="476.86"/>
    <d v="2025-05-31T00:00:00"/>
    <s v="ALLOCATIONS FAMILIALES (COMPLÉMENT)"/>
    <m/>
    <e v="#N/A"/>
    <e v="#N/A"/>
    <n v="80198"/>
    <s v="SA202505"/>
    <m/>
    <s v="Q2"/>
    <e v="#REF!"/>
    <e v="#REF!"/>
    <e v="#REF!"/>
  </r>
  <r>
    <s v="645100"/>
    <x v="6"/>
    <s v="URSSAF"/>
    <s v="SA"/>
    <n v="479.58"/>
    <d v="2025-07-31T00:00:00"/>
    <s v="ALLOCATIONS FAMILIALES (COMPLÉMENT)"/>
    <m/>
    <e v="#N/A"/>
    <e v="#N/A"/>
    <n v="79858"/>
    <s v="SA202507"/>
    <m/>
    <s v="Q3"/>
    <e v="#REF!"/>
    <e v="#REF!"/>
    <e v="#REF!"/>
  </r>
  <r>
    <s v="645100"/>
    <x v="6"/>
    <s v="URSSAF"/>
    <s v="SA"/>
    <n v="498.6"/>
    <d v="2025-10-31T00:00:00"/>
    <s v="ALLOCATIONS FAMILIALES - EXO PART APPRENTI"/>
    <m/>
    <e v="#N/A"/>
    <e v="#N/A"/>
    <n v="87851"/>
    <s v="SA202510"/>
    <m/>
    <s v="Q4"/>
    <e v="#REF!"/>
    <e v="#REF!"/>
    <e v="#REF!"/>
  </r>
  <r>
    <s v="645100"/>
    <x v="6"/>
    <s v="URSSAF"/>
    <s v="SA"/>
    <n v="503.29"/>
    <d v="2025-01-31T00:00:00"/>
    <s v="ASSURANCE CHÔMAGE TRA+TRB"/>
    <m/>
    <e v="#N/A"/>
    <e v="#N/A"/>
    <n v="85471"/>
    <s v="SA202501"/>
    <m/>
    <s v="Q1"/>
    <e v="#REF!"/>
    <e v="#REF!"/>
    <e v="#REF!"/>
  </r>
  <r>
    <s v="645100"/>
    <x v="6"/>
    <s v="URSSAF"/>
    <s v="SA"/>
    <n v="507.01"/>
    <d v="2025-01-31T00:00:00"/>
    <s v="ALLOCATIONS FAMILIALES (COMPLÉMENT)"/>
    <m/>
    <e v="#N/A"/>
    <e v="#N/A"/>
    <n v="85432"/>
    <s v="SA202501"/>
    <m/>
    <s v="Q1"/>
    <e v="#REF!"/>
    <e v="#REF!"/>
    <e v="#REF!"/>
  </r>
  <r>
    <s v="645100"/>
    <x v="6"/>
    <s v="URSSAF"/>
    <s v="SA"/>
    <n v="507.32"/>
    <d v="2025-06-30T00:00:00"/>
    <s v="ASSURANCE CHÔMAGE TRA+TRB"/>
    <m/>
    <e v="#N/A"/>
    <e v="#N/A"/>
    <n v="80069"/>
    <s v="SA202506"/>
    <m/>
    <s v="Q2"/>
    <e v="#REF!"/>
    <e v="#REF!"/>
    <e v="#REF!"/>
  </r>
  <r>
    <s v="645100"/>
    <x v="6"/>
    <s v="URSSAF"/>
    <s v="SA"/>
    <n v="507.32"/>
    <d v="2025-11-30T00:00:00"/>
    <s v="ASSURANCE CHÔMAGE TRA+TRB - EXO PART APPRENTI"/>
    <m/>
    <e v="#N/A"/>
    <e v="#N/A"/>
    <n v="92359"/>
    <s v="SA202511"/>
    <m/>
    <s v="Q4"/>
    <e v="#REF!"/>
    <e v="#REF!"/>
    <e v="#REF!"/>
  </r>
  <r>
    <s v="645100"/>
    <x v="6"/>
    <s v="URSSAF"/>
    <s v="SA"/>
    <n v="507.34"/>
    <d v="2025-08-31T00:00:00"/>
    <s v="ASSURANCE CHÔMAGE TRA+TRB"/>
    <m/>
    <e v="#N/A"/>
    <e v="#N/A"/>
    <n v="84012"/>
    <s v="SA202508"/>
    <m/>
    <s v="Q3"/>
    <e v="#REF!"/>
    <e v="#REF!"/>
    <e v="#REF!"/>
  </r>
  <r>
    <s v="645100"/>
    <x v="6"/>
    <s v="URSSAF"/>
    <s v="SA"/>
    <n v="507.45"/>
    <d v="2025-07-31T00:00:00"/>
    <s v="ASSURANCE CHÔMAGE TRA+TRB"/>
    <m/>
    <e v="#N/A"/>
    <e v="#N/A"/>
    <n v="79897"/>
    <s v="SA202507"/>
    <m/>
    <s v="Q3"/>
    <e v="#REF!"/>
    <e v="#REF!"/>
    <e v="#REF!"/>
  </r>
  <r>
    <s v="645100"/>
    <x v="6"/>
    <s v="URSSAF"/>
    <s v="SA"/>
    <n v="507.46"/>
    <d v="2025-12-31T00:00:00"/>
    <s v="ASSURANCE CHÔMAGE TRA+TRB - EXO PART APPRENTI"/>
    <m/>
    <e v="#N/A"/>
    <e v="#N/A"/>
    <n v="92822"/>
    <s v="SA202512"/>
    <m/>
    <s v="Q4"/>
    <e v="#REF!"/>
    <e v="#REF!"/>
    <e v="#REF!"/>
  </r>
  <r>
    <s v="645100"/>
    <x v="6"/>
    <s v="URSSAF"/>
    <s v="SA"/>
    <n v="507.53"/>
    <d v="2025-09-30T00:00:00"/>
    <s v="ASSURANCE CHÔMAGE TRA+TRB - EXO PART APPRENTI"/>
    <m/>
    <e v="#N/A"/>
    <e v="#N/A"/>
    <n v="84186"/>
    <s v="SA202509"/>
    <m/>
    <s v="Q3"/>
    <e v="#REF!"/>
    <e v="#REF!"/>
    <e v="#REF!"/>
  </r>
  <r>
    <s v="645100"/>
    <x v="6"/>
    <s v="URSSAF"/>
    <s v="SA"/>
    <n v="509.3"/>
    <d v="2025-05-31T00:00:00"/>
    <s v="ASSURANCE CHÔMAGE TRA+TRB"/>
    <m/>
    <e v="#N/A"/>
    <e v="#N/A"/>
    <n v="80237"/>
    <s v="SA202505"/>
    <m/>
    <s v="Q2"/>
    <e v="#REF!"/>
    <e v="#REF!"/>
    <e v="#REF!"/>
  </r>
  <r>
    <s v="645100"/>
    <x v="6"/>
    <s v="URSSAF"/>
    <s v="SA"/>
    <n v="513.66"/>
    <d v="2025-03-31T00:00:00"/>
    <s v="ASSURANCE CHÔMAGE TRA+TRB"/>
    <m/>
    <e v="#N/A"/>
    <e v="#N/A"/>
    <n v="80578"/>
    <s v="SA202503"/>
    <m/>
    <s v="Q1"/>
    <e v="#REF!"/>
    <e v="#REF!"/>
    <e v="#REF!"/>
  </r>
  <r>
    <s v="645100"/>
    <x v="6"/>
    <s v="URSSAF"/>
    <s v="SA"/>
    <n v="513.66"/>
    <d v="2025-04-30T00:00:00"/>
    <s v="ASSURANCE CHÔMAGE TRA+TRB"/>
    <m/>
    <e v="#N/A"/>
    <e v="#N/A"/>
    <n v="80407"/>
    <s v="SA202504"/>
    <m/>
    <s v="Q2"/>
    <e v="#REF!"/>
    <e v="#REF!"/>
    <e v="#REF!"/>
  </r>
  <r>
    <s v="645100"/>
    <x v="6"/>
    <s v="URSSAF"/>
    <s v="SA"/>
    <n v="513.70000000000005"/>
    <d v="2025-02-28T00:00:00"/>
    <s v="CONTRIBUTION SOLIDARITÉ AUTONOMIE"/>
    <m/>
    <e v="#N/A"/>
    <e v="#N/A"/>
    <n v="85285"/>
    <s v="SA202502"/>
    <m/>
    <s v="Q1"/>
    <e v="#REF!"/>
    <e v="#REF!"/>
    <e v="#REF!"/>
  </r>
  <r>
    <s v="645100"/>
    <x v="6"/>
    <s v="URSSAF"/>
    <s v="SA"/>
    <n v="521.66"/>
    <d v="2025-01-31T00:00:00"/>
    <s v="MALADIE (COMPLÉMENT)"/>
    <m/>
    <e v="#N/A"/>
    <e v="#N/A"/>
    <n v="85475"/>
    <s v="SA202501"/>
    <m/>
    <s v="Q1"/>
    <e v="#REF!"/>
    <e v="#REF!"/>
    <e v="#REF!"/>
  </r>
  <r>
    <s v="645100"/>
    <x v="6"/>
    <s v="URSSAF"/>
    <s v="SA"/>
    <n v="559.45000000000005"/>
    <d v="2025-09-30T00:00:00"/>
    <s v="ALLOCATIONS FAMILIALES (COMPLÉMENT)"/>
    <m/>
    <e v="#N/A"/>
    <e v="#N/A"/>
    <n v="84146"/>
    <s v="SA202509"/>
    <m/>
    <s v="Q3"/>
    <e v="#REF!"/>
    <e v="#REF!"/>
    <e v="#REF!"/>
  </r>
  <r>
    <s v="645100"/>
    <x v="6"/>
    <s v="URSSAF"/>
    <s v="SA"/>
    <n v="578.09"/>
    <d v="2025-10-31T00:00:00"/>
    <s v="ASSURANCE CHÔMAGE TRA+TRB - EXO PART APPRENTI"/>
    <m/>
    <e v="#N/A"/>
    <e v="#N/A"/>
    <n v="87852"/>
    <s v="SA202510"/>
    <m/>
    <s v="Q4"/>
    <e v="#REF!"/>
    <e v="#REF!"/>
    <e v="#REF!"/>
  </r>
  <r>
    <s v="645100"/>
    <x v="6"/>
    <s v="URSSAF"/>
    <s v="SA"/>
    <n v="581.6"/>
    <d v="2025-06-30T00:00:00"/>
    <s v="ALLOCATIONS FAMILIALES (COMPLÉMENT)"/>
    <m/>
    <e v="#N/A"/>
    <e v="#N/A"/>
    <n v="80030"/>
    <s v="SA202506"/>
    <m/>
    <s v="Q2"/>
    <e v="#REF!"/>
    <e v="#REF!"/>
    <e v="#REF!"/>
  </r>
  <r>
    <s v="645100"/>
    <x v="6"/>
    <s v="URSSAF"/>
    <s v="SA"/>
    <n v="581.61"/>
    <d v="2025-10-31T00:00:00"/>
    <s v="ALLOCATIONS FAMILIALES (COMPLÉMENT)"/>
    <m/>
    <e v="#N/A"/>
    <e v="#N/A"/>
    <n v="87812"/>
    <s v="SA202510"/>
    <m/>
    <s v="Q4"/>
    <e v="#REF!"/>
    <e v="#REF!"/>
    <e v="#REF!"/>
  </r>
  <r>
    <s v="645100"/>
    <x v="6"/>
    <s v="URSSAF"/>
    <s v="SA"/>
    <n v="582.47"/>
    <d v="2025-11-30T00:00:00"/>
    <s v="ALLOCATIONS FAMILIALES (COMPLÉMENT)"/>
    <m/>
    <e v="#N/A"/>
    <e v="#N/A"/>
    <n v="92319"/>
    <s v="SA202511"/>
    <m/>
    <s v="Q4"/>
    <e v="#REF!"/>
    <e v="#REF!"/>
    <e v="#REF!"/>
  </r>
  <r>
    <s v="645100"/>
    <x v="6"/>
    <s v="URSSAF"/>
    <s v="SA"/>
    <n v="584.88"/>
    <d v="2025-12-31T00:00:00"/>
    <s v="ALLOCATIONS FAMILIALES (COMPLÉMENT)"/>
    <m/>
    <e v="#N/A"/>
    <e v="#N/A"/>
    <n v="92782"/>
    <s v="SA202512"/>
    <m/>
    <s v="Q4"/>
    <e v="#REF!"/>
    <e v="#REF!"/>
    <e v="#REF!"/>
  </r>
  <r>
    <s v="645100"/>
    <x v="6"/>
    <s v="URSSAF"/>
    <s v="SA"/>
    <n v="590.39"/>
    <d v="2025-03-31T00:00:00"/>
    <s v="VIEILLESSE DÉPLAFONNÉE"/>
    <m/>
    <e v="#N/A"/>
    <e v="#N/A"/>
    <n v="80546"/>
    <s v="SA202503"/>
    <m/>
    <s v="Q1"/>
    <e v="#REF!"/>
    <e v="#REF!"/>
    <e v="#REF!"/>
  </r>
  <r>
    <s v="645100"/>
    <x v="6"/>
    <s v="URSSAF"/>
    <s v="SA"/>
    <n v="590.39"/>
    <d v="2025-04-30T00:00:00"/>
    <s v="VIEILLESSE DÉPLAFONNÉE"/>
    <m/>
    <e v="#N/A"/>
    <e v="#N/A"/>
    <n v="80373"/>
    <s v="SA202504"/>
    <m/>
    <s v="Q2"/>
    <e v="#REF!"/>
    <e v="#REF!"/>
    <e v="#REF!"/>
  </r>
  <r>
    <s v="645100"/>
    <x v="6"/>
    <s v="URSSAF"/>
    <s v="SA"/>
    <n v="602.24"/>
    <d v="2025-08-31T00:00:00"/>
    <s v="ALLOCATIONS FAMILIALES (COMPLÉMENT)"/>
    <m/>
    <e v="#N/A"/>
    <e v="#N/A"/>
    <n v="83973"/>
    <s v="SA202508"/>
    <m/>
    <s v="Q3"/>
    <e v="#REF!"/>
    <e v="#REF!"/>
    <e v="#REF!"/>
  </r>
  <r>
    <s v="645100"/>
    <x v="6"/>
    <s v="URSSAF"/>
    <s v="SA"/>
    <n v="607.51"/>
    <d v="2025-05-31T00:00:00"/>
    <s v="VIEILLESSE DÉPLAFONNÉE"/>
    <m/>
    <e v="#N/A"/>
    <e v="#N/A"/>
    <n v="80205"/>
    <s v="SA202505"/>
    <m/>
    <s v="Q2"/>
    <e v="#REF!"/>
    <e v="#REF!"/>
    <e v="#REF!"/>
  </r>
  <r>
    <s v="645100"/>
    <x v="6"/>
    <s v="URSSAF"/>
    <s v="SA"/>
    <n v="624.97"/>
    <d v="2025-07-31T00:00:00"/>
    <s v="VIEILLESSE DÉPLAFONNÉE"/>
    <m/>
    <e v="#N/A"/>
    <e v="#N/A"/>
    <n v="79865"/>
    <s v="SA202507"/>
    <m/>
    <s v="Q3"/>
    <e v="#REF!"/>
    <e v="#REF!"/>
    <e v="#REF!"/>
  </r>
  <r>
    <s v="645100"/>
    <x v="6"/>
    <s v="URSSAF"/>
    <s v="SA"/>
    <n v="627.82000000000005"/>
    <d v="2025-09-30T00:00:00"/>
    <s v="VIEILLESSE DÉPLAFONNÉE - EXO PART APPRENTI"/>
    <m/>
    <e v="#N/A"/>
    <e v="#N/A"/>
    <n v="84154"/>
    <s v="SA202509"/>
    <m/>
    <s v="Q3"/>
    <e v="#REF!"/>
    <e v="#REF!"/>
    <e v="#REF!"/>
  </r>
  <r>
    <s v="645100"/>
    <x v="6"/>
    <s v="URSSAF"/>
    <s v="SA"/>
    <n v="652.67999999999995"/>
    <d v="2025-10-31T00:00:00"/>
    <s v="VIEILLESSE DÉPLAFONNÉE - EXO PART APPRENTI"/>
    <m/>
    <e v="#N/A"/>
    <e v="#N/A"/>
    <n v="87820"/>
    <s v="SA202510"/>
    <m/>
    <s v="Q4"/>
    <e v="#REF!"/>
    <e v="#REF!"/>
    <e v="#REF!"/>
  </r>
  <r>
    <s v="645100"/>
    <x v="6"/>
    <s v="URSSAF"/>
    <s v="SA"/>
    <n v="653.66"/>
    <d v="2025-11-30T00:00:00"/>
    <s v="VIEILLESSE DÉPLAFONNÉE - EXO PART APPRENTI"/>
    <m/>
    <e v="#N/A"/>
    <e v="#N/A"/>
    <n v="92327"/>
    <s v="SA202511"/>
    <m/>
    <s v="Q4"/>
    <e v="#REF!"/>
    <e v="#REF!"/>
    <e v="#REF!"/>
  </r>
  <r>
    <s v="645100"/>
    <x v="6"/>
    <s v="URSSAF"/>
    <s v="SA"/>
    <n v="656.37"/>
    <d v="2025-12-31T00:00:00"/>
    <s v="VIEILLESSE DÉPLAFONNÉE - EXO PART APPRENTI"/>
    <m/>
    <e v="#N/A"/>
    <e v="#N/A"/>
    <n v="92790"/>
    <s v="SA202512"/>
    <m/>
    <s v="Q4"/>
    <e v="#REF!"/>
    <e v="#REF!"/>
    <e v="#REF!"/>
  </r>
  <r>
    <s v="645100"/>
    <x v="6"/>
    <s v="URSSAF"/>
    <s v="SA"/>
    <n v="657.17"/>
    <d v="2025-02-28T00:00:00"/>
    <s v="ACCIDENT DU TRAVAIL"/>
    <m/>
    <e v="#N/A"/>
    <e v="#N/A"/>
    <n v="85268"/>
    <s v="SA202502"/>
    <m/>
    <s v="Q1"/>
    <e v="#REF!"/>
    <e v="#REF!"/>
    <e v="#REF!"/>
  </r>
  <r>
    <s v="645100"/>
    <x v="6"/>
    <s v="URSSAF"/>
    <s v="SA"/>
    <n v="675.84"/>
    <d v="2025-08-31T00:00:00"/>
    <s v="VIEILLESSE DÉPLAFONNÉE"/>
    <m/>
    <e v="#N/A"/>
    <e v="#N/A"/>
    <n v="83980"/>
    <s v="SA202508"/>
    <m/>
    <s v="Q3"/>
    <e v="#REF!"/>
    <e v="#REF!"/>
    <e v="#REF!"/>
  </r>
  <r>
    <s v="645100"/>
    <x v="6"/>
    <s v="URSSAF"/>
    <s v="SA"/>
    <n v="695.14"/>
    <d v="2025-02-28T00:00:00"/>
    <s v="ALLOCATIONS FAMILIALES (COMPLÉMENT)"/>
    <m/>
    <e v="#N/A"/>
    <e v="#N/A"/>
    <n v="85270"/>
    <s v="SA202502"/>
    <m/>
    <s v="Q1"/>
    <e v="#REF!"/>
    <e v="#REF!"/>
    <e v="#REF!"/>
  </r>
  <r>
    <s v="645100"/>
    <x v="6"/>
    <s v="URSSAF"/>
    <s v="SA"/>
    <n v="698.98"/>
    <d v="2025-04-30T00:00:00"/>
    <s v="ALLOCATIONS FAMILIALES (COMPLÉMENT)"/>
    <m/>
    <e v="#N/A"/>
    <e v="#N/A"/>
    <n v="80378"/>
    <s v="SA202504"/>
    <m/>
    <s v="Q2"/>
    <e v="#REF!"/>
    <e v="#REF!"/>
    <e v="#REF!"/>
  </r>
  <r>
    <s v="645100"/>
    <x v="6"/>
    <s v="URSSAF"/>
    <s v="SA"/>
    <n v="725.69"/>
    <d v="2025-06-30T00:00:00"/>
    <s v="VIEILLESSE DÉPLAFONNÉE"/>
    <m/>
    <e v="#N/A"/>
    <e v="#N/A"/>
    <n v="80037"/>
    <s v="SA202506"/>
    <m/>
    <s v="Q2"/>
    <e v="#REF!"/>
    <e v="#REF!"/>
    <e v="#REF!"/>
  </r>
  <r>
    <s v="645100"/>
    <x v="6"/>
    <s v="URSSAF"/>
    <s v="SA"/>
    <n v="733.7"/>
    <d v="2025-02-28T00:00:00"/>
    <s v="ACCIDENT DU TRAVAIL"/>
    <m/>
    <e v="#N/A"/>
    <e v="#N/A"/>
    <n v="85255"/>
    <s v="SA202502"/>
    <m/>
    <s v="Q1"/>
    <e v="#REF!"/>
    <e v="#REF!"/>
    <e v="#REF!"/>
  </r>
  <r>
    <s v="645100"/>
    <x v="6"/>
    <s v="URSSAF"/>
    <s v="SA"/>
    <n v="745.05"/>
    <d v="2025-02-28T00:00:00"/>
    <s v="ALLOCATIONS FAMILIALES"/>
    <m/>
    <e v="#N/A"/>
    <e v="#N/A"/>
    <n v="85295"/>
    <s v="SA202502"/>
    <m/>
    <s v="Q1"/>
    <e v="#REF!"/>
    <e v="#REF!"/>
    <e v="#REF!"/>
  </r>
  <r>
    <s v="645100"/>
    <x v="6"/>
    <s v="URSSAF"/>
    <s v="SA"/>
    <n v="754.14"/>
    <d v="2025-01-31T00:00:00"/>
    <s v="VIEILLESSE DÉPLAFONNÉE"/>
    <m/>
    <e v="#N/A"/>
    <e v="#N/A"/>
    <n v="85439"/>
    <s v="SA202501"/>
    <m/>
    <s v="Q1"/>
    <e v="#REF!"/>
    <e v="#REF!"/>
    <e v="#REF!"/>
  </r>
  <r>
    <s v="645100"/>
    <x v="6"/>
    <s v="URSSAF"/>
    <s v="SA"/>
    <n v="755.11"/>
    <d v="2025-04-30T00:00:00"/>
    <s v="ACCIDENT DU TRAVAIL"/>
    <m/>
    <e v="#N/A"/>
    <e v="#N/A"/>
    <n v="80390"/>
    <s v="SA202504"/>
    <m/>
    <s v="Q2"/>
    <e v="#REF!"/>
    <e v="#REF!"/>
    <e v="#REF!"/>
  </r>
  <r>
    <s v="645100"/>
    <x v="6"/>
    <s v="URSSAF"/>
    <s v="SA"/>
    <n v="760.99"/>
    <d v="2025-06-30T00:00:00"/>
    <s v="MALADIE (COMPLÉMENT)"/>
    <m/>
    <e v="#N/A"/>
    <e v="#N/A"/>
    <n v="80073"/>
    <s v="SA202506"/>
    <m/>
    <s v="Q2"/>
    <e v="#REF!"/>
    <e v="#REF!"/>
    <e v="#REF!"/>
  </r>
  <r>
    <s v="645100"/>
    <x v="6"/>
    <s v="URSSAF"/>
    <s v="SA"/>
    <n v="760.99"/>
    <d v="2025-11-30T00:00:00"/>
    <s v="MALADIE (COMPLÉMENT)"/>
    <m/>
    <e v="#N/A"/>
    <e v="#N/A"/>
    <n v="92363"/>
    <s v="SA202511"/>
    <m/>
    <s v="Q4"/>
    <e v="#REF!"/>
    <e v="#REF!"/>
    <e v="#REF!"/>
  </r>
  <r>
    <s v="645100"/>
    <x v="6"/>
    <s v="URSSAF"/>
    <s v="SA"/>
    <n v="761.01"/>
    <d v="2025-08-31T00:00:00"/>
    <s v="MALADIE (COMPLÉMENT)"/>
    <m/>
    <e v="#N/A"/>
    <e v="#N/A"/>
    <n v="84016"/>
    <s v="SA202508"/>
    <m/>
    <s v="Q3"/>
    <e v="#REF!"/>
    <e v="#REF!"/>
    <e v="#REF!"/>
  </r>
  <r>
    <s v="645100"/>
    <x v="6"/>
    <s v="URSSAF"/>
    <s v="SA"/>
    <n v="761.18"/>
    <d v="2025-07-31T00:00:00"/>
    <s v="MALADIE (COMPLÉMENT)"/>
    <m/>
    <e v="#N/A"/>
    <e v="#N/A"/>
    <n v="79901"/>
    <s v="SA202507"/>
    <m/>
    <s v="Q3"/>
    <e v="#REF!"/>
    <e v="#REF!"/>
    <e v="#REF!"/>
  </r>
  <r>
    <s v="645100"/>
    <x v="6"/>
    <s v="URSSAF"/>
    <s v="SA"/>
    <n v="761.2"/>
    <d v="2025-12-31T00:00:00"/>
    <s v="MALADIE (COMPLÉMENT)"/>
    <m/>
    <e v="#N/A"/>
    <e v="#N/A"/>
    <n v="92826"/>
    <s v="SA202512"/>
    <m/>
    <s v="Q4"/>
    <e v="#REF!"/>
    <e v="#REF!"/>
    <e v="#REF!"/>
  </r>
  <r>
    <s v="645100"/>
    <x v="6"/>
    <s v="URSSAF"/>
    <s v="SA"/>
    <n v="761.3"/>
    <d v="2025-09-30T00:00:00"/>
    <s v="MALADIE (COMPLÉMENT)"/>
    <m/>
    <e v="#N/A"/>
    <e v="#N/A"/>
    <n v="84190"/>
    <s v="SA202509"/>
    <m/>
    <s v="Q3"/>
    <e v="#REF!"/>
    <e v="#REF!"/>
    <e v="#REF!"/>
  </r>
  <r>
    <s v="645100"/>
    <x v="6"/>
    <s v="URSSAF"/>
    <s v="SA"/>
    <n v="763.95"/>
    <d v="2025-05-31T00:00:00"/>
    <s v="MALADIE (COMPLÉMENT)"/>
    <m/>
    <e v="#N/A"/>
    <e v="#N/A"/>
    <n v="80241"/>
    <s v="SA202505"/>
    <m/>
    <s v="Q2"/>
    <e v="#REF!"/>
    <e v="#REF!"/>
    <e v="#REF!"/>
  </r>
  <r>
    <s v="645100"/>
    <x v="6"/>
    <s v="URSSAF"/>
    <s v="SA"/>
    <n v="776.24"/>
    <d v="2025-04-30T00:00:00"/>
    <s v="ASSURANCE CHÔMAGE TRA+TRB"/>
    <m/>
    <e v="#N/A"/>
    <e v="#N/A"/>
    <n v="80367"/>
    <s v="SA202504"/>
    <m/>
    <s v="Q2"/>
    <e v="#REF!"/>
    <e v="#REF!"/>
    <e v="#REF!"/>
  </r>
  <r>
    <s v="645100"/>
    <x v="6"/>
    <s v="URSSAF"/>
    <s v="SA"/>
    <n v="781.61"/>
    <d v="2025-03-31T00:00:00"/>
    <s v="ACCIDENT DU TRAVAIL"/>
    <m/>
    <e v="#N/A"/>
    <e v="#N/A"/>
    <n v="80562"/>
    <s v="SA202503"/>
    <m/>
    <s v="Q1"/>
    <e v="#REF!"/>
    <e v="#REF!"/>
    <e v="#REF!"/>
  </r>
  <r>
    <s v="645100"/>
    <x v="6"/>
    <s v="URSSAF"/>
    <s v="SA"/>
    <n v="784.46"/>
    <d v="2025-01-31T00:00:00"/>
    <s v="ACCIDENT DU TRAVAIL"/>
    <m/>
    <e v="#N/A"/>
    <e v="#N/A"/>
    <n v="85455"/>
    <s v="SA202501"/>
    <m/>
    <s v="Q1"/>
    <e v="#REF!"/>
    <e v="#REF!"/>
    <e v="#REF!"/>
  </r>
  <r>
    <s v="645100"/>
    <x v="6"/>
    <s v="URSSAF"/>
    <s v="SA"/>
    <n v="800.56"/>
    <d v="2025-05-31T00:00:00"/>
    <s v="ASSURANCE CHÔMAGE TRA+TRB"/>
    <m/>
    <e v="#N/A"/>
    <e v="#N/A"/>
    <n v="80199"/>
    <s v="SA202505"/>
    <m/>
    <s v="Q2"/>
    <e v="#REF!"/>
    <e v="#REF!"/>
    <e v="#REF!"/>
  </r>
  <r>
    <s v="645100"/>
    <x v="6"/>
    <s v="URSSAF"/>
    <s v="SA"/>
    <n v="814.17"/>
    <d v="2025-12-31T00:00:00"/>
    <s v="ACCIDENT DU TRAVAIL - EXO PART APPRENTI"/>
    <m/>
    <e v="#N/A"/>
    <e v="#N/A"/>
    <n v="92806"/>
    <s v="SA202512"/>
    <m/>
    <s v="Q4"/>
    <e v="#REF!"/>
    <e v="#REF!"/>
    <e v="#REF!"/>
  </r>
  <r>
    <s v="645100"/>
    <x v="6"/>
    <s v="URSSAF"/>
    <s v="SA"/>
    <n v="816.37"/>
    <d v="2025-06-30T00:00:00"/>
    <s v="ACCIDENT DU TRAVAIL"/>
    <m/>
    <e v="#N/A"/>
    <e v="#N/A"/>
    <n v="80053"/>
    <s v="SA202506"/>
    <m/>
    <s v="Q2"/>
    <e v="#REF!"/>
    <e v="#REF!"/>
    <e v="#REF!"/>
  </r>
  <r>
    <s v="645100"/>
    <x v="6"/>
    <s v="URSSAF"/>
    <s v="SA"/>
    <n v="818.78"/>
    <d v="2025-08-31T00:00:00"/>
    <s v="ACCIDENT DU TRAVAIL"/>
    <m/>
    <e v="#N/A"/>
    <e v="#N/A"/>
    <n v="83996"/>
    <s v="SA202508"/>
    <m/>
    <s v="Q3"/>
    <e v="#REF!"/>
    <e v="#REF!"/>
    <e v="#REF!"/>
  </r>
  <r>
    <s v="645100"/>
    <x v="6"/>
    <s v="URSSAF"/>
    <s v="SA"/>
    <n v="824.32"/>
    <d v="2025-05-31T00:00:00"/>
    <s v="ACCIDENT DU TRAVAIL"/>
    <m/>
    <e v="#N/A"/>
    <e v="#N/A"/>
    <n v="80221"/>
    <s v="SA202505"/>
    <m/>
    <s v="Q2"/>
    <e v="#REF!"/>
    <e v="#REF!"/>
    <e v="#REF!"/>
  </r>
  <r>
    <s v="645100"/>
    <x v="6"/>
    <s v="URSSAF"/>
    <s v="SA"/>
    <n v="830.68"/>
    <d v="2025-10-31T00:00:00"/>
    <s v="ACCIDENT DU TRAVAIL - EXO PART APPRENTI"/>
    <m/>
    <e v="#N/A"/>
    <e v="#N/A"/>
    <n v="87836"/>
    <s v="SA202510"/>
    <m/>
    <s v="Q4"/>
    <e v="#REF!"/>
    <e v="#REF!"/>
    <e v="#REF!"/>
  </r>
  <r>
    <s v="645100"/>
    <x v="6"/>
    <s v="URSSAF"/>
    <s v="SA"/>
    <n v="835.13"/>
    <d v="2025-07-31T00:00:00"/>
    <s v="ASSURANCE CHÔMAGE TRA+TRB"/>
    <m/>
    <e v="#N/A"/>
    <e v="#N/A"/>
    <n v="79859"/>
    <s v="SA202507"/>
    <m/>
    <s v="Q3"/>
    <e v="#REF!"/>
    <e v="#REF!"/>
    <e v="#REF!"/>
  </r>
  <r>
    <s v="645100"/>
    <x v="6"/>
    <s v="URSSAF"/>
    <s v="SA"/>
    <n v="836.88"/>
    <d v="2025-01-31T00:00:00"/>
    <s v="VIEILLESSE PLAFONNÉE"/>
    <m/>
    <e v="#N/A"/>
    <e v="#N/A"/>
    <n v="85478"/>
    <s v="SA202501"/>
    <m/>
    <s v="Q1"/>
    <e v="#REF!"/>
    <e v="#REF!"/>
    <e v="#REF!"/>
  </r>
  <r>
    <s v="645100"/>
    <x v="6"/>
    <s v="URSSAF"/>
    <s v="SA"/>
    <n v="840.77"/>
    <d v="2025-09-30T00:00:00"/>
    <s v="ASSURANCE CHÔMAGE TRA+TRB - EXO PART APPRENTI"/>
    <m/>
    <e v="#N/A"/>
    <e v="#N/A"/>
    <n v="84148"/>
    <s v="SA202509"/>
    <m/>
    <s v="Q3"/>
    <e v="#REF!"/>
    <e v="#REF!"/>
    <e v="#REF!"/>
  </r>
  <r>
    <s v="645100"/>
    <x v="6"/>
    <s v="URSSAF"/>
    <s v="SA"/>
    <n v="845.15"/>
    <d v="2025-11-30T00:00:00"/>
    <s v="ACCIDENT DU TRAVAIL - EXO PART APPRENTI"/>
    <m/>
    <e v="#N/A"/>
    <e v="#N/A"/>
    <n v="92343"/>
    <s v="SA202511"/>
    <m/>
    <s v="Q4"/>
    <e v="#REF!"/>
    <e v="#REF!"/>
    <e v="#REF!"/>
  </r>
  <r>
    <s v="645100"/>
    <x v="6"/>
    <s v="URSSAF"/>
    <s v="SA"/>
    <n v="851.19"/>
    <d v="2025-01-31T00:00:00"/>
    <s v="VIEILLESSE DÉPLAFONNÉE"/>
    <m/>
    <e v="#N/A"/>
    <e v="#N/A"/>
    <n v="85452"/>
    <s v="SA202501"/>
    <m/>
    <s v="Q1"/>
    <e v="#REF!"/>
    <e v="#REF!"/>
    <e v="#REF!"/>
  </r>
  <r>
    <s v="645100"/>
    <x v="6"/>
    <s v="URSSAF"/>
    <s v="SA"/>
    <n v="853.34"/>
    <d v="2025-03-31T00:00:00"/>
    <s v="VIEILLESSE PLAFONNÉE"/>
    <m/>
    <e v="#N/A"/>
    <e v="#N/A"/>
    <n v="80585"/>
    <s v="SA202503"/>
    <m/>
    <s v="Q1"/>
    <e v="#REF!"/>
    <e v="#REF!"/>
    <e v="#REF!"/>
  </r>
  <r>
    <s v="645100"/>
    <x v="6"/>
    <s v="URSSAF"/>
    <s v="SA"/>
    <n v="853.34"/>
    <d v="2025-04-30T00:00:00"/>
    <s v="VIEILLESSE PLAFONNÉE"/>
    <m/>
    <e v="#N/A"/>
    <e v="#N/A"/>
    <n v="80414"/>
    <s v="SA202504"/>
    <m/>
    <s v="Q2"/>
    <e v="#REF!"/>
    <e v="#REF!"/>
    <e v="#REF!"/>
  </r>
  <r>
    <s v="645100"/>
    <x v="6"/>
    <s v="URSSAF"/>
    <s v="SA"/>
    <n v="853.34"/>
    <d v="2025-05-31T00:00:00"/>
    <s v="VIEILLESSE PLAFONNÉE"/>
    <m/>
    <e v="#N/A"/>
    <e v="#N/A"/>
    <n v="80244"/>
    <s v="SA202505"/>
    <m/>
    <s v="Q2"/>
    <e v="#REF!"/>
    <e v="#REF!"/>
    <e v="#REF!"/>
  </r>
  <r>
    <s v="645100"/>
    <x v="6"/>
    <s v="URSSAF"/>
    <s v="SA"/>
    <n v="853.34"/>
    <d v="2025-06-30T00:00:00"/>
    <s v="VIEILLESSE PLAFONNÉE"/>
    <m/>
    <e v="#N/A"/>
    <e v="#N/A"/>
    <n v="80076"/>
    <s v="SA202506"/>
    <m/>
    <s v="Q2"/>
    <e v="#REF!"/>
    <e v="#REF!"/>
    <e v="#REF!"/>
  </r>
  <r>
    <s v="645100"/>
    <x v="6"/>
    <s v="URSSAF"/>
    <s v="SA"/>
    <n v="853.34"/>
    <d v="2025-07-31T00:00:00"/>
    <s v="VIEILLESSE PLAFONNÉE"/>
    <m/>
    <e v="#N/A"/>
    <e v="#N/A"/>
    <n v="79904"/>
    <s v="SA202507"/>
    <m/>
    <s v="Q3"/>
    <e v="#REF!"/>
    <e v="#REF!"/>
    <e v="#REF!"/>
  </r>
  <r>
    <s v="645100"/>
    <x v="6"/>
    <s v="URSSAF"/>
    <s v="SA"/>
    <n v="853.34"/>
    <d v="2025-08-31T00:00:00"/>
    <s v="VIEILLESSE PLAFONNÉE"/>
    <m/>
    <e v="#N/A"/>
    <e v="#N/A"/>
    <n v="84019"/>
    <s v="SA202508"/>
    <m/>
    <s v="Q3"/>
    <e v="#REF!"/>
    <e v="#REF!"/>
    <e v="#REF!"/>
  </r>
  <r>
    <s v="645100"/>
    <x v="6"/>
    <s v="URSSAF"/>
    <s v="SA"/>
    <n v="853.34"/>
    <d v="2025-09-30T00:00:00"/>
    <s v="VIEILLESSE PLAFONNÉE - EXO PART APPRENTI"/>
    <m/>
    <e v="#N/A"/>
    <e v="#N/A"/>
    <n v="84193"/>
    <s v="SA202509"/>
    <m/>
    <s v="Q3"/>
    <e v="#REF!"/>
    <e v="#REF!"/>
    <e v="#REF!"/>
  </r>
  <r>
    <s v="645100"/>
    <x v="6"/>
    <s v="URSSAF"/>
    <s v="SA"/>
    <n v="853.34"/>
    <d v="2025-10-31T00:00:00"/>
    <s v="VIEILLESSE PLAFONNÉE - EXO PART APPRENTI"/>
    <m/>
    <e v="#N/A"/>
    <e v="#N/A"/>
    <n v="87859"/>
    <s v="SA202510"/>
    <m/>
    <s v="Q4"/>
    <e v="#REF!"/>
    <e v="#REF!"/>
    <e v="#REF!"/>
  </r>
  <r>
    <s v="645100"/>
    <x v="6"/>
    <s v="URSSAF"/>
    <s v="SA"/>
    <n v="853.34"/>
    <d v="2025-11-30T00:00:00"/>
    <s v="VIEILLESSE PLAFONNÉE - EXO PART APPRENTI"/>
    <m/>
    <e v="#N/A"/>
    <e v="#N/A"/>
    <n v="92366"/>
    <s v="SA202511"/>
    <m/>
    <s v="Q4"/>
    <e v="#REF!"/>
    <e v="#REF!"/>
    <e v="#REF!"/>
  </r>
  <r>
    <s v="645100"/>
    <x v="6"/>
    <s v="URSSAF"/>
    <s v="SA"/>
    <n v="853.34"/>
    <d v="2025-12-31T00:00:00"/>
    <s v="VIEILLESSE PLAFONNÉE - EXO PART APPRENTI"/>
    <m/>
    <e v="#N/A"/>
    <e v="#N/A"/>
    <n v="92829"/>
    <s v="SA202512"/>
    <m/>
    <s v="Q4"/>
    <e v="#REF!"/>
    <e v="#REF!"/>
    <e v="#REF!"/>
  </r>
  <r>
    <s v="645100"/>
    <x v="6"/>
    <s v="URSSAF"/>
    <s v="SA"/>
    <n v="867.15"/>
    <d v="2025-10-31T00:00:00"/>
    <s v="MALADIE (COMPLÉMENT)"/>
    <m/>
    <e v="#N/A"/>
    <e v="#N/A"/>
    <n v="87856"/>
    <s v="SA202510"/>
    <m/>
    <s v="Q4"/>
    <e v="#REF!"/>
    <e v="#REF!"/>
    <e v="#REF!"/>
  </r>
  <r>
    <s v="645100"/>
    <x v="6"/>
    <s v="URSSAF"/>
    <s v="SA"/>
    <n v="869.79"/>
    <d v="2025-02-28T00:00:00"/>
    <s v="VIEILLESSE PLAFONNÉE"/>
    <m/>
    <e v="#N/A"/>
    <e v="#N/A"/>
    <n v="85304"/>
    <s v="SA202502"/>
    <m/>
    <s v="Q1"/>
    <e v="#REF!"/>
    <e v="#REF!"/>
    <e v="#REF!"/>
  </r>
  <r>
    <s v="645100"/>
    <x v="6"/>
    <s v="URSSAF"/>
    <s v="SA"/>
    <n v="869.88"/>
    <d v="2025-01-31T00:00:00"/>
    <s v="MALADIE - MATERNITÉ - INVALIDITÉ - DÉCÈS"/>
    <m/>
    <e v="#N/A"/>
    <e v="#N/A"/>
    <n v="85476"/>
    <s v="SA202501"/>
    <m/>
    <s v="Q1"/>
    <e v="#REF!"/>
    <e v="#REF!"/>
    <e v="#REF!"/>
  </r>
  <r>
    <s v="645100"/>
    <x v="6"/>
    <s v="URSSAF"/>
    <s v="SA"/>
    <n v="874.15"/>
    <d v="2025-06-30T00:00:00"/>
    <s v="ALLOCATIONS FAMILIALES (COMPLÉMENT)"/>
    <m/>
    <e v="#N/A"/>
    <e v="#N/A"/>
    <n v="80042"/>
    <s v="SA202506"/>
    <m/>
    <s v="Q2"/>
    <e v="#REF!"/>
    <e v="#REF!"/>
    <e v="#REF!"/>
  </r>
  <r>
    <s v="645100"/>
    <x v="6"/>
    <s v="URSSAF"/>
    <s v="SA"/>
    <n v="874.62"/>
    <d v="2025-02-28T00:00:00"/>
    <s v="ASSURANCE CHÔMAGE TRA+TRB"/>
    <m/>
    <e v="#N/A"/>
    <e v="#N/A"/>
    <n v="85297"/>
    <s v="SA202502"/>
    <m/>
    <s v="Q1"/>
    <e v="#REF!"/>
    <e v="#REF!"/>
    <e v="#REF!"/>
  </r>
  <r>
    <s v="645100"/>
    <x v="6"/>
    <s v="URSSAF"/>
    <s v="SA"/>
    <n v="875.14"/>
    <d v="2025-09-30T00:00:00"/>
    <s v="ACCIDENT DU TRAVAIL - EXO PART APPRENTI"/>
    <m/>
    <e v="#N/A"/>
    <e v="#N/A"/>
    <n v="84170"/>
    <s v="SA202509"/>
    <m/>
    <s v="Q3"/>
    <e v="#REF!"/>
    <e v="#REF!"/>
    <e v="#REF!"/>
  </r>
  <r>
    <s v="645100"/>
    <x v="6"/>
    <s v="URSSAF"/>
    <s v="SA"/>
    <n v="875.36"/>
    <d v="2025-10-31T00:00:00"/>
    <s v="VIEILLESSE DÉPLAFONNÉE - EXO PART APPRENTI"/>
    <m/>
    <e v="#N/A"/>
    <e v="#N/A"/>
    <n v="87833"/>
    <s v="SA202510"/>
    <m/>
    <s v="Q4"/>
    <e v="#REF!"/>
    <e v="#REF!"/>
    <e v="#REF!"/>
  </r>
  <r>
    <s v="645100"/>
    <x v="6"/>
    <s v="URSSAF"/>
    <s v="SA"/>
    <n v="875.36"/>
    <d v="2025-12-31T00:00:00"/>
    <s v="VIEILLESSE DÉPLAFONNÉE - EXO PART APPRENTI"/>
    <m/>
    <e v="#N/A"/>
    <e v="#N/A"/>
    <n v="92803"/>
    <s v="SA202512"/>
    <m/>
    <s v="Q4"/>
    <e v="#REF!"/>
    <e v="#REF!"/>
    <e v="#REF!"/>
  </r>
  <r>
    <s v="645100"/>
    <x v="6"/>
    <s v="URSSAF"/>
    <s v="SA"/>
    <n v="877.05"/>
    <d v="2025-07-31T00:00:00"/>
    <s v="ACCIDENT DU TRAVAIL"/>
    <m/>
    <e v="#N/A"/>
    <e v="#N/A"/>
    <n v="79881"/>
    <s v="SA202507"/>
    <m/>
    <s v="Q3"/>
    <e v="#REF!"/>
    <e v="#REF!"/>
    <e v="#REF!"/>
  </r>
  <r>
    <s v="645100"/>
    <x v="6"/>
    <s v="URSSAF"/>
    <s v="SA"/>
    <n v="878.78"/>
    <d v="2025-11-30T00:00:00"/>
    <s v="VIEILLESSE DÉPLAFONNÉE - EXO PART APPRENTI"/>
    <m/>
    <e v="#N/A"/>
    <e v="#N/A"/>
    <n v="92340"/>
    <s v="SA202511"/>
    <m/>
    <s v="Q4"/>
    <e v="#REF!"/>
    <e v="#REF!"/>
    <e v="#REF!"/>
  </r>
  <r>
    <s v="645100"/>
    <x v="6"/>
    <s v="URSSAF"/>
    <s v="SA"/>
    <n v="887.82"/>
    <d v="2025-03-31T00:00:00"/>
    <s v="MALADIE - MATERNITÉ - INVALIDITÉ - DÉCÈS"/>
    <m/>
    <e v="#N/A"/>
    <e v="#N/A"/>
    <n v="80583"/>
    <s v="SA202503"/>
    <m/>
    <s v="Q1"/>
    <e v="#REF!"/>
    <e v="#REF!"/>
    <e v="#REF!"/>
  </r>
  <r>
    <s v="645100"/>
    <x v="6"/>
    <s v="URSSAF"/>
    <s v="SA"/>
    <n v="887.82"/>
    <d v="2025-04-30T00:00:00"/>
    <s v="MALADIE - MATERNITÉ - INVALIDITÉ - DÉCÈS"/>
    <m/>
    <e v="#N/A"/>
    <e v="#N/A"/>
    <n v="80412"/>
    <s v="SA202504"/>
    <m/>
    <s v="Q2"/>
    <e v="#REF!"/>
    <e v="#REF!"/>
    <e v="#REF!"/>
  </r>
  <r>
    <s v="645100"/>
    <x v="6"/>
    <s v="URSSAF"/>
    <s v="SA"/>
    <n v="887.82"/>
    <d v="2025-06-30T00:00:00"/>
    <s v="MALADIE - MATERNITÉ - INVALIDITÉ - DÉCÈS"/>
    <m/>
    <e v="#N/A"/>
    <e v="#N/A"/>
    <n v="80074"/>
    <s v="SA202506"/>
    <m/>
    <s v="Q2"/>
    <e v="#REF!"/>
    <e v="#REF!"/>
    <e v="#REF!"/>
  </r>
  <r>
    <s v="645100"/>
    <x v="6"/>
    <s v="URSSAF"/>
    <s v="SA"/>
    <n v="887.82"/>
    <d v="2025-11-30T00:00:00"/>
    <s v="MALADIE - MATERNITÉ - INVALIDITÉ - DÉCÈS - EXO PART APP"/>
    <m/>
    <e v="#N/A"/>
    <e v="#N/A"/>
    <n v="92364"/>
    <s v="SA202511"/>
    <m/>
    <s v="Q4"/>
    <e v="#REF!"/>
    <e v="#REF!"/>
    <e v="#REF!"/>
  </r>
  <r>
    <s v="645100"/>
    <x v="6"/>
    <s v="URSSAF"/>
    <s v="SA"/>
    <n v="887.84"/>
    <d v="2025-08-31T00:00:00"/>
    <s v="MALADIE - MATERNITÉ - INVALIDITÉ - DÉCÈS"/>
    <m/>
    <e v="#N/A"/>
    <e v="#N/A"/>
    <n v="84017"/>
    <s v="SA202508"/>
    <m/>
    <s v="Q3"/>
    <e v="#REF!"/>
    <e v="#REF!"/>
    <e v="#REF!"/>
  </r>
  <r>
    <s v="645100"/>
    <x v="6"/>
    <s v="URSSAF"/>
    <s v="SA"/>
    <n v="888.04"/>
    <d v="2025-07-31T00:00:00"/>
    <s v="MALADIE - MATERNITÉ - INVALIDITÉ - DÉCÈS"/>
    <m/>
    <e v="#N/A"/>
    <e v="#N/A"/>
    <n v="79902"/>
    <s v="SA202507"/>
    <m/>
    <s v="Q3"/>
    <e v="#REF!"/>
    <e v="#REF!"/>
    <e v="#REF!"/>
  </r>
  <r>
    <s v="645100"/>
    <x v="6"/>
    <s v="URSSAF"/>
    <s v="SA"/>
    <n v="888.06"/>
    <d v="2025-12-31T00:00:00"/>
    <s v="MALADIE - MATERNITÉ - INVALIDITÉ - DÉCÈS - EXO PART APP"/>
    <m/>
    <e v="#N/A"/>
    <e v="#N/A"/>
    <n v="92827"/>
    <s v="SA202512"/>
    <m/>
    <s v="Q4"/>
    <e v="#REF!"/>
    <e v="#REF!"/>
    <e v="#REF!"/>
  </r>
  <r>
    <s v="645100"/>
    <x v="6"/>
    <s v="URSSAF"/>
    <s v="SA"/>
    <n v="888.17"/>
    <d v="2025-09-30T00:00:00"/>
    <s v="MALADIE - MATERNITÉ - INVALIDITÉ - DÉCÈS - EXO PART APP"/>
    <m/>
    <e v="#N/A"/>
    <e v="#N/A"/>
    <n v="84191"/>
    <s v="SA202509"/>
    <m/>
    <s v="Q3"/>
    <e v="#REF!"/>
    <e v="#REF!"/>
    <e v="#REF!"/>
  </r>
  <r>
    <s v="645100"/>
    <x v="6"/>
    <s v="URSSAF"/>
    <s v="SA"/>
    <n v="890"/>
    <d v="2025-10-31T00:00:00"/>
    <s v="ASSURANCE CHÔMAGE TRA+TRB - EXO PART APPRENTI"/>
    <m/>
    <e v="#N/A"/>
    <e v="#N/A"/>
    <n v="87814"/>
    <s v="SA202510"/>
    <m/>
    <s v="Q4"/>
    <e v="#REF!"/>
    <e v="#REF!"/>
    <e v="#REF!"/>
  </r>
  <r>
    <s v="645100"/>
    <x v="6"/>
    <s v="URSSAF"/>
    <s v="SA"/>
    <n v="891.26"/>
    <d v="2025-05-31T00:00:00"/>
    <s v="MALADIE - MATERNITÉ - INVALIDITÉ - DÉCÈS"/>
    <m/>
    <e v="#N/A"/>
    <e v="#N/A"/>
    <n v="80242"/>
    <s v="SA202505"/>
    <m/>
    <s v="Q2"/>
    <e v="#REF!"/>
    <e v="#REF!"/>
    <e v="#REF!"/>
  </r>
  <r>
    <s v="645100"/>
    <x v="6"/>
    <s v="URSSAF"/>
    <s v="SA"/>
    <n v="891.95"/>
    <d v="2025-11-30T00:00:00"/>
    <s v="ASSURANCE CHÔMAGE TRA+TRB - EXO PART APPRENTI"/>
    <m/>
    <e v="#N/A"/>
    <e v="#N/A"/>
    <n v="92321"/>
    <s v="SA202511"/>
    <m/>
    <s v="Q4"/>
    <e v="#REF!"/>
    <e v="#REF!"/>
    <e v="#REF!"/>
  </r>
  <r>
    <s v="645100"/>
    <x v="6"/>
    <s v="URSSAF"/>
    <s v="SA"/>
    <n v="897.29"/>
    <d v="2025-12-31T00:00:00"/>
    <s v="ASSURANCE CHÔMAGE TRA+TRB - EXO PART APPRENTI"/>
    <m/>
    <e v="#N/A"/>
    <e v="#N/A"/>
    <n v="92784"/>
    <s v="SA202512"/>
    <m/>
    <s v="Q4"/>
    <e v="#REF!"/>
    <e v="#REF!"/>
    <e v="#REF!"/>
  </r>
  <r>
    <s v="645100"/>
    <x v="6"/>
    <s v="URSSAF"/>
    <s v="SA"/>
    <n v="910.56"/>
    <d v="2025-08-31T00:00:00"/>
    <s v="VIEILLESSE DÉPLAFONNÉE"/>
    <m/>
    <e v="#N/A"/>
    <e v="#N/A"/>
    <n v="83993"/>
    <s v="SA202508"/>
    <m/>
    <s v="Q3"/>
    <e v="#REF!"/>
    <e v="#REF!"/>
    <e v="#REF!"/>
  </r>
  <r>
    <s v="645100"/>
    <x v="6"/>
    <s v="URSSAF"/>
    <s v="SA"/>
    <n v="915.64"/>
    <d v="2025-07-31T00:00:00"/>
    <s v="VIEILLESSE DÉPLAFONNÉE"/>
    <m/>
    <e v="#N/A"/>
    <e v="#N/A"/>
    <n v="79878"/>
    <s v="SA202507"/>
    <m/>
    <s v="Q3"/>
    <e v="#REF!"/>
    <e v="#REF!"/>
    <e v="#REF!"/>
  </r>
  <r>
    <s v="645100"/>
    <x v="6"/>
    <s v="URSSAF"/>
    <s v="SA"/>
    <n v="935.87"/>
    <d v="2025-08-31T00:00:00"/>
    <s v="ASSURANCE CHÔMAGE TRA+TRB"/>
    <m/>
    <e v="#N/A"/>
    <e v="#N/A"/>
    <n v="83974"/>
    <s v="SA202508"/>
    <m/>
    <s v="Q3"/>
    <e v="#REF!"/>
    <e v="#REF!"/>
    <e v="#REF!"/>
  </r>
  <r>
    <s v="645100"/>
    <x v="6"/>
    <s v="URSSAF"/>
    <s v="SA"/>
    <n v="975.81"/>
    <d v="2025-09-30T00:00:00"/>
    <s v="VIEILLESSE DÉPLAFONNÉE - EXO PART APPRENTI"/>
    <m/>
    <e v="#N/A"/>
    <e v="#N/A"/>
    <n v="84167"/>
    <s v="SA202509"/>
    <m/>
    <s v="Q3"/>
    <e v="#REF!"/>
    <e v="#REF!"/>
    <e v="#REF!"/>
  </r>
  <r>
    <s v="645100"/>
    <x v="6"/>
    <s v="URSSAF"/>
    <s v="SA"/>
    <n v="985.44"/>
    <d v="2025-03-31T00:00:00"/>
    <s v="ASSURANCE CHÔMAGE TRA+TRB"/>
    <m/>
    <e v="#N/A"/>
    <e v="#N/A"/>
    <n v="80540"/>
    <s v="SA202503"/>
    <m/>
    <s v="Q1"/>
    <e v="#REF!"/>
    <e v="#REF!"/>
    <e v="#REF!"/>
  </r>
  <r>
    <s v="645100"/>
    <x v="6"/>
    <s v="URSSAF"/>
    <s v="SA"/>
    <n v="1008.34"/>
    <d v="2025-03-31T00:00:00"/>
    <s v="ALLOCATIONS FAMILIALES"/>
    <m/>
    <e v="#N/A"/>
    <e v="#N/A"/>
    <n v="80538"/>
    <s v="SA202503"/>
    <m/>
    <s v="Q1"/>
    <e v="#REF!"/>
    <e v="#REF!"/>
    <e v="#REF!"/>
  </r>
  <r>
    <s v="645100"/>
    <x v="6"/>
    <s v="URSSAF"/>
    <s v="SA"/>
    <n v="1008.34"/>
    <d v="2025-04-30T00:00:00"/>
    <s v="ALLOCATIONS FAMILIALES"/>
    <m/>
    <e v="#N/A"/>
    <e v="#N/A"/>
    <n v="80365"/>
    <s v="SA202504"/>
    <m/>
    <s v="Q2"/>
    <e v="#REF!"/>
    <e v="#REF!"/>
    <e v="#REF!"/>
  </r>
  <r>
    <s v="645100"/>
    <x v="6"/>
    <s v="URSSAF"/>
    <s v="SA"/>
    <n v="1011.67"/>
    <d v="2025-10-31T00:00:00"/>
    <s v="MALADIE - MATERNITÉ - INVALIDITÉ - DÉCÈS - EXO PART APP"/>
    <m/>
    <e v="#N/A"/>
    <e v="#N/A"/>
    <n v="87857"/>
    <s v="SA202510"/>
    <m/>
    <s v="Q4"/>
    <e v="#REF!"/>
    <e v="#REF!"/>
    <e v="#REF!"/>
  </r>
  <r>
    <s v="645100"/>
    <x v="6"/>
    <s v="URSSAF"/>
    <s v="SA"/>
    <n v="1012.14"/>
    <d v="2025-05-31T00:00:00"/>
    <s v="VIEILLESSE DÉPLAFONNÉE"/>
    <m/>
    <e v="#N/A"/>
    <e v="#N/A"/>
    <n v="80218"/>
    <s v="SA202505"/>
    <m/>
    <s v="Q2"/>
    <e v="#REF!"/>
    <e v="#REF!"/>
    <e v="#REF!"/>
  </r>
  <r>
    <s v="645100"/>
    <x v="6"/>
    <s v="URSSAF"/>
    <s v="SA"/>
    <n v="1017.98"/>
    <d v="2025-03-31T00:00:00"/>
    <s v="VIEILLESSE DÉPLAFONNÉE"/>
    <m/>
    <e v="#N/A"/>
    <e v="#N/A"/>
    <n v="80559"/>
    <s v="SA202503"/>
    <m/>
    <s v="Q1"/>
    <e v="#REF!"/>
    <e v="#REF!"/>
    <e v="#REF!"/>
  </r>
  <r>
    <s v="645100"/>
    <x v="6"/>
    <s v="URSSAF"/>
    <s v="SA"/>
    <n v="1034.57"/>
    <d v="2025-06-30T00:00:00"/>
    <s v="ASSURANCE CHÔMAGE TRA+TRB"/>
    <m/>
    <e v="#N/A"/>
    <e v="#N/A"/>
    <n v="80031"/>
    <s v="SA202506"/>
    <m/>
    <s v="Q2"/>
    <e v="#REF!"/>
    <e v="#REF!"/>
    <e v="#REF!"/>
  </r>
  <r>
    <s v="645100"/>
    <x v="6"/>
    <s v="URSSAF"/>
    <s v="SA"/>
    <n v="1037.58"/>
    <d v="2025-05-31T00:00:00"/>
    <s v="ALLOCATIONS FAMILIALES"/>
    <m/>
    <e v="#N/A"/>
    <e v="#N/A"/>
    <n v="80197"/>
    <s v="SA202505"/>
    <m/>
    <s v="Q2"/>
    <e v="#REF!"/>
    <e v="#REF!"/>
    <e v="#REF!"/>
  </r>
  <r>
    <s v="645100"/>
    <x v="6"/>
    <s v="URSSAF"/>
    <s v="SA"/>
    <n v="1042.3599999999999"/>
    <d v="2025-04-30T00:00:00"/>
    <s v="VIEILLESSE DÉPLAFONNÉE"/>
    <m/>
    <e v="#N/A"/>
    <e v="#N/A"/>
    <n v="80387"/>
    <s v="SA202504"/>
    <m/>
    <s v="Q2"/>
    <e v="#REF!"/>
    <e v="#REF!"/>
    <e v="#REF!"/>
  </r>
  <r>
    <s v="645100"/>
    <x v="6"/>
    <s v="URSSAF"/>
    <s v="SA"/>
    <n v="1053.78"/>
    <d v="2025-06-30T00:00:00"/>
    <s v="VIEILLESSE DÉPLAFONNÉE"/>
    <m/>
    <e v="#N/A"/>
    <e v="#N/A"/>
    <n v="80050"/>
    <s v="SA202506"/>
    <m/>
    <s v="Q2"/>
    <e v="#REF!"/>
    <e v="#REF!"/>
    <e v="#REF!"/>
  </r>
  <r>
    <s v="645100"/>
    <x v="6"/>
    <s v="URSSAF"/>
    <s v="SA"/>
    <n v="1067.3900000000001"/>
    <d v="2025-07-31T00:00:00"/>
    <s v="ALLOCATIONS FAMILIALES"/>
    <m/>
    <e v="#N/A"/>
    <e v="#N/A"/>
    <n v="79857"/>
    <s v="SA202507"/>
    <m/>
    <s v="Q3"/>
    <e v="#REF!"/>
    <e v="#REF!"/>
    <e v="#REF!"/>
  </r>
  <r>
    <s v="645100"/>
    <x v="6"/>
    <s v="URSSAF"/>
    <s v="SA"/>
    <n v="1072.26"/>
    <d v="2025-09-30T00:00:00"/>
    <s v="ALLOCATIONS FAMILIALES - EXO PART APPRENTI"/>
    <m/>
    <e v="#N/A"/>
    <e v="#N/A"/>
    <n v="84147"/>
    <s v="SA202509"/>
    <m/>
    <s v="Q3"/>
    <e v="#REF!"/>
    <e v="#REF!"/>
    <e v="#REF!"/>
  </r>
  <r>
    <s v="645100"/>
    <x v="6"/>
    <s v="URSSAF"/>
    <s v="SA"/>
    <n v="1104.55"/>
    <d v="2025-01-31T00:00:00"/>
    <s v="ASSURANCE CHÔMAGE TRA+TRB"/>
    <m/>
    <e v="#N/A"/>
    <e v="#N/A"/>
    <n v="85433"/>
    <s v="SA202501"/>
    <m/>
    <s v="Q1"/>
    <e v="#REF!"/>
    <e v="#REF!"/>
    <e v="#REF!"/>
  </r>
  <r>
    <s v="645100"/>
    <x v="6"/>
    <s v="URSSAF"/>
    <s v="SA"/>
    <n v="1114.72"/>
    <d v="2025-10-31T00:00:00"/>
    <s v="ALLOCATIONS FAMILIALES - EXO PART APPRENTI"/>
    <m/>
    <e v="#N/A"/>
    <e v="#N/A"/>
    <n v="87813"/>
    <s v="SA202510"/>
    <m/>
    <s v="Q4"/>
    <e v="#REF!"/>
    <e v="#REF!"/>
    <e v="#REF!"/>
  </r>
  <r>
    <s v="645100"/>
    <x v="6"/>
    <s v="URSSAF"/>
    <s v="SA"/>
    <n v="1116.4000000000001"/>
    <d v="2025-11-30T00:00:00"/>
    <s v="ALLOCATIONS FAMILIALES - EXO PART APPRENTI"/>
    <m/>
    <e v="#N/A"/>
    <e v="#N/A"/>
    <n v="92320"/>
    <s v="SA202511"/>
    <m/>
    <s v="Q4"/>
    <e v="#REF!"/>
    <e v="#REF!"/>
    <e v="#REF!"/>
  </r>
  <r>
    <s v="645100"/>
    <x v="6"/>
    <s v="URSSAF"/>
    <s v="SA"/>
    <n v="1121.01"/>
    <d v="2025-12-31T00:00:00"/>
    <s v="ALLOCATIONS FAMILIALES - EXO PART APPRENTI"/>
    <m/>
    <e v="#N/A"/>
    <e v="#N/A"/>
    <n v="92783"/>
    <s v="SA202512"/>
    <m/>
    <s v="Q4"/>
    <e v="#REF!"/>
    <e v="#REF!"/>
    <e v="#REF!"/>
  </r>
  <r>
    <s v="645100"/>
    <x v="6"/>
    <s v="URSSAF"/>
    <s v="SA"/>
    <n v="1154.28"/>
    <d v="2025-08-31T00:00:00"/>
    <s v="ALLOCATIONS FAMILIALES"/>
    <m/>
    <e v="#N/A"/>
    <e v="#N/A"/>
    <n v="83972"/>
    <s v="SA202508"/>
    <m/>
    <s v="Q3"/>
    <e v="#REF!"/>
    <e v="#REF!"/>
    <e v="#REF!"/>
  </r>
  <r>
    <s v="645100"/>
    <x v="6"/>
    <s v="URSSAF"/>
    <s v="SA"/>
    <n v="1239.4100000000001"/>
    <d v="2025-06-30T00:00:00"/>
    <s v="ALLOCATIONS FAMILIALES"/>
    <m/>
    <e v="#N/A"/>
    <e v="#N/A"/>
    <n v="80029"/>
    <s v="SA202506"/>
    <m/>
    <s v="Q2"/>
    <e v="#REF!"/>
    <e v="#REF!"/>
    <e v="#REF!"/>
  </r>
  <r>
    <s v="645100"/>
    <x v="6"/>
    <s v="URSSAF"/>
    <s v="SA"/>
    <n v="1288.01"/>
    <d v="2025-01-31T00:00:00"/>
    <s v="ALLOCATIONS FAMILIALES"/>
    <m/>
    <e v="#N/A"/>
    <e v="#N/A"/>
    <n v="85431"/>
    <s v="SA202501"/>
    <m/>
    <s v="Q1"/>
    <e v="#REF!"/>
    <e v="#REF!"/>
    <e v="#REF!"/>
  </r>
  <r>
    <s v="645100"/>
    <x v="6"/>
    <s v="URSSAF"/>
    <s v="SA"/>
    <n v="1295.43"/>
    <d v="2025-01-31T00:00:00"/>
    <s v="MALADIE (COMPLÉMENT)"/>
    <m/>
    <e v="#N/A"/>
    <e v="#N/A"/>
    <n v="85449"/>
    <s v="SA202501"/>
    <m/>
    <s v="Q1"/>
    <e v="#REF!"/>
    <e v="#REF!"/>
    <e v="#REF!"/>
  </r>
  <r>
    <s v="645100"/>
    <x v="6"/>
    <s v="URSSAF"/>
    <s v="SA"/>
    <n v="1297.6099999999999"/>
    <d v="2025-09-30T00:00:00"/>
    <s v="VIEILLESSE PLAFONNÉE - EXO PART APPRENTI"/>
    <m/>
    <e v="#N/A"/>
    <e v="#N/A"/>
    <n v="84155"/>
    <s v="SA202509"/>
    <m/>
    <s v="Q3"/>
    <e v="#REF!"/>
    <e v="#REF!"/>
    <e v="#REF!"/>
  </r>
  <r>
    <s v="645100"/>
    <x v="6"/>
    <s v="URSSAF"/>
    <s v="SA"/>
    <n v="1313.14"/>
    <d v="2025-03-31T00:00:00"/>
    <s v="VIEILLESSE PLAFONNÉE"/>
    <m/>
    <e v="#N/A"/>
    <e v="#N/A"/>
    <n v="80547"/>
    <s v="SA202503"/>
    <m/>
    <s v="Q1"/>
    <e v="#REF!"/>
    <e v="#REF!"/>
    <e v="#REF!"/>
  </r>
  <r>
    <s v="645100"/>
    <x v="6"/>
    <s v="URSSAF"/>
    <s v="SA"/>
    <n v="1313.14"/>
    <d v="2025-04-30T00:00:00"/>
    <s v="VIEILLESSE PLAFONNÉE"/>
    <m/>
    <e v="#N/A"/>
    <e v="#N/A"/>
    <n v="80374"/>
    <s v="SA202504"/>
    <m/>
    <s v="Q2"/>
    <e v="#REF!"/>
    <e v="#REF!"/>
    <e v="#REF!"/>
  </r>
  <r>
    <s v="645100"/>
    <x v="6"/>
    <s v="URSSAF"/>
    <s v="SA"/>
    <n v="1313.14"/>
    <d v="2025-05-31T00:00:00"/>
    <s v="VIEILLESSE PLAFONNÉE"/>
    <m/>
    <e v="#N/A"/>
    <e v="#N/A"/>
    <n v="80206"/>
    <s v="SA202505"/>
    <m/>
    <s v="Q2"/>
    <e v="#REF!"/>
    <e v="#REF!"/>
    <e v="#REF!"/>
  </r>
  <r>
    <s v="645100"/>
    <x v="6"/>
    <s v="URSSAF"/>
    <s v="SA"/>
    <n v="1331.53"/>
    <d v="2025-08-31T00:00:00"/>
    <s v="VIEILLESSE PLAFONNÉE"/>
    <m/>
    <e v="#N/A"/>
    <e v="#N/A"/>
    <n v="83981"/>
    <s v="SA202508"/>
    <m/>
    <s v="Q3"/>
    <e v="#REF!"/>
    <e v="#REF!"/>
    <e v="#REF!"/>
  </r>
  <r>
    <s v="645100"/>
    <x v="6"/>
    <s v="URSSAF"/>
    <s v="SA"/>
    <n v="1342.36"/>
    <d v="2025-10-31T00:00:00"/>
    <s v="VIEILLESSE PLAFONNÉE - EXO PART APPRENTI"/>
    <m/>
    <e v="#N/A"/>
    <e v="#N/A"/>
    <n v="87821"/>
    <s v="SA202510"/>
    <m/>
    <s v="Q4"/>
    <e v="#REF!"/>
    <e v="#REF!"/>
    <e v="#REF!"/>
  </r>
  <r>
    <s v="645100"/>
    <x v="6"/>
    <s v="URSSAF"/>
    <s v="SA"/>
    <n v="1342.36"/>
    <d v="2025-11-30T00:00:00"/>
    <s v="VIEILLESSE PLAFONNÉE - EXO PART APPRENTI"/>
    <m/>
    <e v="#N/A"/>
    <e v="#N/A"/>
    <n v="92328"/>
    <s v="SA202511"/>
    <m/>
    <s v="Q4"/>
    <e v="#REF!"/>
    <e v="#REF!"/>
    <e v="#REF!"/>
  </r>
  <r>
    <s v="645100"/>
    <x v="6"/>
    <s v="URSSAF"/>
    <s v="SA"/>
    <n v="1342.36"/>
    <d v="2025-12-31T00:00:00"/>
    <s v="VIEILLESSE PLAFONNÉE - EXO PART APPRENTI"/>
    <m/>
    <e v="#N/A"/>
    <e v="#N/A"/>
    <n v="92791"/>
    <s v="SA202512"/>
    <m/>
    <s v="Q4"/>
    <e v="#REF!"/>
    <e v="#REF!"/>
    <e v="#REF!"/>
  </r>
  <r>
    <s v="645100"/>
    <x v="6"/>
    <s v="URSSAF"/>
    <s v="SA"/>
    <n v="1386.96"/>
    <d v="2025-02-28T00:00:00"/>
    <s v="ACCIDENT DU TRAVAIL"/>
    <m/>
    <e v="#N/A"/>
    <e v="#N/A"/>
    <n v="85281"/>
    <s v="SA202502"/>
    <m/>
    <s v="Q1"/>
    <e v="#REF!"/>
    <e v="#REF!"/>
    <e v="#REF!"/>
  </r>
  <r>
    <s v="645100"/>
    <x v="6"/>
    <s v="URSSAF"/>
    <s v="SA"/>
    <n v="1453.76"/>
    <d v="2025-01-31T00:00:00"/>
    <s v="ALLOCATIONS FAMILIALES"/>
    <m/>
    <e v="#N/A"/>
    <e v="#N/A"/>
    <n v="85443"/>
    <s v="SA202501"/>
    <m/>
    <s v="Q1"/>
    <e v="#REF!"/>
    <e v="#REF!"/>
    <e v="#REF!"/>
  </r>
  <r>
    <s v="645100"/>
    <x v="6"/>
    <s v="URSSAF"/>
    <s v="SA"/>
    <n v="1495.01"/>
    <d v="2025-12-31T00:00:00"/>
    <s v="ALLOCATIONS FAMILIALES - EXO PART APPRENTI"/>
    <m/>
    <e v="#N/A"/>
    <e v="#N/A"/>
    <n v="92795"/>
    <s v="SA202512"/>
    <m/>
    <s v="Q4"/>
    <e v="#REF!"/>
    <e v="#REF!"/>
    <e v="#REF!"/>
  </r>
  <r>
    <s v="645100"/>
    <x v="6"/>
    <s v="URSSAF"/>
    <s v="SA"/>
    <n v="1495.04"/>
    <d v="2025-10-31T00:00:00"/>
    <s v="ALLOCATIONS FAMILIALES - EXO PART APPRENTI"/>
    <m/>
    <e v="#N/A"/>
    <e v="#N/A"/>
    <n v="87825"/>
    <s v="SA202510"/>
    <m/>
    <s v="Q4"/>
    <e v="#REF!"/>
    <e v="#REF!"/>
    <e v="#REF!"/>
  </r>
  <r>
    <s v="645100"/>
    <x v="6"/>
    <s v="URSSAF"/>
    <s v="SA"/>
    <n v="1500.88"/>
    <d v="2025-11-30T00:00:00"/>
    <s v="ALLOCATIONS FAMILIALES - EXO PART APPRENTI"/>
    <m/>
    <e v="#N/A"/>
    <e v="#N/A"/>
    <n v="92332"/>
    <s v="SA202511"/>
    <m/>
    <s v="Q4"/>
    <e v="#REF!"/>
    <e v="#REF!"/>
    <e v="#REF!"/>
  </r>
  <r>
    <s v="645100"/>
    <x v="6"/>
    <s v="URSSAF"/>
    <s v="SA"/>
    <n v="1511.68"/>
    <d v="2025-02-28T00:00:00"/>
    <s v="MALADIE - MATERNITÉ - INVALIDITÉ - DÉCÈS"/>
    <m/>
    <e v="#N/A"/>
    <e v="#N/A"/>
    <n v="85302"/>
    <s v="SA202502"/>
    <m/>
    <s v="Q1"/>
    <e v="#REF!"/>
    <e v="#REF!"/>
    <e v="#REF!"/>
  </r>
  <r>
    <s v="645100"/>
    <x v="6"/>
    <s v="URSSAF"/>
    <s v="SA"/>
    <n v="1519.68"/>
    <d v="2025-02-28T00:00:00"/>
    <s v="MALADIE (COMPLÉMENT)"/>
    <m/>
    <e v="#N/A"/>
    <e v="#N/A"/>
    <n v="85301"/>
    <s v="SA202502"/>
    <m/>
    <s v="Q1"/>
    <e v="#REF!"/>
    <e v="#REF!"/>
    <e v="#REF!"/>
  </r>
  <r>
    <s v="645100"/>
    <x v="6"/>
    <s v="URSSAF"/>
    <s v="SA"/>
    <n v="1538.65"/>
    <d v="2025-03-31T00:00:00"/>
    <s v="MALADIE (COMPLÉMENT)"/>
    <m/>
    <e v="#N/A"/>
    <e v="#N/A"/>
    <n v="80544"/>
    <s v="SA202503"/>
    <m/>
    <s v="Q1"/>
    <e v="#REF!"/>
    <e v="#REF!"/>
    <e v="#REF!"/>
  </r>
  <r>
    <s v="645100"/>
    <x v="6"/>
    <s v="URSSAF"/>
    <s v="SA"/>
    <n v="1538.65"/>
    <d v="2025-04-30T00:00:00"/>
    <s v="MALADIE (COMPLÉMENT)"/>
    <m/>
    <e v="#N/A"/>
    <e v="#N/A"/>
    <n v="80371"/>
    <s v="SA202504"/>
    <m/>
    <s v="Q2"/>
    <e v="#REF!"/>
    <e v="#REF!"/>
    <e v="#REF!"/>
  </r>
  <r>
    <s v="645100"/>
    <x v="6"/>
    <s v="URSSAF"/>
    <s v="SA"/>
    <n v="1538.72"/>
    <d v="2025-04-30T00:00:00"/>
    <s v="MALADIE (COMPLÉMENT)"/>
    <m/>
    <e v="#N/A"/>
    <e v="#N/A"/>
    <n v="80411"/>
    <s v="SA202504"/>
    <m/>
    <s v="Q2"/>
    <e v="#REF!"/>
    <e v="#REF!"/>
    <e v="#REF!"/>
  </r>
  <r>
    <s v="645100"/>
    <x v="6"/>
    <s v="URSSAF"/>
    <s v="SA"/>
    <n v="1555.17"/>
    <d v="2025-08-31T00:00:00"/>
    <s v="ALLOCATIONS FAMILIALES"/>
    <m/>
    <e v="#N/A"/>
    <e v="#N/A"/>
    <n v="83984"/>
    <s v="SA202508"/>
    <m/>
    <s v="Q3"/>
    <e v="#REF!"/>
    <e v="#REF!"/>
    <e v="#REF!"/>
  </r>
  <r>
    <s v="645100"/>
    <x v="6"/>
    <s v="URSSAF"/>
    <s v="SA"/>
    <n v="1563.84"/>
    <d v="2025-07-31T00:00:00"/>
    <s v="ALLOCATIONS FAMILIALES"/>
    <m/>
    <e v="#N/A"/>
    <e v="#N/A"/>
    <n v="79869"/>
    <s v="SA202507"/>
    <m/>
    <s v="Q3"/>
    <e v="#REF!"/>
    <e v="#REF!"/>
    <e v="#REF!"/>
  </r>
  <r>
    <s v="645100"/>
    <x v="6"/>
    <s v="URSSAF"/>
    <s v="SA"/>
    <n v="1569.68"/>
    <d v="2025-07-31T00:00:00"/>
    <s v="VIEILLESSE PLAFONNÉE"/>
    <m/>
    <e v="#N/A"/>
    <e v="#N/A"/>
    <n v="79866"/>
    <s v="SA202507"/>
    <m/>
    <s v="Q3"/>
    <e v="#REF!"/>
    <e v="#REF!"/>
    <e v="#REF!"/>
  </r>
  <r>
    <s v="645100"/>
    <x v="6"/>
    <s v="URSSAF"/>
    <s v="SA"/>
    <n v="1589.5"/>
    <d v="2025-05-31T00:00:00"/>
    <s v="MALADIE (COMPLÉMENT)"/>
    <m/>
    <e v="#N/A"/>
    <e v="#N/A"/>
    <n v="80203"/>
    <s v="SA202505"/>
    <m/>
    <s v="Q2"/>
    <e v="#REF!"/>
    <e v="#REF!"/>
    <e v="#REF!"/>
  </r>
  <r>
    <s v="645100"/>
    <x v="6"/>
    <s v="URSSAF"/>
    <s v="SA"/>
    <n v="1638.87"/>
    <d v="2025-02-28T00:00:00"/>
    <s v="VIEILLESSE DÉPLAFONNÉE"/>
    <m/>
    <e v="#N/A"/>
    <e v="#N/A"/>
    <n v="85278"/>
    <s v="SA202502"/>
    <m/>
    <s v="Q1"/>
    <e v="#REF!"/>
    <e v="#REF!"/>
    <e v="#REF!"/>
  </r>
  <r>
    <s v="645100"/>
    <x v="6"/>
    <s v="URSSAF"/>
    <s v="SA"/>
    <n v="1640.18"/>
    <d v="2025-06-30T00:00:00"/>
    <s v="VIEILLESSE PLAFONNÉE"/>
    <m/>
    <e v="#N/A"/>
    <e v="#N/A"/>
    <n v="80038"/>
    <s v="SA202506"/>
    <m/>
    <s v="Q2"/>
    <e v="#REF!"/>
    <e v="#REF!"/>
    <e v="#REF!"/>
  </r>
  <r>
    <s v="645100"/>
    <x v="6"/>
    <s v="URSSAF"/>
    <s v="SA"/>
    <n v="1648.73"/>
    <d v="2025-01-31T00:00:00"/>
    <s v="VIEILLESSE PLAFONNÉE"/>
    <m/>
    <e v="#N/A"/>
    <e v="#N/A"/>
    <n v="85440"/>
    <s v="SA202501"/>
    <m/>
    <s v="Q1"/>
    <e v="#REF!"/>
    <e v="#REF!"/>
    <e v="#REF!"/>
  </r>
  <r>
    <s v="645100"/>
    <x v="6"/>
    <s v="URSSAF"/>
    <s v="SA"/>
    <n v="1657.45"/>
    <d v="2025-02-28T00:00:00"/>
    <s v="ALLOCATIONS FAMILIALES (COMPLÉMENT)"/>
    <m/>
    <e v="#N/A"/>
    <e v="#N/A"/>
    <n v="85257"/>
    <s v="SA202502"/>
    <m/>
    <s v="Q1"/>
    <e v="#REF!"/>
    <e v="#REF!"/>
    <e v="#REF!"/>
  </r>
  <r>
    <s v="645100"/>
    <x v="6"/>
    <s v="URSSAF"/>
    <s v="SA"/>
    <n v="1666.59"/>
    <d v="2025-09-30T00:00:00"/>
    <s v="ALLOCATIONS FAMILIALES - EXO PART APPRENTI"/>
    <m/>
    <e v="#N/A"/>
    <e v="#N/A"/>
    <n v="84159"/>
    <s v="SA202509"/>
    <m/>
    <s v="Q3"/>
    <e v="#REF!"/>
    <e v="#REF!"/>
    <e v="#REF!"/>
  </r>
  <r>
    <s v="645100"/>
    <x v="6"/>
    <s v="URSSAF"/>
    <s v="SA"/>
    <n v="1691.48"/>
    <d v="2025-02-28T00:00:00"/>
    <s v="VIEILLESSE PLAFONNÉE"/>
    <m/>
    <e v="#N/A"/>
    <e v="#N/A"/>
    <n v="85266"/>
    <s v="SA202502"/>
    <m/>
    <s v="Q1"/>
    <e v="#REF!"/>
    <e v="#REF!"/>
    <e v="#REF!"/>
  </r>
  <r>
    <s v="645100"/>
    <x v="6"/>
    <s v="URSSAF"/>
    <s v="SA"/>
    <n v="1706.58"/>
    <d v="2025-01-31T00:00:00"/>
    <s v="ASSURANCE CHÔMAGE TRA+TRB"/>
    <m/>
    <e v="#N/A"/>
    <e v="#N/A"/>
    <n v="85445"/>
    <s v="SA202501"/>
    <m/>
    <s v="Q1"/>
    <e v="#REF!"/>
    <e v="#REF!"/>
    <e v="#REF!"/>
  </r>
  <r>
    <s v="645100"/>
    <x v="6"/>
    <s v="URSSAF"/>
    <s v="SA"/>
    <n v="1728.64"/>
    <d v="2025-05-31T00:00:00"/>
    <s v="ALLOCATIONS FAMILIALES"/>
    <m/>
    <e v="#N/A"/>
    <e v="#N/A"/>
    <n v="80209"/>
    <s v="SA202505"/>
    <m/>
    <s v="Q2"/>
    <e v="#REF!"/>
    <e v="#REF!"/>
    <e v="#REF!"/>
  </r>
  <r>
    <s v="645100"/>
    <x v="6"/>
    <s v="URSSAF"/>
    <s v="SA"/>
    <n v="1733.35"/>
    <d v="2025-12-31T00:00:00"/>
    <s v="ASSURANCE CHÔMAGE TRA+TRB - EXO PART APPRENTI"/>
    <m/>
    <e v="#N/A"/>
    <e v="#N/A"/>
    <n v="92796"/>
    <s v="SA202512"/>
    <m/>
    <s v="Q4"/>
    <e v="#REF!"/>
    <e v="#REF!"/>
    <e v="#REF!"/>
  </r>
  <r>
    <s v="645100"/>
    <x v="6"/>
    <s v="URSSAF"/>
    <s v="SA"/>
    <n v="1733.37"/>
    <d v="2025-10-31T00:00:00"/>
    <s v="ASSURANCE CHÔMAGE TRA+TRB - EXO PART APPRENTI"/>
    <m/>
    <e v="#N/A"/>
    <e v="#N/A"/>
    <n v="87826"/>
    <s v="SA202510"/>
    <m/>
    <s v="Q4"/>
    <e v="#REF!"/>
    <e v="#REF!"/>
    <e v="#REF!"/>
  </r>
  <r>
    <s v="645100"/>
    <x v="6"/>
    <s v="URSSAF"/>
    <s v="SA"/>
    <n v="1738.63"/>
    <d v="2025-03-31T00:00:00"/>
    <s v="ALLOCATIONS FAMILIALES"/>
    <m/>
    <e v="#N/A"/>
    <e v="#N/A"/>
    <n v="80550"/>
    <s v="SA202503"/>
    <m/>
    <s v="Q1"/>
    <e v="#REF!"/>
    <e v="#REF!"/>
    <e v="#REF!"/>
  </r>
  <r>
    <s v="645100"/>
    <x v="6"/>
    <s v="URSSAF"/>
    <s v="SA"/>
    <n v="1740.16"/>
    <d v="2025-11-30T00:00:00"/>
    <s v="ASSURANCE CHÔMAGE TRA+TRB - EXO PART APPRENTI"/>
    <m/>
    <e v="#N/A"/>
    <e v="#N/A"/>
    <n v="92333"/>
    <s v="SA202511"/>
    <m/>
    <s v="Q4"/>
    <e v="#REF!"/>
    <e v="#REF!"/>
    <e v="#REF!"/>
  </r>
  <r>
    <s v="645100"/>
    <x v="6"/>
    <s v="URSSAF"/>
    <s v="SA"/>
    <n v="1780.25"/>
    <d v="2025-04-30T00:00:00"/>
    <s v="ALLOCATIONS FAMILIALES"/>
    <m/>
    <e v="#N/A"/>
    <e v="#N/A"/>
    <n v="80377"/>
    <s v="SA202504"/>
    <m/>
    <s v="Q2"/>
    <e v="#REF!"/>
    <e v="#REF!"/>
    <e v="#REF!"/>
  </r>
  <r>
    <s v="645100"/>
    <x v="6"/>
    <s v="URSSAF"/>
    <s v="SA"/>
    <n v="1799.77"/>
    <d v="2025-06-30T00:00:00"/>
    <s v="ALLOCATIONS FAMILIALES"/>
    <m/>
    <e v="#N/A"/>
    <e v="#N/A"/>
    <n v="80041"/>
    <s v="SA202506"/>
    <m/>
    <s v="Q2"/>
    <e v="#REF!"/>
    <e v="#REF!"/>
    <e v="#REF!"/>
  </r>
  <r>
    <s v="645100"/>
    <x v="6"/>
    <s v="URSSAF"/>
    <s v="SA"/>
    <n v="1803.09"/>
    <d v="2025-08-31T00:00:00"/>
    <s v="ASSURANCE CHÔMAGE TRA+TRB"/>
    <m/>
    <e v="#N/A"/>
    <e v="#N/A"/>
    <n v="83986"/>
    <s v="SA202508"/>
    <m/>
    <s v="Q3"/>
    <e v="#REF!"/>
    <e v="#REF!"/>
    <e v="#REF!"/>
  </r>
  <r>
    <s v="645100"/>
    <x v="6"/>
    <s v="URSSAF"/>
    <s v="SA"/>
    <n v="1813.15"/>
    <d v="2025-07-31T00:00:00"/>
    <s v="ASSURANCE CHÔMAGE TRA+TRB"/>
    <m/>
    <e v="#N/A"/>
    <e v="#N/A"/>
    <n v="79871"/>
    <s v="SA202507"/>
    <m/>
    <s v="Q3"/>
    <e v="#REF!"/>
    <e v="#REF!"/>
    <e v="#REF!"/>
  </r>
  <r>
    <s v="645100"/>
    <x v="6"/>
    <s v="URSSAF"/>
    <s v="SA"/>
    <n v="1829.73"/>
    <d v="2025-02-28T00:00:00"/>
    <s v="VIEILLESSE DÉPLAFONNÉE"/>
    <m/>
    <e v="#N/A"/>
    <e v="#N/A"/>
    <n v="85265"/>
    <s v="SA202502"/>
    <m/>
    <s v="Q1"/>
    <e v="#REF!"/>
    <e v="#REF!"/>
    <e v="#REF!"/>
  </r>
  <r>
    <s v="645100"/>
    <x v="6"/>
    <s v="URSSAF"/>
    <s v="SA"/>
    <n v="1847.87"/>
    <d v="2025-12-31T00:00:00"/>
    <s v="VIEILLESSE DÉPLAFONNÉE - EXO PART APPRENTI"/>
    <m/>
    <e v="#N/A"/>
    <e v="#N/A"/>
    <n v="92816"/>
    <s v="SA202512"/>
    <m/>
    <s v="Q4"/>
    <e v="#REF!"/>
    <e v="#REF!"/>
    <e v="#REF!"/>
  </r>
  <r>
    <s v="645100"/>
    <x v="6"/>
    <s v="URSSAF"/>
    <s v="SA"/>
    <n v="1852.91"/>
    <d v="2025-06-30T00:00:00"/>
    <s v="VIEILLESSE DÉPLAFONNÉE"/>
    <m/>
    <e v="#N/A"/>
    <e v="#N/A"/>
    <n v="80063"/>
    <s v="SA202506"/>
    <m/>
    <s v="Q2"/>
    <e v="#REF!"/>
    <e v="#REF!"/>
    <e v="#REF!"/>
  </r>
  <r>
    <s v="645100"/>
    <x v="6"/>
    <s v="URSSAF"/>
    <s v="SA"/>
    <n v="1858.33"/>
    <d v="2025-08-31T00:00:00"/>
    <s v="VIEILLESSE DÉPLAFONNÉE"/>
    <m/>
    <e v="#N/A"/>
    <e v="#N/A"/>
    <n v="84006"/>
    <s v="SA202508"/>
    <m/>
    <s v="Q3"/>
    <e v="#REF!"/>
    <e v="#REF!"/>
    <e v="#REF!"/>
  </r>
  <r>
    <s v="645100"/>
    <x v="6"/>
    <s v="URSSAF"/>
    <s v="SA"/>
    <n v="1864.81"/>
    <d v="2025-09-30T00:00:00"/>
    <s v="MALADIE (COMPLÉMENT)"/>
    <m/>
    <e v="#N/A"/>
    <e v="#N/A"/>
    <n v="84152"/>
    <s v="SA202509"/>
    <m/>
    <s v="Q3"/>
    <e v="#REF!"/>
    <e v="#REF!"/>
    <e v="#REF!"/>
  </r>
  <r>
    <s v="645100"/>
    <x v="6"/>
    <s v="URSSAF"/>
    <s v="SA"/>
    <n v="1870.9"/>
    <d v="2025-05-31T00:00:00"/>
    <s v="VIEILLESSE DÉPLAFONNÉE"/>
    <m/>
    <e v="#N/A"/>
    <e v="#N/A"/>
    <n v="80231"/>
    <s v="SA202505"/>
    <m/>
    <s v="Q2"/>
    <e v="#REF!"/>
    <e v="#REF!"/>
    <e v="#REF!"/>
  </r>
  <r>
    <s v="645100"/>
    <x v="6"/>
    <s v="URSSAF"/>
    <s v="SA"/>
    <n v="1883.11"/>
    <d v="2025-04-30T00:00:00"/>
    <s v="VIEILLESSE DÉPLAFONNÉE"/>
    <m/>
    <e v="#N/A"/>
    <e v="#N/A"/>
    <n v="80401"/>
    <s v="SA202504"/>
    <m/>
    <s v="Q2"/>
    <e v="#REF!"/>
    <e v="#REF!"/>
    <e v="#REF!"/>
  </r>
  <r>
    <s v="645100"/>
    <x v="6"/>
    <s v="URSSAF"/>
    <s v="SA"/>
    <n v="1885.4"/>
    <d v="2025-10-31T00:00:00"/>
    <s v="VIEILLESSE DÉPLAFONNÉE - EXO PART APPRENTI"/>
    <m/>
    <e v="#N/A"/>
    <e v="#N/A"/>
    <n v="87846"/>
    <s v="SA202510"/>
    <m/>
    <s v="Q4"/>
    <e v="#REF!"/>
    <e v="#REF!"/>
    <e v="#REF!"/>
  </r>
  <r>
    <s v="645100"/>
    <x v="6"/>
    <s v="URSSAF"/>
    <s v="SA"/>
    <n v="1909.58"/>
    <d v="2025-10-31T00:00:00"/>
    <s v="MALADIE (COMPLÉMENT)"/>
    <m/>
    <e v="#N/A"/>
    <e v="#N/A"/>
    <n v="87830"/>
    <s v="SA202510"/>
    <m/>
    <s v="Q4"/>
    <e v="#REF!"/>
    <e v="#REF!"/>
    <e v="#REF!"/>
  </r>
  <r>
    <s v="645100"/>
    <x v="6"/>
    <s v="URSSAF"/>
    <s v="SA"/>
    <n v="1910.78"/>
    <d v="2025-07-31T00:00:00"/>
    <s v="MALADIE (COMPLÉMENT)"/>
    <m/>
    <e v="#N/A"/>
    <e v="#N/A"/>
    <n v="79875"/>
    <s v="SA202507"/>
    <m/>
    <s v="Q3"/>
    <e v="#REF!"/>
    <e v="#REF!"/>
    <e v="#REF!"/>
  </r>
  <r>
    <s v="645100"/>
    <x v="6"/>
    <s v="URSSAF"/>
    <s v="SA"/>
    <n v="1913.67"/>
    <d v="2025-12-31T00:00:00"/>
    <s v="MALADIE (COMPLÉMENT)"/>
    <m/>
    <e v="#N/A"/>
    <e v="#N/A"/>
    <n v="92800"/>
    <s v="SA202512"/>
    <m/>
    <s v="Q4"/>
    <e v="#REF!"/>
    <e v="#REF!"/>
    <e v="#REF!"/>
  </r>
  <r>
    <s v="645100"/>
    <x v="6"/>
    <s v="URSSAF"/>
    <s v="SA"/>
    <n v="1918.18"/>
    <d v="2025-11-30T00:00:00"/>
    <s v="VIEILLESSE DÉPLAFONNÉE - EXO PART APPRENTI"/>
    <m/>
    <e v="#N/A"/>
    <e v="#N/A"/>
    <n v="92353"/>
    <s v="SA202511"/>
    <m/>
    <s v="Q4"/>
    <e v="#REF!"/>
    <e v="#REF!"/>
    <e v="#REF!"/>
  </r>
  <r>
    <s v="645100"/>
    <x v="6"/>
    <s v="URSSAF"/>
    <s v="SA"/>
    <n v="1923.95"/>
    <d v="2025-11-30T00:00:00"/>
    <s v="MALADIE (COMPLÉMENT)"/>
    <m/>
    <e v="#N/A"/>
    <e v="#N/A"/>
    <n v="92337"/>
    <s v="SA202511"/>
    <m/>
    <s v="Q4"/>
    <e v="#REF!"/>
    <e v="#REF!"/>
    <e v="#REF!"/>
  </r>
  <r>
    <s v="645100"/>
    <x v="6"/>
    <s v="URSSAF"/>
    <s v="SA"/>
    <n v="1930.04"/>
    <d v="2025-08-31T00:00:00"/>
    <s v="MALADIE (COMPLÉMENT)"/>
    <m/>
    <e v="#N/A"/>
    <e v="#N/A"/>
    <n v="83990"/>
    <s v="SA202508"/>
    <m/>
    <s v="Q3"/>
    <e v="#REF!"/>
    <e v="#REF!"/>
    <e v="#REF!"/>
  </r>
  <r>
    <s v="645100"/>
    <x v="6"/>
    <s v="URSSAF"/>
    <s v="SA"/>
    <n v="1932.27"/>
    <d v="2025-09-30T00:00:00"/>
    <s v="ASSURANCE CHÔMAGE TRA+TRB - EXO PART APPRENTI"/>
    <m/>
    <e v="#N/A"/>
    <e v="#N/A"/>
    <n v="84160"/>
    <s v="SA202509"/>
    <m/>
    <s v="Q3"/>
    <e v="#REF!"/>
    <e v="#REF!"/>
    <e v="#REF!"/>
  </r>
  <r>
    <s v="645100"/>
    <x v="6"/>
    <s v="URSSAF"/>
    <s v="SA"/>
    <n v="1938.65"/>
    <d v="2025-06-30T00:00:00"/>
    <s v="MALADIE (COMPLÉMENT)"/>
    <m/>
    <e v="#N/A"/>
    <e v="#N/A"/>
    <n v="80035"/>
    <s v="SA202506"/>
    <m/>
    <s v="Q2"/>
    <e v="#REF!"/>
    <e v="#REF!"/>
    <e v="#REF!"/>
  </r>
  <r>
    <s v="645100"/>
    <x v="6"/>
    <s v="URSSAF"/>
    <s v="SA"/>
    <n v="1938.65"/>
    <d v="2025-10-31T00:00:00"/>
    <s v="MALADIE (COMPLÉMENT)"/>
    <m/>
    <e v="#N/A"/>
    <e v="#N/A"/>
    <n v="87818"/>
    <s v="SA202510"/>
    <m/>
    <s v="Q4"/>
    <e v="#REF!"/>
    <e v="#REF!"/>
    <e v="#REF!"/>
  </r>
  <r>
    <s v="645100"/>
    <x v="6"/>
    <s v="URSSAF"/>
    <s v="SA"/>
    <n v="1941.57"/>
    <d v="2025-11-30T00:00:00"/>
    <s v="MALADIE (COMPLÉMENT)"/>
    <m/>
    <e v="#N/A"/>
    <e v="#N/A"/>
    <n v="92325"/>
    <s v="SA202511"/>
    <m/>
    <s v="Q4"/>
    <e v="#REF!"/>
    <e v="#REF!"/>
    <e v="#REF!"/>
  </r>
  <r>
    <s v="645100"/>
    <x v="6"/>
    <s v="URSSAF"/>
    <s v="SA"/>
    <n v="1949.22"/>
    <d v="2025-03-31T00:00:00"/>
    <s v="VIEILLESSE DÉPLAFONNÉE"/>
    <m/>
    <e v="#N/A"/>
    <e v="#N/A"/>
    <n v="80572"/>
    <s v="SA202503"/>
    <m/>
    <s v="Q1"/>
    <e v="#REF!"/>
    <e v="#REF!"/>
    <e v="#REF!"/>
  </r>
  <r>
    <s v="645100"/>
    <x v="6"/>
    <s v="URSSAF"/>
    <s v="SA"/>
    <n v="1949.59"/>
    <d v="2025-12-31T00:00:00"/>
    <s v="MALADIE (COMPLÉMENT)"/>
    <m/>
    <e v="#N/A"/>
    <e v="#N/A"/>
    <n v="92788"/>
    <s v="SA202512"/>
    <m/>
    <s v="Q4"/>
    <e v="#REF!"/>
    <e v="#REF!"/>
    <e v="#REF!"/>
  </r>
  <r>
    <s v="645100"/>
    <x v="6"/>
    <s v="URSSAF"/>
    <s v="SA"/>
    <n v="1956.25"/>
    <d v="2025-01-31T00:00:00"/>
    <s v="VIEILLESSE DÉPLAFONNÉE"/>
    <m/>
    <e v="#N/A"/>
    <e v="#N/A"/>
    <n v="85465"/>
    <s v="SA202501"/>
    <m/>
    <s v="Q1"/>
    <e v="#REF!"/>
    <e v="#REF!"/>
    <e v="#REF!"/>
  </r>
  <r>
    <s v="645100"/>
    <x v="6"/>
    <s v="URSSAF"/>
    <s v="SA"/>
    <n v="1986.34"/>
    <d v="2025-09-30T00:00:00"/>
    <s v="VIEILLESSE DÉPLAFONNÉE - EXO PART APPRENTI"/>
    <m/>
    <e v="#N/A"/>
    <e v="#N/A"/>
    <n v="84180"/>
    <s v="SA202509"/>
    <m/>
    <s v="Q3"/>
    <e v="#REF!"/>
    <e v="#REF!"/>
    <e v="#REF!"/>
  </r>
  <r>
    <s v="645100"/>
    <x v="6"/>
    <s v="URSSAF"/>
    <s v="SA"/>
    <n v="1990.62"/>
    <d v="2025-07-31T00:00:00"/>
    <s v="VIEILLESSE DÉPLAFONNÉE"/>
    <m/>
    <e v="#N/A"/>
    <e v="#N/A"/>
    <n v="79891"/>
    <s v="SA202507"/>
    <m/>
    <s v="Q3"/>
    <e v="#REF!"/>
    <e v="#REF!"/>
    <e v="#REF!"/>
  </r>
  <r>
    <s v="645100"/>
    <x v="6"/>
    <s v="URSSAF"/>
    <s v="SA"/>
    <n v="2004.22"/>
    <d v="2025-05-31T00:00:00"/>
    <s v="ASSURANCE CHÔMAGE TRA+TRB"/>
    <m/>
    <e v="#N/A"/>
    <e v="#N/A"/>
    <n v="80211"/>
    <s v="SA202505"/>
    <m/>
    <s v="Q2"/>
    <e v="#REF!"/>
    <e v="#REF!"/>
    <e v="#REF!"/>
  </r>
  <r>
    <s v="645100"/>
    <x v="6"/>
    <s v="URSSAF"/>
    <s v="SA"/>
    <n v="2007.47"/>
    <d v="2025-08-31T00:00:00"/>
    <s v="MALADIE (COMPLÉMENT)"/>
    <m/>
    <e v="#N/A"/>
    <e v="#N/A"/>
    <n v="83978"/>
    <s v="SA202508"/>
    <m/>
    <s v="Q3"/>
    <e v="#REF!"/>
    <e v="#REF!"/>
    <e v="#REF!"/>
  </r>
  <r>
    <s v="645100"/>
    <x v="6"/>
    <s v="URSSAF"/>
    <s v="SA"/>
    <n v="2011.76"/>
    <d v="2025-09-30T00:00:00"/>
    <s v="MALADIE (COMPLÉMENT)"/>
    <m/>
    <e v="#N/A"/>
    <e v="#N/A"/>
    <n v="84164"/>
    <s v="SA202509"/>
    <m/>
    <s v="Q3"/>
    <e v="#REF!"/>
    <e v="#REF!"/>
    <e v="#REF!"/>
  </r>
  <r>
    <s v="645100"/>
    <x v="6"/>
    <s v="URSSAF"/>
    <s v="SA"/>
    <n v="2025.03"/>
    <d v="2025-01-31T00:00:00"/>
    <s v="MALADIE (COMPLÉMENT)"/>
    <m/>
    <e v="#N/A"/>
    <e v="#N/A"/>
    <n v="85437"/>
    <s v="SA202501"/>
    <m/>
    <s v="Q1"/>
    <e v="#REF!"/>
    <e v="#REF!"/>
    <e v="#REF!"/>
  </r>
  <r>
    <s v="645100"/>
    <x v="6"/>
    <s v="URSSAF"/>
    <s v="SA"/>
    <n v="2045.92"/>
    <d v="2025-03-31T00:00:00"/>
    <s v="MALADIE - MATERNITÉ - INVALIDITÉ - DÉCÈS"/>
    <m/>
    <e v="#N/A"/>
    <e v="#N/A"/>
    <n v="80545"/>
    <s v="SA202503"/>
    <m/>
    <s v="Q1"/>
    <e v="#REF!"/>
    <e v="#REF!"/>
    <e v="#REF!"/>
  </r>
  <r>
    <s v="645100"/>
    <x v="6"/>
    <s v="URSSAF"/>
    <s v="SA"/>
    <n v="2045.92"/>
    <d v="2025-04-30T00:00:00"/>
    <s v="MALADIE - MATERNITÉ - INVALIDITÉ - DÉCÈS"/>
    <m/>
    <e v="#N/A"/>
    <e v="#N/A"/>
    <n v="80372"/>
    <s v="SA202504"/>
    <m/>
    <s v="Q2"/>
    <e v="#REF!"/>
    <e v="#REF!"/>
    <e v="#REF!"/>
  </r>
  <r>
    <s v="645100"/>
    <x v="6"/>
    <s v="URSSAF"/>
    <s v="SA"/>
    <n v="2086.69"/>
    <d v="2025-06-30T00:00:00"/>
    <s v="ASSURANCE CHÔMAGE TRA+TRB"/>
    <m/>
    <e v="#N/A"/>
    <e v="#N/A"/>
    <n v="80043"/>
    <s v="SA202506"/>
    <m/>
    <s v="Q2"/>
    <e v="#REF!"/>
    <e v="#REF!"/>
    <e v="#REF!"/>
  </r>
  <r>
    <s v="645100"/>
    <x v="6"/>
    <s v="URSSAF"/>
    <s v="SA"/>
    <n v="2089.87"/>
    <d v="2025-04-30T00:00:00"/>
    <s v="ASSURANCE CHÔMAGE TRA+TRB"/>
    <m/>
    <e v="#N/A"/>
    <e v="#N/A"/>
    <n v="80379"/>
    <s v="SA202504"/>
    <m/>
    <s v="Q2"/>
    <e v="#REF!"/>
    <e v="#REF!"/>
    <e v="#REF!"/>
  </r>
  <r>
    <s v="645100"/>
    <x v="6"/>
    <s v="URSSAF"/>
    <s v="SA"/>
    <n v="2105.25"/>
    <d v="2025-05-31T00:00:00"/>
    <s v="MALADIE - MATERNITÉ - INVALIDITÉ - DÉCÈS"/>
    <m/>
    <e v="#N/A"/>
    <e v="#N/A"/>
    <n v="80204"/>
    <s v="SA202505"/>
    <m/>
    <s v="Q2"/>
    <e v="#REF!"/>
    <e v="#REF!"/>
    <e v="#REF!"/>
  </r>
  <r>
    <s v="645100"/>
    <x v="6"/>
    <s v="URSSAF"/>
    <s v="SA"/>
    <n v="2130.7800000000002"/>
    <d v="2025-03-31T00:00:00"/>
    <s v="ASSURANCE CHÔMAGE TRA+TRB"/>
    <m/>
    <e v="#N/A"/>
    <e v="#N/A"/>
    <n v="80552"/>
    <s v="SA202503"/>
    <m/>
    <s v="Q1"/>
    <e v="#REF!"/>
    <e v="#REF!"/>
    <e v="#REF!"/>
  </r>
  <r>
    <s v="645100"/>
    <x v="6"/>
    <s v="URSSAF"/>
    <s v="SA"/>
    <n v="2139.31"/>
    <d v="2025-02-28T00:00:00"/>
    <s v="ALLOCATIONS FAMILIALES (COMPLÉMENT)"/>
    <m/>
    <e v="#N/A"/>
    <e v="#N/A"/>
    <n v="85283"/>
    <s v="SA202502"/>
    <m/>
    <s v="Q1"/>
    <e v="#REF!"/>
    <e v="#REF!"/>
    <e v="#REF!"/>
  </r>
  <r>
    <s v="645100"/>
    <x v="6"/>
    <s v="URSSAF"/>
    <s v="SA"/>
    <n v="2165.7399999999998"/>
    <d v="2025-07-31T00:00:00"/>
    <s v="MALADIE - MATERNITÉ - INVALIDITÉ - DÉCÈS"/>
    <m/>
    <e v="#N/A"/>
    <e v="#N/A"/>
    <n v="79864"/>
    <s v="SA202507"/>
    <m/>
    <s v="Q3"/>
    <e v="#REF!"/>
    <e v="#REF!"/>
    <e v="#REF!"/>
  </r>
  <r>
    <s v="645100"/>
    <x v="6"/>
    <s v="URSSAF"/>
    <s v="SA"/>
    <n v="2172.62"/>
    <d v="2025-03-31T00:00:00"/>
    <s v="MALADIE (COMPLÉMENT)"/>
    <m/>
    <e v="#N/A"/>
    <e v="#N/A"/>
    <n v="80556"/>
    <s v="SA202503"/>
    <m/>
    <s v="Q1"/>
    <e v="#REF!"/>
    <e v="#REF!"/>
    <e v="#REF!"/>
  </r>
  <r>
    <s v="645100"/>
    <x v="6"/>
    <s v="URSSAF"/>
    <s v="SA"/>
    <n v="2175.61"/>
    <d v="2025-09-30T00:00:00"/>
    <s v="MALADIE - MATERNITÉ - INVALIDITÉ - DÉCÈS - EXO PART APP"/>
    <m/>
    <e v="#N/A"/>
    <e v="#N/A"/>
    <n v="84153"/>
    <s v="SA202509"/>
    <m/>
    <s v="Q3"/>
    <e v="#REF!"/>
    <e v="#REF!"/>
    <e v="#REF!"/>
  </r>
  <r>
    <s v="645100"/>
    <x v="6"/>
    <s v="URSSAF"/>
    <s v="SA"/>
    <n v="2190.64"/>
    <d v="2025-05-31T00:00:00"/>
    <s v="MALADIE (COMPLÉMENT)"/>
    <m/>
    <e v="#N/A"/>
    <e v="#N/A"/>
    <n v="80215"/>
    <s v="SA202505"/>
    <m/>
    <s v="Q2"/>
    <e v="#REF!"/>
    <e v="#REF!"/>
    <e v="#REF!"/>
  </r>
  <r>
    <s v="645100"/>
    <x v="6"/>
    <s v="URSSAF"/>
    <s v="SA"/>
    <n v="2261.7600000000002"/>
    <d v="2025-10-31T00:00:00"/>
    <s v="MALADIE - MATERNITÉ - INVALIDITÉ - DÉCÈS - EXO PART APP"/>
    <m/>
    <e v="#N/A"/>
    <e v="#N/A"/>
    <n v="87819"/>
    <s v="SA202510"/>
    <m/>
    <s v="Q4"/>
    <e v="#REF!"/>
    <e v="#REF!"/>
    <e v="#REF!"/>
  </r>
  <r>
    <s v="645100"/>
    <x v="6"/>
    <s v="URSSAF"/>
    <s v="SA"/>
    <n v="2265.17"/>
    <d v="2025-11-30T00:00:00"/>
    <s v="MALADIE - MATERNITÉ - INVALIDITÉ - DÉCÈS - EXO PART APP"/>
    <m/>
    <e v="#N/A"/>
    <e v="#N/A"/>
    <n v="92326"/>
    <s v="SA202511"/>
    <m/>
    <s v="Q4"/>
    <e v="#REF!"/>
    <e v="#REF!"/>
    <e v="#REF!"/>
  </r>
  <r>
    <s v="645100"/>
    <x v="6"/>
    <s v="URSSAF"/>
    <s v="SA"/>
    <n v="2274.52"/>
    <d v="2025-12-31T00:00:00"/>
    <s v="MALADIE - MATERNITÉ - INVALIDITÉ - DÉCÈS - EXO PART APP"/>
    <m/>
    <e v="#N/A"/>
    <e v="#N/A"/>
    <n v="92789"/>
    <s v="SA202512"/>
    <m/>
    <s v="Q4"/>
    <e v="#REF!"/>
    <e v="#REF!"/>
    <e v="#REF!"/>
  </r>
  <r>
    <s v="645100"/>
    <x v="6"/>
    <s v="URSSAF"/>
    <s v="SA"/>
    <n v="2305.46"/>
    <d v="2025-04-30T00:00:00"/>
    <s v="MALADIE (COMPLÉMENT)"/>
    <m/>
    <e v="#N/A"/>
    <e v="#N/A"/>
    <n v="80384"/>
    <s v="SA202504"/>
    <m/>
    <s v="Q2"/>
    <e v="#REF!"/>
    <e v="#REF!"/>
    <e v="#REF!"/>
  </r>
  <r>
    <s v="645100"/>
    <x v="6"/>
    <s v="URSSAF"/>
    <s v="SA"/>
    <n v="2318.4899999999998"/>
    <d v="2025-06-30T00:00:00"/>
    <s v="MALADIE (COMPLÉMENT)"/>
    <m/>
    <e v="#N/A"/>
    <e v="#N/A"/>
    <n v="80047"/>
    <s v="SA202506"/>
    <m/>
    <s v="Q2"/>
    <e v="#REF!"/>
    <e v="#REF!"/>
    <e v="#REF!"/>
  </r>
  <r>
    <s v="645100"/>
    <x v="6"/>
    <s v="URSSAF"/>
    <s v="SA"/>
    <n v="2342.04"/>
    <d v="2025-08-31T00:00:00"/>
    <s v="MALADIE - MATERNITÉ - INVALIDITÉ - DÉCÈS"/>
    <m/>
    <e v="#N/A"/>
    <e v="#N/A"/>
    <n v="83979"/>
    <s v="SA202508"/>
    <m/>
    <s v="Q3"/>
    <e v="#REF!"/>
    <e v="#REF!"/>
    <e v="#REF!"/>
  </r>
  <r>
    <s v="645100"/>
    <x v="6"/>
    <s v="URSSAF"/>
    <s v="SA"/>
    <n v="2451.15"/>
    <d v="2025-02-28T00:00:00"/>
    <s v="ASSURANCE CHÔMAGE TRA+TRB"/>
    <m/>
    <e v="#N/A"/>
    <e v="#N/A"/>
    <n v="85258"/>
    <s v="SA202502"/>
    <m/>
    <s v="Q1"/>
    <e v="#REF!"/>
    <e v="#REF!"/>
    <e v="#REF!"/>
  </r>
  <r>
    <s v="645100"/>
    <x v="6"/>
    <s v="URSSAF"/>
    <s v="SA"/>
    <n v="2514.75"/>
    <d v="2025-06-30T00:00:00"/>
    <s v="MALADIE - MATERNITÉ - INVALIDITÉ - DÉCÈS"/>
    <m/>
    <e v="#N/A"/>
    <e v="#N/A"/>
    <n v="80036"/>
    <s v="SA202506"/>
    <m/>
    <s v="Q2"/>
    <e v="#REF!"/>
    <e v="#REF!"/>
    <e v="#REF!"/>
  </r>
  <r>
    <s v="645100"/>
    <x v="6"/>
    <s v="URSSAF"/>
    <s v="SA"/>
    <n v="2613.36"/>
    <d v="2025-01-31T00:00:00"/>
    <s v="MALADIE - MATERNITÉ - INVALIDITÉ - DÉCÈS"/>
    <m/>
    <e v="#N/A"/>
    <e v="#N/A"/>
    <n v="85438"/>
    <s v="SA202501"/>
    <m/>
    <s v="Q1"/>
    <e v="#REF!"/>
    <e v="#REF!"/>
    <e v="#REF!"/>
  </r>
  <r>
    <s v="645100"/>
    <x v="6"/>
    <s v="URSSAF"/>
    <s v="SA"/>
    <n v="2652.12"/>
    <d v="2025-01-31T00:00:00"/>
    <s v="MALADIE (COMPLÉMENT)"/>
    <m/>
    <e v="#N/A"/>
    <e v="#N/A"/>
    <n v="85462"/>
    <s v="SA202501"/>
    <m/>
    <s v="Q1"/>
    <e v="#REF!"/>
    <e v="#REF!"/>
    <e v="#REF!"/>
  </r>
  <r>
    <s v="645100"/>
    <x v="6"/>
    <s v="URSSAF"/>
    <s v="SA"/>
    <n v="2655.9"/>
    <d v="2025-11-30T00:00:00"/>
    <s v="VIEILLESSE PLAFONNÉE - EXO PART APPRENTI"/>
    <m/>
    <e v="#N/A"/>
    <e v="#N/A"/>
    <n v="92341"/>
    <s v="SA202511"/>
    <m/>
    <s v="Q4"/>
    <e v="#REF!"/>
    <e v="#REF!"/>
    <e v="#REF!"/>
  </r>
  <r>
    <s v="645100"/>
    <x v="6"/>
    <s v="URSSAF"/>
    <s v="SA"/>
    <n v="2656"/>
    <d v="2025-12-31T00:00:00"/>
    <s v="VIEILLESSE PLAFONNÉE - EXO PART APPRENTI"/>
    <m/>
    <e v="#N/A"/>
    <e v="#N/A"/>
    <n v="92804"/>
    <s v="SA202512"/>
    <m/>
    <s v="Q4"/>
    <e v="#REF!"/>
    <e v="#REF!"/>
    <e v="#REF!"/>
  </r>
  <r>
    <s v="645100"/>
    <x v="6"/>
    <s v="URSSAF"/>
    <s v="SA"/>
    <n v="2661.87"/>
    <d v="2025-10-31T00:00:00"/>
    <s v="VIEILLESSE PLAFONNÉE - EXO PART APPRENTI"/>
    <m/>
    <e v="#N/A"/>
    <e v="#N/A"/>
    <n v="87834"/>
    <s v="SA202510"/>
    <m/>
    <s v="Q4"/>
    <e v="#REF!"/>
    <e v="#REF!"/>
    <e v="#REF!"/>
  </r>
  <r>
    <s v="645100"/>
    <x v="6"/>
    <s v="URSSAF"/>
    <s v="SA"/>
    <n v="2712.05"/>
    <d v="2025-01-31T00:00:00"/>
    <s v="VIEILLESSE PLAFONNÉE"/>
    <m/>
    <e v="#N/A"/>
    <e v="#N/A"/>
    <n v="85453"/>
    <s v="SA202501"/>
    <m/>
    <s v="Q1"/>
    <e v="#REF!"/>
    <e v="#REF!"/>
    <e v="#REF!"/>
  </r>
  <r>
    <s v="645100"/>
    <x v="6"/>
    <s v="URSSAF"/>
    <s v="SA"/>
    <n v="2781.71"/>
    <d v="2025-08-31T00:00:00"/>
    <s v="VIEILLESSE PLAFONNÉE"/>
    <m/>
    <e v="#N/A"/>
    <e v="#N/A"/>
    <n v="83994"/>
    <s v="SA202508"/>
    <m/>
    <s v="Q3"/>
    <e v="#REF!"/>
    <e v="#REF!"/>
    <e v="#REF!"/>
  </r>
  <r>
    <s v="645100"/>
    <x v="6"/>
    <s v="URSSAF"/>
    <s v="SA"/>
    <n v="2799.06"/>
    <d v="2025-02-28T00:00:00"/>
    <s v="ALLOCATIONS FAMILIALES"/>
    <m/>
    <e v="#N/A"/>
    <e v="#N/A"/>
    <n v="85269"/>
    <s v="SA202502"/>
    <m/>
    <s v="Q1"/>
    <e v="#REF!"/>
    <e v="#REF!"/>
    <e v="#REF!"/>
  </r>
  <r>
    <s v="645100"/>
    <x v="6"/>
    <s v="URSSAF"/>
    <s v="SA"/>
    <n v="2830.69"/>
    <d v="2025-07-31T00:00:00"/>
    <s v="VIEILLESSE PLAFONNÉE"/>
    <m/>
    <e v="#N/A"/>
    <e v="#N/A"/>
    <n v="79879"/>
    <s v="SA202507"/>
    <m/>
    <s v="Q3"/>
    <e v="#REF!"/>
    <e v="#REF!"/>
    <e v="#REF!"/>
  </r>
  <r>
    <s v="645100"/>
    <x v="6"/>
    <s v="URSSAF"/>
    <s v="SA"/>
    <n v="2856.77"/>
    <d v="2025-06-30T00:00:00"/>
    <s v="VIEILLESSE PLAFONNÉE"/>
    <m/>
    <e v="#N/A"/>
    <e v="#N/A"/>
    <n v="80051"/>
    <s v="SA202506"/>
    <m/>
    <s v="Q2"/>
    <e v="#REF!"/>
    <e v="#REF!"/>
    <e v="#REF!"/>
  </r>
  <r>
    <s v="645100"/>
    <x v="6"/>
    <s v="URSSAF"/>
    <s v="SA"/>
    <n v="2941.44"/>
    <d v="2025-09-30T00:00:00"/>
    <s v="VIEILLESSE PLAFONNÉE - EXO PART APPRENTI"/>
    <m/>
    <e v="#N/A"/>
    <e v="#N/A"/>
    <n v="84168"/>
    <s v="SA202509"/>
    <m/>
    <s v="Q3"/>
    <e v="#REF!"/>
    <e v="#REF!"/>
    <e v="#REF!"/>
  </r>
  <r>
    <s v="645100"/>
    <x v="6"/>
    <s v="URSSAF"/>
    <s v="SA"/>
    <n v="2949.63"/>
    <d v="2025-01-31T00:00:00"/>
    <s v="MALADIE - MATERNITÉ - INVALIDITÉ - DÉCÈS"/>
    <m/>
    <e v="#N/A"/>
    <e v="#N/A"/>
    <n v="85450"/>
    <s v="SA202501"/>
    <m/>
    <s v="Q1"/>
    <e v="#REF!"/>
    <e v="#REF!"/>
    <e v="#REF!"/>
  </r>
  <r>
    <s v="645100"/>
    <x v="6"/>
    <s v="URSSAF"/>
    <s v="SA"/>
    <n v="3033.35"/>
    <d v="2025-12-31T00:00:00"/>
    <s v="MALADIE - MATERNITÉ - INVALIDITÉ - DÉCÈS - EXO PART APP"/>
    <m/>
    <e v="#N/A"/>
    <e v="#N/A"/>
    <n v="92801"/>
    <s v="SA202512"/>
    <m/>
    <s v="Q4"/>
    <e v="#REF!"/>
    <e v="#REF!"/>
    <e v="#REF!"/>
  </r>
  <r>
    <s v="645100"/>
    <x v="6"/>
    <s v="URSSAF"/>
    <s v="SA"/>
    <n v="3033.4"/>
    <d v="2025-10-31T00:00:00"/>
    <s v="MALADIE - MATERNITÉ - INVALIDITÉ - DÉCÈS - EXO PART APP"/>
    <m/>
    <e v="#N/A"/>
    <e v="#N/A"/>
    <n v="87831"/>
    <s v="SA202510"/>
    <m/>
    <s v="Q4"/>
    <e v="#REF!"/>
    <e v="#REF!"/>
    <e v="#REF!"/>
  </r>
  <r>
    <s v="645100"/>
    <x v="6"/>
    <s v="URSSAF"/>
    <s v="SA"/>
    <n v="3045.27"/>
    <d v="2025-11-30T00:00:00"/>
    <s v="MALADIE - MATERNITÉ - INVALIDITÉ - DÉCÈS - EXO PART APP"/>
    <m/>
    <e v="#N/A"/>
    <e v="#N/A"/>
    <n v="92338"/>
    <s v="SA202511"/>
    <m/>
    <s v="Q4"/>
    <e v="#REF!"/>
    <e v="#REF!"/>
    <e v="#REF!"/>
  </r>
  <r>
    <s v="645100"/>
    <x v="6"/>
    <s v="URSSAF"/>
    <s v="SA"/>
    <n v="3125.03"/>
    <d v="2025-02-28T00:00:00"/>
    <s v="ALLOCATIONS FAMILIALES"/>
    <m/>
    <e v="#N/A"/>
    <e v="#N/A"/>
    <n v="85256"/>
    <s v="SA202502"/>
    <m/>
    <s v="Q1"/>
    <e v="#REF!"/>
    <e v="#REF!"/>
    <e v="#REF!"/>
  </r>
  <r>
    <s v="645100"/>
    <x v="6"/>
    <s v="URSSAF"/>
    <s v="SA"/>
    <n v="3144.54"/>
    <d v="2025-04-30T00:00:00"/>
    <s v="VIEILLESSE PLAFONNÉE"/>
    <m/>
    <e v="#N/A"/>
    <e v="#N/A"/>
    <n v="80388"/>
    <s v="SA202504"/>
    <m/>
    <s v="Q2"/>
    <e v="#REF!"/>
    <e v="#REF!"/>
    <e v="#REF!"/>
  </r>
  <r>
    <s v="645100"/>
    <x v="6"/>
    <s v="URSSAF"/>
    <s v="SA"/>
    <n v="3155.39"/>
    <d v="2025-08-31T00:00:00"/>
    <s v="MALADIE - MATERNITÉ - INVALIDITÉ - DÉCÈS"/>
    <m/>
    <e v="#N/A"/>
    <e v="#N/A"/>
    <n v="83991"/>
    <s v="SA202508"/>
    <m/>
    <s v="Q3"/>
    <e v="#REF!"/>
    <e v="#REF!"/>
    <e v="#REF!"/>
  </r>
  <r>
    <s v="645100"/>
    <x v="6"/>
    <s v="URSSAF"/>
    <s v="SA"/>
    <n v="3155.99"/>
    <d v="2025-12-31T00:00:00"/>
    <s v="ALLOCATIONS FAMILIALES - EXO PART APPRENTI"/>
    <m/>
    <e v="#N/A"/>
    <e v="#N/A"/>
    <n v="92808"/>
    <s v="SA202512"/>
    <m/>
    <s v="Q4"/>
    <e v="#REF!"/>
    <e v="#REF!"/>
    <e v="#REF!"/>
  </r>
  <r>
    <s v="645100"/>
    <x v="6"/>
    <s v="URSSAF"/>
    <s v="SA"/>
    <n v="3164.61"/>
    <d v="2025-06-30T00:00:00"/>
    <s v="ALLOCATIONS FAMILIALES"/>
    <m/>
    <e v="#N/A"/>
    <e v="#N/A"/>
    <n v="80054"/>
    <s v="SA202506"/>
    <m/>
    <s v="Q2"/>
    <e v="#REF!"/>
    <e v="#REF!"/>
    <e v="#REF!"/>
  </r>
  <r>
    <s v="645100"/>
    <x v="6"/>
    <s v="URSSAF"/>
    <s v="SA"/>
    <n v="3173.02"/>
    <d v="2025-07-31T00:00:00"/>
    <s v="MALADIE - MATERNITÉ - INVALIDITÉ - DÉCÈS"/>
    <m/>
    <e v="#N/A"/>
    <e v="#N/A"/>
    <n v="79876"/>
    <s v="SA202507"/>
    <m/>
    <s v="Q3"/>
    <e v="#REF!"/>
    <e v="#REF!"/>
    <e v="#REF!"/>
  </r>
  <r>
    <s v="645100"/>
    <x v="6"/>
    <s v="URSSAF"/>
    <s v="SA"/>
    <n v="3173.87"/>
    <d v="2025-08-31T00:00:00"/>
    <s v="ALLOCATIONS FAMILIALES"/>
    <m/>
    <e v="#N/A"/>
    <e v="#N/A"/>
    <n v="83997"/>
    <s v="SA202508"/>
    <m/>
    <s v="Q3"/>
    <e v="#REF!"/>
    <e v="#REF!"/>
    <e v="#REF!"/>
  </r>
  <r>
    <s v="645100"/>
    <x v="6"/>
    <s v="URSSAF"/>
    <s v="SA"/>
    <n v="3175.89"/>
    <d v="2025-05-31T00:00:00"/>
    <s v="VIEILLESSE PLAFONNÉE"/>
    <m/>
    <e v="#N/A"/>
    <e v="#N/A"/>
    <n v="80219"/>
    <s v="SA202505"/>
    <m/>
    <s v="Q2"/>
    <e v="#REF!"/>
    <e v="#REF!"/>
    <e v="#REF!"/>
  </r>
  <r>
    <s v="645100"/>
    <x v="6"/>
    <s v="URSSAF"/>
    <s v="SA"/>
    <n v="3178.19"/>
    <d v="2025-07-31T00:00:00"/>
    <s v="MALADIE (COMPLÉMENT)"/>
    <m/>
    <e v="#N/A"/>
    <e v="#N/A"/>
    <n v="79863"/>
    <s v="SA202507"/>
    <m/>
    <s v="Q3"/>
    <e v="#REF!"/>
    <e v="#REF!"/>
    <e v="#REF!"/>
  </r>
  <r>
    <s v="645100"/>
    <x v="6"/>
    <s v="URSSAF"/>
    <s v="SA"/>
    <n v="3195.36"/>
    <d v="2025-05-31T00:00:00"/>
    <s v="ALLOCATIONS FAMILIALES"/>
    <m/>
    <e v="#N/A"/>
    <e v="#N/A"/>
    <n v="80222"/>
    <s v="SA202505"/>
    <m/>
    <s v="Q2"/>
    <e v="#REF!"/>
    <e v="#REF!"/>
    <e v="#REF!"/>
  </r>
  <r>
    <s v="645100"/>
    <x v="6"/>
    <s v="URSSAF"/>
    <s v="SA"/>
    <n v="3196.07"/>
    <d v="2025-02-28T00:00:00"/>
    <s v="ASSURANCE CHÔMAGE TRA+TRB"/>
    <m/>
    <e v="#N/A"/>
    <e v="#N/A"/>
    <n v="85271"/>
    <s v="SA202502"/>
    <m/>
    <s v="Q1"/>
    <e v="#REF!"/>
    <e v="#REF!"/>
    <e v="#REF!"/>
  </r>
  <r>
    <s v="645100"/>
    <x v="6"/>
    <s v="URSSAF"/>
    <s v="SA"/>
    <n v="3216.18"/>
    <d v="2025-04-30T00:00:00"/>
    <s v="ALLOCATIONS FAMILIALES"/>
    <m/>
    <e v="#N/A"/>
    <e v="#N/A"/>
    <n v="80391"/>
    <s v="SA202504"/>
    <m/>
    <s v="Q2"/>
    <e v="#REF!"/>
    <e v="#REF!"/>
    <e v="#REF!"/>
  </r>
  <r>
    <s v="645100"/>
    <x v="6"/>
    <s v="URSSAF"/>
    <s v="SA"/>
    <n v="3220.09"/>
    <d v="2025-10-31T00:00:00"/>
    <s v="ALLOCATIONS FAMILIALES - EXO PART APPRENTI"/>
    <m/>
    <e v="#N/A"/>
    <e v="#N/A"/>
    <n v="87838"/>
    <s v="SA202510"/>
    <m/>
    <s v="Q4"/>
    <e v="#REF!"/>
    <e v="#REF!"/>
    <e v="#REF!"/>
  </r>
  <r>
    <s v="645100"/>
    <x v="6"/>
    <s v="URSSAF"/>
    <s v="SA"/>
    <n v="3262.56"/>
    <d v="2025-03-31T00:00:00"/>
    <s v="VIEILLESSE PLAFONNÉE"/>
    <m/>
    <e v="#N/A"/>
    <e v="#N/A"/>
    <n v="80560"/>
    <s v="SA202503"/>
    <m/>
    <s v="Q1"/>
    <e v="#REF!"/>
    <e v="#REF!"/>
    <e v="#REF!"/>
  </r>
  <r>
    <s v="645100"/>
    <x v="6"/>
    <s v="URSSAF"/>
    <s v="SA"/>
    <n v="3276.09"/>
    <d v="2025-11-30T00:00:00"/>
    <s v="ALLOCATIONS FAMILIALES - EXO PART APPRENTI"/>
    <m/>
    <e v="#N/A"/>
    <e v="#N/A"/>
    <n v="92345"/>
    <s v="SA202511"/>
    <m/>
    <s v="Q4"/>
    <e v="#REF!"/>
    <e v="#REF!"/>
    <e v="#REF!"/>
  </r>
  <r>
    <s v="645100"/>
    <x v="6"/>
    <s v="URSSAF"/>
    <s v="SA"/>
    <n v="3329.11"/>
    <d v="2025-03-31T00:00:00"/>
    <s v="ALLOCATIONS FAMILIALES"/>
    <m/>
    <e v="#N/A"/>
    <e v="#N/A"/>
    <n v="80563"/>
    <s v="SA202503"/>
    <m/>
    <s v="Q1"/>
    <e v="#REF!"/>
    <e v="#REF!"/>
    <e v="#REF!"/>
  </r>
  <r>
    <s v="645100"/>
    <x v="6"/>
    <s v="URSSAF"/>
    <s v="SA"/>
    <n v="3341.16"/>
    <d v="2025-01-31T00:00:00"/>
    <s v="ALLOCATIONS FAMILIALES"/>
    <m/>
    <e v="#N/A"/>
    <e v="#N/A"/>
    <n v="85456"/>
    <s v="SA202501"/>
    <m/>
    <s v="Q1"/>
    <e v="#REF!"/>
    <e v="#REF!"/>
    <e v="#REF!"/>
  </r>
  <r>
    <s v="645100"/>
    <x v="6"/>
    <s v="URSSAF"/>
    <s v="SA"/>
    <n v="3381.48"/>
    <d v="2025-09-30T00:00:00"/>
    <s v="MALADIE - MATERNITÉ - INVALIDITÉ - DÉCÈS - EXO PART APP"/>
    <m/>
    <e v="#N/A"/>
    <e v="#N/A"/>
    <n v="84165"/>
    <s v="SA202509"/>
    <m/>
    <s v="Q3"/>
    <e v="#REF!"/>
    <e v="#REF!"/>
    <e v="#REF!"/>
  </r>
  <r>
    <s v="645100"/>
    <x v="6"/>
    <s v="URSSAF"/>
    <s v="SA"/>
    <n v="3392.47"/>
    <d v="2025-09-30T00:00:00"/>
    <s v="ALLOCATIONS FAMILIALES - EXO PART APPRENTI"/>
    <m/>
    <e v="#N/A"/>
    <e v="#N/A"/>
    <n v="84172"/>
    <s v="SA202509"/>
    <m/>
    <s v="Q3"/>
    <e v="#REF!"/>
    <e v="#REF!"/>
    <e v="#REF!"/>
  </r>
  <r>
    <s v="645100"/>
    <x v="6"/>
    <s v="URSSAF"/>
    <s v="SA"/>
    <n v="3399.82"/>
    <d v="2025-07-31T00:00:00"/>
    <s v="ALLOCATIONS FAMILIALES"/>
    <m/>
    <e v="#N/A"/>
    <e v="#N/A"/>
    <n v="79882"/>
    <s v="SA202507"/>
    <m/>
    <s v="Q3"/>
    <e v="#REF!"/>
    <e v="#REF!"/>
    <e v="#REF!"/>
  </r>
  <r>
    <s v="645100"/>
    <x v="6"/>
    <s v="URSSAF"/>
    <s v="SA"/>
    <n v="3458.81"/>
    <d v="2025-02-28T00:00:00"/>
    <s v="VIEILLESSE DÉPLAFONNÉE"/>
    <m/>
    <e v="#N/A"/>
    <e v="#N/A"/>
    <n v="85291"/>
    <s v="SA202502"/>
    <m/>
    <s v="Q1"/>
    <e v="#REF!"/>
    <e v="#REF!"/>
    <e v="#REF!"/>
  </r>
  <r>
    <s v="645100"/>
    <x v="6"/>
    <s v="URSSAF"/>
    <s v="SA"/>
    <n v="3507.4"/>
    <d v="2025-05-31T00:00:00"/>
    <s v="MALADIE - MATERNITÉ - INVALIDITÉ - DÉCÈS"/>
    <m/>
    <e v="#N/A"/>
    <e v="#N/A"/>
    <n v="80216"/>
    <s v="SA202505"/>
    <m/>
    <s v="Q2"/>
    <e v="#REF!"/>
    <e v="#REF!"/>
    <e v="#REF!"/>
  </r>
  <r>
    <s v="645100"/>
    <x v="6"/>
    <s v="URSSAF"/>
    <s v="SA"/>
    <n v="3527.65"/>
    <d v="2025-03-31T00:00:00"/>
    <s v="MALADIE - MATERNITÉ - INVALIDITÉ - DÉCÈS"/>
    <m/>
    <e v="#N/A"/>
    <e v="#N/A"/>
    <n v="80557"/>
    <s v="SA202503"/>
    <m/>
    <s v="Q1"/>
    <e v="#REF!"/>
    <e v="#REF!"/>
    <e v="#REF!"/>
  </r>
  <r>
    <s v="645100"/>
    <x v="6"/>
    <s v="URSSAF"/>
    <s v="SA"/>
    <n v="3551.06"/>
    <d v="2025-02-28T00:00:00"/>
    <s v="VIEILLESSE PLAFONNÉE"/>
    <m/>
    <e v="#N/A"/>
    <e v="#N/A"/>
    <n v="85279"/>
    <s v="SA202502"/>
    <m/>
    <s v="Q1"/>
    <e v="#REF!"/>
    <e v="#REF!"/>
    <e v="#REF!"/>
  </r>
  <r>
    <s v="645100"/>
    <x v="6"/>
    <s v="URSSAF"/>
    <s v="SA"/>
    <n v="3612.1"/>
    <d v="2025-04-30T00:00:00"/>
    <s v="MALADIE - MATERNITÉ - INVALIDITÉ - DÉCÈS"/>
    <m/>
    <e v="#N/A"/>
    <e v="#N/A"/>
    <n v="80385"/>
    <s v="SA202504"/>
    <m/>
    <s v="Q2"/>
    <e v="#REF!"/>
    <e v="#REF!"/>
    <e v="#REF!"/>
  </r>
  <r>
    <s v="645100"/>
    <x v="6"/>
    <s v="URSSAF"/>
    <s v="SA"/>
    <n v="3651.7"/>
    <d v="2025-06-30T00:00:00"/>
    <s v="MALADIE - MATERNITÉ - INVALIDITÉ - DÉCÈS"/>
    <m/>
    <e v="#N/A"/>
    <e v="#N/A"/>
    <n v="80048"/>
    <s v="SA202506"/>
    <m/>
    <s v="Q2"/>
    <e v="#REF!"/>
    <e v="#REF!"/>
    <e v="#REF!"/>
  </r>
  <r>
    <s v="645100"/>
    <x v="6"/>
    <s v="URSSAF"/>
    <s v="SA"/>
    <n v="3659.18"/>
    <d v="2025-12-31T00:00:00"/>
    <s v="ASSURANCE CHÔMAGE TRA+TRB - EXO PART APPRENTI"/>
    <m/>
    <e v="#N/A"/>
    <e v="#N/A"/>
    <n v="92809"/>
    <s v="SA202512"/>
    <m/>
    <s v="Q4"/>
    <e v="#REF!"/>
    <e v="#REF!"/>
    <e v="#REF!"/>
  </r>
  <r>
    <s v="645100"/>
    <x v="6"/>
    <s v="URSSAF"/>
    <s v="SA"/>
    <n v="3669.12"/>
    <d v="2025-06-30T00:00:00"/>
    <s v="ASSURANCE CHÔMAGE TRA+TRB"/>
    <m/>
    <e v="#N/A"/>
    <e v="#N/A"/>
    <n v="80056"/>
    <s v="SA202506"/>
    <m/>
    <s v="Q2"/>
    <e v="#REF!"/>
    <e v="#REF!"/>
    <e v="#REF!"/>
  </r>
  <r>
    <s v="645100"/>
    <x v="6"/>
    <s v="URSSAF"/>
    <s v="SA"/>
    <n v="3679.86"/>
    <d v="2025-08-31T00:00:00"/>
    <s v="ASSURANCE CHÔMAGE TRA+TRB"/>
    <m/>
    <e v="#N/A"/>
    <e v="#N/A"/>
    <n v="83999"/>
    <s v="SA202508"/>
    <m/>
    <s v="Q3"/>
    <e v="#REF!"/>
    <e v="#REF!"/>
    <e v="#REF!"/>
  </r>
  <r>
    <s v="645100"/>
    <x v="6"/>
    <s v="URSSAF"/>
    <s v="SA"/>
    <n v="3704.79"/>
    <d v="2025-05-31T00:00:00"/>
    <s v="ASSURANCE CHÔMAGE TRA+TRB"/>
    <m/>
    <e v="#N/A"/>
    <e v="#N/A"/>
    <n v="80224"/>
    <s v="SA202505"/>
    <m/>
    <s v="Q2"/>
    <e v="#REF!"/>
    <e v="#REF!"/>
    <e v="#REF!"/>
  </r>
  <r>
    <s v="645100"/>
    <x v="6"/>
    <s v="URSSAF"/>
    <s v="SA"/>
    <n v="3733.49"/>
    <d v="2025-10-31T00:00:00"/>
    <s v="ASSURANCE CHÔMAGE TRA+TRB - EXO PART APPRENTI"/>
    <m/>
    <e v="#N/A"/>
    <e v="#N/A"/>
    <n v="87839"/>
    <s v="SA202510"/>
    <m/>
    <s v="Q4"/>
    <e v="#REF!"/>
    <e v="#REF!"/>
    <e v="#REF!"/>
  </r>
  <r>
    <s v="645100"/>
    <x v="6"/>
    <s v="URSSAF"/>
    <s v="SA"/>
    <n v="3755.87"/>
    <d v="2025-03-31T00:00:00"/>
    <s v="MALADIE (COMPLÉMENT)"/>
    <m/>
    <e v="#N/A"/>
    <e v="#N/A"/>
    <n v="80569"/>
    <s v="SA202503"/>
    <m/>
    <s v="Q1"/>
    <e v="#REF!"/>
    <e v="#REF!"/>
    <e v="#REF!"/>
  </r>
  <r>
    <s v="645100"/>
    <x v="6"/>
    <s v="URSSAF"/>
    <s v="SA"/>
    <n v="3775.56"/>
    <d v="2025-04-30T00:00:00"/>
    <s v="ASSURANCE CHÔMAGE TRA+TRB"/>
    <m/>
    <e v="#N/A"/>
    <e v="#N/A"/>
    <n v="80393"/>
    <s v="SA202504"/>
    <m/>
    <s v="Q2"/>
    <e v="#REF!"/>
    <e v="#REF!"/>
    <e v="#REF!"/>
  </r>
  <r>
    <s v="645100"/>
    <x v="6"/>
    <s v="URSSAF"/>
    <s v="SA"/>
    <n v="3798.4"/>
    <d v="2025-11-30T00:00:00"/>
    <s v="ASSURANCE CHÔMAGE TRA+TRB - EXO PART APPRENTI"/>
    <m/>
    <e v="#N/A"/>
    <e v="#N/A"/>
    <n v="92346"/>
    <s v="SA202511"/>
    <m/>
    <s v="Q4"/>
    <e v="#REF!"/>
    <e v="#REF!"/>
    <e v="#REF!"/>
  </r>
  <r>
    <s v="645100"/>
    <x v="6"/>
    <s v="URSSAF"/>
    <s v="SA"/>
    <n v="3832.45"/>
    <d v="2025-06-30T00:00:00"/>
    <s v="MALADIE (COMPLÉMENT)"/>
    <m/>
    <e v="#N/A"/>
    <e v="#N/A"/>
    <n v="80060"/>
    <s v="SA202506"/>
    <m/>
    <s v="Q2"/>
    <e v="#REF!"/>
    <e v="#REF!"/>
    <e v="#REF!"/>
  </r>
  <r>
    <s v="645100"/>
    <x v="6"/>
    <s v="URSSAF"/>
    <s v="SA"/>
    <n v="3903.89"/>
    <d v="2025-08-31T00:00:00"/>
    <s v="MALADIE (COMPLÉMENT)"/>
    <m/>
    <e v="#N/A"/>
    <e v="#N/A"/>
    <n v="84003"/>
    <s v="SA202508"/>
    <m/>
    <s v="Q3"/>
    <e v="#REF!"/>
    <e v="#REF!"/>
    <e v="#REF!"/>
  </r>
  <r>
    <s v="645100"/>
    <x v="6"/>
    <s v="URSSAF"/>
    <s v="SA"/>
    <n v="3908.14"/>
    <d v="2025-03-31T00:00:00"/>
    <s v="ASSURANCE CHÔMAGE TRA+TRB"/>
    <m/>
    <e v="#N/A"/>
    <e v="#N/A"/>
    <n v="80565"/>
    <s v="SA202503"/>
    <m/>
    <s v="Q1"/>
    <e v="#REF!"/>
    <e v="#REF!"/>
    <e v="#REF!"/>
  </r>
  <r>
    <s v="645100"/>
    <x v="6"/>
    <s v="URSSAF"/>
    <s v="SA"/>
    <n v="3922.21"/>
    <d v="2025-01-31T00:00:00"/>
    <s v="ASSURANCE CHÔMAGE TRA+TRB"/>
    <m/>
    <e v="#N/A"/>
    <e v="#N/A"/>
    <n v="85458"/>
    <s v="SA202501"/>
    <m/>
    <s v="Q1"/>
    <e v="#REF!"/>
    <e v="#REF!"/>
    <e v="#REF!"/>
  </r>
  <r>
    <s v="645100"/>
    <x v="6"/>
    <s v="URSSAF"/>
    <s v="SA"/>
    <n v="3933.34"/>
    <d v="2025-09-30T00:00:00"/>
    <s v="ASSURANCE CHÔMAGE TRA+TRB - EXO PART APPRENTI"/>
    <m/>
    <e v="#N/A"/>
    <e v="#N/A"/>
    <n v="84173"/>
    <s v="SA202509"/>
    <m/>
    <s v="Q3"/>
    <e v="#REF!"/>
    <e v="#REF!"/>
    <e v="#REF!"/>
  </r>
  <r>
    <s v="645100"/>
    <x v="6"/>
    <s v="URSSAF"/>
    <s v="SA"/>
    <n v="3937.66"/>
    <d v="2025-05-31T00:00:00"/>
    <s v="MALADIE (COMPLÉMENT)"/>
    <m/>
    <e v="#N/A"/>
    <e v="#N/A"/>
    <n v="80228"/>
    <s v="SA202505"/>
    <m/>
    <s v="Q2"/>
    <e v="#REF!"/>
    <e v="#REF!"/>
    <e v="#REF!"/>
  </r>
  <r>
    <s v="645100"/>
    <x v="6"/>
    <s v="URSSAF"/>
    <s v="SA"/>
    <n v="3941.84"/>
    <d v="2025-07-31T00:00:00"/>
    <s v="ASSURANCE CHÔMAGE TRA+TRB"/>
    <m/>
    <e v="#N/A"/>
    <e v="#N/A"/>
    <n v="79884"/>
    <s v="SA202507"/>
    <m/>
    <s v="Q3"/>
    <e v="#REF!"/>
    <e v="#REF!"/>
    <e v="#REF!"/>
  </r>
  <r>
    <s v="645100"/>
    <x v="6"/>
    <s v="URSSAF"/>
    <s v="SA"/>
    <n v="3949"/>
    <d v="2025-10-31T00:00:00"/>
    <s v="MALADIE (COMPLÉMENT)"/>
    <m/>
    <e v="#N/A"/>
    <e v="#N/A"/>
    <n v="87843"/>
    <s v="SA202510"/>
    <m/>
    <s v="Q4"/>
    <e v="#REF!"/>
    <e v="#REF!"/>
    <e v="#REF!"/>
  </r>
  <r>
    <s v="645100"/>
    <x v="6"/>
    <s v="URSSAF"/>
    <s v="SA"/>
    <n v="4043.69"/>
    <d v="2025-11-30T00:00:00"/>
    <s v="MALADIE (COMPLÉMENT)"/>
    <m/>
    <e v="#N/A"/>
    <e v="#N/A"/>
    <n v="92350"/>
    <s v="SA202511"/>
    <m/>
    <s v="Q4"/>
    <e v="#REF!"/>
    <e v="#REF!"/>
    <e v="#REF!"/>
  </r>
  <r>
    <s v="645100"/>
    <x v="6"/>
    <s v="URSSAF"/>
    <s v="SA"/>
    <n v="4046.13"/>
    <d v="2025-09-30T00:00:00"/>
    <s v="MALADIE (COMPLÉMENT)"/>
    <m/>
    <e v="#N/A"/>
    <e v="#N/A"/>
    <n v="84177"/>
    <s v="SA202509"/>
    <m/>
    <s v="Q3"/>
    <e v="#REF!"/>
    <e v="#REF!"/>
    <e v="#REF!"/>
  </r>
  <r>
    <s v="645100"/>
    <x v="6"/>
    <s v="URSSAF"/>
    <s v="SA"/>
    <n v="4151.33"/>
    <d v="2025-04-30T00:00:00"/>
    <s v="MALADIE (COMPLÉMENT)"/>
    <m/>
    <e v="#N/A"/>
    <e v="#N/A"/>
    <n v="80398"/>
    <s v="SA202504"/>
    <m/>
    <s v="Q2"/>
    <e v="#REF!"/>
    <e v="#REF!"/>
    <e v="#REF!"/>
  </r>
  <r>
    <s v="645100"/>
    <x v="6"/>
    <s v="URSSAF"/>
    <s v="SA"/>
    <n v="4250.8"/>
    <d v="2025-02-28T00:00:00"/>
    <s v="MALADIE (COMPLÉMENT)"/>
    <m/>
    <e v="#N/A"/>
    <e v="#N/A"/>
    <n v="85275"/>
    <s v="SA202502"/>
    <m/>
    <s v="Q1"/>
    <e v="#REF!"/>
    <e v="#REF!"/>
    <e v="#REF!"/>
  </r>
  <r>
    <s v="645100"/>
    <x v="6"/>
    <s v="URSSAF"/>
    <s v="SA"/>
    <n v="4605.7"/>
    <d v="2025-12-31T00:00:00"/>
    <s v="MALADIE (COMPLÉMENT)"/>
    <m/>
    <e v="#N/A"/>
    <e v="#N/A"/>
    <n v="92813"/>
    <s v="SA202512"/>
    <m/>
    <s v="Q4"/>
    <e v="#REF!"/>
    <e v="#REF!"/>
    <e v="#REF!"/>
  </r>
  <r>
    <s v="645100"/>
    <x v="6"/>
    <s v="URSSAF"/>
    <s v="SA"/>
    <n v="4860"/>
    <d v="2025-02-28T00:00:00"/>
    <s v="CONTRIBUTION ART.L137-12 CSS"/>
    <m/>
    <e v="#N/A"/>
    <e v="#N/A"/>
    <n v="85259"/>
    <s v="SA202502"/>
    <m/>
    <s v="Q1"/>
    <e v="#REF!"/>
    <e v="#REF!"/>
    <e v="#REF!"/>
  </r>
  <r>
    <s v="645100"/>
    <x v="6"/>
    <s v="URSSAF"/>
    <s v="SA"/>
    <n v="4976.05"/>
    <d v="2025-07-31T00:00:00"/>
    <s v="MALADIE (COMPLÉMENT)"/>
    <m/>
    <e v="#N/A"/>
    <e v="#N/A"/>
    <n v="79888"/>
    <s v="SA202507"/>
    <m/>
    <s v="Q3"/>
    <e v="#REF!"/>
    <e v="#REF!"/>
    <e v="#REF!"/>
  </r>
  <r>
    <s v="645100"/>
    <x v="6"/>
    <s v="URSSAF"/>
    <s v="SA"/>
    <n v="5189.82"/>
    <d v="2025-02-28T00:00:00"/>
    <s v="MALADIE (COMPLÉMENT)"/>
    <m/>
    <e v="#N/A"/>
    <e v="#N/A"/>
    <n v="85263"/>
    <s v="SA202502"/>
    <m/>
    <s v="Q1"/>
    <e v="#REF!"/>
    <e v="#REF!"/>
    <e v="#REF!"/>
  </r>
  <r>
    <s v="645100"/>
    <x v="6"/>
    <s v="URSSAF"/>
    <s v="SA"/>
    <n v="5679.24"/>
    <d v="2025-02-28T00:00:00"/>
    <s v="MALADIE - MATERNITÉ - INVALIDITÉ - DÉCÈS"/>
    <m/>
    <e v="#N/A"/>
    <e v="#N/A"/>
    <n v="85276"/>
    <s v="SA202502"/>
    <m/>
    <s v="Q1"/>
    <e v="#REF!"/>
    <e v="#REF!"/>
    <e v="#REF!"/>
  </r>
  <r>
    <s v="645100"/>
    <x v="6"/>
    <s v="URSSAF"/>
    <s v="SA"/>
    <n v="5907.37"/>
    <d v="2025-02-28T00:00:00"/>
    <s v="ALLOCATIONS FAMILIALES"/>
    <m/>
    <e v="#N/A"/>
    <e v="#N/A"/>
    <n v="85282"/>
    <s v="SA202502"/>
    <m/>
    <s v="Q1"/>
    <e v="#REF!"/>
    <e v="#REF!"/>
    <e v="#REF!"/>
  </r>
  <r>
    <s v="645100"/>
    <x v="6"/>
    <s v="URSSAF"/>
    <s v="SA"/>
    <n v="6340.63"/>
    <d v="2025-02-28T00:00:00"/>
    <s v="MALADIE - MATERNITÉ - INVALIDITÉ - DÉCÈS"/>
    <m/>
    <e v="#N/A"/>
    <e v="#N/A"/>
    <n v="85264"/>
    <s v="SA202502"/>
    <m/>
    <s v="Q1"/>
    <e v="#REF!"/>
    <e v="#REF!"/>
    <e v="#REF!"/>
  </r>
  <r>
    <s v="645100"/>
    <x v="6"/>
    <s v="URSSAF"/>
    <s v="SA"/>
    <n v="6403.5"/>
    <d v="2025-12-31T00:00:00"/>
    <s v="MALADIE - MATERNITÉ - INVALIDITÉ - DÉCÈS - EXO PART APP"/>
    <m/>
    <e v="#N/A"/>
    <e v="#N/A"/>
    <n v="92814"/>
    <s v="SA202512"/>
    <m/>
    <s v="Q4"/>
    <e v="#REF!"/>
    <e v="#REF!"/>
    <e v="#REF!"/>
  </r>
  <r>
    <s v="645100"/>
    <x v="6"/>
    <s v="URSSAF"/>
    <s v="SA"/>
    <n v="6420.98"/>
    <d v="2025-06-30T00:00:00"/>
    <s v="MALADIE - MATERNITÉ - INVALIDITÉ - DÉCÈS"/>
    <m/>
    <e v="#N/A"/>
    <e v="#N/A"/>
    <n v="80061"/>
    <s v="SA202506"/>
    <m/>
    <s v="Q2"/>
    <e v="#REF!"/>
    <e v="#REF!"/>
    <e v="#REF!"/>
  </r>
  <r>
    <s v="645100"/>
    <x v="6"/>
    <s v="URSSAF"/>
    <s v="SA"/>
    <n v="6439.76"/>
    <d v="2025-08-31T00:00:00"/>
    <s v="MALADIE - MATERNITÉ - INVALIDITÉ - DÉCÈS"/>
    <m/>
    <e v="#N/A"/>
    <e v="#N/A"/>
    <n v="84004"/>
    <s v="SA202508"/>
    <m/>
    <s v="Q3"/>
    <e v="#REF!"/>
    <e v="#REF!"/>
    <e v="#REF!"/>
  </r>
  <r>
    <s v="645100"/>
    <x v="6"/>
    <s v="URSSAF"/>
    <s v="SA"/>
    <n v="6483.37"/>
    <d v="2025-05-31T00:00:00"/>
    <s v="MALADIE - MATERNITÉ - INVALIDITÉ - DÉCÈS"/>
    <m/>
    <e v="#N/A"/>
    <e v="#N/A"/>
    <n v="80229"/>
    <s v="SA202505"/>
    <m/>
    <s v="Q2"/>
    <e v="#REF!"/>
    <e v="#REF!"/>
    <e v="#REF!"/>
  </r>
  <r>
    <s v="645100"/>
    <x v="6"/>
    <s v="URSSAF"/>
    <s v="SA"/>
    <n v="6525.65"/>
    <d v="2025-04-30T00:00:00"/>
    <s v="MALADIE - MATERNITÉ - INVALIDITÉ - DÉCÈS"/>
    <m/>
    <e v="#N/A"/>
    <e v="#N/A"/>
    <n v="80399"/>
    <s v="SA202504"/>
    <m/>
    <s v="Q2"/>
    <e v="#REF!"/>
    <e v="#REF!"/>
    <e v="#REF!"/>
  </r>
  <r>
    <s v="645100"/>
    <x v="6"/>
    <s v="URSSAF"/>
    <s v="SA"/>
    <n v="6533.55"/>
    <d v="2025-10-31T00:00:00"/>
    <s v="MALADIE - MATERNITÉ - INVALIDITÉ - DÉCÈS - EXO PART APP"/>
    <m/>
    <e v="#N/A"/>
    <e v="#N/A"/>
    <n v="87844"/>
    <s v="SA202510"/>
    <m/>
    <s v="Q4"/>
    <e v="#REF!"/>
    <e v="#REF!"/>
    <e v="#REF!"/>
  </r>
  <r>
    <s v="645100"/>
    <x v="6"/>
    <s v="URSSAF"/>
    <s v="SA"/>
    <n v="6647.19"/>
    <d v="2025-11-30T00:00:00"/>
    <s v="MALADIE - MATERNITÉ - INVALIDITÉ - DÉCÈS - EXO PART APP"/>
    <m/>
    <e v="#N/A"/>
    <e v="#N/A"/>
    <n v="92351"/>
    <s v="SA202511"/>
    <m/>
    <s v="Q4"/>
    <e v="#REF!"/>
    <e v="#REF!"/>
    <e v="#REF!"/>
  </r>
  <r>
    <s v="645100"/>
    <x v="6"/>
    <s v="URSSAF"/>
    <s v="SA"/>
    <n v="6740.56"/>
    <d v="2025-04-30T00:00:00"/>
    <s v="VIEILLESSE PLAFONNÉE"/>
    <m/>
    <e v="#N/A"/>
    <e v="#N/A"/>
    <n v="80402"/>
    <s v="SA202504"/>
    <m/>
    <s v="Q2"/>
    <e v="#REF!"/>
    <e v="#REF!"/>
    <e v="#REF!"/>
  </r>
  <r>
    <s v="645100"/>
    <x v="6"/>
    <s v="URSSAF"/>
    <s v="SA"/>
    <n v="6754.76"/>
    <d v="2025-03-31T00:00:00"/>
    <s v="MALADIE - MATERNITÉ - INVALIDITÉ - DÉCÈS"/>
    <m/>
    <e v="#N/A"/>
    <e v="#N/A"/>
    <n v="80570"/>
    <s v="SA202503"/>
    <m/>
    <s v="Q1"/>
    <e v="#REF!"/>
    <e v="#REF!"/>
    <e v="#REF!"/>
  </r>
  <r>
    <s v="645100"/>
    <x v="6"/>
    <s v="URSSAF"/>
    <s v="SA"/>
    <n v="6760.76"/>
    <d v="2025-08-31T00:00:00"/>
    <s v="VIEILLESSE PLAFONNÉE"/>
    <m/>
    <e v="#N/A"/>
    <e v="#N/A"/>
    <n v="84007"/>
    <s v="SA202508"/>
    <m/>
    <s v="Q3"/>
    <e v="#REF!"/>
    <e v="#REF!"/>
    <e v="#REF!"/>
  </r>
  <r>
    <s v="645100"/>
    <x v="6"/>
    <s v="URSSAF"/>
    <s v="SA"/>
    <n v="6779.12"/>
    <d v="2025-01-31T00:00:00"/>
    <s v="MALADIE - MATERNITÉ - INVALIDITÉ - DÉCÈS"/>
    <m/>
    <e v="#N/A"/>
    <e v="#N/A"/>
    <n v="85463"/>
    <s v="SA202501"/>
    <m/>
    <s v="Q1"/>
    <e v="#REF!"/>
    <e v="#REF!"/>
    <e v="#REF!"/>
  </r>
  <r>
    <s v="645100"/>
    <x v="6"/>
    <s v="URSSAF"/>
    <s v="SA"/>
    <n v="6883.31"/>
    <d v="2025-09-30T00:00:00"/>
    <s v="MALADIE - MATERNITÉ - INVALIDITÉ - DÉCÈS - EXO PART APP"/>
    <m/>
    <e v="#N/A"/>
    <e v="#N/A"/>
    <n v="84178"/>
    <s v="SA202509"/>
    <m/>
    <s v="Q3"/>
    <e v="#REF!"/>
    <e v="#REF!"/>
    <e v="#REF!"/>
  </r>
  <r>
    <s v="645100"/>
    <x v="6"/>
    <s v="URSSAF"/>
    <s v="SA"/>
    <n v="6896.95"/>
    <d v="2025-12-31T00:00:00"/>
    <s v="VIEILLESSE PLAFONNÉE - EXO PART APPRENTI"/>
    <m/>
    <e v="#N/A"/>
    <e v="#N/A"/>
    <n v="92817"/>
    <s v="SA202512"/>
    <m/>
    <s v="Q4"/>
    <e v="#REF!"/>
    <e v="#REF!"/>
    <e v="#REF!"/>
  </r>
  <r>
    <s v="645100"/>
    <x v="6"/>
    <s v="URSSAF"/>
    <s v="SA"/>
    <n v="6898.24"/>
    <d v="2025-07-31T00:00:00"/>
    <s v="MALADIE - MATERNITÉ - INVALIDITÉ - DÉCÈS"/>
    <m/>
    <e v="#N/A"/>
    <e v="#N/A"/>
    <n v="79889"/>
    <s v="SA202507"/>
    <m/>
    <s v="Q3"/>
    <e v="#REF!"/>
    <e v="#REF!"/>
    <e v="#REF!"/>
  </r>
  <r>
    <s v="645100"/>
    <x v="6"/>
    <s v="URSSAF"/>
    <s v="SA"/>
    <n v="6934.72"/>
    <d v="2025-02-28T00:00:00"/>
    <s v="ASSURANCE CHÔMAGE TRA+TRB"/>
    <m/>
    <e v="#N/A"/>
    <e v="#N/A"/>
    <n v="85284"/>
    <s v="SA202502"/>
    <m/>
    <s v="Q1"/>
    <e v="#REF!"/>
    <e v="#REF!"/>
    <e v="#REF!"/>
  </r>
  <r>
    <s v="645100"/>
    <x v="6"/>
    <s v="URSSAF"/>
    <s v="SA"/>
    <n v="6961.97"/>
    <d v="2025-05-31T00:00:00"/>
    <s v="VIEILLESSE PLAFONNÉE"/>
    <m/>
    <e v="#N/A"/>
    <e v="#N/A"/>
    <n v="80232"/>
    <s v="SA202505"/>
    <m/>
    <s v="Q2"/>
    <e v="#REF!"/>
    <e v="#REF!"/>
    <e v="#REF!"/>
  </r>
  <r>
    <s v="645100"/>
    <x v="6"/>
    <s v="URSSAF"/>
    <s v="SA"/>
    <n v="7035.65"/>
    <d v="2025-06-30T00:00:00"/>
    <s v="VIEILLESSE PLAFONNÉE"/>
    <m/>
    <e v="#N/A"/>
    <e v="#N/A"/>
    <n v="80064"/>
    <s v="SA202506"/>
    <m/>
    <s v="Q2"/>
    <e v="#REF!"/>
    <e v="#REF!"/>
    <e v="#REF!"/>
  </r>
  <r>
    <s v="645100"/>
    <x v="6"/>
    <s v="URSSAF"/>
    <s v="SA"/>
    <n v="7080.3"/>
    <d v="2025-10-31T00:00:00"/>
    <s v="VIEILLESSE PLAFONNÉE - EXO PART APPRENTI"/>
    <m/>
    <e v="#N/A"/>
    <e v="#N/A"/>
    <n v="87847"/>
    <s v="SA202510"/>
    <m/>
    <s v="Q4"/>
    <e v="#REF!"/>
    <e v="#REF!"/>
    <e v="#REF!"/>
  </r>
  <r>
    <s v="645100"/>
    <x v="6"/>
    <s v="URSSAF"/>
    <s v="SA"/>
    <n v="7082.63"/>
    <d v="2025-11-30T00:00:00"/>
    <s v="VIEILLESSE PLAFONNÉE - EXO PART APPRENTI"/>
    <m/>
    <e v="#N/A"/>
    <e v="#N/A"/>
    <n v="92354"/>
    <s v="SA202511"/>
    <m/>
    <s v="Q4"/>
    <e v="#REF!"/>
    <e v="#REF!"/>
    <e v="#REF!"/>
  </r>
  <r>
    <s v="645100"/>
    <x v="6"/>
    <s v="URSSAF"/>
    <s v="SA"/>
    <n v="7198.24"/>
    <d v="2025-03-31T00:00:00"/>
    <s v="VIEILLESSE PLAFONNÉE"/>
    <m/>
    <e v="#N/A"/>
    <e v="#N/A"/>
    <n v="80573"/>
    <s v="SA202503"/>
    <m/>
    <s v="Q1"/>
    <e v="#REF!"/>
    <e v="#REF!"/>
    <e v="#REF!"/>
  </r>
  <r>
    <s v="645100"/>
    <x v="6"/>
    <s v="URSSAF"/>
    <s v="SA"/>
    <n v="7285.69"/>
    <d v="2025-01-31T00:00:00"/>
    <s v="VIEILLESSE PLAFONNÉE"/>
    <m/>
    <e v="#N/A"/>
    <e v="#N/A"/>
    <n v="85466"/>
    <s v="SA202501"/>
    <m/>
    <s v="Q1"/>
    <e v="#REF!"/>
    <e v="#REF!"/>
    <e v="#REF!"/>
  </r>
  <r>
    <s v="645100"/>
    <x v="6"/>
    <s v="URSSAF"/>
    <s v="SA"/>
    <n v="7370.93"/>
    <d v="2025-09-30T00:00:00"/>
    <s v="VIEILLESSE PLAFONNÉE - EXO PART APPRENTI"/>
    <m/>
    <e v="#N/A"/>
    <e v="#N/A"/>
    <n v="84181"/>
    <s v="SA202509"/>
    <m/>
    <s v="Q3"/>
    <e v="#REF!"/>
    <e v="#REF!"/>
    <e v="#REF!"/>
  </r>
  <r>
    <s v="645100"/>
    <x v="6"/>
    <s v="URSSAF"/>
    <s v="SA"/>
    <n v="7411.62"/>
    <d v="2025-07-31T00:00:00"/>
    <s v="VIEILLESSE PLAFONNÉE"/>
    <m/>
    <e v="#N/A"/>
    <e v="#N/A"/>
    <n v="79892"/>
    <s v="SA202507"/>
    <m/>
    <s v="Q3"/>
    <e v="#REF!"/>
    <e v="#REF!"/>
    <e v="#REF!"/>
  </r>
  <r>
    <s v="645100"/>
    <x v="6"/>
    <s v="URSSAF"/>
    <s v="SA"/>
    <n v="8998.68"/>
    <d v="2025-02-28T00:00:00"/>
    <s v="VIEILLESSE PLAFONNÉE"/>
    <m/>
    <e v="#N/A"/>
    <e v="#N/A"/>
    <n v="85292"/>
    <s v="SA202502"/>
    <m/>
    <s v="Q1"/>
    <e v="#REF!"/>
    <e v="#REF!"/>
    <e v="#REF!"/>
  </r>
  <r>
    <s v="645100"/>
    <x v="6"/>
    <s v="URSSAF"/>
    <s v="SA"/>
    <n v="9280.93"/>
    <d v="2025-02-28T00:00:00"/>
    <s v="MALADIE (COMPLÉMENT)"/>
    <m/>
    <e v="#N/A"/>
    <e v="#N/A"/>
    <n v="85288"/>
    <s v="SA202502"/>
    <m/>
    <s v="Q1"/>
    <e v="#REF!"/>
    <e v="#REF!"/>
    <e v="#REF!"/>
  </r>
  <r>
    <s v="645100"/>
    <x v="6"/>
    <s v="URSSAF"/>
    <s v="SA"/>
    <n v="11985.94"/>
    <d v="2025-02-28T00:00:00"/>
    <s v="MALADIE - MATERNITÉ - INVALIDITÉ - DÉCÈS"/>
    <m/>
    <e v="#N/A"/>
    <e v="#N/A"/>
    <n v="85289"/>
    <s v="SA202502"/>
    <m/>
    <s v="Q1"/>
    <e v="#REF!"/>
    <e v="#REF!"/>
    <e v="#REF!"/>
  </r>
  <r>
    <s v="645200"/>
    <x v="6"/>
    <s v="MUTUELLES"/>
    <s v="SA"/>
    <n v="-994.12"/>
    <d v="2025-07-31T00:00:00"/>
    <s v="MUTUELLE ISOLÉE"/>
    <m/>
    <e v="#N/A"/>
    <e v="#N/A"/>
    <n v="79912"/>
    <s v="SA202507"/>
    <m/>
    <s v="Q3"/>
    <e v="#REF!"/>
    <e v="#REF!"/>
    <e v="#REF!"/>
  </r>
  <r>
    <s v="645200"/>
    <x v="6"/>
    <s v="MUTUELLES"/>
    <s v="SA"/>
    <n v="-335.98"/>
    <d v="2025-07-31T00:00:00"/>
    <s v="MUTUELLE ISOLÉE"/>
    <m/>
    <e v="#N/A"/>
    <e v="#N/A"/>
    <n v="79908"/>
    <s v="SA202507"/>
    <m/>
    <s v="Q3"/>
    <e v="#REF!"/>
    <e v="#REF!"/>
    <e v="#REF!"/>
  </r>
  <r>
    <s v="645200"/>
    <x v="6"/>
    <s v="MUTUELLES"/>
    <s v="SA"/>
    <n v="-256"/>
    <d v="2025-07-31T00:00:00"/>
    <s v="MUTUELLE ISOLÉE"/>
    <m/>
    <e v="#N/A"/>
    <e v="#N/A"/>
    <n v="79905"/>
    <s v="SA202507"/>
    <m/>
    <s v="Q3"/>
    <e v="#REF!"/>
    <e v="#REF!"/>
    <e v="#REF!"/>
  </r>
  <r>
    <s v="645200"/>
    <x v="6"/>
    <s v="MUTUELLES"/>
    <s v="SA"/>
    <n v="-104.62"/>
    <d v="2025-03-31T00:00:00"/>
    <s v="PRÉVOYANCE CADRE TRC"/>
    <m/>
    <e v="#N/A"/>
    <e v="#N/A"/>
    <n v="80589"/>
    <s v="SA202503"/>
    <m/>
    <s v="Q1"/>
    <e v="#REF!"/>
    <e v="#REF!"/>
    <e v="#REF!"/>
  </r>
  <r>
    <s v="645200"/>
    <x v="6"/>
    <s v="MUTUELLES"/>
    <s v="SA"/>
    <n v="-26.6"/>
    <d v="2025-03-31T00:00:00"/>
    <s v="PRÉVOYANCE CADRE TRC"/>
    <m/>
    <e v="#N/A"/>
    <e v="#N/A"/>
    <n v="80593"/>
    <s v="SA202503"/>
    <m/>
    <s v="Q1"/>
    <e v="#REF!"/>
    <e v="#REF!"/>
    <e v="#REF!"/>
  </r>
  <r>
    <s v="645200"/>
    <x v="6"/>
    <s v="MUTUELLES"/>
    <s v="SA"/>
    <n v="-4.66"/>
    <d v="2025-10-31T00:00:00"/>
    <s v="Régul sur mutuelle A.B."/>
    <m/>
    <e v="#N/A"/>
    <e v="#N/A"/>
    <n v="87910"/>
    <m/>
    <m/>
    <s v="Q4"/>
    <e v="#REF!"/>
    <e v="#REF!"/>
    <e v="#REF!"/>
  </r>
  <r>
    <s v="645200"/>
    <x v="6"/>
    <s v="MUTUELLES"/>
    <s v="SA"/>
    <n v="26.6"/>
    <d v="2025-02-28T00:00:00"/>
    <s v="PRÉVOYANCE CADRE TRC"/>
    <m/>
    <e v="#N/A"/>
    <e v="#N/A"/>
    <n v="85312"/>
    <s v="SA202502"/>
    <m/>
    <s v="Q1"/>
    <e v="#REF!"/>
    <e v="#REF!"/>
    <e v="#REF!"/>
  </r>
  <r>
    <s v="645200"/>
    <x v="6"/>
    <s v="MUTUELLES"/>
    <s v="SA"/>
    <n v="31.67"/>
    <d v="2025-01-31T00:00:00"/>
    <s v="PRÉVOYANCE CADRE TRB"/>
    <m/>
    <e v="#N/A"/>
    <e v="#N/A"/>
    <n v="85492"/>
    <s v="SA202501"/>
    <m/>
    <s v="Q1"/>
    <e v="#REF!"/>
    <e v="#REF!"/>
    <e v="#REF!"/>
  </r>
  <r>
    <s v="645200"/>
    <x v="6"/>
    <s v="MUTUELLES"/>
    <s v="SA"/>
    <n v="32.43"/>
    <d v="2025-03-31T00:00:00"/>
    <s v="PRÉVOYANCE CADRE TRB"/>
    <m/>
    <e v="#N/A"/>
    <e v="#N/A"/>
    <n v="80601"/>
    <s v="SA202503"/>
    <m/>
    <s v="Q1"/>
    <e v="#REF!"/>
    <e v="#REF!"/>
    <e v="#REF!"/>
  </r>
  <r>
    <s v="645200"/>
    <x v="6"/>
    <s v="MUTUELLES"/>
    <s v="SA"/>
    <n v="32.43"/>
    <d v="2025-04-30T00:00:00"/>
    <s v="PRÉVOYANCE CADRE TRB"/>
    <m/>
    <e v="#N/A"/>
    <e v="#N/A"/>
    <n v="80428"/>
    <s v="SA202504"/>
    <m/>
    <s v="Q2"/>
    <e v="#REF!"/>
    <e v="#REF!"/>
    <e v="#REF!"/>
  </r>
  <r>
    <s v="645200"/>
    <x v="6"/>
    <s v="MUTUELLES"/>
    <s v="SA"/>
    <n v="32.43"/>
    <d v="2025-06-30T00:00:00"/>
    <s v="PRÉVOYANCE CADRE TRB"/>
    <m/>
    <e v="#N/A"/>
    <e v="#N/A"/>
    <n v="80090"/>
    <s v="SA202506"/>
    <m/>
    <s v="Q2"/>
    <e v="#REF!"/>
    <e v="#REF!"/>
    <e v="#REF!"/>
  </r>
  <r>
    <s v="645200"/>
    <x v="6"/>
    <s v="MUTUELLES"/>
    <s v="SA"/>
    <n v="32.43"/>
    <d v="2025-08-31T00:00:00"/>
    <s v="PRÉVOYANCE CADRE TRB"/>
    <m/>
    <e v="#N/A"/>
    <e v="#N/A"/>
    <n v="84033"/>
    <s v="SA202508"/>
    <m/>
    <s v="Q3"/>
    <e v="#REF!"/>
    <e v="#REF!"/>
    <e v="#REF!"/>
  </r>
  <r>
    <s v="645200"/>
    <x v="6"/>
    <s v="MUTUELLES"/>
    <s v="SA"/>
    <n v="32.43"/>
    <d v="2025-11-30T00:00:00"/>
    <s v="PRÉVOYANCE CADRE TRB"/>
    <m/>
    <e v="#N/A"/>
    <e v="#N/A"/>
    <n v="92380"/>
    <s v="SA202511"/>
    <m/>
    <s v="Q4"/>
    <e v="#REF!"/>
    <e v="#REF!"/>
    <e v="#REF!"/>
  </r>
  <r>
    <s v="645200"/>
    <x v="6"/>
    <s v="MUTUELLES"/>
    <s v="SA"/>
    <n v="32.47"/>
    <d v="2025-07-31T00:00:00"/>
    <s v="PRÉVOYANCE CADRE TRB"/>
    <m/>
    <e v="#N/A"/>
    <e v="#N/A"/>
    <n v="79918"/>
    <s v="SA202507"/>
    <m/>
    <s v="Q3"/>
    <e v="#REF!"/>
    <e v="#REF!"/>
    <e v="#REF!"/>
  </r>
  <r>
    <s v="645200"/>
    <x v="6"/>
    <s v="MUTUELLES"/>
    <s v="SA"/>
    <n v="32.47"/>
    <d v="2025-12-31T00:00:00"/>
    <s v="PRÉVOYANCE CADRE TRB"/>
    <m/>
    <e v="#N/A"/>
    <e v="#N/A"/>
    <n v="92843"/>
    <s v="SA202512"/>
    <m/>
    <s v="Q4"/>
    <e v="#REF!"/>
    <e v="#REF!"/>
    <e v="#REF!"/>
  </r>
  <r>
    <s v="645200"/>
    <x v="6"/>
    <s v="MUTUELLES"/>
    <s v="SA"/>
    <n v="32.49"/>
    <d v="2025-09-30T00:00:00"/>
    <s v="PRÉVOYANCE CADRE TRB"/>
    <m/>
    <e v="#N/A"/>
    <e v="#N/A"/>
    <n v="84207"/>
    <s v="SA202509"/>
    <m/>
    <s v="Q3"/>
    <e v="#REF!"/>
    <e v="#REF!"/>
    <e v="#REF!"/>
  </r>
  <r>
    <s v="645200"/>
    <x v="6"/>
    <s v="MUTUELLES"/>
    <s v="SA"/>
    <n v="33.020000000000003"/>
    <d v="2025-05-31T00:00:00"/>
    <s v="PRÉVOYANCE CADRE TRB"/>
    <m/>
    <e v="#N/A"/>
    <e v="#N/A"/>
    <n v="80258"/>
    <s v="SA202505"/>
    <m/>
    <s v="Q2"/>
    <e v="#REF!"/>
    <e v="#REF!"/>
    <e v="#REF!"/>
  </r>
  <r>
    <s v="645200"/>
    <x v="6"/>
    <s v="MUTUELLES"/>
    <s v="SA"/>
    <n v="53.66"/>
    <d v="2025-10-31T00:00:00"/>
    <s v="PRÉVOYANCE CADRE TRB"/>
    <m/>
    <e v="#N/A"/>
    <e v="#N/A"/>
    <n v="87873"/>
    <s v="SA202510"/>
    <m/>
    <s v="Q4"/>
    <e v="#REF!"/>
    <e v="#REF!"/>
    <e v="#REF!"/>
  </r>
  <r>
    <s v="645200"/>
    <x v="6"/>
    <s v="MUTUELLES"/>
    <s v="SA"/>
    <n v="87.92"/>
    <d v="2025-01-31T00:00:00"/>
    <s v="PRÉVOYANCE CADRE TRB"/>
    <m/>
    <e v="#N/A"/>
    <e v="#N/A"/>
    <n v="85488"/>
    <s v="SA202501"/>
    <m/>
    <s v="Q1"/>
    <e v="#REF!"/>
    <e v="#REF!"/>
    <e v="#REF!"/>
  </r>
  <r>
    <s v="645200"/>
    <x v="6"/>
    <s v="MUTUELLES"/>
    <s v="SA"/>
    <n v="96"/>
    <d v="2025-01-31T00:00:00"/>
    <s v="MUTUELLE ISOLÉE"/>
    <m/>
    <e v="#N/A"/>
    <e v="#N/A"/>
    <n v="85479"/>
    <s v="SA202501"/>
    <m/>
    <s v="Q1"/>
    <e v="#REF!"/>
    <e v="#REF!"/>
    <e v="#REF!"/>
  </r>
  <r>
    <s v="645200"/>
    <x v="6"/>
    <s v="MUTUELLES"/>
    <s v="SA"/>
    <n v="96"/>
    <d v="2025-02-28T00:00:00"/>
    <s v="MUTUELLE ISOLÉE"/>
    <m/>
    <e v="#N/A"/>
    <e v="#N/A"/>
    <n v="85305"/>
    <s v="SA202502"/>
    <m/>
    <s v="Q1"/>
    <e v="#REF!"/>
    <e v="#REF!"/>
    <e v="#REF!"/>
  </r>
  <r>
    <s v="645200"/>
    <x v="6"/>
    <s v="MUTUELLES"/>
    <s v="SA"/>
    <n v="96"/>
    <d v="2025-08-31T00:00:00"/>
    <s v="MUTUELLE ISOLÉE"/>
    <m/>
    <e v="#N/A"/>
    <e v="#N/A"/>
    <n v="84020"/>
    <s v="SA202508"/>
    <m/>
    <s v="Q3"/>
    <e v="#REF!"/>
    <e v="#REF!"/>
    <e v="#REF!"/>
  </r>
  <r>
    <s v="645200"/>
    <x v="6"/>
    <s v="MUTUELLES"/>
    <s v="SA"/>
    <n v="96"/>
    <d v="2025-09-30T00:00:00"/>
    <s v="MUTUELLE ISOLÉE"/>
    <m/>
    <e v="#N/A"/>
    <e v="#N/A"/>
    <n v="84194"/>
    <s v="SA202509"/>
    <m/>
    <s v="Q3"/>
    <e v="#REF!"/>
    <e v="#REF!"/>
    <e v="#REF!"/>
  </r>
  <r>
    <s v="645200"/>
    <x v="6"/>
    <s v="MUTUELLES"/>
    <s v="SA"/>
    <n v="96"/>
    <d v="2025-10-31T00:00:00"/>
    <s v="MUTUELLE ISOLÉE, RÉGUL 09/2025"/>
    <m/>
    <e v="#N/A"/>
    <e v="#N/A"/>
    <n v="87860"/>
    <s v="SA202510"/>
    <m/>
    <s v="Q4"/>
    <e v="#REF!"/>
    <e v="#REF!"/>
    <e v="#REF!"/>
  </r>
  <r>
    <s v="645200"/>
    <x v="6"/>
    <s v="MUTUELLES"/>
    <s v="SA"/>
    <n v="96"/>
    <d v="2025-11-30T00:00:00"/>
    <s v="MUTUELLE ISOLÉE"/>
    <m/>
    <e v="#N/A"/>
    <e v="#N/A"/>
    <n v="92367"/>
    <s v="SA202511"/>
    <m/>
    <s v="Q4"/>
    <e v="#REF!"/>
    <e v="#REF!"/>
    <e v="#REF!"/>
  </r>
  <r>
    <s v="645200"/>
    <x v="6"/>
    <s v="MUTUELLES"/>
    <s v="SA"/>
    <n v="96"/>
    <d v="2025-12-31T00:00:00"/>
    <s v="MUTUELLE ISOLÉE"/>
    <m/>
    <e v="#N/A"/>
    <e v="#N/A"/>
    <n v="92830"/>
    <s v="SA202512"/>
    <m/>
    <s v="Q4"/>
    <e v="#REF!"/>
    <e v="#REF!"/>
    <e v="#REF!"/>
  </r>
  <r>
    <s v="645200"/>
    <x v="6"/>
    <s v="MUTUELLES"/>
    <s v="SA"/>
    <n v="104.62"/>
    <d v="2025-02-28T00:00:00"/>
    <s v="PRÉVOYANCE CADRE TRC"/>
    <m/>
    <e v="#N/A"/>
    <e v="#N/A"/>
    <n v="85308"/>
    <s v="SA202502"/>
    <m/>
    <s v="Q1"/>
    <e v="#REF!"/>
    <e v="#REF!"/>
    <e v="#REF!"/>
  </r>
  <r>
    <s v="645200"/>
    <x v="6"/>
    <s v="MUTUELLES"/>
    <s v="SA"/>
    <n v="113.29"/>
    <d v="2025-06-30T00:00:00"/>
    <s v="PRÉVOYANCE CADRE TRB"/>
    <m/>
    <e v="#N/A"/>
    <e v="#N/A"/>
    <n v="80086"/>
    <s v="SA202506"/>
    <m/>
    <s v="Q2"/>
    <e v="#REF!"/>
    <e v="#REF!"/>
    <e v="#REF!"/>
  </r>
  <r>
    <s v="645200"/>
    <x v="6"/>
    <s v="MUTUELLES"/>
    <s v="SA"/>
    <n v="125.03"/>
    <d v="2025-01-31T00:00:00"/>
    <s v="PRÉVOYANCE CADRE TRB"/>
    <m/>
    <e v="#N/A"/>
    <e v="#N/A"/>
    <n v="85484"/>
    <s v="SA202501"/>
    <m/>
    <s v="Q1"/>
    <e v="#REF!"/>
    <e v="#REF!"/>
    <e v="#REF!"/>
  </r>
  <r>
    <s v="645200"/>
    <x v="6"/>
    <s v="MUTUELLES"/>
    <s v="SA"/>
    <n v="126.32"/>
    <d v="2025-10-31T00:00:00"/>
    <s v="PRÉVOYANCE CADRE TRB"/>
    <m/>
    <e v="#N/A"/>
    <e v="#N/A"/>
    <n v="87869"/>
    <s v="SA202510"/>
    <m/>
    <s v="Q4"/>
    <e v="#REF!"/>
    <e v="#REF!"/>
    <e v="#REF!"/>
  </r>
  <r>
    <s v="645200"/>
    <x v="6"/>
    <s v="MUTUELLES"/>
    <s v="SA"/>
    <n v="129.75"/>
    <d v="2025-12-31T00:00:00"/>
    <s v="PRÉVOYANCE CADRE TRB"/>
    <m/>
    <e v="#N/A"/>
    <e v="#N/A"/>
    <n v="92839"/>
    <s v="SA202512"/>
    <m/>
    <s v="Q4"/>
    <e v="#REF!"/>
    <e v="#REF!"/>
    <e v="#REF!"/>
  </r>
  <r>
    <s v="645200"/>
    <x v="6"/>
    <s v="MUTUELLES"/>
    <s v="SA"/>
    <n v="134.33000000000001"/>
    <d v="2025-05-31T00:00:00"/>
    <s v="PRÉVOYANCE CADRE TRB"/>
    <m/>
    <e v="#N/A"/>
    <e v="#N/A"/>
    <n v="80254"/>
    <s v="SA202505"/>
    <m/>
    <s v="Q2"/>
    <e v="#REF!"/>
    <e v="#REF!"/>
    <e v="#REF!"/>
  </r>
  <r>
    <s v="645200"/>
    <x v="6"/>
    <s v="MUTUELLES"/>
    <s v="SA"/>
    <n v="137.07"/>
    <d v="2025-02-28T00:00:00"/>
    <s v="PRÉVOYANCE CADRE TRB"/>
    <m/>
    <e v="#N/A"/>
    <e v="#N/A"/>
    <n v="85320"/>
    <s v="SA202502"/>
    <m/>
    <s v="Q1"/>
    <e v="#REF!"/>
    <e v="#REF!"/>
    <e v="#REF!"/>
  </r>
  <r>
    <s v="645200"/>
    <x v="6"/>
    <s v="MUTUELLES"/>
    <s v="SA"/>
    <n v="140.58000000000001"/>
    <d v="2025-11-30T00:00:00"/>
    <s v="PRÉVOYANCE NON CADRE TRA"/>
    <m/>
    <e v="#N/A"/>
    <e v="#N/A"/>
    <n v="92373"/>
    <s v="SA202511"/>
    <m/>
    <s v="Q4"/>
    <e v="#REF!"/>
    <e v="#REF!"/>
    <e v="#REF!"/>
  </r>
  <r>
    <s v="645200"/>
    <x v="6"/>
    <s v="MUTUELLES"/>
    <s v="SA"/>
    <n v="140.61000000000001"/>
    <d v="2025-12-31T00:00:00"/>
    <s v="PRÉVOYANCE NON CADRE TRA"/>
    <m/>
    <e v="#N/A"/>
    <e v="#N/A"/>
    <n v="92836"/>
    <s v="SA202512"/>
    <m/>
    <s v="Q4"/>
    <e v="#REF!"/>
    <e v="#REF!"/>
    <e v="#REF!"/>
  </r>
  <r>
    <s v="645200"/>
    <x v="6"/>
    <s v="MUTUELLES"/>
    <s v="SA"/>
    <n v="141.9"/>
    <d v="2025-10-31T00:00:00"/>
    <s v="PRÉVOYANCE NON CADRE TRA"/>
    <m/>
    <e v="#N/A"/>
    <e v="#N/A"/>
    <n v="87866"/>
    <s v="SA202510"/>
    <m/>
    <s v="Q4"/>
    <e v="#REF!"/>
    <e v="#REF!"/>
    <e v="#REF!"/>
  </r>
  <r>
    <s v="645200"/>
    <x v="6"/>
    <s v="MUTUELLES"/>
    <s v="SA"/>
    <n v="142.34"/>
    <d v="2025-07-31T00:00:00"/>
    <s v="PRÉVOYANCE CADRE TRB"/>
    <m/>
    <e v="#N/A"/>
    <e v="#N/A"/>
    <n v="79914"/>
    <s v="SA202507"/>
    <m/>
    <s v="Q3"/>
    <e v="#REF!"/>
    <e v="#REF!"/>
    <e v="#REF!"/>
  </r>
  <r>
    <s v="645200"/>
    <x v="6"/>
    <s v="MUTUELLES"/>
    <s v="SA"/>
    <n v="145.47"/>
    <d v="2025-11-30T00:00:00"/>
    <s v="PRÉVOYANCE CADRE TRB"/>
    <m/>
    <e v="#N/A"/>
    <e v="#N/A"/>
    <n v="92376"/>
    <s v="SA202511"/>
    <m/>
    <s v="Q4"/>
    <e v="#REF!"/>
    <e v="#REF!"/>
    <e v="#REF!"/>
  </r>
  <r>
    <s v="645200"/>
    <x v="6"/>
    <s v="MUTUELLES"/>
    <s v="SA"/>
    <n v="145.49"/>
    <d v="2025-09-30T00:00:00"/>
    <s v="PRÉVOYANCE CADRE TRB"/>
    <m/>
    <e v="#N/A"/>
    <e v="#N/A"/>
    <n v="84203"/>
    <s v="SA202509"/>
    <m/>
    <s v="Q3"/>
    <e v="#REF!"/>
    <e v="#REF!"/>
    <e v="#REF!"/>
  </r>
  <r>
    <s v="645200"/>
    <x v="6"/>
    <s v="MUTUELLES"/>
    <s v="SA"/>
    <n v="146.41999999999999"/>
    <d v="2025-10-31T00:00:00"/>
    <s v="PRÉVOYANCE CADRE TRB"/>
    <m/>
    <e v="#N/A"/>
    <e v="#N/A"/>
    <n v="87865"/>
    <s v="SA202510"/>
    <m/>
    <s v="Q4"/>
    <e v="#REF!"/>
    <e v="#REF!"/>
    <e v="#REF!"/>
  </r>
  <r>
    <s v="645200"/>
    <x v="6"/>
    <s v="MUTUELLES"/>
    <s v="SA"/>
    <n v="146.66"/>
    <d v="2025-07-31T00:00:00"/>
    <s v="PRÉVOYANCE CADRE TRB"/>
    <m/>
    <e v="#N/A"/>
    <e v="#N/A"/>
    <n v="79910"/>
    <s v="SA202507"/>
    <m/>
    <s v="Q3"/>
    <e v="#REF!"/>
    <e v="#REF!"/>
    <e v="#REF!"/>
  </r>
  <r>
    <s v="645200"/>
    <x v="6"/>
    <s v="MUTUELLES"/>
    <s v="SA"/>
    <n v="147.24"/>
    <d v="2025-12-31T00:00:00"/>
    <s v="PRÉVOYANCE CADRE TRB"/>
    <m/>
    <e v="#N/A"/>
    <e v="#N/A"/>
    <n v="92835"/>
    <s v="SA202512"/>
    <m/>
    <s v="Q4"/>
    <e v="#REF!"/>
    <e v="#REF!"/>
    <e v="#REF!"/>
  </r>
  <r>
    <s v="645200"/>
    <x v="6"/>
    <s v="MUTUELLES"/>
    <s v="SA"/>
    <n v="149.29"/>
    <d v="2025-11-30T00:00:00"/>
    <s v="PRÉVOYANCE CADRE TRB"/>
    <m/>
    <e v="#N/A"/>
    <e v="#N/A"/>
    <n v="92372"/>
    <s v="SA202511"/>
    <m/>
    <s v="Q4"/>
    <e v="#REF!"/>
    <e v="#REF!"/>
    <e v="#REF!"/>
  </r>
  <r>
    <s v="645200"/>
    <x v="6"/>
    <s v="MUTUELLES"/>
    <s v="SA"/>
    <n v="150.51"/>
    <d v="2025-08-31T00:00:00"/>
    <s v="PRÉVOYANCE CADRE TRB"/>
    <m/>
    <e v="#N/A"/>
    <e v="#N/A"/>
    <n v="84025"/>
    <s v="SA202508"/>
    <m/>
    <s v="Q3"/>
    <e v="#REF!"/>
    <e v="#REF!"/>
    <e v="#REF!"/>
  </r>
  <r>
    <s v="645200"/>
    <x v="6"/>
    <s v="MUTUELLES"/>
    <s v="SA"/>
    <n v="150.96"/>
    <d v="2025-07-31T00:00:00"/>
    <s v="PRÉVOYANCE CADRE TRB"/>
    <m/>
    <e v="#N/A"/>
    <e v="#N/A"/>
    <n v="79907"/>
    <s v="SA202507"/>
    <m/>
    <s v="Q3"/>
    <e v="#REF!"/>
    <e v="#REF!"/>
    <e v="#REF!"/>
  </r>
  <r>
    <s v="645200"/>
    <x v="6"/>
    <s v="MUTUELLES"/>
    <s v="SA"/>
    <n v="155.08000000000001"/>
    <d v="2025-08-31T00:00:00"/>
    <s v="PRÉVOYANCE CADRE TRB"/>
    <m/>
    <e v="#N/A"/>
    <e v="#N/A"/>
    <n v="84029"/>
    <s v="SA202508"/>
    <m/>
    <s v="Q3"/>
    <e v="#REF!"/>
    <e v="#REF!"/>
    <e v="#REF!"/>
  </r>
  <r>
    <s v="645200"/>
    <x v="6"/>
    <s v="MUTUELLES"/>
    <s v="SA"/>
    <n v="155.52000000000001"/>
    <d v="2025-05-31T00:00:00"/>
    <s v="PRÉVOYANCE CADRE TRB"/>
    <m/>
    <e v="#N/A"/>
    <e v="#N/A"/>
    <n v="80250"/>
    <s v="SA202505"/>
    <m/>
    <s v="Q2"/>
    <e v="#REF!"/>
    <e v="#REF!"/>
    <e v="#REF!"/>
  </r>
  <r>
    <s v="645200"/>
    <x v="6"/>
    <s v="MUTUELLES"/>
    <s v="SA"/>
    <n v="155.63999999999999"/>
    <d v="2025-01-31T00:00:00"/>
    <s v="PRÉVOYANCE CADRE TRA"/>
    <m/>
    <e v="#N/A"/>
    <e v="#N/A"/>
    <n v="85491"/>
    <s v="SA202501"/>
    <m/>
    <s v="Q1"/>
    <e v="#REF!"/>
    <e v="#REF!"/>
    <e v="#REF!"/>
  </r>
  <r>
    <s v="645200"/>
    <x v="6"/>
    <s v="MUTUELLES"/>
    <s v="SA"/>
    <n v="158.69999999999999"/>
    <d v="2025-03-31T00:00:00"/>
    <s v="PRÉVOYANCE CADRE TRA"/>
    <m/>
    <e v="#N/A"/>
    <e v="#N/A"/>
    <n v="80600"/>
    <s v="SA202503"/>
    <m/>
    <s v="Q1"/>
    <e v="#REF!"/>
    <e v="#REF!"/>
    <e v="#REF!"/>
  </r>
  <r>
    <s v="645200"/>
    <x v="6"/>
    <s v="MUTUELLES"/>
    <s v="SA"/>
    <n v="158.69999999999999"/>
    <d v="2025-04-30T00:00:00"/>
    <s v="PRÉVOYANCE CADRE TRA"/>
    <m/>
    <e v="#N/A"/>
    <e v="#N/A"/>
    <n v="80427"/>
    <s v="SA202504"/>
    <m/>
    <s v="Q2"/>
    <e v="#REF!"/>
    <e v="#REF!"/>
    <e v="#REF!"/>
  </r>
  <r>
    <s v="645200"/>
    <x v="6"/>
    <s v="MUTUELLES"/>
    <s v="SA"/>
    <n v="158.69999999999999"/>
    <d v="2025-05-31T00:00:00"/>
    <s v="PRÉVOYANCE CADRE TRA"/>
    <m/>
    <e v="#N/A"/>
    <e v="#N/A"/>
    <n v="80257"/>
    <s v="SA202505"/>
    <m/>
    <s v="Q2"/>
    <e v="#REF!"/>
    <e v="#REF!"/>
    <e v="#REF!"/>
  </r>
  <r>
    <s v="645200"/>
    <x v="6"/>
    <s v="MUTUELLES"/>
    <s v="SA"/>
    <n v="158.69999999999999"/>
    <d v="2025-06-30T00:00:00"/>
    <s v="PRÉVOYANCE CADRE TRA"/>
    <m/>
    <e v="#N/A"/>
    <e v="#N/A"/>
    <n v="80089"/>
    <s v="SA202506"/>
    <m/>
    <s v="Q2"/>
    <e v="#REF!"/>
    <e v="#REF!"/>
    <e v="#REF!"/>
  </r>
  <r>
    <s v="645200"/>
    <x v="6"/>
    <s v="MUTUELLES"/>
    <s v="SA"/>
    <n v="158.69999999999999"/>
    <d v="2025-07-31T00:00:00"/>
    <s v="PRÉVOYANCE CADRE TRA"/>
    <m/>
    <e v="#N/A"/>
    <e v="#N/A"/>
    <n v="79917"/>
    <s v="SA202507"/>
    <m/>
    <s v="Q3"/>
    <e v="#REF!"/>
    <e v="#REF!"/>
    <e v="#REF!"/>
  </r>
  <r>
    <s v="645200"/>
    <x v="6"/>
    <s v="MUTUELLES"/>
    <s v="SA"/>
    <n v="158.69999999999999"/>
    <d v="2025-08-31T00:00:00"/>
    <s v="PRÉVOYANCE CADRE TRA"/>
    <m/>
    <e v="#N/A"/>
    <e v="#N/A"/>
    <n v="84032"/>
    <s v="SA202508"/>
    <m/>
    <s v="Q3"/>
    <e v="#REF!"/>
    <e v="#REF!"/>
    <e v="#REF!"/>
  </r>
  <r>
    <s v="645200"/>
    <x v="6"/>
    <s v="MUTUELLES"/>
    <s v="SA"/>
    <n v="158.69999999999999"/>
    <d v="2025-09-30T00:00:00"/>
    <s v="PRÉVOYANCE CADRE TRA"/>
    <m/>
    <e v="#N/A"/>
    <e v="#N/A"/>
    <n v="84206"/>
    <s v="SA202509"/>
    <m/>
    <s v="Q3"/>
    <e v="#REF!"/>
    <e v="#REF!"/>
    <e v="#REF!"/>
  </r>
  <r>
    <s v="645200"/>
    <x v="6"/>
    <s v="MUTUELLES"/>
    <s v="SA"/>
    <n v="158.69999999999999"/>
    <d v="2025-10-31T00:00:00"/>
    <s v="PRÉVOYANCE CADRE TRA"/>
    <m/>
    <e v="#N/A"/>
    <e v="#N/A"/>
    <n v="87872"/>
    <s v="SA202510"/>
    <m/>
    <s v="Q4"/>
    <e v="#REF!"/>
    <e v="#REF!"/>
    <e v="#REF!"/>
  </r>
  <r>
    <s v="645200"/>
    <x v="6"/>
    <s v="MUTUELLES"/>
    <s v="SA"/>
    <n v="158.69999999999999"/>
    <d v="2025-11-30T00:00:00"/>
    <s v="PRÉVOYANCE CADRE TRA"/>
    <m/>
    <e v="#N/A"/>
    <e v="#N/A"/>
    <n v="92379"/>
    <s v="SA202511"/>
    <m/>
    <s v="Q4"/>
    <e v="#REF!"/>
    <e v="#REF!"/>
    <e v="#REF!"/>
  </r>
  <r>
    <s v="645200"/>
    <x v="6"/>
    <s v="MUTUELLES"/>
    <s v="SA"/>
    <n v="158.69999999999999"/>
    <d v="2025-12-31T00:00:00"/>
    <s v="PRÉVOYANCE CADRE TRA"/>
    <m/>
    <e v="#N/A"/>
    <e v="#N/A"/>
    <n v="92842"/>
    <s v="SA202512"/>
    <m/>
    <s v="Q4"/>
    <e v="#REF!"/>
    <e v="#REF!"/>
    <e v="#REF!"/>
  </r>
  <r>
    <s v="645200"/>
    <x v="6"/>
    <s v="MUTUELLES"/>
    <s v="SA"/>
    <n v="160"/>
    <d v="2025-01-31T00:00:00"/>
    <s v="MUTUELLE ISOLÉE"/>
    <m/>
    <e v="#N/A"/>
    <e v="#N/A"/>
    <n v="85490"/>
    <s v="SA202501"/>
    <m/>
    <s v="Q1"/>
    <e v="#REF!"/>
    <e v="#REF!"/>
    <e v="#REF!"/>
  </r>
  <r>
    <s v="645200"/>
    <x v="6"/>
    <s v="MUTUELLES"/>
    <s v="SA"/>
    <n v="160"/>
    <d v="2025-02-28T00:00:00"/>
    <s v="MUTUELLE ISOLÉE"/>
    <m/>
    <e v="#N/A"/>
    <e v="#N/A"/>
    <n v="85318"/>
    <s v="SA202502"/>
    <m/>
    <s v="Q1"/>
    <e v="#REF!"/>
    <e v="#REF!"/>
    <e v="#REF!"/>
  </r>
  <r>
    <s v="645200"/>
    <x v="6"/>
    <s v="MUTUELLES"/>
    <s v="SA"/>
    <n v="160"/>
    <d v="2025-03-31T00:00:00"/>
    <s v="MUTUELLE ISOLÉE"/>
    <m/>
    <e v="#N/A"/>
    <e v="#N/A"/>
    <n v="80599"/>
    <s v="SA202503"/>
    <m/>
    <s v="Q1"/>
    <e v="#REF!"/>
    <e v="#REF!"/>
    <e v="#REF!"/>
  </r>
  <r>
    <s v="645200"/>
    <x v="6"/>
    <s v="MUTUELLES"/>
    <s v="SA"/>
    <n v="160"/>
    <d v="2025-04-30T00:00:00"/>
    <s v="MUTUELLE ISOLÉE"/>
    <m/>
    <e v="#N/A"/>
    <e v="#N/A"/>
    <n v="80426"/>
    <s v="SA202504"/>
    <m/>
    <s v="Q2"/>
    <e v="#REF!"/>
    <e v="#REF!"/>
    <e v="#REF!"/>
  </r>
  <r>
    <s v="645200"/>
    <x v="6"/>
    <s v="MUTUELLES"/>
    <s v="SA"/>
    <n v="160"/>
    <d v="2025-05-31T00:00:00"/>
    <s v="MUTUELLE ISOLÉE"/>
    <m/>
    <e v="#N/A"/>
    <e v="#N/A"/>
    <n v="80256"/>
    <s v="SA202505"/>
    <m/>
    <s v="Q2"/>
    <e v="#REF!"/>
    <e v="#REF!"/>
    <e v="#REF!"/>
  </r>
  <r>
    <s v="645200"/>
    <x v="6"/>
    <s v="MUTUELLES"/>
    <s v="SA"/>
    <n v="160"/>
    <d v="2025-06-30T00:00:00"/>
    <s v="MUTUELLE ISOLÉE"/>
    <m/>
    <e v="#N/A"/>
    <e v="#N/A"/>
    <n v="80088"/>
    <s v="SA202506"/>
    <m/>
    <s v="Q2"/>
    <e v="#REF!"/>
    <e v="#REF!"/>
    <e v="#REF!"/>
  </r>
  <r>
    <s v="645200"/>
    <x v="6"/>
    <s v="MUTUELLES"/>
    <s v="SA"/>
    <n v="160"/>
    <d v="2025-07-31T00:00:00"/>
    <s v="MUTUELLE ISOLÉE"/>
    <m/>
    <e v="#N/A"/>
    <e v="#N/A"/>
    <n v="79916"/>
    <s v="SA202507"/>
    <m/>
    <s v="Q3"/>
    <e v="#REF!"/>
    <e v="#REF!"/>
    <e v="#REF!"/>
  </r>
  <r>
    <s v="645200"/>
    <x v="6"/>
    <s v="MUTUELLES"/>
    <s v="SA"/>
    <n v="160"/>
    <d v="2025-08-31T00:00:00"/>
    <s v="MUTUELLE ISOLÉE"/>
    <m/>
    <e v="#N/A"/>
    <e v="#N/A"/>
    <n v="84031"/>
    <s v="SA202508"/>
    <m/>
    <s v="Q3"/>
    <e v="#REF!"/>
    <e v="#REF!"/>
    <e v="#REF!"/>
  </r>
  <r>
    <s v="645200"/>
    <x v="6"/>
    <s v="MUTUELLES"/>
    <s v="SA"/>
    <n v="160"/>
    <d v="2025-09-30T00:00:00"/>
    <s v="MUTUELLE ISOLÉE"/>
    <m/>
    <e v="#N/A"/>
    <e v="#N/A"/>
    <n v="84205"/>
    <s v="SA202509"/>
    <m/>
    <s v="Q3"/>
    <e v="#REF!"/>
    <e v="#REF!"/>
    <e v="#REF!"/>
  </r>
  <r>
    <s v="645200"/>
    <x v="6"/>
    <s v="MUTUELLES"/>
    <s v="SA"/>
    <n v="160"/>
    <d v="2025-10-31T00:00:00"/>
    <s v="MUTUELLE ISOLÉE, RÉGUL 09/2025"/>
    <m/>
    <e v="#N/A"/>
    <e v="#N/A"/>
    <n v="87871"/>
    <s v="SA202510"/>
    <m/>
    <s v="Q4"/>
    <e v="#REF!"/>
    <e v="#REF!"/>
    <e v="#REF!"/>
  </r>
  <r>
    <s v="645200"/>
    <x v="6"/>
    <s v="MUTUELLES"/>
    <s v="SA"/>
    <n v="160"/>
    <d v="2025-11-30T00:00:00"/>
    <s v="MUTUELLE ISOLÉE"/>
    <m/>
    <e v="#N/A"/>
    <e v="#N/A"/>
    <n v="92378"/>
    <s v="SA202511"/>
    <m/>
    <s v="Q4"/>
    <e v="#REF!"/>
    <e v="#REF!"/>
    <e v="#REF!"/>
  </r>
  <r>
    <s v="645200"/>
    <x v="6"/>
    <s v="MUTUELLES"/>
    <s v="SA"/>
    <n v="160"/>
    <d v="2025-12-31T00:00:00"/>
    <s v="MUTUELLE ISOLÉE"/>
    <m/>
    <e v="#N/A"/>
    <e v="#N/A"/>
    <n v="92841"/>
    <s v="SA202512"/>
    <m/>
    <s v="Q4"/>
    <e v="#REF!"/>
    <e v="#REF!"/>
    <e v="#REF!"/>
  </r>
  <r>
    <s v="645200"/>
    <x v="6"/>
    <s v="MUTUELLES"/>
    <s v="SA"/>
    <n v="161.76"/>
    <d v="2025-02-28T00:00:00"/>
    <s v="PRÉVOYANCE CADRE TRA"/>
    <m/>
    <e v="#N/A"/>
    <e v="#N/A"/>
    <n v="85319"/>
    <s v="SA202502"/>
    <m/>
    <s v="Q1"/>
    <e v="#REF!"/>
    <e v="#REF!"/>
    <e v="#REF!"/>
  </r>
  <r>
    <s v="645200"/>
    <x v="6"/>
    <s v="MUTUELLES"/>
    <s v="SA"/>
    <n v="163.68"/>
    <d v="2025-03-31T00:00:00"/>
    <s v="PRÉVOYANCE CADRE TRB"/>
    <m/>
    <e v="#N/A"/>
    <e v="#N/A"/>
    <n v="80597"/>
    <s v="SA202503"/>
    <m/>
    <s v="Q1"/>
    <e v="#REF!"/>
    <e v="#REF!"/>
    <e v="#REF!"/>
  </r>
  <r>
    <s v="645200"/>
    <x v="6"/>
    <s v="MUTUELLES"/>
    <s v="SA"/>
    <n v="166.43"/>
    <d v="2025-04-30T00:00:00"/>
    <s v="PRÉVOYANCE CADRE TRB"/>
    <m/>
    <e v="#N/A"/>
    <e v="#N/A"/>
    <n v="80417"/>
    <s v="SA202504"/>
    <m/>
    <s v="Q2"/>
    <e v="#REF!"/>
    <e v="#REF!"/>
    <e v="#REF!"/>
  </r>
  <r>
    <s v="645200"/>
    <x v="6"/>
    <s v="MUTUELLES"/>
    <s v="SA"/>
    <n v="166.86"/>
    <d v="2025-09-30T00:00:00"/>
    <s v="PRÉVOYANCE CADRE TRB"/>
    <m/>
    <e v="#N/A"/>
    <e v="#N/A"/>
    <n v="84199"/>
    <s v="SA202509"/>
    <m/>
    <s v="Q3"/>
    <e v="#REF!"/>
    <e v="#REF!"/>
    <e v="#REF!"/>
  </r>
  <r>
    <s v="645200"/>
    <x v="6"/>
    <s v="MUTUELLES"/>
    <s v="SA"/>
    <n v="167.81"/>
    <d v="2025-01-31T00:00:00"/>
    <s v="PRÉVOYANCE NON CADRE TRA"/>
    <m/>
    <e v="#N/A"/>
    <e v="#N/A"/>
    <n v="85485"/>
    <s v="SA202501"/>
    <m/>
    <s v="Q1"/>
    <e v="#REF!"/>
    <e v="#REF!"/>
    <e v="#REF!"/>
  </r>
  <r>
    <s v="645200"/>
    <x v="6"/>
    <s v="MUTUELLES"/>
    <s v="SA"/>
    <n v="173.45"/>
    <d v="2025-03-31T00:00:00"/>
    <s v="PRÉVOYANCE CADRE TRB"/>
    <m/>
    <e v="#N/A"/>
    <e v="#N/A"/>
    <n v="80592"/>
    <s v="SA202503"/>
    <m/>
    <s v="Q1"/>
    <e v="#REF!"/>
    <e v="#REF!"/>
    <e v="#REF!"/>
  </r>
  <r>
    <s v="645200"/>
    <x v="6"/>
    <s v="MUTUELLES"/>
    <s v="SA"/>
    <n v="176.6"/>
    <d v="2025-05-31T00:00:00"/>
    <s v="PRÉVOYANCE CADRE TRB"/>
    <m/>
    <e v="#N/A"/>
    <e v="#N/A"/>
    <n v="80247"/>
    <s v="SA202505"/>
    <m/>
    <s v="Q2"/>
    <e v="#REF!"/>
    <e v="#REF!"/>
    <e v="#REF!"/>
  </r>
  <r>
    <s v="645200"/>
    <x v="6"/>
    <s v="MUTUELLES"/>
    <s v="SA"/>
    <n v="177.07"/>
    <d v="2025-04-30T00:00:00"/>
    <s v="PRÉVOYANCE CADRE TRB"/>
    <m/>
    <e v="#N/A"/>
    <e v="#N/A"/>
    <n v="80424"/>
    <s v="SA202504"/>
    <m/>
    <s v="Q2"/>
    <e v="#REF!"/>
    <e v="#REF!"/>
    <e v="#REF!"/>
  </r>
  <r>
    <s v="645200"/>
    <x v="6"/>
    <s v="MUTUELLES"/>
    <s v="SA"/>
    <n v="177.81"/>
    <d v="2025-08-31T00:00:00"/>
    <s v="PRÉVOYANCE NON CADRE TRA"/>
    <m/>
    <e v="#N/A"/>
    <e v="#N/A"/>
    <n v="84026"/>
    <s v="SA202508"/>
    <m/>
    <s v="Q3"/>
    <e v="#REF!"/>
    <e v="#REF!"/>
    <e v="#REF!"/>
  </r>
  <r>
    <s v="645200"/>
    <x v="6"/>
    <s v="MUTUELLES"/>
    <s v="SA"/>
    <n v="177.88"/>
    <d v="2025-04-30T00:00:00"/>
    <s v="PRÉVOYANCE CADRE TRB"/>
    <m/>
    <e v="#N/A"/>
    <e v="#N/A"/>
    <n v="80420"/>
    <s v="SA202504"/>
    <m/>
    <s v="Q2"/>
    <e v="#REF!"/>
    <e v="#REF!"/>
    <e v="#REF!"/>
  </r>
  <r>
    <s v="645200"/>
    <x v="6"/>
    <s v="MUTUELLES"/>
    <s v="SA"/>
    <n v="182.86"/>
    <d v="2025-04-30T00:00:00"/>
    <s v="PRÉVOYANCE NON CADRE TRA"/>
    <m/>
    <e v="#N/A"/>
    <e v="#N/A"/>
    <n v="80421"/>
    <s v="SA202504"/>
    <m/>
    <s v="Q2"/>
    <e v="#REF!"/>
    <e v="#REF!"/>
    <e v="#REF!"/>
  </r>
  <r>
    <s v="645200"/>
    <x v="6"/>
    <s v="MUTUELLES"/>
    <s v="SA"/>
    <n v="187.92"/>
    <d v="2025-07-31T00:00:00"/>
    <s v="PRÉVOYANCE NON CADRE TRA"/>
    <m/>
    <e v="#N/A"/>
    <e v="#N/A"/>
    <n v="79911"/>
    <s v="SA202507"/>
    <m/>
    <s v="Q3"/>
    <e v="#REF!"/>
    <e v="#REF!"/>
    <e v="#REF!"/>
  </r>
  <r>
    <s v="645200"/>
    <x v="6"/>
    <s v="MUTUELLES"/>
    <s v="SA"/>
    <n v="189.46"/>
    <d v="2025-06-30T00:00:00"/>
    <s v="PRÉVOYANCE NON CADRE TRA"/>
    <m/>
    <e v="#N/A"/>
    <e v="#N/A"/>
    <n v="80083"/>
    <s v="SA202506"/>
    <m/>
    <s v="Q2"/>
    <e v="#REF!"/>
    <e v="#REF!"/>
    <e v="#REF!"/>
  </r>
  <r>
    <s v="645200"/>
    <x v="6"/>
    <s v="MUTUELLES"/>
    <s v="SA"/>
    <n v="190.76"/>
    <d v="2025-05-31T00:00:00"/>
    <s v="PRÉVOYANCE NON CADRE TRA"/>
    <m/>
    <e v="#N/A"/>
    <e v="#N/A"/>
    <n v="80251"/>
    <s v="SA202505"/>
    <m/>
    <s v="Q2"/>
    <e v="#REF!"/>
    <e v="#REF!"/>
    <e v="#REF!"/>
  </r>
  <r>
    <s v="645200"/>
    <x v="6"/>
    <s v="MUTUELLES"/>
    <s v="SA"/>
    <n v="190.84"/>
    <d v="2025-09-30T00:00:00"/>
    <s v="PRÉVOYANCE CADRE TRB"/>
    <m/>
    <e v="#N/A"/>
    <e v="#N/A"/>
    <n v="84196"/>
    <s v="SA202509"/>
    <m/>
    <s v="Q3"/>
    <e v="#REF!"/>
    <e v="#REF!"/>
    <e v="#REF!"/>
  </r>
  <r>
    <s v="645200"/>
    <x v="6"/>
    <s v="MUTUELLES"/>
    <s v="SA"/>
    <n v="192"/>
    <d v="2025-03-31T00:00:00"/>
    <s v="MUTUELLE ISOLÉE"/>
    <m/>
    <e v="#N/A"/>
    <e v="#N/A"/>
    <n v="80586"/>
    <s v="SA202503"/>
    <m/>
    <s v="Q1"/>
    <e v="#REF!"/>
    <e v="#REF!"/>
    <e v="#REF!"/>
  </r>
  <r>
    <s v="645200"/>
    <x v="6"/>
    <s v="MUTUELLES"/>
    <s v="SA"/>
    <n v="192"/>
    <d v="2025-04-30T00:00:00"/>
    <s v="MUTUELLE ISOLÉE"/>
    <m/>
    <e v="#N/A"/>
    <e v="#N/A"/>
    <n v="80415"/>
    <s v="SA202504"/>
    <m/>
    <s v="Q2"/>
    <e v="#REF!"/>
    <e v="#REF!"/>
    <e v="#REF!"/>
  </r>
  <r>
    <s v="645200"/>
    <x v="6"/>
    <s v="MUTUELLES"/>
    <s v="SA"/>
    <n v="192"/>
    <d v="2025-05-31T00:00:00"/>
    <s v="MUTUELLE ISOLÉE"/>
    <m/>
    <e v="#N/A"/>
    <e v="#N/A"/>
    <n v="80245"/>
    <s v="SA202505"/>
    <m/>
    <s v="Q2"/>
    <e v="#REF!"/>
    <e v="#REF!"/>
    <e v="#REF!"/>
  </r>
  <r>
    <s v="645200"/>
    <x v="6"/>
    <s v="MUTUELLES"/>
    <s v="SA"/>
    <n v="199.33"/>
    <d v="2025-10-31T00:00:00"/>
    <s v="PRÉVOYANCE CADRE TRB"/>
    <m/>
    <e v="#N/A"/>
    <e v="#N/A"/>
    <n v="87862"/>
    <s v="SA202510"/>
    <m/>
    <s v="Q4"/>
    <e v="#REF!"/>
    <e v="#REF!"/>
    <e v="#REF!"/>
  </r>
  <r>
    <s v="645200"/>
    <x v="6"/>
    <s v="MUTUELLES"/>
    <s v="SA"/>
    <n v="199.91"/>
    <d v="2025-11-30T00:00:00"/>
    <s v="PRÉVOYANCE CADRE TRB"/>
    <m/>
    <e v="#N/A"/>
    <e v="#N/A"/>
    <n v="92369"/>
    <s v="SA202511"/>
    <m/>
    <s v="Q4"/>
    <e v="#REF!"/>
    <e v="#REF!"/>
    <e v="#REF!"/>
  </r>
  <r>
    <s v="645200"/>
    <x v="6"/>
    <s v="MUTUELLES"/>
    <s v="SA"/>
    <n v="200.9"/>
    <d v="2025-06-30T00:00:00"/>
    <s v="PRÉVOYANCE CADRE TRB"/>
    <m/>
    <e v="#N/A"/>
    <e v="#N/A"/>
    <n v="80079"/>
    <s v="SA202506"/>
    <m/>
    <s v="Q2"/>
    <e v="#REF!"/>
    <e v="#REF!"/>
    <e v="#REF!"/>
  </r>
  <r>
    <s v="645200"/>
    <x v="6"/>
    <s v="MUTUELLES"/>
    <s v="SA"/>
    <n v="201.52"/>
    <d v="2025-12-31T00:00:00"/>
    <s v="PRÉVOYANCE CADRE TRB"/>
    <m/>
    <e v="#N/A"/>
    <e v="#N/A"/>
    <n v="92832"/>
    <s v="SA202512"/>
    <m/>
    <s v="Q4"/>
    <e v="#REF!"/>
    <e v="#REF!"/>
    <e v="#REF!"/>
  </r>
  <r>
    <s v="645200"/>
    <x v="6"/>
    <s v="MUTUELLES"/>
    <s v="SA"/>
    <n v="201.92"/>
    <d v="2025-03-31T00:00:00"/>
    <s v="PRÉVOYANCE NON CADRE TRA"/>
    <m/>
    <e v="#N/A"/>
    <e v="#N/A"/>
    <n v="80594"/>
    <s v="SA202503"/>
    <m/>
    <s v="Q1"/>
    <e v="#REF!"/>
    <e v="#REF!"/>
    <e v="#REF!"/>
  </r>
  <r>
    <s v="645200"/>
    <x v="6"/>
    <s v="MUTUELLES"/>
    <s v="SA"/>
    <n v="203.7"/>
    <d v="2025-09-30T00:00:00"/>
    <s v="PRÉVOYANCE NON CADRE TRA"/>
    <m/>
    <e v="#N/A"/>
    <e v="#N/A"/>
    <n v="84200"/>
    <s v="SA202509"/>
    <m/>
    <s v="Q3"/>
    <e v="#REF!"/>
    <e v="#REF!"/>
    <e v="#REF!"/>
  </r>
  <r>
    <s v="645200"/>
    <x v="6"/>
    <s v="MUTUELLES"/>
    <s v="SA"/>
    <n v="214.62"/>
    <d v="2025-08-31T00:00:00"/>
    <s v="PRÉVOYANCE CADRE TRB"/>
    <m/>
    <e v="#N/A"/>
    <e v="#N/A"/>
    <n v="84022"/>
    <s v="SA202508"/>
    <m/>
    <s v="Q3"/>
    <e v="#REF!"/>
    <e v="#REF!"/>
    <e v="#REF!"/>
  </r>
  <r>
    <s v="645200"/>
    <x v="6"/>
    <s v="MUTUELLES"/>
    <s v="SA"/>
    <n v="216.61"/>
    <d v="2025-01-31T00:00:00"/>
    <s v="PRÉVOYANCE CADRE TRB"/>
    <m/>
    <e v="#N/A"/>
    <e v="#N/A"/>
    <n v="85481"/>
    <s v="SA202501"/>
    <m/>
    <s v="Q1"/>
    <e v="#REF!"/>
    <e v="#REF!"/>
    <e v="#REF!"/>
  </r>
  <r>
    <s v="645200"/>
    <x v="6"/>
    <s v="MUTUELLES"/>
    <s v="SA"/>
    <n v="222.94"/>
    <d v="2025-06-30T00:00:00"/>
    <s v="MUTUELLE ISOLÉE"/>
    <m/>
    <e v="#N/A"/>
    <e v="#N/A"/>
    <n v="80077"/>
    <s v="SA202506"/>
    <m/>
    <s v="Q2"/>
    <e v="#REF!"/>
    <e v="#REF!"/>
    <e v="#REF!"/>
  </r>
  <r>
    <s v="645200"/>
    <x v="6"/>
    <s v="MUTUELLES"/>
    <s v="SA"/>
    <n v="225.06"/>
    <d v="2025-06-30T00:00:00"/>
    <s v="PRÉVOYANCE CADRE TRB"/>
    <m/>
    <e v="#N/A"/>
    <e v="#N/A"/>
    <n v="80082"/>
    <s v="SA202506"/>
    <m/>
    <s v="Q2"/>
    <e v="#REF!"/>
    <e v="#REF!"/>
    <e v="#REF!"/>
  </r>
  <r>
    <s v="645200"/>
    <x v="6"/>
    <s v="MUTUELLES"/>
    <s v="SA"/>
    <n v="241.32"/>
    <d v="2025-09-30T00:00:00"/>
    <s v="PRÉVOYANCE CADRE TRA"/>
    <m/>
    <e v="#N/A"/>
    <e v="#N/A"/>
    <n v="84195"/>
    <s v="SA202509"/>
    <m/>
    <s v="Q3"/>
    <e v="#REF!"/>
    <e v="#REF!"/>
    <e v="#REF!"/>
  </r>
  <r>
    <s v="645200"/>
    <x v="6"/>
    <s v="MUTUELLES"/>
    <s v="SA"/>
    <n v="244.2"/>
    <d v="2025-03-31T00:00:00"/>
    <s v="PRÉVOYANCE CADRE TRA"/>
    <m/>
    <e v="#N/A"/>
    <e v="#N/A"/>
    <n v="80587"/>
    <s v="SA202503"/>
    <m/>
    <s v="Q1"/>
    <e v="#REF!"/>
    <e v="#REF!"/>
    <e v="#REF!"/>
  </r>
  <r>
    <s v="645200"/>
    <x v="6"/>
    <s v="MUTUELLES"/>
    <s v="SA"/>
    <n v="244.2"/>
    <d v="2025-04-30T00:00:00"/>
    <s v="PRÉVOYANCE CADRE TRA"/>
    <m/>
    <e v="#N/A"/>
    <e v="#N/A"/>
    <n v="80416"/>
    <s v="SA202504"/>
    <m/>
    <s v="Q2"/>
    <e v="#REF!"/>
    <e v="#REF!"/>
    <e v="#REF!"/>
  </r>
  <r>
    <s v="645200"/>
    <x v="6"/>
    <s v="MUTUELLES"/>
    <s v="SA"/>
    <n v="244.2"/>
    <d v="2025-05-31T00:00:00"/>
    <s v="PRÉVOYANCE CADRE TRA"/>
    <m/>
    <e v="#N/A"/>
    <e v="#N/A"/>
    <n v="80246"/>
    <s v="SA202505"/>
    <m/>
    <s v="Q2"/>
    <e v="#REF!"/>
    <e v="#REF!"/>
    <e v="#REF!"/>
  </r>
  <r>
    <s v="645200"/>
    <x v="6"/>
    <s v="MUTUELLES"/>
    <s v="SA"/>
    <n v="247.62"/>
    <d v="2025-08-31T00:00:00"/>
    <s v="PRÉVOYANCE CADRE TRA"/>
    <m/>
    <e v="#N/A"/>
    <e v="#N/A"/>
    <n v="84021"/>
    <s v="SA202508"/>
    <m/>
    <s v="Q3"/>
    <e v="#REF!"/>
    <e v="#REF!"/>
    <e v="#REF!"/>
  </r>
  <r>
    <s v="645200"/>
    <x v="6"/>
    <s v="MUTUELLES"/>
    <s v="SA"/>
    <n v="249.64"/>
    <d v="2025-10-31T00:00:00"/>
    <s v="PRÉVOYANCE CADRE TRA"/>
    <m/>
    <e v="#N/A"/>
    <e v="#N/A"/>
    <n v="87861"/>
    <s v="SA202510"/>
    <m/>
    <s v="Q4"/>
    <e v="#REF!"/>
    <e v="#REF!"/>
    <e v="#REF!"/>
  </r>
  <r>
    <s v="645200"/>
    <x v="6"/>
    <s v="MUTUELLES"/>
    <s v="SA"/>
    <n v="249.64"/>
    <d v="2025-11-30T00:00:00"/>
    <s v="PRÉVOYANCE CADRE TRA"/>
    <m/>
    <e v="#N/A"/>
    <e v="#N/A"/>
    <n v="92368"/>
    <s v="SA202511"/>
    <m/>
    <s v="Q4"/>
    <e v="#REF!"/>
    <e v="#REF!"/>
    <e v="#REF!"/>
  </r>
  <r>
    <s v="645200"/>
    <x v="6"/>
    <s v="MUTUELLES"/>
    <s v="SA"/>
    <n v="249.64"/>
    <d v="2025-12-31T00:00:00"/>
    <s v="PRÉVOYANCE CADRE TRA"/>
    <m/>
    <e v="#N/A"/>
    <e v="#N/A"/>
    <n v="92831"/>
    <s v="SA202512"/>
    <m/>
    <s v="Q4"/>
    <e v="#REF!"/>
    <e v="#REF!"/>
    <e v="#REF!"/>
  </r>
  <r>
    <s v="645200"/>
    <x v="6"/>
    <s v="MUTUELLES"/>
    <s v="SA"/>
    <n v="257.58999999999997"/>
    <d v="2025-02-28T00:00:00"/>
    <s v="PRÉVOYANCE NON CADRE TRA"/>
    <m/>
    <e v="#N/A"/>
    <e v="#N/A"/>
    <n v="85313"/>
    <s v="SA202502"/>
    <m/>
    <s v="Q1"/>
    <e v="#REF!"/>
    <e v="#REF!"/>
    <e v="#REF!"/>
  </r>
  <r>
    <s v="645200"/>
    <x v="6"/>
    <s v="MUTUELLES"/>
    <s v="SA"/>
    <n v="271.05"/>
    <d v="2025-03-31T00:00:00"/>
    <s v="PRÉVOYANCE CADRE TRB"/>
    <m/>
    <e v="#N/A"/>
    <e v="#N/A"/>
    <n v="80588"/>
    <s v="SA202503"/>
    <m/>
    <s v="Q1"/>
    <e v="#REF!"/>
    <e v="#REF!"/>
    <e v="#REF!"/>
  </r>
  <r>
    <s v="645200"/>
    <x v="6"/>
    <s v="MUTUELLES"/>
    <s v="SA"/>
    <n v="291.91000000000003"/>
    <d v="2025-07-31T00:00:00"/>
    <s v="PRÉVOYANCE CADRE TRA"/>
    <m/>
    <e v="#N/A"/>
    <e v="#N/A"/>
    <n v="79906"/>
    <s v="SA202507"/>
    <m/>
    <s v="Q3"/>
    <e v="#REF!"/>
    <e v="#REF!"/>
    <e v="#REF!"/>
  </r>
  <r>
    <s v="645200"/>
    <x v="6"/>
    <s v="MUTUELLES"/>
    <s v="SA"/>
    <n v="305.02999999999997"/>
    <d v="2025-06-30T00:00:00"/>
    <s v="PRÉVOYANCE CADRE TRA"/>
    <m/>
    <e v="#N/A"/>
    <e v="#N/A"/>
    <n v="80078"/>
    <s v="SA202506"/>
    <m/>
    <s v="Q2"/>
    <e v="#REF!"/>
    <e v="#REF!"/>
    <e v="#REF!"/>
  </r>
  <r>
    <s v="645200"/>
    <x v="6"/>
    <s v="MUTUELLES"/>
    <s v="SA"/>
    <n v="306.61"/>
    <d v="2025-01-31T00:00:00"/>
    <s v="PRÉVOYANCE CADRE TRA"/>
    <m/>
    <e v="#N/A"/>
    <e v="#N/A"/>
    <n v="85480"/>
    <s v="SA202501"/>
    <m/>
    <s v="Q1"/>
    <e v="#REF!"/>
    <e v="#REF!"/>
    <e v="#REF!"/>
  </r>
  <r>
    <s v="645200"/>
    <x v="6"/>
    <s v="MUTUELLES"/>
    <s v="SA"/>
    <n v="314.56"/>
    <d v="2025-02-28T00:00:00"/>
    <s v="PRÉVOYANCE CADRE TRA"/>
    <m/>
    <e v="#N/A"/>
    <e v="#N/A"/>
    <n v="85306"/>
    <s v="SA202502"/>
    <m/>
    <s v="Q1"/>
    <e v="#REF!"/>
    <e v="#REF!"/>
    <e v="#REF!"/>
  </r>
  <r>
    <s v="645200"/>
    <x v="6"/>
    <s v="MUTUELLES"/>
    <s v="SA"/>
    <n v="352"/>
    <d v="2025-01-31T00:00:00"/>
    <s v="MUTUELLE ISOLÉE"/>
    <m/>
    <e v="#N/A"/>
    <e v="#N/A"/>
    <n v="85482"/>
    <s v="SA202501"/>
    <m/>
    <s v="Q1"/>
    <e v="#REF!"/>
    <e v="#REF!"/>
    <e v="#REF!"/>
  </r>
  <r>
    <s v="645200"/>
    <x v="6"/>
    <s v="MUTUELLES"/>
    <s v="SA"/>
    <n v="352"/>
    <d v="2025-11-30T00:00:00"/>
    <s v="MUTUELLE ISOLÉE"/>
    <m/>
    <e v="#N/A"/>
    <e v="#N/A"/>
    <n v="92370"/>
    <s v="SA202511"/>
    <m/>
    <s v="Q4"/>
    <e v="#REF!"/>
    <e v="#REF!"/>
    <e v="#REF!"/>
  </r>
  <r>
    <s v="645200"/>
    <x v="6"/>
    <s v="MUTUELLES"/>
    <s v="SA"/>
    <n v="352"/>
    <d v="2025-12-31T00:00:00"/>
    <s v="MUTUELLE ISOLÉE"/>
    <m/>
    <e v="#N/A"/>
    <e v="#N/A"/>
    <n v="92833"/>
    <s v="SA202512"/>
    <m/>
    <s v="Q4"/>
    <e v="#REF!"/>
    <e v="#REF!"/>
    <e v="#REF!"/>
  </r>
  <r>
    <s v="645200"/>
    <x v="6"/>
    <s v="MUTUELLES"/>
    <s v="SA"/>
    <n v="363.18"/>
    <d v="2025-01-31T00:00:00"/>
    <s v="PRÉVOYANCE CADRE TRA"/>
    <m/>
    <e v="#N/A"/>
    <e v="#N/A"/>
    <n v="85483"/>
    <s v="SA202501"/>
    <m/>
    <s v="Q1"/>
    <e v="#REF!"/>
    <e v="#REF!"/>
    <e v="#REF!"/>
  </r>
  <r>
    <s v="645200"/>
    <x v="6"/>
    <s v="MUTUELLES"/>
    <s v="SA"/>
    <n v="367.72"/>
    <d v="2025-08-31T00:00:00"/>
    <s v="PRÉVOYANCE CADRE TRA"/>
    <m/>
    <e v="#N/A"/>
    <e v="#N/A"/>
    <n v="84024"/>
    <s v="SA202508"/>
    <m/>
    <s v="Q3"/>
    <e v="#REF!"/>
    <e v="#REF!"/>
    <e v="#REF!"/>
  </r>
  <r>
    <s v="645200"/>
    <x v="6"/>
    <s v="MUTUELLES"/>
    <s v="SA"/>
    <n v="368.32"/>
    <d v="2025-07-31T00:00:00"/>
    <s v="PRÉVOYANCE CADRE TRA"/>
    <m/>
    <e v="#N/A"/>
    <e v="#N/A"/>
    <n v="79909"/>
    <s v="SA202507"/>
    <m/>
    <s v="Q3"/>
    <e v="#REF!"/>
    <e v="#REF!"/>
    <e v="#REF!"/>
  </r>
  <r>
    <s v="645200"/>
    <x v="6"/>
    <s v="MUTUELLES"/>
    <s v="SA"/>
    <n v="371.88"/>
    <d v="2025-06-30T00:00:00"/>
    <s v="PRÉVOYANCE CADRE TRA"/>
    <m/>
    <e v="#N/A"/>
    <e v="#N/A"/>
    <n v="80081"/>
    <s v="SA202506"/>
    <m/>
    <s v="Q2"/>
    <e v="#REF!"/>
    <e v="#REF!"/>
    <e v="#REF!"/>
  </r>
  <r>
    <s v="645200"/>
    <x v="6"/>
    <s v="MUTUELLES"/>
    <s v="SA"/>
    <n v="375.65"/>
    <d v="2025-09-30T00:00:00"/>
    <s v="PRÉVOYANCE CADRE TRA"/>
    <m/>
    <e v="#N/A"/>
    <e v="#N/A"/>
    <n v="84198"/>
    <s v="SA202509"/>
    <m/>
    <s v="Q3"/>
    <e v="#REF!"/>
    <e v="#REF!"/>
    <e v="#REF!"/>
  </r>
  <r>
    <s v="645200"/>
    <x v="6"/>
    <s v="MUTUELLES"/>
    <s v="SA"/>
    <n v="375.65"/>
    <d v="2025-10-31T00:00:00"/>
    <s v="PRÉVOYANCE CADRE TRA"/>
    <m/>
    <e v="#N/A"/>
    <e v="#N/A"/>
    <n v="87864"/>
    <s v="SA202510"/>
    <m/>
    <s v="Q4"/>
    <e v="#REF!"/>
    <e v="#REF!"/>
    <e v="#REF!"/>
  </r>
  <r>
    <s v="645200"/>
    <x v="6"/>
    <s v="MUTUELLES"/>
    <s v="SA"/>
    <n v="375.65"/>
    <d v="2025-11-30T00:00:00"/>
    <s v="PRÉVOYANCE CADRE TRA"/>
    <m/>
    <e v="#N/A"/>
    <e v="#N/A"/>
    <n v="92371"/>
    <s v="SA202511"/>
    <m/>
    <s v="Q4"/>
    <e v="#REF!"/>
    <e v="#REF!"/>
    <e v="#REF!"/>
  </r>
  <r>
    <s v="645200"/>
    <x v="6"/>
    <s v="MUTUELLES"/>
    <s v="SA"/>
    <n v="375.65"/>
    <d v="2025-12-31T00:00:00"/>
    <s v="PRÉVOYANCE CADRE TRA"/>
    <m/>
    <e v="#N/A"/>
    <e v="#N/A"/>
    <n v="92834"/>
    <s v="SA202512"/>
    <m/>
    <s v="Q4"/>
    <e v="#REF!"/>
    <e v="#REF!"/>
    <e v="#REF!"/>
  </r>
  <r>
    <s v="645200"/>
    <x v="6"/>
    <s v="MUTUELLES"/>
    <s v="SA"/>
    <n v="384"/>
    <d v="2025-02-28T00:00:00"/>
    <s v="MUTUELLE ISOLÉE"/>
    <m/>
    <e v="#N/A"/>
    <e v="#N/A"/>
    <n v="85309"/>
    <s v="SA202502"/>
    <m/>
    <s v="Q1"/>
    <e v="#REF!"/>
    <e v="#REF!"/>
    <e v="#REF!"/>
  </r>
  <r>
    <s v="645200"/>
    <x v="6"/>
    <s v="MUTUELLES"/>
    <s v="SA"/>
    <n v="388.28"/>
    <d v="2025-10-31T00:00:00"/>
    <s v="MUTUELLE ISOLÉE, RÉGUL 09/2025"/>
    <m/>
    <e v="#N/A"/>
    <e v="#N/A"/>
    <n v="87863"/>
    <s v="SA202510"/>
    <m/>
    <s v="Q4"/>
    <e v="#REF!"/>
    <e v="#REF!"/>
    <e v="#REF!"/>
  </r>
  <r>
    <s v="645200"/>
    <x v="6"/>
    <s v="MUTUELLES"/>
    <s v="SA"/>
    <n v="391.48"/>
    <d v="2025-09-30T00:00:00"/>
    <s v="MUTUELLE ISOLÉE"/>
    <m/>
    <e v="#N/A"/>
    <e v="#N/A"/>
    <n v="84197"/>
    <s v="SA202509"/>
    <m/>
    <s v="Q3"/>
    <e v="#REF!"/>
    <e v="#REF!"/>
    <e v="#REF!"/>
  </r>
  <r>
    <s v="645200"/>
    <x v="6"/>
    <s v="MUTUELLES"/>
    <s v="SA"/>
    <n v="430.13"/>
    <d v="2025-05-31T00:00:00"/>
    <s v="PRÉVOYANCE CADRE TRA"/>
    <m/>
    <e v="#N/A"/>
    <e v="#N/A"/>
    <n v="80249"/>
    <s v="SA202505"/>
    <m/>
    <s v="Q2"/>
    <e v="#REF!"/>
    <e v="#REF!"/>
    <e v="#REF!"/>
  </r>
  <r>
    <s v="645200"/>
    <x v="6"/>
    <s v="MUTUELLES"/>
    <s v="SA"/>
    <n v="430.95"/>
    <d v="2025-04-30T00:00:00"/>
    <s v="PRÉVOYANCE CADRE TRA"/>
    <m/>
    <e v="#N/A"/>
    <e v="#N/A"/>
    <n v="80419"/>
    <s v="SA202504"/>
    <m/>
    <s v="Q2"/>
    <e v="#REF!"/>
    <e v="#REF!"/>
    <e v="#REF!"/>
  </r>
  <r>
    <s v="645200"/>
    <x v="6"/>
    <s v="MUTUELLES"/>
    <s v="SA"/>
    <n v="436.87"/>
    <d v="2025-03-31T00:00:00"/>
    <s v="PRÉVOYANCE CADRE TRA"/>
    <m/>
    <e v="#N/A"/>
    <e v="#N/A"/>
    <n v="80591"/>
    <s v="SA202503"/>
    <m/>
    <s v="Q1"/>
    <e v="#REF!"/>
    <e v="#REF!"/>
    <e v="#REF!"/>
  </r>
  <r>
    <s v="645200"/>
    <x v="6"/>
    <s v="MUTUELLES"/>
    <s v="SA"/>
    <n v="443.69"/>
    <d v="2025-02-28T00:00:00"/>
    <s v="PRÉVOYANCE CADRE TRA"/>
    <m/>
    <e v="#N/A"/>
    <e v="#N/A"/>
    <n v="85310"/>
    <s v="SA202502"/>
    <m/>
    <s v="Q1"/>
    <e v="#REF!"/>
    <e v="#REF!"/>
    <e v="#REF!"/>
  </r>
  <r>
    <s v="645200"/>
    <x v="6"/>
    <s v="MUTUELLES"/>
    <s v="SA"/>
    <n v="448"/>
    <d v="2025-08-31T00:00:00"/>
    <s v="MUTUELLE ISOLÉE"/>
    <m/>
    <e v="#N/A"/>
    <e v="#N/A"/>
    <n v="84023"/>
    <s v="SA202508"/>
    <m/>
    <s v="Q3"/>
    <e v="#REF!"/>
    <e v="#REF!"/>
    <e v="#REF!"/>
  </r>
  <r>
    <s v="645200"/>
    <x v="6"/>
    <s v="MUTUELLES"/>
    <s v="SA"/>
    <n v="448.59"/>
    <d v="2025-02-28T00:00:00"/>
    <s v="PRÉVOYANCE CADRE TRB"/>
    <m/>
    <e v="#N/A"/>
    <e v="#N/A"/>
    <n v="85311"/>
    <s v="SA202502"/>
    <m/>
    <s v="Q1"/>
    <e v="#REF!"/>
    <e v="#REF!"/>
    <e v="#REF!"/>
  </r>
  <r>
    <s v="645200"/>
    <x v="6"/>
    <s v="MUTUELLES"/>
    <s v="SA"/>
    <n v="461.2"/>
    <d v="2025-04-30T00:00:00"/>
    <s v="PRÉVOYANCE NON CADRE TRA"/>
    <m/>
    <e v="#N/A"/>
    <e v="#N/A"/>
    <n v="80425"/>
    <s v="SA202504"/>
    <m/>
    <s v="Q2"/>
    <e v="#REF!"/>
    <e v="#REF!"/>
    <e v="#REF!"/>
  </r>
  <r>
    <s v="645200"/>
    <x v="6"/>
    <s v="MUTUELLES"/>
    <s v="SA"/>
    <n v="464.08"/>
    <d v="2025-03-31T00:00:00"/>
    <s v="PRÉVOYANCE NON CADRE TRA"/>
    <m/>
    <e v="#N/A"/>
    <e v="#N/A"/>
    <n v="80598"/>
    <s v="SA202503"/>
    <m/>
    <s v="Q1"/>
    <e v="#REF!"/>
    <e v="#REF!"/>
    <e v="#REF!"/>
  </r>
  <r>
    <s v="645200"/>
    <x v="6"/>
    <s v="MUTUELLES"/>
    <s v="SA"/>
    <n v="479.88"/>
    <d v="2025-12-31T00:00:00"/>
    <s v="PRÉVOYANCE NON CADRE TRA"/>
    <m/>
    <e v="#N/A"/>
    <e v="#N/A"/>
    <n v="92840"/>
    <s v="SA202512"/>
    <m/>
    <s v="Q4"/>
    <e v="#REF!"/>
    <e v="#REF!"/>
    <e v="#REF!"/>
  </r>
  <r>
    <s v="645200"/>
    <x v="6"/>
    <s v="MUTUELLES"/>
    <s v="SA"/>
    <n v="509"/>
    <d v="2025-08-31T00:00:00"/>
    <s v="PRÉVOYANCE NON CADRE TRA"/>
    <m/>
    <e v="#N/A"/>
    <e v="#N/A"/>
    <n v="84030"/>
    <s v="SA202508"/>
    <m/>
    <s v="Q3"/>
    <e v="#REF!"/>
    <e v="#REF!"/>
    <e v="#REF!"/>
  </r>
  <r>
    <s v="645200"/>
    <x v="6"/>
    <s v="MUTUELLES"/>
    <s v="SA"/>
    <n v="510.15"/>
    <d v="2025-05-31T00:00:00"/>
    <s v="PRÉVOYANCE NON CADRE TRA"/>
    <m/>
    <e v="#N/A"/>
    <e v="#N/A"/>
    <n v="80255"/>
    <s v="SA202505"/>
    <m/>
    <s v="Q2"/>
    <e v="#REF!"/>
    <e v="#REF!"/>
    <e v="#REF!"/>
  </r>
  <r>
    <s v="645200"/>
    <x v="6"/>
    <s v="MUTUELLES"/>
    <s v="SA"/>
    <n v="516.98"/>
    <d v="2025-01-31T00:00:00"/>
    <s v="PRÉVOYANCE NON CADRE TRA"/>
    <m/>
    <e v="#N/A"/>
    <e v="#N/A"/>
    <n v="85489"/>
    <s v="SA202501"/>
    <m/>
    <s v="Q1"/>
    <e v="#REF!"/>
    <e v="#REF!"/>
    <e v="#REF!"/>
  </r>
  <r>
    <s v="645200"/>
    <x v="6"/>
    <s v="MUTUELLES"/>
    <s v="SA"/>
    <n v="520.1"/>
    <d v="2025-10-31T00:00:00"/>
    <s v="PRÉVOYANCE NON CADRE TRA"/>
    <m/>
    <e v="#N/A"/>
    <e v="#N/A"/>
    <n v="87870"/>
    <s v="SA202510"/>
    <m/>
    <s v="Q4"/>
    <e v="#REF!"/>
    <e v="#REF!"/>
    <e v="#REF!"/>
  </r>
  <r>
    <s v="645200"/>
    <x v="6"/>
    <s v="MUTUELLES"/>
    <s v="SA"/>
    <n v="520.96"/>
    <d v="2025-11-30T00:00:00"/>
    <s v="PRÉVOYANCE NON CADRE TRA"/>
    <m/>
    <e v="#N/A"/>
    <e v="#N/A"/>
    <n v="92377"/>
    <s v="SA202511"/>
    <m/>
    <s v="Q4"/>
    <e v="#REF!"/>
    <e v="#REF!"/>
    <e v="#REF!"/>
  </r>
  <r>
    <s v="645200"/>
    <x v="6"/>
    <s v="MUTUELLES"/>
    <s v="SA"/>
    <n v="526.42999999999995"/>
    <d v="2025-06-30T00:00:00"/>
    <s v="PRÉVOYANCE NON CADRE TRA"/>
    <m/>
    <e v="#N/A"/>
    <e v="#N/A"/>
    <n v="80087"/>
    <s v="SA202506"/>
    <m/>
    <s v="Q2"/>
    <e v="#REF!"/>
    <e v="#REF!"/>
    <e v="#REF!"/>
  </r>
  <r>
    <s v="645200"/>
    <x v="6"/>
    <s v="MUTUELLES"/>
    <s v="SA"/>
    <n v="576"/>
    <d v="2025-03-31T00:00:00"/>
    <s v="MUTUELLE ISOLÉE"/>
    <m/>
    <e v="#N/A"/>
    <e v="#N/A"/>
    <n v="80590"/>
    <s v="SA202503"/>
    <m/>
    <s v="Q1"/>
    <e v="#REF!"/>
    <e v="#REF!"/>
    <e v="#REF!"/>
  </r>
  <r>
    <s v="645200"/>
    <x v="6"/>
    <s v="MUTUELLES"/>
    <s v="SA"/>
    <n v="576"/>
    <d v="2025-04-30T00:00:00"/>
    <s v="MUTUELLE ISOLÉE"/>
    <m/>
    <e v="#N/A"/>
    <e v="#N/A"/>
    <n v="80418"/>
    <s v="SA202504"/>
    <m/>
    <s v="Q2"/>
    <e v="#REF!"/>
    <e v="#REF!"/>
    <e v="#REF!"/>
  </r>
  <r>
    <s v="645200"/>
    <x v="6"/>
    <s v="MUTUELLES"/>
    <s v="SA"/>
    <n v="576"/>
    <d v="2025-05-31T00:00:00"/>
    <s v="MUTUELLE ISOLÉE"/>
    <m/>
    <e v="#N/A"/>
    <e v="#N/A"/>
    <n v="80248"/>
    <s v="SA202505"/>
    <m/>
    <s v="Q2"/>
    <e v="#REF!"/>
    <e v="#REF!"/>
    <e v="#REF!"/>
  </r>
  <r>
    <s v="645200"/>
    <x v="6"/>
    <s v="MUTUELLES"/>
    <s v="SA"/>
    <n v="576"/>
    <d v="2025-06-30T00:00:00"/>
    <s v="MUTUELLE ISOLÉE"/>
    <m/>
    <e v="#N/A"/>
    <e v="#N/A"/>
    <n v="80080"/>
    <s v="SA202506"/>
    <m/>
    <s v="Q2"/>
    <e v="#REF!"/>
    <e v="#REF!"/>
    <e v="#REF!"/>
  </r>
  <r>
    <s v="645200"/>
    <x v="6"/>
    <s v="MUTUELLES"/>
    <s v="SA"/>
    <n v="583.92999999999995"/>
    <d v="2025-09-30T00:00:00"/>
    <s v="PRÉVOYANCE NON CADRE TRA"/>
    <m/>
    <e v="#N/A"/>
    <e v="#N/A"/>
    <n v="84204"/>
    <s v="SA202509"/>
    <m/>
    <s v="Q3"/>
    <e v="#REF!"/>
    <e v="#REF!"/>
    <e v="#REF!"/>
  </r>
  <r>
    <s v="645200"/>
    <x v="6"/>
    <s v="MUTUELLES"/>
    <s v="SA"/>
    <n v="659.51"/>
    <d v="2025-07-31T00:00:00"/>
    <s v="PRÉVOYANCE NON CADRE TRA"/>
    <m/>
    <e v="#N/A"/>
    <e v="#N/A"/>
    <n v="79915"/>
    <s v="SA202507"/>
    <m/>
    <s v="Q3"/>
    <e v="#REF!"/>
    <e v="#REF!"/>
    <e v="#REF!"/>
  </r>
  <r>
    <s v="645200"/>
    <x v="6"/>
    <s v="MUTUELLES"/>
    <s v="SA"/>
    <n v="744.93"/>
    <d v="2025-02-28T00:00:00"/>
    <s v="PRÉVOYANCE CADRE TRB"/>
    <m/>
    <e v="#N/A"/>
    <e v="#N/A"/>
    <n v="85307"/>
    <s v="SA202502"/>
    <m/>
    <s v="Q1"/>
    <e v="#REF!"/>
    <e v="#REF!"/>
    <e v="#REF!"/>
  </r>
  <r>
    <s v="645200"/>
    <x v="6"/>
    <s v="MUTUELLES"/>
    <s v="SA"/>
    <n v="771.36"/>
    <d v="2025-02-28T00:00:00"/>
    <s v="PRÉVOYANCE CADRE TRB"/>
    <m/>
    <e v="#N/A"/>
    <e v="#N/A"/>
    <n v="85316"/>
    <s v="SA202502"/>
    <m/>
    <s v="Q1"/>
    <e v="#REF!"/>
    <e v="#REF!"/>
    <e v="#REF!"/>
  </r>
  <r>
    <s v="645200"/>
    <x v="6"/>
    <s v="MUTUELLES"/>
    <s v="SA"/>
    <n v="792.03"/>
    <d v="2025-02-28T00:00:00"/>
    <s v="PRÉVOYANCE NON CADRE TRA"/>
    <m/>
    <e v="#N/A"/>
    <e v="#N/A"/>
    <n v="85317"/>
    <s v="SA202502"/>
    <m/>
    <s v="Q1"/>
    <e v="#REF!"/>
    <e v="#REF!"/>
    <e v="#REF!"/>
  </r>
  <r>
    <s v="645200"/>
    <x v="6"/>
    <s v="MUTUELLES"/>
    <s v="SA"/>
    <n v="823.48"/>
    <d v="2025-07-31T00:00:00"/>
    <s v="PRÉVOYANCE CADRE TRA"/>
    <m/>
    <e v="#N/A"/>
    <e v="#N/A"/>
    <n v="79913"/>
    <s v="SA202507"/>
    <m/>
    <s v="Q3"/>
    <e v="#REF!"/>
    <e v="#REF!"/>
    <e v="#REF!"/>
  </r>
  <r>
    <s v="645200"/>
    <x v="6"/>
    <s v="MUTUELLES"/>
    <s v="SA"/>
    <n v="829.07"/>
    <d v="2025-08-31T00:00:00"/>
    <s v="PRÉVOYANCE CADRE TRA"/>
    <m/>
    <e v="#N/A"/>
    <e v="#N/A"/>
    <n v="84028"/>
    <s v="SA202508"/>
    <m/>
    <s v="Q3"/>
    <e v="#REF!"/>
    <e v="#REF!"/>
    <e v="#REF!"/>
  </r>
  <r>
    <s v="645200"/>
    <x v="6"/>
    <s v="MUTUELLES"/>
    <s v="SA"/>
    <n v="852.26"/>
    <d v="2025-12-31T00:00:00"/>
    <s v="MUTUELLE ISOLÉE"/>
    <m/>
    <e v="#N/A"/>
    <e v="#N/A"/>
    <n v="92837"/>
    <s v="SA202512"/>
    <m/>
    <s v="Q4"/>
    <e v="#REF!"/>
    <e v="#REF!"/>
    <e v="#REF!"/>
  </r>
  <r>
    <s v="645200"/>
    <x v="6"/>
    <s v="MUTUELLES"/>
    <s v="SA"/>
    <n v="864"/>
    <d v="2025-08-31T00:00:00"/>
    <s v="MUTUELLE ISOLÉE"/>
    <m/>
    <e v="#N/A"/>
    <e v="#N/A"/>
    <n v="84027"/>
    <s v="SA202508"/>
    <m/>
    <s v="Q3"/>
    <e v="#REF!"/>
    <e v="#REF!"/>
    <e v="#REF!"/>
  </r>
  <r>
    <s v="645200"/>
    <x v="6"/>
    <s v="MUTUELLES"/>
    <s v="SA"/>
    <n v="865.53"/>
    <d v="2025-04-30T00:00:00"/>
    <s v="PRÉVOYANCE CADRE TRA"/>
    <m/>
    <e v="#N/A"/>
    <e v="#N/A"/>
    <n v="80423"/>
    <s v="SA202504"/>
    <m/>
    <s v="Q2"/>
    <e v="#REF!"/>
    <e v="#REF!"/>
    <e v="#REF!"/>
  </r>
  <r>
    <s v="645200"/>
    <x v="6"/>
    <s v="MUTUELLES"/>
    <s v="SA"/>
    <n v="865.53"/>
    <d v="2025-05-31T00:00:00"/>
    <s v="PRÉVOYANCE CADRE TRA"/>
    <m/>
    <e v="#N/A"/>
    <e v="#N/A"/>
    <n v="80253"/>
    <s v="SA202505"/>
    <m/>
    <s v="Q2"/>
    <e v="#REF!"/>
    <e v="#REF!"/>
    <e v="#REF!"/>
  </r>
  <r>
    <s v="645200"/>
    <x v="6"/>
    <s v="MUTUELLES"/>
    <s v="SA"/>
    <n v="865.53"/>
    <d v="2025-06-30T00:00:00"/>
    <s v="PRÉVOYANCE CADRE TRA"/>
    <m/>
    <e v="#N/A"/>
    <e v="#N/A"/>
    <n v="80085"/>
    <s v="SA202506"/>
    <m/>
    <s v="Q2"/>
    <e v="#REF!"/>
    <e v="#REF!"/>
    <e v="#REF!"/>
  </r>
  <r>
    <s v="645200"/>
    <x v="6"/>
    <s v="MUTUELLES"/>
    <s v="SA"/>
    <n v="878.85"/>
    <d v="2025-11-30T00:00:00"/>
    <s v="PRÉVOYANCE CADRE TRA"/>
    <m/>
    <e v="#N/A"/>
    <e v="#N/A"/>
    <n v="92375"/>
    <s v="SA202511"/>
    <m/>
    <s v="Q4"/>
    <e v="#REF!"/>
    <e v="#REF!"/>
    <e v="#REF!"/>
  </r>
  <r>
    <s v="645200"/>
    <x v="6"/>
    <s v="MUTUELLES"/>
    <s v="SA"/>
    <n v="878.88"/>
    <d v="2025-12-31T00:00:00"/>
    <s v="PRÉVOYANCE CADRE TRA"/>
    <m/>
    <e v="#N/A"/>
    <e v="#N/A"/>
    <n v="92838"/>
    <s v="SA202512"/>
    <m/>
    <s v="Q4"/>
    <e v="#REF!"/>
    <e v="#REF!"/>
    <e v="#REF!"/>
  </r>
  <r>
    <s v="645200"/>
    <x v="6"/>
    <s v="MUTUELLES"/>
    <s v="SA"/>
    <n v="879.14"/>
    <d v="2025-10-31T00:00:00"/>
    <s v="PRÉVOYANCE CADRE TRA"/>
    <m/>
    <e v="#N/A"/>
    <e v="#N/A"/>
    <n v="87868"/>
    <s v="SA202510"/>
    <m/>
    <s v="Q4"/>
    <e v="#REF!"/>
    <e v="#REF!"/>
    <e v="#REF!"/>
  </r>
  <r>
    <s v="645200"/>
    <x v="6"/>
    <s v="MUTUELLES"/>
    <s v="SA"/>
    <n v="879.48"/>
    <d v="2025-09-30T00:00:00"/>
    <s v="PRÉVOYANCE CADRE TRA"/>
    <m/>
    <e v="#N/A"/>
    <e v="#N/A"/>
    <n v="84202"/>
    <s v="SA202509"/>
    <m/>
    <s v="Q3"/>
    <e v="#REF!"/>
    <e v="#REF!"/>
    <e v="#REF!"/>
  </r>
  <r>
    <s v="645200"/>
    <x v="6"/>
    <s v="MUTUELLES"/>
    <s v="SA"/>
    <n v="896"/>
    <d v="2025-02-28T00:00:00"/>
    <s v="MUTUELLE ISOLÉE"/>
    <m/>
    <e v="#N/A"/>
    <e v="#N/A"/>
    <n v="85314"/>
    <s v="SA202502"/>
    <m/>
    <s v="Q1"/>
    <e v="#REF!"/>
    <e v="#REF!"/>
    <e v="#REF!"/>
  </r>
  <r>
    <s v="645200"/>
    <x v="6"/>
    <s v="MUTUELLES"/>
    <s v="SA"/>
    <n v="919.97"/>
    <d v="2025-01-31T00:00:00"/>
    <s v="PRÉVOYANCE CADRE TRA"/>
    <m/>
    <e v="#N/A"/>
    <e v="#N/A"/>
    <n v="85487"/>
    <s v="SA202501"/>
    <m/>
    <s v="Q1"/>
    <e v="#REF!"/>
    <e v="#REF!"/>
    <e v="#REF!"/>
  </r>
  <r>
    <s v="645200"/>
    <x v="6"/>
    <s v="MUTUELLES"/>
    <s v="SA"/>
    <n v="928"/>
    <d v="2025-01-31T00:00:00"/>
    <s v="MUTUELLE ISOLÉE"/>
    <m/>
    <e v="#N/A"/>
    <e v="#N/A"/>
    <n v="85486"/>
    <s v="SA202501"/>
    <m/>
    <s v="Q1"/>
    <e v="#REF!"/>
    <e v="#REF!"/>
    <e v="#REF!"/>
  </r>
  <r>
    <s v="645200"/>
    <x v="6"/>
    <s v="MUTUELLES"/>
    <s v="SA"/>
    <n v="928"/>
    <d v="2025-09-30T00:00:00"/>
    <s v="MUTUELLE ISOLÉE"/>
    <m/>
    <e v="#N/A"/>
    <e v="#N/A"/>
    <n v="84201"/>
    <s v="SA202509"/>
    <m/>
    <s v="Q3"/>
    <e v="#REF!"/>
    <e v="#REF!"/>
    <e v="#REF!"/>
  </r>
  <r>
    <s v="645200"/>
    <x v="6"/>
    <s v="MUTUELLES"/>
    <s v="SA"/>
    <n v="928"/>
    <d v="2025-11-30T00:00:00"/>
    <s v="MUTUELLE ISOLÉE"/>
    <m/>
    <e v="#N/A"/>
    <e v="#N/A"/>
    <n v="92374"/>
    <s v="SA202511"/>
    <m/>
    <s v="Q4"/>
    <e v="#REF!"/>
    <e v="#REF!"/>
    <e v="#REF!"/>
  </r>
  <r>
    <s v="645200"/>
    <x v="6"/>
    <s v="MUTUELLES"/>
    <s v="SA"/>
    <n v="948.22"/>
    <d v="2025-03-31T00:00:00"/>
    <s v="PRÉVOYANCE CADRE TRA"/>
    <m/>
    <e v="#N/A"/>
    <e v="#N/A"/>
    <n v="80596"/>
    <s v="SA202503"/>
    <m/>
    <s v="Q1"/>
    <e v="#REF!"/>
    <e v="#REF!"/>
    <e v="#REF!"/>
  </r>
  <r>
    <s v="645200"/>
    <x v="6"/>
    <s v="MUTUELLES"/>
    <s v="SA"/>
    <n v="960"/>
    <d v="2025-10-31T00:00:00"/>
    <s v="MUTUELLE ISOLÉE, RÉGUL 09/2025"/>
    <m/>
    <e v="#N/A"/>
    <e v="#N/A"/>
    <n v="87867"/>
    <s v="SA202510"/>
    <m/>
    <s v="Q4"/>
    <e v="#REF!"/>
    <e v="#REF!"/>
    <e v="#REF!"/>
  </r>
  <r>
    <s v="645200"/>
    <x v="6"/>
    <s v="MUTUELLES"/>
    <s v="SA"/>
    <n v="1007.15"/>
    <d v="2025-02-28T00:00:00"/>
    <s v="PRÉVOYANCE CADRE TRA"/>
    <m/>
    <e v="#N/A"/>
    <e v="#N/A"/>
    <n v="85315"/>
    <s v="SA202502"/>
    <m/>
    <s v="Q1"/>
    <e v="#REF!"/>
    <e v="#REF!"/>
    <e v="#REF!"/>
  </r>
  <r>
    <s v="645200"/>
    <x v="6"/>
    <s v="MUTUELLES"/>
    <s v="SA"/>
    <n v="1280"/>
    <d v="2025-04-30T00:00:00"/>
    <s v="MUTUELLE ISOLÉE"/>
    <m/>
    <e v="#N/A"/>
    <e v="#N/A"/>
    <n v="80422"/>
    <s v="SA202504"/>
    <m/>
    <s v="Q2"/>
    <e v="#REF!"/>
    <e v="#REF!"/>
    <e v="#REF!"/>
  </r>
  <r>
    <s v="645200"/>
    <x v="6"/>
    <s v="MUTUELLES"/>
    <s v="SA"/>
    <n v="1280"/>
    <d v="2025-05-31T00:00:00"/>
    <s v="MUTUELLE ISOLÉE"/>
    <m/>
    <e v="#N/A"/>
    <e v="#N/A"/>
    <n v="80252"/>
    <s v="SA202505"/>
    <m/>
    <s v="Q2"/>
    <e v="#REF!"/>
    <e v="#REF!"/>
    <e v="#REF!"/>
  </r>
  <r>
    <s v="645200"/>
    <x v="6"/>
    <s v="MUTUELLES"/>
    <s v="SA"/>
    <n v="1296"/>
    <d v="2025-06-30T00:00:00"/>
    <s v="MUTUELLE ISOLÉE"/>
    <m/>
    <e v="#N/A"/>
    <e v="#N/A"/>
    <n v="80084"/>
    <s v="SA202506"/>
    <m/>
    <s v="Q2"/>
    <e v="#REF!"/>
    <e v="#REF!"/>
    <e v="#REF!"/>
  </r>
  <r>
    <s v="645200"/>
    <x v="6"/>
    <s v="MUTUELLES"/>
    <s v="SA"/>
    <n v="1344"/>
    <d v="2025-03-31T00:00:00"/>
    <s v="MUTUELLE ISOLÉE"/>
    <m/>
    <e v="#N/A"/>
    <e v="#N/A"/>
    <n v="80595"/>
    <s v="SA202503"/>
    <m/>
    <s v="Q1"/>
    <e v="#REF!"/>
    <e v="#REF!"/>
    <e v="#REF!"/>
  </r>
  <r>
    <s v="645211"/>
    <x v="6"/>
    <s v="CHARGES ASSURANCES CHÔMAGE DIRIGEANT"/>
    <s v="JC"/>
    <n v="363.5"/>
    <d v="2025-01-01T00:00:00"/>
    <s v="CCA - GAN / GSC 2025"/>
    <m/>
    <e v="#N/A"/>
    <e v="#N/A"/>
    <n v="86772"/>
    <m/>
    <s v="Gan Assurance"/>
    <s v="Q1"/>
    <e v="#REF!"/>
    <e v="#REF!"/>
    <e v="#REF!"/>
  </r>
  <r>
    <s v="645211"/>
    <x v="6"/>
    <s v="CHARGES ASSURANCES CHÔMAGE DIRIGEANT"/>
    <s v="JC"/>
    <n v="363.5"/>
    <d v="2025-02-01T00:00:00"/>
    <s v="CCA - GAN / GSC 2025"/>
    <m/>
    <e v="#N/A"/>
    <e v="#N/A"/>
    <n v="86773"/>
    <m/>
    <s v="Gan Assurance"/>
    <s v="Q1"/>
    <e v="#REF!"/>
    <e v="#REF!"/>
    <e v="#REF!"/>
  </r>
  <r>
    <s v="645211"/>
    <x v="6"/>
    <s v="CHARGES ASSURANCES CHÔMAGE DIRIGEANT"/>
    <s v="JC"/>
    <n v="363.5"/>
    <d v="2025-03-01T00:00:00"/>
    <s v="CCA - GAN / GSC 2025"/>
    <m/>
    <e v="#N/A"/>
    <e v="#N/A"/>
    <n v="86775"/>
    <m/>
    <s v="Gan Assurance"/>
    <s v="Q1"/>
    <e v="#REF!"/>
    <e v="#REF!"/>
    <e v="#REF!"/>
  </r>
  <r>
    <s v="645211"/>
    <x v="6"/>
    <s v="CHARGES ASSURANCES CHÔMAGE DIRIGEANT"/>
    <s v="JC"/>
    <n v="363.5"/>
    <d v="2025-04-01T00:00:00"/>
    <s v="CCA - GAN / GSC 2025"/>
    <m/>
    <e v="#N/A"/>
    <e v="#N/A"/>
    <n v="86778"/>
    <m/>
    <s v="Gan Assurance"/>
    <s v="Q2"/>
    <e v="#REF!"/>
    <e v="#REF!"/>
    <e v="#REF!"/>
  </r>
  <r>
    <s v="645211"/>
    <x v="6"/>
    <s v="CHARGES ASSURANCES CHÔMAGE DIRIGEANT"/>
    <s v="JC"/>
    <n v="363.5"/>
    <d v="2025-05-01T00:00:00"/>
    <s v="CCA - GAN / GSC 2025"/>
    <m/>
    <e v="#N/A"/>
    <e v="#N/A"/>
    <n v="86779"/>
    <m/>
    <s v="Gan Assurance"/>
    <s v="Q2"/>
    <e v="#REF!"/>
    <e v="#REF!"/>
    <e v="#REF!"/>
  </r>
  <r>
    <s v="645211"/>
    <x v="6"/>
    <s v="CHARGES ASSURANCES CHÔMAGE DIRIGEANT"/>
    <s v="JC"/>
    <n v="363.5"/>
    <d v="2025-06-01T00:00:00"/>
    <s v="CCA - GAN / GSC 2025"/>
    <m/>
    <e v="#N/A"/>
    <e v="#N/A"/>
    <n v="86781"/>
    <m/>
    <s v="Gan Assurance"/>
    <s v="Q2"/>
    <e v="#REF!"/>
    <e v="#REF!"/>
    <e v="#REF!"/>
  </r>
  <r>
    <s v="645211"/>
    <x v="6"/>
    <s v="CHARGES ASSURANCES CHÔMAGE DIRIGEANT"/>
    <s v="JC"/>
    <n v="363.5"/>
    <d v="2025-07-01T00:00:00"/>
    <s v="CCA - GAN / GSC 2025"/>
    <m/>
    <e v="#N/A"/>
    <e v="#N/A"/>
    <n v="86783"/>
    <m/>
    <s v="Gan Assurance"/>
    <s v="Q3"/>
    <e v="#REF!"/>
    <e v="#REF!"/>
    <e v="#REF!"/>
  </r>
  <r>
    <s v="645211"/>
    <x v="6"/>
    <s v="CHARGES ASSURANCES CHÔMAGE DIRIGEANT"/>
    <s v="JC"/>
    <n v="363.5"/>
    <d v="2025-08-01T00:00:00"/>
    <s v="CCA - GAN / GSC 2025"/>
    <m/>
    <e v="#N/A"/>
    <e v="#N/A"/>
    <n v="86785"/>
    <m/>
    <s v="Gan Assurance"/>
    <s v="Q3"/>
    <e v="#REF!"/>
    <e v="#REF!"/>
    <e v="#REF!"/>
  </r>
  <r>
    <s v="645211"/>
    <x v="6"/>
    <s v="CHARGES ASSURANCES CHÔMAGE DIRIGEANT"/>
    <s v="JC"/>
    <n v="363.5"/>
    <d v="2025-09-01T00:00:00"/>
    <s v="CCA - GAN / GSC 2025"/>
    <m/>
    <e v="#N/A"/>
    <e v="#N/A"/>
    <n v="86787"/>
    <m/>
    <s v="Gan Assurance"/>
    <s v="Q3"/>
    <e v="#REF!"/>
    <e v="#REF!"/>
    <e v="#REF!"/>
  </r>
  <r>
    <s v="645211"/>
    <x v="6"/>
    <s v="CHARGES ASSURANCES CHÔMAGE DIRIGEANT"/>
    <s v="JC"/>
    <n v="363.5"/>
    <d v="2025-10-01T00:00:00"/>
    <s v="CCA - GAN / GSC 2025"/>
    <m/>
    <e v="#N/A"/>
    <e v="#N/A"/>
    <n v="86789"/>
    <m/>
    <s v="Gan Assurance"/>
    <s v="Q4"/>
    <e v="#REF!"/>
    <e v="#REF!"/>
    <e v="#REF!"/>
  </r>
  <r>
    <s v="645211"/>
    <x v="6"/>
    <s v="CHARGES ASSURANCES CHÔMAGE DIRIGEANT"/>
    <s v="JC"/>
    <n v="363.5"/>
    <d v="2025-11-01T00:00:00"/>
    <s v="CCA - GAN / GSC 2025"/>
    <m/>
    <e v="#N/A"/>
    <e v="#N/A"/>
    <n v="86791"/>
    <m/>
    <s v="Gan Assurance"/>
    <s v="Q4"/>
    <e v="#REF!"/>
    <e v="#REF!"/>
    <e v="#REF!"/>
  </r>
  <r>
    <s v="645211"/>
    <x v="6"/>
    <s v="CHARGES ASSURANCES CHÔMAGE DIRIGEANT"/>
    <s v="JC"/>
    <n v="363.53"/>
    <d v="2025-12-01T00:00:00"/>
    <s v="CCA - GAN / GSC 2025"/>
    <m/>
    <e v="#N/A"/>
    <e v="#N/A"/>
    <n v="86796"/>
    <m/>
    <s v="Gan Assurance"/>
    <s v="Q4"/>
    <e v="#REF!"/>
    <e v="#REF!"/>
    <e v="#REF!"/>
  </r>
  <r>
    <s v="645211"/>
    <x v="6"/>
    <s v="CHARGES ASSURANCES CHÔMAGE DIRIGEANT"/>
    <s v="SA"/>
    <n v="-60.85"/>
    <d v="2025-01-31T00:00:00"/>
    <s v="AN GSC"/>
    <m/>
    <e v="#N/A"/>
    <e v="#N/A"/>
    <n v="85493"/>
    <s v="SA202501"/>
    <m/>
    <s v="Q1"/>
    <e v="#REF!"/>
    <e v="#REF!"/>
    <e v="#REF!"/>
  </r>
  <r>
    <s v="645211"/>
    <x v="6"/>
    <s v="CHARGES ASSURANCES CHÔMAGE DIRIGEANT"/>
    <s v="SA"/>
    <n v="-60.85"/>
    <d v="2025-02-28T00:00:00"/>
    <s v="AN GSC"/>
    <m/>
    <e v="#N/A"/>
    <e v="#N/A"/>
    <n v="85321"/>
    <s v="SA202502"/>
    <m/>
    <s v="Q1"/>
    <e v="#REF!"/>
    <e v="#REF!"/>
    <e v="#REF!"/>
  </r>
  <r>
    <s v="645211"/>
    <x v="6"/>
    <s v="CHARGES ASSURANCES CHÔMAGE DIRIGEANT"/>
    <s v="SA"/>
    <n v="-60.85"/>
    <d v="2025-03-31T00:00:00"/>
    <s v="AN GSC"/>
    <m/>
    <e v="#N/A"/>
    <e v="#N/A"/>
    <n v="80602"/>
    <s v="SA202503"/>
    <m/>
    <s v="Q1"/>
    <e v="#REF!"/>
    <e v="#REF!"/>
    <e v="#REF!"/>
  </r>
  <r>
    <s v="645211"/>
    <x v="6"/>
    <s v="CHARGES ASSURANCES CHÔMAGE DIRIGEANT"/>
    <s v="SA"/>
    <n v="-60.85"/>
    <d v="2025-04-30T00:00:00"/>
    <s v="AN GSC"/>
    <m/>
    <e v="#N/A"/>
    <e v="#N/A"/>
    <n v="80429"/>
    <s v="SA202504"/>
    <m/>
    <s v="Q2"/>
    <e v="#REF!"/>
    <e v="#REF!"/>
    <e v="#REF!"/>
  </r>
  <r>
    <s v="645211"/>
    <x v="6"/>
    <s v="CHARGES ASSURANCES CHÔMAGE DIRIGEANT"/>
    <s v="SA"/>
    <n v="-60.85"/>
    <d v="2025-05-31T00:00:00"/>
    <s v="AN GSC"/>
    <m/>
    <e v="#N/A"/>
    <e v="#N/A"/>
    <n v="80259"/>
    <s v="SA202505"/>
    <m/>
    <s v="Q2"/>
    <e v="#REF!"/>
    <e v="#REF!"/>
    <e v="#REF!"/>
  </r>
  <r>
    <s v="645211"/>
    <x v="6"/>
    <s v="CHARGES ASSURANCES CHÔMAGE DIRIGEANT"/>
    <s v="SA"/>
    <n v="-60.85"/>
    <d v="2025-06-30T00:00:00"/>
    <s v="AN GSC"/>
    <m/>
    <e v="#N/A"/>
    <e v="#N/A"/>
    <n v="80091"/>
    <s v="SA202506"/>
    <m/>
    <s v="Q2"/>
    <e v="#REF!"/>
    <e v="#REF!"/>
    <e v="#REF!"/>
  </r>
  <r>
    <s v="645211"/>
    <x v="6"/>
    <s v="CHARGES ASSURANCES CHÔMAGE DIRIGEANT"/>
    <s v="SA"/>
    <n v="-60.85"/>
    <d v="2025-07-31T00:00:00"/>
    <s v="AN GSC"/>
    <m/>
    <e v="#N/A"/>
    <e v="#N/A"/>
    <n v="79919"/>
    <s v="SA202507"/>
    <m/>
    <s v="Q3"/>
    <e v="#REF!"/>
    <e v="#REF!"/>
    <e v="#REF!"/>
  </r>
  <r>
    <s v="645211"/>
    <x v="6"/>
    <s v="CHARGES ASSURANCES CHÔMAGE DIRIGEANT"/>
    <s v="SA"/>
    <n v="-60.85"/>
    <d v="2025-08-31T00:00:00"/>
    <s v="AN GSC"/>
    <m/>
    <e v="#N/A"/>
    <e v="#N/A"/>
    <n v="84034"/>
    <s v="SA202508"/>
    <m/>
    <s v="Q3"/>
    <e v="#REF!"/>
    <e v="#REF!"/>
    <e v="#REF!"/>
  </r>
  <r>
    <s v="645211"/>
    <x v="6"/>
    <s v="CHARGES ASSURANCES CHÔMAGE DIRIGEANT"/>
    <s v="SA"/>
    <n v="-60.85"/>
    <d v="2025-09-30T00:00:00"/>
    <s v="AN GSC"/>
    <m/>
    <e v="#N/A"/>
    <e v="#N/A"/>
    <n v="84208"/>
    <s v="SA202509"/>
    <m/>
    <s v="Q3"/>
    <e v="#REF!"/>
    <e v="#REF!"/>
    <e v="#REF!"/>
  </r>
  <r>
    <s v="645211"/>
    <x v="6"/>
    <s v="CHARGES ASSURANCES CHÔMAGE DIRIGEANT"/>
    <s v="SA"/>
    <n v="-60.85"/>
    <d v="2025-10-31T00:00:00"/>
    <s v="AN GSC"/>
    <m/>
    <e v="#N/A"/>
    <e v="#N/A"/>
    <n v="87874"/>
    <s v="SA202510"/>
    <m/>
    <s v="Q4"/>
    <e v="#REF!"/>
    <e v="#REF!"/>
    <e v="#REF!"/>
  </r>
  <r>
    <s v="645211"/>
    <x v="6"/>
    <s v="CHARGES ASSURANCES CHÔMAGE DIRIGEANT"/>
    <s v="SA"/>
    <n v="-60.85"/>
    <d v="2025-11-30T00:00:00"/>
    <s v="AN GSC"/>
    <m/>
    <e v="#N/A"/>
    <e v="#N/A"/>
    <n v="92381"/>
    <s v="SA202511"/>
    <m/>
    <s v="Q4"/>
    <e v="#REF!"/>
    <e v="#REF!"/>
    <e v="#REF!"/>
  </r>
  <r>
    <s v="645211"/>
    <x v="6"/>
    <s v="CHARGES ASSURANCES CHÔMAGE DIRIGEANT"/>
    <s v="SA"/>
    <n v="-60.85"/>
    <d v="2025-12-31T00:00:00"/>
    <s v="AN GSC"/>
    <m/>
    <e v="#N/A"/>
    <e v="#N/A"/>
    <n v="92844"/>
    <s v="SA202512"/>
    <m/>
    <s v="Q4"/>
    <e v="#REF!"/>
    <e v="#REF!"/>
    <e v="#REF!"/>
  </r>
  <r>
    <s v="645300"/>
    <x v="6"/>
    <s v="COTISATIONS AUX CAISSES DE RETRAITE"/>
    <s v="SA"/>
    <n v="-228.84"/>
    <d v="2025-01-31T00:00:00"/>
    <s v="RÉDUCT. GÉNÉRALE DES COTISAT. PAT. RETRAITE"/>
    <m/>
    <e v="#N/A"/>
    <e v="#N/A"/>
    <n v="85519"/>
    <s v="SA202501"/>
    <m/>
    <s v="Q1"/>
    <e v="#REF!"/>
    <e v="#REF!"/>
    <e v="#REF!"/>
  </r>
  <r>
    <s v="645300"/>
    <x v="6"/>
    <s v="COTISATIONS AUX CAISSES DE RETRAITE"/>
    <s v="SA"/>
    <n v="-177.43"/>
    <d v="2025-09-30T00:00:00"/>
    <s v="RÉDUCT. GÉNÉRALE DES COTISAT. PAT. RETRAITE"/>
    <m/>
    <e v="#N/A"/>
    <e v="#N/A"/>
    <n v="84234"/>
    <s v="SA202509"/>
    <m/>
    <s v="Q3"/>
    <e v="#REF!"/>
    <e v="#REF!"/>
    <e v="#REF!"/>
  </r>
  <r>
    <s v="645300"/>
    <x v="6"/>
    <s v="COTISATIONS AUX CAISSES DE RETRAITE"/>
    <s v="SA"/>
    <n v="-177.43"/>
    <d v="2025-10-31T00:00:00"/>
    <s v="RÉDUCT. GÉNÉRALE DES COTISAT. PAT. RETRAITE"/>
    <m/>
    <e v="#N/A"/>
    <e v="#N/A"/>
    <n v="87900"/>
    <s v="SA202510"/>
    <m/>
    <s v="Q4"/>
    <e v="#REF!"/>
    <e v="#REF!"/>
    <e v="#REF!"/>
  </r>
  <r>
    <s v="645300"/>
    <x v="6"/>
    <s v="COTISATIONS AUX CAISSES DE RETRAITE"/>
    <s v="SA"/>
    <n v="-177.43"/>
    <d v="2025-11-30T00:00:00"/>
    <s v="RÉDUCT. GÉNÉRALE DES COTISAT. PAT. RETRAITE"/>
    <m/>
    <e v="#N/A"/>
    <e v="#N/A"/>
    <n v="92407"/>
    <s v="SA202511"/>
    <m/>
    <s v="Q4"/>
    <e v="#REF!"/>
    <e v="#REF!"/>
    <e v="#REF!"/>
  </r>
  <r>
    <s v="645300"/>
    <x v="6"/>
    <s v="COTISATIONS AUX CAISSES DE RETRAITE"/>
    <s v="SA"/>
    <n v="-177.43"/>
    <d v="2025-12-31T00:00:00"/>
    <s v="RÉDUCT. GÉNÉRALE DES COTISAT. PAT. RETRAITE"/>
    <m/>
    <e v="#N/A"/>
    <e v="#N/A"/>
    <n v="92870"/>
    <s v="SA202512"/>
    <m/>
    <s v="Q4"/>
    <e v="#REF!"/>
    <e v="#REF!"/>
    <e v="#REF!"/>
  </r>
  <r>
    <s v="645300"/>
    <x v="6"/>
    <s v="COTISATIONS AUX CAISSES DE RETRAITE"/>
    <s v="SA"/>
    <n v="-140.97"/>
    <d v="2025-06-30T00:00:00"/>
    <s v="RÉDUCT. GÉNÉRALE DES COTISAT. PAT. RETRAITE"/>
    <m/>
    <e v="#N/A"/>
    <e v="#N/A"/>
    <n v="80117"/>
    <s v="SA202506"/>
    <m/>
    <s v="Q2"/>
    <e v="#REF!"/>
    <e v="#REF!"/>
    <e v="#REF!"/>
  </r>
  <r>
    <s v="645300"/>
    <x v="6"/>
    <s v="COTISATIONS AUX CAISSES DE RETRAITE"/>
    <s v="SA"/>
    <n v="-138.79"/>
    <d v="2025-05-31T00:00:00"/>
    <s v="RÉDUCT. GÉNÉRALE DES COTISAT. PAT. RETRAITE"/>
    <m/>
    <e v="#N/A"/>
    <e v="#N/A"/>
    <n v="80285"/>
    <s v="SA202505"/>
    <m/>
    <s v="Q2"/>
    <e v="#REF!"/>
    <e v="#REF!"/>
    <e v="#REF!"/>
  </r>
  <r>
    <s v="645300"/>
    <x v="6"/>
    <s v="COTISATIONS AUX CAISSES DE RETRAITE"/>
    <s v="SA"/>
    <n v="-132.36000000000001"/>
    <d v="2025-01-31T00:00:00"/>
    <s v="RÉDUCT. GÉNÉRALE DES COTISAT. PAT. RETRAITE"/>
    <m/>
    <e v="#N/A"/>
    <e v="#N/A"/>
    <n v="85510"/>
    <s v="SA202501"/>
    <m/>
    <s v="Q1"/>
    <e v="#REF!"/>
    <e v="#REF!"/>
    <e v="#REF!"/>
  </r>
  <r>
    <s v="645300"/>
    <x v="6"/>
    <s v="COTISATIONS AUX CAISSES DE RETRAITE"/>
    <s v="SA"/>
    <n v="-126.52"/>
    <d v="2025-08-31T00:00:00"/>
    <s v="RÉDUCT. GÉNÉRALE DES COTISAT. PAT. RETRAITE"/>
    <m/>
    <e v="#N/A"/>
    <e v="#N/A"/>
    <n v="84060"/>
    <s v="SA202508"/>
    <m/>
    <s v="Q3"/>
    <e v="#REF!"/>
    <e v="#REF!"/>
    <e v="#REF!"/>
  </r>
  <r>
    <s v="645300"/>
    <x v="6"/>
    <s v="COTISATIONS AUX CAISSES DE RETRAITE"/>
    <s v="SA"/>
    <n v="-119.12"/>
    <d v="2025-03-31T00:00:00"/>
    <s v="RÉDUCT. GÉNÉRALE DES COTISAT. PAT. RETRAITE"/>
    <m/>
    <e v="#N/A"/>
    <e v="#N/A"/>
    <n v="80628"/>
    <s v="SA202503"/>
    <m/>
    <s v="Q1"/>
    <e v="#REF!"/>
    <e v="#REF!"/>
    <e v="#REF!"/>
  </r>
  <r>
    <s v="645300"/>
    <x v="6"/>
    <s v="COTISATIONS AUX CAISSES DE RETRAITE"/>
    <s v="SA"/>
    <n v="-119.12"/>
    <d v="2025-04-30T00:00:00"/>
    <s v="RÉDUCT. GÉNÉRALE DES COTISAT. PAT. RETRAITE"/>
    <m/>
    <e v="#N/A"/>
    <e v="#N/A"/>
    <n v="80455"/>
    <s v="SA202504"/>
    <m/>
    <s v="Q2"/>
    <e v="#REF!"/>
    <e v="#REF!"/>
    <e v="#REF!"/>
  </r>
  <r>
    <s v="645300"/>
    <x v="6"/>
    <s v="COTISATIONS AUX CAISSES DE RETRAITE"/>
    <s v="SA"/>
    <n v="-84.01"/>
    <d v="2025-07-31T00:00:00"/>
    <s v="RÉDUCT. GÉNÉRALE DES COTISAT. PAT. RETRAITE"/>
    <m/>
    <e v="#N/A"/>
    <e v="#N/A"/>
    <n v="79945"/>
    <s v="SA202507"/>
    <m/>
    <s v="Q3"/>
    <e v="#REF!"/>
    <e v="#REF!"/>
    <e v="#REF!"/>
  </r>
  <r>
    <s v="645300"/>
    <x v="6"/>
    <s v="COTISATIONS AUX CAISSES DE RETRAITE"/>
    <s v="SA"/>
    <n v="-74.77"/>
    <d v="2025-05-31T00:00:00"/>
    <s v="RÉDUCT. GÉNÉRALE DES COTISAT. PAT. RETRAITE"/>
    <m/>
    <e v="#N/A"/>
    <e v="#N/A"/>
    <n v="80276"/>
    <s v="SA202505"/>
    <m/>
    <s v="Q2"/>
    <e v="#REF!"/>
    <e v="#REF!"/>
    <e v="#REF!"/>
  </r>
  <r>
    <s v="645300"/>
    <x v="6"/>
    <s v="COTISATIONS AUX CAISSES DE RETRAITE"/>
    <s v="SA"/>
    <n v="-74.47"/>
    <d v="2025-06-30T00:00:00"/>
    <s v="RÉDUCT. GÉNÉRALE DES COTISAT. PAT. RETRAITE"/>
    <m/>
    <e v="#N/A"/>
    <e v="#N/A"/>
    <n v="80108"/>
    <s v="SA202506"/>
    <m/>
    <s v="Q2"/>
    <e v="#REF!"/>
    <e v="#REF!"/>
    <e v="#REF!"/>
  </r>
  <r>
    <s v="645300"/>
    <x v="6"/>
    <s v="COTISATIONS AUX CAISSES DE RETRAITE"/>
    <s v="SA"/>
    <n v="-72.55"/>
    <d v="2025-10-31T00:00:00"/>
    <s v="RÉDUCT. GÉNÉRALE DES COTISAT. PAT. RETRAITE"/>
    <m/>
    <e v="#N/A"/>
    <e v="#N/A"/>
    <n v="87891"/>
    <s v="SA202510"/>
    <m/>
    <s v="Q4"/>
    <e v="#REF!"/>
    <e v="#REF!"/>
    <e v="#REF!"/>
  </r>
  <r>
    <s v="645300"/>
    <x v="6"/>
    <s v="COTISATIONS AUX CAISSES DE RETRAITE"/>
    <s v="SA"/>
    <n v="-72.55"/>
    <d v="2025-11-30T00:00:00"/>
    <s v="RÉDUCT. GÉNÉRALE DES COTISAT. PAT. RETRAITE"/>
    <m/>
    <e v="#N/A"/>
    <e v="#N/A"/>
    <n v="92398"/>
    <s v="SA202511"/>
    <m/>
    <s v="Q4"/>
    <e v="#REF!"/>
    <e v="#REF!"/>
    <e v="#REF!"/>
  </r>
  <r>
    <s v="645300"/>
    <x v="6"/>
    <s v="COTISATIONS AUX CAISSES DE RETRAITE"/>
    <s v="SA"/>
    <n v="-72.55"/>
    <d v="2025-12-31T00:00:00"/>
    <s v="RÉDUCT. GÉNÉRALE DES COTISAT. PAT. RETRAITE"/>
    <m/>
    <e v="#N/A"/>
    <e v="#N/A"/>
    <n v="92861"/>
    <s v="SA202512"/>
    <m/>
    <s v="Q4"/>
    <e v="#REF!"/>
    <e v="#REF!"/>
    <e v="#REF!"/>
  </r>
  <r>
    <s v="645300"/>
    <x v="6"/>
    <s v="COTISATIONS AUX CAISSES DE RETRAITE"/>
    <s v="SA"/>
    <n v="-63.24"/>
    <d v="2025-07-31T00:00:00"/>
    <s v="RÉDUCT. GÉNÉRALE DES COTISAT. PAT. RETRAITE"/>
    <m/>
    <e v="#N/A"/>
    <e v="#N/A"/>
    <n v="79936"/>
    <s v="SA202507"/>
    <m/>
    <s v="Q3"/>
    <e v="#REF!"/>
    <e v="#REF!"/>
    <e v="#REF!"/>
  </r>
  <r>
    <s v="645300"/>
    <x v="6"/>
    <s v="COTISATIONS AUX CAISSES DE RETRAITE"/>
    <s v="SA"/>
    <n v="-57.64"/>
    <d v="2025-09-30T00:00:00"/>
    <s v="RÉDUCT. GÉNÉRALE DES COTISAT. PAT. RETRAITE"/>
    <m/>
    <e v="#N/A"/>
    <e v="#N/A"/>
    <n v="84225"/>
    <s v="SA202509"/>
    <m/>
    <s v="Q3"/>
    <e v="#REF!"/>
    <e v="#REF!"/>
    <e v="#REF!"/>
  </r>
  <r>
    <s v="645300"/>
    <x v="6"/>
    <s v="COTISATIONS AUX CAISSES DE RETRAITE"/>
    <s v="SA"/>
    <n v="-54.15"/>
    <d v="2025-03-31T00:00:00"/>
    <s v="RÉDUCT. GÉNÉRALE DES COTISAT. PAT. RETRAITE"/>
    <m/>
    <e v="#N/A"/>
    <e v="#N/A"/>
    <n v="80619"/>
    <s v="SA202503"/>
    <m/>
    <s v="Q1"/>
    <e v="#REF!"/>
    <e v="#REF!"/>
    <e v="#REF!"/>
  </r>
  <r>
    <s v="645300"/>
    <x v="6"/>
    <s v="COTISATIONS AUX CAISSES DE RETRAITE"/>
    <s v="SA"/>
    <n v="-45.48"/>
    <d v="2025-04-30T00:00:00"/>
    <s v="RÉDUCT. GÉNÉRALE DES COTISAT. PAT. RETRAITE"/>
    <m/>
    <e v="#N/A"/>
    <e v="#N/A"/>
    <n v="80446"/>
    <s v="SA202504"/>
    <m/>
    <s v="Q2"/>
    <e v="#REF!"/>
    <e v="#REF!"/>
    <e v="#REF!"/>
  </r>
  <r>
    <s v="645300"/>
    <x v="6"/>
    <s v="COTISATIONS AUX CAISSES DE RETRAITE"/>
    <s v="SA"/>
    <n v="-28.97"/>
    <d v="2025-08-31T00:00:00"/>
    <s v="RÉDUCT. GÉNÉRALE DES COTISAT. PAT. RETRAITE"/>
    <m/>
    <e v="#N/A"/>
    <e v="#N/A"/>
    <n v="84051"/>
    <s v="SA202508"/>
    <m/>
    <s v="Q3"/>
    <e v="#REF!"/>
    <e v="#REF!"/>
    <e v="#REF!"/>
  </r>
  <r>
    <s v="645300"/>
    <x v="6"/>
    <s v="COTISATIONS AUX CAISSES DE RETRAITE"/>
    <s v="SA"/>
    <n v="-5.23"/>
    <d v="2025-02-28T00:00:00"/>
    <s v="RÉDUCT. GÉNÉRALE DES COTISAT. PAT. RETRAITE"/>
    <m/>
    <e v="#N/A"/>
    <e v="#N/A"/>
    <n v="85338"/>
    <s v="SA202502"/>
    <m/>
    <s v="Q1"/>
    <e v="#REF!"/>
    <e v="#REF!"/>
    <e v="#REF!"/>
  </r>
  <r>
    <s v="645300"/>
    <x v="6"/>
    <s v="COTISATIONS AUX CAISSES DE RETRAITE"/>
    <s v="SA"/>
    <n v="-1.1499999999999999"/>
    <d v="2025-02-28T00:00:00"/>
    <s v="RÉDUCT. GÉNÉRALE DES COTISAT. PAT. RETRAITE"/>
    <m/>
    <e v="#N/A"/>
    <e v="#N/A"/>
    <n v="85347"/>
    <s v="SA202502"/>
    <m/>
    <s v="Q1"/>
    <e v="#REF!"/>
    <e v="#REF!"/>
    <e v="#REF!"/>
  </r>
  <r>
    <s v="645300"/>
    <x v="6"/>
    <s v="COTISATIONS AUX CAISSES DE RETRAITE"/>
    <s v="SA"/>
    <n v="0.95"/>
    <d v="2025-01-31T00:00:00"/>
    <s v="APEC TRB"/>
    <m/>
    <e v="#N/A"/>
    <e v="#N/A"/>
    <n v="85521"/>
    <s v="SA202501"/>
    <m/>
    <s v="Q1"/>
    <e v="#REF!"/>
    <e v="#REF!"/>
    <e v="#REF!"/>
  </r>
  <r>
    <s v="645300"/>
    <x v="6"/>
    <s v="COTISATIONS AUX CAISSES DE RETRAITE"/>
    <s v="SA"/>
    <n v="0.98"/>
    <d v="2025-03-31T00:00:00"/>
    <s v="APEC TRB"/>
    <m/>
    <e v="#N/A"/>
    <e v="#N/A"/>
    <n v="80630"/>
    <s v="SA202503"/>
    <m/>
    <s v="Q1"/>
    <e v="#REF!"/>
    <e v="#REF!"/>
    <e v="#REF!"/>
  </r>
  <r>
    <s v="645300"/>
    <x v="6"/>
    <s v="COTISATIONS AUX CAISSES DE RETRAITE"/>
    <s v="SA"/>
    <n v="0.98"/>
    <d v="2025-04-30T00:00:00"/>
    <s v="APEC TRB"/>
    <m/>
    <e v="#N/A"/>
    <e v="#N/A"/>
    <n v="80457"/>
    <s v="SA202504"/>
    <m/>
    <s v="Q2"/>
    <e v="#REF!"/>
    <e v="#REF!"/>
    <e v="#REF!"/>
  </r>
  <r>
    <s v="645300"/>
    <x v="6"/>
    <s v="COTISATIONS AUX CAISSES DE RETRAITE"/>
    <s v="SA"/>
    <n v="0.98"/>
    <d v="2025-06-30T00:00:00"/>
    <s v="APEC TRB"/>
    <m/>
    <e v="#N/A"/>
    <e v="#N/A"/>
    <n v="80119"/>
    <s v="SA202506"/>
    <m/>
    <s v="Q2"/>
    <e v="#REF!"/>
    <e v="#REF!"/>
    <e v="#REF!"/>
  </r>
  <r>
    <s v="645300"/>
    <x v="6"/>
    <s v="COTISATIONS AUX CAISSES DE RETRAITE"/>
    <s v="SA"/>
    <n v="0.98"/>
    <d v="2025-07-31T00:00:00"/>
    <s v="APEC TRB"/>
    <m/>
    <e v="#N/A"/>
    <e v="#N/A"/>
    <n v="79947"/>
    <s v="SA202507"/>
    <m/>
    <s v="Q3"/>
    <e v="#REF!"/>
    <e v="#REF!"/>
    <e v="#REF!"/>
  </r>
  <r>
    <s v="645300"/>
    <x v="6"/>
    <s v="COTISATIONS AUX CAISSES DE RETRAITE"/>
    <s v="SA"/>
    <n v="0.98"/>
    <d v="2025-08-31T00:00:00"/>
    <s v="APEC TRB"/>
    <m/>
    <e v="#N/A"/>
    <e v="#N/A"/>
    <n v="84062"/>
    <s v="SA202508"/>
    <m/>
    <s v="Q3"/>
    <e v="#REF!"/>
    <e v="#REF!"/>
    <e v="#REF!"/>
  </r>
  <r>
    <s v="645300"/>
    <x v="6"/>
    <s v="COTISATIONS AUX CAISSES DE RETRAITE"/>
    <s v="SA"/>
    <n v="0.98"/>
    <d v="2025-09-30T00:00:00"/>
    <s v="APEC TRB"/>
    <m/>
    <e v="#N/A"/>
    <e v="#N/A"/>
    <n v="84236"/>
    <s v="SA202509"/>
    <m/>
    <s v="Q3"/>
    <e v="#REF!"/>
    <e v="#REF!"/>
    <e v="#REF!"/>
  </r>
  <r>
    <s v="645300"/>
    <x v="6"/>
    <s v="COTISATIONS AUX CAISSES DE RETRAITE"/>
    <s v="SA"/>
    <n v="0.98"/>
    <d v="2025-11-30T00:00:00"/>
    <s v="APEC TRB"/>
    <m/>
    <e v="#N/A"/>
    <e v="#N/A"/>
    <n v="92409"/>
    <s v="SA202511"/>
    <m/>
    <s v="Q4"/>
    <e v="#REF!"/>
    <e v="#REF!"/>
    <e v="#REF!"/>
  </r>
  <r>
    <s v="645300"/>
    <x v="6"/>
    <s v="COTISATIONS AUX CAISSES DE RETRAITE"/>
    <s v="SA"/>
    <n v="0.98"/>
    <d v="2025-12-31T00:00:00"/>
    <s v="APEC TRB"/>
    <m/>
    <e v="#N/A"/>
    <e v="#N/A"/>
    <n v="92872"/>
    <s v="SA202512"/>
    <m/>
    <s v="Q4"/>
    <e v="#REF!"/>
    <e v="#REF!"/>
    <e v="#REF!"/>
  </r>
  <r>
    <s v="645300"/>
    <x v="6"/>
    <s v="COTISATIONS AUX CAISSES DE RETRAITE"/>
    <s v="SA"/>
    <n v="1"/>
    <d v="2025-05-31T00:00:00"/>
    <s v="APEC TRB"/>
    <m/>
    <e v="#N/A"/>
    <e v="#N/A"/>
    <n v="80287"/>
    <s v="SA202505"/>
    <m/>
    <s v="Q2"/>
    <e v="#REF!"/>
    <e v="#REF!"/>
    <e v="#REF!"/>
  </r>
  <r>
    <s v="645300"/>
    <x v="6"/>
    <s v="COTISATIONS AUX CAISSES DE RETRAITE"/>
    <s v="SA"/>
    <n v="1.62"/>
    <d v="2025-10-31T00:00:00"/>
    <s v="APEC TRB"/>
    <m/>
    <e v="#N/A"/>
    <e v="#N/A"/>
    <n v="87902"/>
    <s v="SA202510"/>
    <m/>
    <s v="Q4"/>
    <e v="#REF!"/>
    <e v="#REF!"/>
    <e v="#REF!"/>
  </r>
  <r>
    <s v="645300"/>
    <x v="6"/>
    <s v="COTISATIONS AUX CAISSES DE RETRAITE"/>
    <s v="SA"/>
    <n v="2.63"/>
    <d v="2025-01-31T00:00:00"/>
    <s v="APEC TRB"/>
    <m/>
    <e v="#N/A"/>
    <e v="#N/A"/>
    <n v="85512"/>
    <s v="SA202501"/>
    <m/>
    <s v="Q1"/>
    <e v="#REF!"/>
    <e v="#REF!"/>
    <e v="#REF!"/>
  </r>
  <r>
    <s v="645300"/>
    <x v="6"/>
    <s v="COTISATIONS AUX CAISSES DE RETRAITE"/>
    <s v="SA"/>
    <n v="3.41"/>
    <d v="2025-06-30T00:00:00"/>
    <s v="APEC TRB"/>
    <m/>
    <e v="#N/A"/>
    <e v="#N/A"/>
    <n v="80110"/>
    <s v="SA202506"/>
    <m/>
    <s v="Q2"/>
    <e v="#REF!"/>
    <e v="#REF!"/>
    <e v="#REF!"/>
  </r>
  <r>
    <s v="645300"/>
    <x v="6"/>
    <s v="COTISATIONS AUX CAISSES DE RETRAITE"/>
    <s v="SA"/>
    <n v="3.52"/>
    <d v="2025-01-31T00:00:00"/>
    <s v="APEC TRA"/>
    <m/>
    <e v="#N/A"/>
    <e v="#N/A"/>
    <n v="85520"/>
    <s v="SA202501"/>
    <m/>
    <s v="Q1"/>
    <e v="#REF!"/>
    <e v="#REF!"/>
    <e v="#REF!"/>
  </r>
  <r>
    <s v="645300"/>
    <x v="6"/>
    <s v="COTISATIONS AUX CAISSES DE RETRAITE"/>
    <s v="SA"/>
    <n v="3.59"/>
    <d v="2025-03-31T00:00:00"/>
    <s v="APEC TRA"/>
    <m/>
    <e v="#N/A"/>
    <e v="#N/A"/>
    <n v="80629"/>
    <s v="SA202503"/>
    <m/>
    <s v="Q1"/>
    <e v="#REF!"/>
    <e v="#REF!"/>
    <e v="#REF!"/>
  </r>
  <r>
    <s v="645300"/>
    <x v="6"/>
    <s v="COTISATIONS AUX CAISSES DE RETRAITE"/>
    <s v="SA"/>
    <n v="3.59"/>
    <d v="2025-04-30T00:00:00"/>
    <s v="APEC TRA"/>
    <m/>
    <e v="#N/A"/>
    <e v="#N/A"/>
    <n v="80456"/>
    <s v="SA202504"/>
    <m/>
    <s v="Q2"/>
    <e v="#REF!"/>
    <e v="#REF!"/>
    <e v="#REF!"/>
  </r>
  <r>
    <s v="645300"/>
    <x v="6"/>
    <s v="COTISATIONS AUX CAISSES DE RETRAITE"/>
    <s v="SA"/>
    <n v="3.59"/>
    <d v="2025-05-31T00:00:00"/>
    <s v="APEC TRA"/>
    <m/>
    <e v="#N/A"/>
    <e v="#N/A"/>
    <n v="80286"/>
    <s v="SA202505"/>
    <m/>
    <s v="Q2"/>
    <e v="#REF!"/>
    <e v="#REF!"/>
    <e v="#REF!"/>
  </r>
  <r>
    <s v="645300"/>
    <x v="6"/>
    <s v="COTISATIONS AUX CAISSES DE RETRAITE"/>
    <s v="SA"/>
    <n v="3.59"/>
    <d v="2025-06-30T00:00:00"/>
    <s v="APEC TRA"/>
    <m/>
    <e v="#N/A"/>
    <e v="#N/A"/>
    <n v="80118"/>
    <s v="SA202506"/>
    <m/>
    <s v="Q2"/>
    <e v="#REF!"/>
    <e v="#REF!"/>
    <e v="#REF!"/>
  </r>
  <r>
    <s v="645300"/>
    <x v="6"/>
    <s v="COTISATIONS AUX CAISSES DE RETRAITE"/>
    <s v="SA"/>
    <n v="3.59"/>
    <d v="2025-07-31T00:00:00"/>
    <s v="APEC TRA"/>
    <m/>
    <e v="#N/A"/>
    <e v="#N/A"/>
    <n v="79946"/>
    <s v="SA202507"/>
    <m/>
    <s v="Q3"/>
    <e v="#REF!"/>
    <e v="#REF!"/>
    <e v="#REF!"/>
  </r>
  <r>
    <s v="645300"/>
    <x v="6"/>
    <s v="COTISATIONS AUX CAISSES DE RETRAITE"/>
    <s v="SA"/>
    <n v="3.59"/>
    <d v="2025-08-31T00:00:00"/>
    <s v="APEC TRA"/>
    <m/>
    <e v="#N/A"/>
    <e v="#N/A"/>
    <n v="84061"/>
    <s v="SA202508"/>
    <m/>
    <s v="Q3"/>
    <e v="#REF!"/>
    <e v="#REF!"/>
    <e v="#REF!"/>
  </r>
  <r>
    <s v="645300"/>
    <x v="6"/>
    <s v="COTISATIONS AUX CAISSES DE RETRAITE"/>
    <s v="SA"/>
    <n v="3.59"/>
    <d v="2025-09-30T00:00:00"/>
    <s v="APEC TRA"/>
    <m/>
    <e v="#N/A"/>
    <e v="#N/A"/>
    <n v="84235"/>
    <s v="SA202509"/>
    <m/>
    <s v="Q3"/>
    <e v="#REF!"/>
    <e v="#REF!"/>
    <e v="#REF!"/>
  </r>
  <r>
    <s v="645300"/>
    <x v="6"/>
    <s v="COTISATIONS AUX CAISSES DE RETRAITE"/>
    <s v="SA"/>
    <n v="3.59"/>
    <d v="2025-10-31T00:00:00"/>
    <s v="APEC TRA"/>
    <m/>
    <e v="#N/A"/>
    <e v="#N/A"/>
    <n v="87901"/>
    <s v="SA202510"/>
    <m/>
    <s v="Q4"/>
    <e v="#REF!"/>
    <e v="#REF!"/>
    <e v="#REF!"/>
  </r>
  <r>
    <s v="645300"/>
    <x v="6"/>
    <s v="COTISATIONS AUX CAISSES DE RETRAITE"/>
    <s v="SA"/>
    <n v="3.59"/>
    <d v="2025-11-30T00:00:00"/>
    <s v="APEC TRA"/>
    <m/>
    <e v="#N/A"/>
    <e v="#N/A"/>
    <n v="92408"/>
    <s v="SA202511"/>
    <m/>
    <s v="Q4"/>
    <e v="#REF!"/>
    <e v="#REF!"/>
    <e v="#REF!"/>
  </r>
  <r>
    <s v="645300"/>
    <x v="6"/>
    <s v="COTISATIONS AUX CAISSES DE RETRAITE"/>
    <s v="SA"/>
    <n v="3.59"/>
    <d v="2025-12-31T00:00:00"/>
    <s v="APEC TRA"/>
    <m/>
    <e v="#N/A"/>
    <e v="#N/A"/>
    <n v="92871"/>
    <s v="SA202512"/>
    <m/>
    <s v="Q4"/>
    <e v="#REF!"/>
    <e v="#REF!"/>
    <e v="#REF!"/>
  </r>
  <r>
    <s v="645300"/>
    <x v="6"/>
    <s v="COTISATIONS AUX CAISSES DE RETRAITE"/>
    <s v="SA"/>
    <n v="3.66"/>
    <d v="2025-02-28T00:00:00"/>
    <s v="APEC TRA"/>
    <m/>
    <e v="#N/A"/>
    <e v="#N/A"/>
    <n v="85348"/>
    <s v="SA202502"/>
    <m/>
    <s v="Q1"/>
    <e v="#REF!"/>
    <e v="#REF!"/>
    <e v="#REF!"/>
  </r>
  <r>
    <s v="645300"/>
    <x v="6"/>
    <s v="COTISATIONS AUX CAISSES DE RETRAITE"/>
    <s v="SA"/>
    <n v="3.76"/>
    <d v="2025-01-31T00:00:00"/>
    <s v="APEC TRB"/>
    <m/>
    <e v="#N/A"/>
    <e v="#N/A"/>
    <n v="85503"/>
    <s v="SA202501"/>
    <m/>
    <s v="Q1"/>
    <e v="#REF!"/>
    <e v="#REF!"/>
    <e v="#REF!"/>
  </r>
  <r>
    <s v="645300"/>
    <x v="6"/>
    <s v="COTISATIONS AUX CAISSES DE RETRAITE"/>
    <s v="SA"/>
    <n v="3.79"/>
    <d v="2025-10-31T00:00:00"/>
    <s v="APEC TRB"/>
    <m/>
    <e v="#N/A"/>
    <e v="#N/A"/>
    <n v="87893"/>
    <s v="SA202510"/>
    <m/>
    <s v="Q4"/>
    <e v="#REF!"/>
    <e v="#REF!"/>
    <e v="#REF!"/>
  </r>
  <r>
    <s v="645300"/>
    <x v="6"/>
    <s v="COTISATIONS AUX CAISSES DE RETRAITE"/>
    <s v="SA"/>
    <n v="3.88"/>
    <d v="2025-12-31T00:00:00"/>
    <s v="APEC TRB"/>
    <m/>
    <e v="#N/A"/>
    <e v="#N/A"/>
    <n v="92863"/>
    <s v="SA202512"/>
    <m/>
    <s v="Q4"/>
    <e v="#REF!"/>
    <e v="#REF!"/>
    <e v="#REF!"/>
  </r>
  <r>
    <s v="645300"/>
    <x v="6"/>
    <s v="COTISATIONS AUX CAISSES DE RETRAITE"/>
    <s v="SA"/>
    <n v="4.04"/>
    <d v="2025-05-31T00:00:00"/>
    <s v="APEC TRB"/>
    <m/>
    <e v="#N/A"/>
    <e v="#N/A"/>
    <n v="80278"/>
    <s v="SA202505"/>
    <m/>
    <s v="Q2"/>
    <e v="#REF!"/>
    <e v="#REF!"/>
    <e v="#REF!"/>
  </r>
  <r>
    <s v="645300"/>
    <x v="6"/>
    <s v="COTISATIONS AUX CAISSES DE RETRAITE"/>
    <s v="SA"/>
    <n v="4.1100000000000003"/>
    <d v="2025-02-28T00:00:00"/>
    <s v="APEC TRB"/>
    <m/>
    <e v="#N/A"/>
    <e v="#N/A"/>
    <n v="85349"/>
    <s v="SA202502"/>
    <m/>
    <s v="Q1"/>
    <e v="#REF!"/>
    <e v="#REF!"/>
    <e v="#REF!"/>
  </r>
  <r>
    <s v="645300"/>
    <x v="6"/>
    <s v="COTISATIONS AUX CAISSES DE RETRAITE"/>
    <s v="SA"/>
    <n v="4.26"/>
    <d v="2025-07-31T00:00:00"/>
    <s v="APEC TRB"/>
    <m/>
    <e v="#N/A"/>
    <e v="#N/A"/>
    <n v="79938"/>
    <s v="SA202507"/>
    <m/>
    <s v="Q3"/>
    <e v="#REF!"/>
    <e v="#REF!"/>
    <e v="#REF!"/>
  </r>
  <r>
    <s v="645300"/>
    <x v="6"/>
    <s v="COTISATIONS AUX CAISSES DE RETRAITE"/>
    <s v="SA"/>
    <n v="4.3499999999999996"/>
    <d v="2025-11-30T00:00:00"/>
    <s v="APEC TRB"/>
    <m/>
    <e v="#N/A"/>
    <e v="#N/A"/>
    <n v="92400"/>
    <s v="SA202511"/>
    <m/>
    <s v="Q4"/>
    <e v="#REF!"/>
    <e v="#REF!"/>
    <e v="#REF!"/>
  </r>
  <r>
    <s v="645300"/>
    <x v="6"/>
    <s v="COTISATIONS AUX CAISSES DE RETRAITE"/>
    <s v="SA"/>
    <n v="4.3600000000000003"/>
    <d v="2025-09-30T00:00:00"/>
    <s v="APEC TRB"/>
    <m/>
    <e v="#N/A"/>
    <e v="#N/A"/>
    <n v="84227"/>
    <s v="SA202509"/>
    <m/>
    <s v="Q3"/>
    <e v="#REF!"/>
    <e v="#REF!"/>
    <e v="#REF!"/>
  </r>
  <r>
    <s v="645300"/>
    <x v="6"/>
    <s v="COTISATIONS AUX CAISSES DE RETRAITE"/>
    <s v="SA"/>
    <n v="4.4000000000000004"/>
    <d v="2025-10-31T00:00:00"/>
    <s v="APEC TRB"/>
    <m/>
    <e v="#N/A"/>
    <e v="#N/A"/>
    <n v="87884"/>
    <s v="SA202510"/>
    <m/>
    <s v="Q4"/>
    <e v="#REF!"/>
    <e v="#REF!"/>
    <e v="#REF!"/>
  </r>
  <r>
    <s v="645300"/>
    <x v="6"/>
    <s v="COTISATIONS AUX CAISSES DE RETRAITE"/>
    <s v="SA"/>
    <n v="4.41"/>
    <d v="2025-07-31T00:00:00"/>
    <s v="APEC TRB"/>
    <m/>
    <e v="#N/A"/>
    <e v="#N/A"/>
    <n v="79929"/>
    <s v="SA202507"/>
    <m/>
    <s v="Q3"/>
    <e v="#REF!"/>
    <e v="#REF!"/>
    <e v="#REF!"/>
  </r>
  <r>
    <s v="645300"/>
    <x v="6"/>
    <s v="COTISATIONS AUX CAISSES DE RETRAITE"/>
    <s v="SA"/>
    <n v="4.43"/>
    <d v="2025-12-31T00:00:00"/>
    <s v="APEC TRB"/>
    <m/>
    <e v="#N/A"/>
    <e v="#N/A"/>
    <n v="92854"/>
    <s v="SA202512"/>
    <m/>
    <s v="Q4"/>
    <e v="#REF!"/>
    <e v="#REF!"/>
    <e v="#REF!"/>
  </r>
  <r>
    <s v="645300"/>
    <x v="6"/>
    <s v="COTISATIONS AUX CAISSES DE RETRAITE"/>
    <s v="SA"/>
    <n v="4.4800000000000004"/>
    <d v="2025-11-30T00:00:00"/>
    <s v="APEC TRB"/>
    <m/>
    <e v="#N/A"/>
    <e v="#N/A"/>
    <n v="92391"/>
    <s v="SA202511"/>
    <m/>
    <s v="Q4"/>
    <e v="#REF!"/>
    <e v="#REF!"/>
    <e v="#REF!"/>
  </r>
  <r>
    <s v="645300"/>
    <x v="6"/>
    <s v="COTISATIONS AUX CAISSES DE RETRAITE"/>
    <s v="SA"/>
    <n v="4.51"/>
    <d v="2025-08-31T00:00:00"/>
    <s v="APEC TRB"/>
    <m/>
    <e v="#N/A"/>
    <e v="#N/A"/>
    <n v="84044"/>
    <s v="SA202508"/>
    <m/>
    <s v="Q3"/>
    <e v="#REF!"/>
    <e v="#REF!"/>
    <e v="#REF!"/>
  </r>
  <r>
    <s v="645300"/>
    <x v="6"/>
    <s v="COTISATIONS AUX CAISSES DE RETRAITE"/>
    <s v="SA"/>
    <n v="4.53"/>
    <d v="2025-07-31T00:00:00"/>
    <s v="APEC TRB"/>
    <m/>
    <e v="#N/A"/>
    <e v="#N/A"/>
    <n v="79921"/>
    <s v="SA202507"/>
    <m/>
    <s v="Q3"/>
    <e v="#REF!"/>
    <e v="#REF!"/>
    <e v="#REF!"/>
  </r>
  <r>
    <s v="645300"/>
    <x v="6"/>
    <s v="COTISATIONS AUX CAISSES DE RETRAITE"/>
    <s v="SA"/>
    <n v="4.6399999999999997"/>
    <d v="2025-08-31T00:00:00"/>
    <s v="APEC TRB"/>
    <m/>
    <e v="#N/A"/>
    <e v="#N/A"/>
    <n v="84053"/>
    <s v="SA202508"/>
    <m/>
    <s v="Q3"/>
    <e v="#REF!"/>
    <e v="#REF!"/>
    <e v="#REF!"/>
  </r>
  <r>
    <s v="645300"/>
    <x v="6"/>
    <s v="COTISATIONS AUX CAISSES DE RETRAITE"/>
    <s v="SA"/>
    <n v="4.67"/>
    <d v="2025-05-31T00:00:00"/>
    <s v="APEC TRB"/>
    <m/>
    <e v="#N/A"/>
    <e v="#N/A"/>
    <n v="80269"/>
    <s v="SA202505"/>
    <m/>
    <s v="Q2"/>
    <e v="#REF!"/>
    <e v="#REF!"/>
    <e v="#REF!"/>
  </r>
  <r>
    <s v="645300"/>
    <x v="6"/>
    <s v="COTISATIONS AUX CAISSES DE RETRAITE"/>
    <s v="SA"/>
    <n v="4.88"/>
    <d v="2025-03-31T00:00:00"/>
    <s v="APEC TRB"/>
    <m/>
    <e v="#N/A"/>
    <e v="#N/A"/>
    <n v="80621"/>
    <s v="SA202503"/>
    <m/>
    <s v="Q1"/>
    <e v="#REF!"/>
    <e v="#REF!"/>
    <e v="#REF!"/>
  </r>
  <r>
    <s v="645300"/>
    <x v="6"/>
    <s v="COTISATIONS AUX CAISSES DE RETRAITE"/>
    <s v="SA"/>
    <n v="5"/>
    <d v="2025-04-30T00:00:00"/>
    <s v="APEC TRB"/>
    <m/>
    <e v="#N/A"/>
    <e v="#N/A"/>
    <n v="80431"/>
    <s v="SA202504"/>
    <m/>
    <s v="Q2"/>
    <e v="#REF!"/>
    <e v="#REF!"/>
    <e v="#REF!"/>
  </r>
  <r>
    <s v="645300"/>
    <x v="6"/>
    <s v="COTISATIONS AUX CAISSES DE RETRAITE"/>
    <s v="SA"/>
    <n v="5.01"/>
    <d v="2025-09-30T00:00:00"/>
    <s v="APEC TRB"/>
    <m/>
    <e v="#N/A"/>
    <e v="#N/A"/>
    <n v="84218"/>
    <s v="SA202509"/>
    <m/>
    <s v="Q3"/>
    <e v="#REF!"/>
    <e v="#REF!"/>
    <e v="#REF!"/>
  </r>
  <r>
    <s v="645300"/>
    <x v="6"/>
    <s v="COTISATIONS AUX CAISSES DE RETRAITE"/>
    <s v="SA"/>
    <n v="5.2"/>
    <d v="2025-03-31T00:00:00"/>
    <s v="APEC TRB"/>
    <m/>
    <e v="#N/A"/>
    <e v="#N/A"/>
    <n v="80612"/>
    <s v="SA202503"/>
    <m/>
    <s v="Q1"/>
    <e v="#REF!"/>
    <e v="#REF!"/>
    <e v="#REF!"/>
  </r>
  <r>
    <s v="645300"/>
    <x v="6"/>
    <s v="COTISATIONS AUX CAISSES DE RETRAITE"/>
    <s v="SA"/>
    <n v="5.3"/>
    <d v="2025-04-30T00:00:00"/>
    <s v="APEC TRB"/>
    <m/>
    <e v="#N/A"/>
    <e v="#N/A"/>
    <n v="80448"/>
    <s v="SA202504"/>
    <m/>
    <s v="Q2"/>
    <e v="#REF!"/>
    <e v="#REF!"/>
    <e v="#REF!"/>
  </r>
  <r>
    <s v="645300"/>
    <x v="6"/>
    <s v="COTISATIONS AUX CAISSES DE RETRAITE"/>
    <s v="SA"/>
    <n v="5.3"/>
    <d v="2025-05-31T00:00:00"/>
    <s v="APEC TRB"/>
    <m/>
    <e v="#N/A"/>
    <e v="#N/A"/>
    <n v="80261"/>
    <s v="SA202505"/>
    <m/>
    <s v="Q2"/>
    <e v="#REF!"/>
    <e v="#REF!"/>
    <e v="#REF!"/>
  </r>
  <r>
    <s v="645300"/>
    <x v="6"/>
    <s v="COTISATIONS AUX CAISSES DE RETRAITE"/>
    <s v="SA"/>
    <n v="5.33"/>
    <d v="2025-04-30T00:00:00"/>
    <s v="APEC TRB"/>
    <m/>
    <e v="#N/A"/>
    <e v="#N/A"/>
    <n v="80439"/>
    <s v="SA202504"/>
    <m/>
    <s v="Q2"/>
    <e v="#REF!"/>
    <e v="#REF!"/>
    <e v="#REF!"/>
  </r>
  <r>
    <s v="645300"/>
    <x v="6"/>
    <s v="COTISATIONS AUX CAISSES DE RETRAITE"/>
    <s v="SA"/>
    <n v="5.45"/>
    <d v="2025-09-30T00:00:00"/>
    <s v="APEC TRA"/>
    <m/>
    <e v="#N/A"/>
    <e v="#N/A"/>
    <n v="84209"/>
    <s v="SA202509"/>
    <m/>
    <s v="Q3"/>
    <e v="#REF!"/>
    <e v="#REF!"/>
    <e v="#REF!"/>
  </r>
  <r>
    <s v="645300"/>
    <x v="6"/>
    <s v="COTISATIONS AUX CAISSES DE RETRAITE"/>
    <s v="SA"/>
    <n v="5.52"/>
    <d v="2025-03-31T00:00:00"/>
    <s v="APEC TRA"/>
    <m/>
    <e v="#N/A"/>
    <e v="#N/A"/>
    <n v="80603"/>
    <s v="SA202503"/>
    <m/>
    <s v="Q1"/>
    <e v="#REF!"/>
    <e v="#REF!"/>
    <e v="#REF!"/>
  </r>
  <r>
    <s v="645300"/>
    <x v="6"/>
    <s v="COTISATIONS AUX CAISSES DE RETRAITE"/>
    <s v="SA"/>
    <n v="5.52"/>
    <d v="2025-04-30T00:00:00"/>
    <s v="APEC TRA"/>
    <m/>
    <e v="#N/A"/>
    <e v="#N/A"/>
    <n v="80430"/>
    <s v="SA202504"/>
    <m/>
    <s v="Q2"/>
    <e v="#REF!"/>
    <e v="#REF!"/>
    <e v="#REF!"/>
  </r>
  <r>
    <s v="645300"/>
    <x v="6"/>
    <s v="COTISATIONS AUX CAISSES DE RETRAITE"/>
    <s v="SA"/>
    <n v="5.52"/>
    <d v="2025-05-31T00:00:00"/>
    <s v="APEC TRA"/>
    <m/>
    <e v="#N/A"/>
    <e v="#N/A"/>
    <n v="80260"/>
    <s v="SA202505"/>
    <m/>
    <s v="Q2"/>
    <e v="#REF!"/>
    <e v="#REF!"/>
    <e v="#REF!"/>
  </r>
  <r>
    <s v="645300"/>
    <x v="6"/>
    <s v="COTISATIONS AUX CAISSES DE RETRAITE"/>
    <s v="SA"/>
    <n v="29.2"/>
    <d v="2025-09-30T00:00:00"/>
    <s v="CONTRIBUTION D'EQUILIBRE TECHNIQUE TU2"/>
    <m/>
    <e v="#N/A"/>
    <e v="#N/A"/>
    <n v="84222"/>
    <s v="SA202509"/>
    <m/>
    <s v="Q3"/>
    <e v="#REF!"/>
    <e v="#REF!"/>
    <e v="#REF!"/>
  </r>
  <r>
    <s v="645300"/>
    <x v="6"/>
    <s v="COTISATIONS AUX CAISSES DE RETRAITE"/>
    <s v="SA"/>
    <n v="5.6"/>
    <d v="2025-08-31T00:00:00"/>
    <s v="APEC TRA"/>
    <m/>
    <e v="#N/A"/>
    <e v="#N/A"/>
    <n v="84035"/>
    <s v="SA202508"/>
    <m/>
    <s v="Q3"/>
    <e v="#REF!"/>
    <e v="#REF!"/>
    <e v="#REF!"/>
  </r>
  <r>
    <s v="645300"/>
    <x v="6"/>
    <s v="COTISATIONS AUX CAISSES DE RETRAITE"/>
    <s v="SA"/>
    <n v="5.64"/>
    <d v="2025-10-31T00:00:00"/>
    <s v="APEC TRA"/>
    <m/>
    <e v="#N/A"/>
    <e v="#N/A"/>
    <n v="87875"/>
    <s v="SA202510"/>
    <m/>
    <s v="Q4"/>
    <e v="#REF!"/>
    <e v="#REF!"/>
    <e v="#REF!"/>
  </r>
  <r>
    <s v="645300"/>
    <x v="6"/>
    <s v="COTISATIONS AUX CAISSES DE RETRAITE"/>
    <s v="SA"/>
    <n v="5.64"/>
    <d v="2025-11-30T00:00:00"/>
    <s v="APEC TRA"/>
    <m/>
    <e v="#N/A"/>
    <e v="#N/A"/>
    <n v="92382"/>
    <s v="SA202511"/>
    <m/>
    <s v="Q4"/>
    <e v="#REF!"/>
    <e v="#REF!"/>
    <e v="#REF!"/>
  </r>
  <r>
    <s v="645300"/>
    <x v="6"/>
    <s v="COTISATIONS AUX CAISSES DE RETRAITE"/>
    <s v="SA"/>
    <n v="5.64"/>
    <d v="2025-12-31T00:00:00"/>
    <s v="APEC TRA"/>
    <m/>
    <e v="#N/A"/>
    <e v="#N/A"/>
    <n v="92845"/>
    <s v="SA202512"/>
    <m/>
    <s v="Q4"/>
    <e v="#REF!"/>
    <e v="#REF!"/>
    <e v="#REF!"/>
  </r>
  <r>
    <s v="645300"/>
    <x v="6"/>
    <s v="COTISATIONS AUX CAISSES DE RETRAITE"/>
    <s v="SA"/>
    <n v="30.24"/>
    <d v="2025-04-30T00:00:00"/>
    <s v="CONTRIBUTION D'EQUILIBRE TECHNIQUE TU2"/>
    <m/>
    <e v="#N/A"/>
    <e v="#N/A"/>
    <n v="80452"/>
    <s v="SA202504"/>
    <m/>
    <s v="Q2"/>
    <e v="#REF!"/>
    <e v="#REF!"/>
    <e v="#REF!"/>
  </r>
  <r>
    <s v="645300"/>
    <x v="6"/>
    <s v="COTISATIONS AUX CAISSES DE RETRAITE"/>
    <s v="SA"/>
    <n v="30.91"/>
    <d v="2025-05-31T00:00:00"/>
    <s v="CONTRIBUTION D'EQUILIBRE TECHNIQUE TU2"/>
    <m/>
    <e v="#N/A"/>
    <e v="#N/A"/>
    <n v="80265"/>
    <s v="SA202505"/>
    <m/>
    <s v="Q2"/>
    <e v="#REF!"/>
    <e v="#REF!"/>
    <e v="#REF!"/>
  </r>
  <r>
    <s v="645300"/>
    <x v="6"/>
    <s v="COTISATIONS AUX CAISSES DE RETRAITE"/>
    <s v="SA"/>
    <n v="31.13"/>
    <d v="2025-04-30T00:00:00"/>
    <s v="CONTRIBUTION D'EQUILIBRE TECHNIQUE TU2"/>
    <m/>
    <e v="#N/A"/>
    <e v="#N/A"/>
    <n v="80443"/>
    <s v="SA202504"/>
    <m/>
    <s v="Q2"/>
    <e v="#REF!"/>
    <e v="#REF!"/>
    <e v="#REF!"/>
  </r>
  <r>
    <s v="645300"/>
    <x v="6"/>
    <s v="COTISATIONS AUX CAISSES DE RETRAITE"/>
    <s v="SA"/>
    <n v="33.4"/>
    <d v="2025-09-30T00:00:00"/>
    <s v="CONTRIBUTION D'EQUILIBRE TECHNIQUE TU2"/>
    <m/>
    <e v="#N/A"/>
    <e v="#N/A"/>
    <n v="84214"/>
    <s v="SA202509"/>
    <m/>
    <s v="Q3"/>
    <e v="#REF!"/>
    <e v="#REF!"/>
    <e v="#REF!"/>
  </r>
  <r>
    <s v="645300"/>
    <x v="6"/>
    <s v="COTISATIONS AUX CAISSES DE RETRAITE"/>
    <s v="SA"/>
    <n v="34.89"/>
    <d v="2025-10-31T00:00:00"/>
    <s v="CONTRIBUTION D'EQUILIBRE TECHNIQUE TU2"/>
    <m/>
    <e v="#N/A"/>
    <e v="#N/A"/>
    <n v="87880"/>
    <s v="SA202510"/>
    <m/>
    <s v="Q4"/>
    <e v="#REF!"/>
    <e v="#REF!"/>
    <e v="#REF!"/>
  </r>
  <r>
    <s v="645300"/>
    <x v="6"/>
    <s v="COTISATIONS AUX CAISSES DE RETRAITE"/>
    <s v="SA"/>
    <n v="34.99"/>
    <d v="2025-11-30T00:00:00"/>
    <s v="CONTRIBUTION D'EQUILIBRE TECHNIQUE TU2"/>
    <m/>
    <e v="#N/A"/>
    <e v="#N/A"/>
    <n v="92387"/>
    <s v="SA202511"/>
    <m/>
    <s v="Q4"/>
    <e v="#REF!"/>
    <e v="#REF!"/>
    <e v="#REF!"/>
  </r>
  <r>
    <s v="645300"/>
    <x v="6"/>
    <s v="COTISATIONS AUX CAISSES DE RETRAITE"/>
    <s v="SA"/>
    <n v="35.159999999999997"/>
    <d v="2025-06-30T00:00:00"/>
    <s v="CONTRIBUTION D'EQUILIBRE TECHNIQUE TU2"/>
    <m/>
    <e v="#N/A"/>
    <e v="#N/A"/>
    <n v="80097"/>
    <s v="SA202506"/>
    <m/>
    <s v="Q2"/>
    <e v="#REF!"/>
    <e v="#REF!"/>
    <e v="#REF!"/>
  </r>
  <r>
    <s v="645300"/>
    <x v="6"/>
    <s v="COTISATIONS AUX CAISSES DE RETRAITE"/>
    <s v="SA"/>
    <n v="35.28"/>
    <d v="2025-12-31T00:00:00"/>
    <s v="CONTRIBUTION D'EQUILIBRE TECHNIQUE TU2"/>
    <m/>
    <e v="#N/A"/>
    <e v="#N/A"/>
    <n v="92850"/>
    <s v="SA202512"/>
    <m/>
    <s v="Q4"/>
    <e v="#REF!"/>
    <e v="#REF!"/>
    <e v="#REF!"/>
  </r>
  <r>
    <s v="645300"/>
    <x v="6"/>
    <s v="COTISATIONS AUX CAISSES DE RETRAITE"/>
    <s v="SA"/>
    <n v="5.73"/>
    <d v="2025-09-30T00:00:00"/>
    <s v="APEC TRB"/>
    <m/>
    <e v="#N/A"/>
    <e v="#N/A"/>
    <n v="84210"/>
    <s v="SA202509"/>
    <m/>
    <s v="Q3"/>
    <e v="#REF!"/>
    <e v="#REF!"/>
    <e v="#REF!"/>
  </r>
  <r>
    <s v="645300"/>
    <x v="6"/>
    <s v="COTISATIONS AUX CAISSES DE RETRAITE"/>
    <s v="SA"/>
    <n v="37.56"/>
    <d v="2025-08-31T00:00:00"/>
    <s v="CONTRIBUTION D'EQUILIBRE TECHNIQUE TU2"/>
    <m/>
    <e v="#N/A"/>
    <e v="#N/A"/>
    <n v="84040"/>
    <s v="SA202508"/>
    <m/>
    <s v="Q3"/>
    <e v="#REF!"/>
    <e v="#REF!"/>
    <e v="#REF!"/>
  </r>
  <r>
    <s v="645300"/>
    <x v="6"/>
    <s v="COTISATIONS AUX CAISSES DE RETRAITE"/>
    <s v="SA"/>
    <n v="5.99"/>
    <d v="2025-10-31T00:00:00"/>
    <s v="APEC TRB"/>
    <m/>
    <e v="#N/A"/>
    <e v="#N/A"/>
    <n v="87876"/>
    <s v="SA202510"/>
    <m/>
    <s v="Q4"/>
    <e v="#REF!"/>
    <e v="#REF!"/>
    <e v="#REF!"/>
  </r>
  <r>
    <s v="645300"/>
    <x v="6"/>
    <s v="COTISATIONS AUX CAISSES DE RETRAITE"/>
    <s v="SA"/>
    <n v="6"/>
    <d v="2025-11-30T00:00:00"/>
    <s v="APEC TRB"/>
    <m/>
    <e v="#N/A"/>
    <e v="#N/A"/>
    <n v="92383"/>
    <s v="SA202511"/>
    <m/>
    <s v="Q4"/>
    <e v="#REF!"/>
    <e v="#REF!"/>
    <e v="#REF!"/>
  </r>
  <r>
    <s v="645300"/>
    <x v="6"/>
    <s v="COTISATIONS AUX CAISSES DE RETRAITE"/>
    <s v="SA"/>
    <n v="6.03"/>
    <d v="2025-06-30T00:00:00"/>
    <s v="APEC TRB"/>
    <m/>
    <e v="#N/A"/>
    <e v="#N/A"/>
    <n v="80093"/>
    <s v="SA202506"/>
    <m/>
    <s v="Q2"/>
    <e v="#REF!"/>
    <e v="#REF!"/>
    <e v="#REF!"/>
  </r>
  <r>
    <s v="645300"/>
    <x v="6"/>
    <s v="COTISATIONS AUX CAISSES DE RETRAITE"/>
    <s v="SA"/>
    <n v="6.05"/>
    <d v="2025-12-31T00:00:00"/>
    <s v="APEC TRB"/>
    <m/>
    <e v="#N/A"/>
    <e v="#N/A"/>
    <n v="92846"/>
    <s v="SA202512"/>
    <m/>
    <s v="Q4"/>
    <e v="#REF!"/>
    <e v="#REF!"/>
    <e v="#REF!"/>
  </r>
  <r>
    <s v="645300"/>
    <x v="6"/>
    <s v="COTISATIONS AUX CAISSES DE RETRAITE"/>
    <s v="SA"/>
    <n v="6.44"/>
    <d v="2025-08-31T00:00:00"/>
    <s v="APEC TRB"/>
    <m/>
    <e v="#N/A"/>
    <e v="#N/A"/>
    <n v="84036"/>
    <s v="SA202508"/>
    <m/>
    <s v="Q3"/>
    <e v="#REF!"/>
    <e v="#REF!"/>
    <e v="#REF!"/>
  </r>
  <r>
    <s v="645300"/>
    <x v="6"/>
    <s v="COTISATIONS AUX CAISSES DE RETRAITE"/>
    <s v="SA"/>
    <n v="6.51"/>
    <d v="2025-01-31T00:00:00"/>
    <s v="APEC TRB"/>
    <m/>
    <e v="#N/A"/>
    <e v="#N/A"/>
    <n v="85495"/>
    <s v="SA202501"/>
    <m/>
    <s v="Q1"/>
    <e v="#REF!"/>
    <e v="#REF!"/>
    <e v="#REF!"/>
  </r>
  <r>
    <s v="645300"/>
    <x v="6"/>
    <s v="COTISATIONS AUX CAISSES DE RETRAITE"/>
    <s v="SA"/>
    <n v="6.6"/>
    <d v="2025-07-31T00:00:00"/>
    <s v="APEC TRA"/>
    <m/>
    <e v="#N/A"/>
    <e v="#N/A"/>
    <n v="79920"/>
    <s v="SA202507"/>
    <m/>
    <s v="Q3"/>
    <e v="#REF!"/>
    <e v="#REF!"/>
    <e v="#REF!"/>
  </r>
  <r>
    <s v="645300"/>
    <x v="6"/>
    <s v="COTISATIONS AUX CAISSES DE RETRAITE"/>
    <s v="SA"/>
    <n v="6.75"/>
    <d v="2025-06-30T00:00:00"/>
    <s v="APEC TRB"/>
    <m/>
    <e v="#N/A"/>
    <e v="#N/A"/>
    <n v="80101"/>
    <s v="SA202506"/>
    <m/>
    <s v="Q2"/>
    <e v="#REF!"/>
    <e v="#REF!"/>
    <e v="#REF!"/>
  </r>
  <r>
    <s v="645300"/>
    <x v="6"/>
    <s v="COTISATIONS AUX CAISSES DE RETRAITE"/>
    <s v="SA"/>
    <n v="6.9"/>
    <d v="2025-06-30T00:00:00"/>
    <s v="APEC TRA"/>
    <m/>
    <e v="#N/A"/>
    <e v="#N/A"/>
    <n v="80092"/>
    <s v="SA202506"/>
    <m/>
    <s v="Q2"/>
    <e v="#REF!"/>
    <e v="#REF!"/>
    <e v="#REF!"/>
  </r>
  <r>
    <s v="645300"/>
    <x v="6"/>
    <s v="COTISATIONS AUX CAISSES DE RETRAITE"/>
    <s v="SA"/>
    <n v="6.93"/>
    <d v="2025-01-31T00:00:00"/>
    <s v="APEC TRA"/>
    <m/>
    <e v="#N/A"/>
    <e v="#N/A"/>
    <n v="85494"/>
    <s v="SA202501"/>
    <m/>
    <s v="Q1"/>
    <e v="#REF!"/>
    <e v="#REF!"/>
    <e v="#REF!"/>
  </r>
  <r>
    <s v="645300"/>
    <x v="6"/>
    <s v="COTISATIONS AUX CAISSES DE RETRAITE"/>
    <s v="SA"/>
    <n v="7.11"/>
    <d v="2025-02-28T00:00:00"/>
    <s v="APEC TRA"/>
    <m/>
    <e v="#N/A"/>
    <e v="#N/A"/>
    <n v="85322"/>
    <s v="SA202502"/>
    <m/>
    <s v="Q1"/>
    <e v="#REF!"/>
    <e v="#REF!"/>
    <e v="#REF!"/>
  </r>
  <r>
    <s v="645300"/>
    <x v="6"/>
    <s v="COTISATIONS AUX CAISSES DE RETRAITE"/>
    <s v="SA"/>
    <n v="8.14"/>
    <d v="2025-03-31T00:00:00"/>
    <s v="APEC TRB"/>
    <m/>
    <e v="#N/A"/>
    <e v="#N/A"/>
    <n v="80604"/>
    <s v="SA202503"/>
    <m/>
    <s v="Q1"/>
    <e v="#REF!"/>
    <e v="#REF!"/>
    <e v="#REF!"/>
  </r>
  <r>
    <s v="645300"/>
    <x v="6"/>
    <s v="COTISATIONS AUX CAISSES DE RETRAITE"/>
    <s v="SA"/>
    <n v="8.2100000000000009"/>
    <d v="2025-01-31T00:00:00"/>
    <s v="APEC TRA"/>
    <m/>
    <e v="#N/A"/>
    <e v="#N/A"/>
    <n v="85502"/>
    <s v="SA202501"/>
    <m/>
    <s v="Q1"/>
    <e v="#REF!"/>
    <e v="#REF!"/>
    <e v="#REF!"/>
  </r>
  <r>
    <s v="645300"/>
    <x v="6"/>
    <s v="COTISATIONS AUX CAISSES DE RETRAITE"/>
    <s v="SA"/>
    <n v="8.31"/>
    <d v="2025-08-31T00:00:00"/>
    <s v="APEC TRA"/>
    <m/>
    <e v="#N/A"/>
    <e v="#N/A"/>
    <n v="84043"/>
    <s v="SA202508"/>
    <m/>
    <s v="Q3"/>
    <e v="#REF!"/>
    <e v="#REF!"/>
    <e v="#REF!"/>
  </r>
  <r>
    <s v="645300"/>
    <x v="6"/>
    <s v="COTISATIONS AUX CAISSES DE RETRAITE"/>
    <s v="SA"/>
    <n v="8.32"/>
    <d v="2025-07-31T00:00:00"/>
    <s v="APEC TRA"/>
    <m/>
    <e v="#N/A"/>
    <e v="#N/A"/>
    <n v="79928"/>
    <s v="SA202507"/>
    <m/>
    <s v="Q3"/>
    <e v="#REF!"/>
    <e v="#REF!"/>
    <e v="#REF!"/>
  </r>
  <r>
    <s v="645300"/>
    <x v="6"/>
    <s v="COTISATIONS AUX CAISSES DE RETRAITE"/>
    <s v="SA"/>
    <n v="8.4"/>
    <d v="2025-06-30T00:00:00"/>
    <s v="APEC TRA"/>
    <m/>
    <e v="#N/A"/>
    <e v="#N/A"/>
    <n v="80100"/>
    <s v="SA202506"/>
    <m/>
    <s v="Q2"/>
    <e v="#REF!"/>
    <e v="#REF!"/>
    <e v="#REF!"/>
  </r>
  <r>
    <s v="645300"/>
    <x v="6"/>
    <s v="COTISATIONS AUX CAISSES DE RETRAITE"/>
    <s v="SA"/>
    <n v="8.49"/>
    <d v="2025-09-30T00:00:00"/>
    <s v="APEC TRA"/>
    <m/>
    <e v="#N/A"/>
    <e v="#N/A"/>
    <n v="84217"/>
    <s v="SA202509"/>
    <m/>
    <s v="Q3"/>
    <e v="#REF!"/>
    <e v="#REF!"/>
    <e v="#REF!"/>
  </r>
  <r>
    <s v="645300"/>
    <x v="6"/>
    <s v="COTISATIONS AUX CAISSES DE RETRAITE"/>
    <s v="SA"/>
    <n v="8.49"/>
    <d v="2025-10-31T00:00:00"/>
    <s v="APEC TRA"/>
    <m/>
    <e v="#N/A"/>
    <e v="#N/A"/>
    <n v="87883"/>
    <s v="SA202510"/>
    <m/>
    <s v="Q4"/>
    <e v="#REF!"/>
    <e v="#REF!"/>
    <e v="#REF!"/>
  </r>
  <r>
    <s v="645300"/>
    <x v="6"/>
    <s v="COTISATIONS AUX CAISSES DE RETRAITE"/>
    <s v="SA"/>
    <n v="8.49"/>
    <d v="2025-11-30T00:00:00"/>
    <s v="APEC TRA"/>
    <m/>
    <e v="#N/A"/>
    <e v="#N/A"/>
    <n v="92390"/>
    <s v="SA202511"/>
    <m/>
    <s v="Q4"/>
    <e v="#REF!"/>
    <e v="#REF!"/>
    <e v="#REF!"/>
  </r>
  <r>
    <s v="645300"/>
    <x v="6"/>
    <s v="COTISATIONS AUX CAISSES DE RETRAITE"/>
    <s v="SA"/>
    <n v="8.49"/>
    <d v="2025-12-31T00:00:00"/>
    <s v="APEC TRA"/>
    <m/>
    <e v="#N/A"/>
    <e v="#N/A"/>
    <n v="92853"/>
    <s v="SA202512"/>
    <m/>
    <s v="Q4"/>
    <e v="#REF!"/>
    <e v="#REF!"/>
    <e v="#REF!"/>
  </r>
  <r>
    <s v="645300"/>
    <x v="6"/>
    <s v="COTISATIONS AUX CAISSES DE RETRAITE"/>
    <s v="SA"/>
    <n v="37.909999999999997"/>
    <d v="2025-01-31T00:00:00"/>
    <s v="CONTRIBUTION D'EQUILIBRE TECHNIQUE TU2"/>
    <m/>
    <e v="#N/A"/>
    <e v="#N/A"/>
    <n v="85499"/>
    <s v="SA202501"/>
    <m/>
    <s v="Q1"/>
    <e v="#REF!"/>
    <e v="#REF!"/>
    <e v="#REF!"/>
  </r>
  <r>
    <s v="645300"/>
    <x v="6"/>
    <s v="COTISATIONS AUX CAISSES DE RETRAITE"/>
    <s v="SA"/>
    <n v="9.73"/>
    <d v="2025-05-31T00:00:00"/>
    <s v="APEC TRA"/>
    <m/>
    <e v="#N/A"/>
    <e v="#N/A"/>
    <n v="80268"/>
    <s v="SA202505"/>
    <m/>
    <s v="Q2"/>
    <e v="#REF!"/>
    <e v="#REF!"/>
    <e v="#REF!"/>
  </r>
  <r>
    <s v="645300"/>
    <x v="6"/>
    <s v="COTISATIONS AUX CAISSES DE RETRAITE"/>
    <s v="SA"/>
    <n v="9.74"/>
    <d v="2025-04-30T00:00:00"/>
    <s v="APEC TRA"/>
    <m/>
    <e v="#N/A"/>
    <e v="#N/A"/>
    <n v="80438"/>
    <s v="SA202504"/>
    <m/>
    <s v="Q2"/>
    <e v="#REF!"/>
    <e v="#REF!"/>
    <e v="#REF!"/>
  </r>
  <r>
    <s v="645300"/>
    <x v="6"/>
    <s v="COTISATIONS AUX CAISSES DE RETRAITE"/>
    <s v="SA"/>
    <n v="9.8699999999999992"/>
    <d v="2025-03-31T00:00:00"/>
    <s v="APEC TRA"/>
    <m/>
    <e v="#N/A"/>
    <e v="#N/A"/>
    <n v="80611"/>
    <s v="SA202503"/>
    <m/>
    <s v="Q1"/>
    <e v="#REF!"/>
    <e v="#REF!"/>
    <e v="#REF!"/>
  </r>
  <r>
    <s v="645300"/>
    <x v="6"/>
    <s v="COTISATIONS AUX CAISSES DE RETRAITE"/>
    <s v="SA"/>
    <n v="10.029999999999999"/>
    <d v="2025-02-28T00:00:00"/>
    <s v="APEC TRA"/>
    <m/>
    <e v="#N/A"/>
    <e v="#N/A"/>
    <n v="85330"/>
    <s v="SA202502"/>
    <m/>
    <s v="Q1"/>
    <e v="#REF!"/>
    <e v="#REF!"/>
    <e v="#REF!"/>
  </r>
  <r>
    <s v="645300"/>
    <x v="6"/>
    <s v="COTISATIONS AUX CAISSES DE RETRAITE"/>
    <s v="SA"/>
    <n v="39.39"/>
    <d v="2025-06-30T00:00:00"/>
    <s v="CONTRIBUTION D'EQUILIBRE TECHNIQUE TU2"/>
    <m/>
    <e v="#N/A"/>
    <e v="#N/A"/>
    <n v="80105"/>
    <s v="SA202506"/>
    <m/>
    <s v="Q2"/>
    <e v="#REF!"/>
    <e v="#REF!"/>
    <e v="#REF!"/>
  </r>
  <r>
    <s v="645300"/>
    <x v="6"/>
    <s v="COTISATIONS AUX CAISSES DE RETRAITE"/>
    <s v="SA"/>
    <n v="13.46"/>
    <d v="2025-02-28T00:00:00"/>
    <s v="APEC TRB"/>
    <m/>
    <e v="#N/A"/>
    <e v="#N/A"/>
    <n v="85331"/>
    <s v="SA202502"/>
    <m/>
    <s v="Q1"/>
    <e v="#REF!"/>
    <e v="#REF!"/>
    <e v="#REF!"/>
  </r>
  <r>
    <s v="645300"/>
    <x v="6"/>
    <s v="COTISATIONS AUX CAISSES DE RETRAITE"/>
    <s v="SA"/>
    <n v="18.61"/>
    <d v="2025-07-31T00:00:00"/>
    <s v="APEC TRA"/>
    <m/>
    <e v="#N/A"/>
    <e v="#N/A"/>
    <n v="79937"/>
    <s v="SA202507"/>
    <m/>
    <s v="Q3"/>
    <e v="#REF!"/>
    <e v="#REF!"/>
    <e v="#REF!"/>
  </r>
  <r>
    <s v="645300"/>
    <x v="6"/>
    <s v="COTISATIONS AUX CAISSES DE RETRAITE"/>
    <s v="SA"/>
    <n v="18.739999999999998"/>
    <d v="2025-08-31T00:00:00"/>
    <s v="APEC TRA"/>
    <m/>
    <e v="#N/A"/>
    <e v="#N/A"/>
    <n v="84052"/>
    <s v="SA202508"/>
    <m/>
    <s v="Q3"/>
    <e v="#REF!"/>
    <e v="#REF!"/>
    <e v="#REF!"/>
  </r>
  <r>
    <s v="645300"/>
    <x v="6"/>
    <s v="COTISATIONS AUX CAISSES DE RETRAITE"/>
    <s v="SA"/>
    <n v="19.559999999999999"/>
    <d v="2025-04-30T00:00:00"/>
    <s v="APEC TRA"/>
    <m/>
    <e v="#N/A"/>
    <e v="#N/A"/>
    <n v="80447"/>
    <s v="SA202504"/>
    <m/>
    <s v="Q2"/>
    <e v="#REF!"/>
    <e v="#REF!"/>
    <e v="#REF!"/>
  </r>
  <r>
    <s v="645300"/>
    <x v="6"/>
    <s v="COTISATIONS AUX CAISSES DE RETRAITE"/>
    <s v="SA"/>
    <n v="19.559999999999999"/>
    <d v="2025-05-31T00:00:00"/>
    <s v="APEC TRA"/>
    <m/>
    <e v="#N/A"/>
    <e v="#N/A"/>
    <n v="80277"/>
    <s v="SA202505"/>
    <m/>
    <s v="Q2"/>
    <e v="#REF!"/>
    <e v="#REF!"/>
    <e v="#REF!"/>
  </r>
  <r>
    <s v="645300"/>
    <x v="6"/>
    <s v="COTISATIONS AUX CAISSES DE RETRAITE"/>
    <s v="SA"/>
    <n v="19.559999999999999"/>
    <d v="2025-06-30T00:00:00"/>
    <s v="APEC TRA"/>
    <m/>
    <e v="#N/A"/>
    <e v="#N/A"/>
    <n v="80109"/>
    <s v="SA202506"/>
    <m/>
    <s v="Q2"/>
    <e v="#REF!"/>
    <e v="#REF!"/>
    <e v="#REF!"/>
  </r>
  <r>
    <s v="645300"/>
    <x v="6"/>
    <s v="COTISATIONS AUX CAISSES DE RETRAITE"/>
    <s v="SA"/>
    <n v="83.18"/>
    <d v="2025-02-28T00:00:00"/>
    <s v="CONTRIBUTION D'EQUILIBRE TECHNIQUE TU2"/>
    <m/>
    <e v="#N/A"/>
    <e v="#N/A"/>
    <n v="85335"/>
    <s v="SA202502"/>
    <m/>
    <s v="Q1"/>
    <e v="#REF!"/>
    <e v="#REF!"/>
    <e v="#REF!"/>
  </r>
  <r>
    <s v="645300"/>
    <x v="6"/>
    <s v="COTISATIONS AUX CAISSES DE RETRAITE"/>
    <s v="SA"/>
    <n v="19.86"/>
    <d v="2025-11-30T00:00:00"/>
    <s v="APEC TRA"/>
    <m/>
    <e v="#N/A"/>
    <e v="#N/A"/>
    <n v="92399"/>
    <s v="SA202511"/>
    <m/>
    <s v="Q4"/>
    <e v="#REF!"/>
    <e v="#REF!"/>
    <e v="#REF!"/>
  </r>
  <r>
    <s v="645300"/>
    <x v="6"/>
    <s v="COTISATIONS AUX CAISSES DE RETRAITE"/>
    <s v="SA"/>
    <n v="19.87"/>
    <d v="2025-10-31T00:00:00"/>
    <s v="APEC TRA"/>
    <m/>
    <e v="#N/A"/>
    <e v="#N/A"/>
    <n v="87892"/>
    <s v="SA202510"/>
    <m/>
    <s v="Q4"/>
    <e v="#REF!"/>
    <e v="#REF!"/>
    <e v="#REF!"/>
  </r>
  <r>
    <s v="645300"/>
    <x v="6"/>
    <s v="COTISATIONS AUX CAISSES DE RETRAITE"/>
    <s v="SA"/>
    <n v="19.87"/>
    <d v="2025-12-31T00:00:00"/>
    <s v="APEC TRA"/>
    <m/>
    <e v="#N/A"/>
    <e v="#N/A"/>
    <n v="92862"/>
    <s v="SA202512"/>
    <m/>
    <s v="Q4"/>
    <e v="#REF!"/>
    <e v="#REF!"/>
    <e v="#REF!"/>
  </r>
  <r>
    <s v="645300"/>
    <x v="6"/>
    <s v="COTISATIONS AUX CAISSES DE RETRAITE"/>
    <s v="SA"/>
    <n v="19.88"/>
    <d v="2025-09-30T00:00:00"/>
    <s v="APEC TRA"/>
    <m/>
    <e v="#N/A"/>
    <e v="#N/A"/>
    <n v="84226"/>
    <s v="SA202509"/>
    <m/>
    <s v="Q3"/>
    <e v="#REF!"/>
    <e v="#REF!"/>
    <e v="#REF!"/>
  </r>
  <r>
    <s v="645300"/>
    <x v="6"/>
    <s v="COTISATIONS AUX CAISSES DE RETRAITE"/>
    <s v="SA"/>
    <n v="20.8"/>
    <d v="2025-01-31T00:00:00"/>
    <s v="APEC TRA"/>
    <m/>
    <e v="#N/A"/>
    <e v="#N/A"/>
    <n v="85511"/>
    <s v="SA202501"/>
    <m/>
    <s v="Q1"/>
    <e v="#REF!"/>
    <e v="#REF!"/>
    <e v="#REF!"/>
  </r>
  <r>
    <s v="645300"/>
    <x v="6"/>
    <s v="COTISATIONS AUX CAISSES DE RETRAITE"/>
    <s v="SA"/>
    <n v="138.58000000000001"/>
    <d v="2025-02-28T00:00:00"/>
    <s v="CONTRIBUTION D'EQUILIBRE TECHNIQUE TU2"/>
    <m/>
    <e v="#N/A"/>
    <e v="#N/A"/>
    <n v="85344"/>
    <s v="SA202502"/>
    <m/>
    <s v="Q1"/>
    <e v="#REF!"/>
    <e v="#REF!"/>
    <e v="#REF!"/>
  </r>
  <r>
    <s v="645300"/>
    <x v="6"/>
    <s v="COTISATIONS AUX CAISSES DE RETRAITE"/>
    <s v="SA"/>
    <n v="148.66999999999999"/>
    <d v="2025-02-28T00:00:00"/>
    <s v="CONTRIBUTION D'EQUILIBRE TECHNIQUE TU2"/>
    <m/>
    <e v="#N/A"/>
    <e v="#N/A"/>
    <n v="85327"/>
    <s v="SA202502"/>
    <m/>
    <s v="Q1"/>
    <e v="#REF!"/>
    <e v="#REF!"/>
    <e v="#REF!"/>
  </r>
  <r>
    <s v="625100"/>
    <x v="6"/>
    <s v="Voyages et déplacements"/>
    <s v="NDF"/>
    <n v="4"/>
    <d v="2025-07-15T00:00:00"/>
    <s v="DIVERS - VÉLIB KB 7/07"/>
    <m/>
    <e v="#N/A"/>
    <e v="#N/A"/>
    <n v="88108"/>
    <s v="25000195"/>
    <s v="Pauline Rullière"/>
    <s v="Q3"/>
    <e v="#REF!"/>
    <e v="#REF!"/>
    <e v="#REF!"/>
  </r>
  <r>
    <s v="164110"/>
    <x v="6"/>
    <s v="PRET BP N°2 (LT) 08815036"/>
    <s v="BPRI"/>
    <n v="7957.42"/>
    <d v="2025-07-01T00:00:00"/>
    <s v="ECHEANCE PRET/LIB/8815036/LIB/DONT CAP   7957,42 ASS.   95,32E/LIB/     INT.    97,89 COM.  133,50E"/>
    <m/>
    <e v="#N/A"/>
    <e v="#N/A"/>
    <n v="76920"/>
    <m/>
    <m/>
    <s v="Q3"/>
    <e v="#REF!"/>
    <e v="#REF!"/>
    <e v="#REF!"/>
  </r>
  <r>
    <s v="512100"/>
    <x v="6"/>
    <s v="BANQUE POPULAIRE RIVE DE PARIS"/>
    <s v="BPRI"/>
    <n v="-8284.1299999999992"/>
    <d v="2025-07-01T00:00:00"/>
    <s v="ECHEANCE PRET/LIB/8815036/LIB/DONT CAP   7957,42 ASS.   95,32E/LIB/     INT.    97,89 COM.  133,50E"/>
    <m/>
    <e v="#N/A"/>
    <e v="#N/A"/>
    <n v="76919"/>
    <m/>
    <m/>
    <s v="Q3"/>
    <e v="#REF!"/>
    <e v="#REF!"/>
    <e v="#REF!"/>
  </r>
  <r>
    <s v="627200"/>
    <x v="6"/>
    <s v="Frais sur emprunts"/>
    <s v="BPRI"/>
    <n v="95.32"/>
    <d v="2025-07-01T00:00:00"/>
    <s v="ECHEANCE PRET/LIB/8815036/LIB/DONT CAP   7957,42 ASS.   95,32E/LIB/     INT.    97,89 COM.  133,50E"/>
    <m/>
    <e v="#N/A"/>
    <e v="#N/A"/>
    <n v="76921"/>
    <m/>
    <m/>
    <s v="Q3"/>
    <e v="#REF!"/>
    <e v="#REF!"/>
    <e v="#REF!"/>
  </r>
  <r>
    <s v="627200"/>
    <x v="6"/>
    <s v="Frais sur emprunts"/>
    <s v="BPRI"/>
    <n v="133.5"/>
    <d v="2025-07-01T00:00:00"/>
    <s v="ECHEANCE PRET/LIB/8815036/LIB/DONT CAP   7957,42 ASS.   95,32E/LIB/     INT.    97,89 COM.  133,50E"/>
    <m/>
    <e v="#N/A"/>
    <e v="#N/A"/>
    <n v="76923"/>
    <m/>
    <m/>
    <s v="Q3"/>
    <e v="#REF!"/>
    <e v="#REF!"/>
    <e v="#REF!"/>
  </r>
  <r>
    <s v="661100"/>
    <x v="6"/>
    <s v="INTÉRÊTS BANCAIRES"/>
    <s v="BPRI"/>
    <n v="97.89"/>
    <d v="2025-07-01T00:00:00"/>
    <s v="ECHEANCE PRET/LIB/8815036/LIB/DONT CAP   7957,42 ASS.   95,32E/LIB/     INT.    97,89 COM.  133,50E"/>
    <m/>
    <e v="#N/A"/>
    <e v="#N/A"/>
    <n v="76922"/>
    <m/>
    <m/>
    <s v="Q3"/>
    <e v="#REF!"/>
    <e v="#REF!"/>
    <e v="#REF!"/>
  </r>
  <r>
    <s v="164110"/>
    <x v="6"/>
    <s v="PRET BP N°2 (LT) 08815036"/>
    <s v="BPRI"/>
    <n v="7967.1"/>
    <d v="2025-08-30T00:00:00"/>
    <s v="ECHEANCE PRET/LIB/8815036/LIB/DONT CAP   7967,10 ASS.   95,32E/LIB/     INT.    88,21 COM.  133,50E"/>
    <m/>
    <e v="#N/A"/>
    <e v="#N/A"/>
    <n v="81662"/>
    <m/>
    <m/>
    <s v="Q3"/>
    <e v="#REF!"/>
    <e v="#REF!"/>
    <e v="#REF!"/>
  </r>
  <r>
    <s v="512100"/>
    <x v="6"/>
    <s v="BANQUE POPULAIRE RIVE DE PARIS"/>
    <s v="BPRI"/>
    <n v="-8284.1299999999992"/>
    <d v="2025-08-30T00:00:00"/>
    <s v="ECHEANCE PRET/LIB/8815036/LIB/DONT CAP   7967,10 ASS.   95,32E/LIB/     INT.    88,21 COM.  133,50E"/>
    <m/>
    <e v="#N/A"/>
    <e v="#N/A"/>
    <n v="81661"/>
    <m/>
    <m/>
    <s v="Q3"/>
    <e v="#REF!"/>
    <e v="#REF!"/>
    <e v="#REF!"/>
  </r>
  <r>
    <s v="645300"/>
    <x v="6"/>
    <s v="COTISATIONS AUX CAISSES DE RETRAITE"/>
    <s v="SA"/>
    <n v="21.44"/>
    <d v="2025-03-31T00:00:00"/>
    <s v="APEC TRA"/>
    <m/>
    <e v="#N/A"/>
    <e v="#N/A"/>
    <n v="80620"/>
    <s v="SA202503"/>
    <m/>
    <s v="Q1"/>
    <e v="#REF!"/>
    <e v="#REF!"/>
    <e v="#REF!"/>
  </r>
  <r>
    <s v="627200"/>
    <x v="6"/>
    <s v="Frais sur emprunts"/>
    <s v="BPRI"/>
    <n v="95.32"/>
    <d v="2025-08-30T00:00:00"/>
    <s v="ECHEANCE PRET/LIB/8815036/LIB/DONT CAP   7967,10 ASS.   95,32E/LIB/     INT.    88,21 COM.  133,50E"/>
    <m/>
    <e v="#N/A"/>
    <e v="#N/A"/>
    <n v="81663"/>
    <m/>
    <m/>
    <s v="Q3"/>
    <e v="#REF!"/>
    <e v="#REF!"/>
    <e v="#REF!"/>
  </r>
  <r>
    <s v="627200"/>
    <x v="6"/>
    <s v="Frais sur emprunts"/>
    <s v="BPRI"/>
    <n v="133.5"/>
    <d v="2025-08-30T00:00:00"/>
    <s v="ECHEANCE PRET/LIB/8815036/LIB/DONT CAP   7967,10 ASS.   95,32E/LIB/     INT.    88,21 COM.  133,50E"/>
    <m/>
    <e v="#N/A"/>
    <e v="#N/A"/>
    <n v="81665"/>
    <m/>
    <m/>
    <s v="Q3"/>
    <e v="#REF!"/>
    <e v="#REF!"/>
    <e v="#REF!"/>
  </r>
  <r>
    <s v="645300"/>
    <x v="6"/>
    <s v="COTISATIONS AUX CAISSES DE RETRAITE"/>
    <s v="SA"/>
    <n v="22.35"/>
    <d v="2025-02-28T00:00:00"/>
    <s v="APEC TRB"/>
    <m/>
    <e v="#N/A"/>
    <e v="#N/A"/>
    <n v="85323"/>
    <s v="SA202502"/>
    <m/>
    <s v="Q1"/>
    <e v="#REF!"/>
    <e v="#REF!"/>
    <e v="#REF!"/>
  </r>
  <r>
    <s v="661100"/>
    <x v="6"/>
    <s v="INTÉRÊTS BANCAIRES"/>
    <s v="BPRI"/>
    <n v="88.21"/>
    <d v="2025-08-30T00:00:00"/>
    <s v="ECHEANCE PRET/LIB/8815036/LIB/DONT CAP   7967,10 ASS.   95,32E/LIB/     INT.    88,21 COM.  133,50E"/>
    <m/>
    <e v="#N/A"/>
    <e v="#N/A"/>
    <n v="81664"/>
    <m/>
    <m/>
    <s v="Q3"/>
    <e v="#REF!"/>
    <e v="#REF!"/>
    <e v="#REF!"/>
  </r>
  <r>
    <s v="645300"/>
    <x v="6"/>
    <s v="COTISATIONS AUX CAISSES DE RETRAITE"/>
    <s v="SA"/>
    <n v="22.77"/>
    <d v="2025-02-28T00:00:00"/>
    <s v="APEC TRA"/>
    <m/>
    <e v="#N/A"/>
    <e v="#N/A"/>
    <n v="85339"/>
    <s v="SA202502"/>
    <m/>
    <s v="Q1"/>
    <e v="#REF!"/>
    <e v="#REF!"/>
    <e v="#REF!"/>
  </r>
  <r>
    <s v="645300"/>
    <x v="6"/>
    <s v="COTISATIONS AUX CAISSES DE RETRAITE"/>
    <s v="SA"/>
    <n v="23.14"/>
    <d v="2025-02-28T00:00:00"/>
    <s v="APEC TRB"/>
    <m/>
    <e v="#N/A"/>
    <e v="#N/A"/>
    <n v="85340"/>
    <s v="SA202502"/>
    <m/>
    <s v="Q1"/>
    <e v="#REF!"/>
    <e v="#REF!"/>
    <e v="#REF!"/>
  </r>
  <r>
    <s v="164120"/>
    <x v="6"/>
    <s v="PRET 500K BP 08857432"/>
    <s v="BPRI"/>
    <n v="14225.47"/>
    <d v="2025-07-01T00:00:00"/>
    <s v="ECHEANCE PRET/LIB/8857432/LIB/DONT CAP  14225,47 ASS.  170,42E/LIB/     INT.    19,56 COM.    0,00E"/>
    <m/>
    <e v="#N/A"/>
    <e v="#N/A"/>
    <n v="76916"/>
    <m/>
    <m/>
    <s v="Q3"/>
    <e v="#REF!"/>
    <e v="#REF!"/>
    <e v="#REF!"/>
  </r>
  <r>
    <s v="512100"/>
    <x v="6"/>
    <s v="BANQUE POPULAIRE RIVE DE PARIS"/>
    <s v="BPRI"/>
    <n v="-14415.45"/>
    <d v="2025-07-01T00:00:00"/>
    <s v="ECHEANCE PRET/LIB/8857432/LIB/DONT CAP  14225,47 ASS.  170,42E/LIB/     INT.    19,56 COM.    0,00E"/>
    <m/>
    <e v="#N/A"/>
    <e v="#N/A"/>
    <n v="76915"/>
    <m/>
    <m/>
    <s v="Q3"/>
    <e v="#REF!"/>
    <e v="#REF!"/>
    <e v="#REF!"/>
  </r>
  <r>
    <s v="627200"/>
    <x v="6"/>
    <s v="Frais sur emprunts"/>
    <s v="BPRI"/>
    <n v="170.42"/>
    <d v="2025-07-01T00:00:00"/>
    <s v="ECHEANCE PRET/LIB/8857432/LIB/DONT CAP  14225,47 ASS.  170,42E/LIB/     INT.    19,56 COM.    0,00E"/>
    <m/>
    <e v="#N/A"/>
    <e v="#N/A"/>
    <n v="76917"/>
    <m/>
    <m/>
    <s v="Q3"/>
    <e v="#REF!"/>
    <e v="#REF!"/>
    <e v="#REF!"/>
  </r>
  <r>
    <s v="661100"/>
    <x v="6"/>
    <s v="INTÉRÊTS BANCAIRES"/>
    <s v="BPRI"/>
    <n v="19.559999999999999"/>
    <d v="2025-07-01T00:00:00"/>
    <s v="ECHEANCE PRET/LIB/8857432/LIB/DONT CAP  14225,47 ASS.  170,42E/LIB/     INT.    19,56 COM.    0,00E"/>
    <m/>
    <e v="#N/A"/>
    <e v="#N/A"/>
    <n v="76918"/>
    <m/>
    <m/>
    <s v="Q3"/>
    <e v="#REF!"/>
    <e v="#REF!"/>
    <e v="#REF!"/>
  </r>
  <r>
    <s v="999999"/>
    <x v="6"/>
    <s v="COMPTE EQUILIBRE"/>
    <s v="AN"/>
    <n v="-11548670.57"/>
    <d v="2025-01-01T00:00:00"/>
    <s v="Ecriture temporaire d'équilibre"/>
    <m/>
    <e v="#N/A"/>
    <e v="#N/A"/>
    <n v="84772"/>
    <m/>
    <m/>
    <s v="Q1"/>
    <e v="#REF!"/>
    <e v="#REF!"/>
    <e v="#REF!"/>
  </r>
  <r>
    <s v="999999"/>
    <x v="6"/>
    <s v="COMPTE EQUILIBRE"/>
    <s v="AN"/>
    <n v="-10911258.82"/>
    <d v="2025-01-01T00:00:00"/>
    <s v="Ecriture temporaire d'équilibre"/>
    <m/>
    <e v="#N/A"/>
    <e v="#N/A"/>
    <n v="84671"/>
    <m/>
    <m/>
    <s v="Q1"/>
    <e v="#REF!"/>
    <e v="#REF!"/>
    <e v="#REF!"/>
  </r>
  <r>
    <s v="999999"/>
    <x v="6"/>
    <s v="COMPTE EQUILIBRE"/>
    <s v="AN"/>
    <n v="10911258.82"/>
    <d v="2025-01-01T00:00:00"/>
    <s v="Ecriture temporaire d'équilibre"/>
    <m/>
    <e v="#N/A"/>
    <e v="#N/A"/>
    <n v="84670"/>
    <m/>
    <m/>
    <s v="Q1"/>
    <e v="#REF!"/>
    <e v="#REF!"/>
    <e v="#REF!"/>
  </r>
  <r>
    <s v="999999"/>
    <x v="6"/>
    <s v="COMPTE EQUILIBRE"/>
    <s v="AN"/>
    <n v="11548670.57"/>
    <d v="2025-01-01T00:00:00"/>
    <s v="Ecriture temporaire d'équilibre"/>
    <m/>
    <e v="#N/A"/>
    <e v="#N/A"/>
    <n v="84771"/>
    <m/>
    <m/>
    <s v="Q1"/>
    <e v="#REF!"/>
    <e v="#REF!"/>
    <e v="#REF!"/>
  </r>
  <r>
    <s v="441720"/>
    <x v="6"/>
    <s v="SUBVENTIONS A RECEVOIR - DIVERS"/>
    <s v="BPRI"/>
    <n v="-1249.98"/>
    <d v="2025-09-17T00:00:00"/>
    <s v="EVI ASP AGENCE COMPTABLE/LIB/INISTERE DU TRAV"/>
    <m/>
    <e v="#N/A"/>
    <e v="#N/A"/>
    <n v="82442"/>
    <m/>
    <m/>
    <s v="Q3"/>
    <e v="#REF!"/>
    <e v="#REF!"/>
    <e v="#REF!"/>
  </r>
  <r>
    <s v="512100"/>
    <x v="6"/>
    <s v="BANQUE POPULAIRE RIVE DE PARIS"/>
    <s v="BPRI"/>
    <n v="1000"/>
    <d v="2025-09-04T00:00:00"/>
    <s v="EVI ASP AGENCE COMPTABLE/LIB/INISTERE DU TRAV"/>
    <m/>
    <e v="#N/A"/>
    <e v="#N/A"/>
    <n v="81710"/>
    <m/>
    <m/>
    <s v="Q3"/>
    <e v="#REF!"/>
    <e v="#REF!"/>
    <e v="#REF!"/>
  </r>
  <r>
    <s v="512100"/>
    <x v="6"/>
    <s v="BANQUE POPULAIRE RIVE DE PARIS"/>
    <s v="BPRI"/>
    <n v="1249.98"/>
    <d v="2025-09-17T00:00:00"/>
    <s v="EVI ASP AGENCE COMPTABLE/LIB/INISTERE DU TRAV"/>
    <m/>
    <e v="#N/A"/>
    <e v="#N/A"/>
    <n v="82441"/>
    <m/>
    <m/>
    <s v="Q3"/>
    <e v="#REF!"/>
    <e v="#REF!"/>
    <e v="#REF!"/>
  </r>
  <r>
    <s v="740100"/>
    <x v="7"/>
    <s v="SUBVENTIONS D'EXPLOITATION - DIVERS"/>
    <s v="BPRI"/>
    <n v="-1000"/>
    <d v="2025-09-04T00:00:00"/>
    <s v="EVI ASP AGENCE COMPTABLE/LIB/INISTERE DU TRAV"/>
    <m/>
    <e v="#N/A"/>
    <e v="#N/A"/>
    <n v="81711"/>
    <m/>
    <m/>
    <s v="Q3"/>
    <e v="#REF!"/>
    <e v="#REF!"/>
    <e v="#REF!"/>
  </r>
  <r>
    <s v="431100"/>
    <x v="6"/>
    <s v="IJSS À RECEVOIR"/>
    <s v="BPRI"/>
    <n v="-1331.4"/>
    <d v="2025-07-11T00:00:00"/>
    <s v="EVI C.P.A.M. TOULOUSE/LIB/C.P.A.M. TOULOUSE/LIB/0811524545000351902009250710"/>
    <m/>
    <e v="#N/A"/>
    <e v="#N/A"/>
    <n v="78437"/>
    <m/>
    <m/>
    <s v="Q3"/>
    <e v="#REF!"/>
    <e v="#REF!"/>
    <e v="#REF!"/>
  </r>
  <r>
    <s v="512100"/>
    <x v="6"/>
    <s v="BANQUE POPULAIRE RIVE DE PARIS"/>
    <s v="BPRI"/>
    <n v="1331.4"/>
    <d v="2025-07-11T00:00:00"/>
    <s v="EVI C.P.A.M. TOULOUSE/LIB/C.P.A.M. TOULOUSE/LIB/0811524545000351902009250710"/>
    <m/>
    <e v="#N/A"/>
    <e v="#N/A"/>
    <n v="78436"/>
    <m/>
    <m/>
    <s v="Q3"/>
    <e v="#REF!"/>
    <e v="#REF!"/>
    <e v="#REF!"/>
  </r>
  <r>
    <s v="401000"/>
    <x v="6"/>
    <s v="FOURNISSEURS"/>
    <s v="AC"/>
    <n v="-514.08000000000004"/>
    <d v="2025-08-31T00:00:00"/>
    <s v="FORMULE ÉQUILIBRE 200GO"/>
    <m/>
    <e v="#N/A"/>
    <e v="#N/A"/>
    <n v="82247"/>
    <s v="91644015"/>
    <s v="ORANGE"/>
    <s v="Q3"/>
    <e v="#REF!"/>
    <e v="#REF!"/>
    <e v="#REF!"/>
  </r>
  <r>
    <s v="401000"/>
    <x v="6"/>
    <s v="FOURNISSEURS"/>
    <s v="AC"/>
    <n v="-508"/>
    <d v="2025-09-30T00:00:00"/>
    <s v="FORMULE ÉQUILIBRE 200GO"/>
    <m/>
    <e v="#N/A"/>
    <e v="#N/A"/>
    <n v="87058"/>
    <s v="91957330"/>
    <s v="ORANGE"/>
    <s v="Q3"/>
    <e v="#REF!"/>
    <e v="#REF!"/>
    <e v="#REF!"/>
  </r>
  <r>
    <s v="401000"/>
    <x v="6"/>
    <s v="FOURNISSEURS"/>
    <s v="AC"/>
    <n v="-503.86"/>
    <d v="2025-07-31T00:00:00"/>
    <s v="FORMULE ÉQUILIBRE 200GO"/>
    <m/>
    <e v="#N/A"/>
    <e v="#N/A"/>
    <n v="81275"/>
    <s v="91326859"/>
    <s v="ORANGE"/>
    <s v="Q3"/>
    <e v="#REF!"/>
    <e v="#REF!"/>
    <e v="#REF!"/>
  </r>
  <r>
    <s v="401000"/>
    <x v="6"/>
    <s v="FOURNISSEURS"/>
    <s v="AC"/>
    <n v="-241.7"/>
    <d v="2025-02-28T00:00:00"/>
    <s v="FORMULE ÉQUILIBRE 200GO"/>
    <m/>
    <e v="#N/A"/>
    <e v="#N/A"/>
    <n v="81740"/>
    <s v="89705010"/>
    <s v="ORANGE"/>
    <s v="Q1"/>
    <e v="#REF!"/>
    <e v="#REF!"/>
    <e v="#REF!"/>
  </r>
  <r>
    <s v="445662"/>
    <x v="6"/>
    <s v="TVA - D_20"/>
    <s v="AC"/>
    <n v="40.28"/>
    <d v="2025-02-28T00:00:00"/>
    <s v="FORMULE ÉQUILIBRE 200GO"/>
    <m/>
    <e v="#N/A"/>
    <e v="#N/A"/>
    <n v="81741"/>
    <s v="89705010"/>
    <s v="ORANGE"/>
    <s v="Q1"/>
    <e v="#REF!"/>
    <e v="#REF!"/>
    <e v="#REF!"/>
  </r>
  <r>
    <s v="445662"/>
    <x v="6"/>
    <s v="TVA - D_20"/>
    <s v="AC"/>
    <n v="75.98"/>
    <d v="2025-07-31T00:00:00"/>
    <s v="FORMULE ÉQUILIBRE 200GO"/>
    <m/>
    <e v="#N/A"/>
    <e v="#N/A"/>
    <n v="81276"/>
    <s v="91326859"/>
    <s v="ORANGE"/>
    <s v="Q3"/>
    <e v="#REF!"/>
    <e v="#REF!"/>
    <e v="#REF!"/>
  </r>
  <r>
    <s v="445662"/>
    <x v="6"/>
    <s v="TVA - D_20"/>
    <s v="AC"/>
    <n v="76.67"/>
    <d v="2025-09-30T00:00:00"/>
    <s v="FORMULE ÉQUILIBRE 200GO"/>
    <m/>
    <e v="#N/A"/>
    <e v="#N/A"/>
    <n v="87059"/>
    <s v="91957330"/>
    <s v="ORANGE"/>
    <s v="Q3"/>
    <e v="#REF!"/>
    <e v="#REF!"/>
    <e v="#REF!"/>
  </r>
  <r>
    <s v="445662"/>
    <x v="6"/>
    <s v="TVA - D_20"/>
    <s v="AC"/>
    <n v="77.680000000000007"/>
    <d v="2025-08-31T00:00:00"/>
    <s v="FORMULE ÉQUILIBRE 200GO"/>
    <m/>
    <e v="#N/A"/>
    <e v="#N/A"/>
    <n v="82248"/>
    <s v="91644015"/>
    <s v="ORANGE"/>
    <s v="Q3"/>
    <e v="#REF!"/>
    <e v="#REF!"/>
    <e v="#REF!"/>
  </r>
  <r>
    <s v="401000"/>
    <x v="6"/>
    <s v="FOURNISSEURS"/>
    <s v="AC"/>
    <n v="-519.09"/>
    <d v="2025-11-30T00:00:00"/>
    <s v="FORMULE ÉQUILIBRE 200GO 2024 VERSION SIM"/>
    <m/>
    <e v="#N/A"/>
    <e v="#N/A"/>
    <n v="92136"/>
    <s v="92590049"/>
    <s v="ORANGE"/>
    <s v="Q4"/>
    <e v="#REF!"/>
    <e v="#REF!"/>
    <e v="#REF!"/>
  </r>
  <r>
    <s v="445662"/>
    <x v="6"/>
    <s v="TVA - D_20"/>
    <s v="AC"/>
    <n v="77.180000000000007"/>
    <d v="2025-11-30T00:00:00"/>
    <s v="FORMULE ÉQUILIBRE 200GO 2024 VERSION SIM"/>
    <m/>
    <e v="#N/A"/>
    <e v="#N/A"/>
    <n v="92137"/>
    <s v="92590049"/>
    <s v="ORANGE"/>
    <s v="Q4"/>
    <e v="#REF!"/>
    <e v="#REF!"/>
    <e v="#REF!"/>
  </r>
  <r>
    <s v="626100"/>
    <x v="6"/>
    <s v="Internet, Téléphone, Télécommunications"/>
    <s v="AC"/>
    <n v="56"/>
    <d v="2025-11-30T00:00:00"/>
    <s v="FORMULE ÉQUILIBRE 200GO 2024 VERSION SIM"/>
    <m/>
    <e v="#N/A"/>
    <e v="#N/A"/>
    <n v="92138"/>
    <s v="92590049"/>
    <s v="ORANGE"/>
    <s v="Q4"/>
    <e v="#REF!"/>
    <e v="#REF!"/>
    <e v="#REF!"/>
  </r>
  <r>
    <s v="626100"/>
    <x v="6"/>
    <s v="Internet, Téléphone, Télécommunications"/>
    <s v="AC"/>
    <n v="385.91"/>
    <d v="2025-11-30T00:00:00"/>
    <s v="FORMULE ÉQUILIBRE 200GO 2024 VERSION SIM"/>
    <m/>
    <e v="#N/A"/>
    <e v="#N/A"/>
    <n v="92139"/>
    <s v="92590049"/>
    <s v="ORANGE"/>
    <s v="Q4"/>
    <e v="#REF!"/>
    <e v="#REF!"/>
    <e v="#REF!"/>
  </r>
  <r>
    <s v="401000"/>
    <x v="6"/>
    <s v="FOURNISSEURS"/>
    <s v="AC"/>
    <n v="-527.55999999999995"/>
    <d v="2025-10-31T00:00:00"/>
    <s v="FORMULE ÉQUILIBRE 200GO 2024 VERSION SIM (12 MOIS)"/>
    <m/>
    <e v="#N/A"/>
    <e v="#N/A"/>
    <n v="89654"/>
    <s v="92274102"/>
    <s v="ORANGE"/>
    <s v="Q4"/>
    <e v="#REF!"/>
    <e v="#REF!"/>
    <e v="#REF!"/>
  </r>
  <r>
    <s v="401000"/>
    <x v="6"/>
    <s v="FOURNISSEURS"/>
    <s v="AC"/>
    <n v="-514.45000000000005"/>
    <d v="2025-12-31T00:00:00"/>
    <s v="FORMULE ÉQUILIBRE 200GO 2024 VERSION SIM (12 MOIS)"/>
    <m/>
    <e v="#N/A"/>
    <e v="#N/A"/>
    <n v="94899"/>
    <s v="92904436"/>
    <s v="ORANGE"/>
    <s v="Q4"/>
    <e v="#REF!"/>
    <e v="#REF!"/>
    <e v="#REF!"/>
  </r>
  <r>
    <s v="445662"/>
    <x v="6"/>
    <s v="TVA - D_20"/>
    <s v="AC"/>
    <n v="76.739999999999995"/>
    <d v="2025-12-31T00:00:00"/>
    <s v="FORMULE ÉQUILIBRE 200GO 2024 VERSION SIM (12 MOIS)"/>
    <m/>
    <e v="#N/A"/>
    <e v="#N/A"/>
    <n v="94900"/>
    <s v="92904436"/>
    <s v="ORANGE"/>
    <s v="Q4"/>
    <e v="#REF!"/>
    <e v="#REF!"/>
    <e v="#REF!"/>
  </r>
  <r>
    <s v="445662"/>
    <x v="6"/>
    <s v="TVA - D_20"/>
    <s v="AC"/>
    <n v="79.930000000000007"/>
    <d v="2025-10-31T00:00:00"/>
    <s v="FORMULE ÉQUILIBRE 200GO 2024 VERSION SIM (12 MOIS)"/>
    <m/>
    <e v="#N/A"/>
    <e v="#N/A"/>
    <n v="89655"/>
    <s v="92274102"/>
    <s v="ORANGE"/>
    <s v="Q4"/>
    <e v="#REF!"/>
    <e v="#REF!"/>
    <e v="#REF!"/>
  </r>
  <r>
    <s v="626100"/>
    <x v="6"/>
    <s v="Internet, Téléphone, Télécommunications"/>
    <s v="AC"/>
    <n v="48"/>
    <d v="2025-10-31T00:00:00"/>
    <s v="FORMULE ÉQUILIBRE 200GO 2024 VERSION SIM (12 MOIS)"/>
    <m/>
    <e v="#N/A"/>
    <e v="#N/A"/>
    <n v="89656"/>
    <s v="92274102"/>
    <s v="ORANGE"/>
    <s v="Q4"/>
    <e v="#REF!"/>
    <e v="#REF!"/>
    <e v="#REF!"/>
  </r>
  <r>
    <s v="626100"/>
    <x v="6"/>
    <s v="Internet, Téléphone, Télécommunications"/>
    <s v="AC"/>
    <n v="54"/>
    <d v="2025-12-31T00:00:00"/>
    <s v="FORMULE ÉQUILIBRE 200GO 2024 VERSION SIM (12 MOIS)"/>
    <m/>
    <e v="#N/A"/>
    <e v="#N/A"/>
    <n v="94901"/>
    <s v="92904436"/>
    <s v="ORANGE"/>
    <s v="Q4"/>
    <e v="#REF!"/>
    <e v="#REF!"/>
    <e v="#REF!"/>
  </r>
  <r>
    <s v="626100"/>
    <x v="6"/>
    <s v="Internet, Téléphone, Télécommunications"/>
    <s v="AC"/>
    <n v="383.71"/>
    <d v="2025-12-31T00:00:00"/>
    <s v="FORMULE ÉQUILIBRE 200GO 2024 VERSION SIM (12 MOIS)"/>
    <m/>
    <e v="#N/A"/>
    <e v="#N/A"/>
    <n v="94902"/>
    <s v="92904436"/>
    <s v="ORANGE"/>
    <s v="Q4"/>
    <e v="#REF!"/>
    <e v="#REF!"/>
    <e v="#REF!"/>
  </r>
  <r>
    <s v="626100"/>
    <x v="6"/>
    <s v="Internet, Téléphone, Télécommunications"/>
    <s v="AC"/>
    <n v="399.63"/>
    <d v="2025-10-31T00:00:00"/>
    <s v="FORMULE ÉQUILIBRE 200GO 2024 VERSION SIM (12 MOIS)"/>
    <m/>
    <e v="#N/A"/>
    <e v="#N/A"/>
    <n v="89657"/>
    <s v="92274102"/>
    <s v="ORANGE"/>
    <s v="Q4"/>
    <e v="#REF!"/>
    <e v="#REF!"/>
    <e v="#REF!"/>
  </r>
  <r>
    <s v="512100"/>
    <x v="6"/>
    <s v="BANQUE POPULAIRE RIVE DE PARIS"/>
    <s v="BPRI"/>
    <n v="1000"/>
    <d v="2025-07-07T00:00:00"/>
    <s v="INISTERE DU TRAV/LIB/ASP AGENCE COMPTABL"/>
    <m/>
    <e v="#N/A"/>
    <e v="#N/A"/>
    <n v="77024"/>
    <m/>
    <m/>
    <s v="Q3"/>
    <e v="#REF!"/>
    <e v="#REF!"/>
    <e v="#REF!"/>
  </r>
  <r>
    <s v="512100"/>
    <x v="6"/>
    <s v="BANQUE POPULAIRE RIVE DE PARIS"/>
    <s v="BPRI"/>
    <n v="81.25"/>
    <d v="2025-07-01T00:00:00"/>
    <s v="INT.PARTS SOC./LIB/INTERETS EXERCIC/LIB/INTERETS EXERCICE 2024"/>
    <m/>
    <e v="#N/A"/>
    <e v="#N/A"/>
    <n v="77068"/>
    <m/>
    <m/>
    <s v="Q3"/>
    <e v="#REF!"/>
    <e v="#REF!"/>
    <e v="#REF!"/>
  </r>
  <r>
    <s v="768000"/>
    <x v="6"/>
    <s v="AUTR. PRODUITS FINANCIERS CAT"/>
    <s v="BPRI"/>
    <n v="-81.25"/>
    <d v="2025-07-01T00:00:00"/>
    <s v="INT.PARTS SOC./LIB/INTERETS EXERCIC/LIB/INTERETS EXERCICE 2024"/>
    <m/>
    <e v="#N/A"/>
    <e v="#N/A"/>
    <n v="77069"/>
    <m/>
    <m/>
    <s v="Q3"/>
    <e v="#REF!"/>
    <e v="#REF!"/>
    <e v="#REF!"/>
  </r>
  <r>
    <s v="512100"/>
    <x v="6"/>
    <s v="BANQUE POPULAIRE RIVE DE PARIS"/>
    <s v="BPRI"/>
    <n v="1375.17"/>
    <d v="2025-07-04T00:00:00"/>
    <s v="INTERETS CREDIT/LIB/2 EME TRIMESTRE"/>
    <m/>
    <e v="#N/A"/>
    <e v="#N/A"/>
    <n v="77045"/>
    <m/>
    <m/>
    <s v="Q3"/>
    <e v="#REF!"/>
    <e v="#REF!"/>
    <e v="#REF!"/>
  </r>
  <r>
    <s v="768000"/>
    <x v="6"/>
    <s v="AUTR. PRODUITS FINANCIERS CAT"/>
    <s v="BPRI"/>
    <n v="-1375.17"/>
    <d v="2025-07-04T00:00:00"/>
    <s v="INTERETS CREDIT/LIB/2 EME TRIMESTRE"/>
    <m/>
    <e v="#N/A"/>
    <e v="#N/A"/>
    <n v="77046"/>
    <m/>
    <m/>
    <s v="Q3"/>
    <e v="#REF!"/>
    <e v="#REF!"/>
    <e v="#REF!"/>
  </r>
  <r>
    <s v="401000"/>
    <x v="6"/>
    <s v="FOURNISSEURS"/>
    <s v="BPRI"/>
    <n v="-1423.28"/>
    <d v="2025-10-07T00:00:00"/>
    <s v="INTERETS CREDIT/LIB/3 EME TRIMESTRE/LIB/INTERETS CREDIT/LIB/3 EME TRIMESTRE 2025"/>
    <m/>
    <e v="#N/A"/>
    <e v="#N/A"/>
    <n v="84348"/>
    <m/>
    <s v="Banque Populaire Rive de Paris"/>
    <s v="Q4"/>
    <e v="#REF!"/>
    <e v="#REF!"/>
    <e v="#REF!"/>
  </r>
  <r>
    <s v="512100"/>
    <x v="6"/>
    <s v="BANQUE POPULAIRE RIVE DE PARIS"/>
    <s v="BPRI"/>
    <n v="1423.28"/>
    <d v="2025-10-07T00:00:00"/>
    <s v="INTERETS CREDIT/LIB/3 EME TRIMESTRE/LIB/INTERETS CREDIT/LIB/3 EME TRIMESTRE 2025"/>
    <m/>
    <e v="#N/A"/>
    <e v="#N/A"/>
    <n v="84347"/>
    <m/>
    <s v="Banque Populaire Rive de Paris"/>
    <s v="Q4"/>
    <e v="#REF!"/>
    <e v="#REF!"/>
    <e v="#REF!"/>
  </r>
  <r>
    <s v="181000"/>
    <x v="6"/>
    <s v="COMPTE DE LIAISON DES ETABLISSEMENTS"/>
    <s v="OD"/>
    <n v="-41843.51"/>
    <d v="2025-11-18T00:00:00"/>
    <s v="Liaison établissement 401000 LIBERTY KB"/>
    <m/>
    <e v="#N/A"/>
    <e v="#N/A"/>
    <n v="90185"/>
    <s v="LOYER Q4 2025"/>
    <s v="LIBERTY PM"/>
    <s v="Q4"/>
    <e v="#REF!"/>
    <e v="#REF!"/>
    <e v="#REF!"/>
  </r>
  <r>
    <s v="401000"/>
    <x v="6"/>
    <s v="FOURNISSEURS"/>
    <s v="OD"/>
    <n v="41843.51"/>
    <d v="2025-11-18T00:00:00"/>
    <s v="Liaison établissement 401000 LIBERTY KB"/>
    <m/>
    <e v="#N/A"/>
    <e v="#N/A"/>
    <n v="90184"/>
    <s v="LOYER Q4 2025"/>
    <s v="LIBERTY PM"/>
    <s v="Q4"/>
    <e v="#REF!"/>
    <e v="#REF!"/>
    <e v="#REF!"/>
  </r>
  <r>
    <s v="181000"/>
    <x v="6"/>
    <s v="COMPTE DE LIAISON DES ETABLISSEMENTS"/>
    <s v="OD"/>
    <n v="41843.51"/>
    <d v="2025-11-18T00:00:00"/>
    <s v="Liaison établissement 401000 LIBERTY TO"/>
    <m/>
    <e v="#N/A"/>
    <e v="#N/A"/>
    <n v="90186"/>
    <s v="LOYER Q4 2025"/>
    <s v="LIBERTY PM"/>
    <s v="Q4"/>
    <e v="#REF!"/>
    <e v="#REF!"/>
    <e v="#REF!"/>
  </r>
  <r>
    <s v="401000"/>
    <x v="6"/>
    <s v="FOURNISSEURS"/>
    <s v="OD"/>
    <n v="-41843.51"/>
    <d v="2025-11-18T00:00:00"/>
    <s v="Liaison établissement 401000 LIBERTY TO"/>
    <m/>
    <e v="#N/A"/>
    <e v="#N/A"/>
    <n v="90187"/>
    <s v="LOYER Q4 2025"/>
    <s v="LIBERTY PM"/>
    <s v="Q4"/>
    <e v="#REF!"/>
    <e v="#REF!"/>
    <e v="#REF!"/>
  </r>
  <r>
    <s v="401000"/>
    <x v="6"/>
    <s v="FOURNISSEURS"/>
    <s v="BPRI"/>
    <n v="69"/>
    <d v="2025-10-01T00:00:00"/>
    <s v="LIB/290925 CB    3583/LIB/SNCF-VOYAGEURS F"/>
    <m/>
    <e v="#N/A"/>
    <e v="#N/A"/>
    <n v="82567"/>
    <m/>
    <s v="SNCF"/>
    <s v="Q4"/>
    <e v="#REF!"/>
    <e v="#REF!"/>
    <e v="#REF!"/>
  </r>
  <r>
    <s v="512100"/>
    <x v="6"/>
    <s v="BANQUE POPULAIRE RIVE DE PARIS"/>
    <s v="BPRI"/>
    <n v="-69"/>
    <d v="2025-10-01T00:00:00"/>
    <s v="LIB/290925 CB    3583/LIB/SNCF-VOYAGEURS F"/>
    <m/>
    <e v="#N/A"/>
    <e v="#N/A"/>
    <n v="82566"/>
    <m/>
    <s v="SNCF"/>
    <s v="Q4"/>
    <e v="#REF!"/>
    <e v="#REF!"/>
    <e v="#REF!"/>
  </r>
  <r>
    <s v="164110"/>
    <x v="6"/>
    <s v="PRET BP N°2 (LT) 08815036"/>
    <s v="BPRI"/>
    <n v="7971.95"/>
    <d v="2025-10-01T00:00:00"/>
    <s v="LIB/ECHEANCE PRET/LIB/8815036/LIB/DONT CAP   7971,95 ASS.   95,32E/LIB/     INT.    83,36 COM.  133,50E"/>
    <m/>
    <e v="#N/A"/>
    <e v="#N/A"/>
    <n v="82573"/>
    <m/>
    <m/>
    <s v="Q4"/>
    <e v="#REF!"/>
    <e v="#REF!"/>
    <e v="#REF!"/>
  </r>
  <r>
    <s v="512100"/>
    <x v="6"/>
    <s v="BANQUE POPULAIRE RIVE DE PARIS"/>
    <s v="BPRI"/>
    <n v="-8284.1299999999992"/>
    <d v="2025-10-01T00:00:00"/>
    <s v="LIB/ECHEANCE PRET/LIB/8815036/LIB/DONT CAP   7971,95 ASS.   95,32E/LIB/     INT.    83,36 COM.  133,50E"/>
    <m/>
    <e v="#N/A"/>
    <e v="#N/A"/>
    <n v="82572"/>
    <m/>
    <m/>
    <s v="Q4"/>
    <e v="#REF!"/>
    <e v="#REF!"/>
    <e v="#REF!"/>
  </r>
  <r>
    <s v="627200"/>
    <x v="6"/>
    <s v="Frais sur emprunts"/>
    <s v="BPRI"/>
    <n v="95.32"/>
    <d v="2025-10-01T00:00:00"/>
    <s v="LIB/ECHEANCE PRET/LIB/8815036/LIB/DONT CAP   7971,95 ASS.   95,32E/LIB/     INT.    83,36 COM.  133,50E"/>
    <m/>
    <e v="#N/A"/>
    <e v="#N/A"/>
    <n v="82574"/>
    <m/>
    <m/>
    <s v="Q4"/>
    <e v="#REF!"/>
    <e v="#REF!"/>
    <e v="#REF!"/>
  </r>
  <r>
    <s v="627200"/>
    <x v="6"/>
    <s v="Frais sur emprunts"/>
    <s v="BPRI"/>
    <n v="133.5"/>
    <d v="2025-10-01T00:00:00"/>
    <s v="LIB/ECHEANCE PRET/LIB/8815036/LIB/DONT CAP   7971,95 ASS.   95,32E/LIB/     INT.    83,36 COM.  133,50E"/>
    <m/>
    <e v="#N/A"/>
    <e v="#N/A"/>
    <n v="82576"/>
    <m/>
    <m/>
    <s v="Q4"/>
    <e v="#REF!"/>
    <e v="#REF!"/>
    <e v="#REF!"/>
  </r>
  <r>
    <s v="661100"/>
    <x v="6"/>
    <s v="INTÉRÊTS BANCAIRES"/>
    <s v="BPRI"/>
    <n v="83.36"/>
    <d v="2025-10-01T00:00:00"/>
    <s v="LIB/ECHEANCE PRET/LIB/8815036/LIB/DONT CAP   7971,95 ASS.   95,32E/LIB/     INT.    83,36 COM.  133,50E"/>
    <m/>
    <e v="#N/A"/>
    <e v="#N/A"/>
    <n v="82575"/>
    <m/>
    <m/>
    <s v="Q4"/>
    <e v="#REF!"/>
    <e v="#REF!"/>
    <e v="#REF!"/>
  </r>
  <r>
    <s v="401000"/>
    <x v="6"/>
    <s v="FOURNISSEURS"/>
    <s v="BPRI"/>
    <n v="168.59"/>
    <d v="2025-08-27T00:00:00"/>
    <s v="LINKEDIN RECRUII/LIB/260825 CB    6880"/>
    <s v="Non"/>
    <s v="Non"/>
    <e v="#N/A"/>
    <n v="81654"/>
    <m/>
    <s v="LINKEDIN"/>
    <s v="Q3"/>
    <e v="#REF!"/>
    <e v="#REF!"/>
    <e v="#REF!"/>
  </r>
  <r>
    <s v="512100"/>
    <x v="6"/>
    <s v="BANQUE POPULAIRE RIVE DE PARIS"/>
    <s v="BPRI"/>
    <n v="-168.59"/>
    <d v="2025-08-27T00:00:00"/>
    <s v="LINKEDIN RECRUII/LIB/260825 CB    6880"/>
    <s v="Non"/>
    <s v="Non"/>
    <e v="#N/A"/>
    <n v="81653"/>
    <m/>
    <s v="LINKEDIN"/>
    <s v="Q3"/>
    <e v="#REF!"/>
    <e v="#REF!"/>
    <e v="#REF!"/>
  </r>
  <r>
    <s v="431000"/>
    <x v="6"/>
    <s v="URSSAF"/>
    <s v="JC"/>
    <n v="-2123.59"/>
    <d v="2025-04-30T00:00:00"/>
    <s v="Prélèvement TA libératoire 2024 - DSN Avril 2025"/>
    <m/>
    <e v="#N/A"/>
    <e v="#N/A"/>
    <n v="96509"/>
    <m/>
    <m/>
    <s v="Q2"/>
    <e v="#REF!"/>
    <e v="#REF!"/>
    <e v="#REF!"/>
  </r>
  <r>
    <s v="438650"/>
    <x v="6"/>
    <s v="TAXE APPRENTISSAGE"/>
    <s v="JC"/>
    <n v="2123.59"/>
    <d v="2025-04-30T00:00:00"/>
    <s v="Prélèvement TA libératoire 2024 - DSN Avril 2025"/>
    <m/>
    <e v="#N/A"/>
    <e v="#N/A"/>
    <n v="96508"/>
    <m/>
    <m/>
    <s v="Q2"/>
    <e v="#REF!"/>
    <e v="#REF!"/>
    <e v="#REF!"/>
  </r>
  <r>
    <s v="442100"/>
    <x v="6"/>
    <s v="PRÉLÈVEMENTS À LA SOURCE (IR)"/>
    <s v="BPRI"/>
    <n v="3598"/>
    <d v="2025-07-23T00:00:00"/>
    <s v="PRLV INT ETS DGFIP/LIB/DGFIP/LIB/PASDSN15072025-062025-8115245450"/>
    <m/>
    <e v="#N/A"/>
    <e v="#N/A"/>
    <n v="78427"/>
    <m/>
    <m/>
    <s v="Q3"/>
    <e v="#REF!"/>
    <e v="#REF!"/>
    <e v="#REF!"/>
  </r>
  <r>
    <s v="442100"/>
    <x v="6"/>
    <s v="PRÉLÈVEMENTS À LA SOURCE (IR)"/>
    <s v="BPRI"/>
    <n v="5224"/>
    <d v="2025-07-23T00:00:00"/>
    <s v="PRLV INT ETS DGFIP/LIB/DGFIP/LIB/PASDSN15072025-062025-8115245450"/>
    <m/>
    <e v="#N/A"/>
    <e v="#N/A"/>
    <n v="78430"/>
    <m/>
    <m/>
    <s v="Q3"/>
    <e v="#REF!"/>
    <e v="#REF!"/>
    <e v="#REF!"/>
  </r>
  <r>
    <s v="442100"/>
    <x v="6"/>
    <s v="PRÉLÈVEMENTS À LA SOURCE (IR)"/>
    <s v="BPRI"/>
    <n v="8470"/>
    <d v="2025-07-23T00:00:00"/>
    <s v="PRLV INT ETS DGFIP/LIB/DGFIP/LIB/PASDSN15072025-062025-8115245450"/>
    <m/>
    <e v="#N/A"/>
    <e v="#N/A"/>
    <n v="78433"/>
    <m/>
    <m/>
    <s v="Q3"/>
    <e v="#REF!"/>
    <e v="#REF!"/>
    <e v="#REF!"/>
  </r>
  <r>
    <s v="512100"/>
    <x v="6"/>
    <s v="BANQUE POPULAIRE RIVE DE PARIS"/>
    <s v="BPRI"/>
    <n v="-8470"/>
    <d v="2025-07-23T00:00:00"/>
    <s v="PRLV INT ETS DGFIP/LIB/DGFIP/LIB/PASDSN15072025-062025-8115245450"/>
    <m/>
    <e v="#N/A"/>
    <e v="#N/A"/>
    <n v="78432"/>
    <m/>
    <m/>
    <s v="Q3"/>
    <e v="#REF!"/>
    <e v="#REF!"/>
    <e v="#REF!"/>
  </r>
  <r>
    <s v="512100"/>
    <x v="6"/>
    <s v="BANQUE POPULAIRE RIVE DE PARIS"/>
    <s v="BPRI"/>
    <n v="-5224"/>
    <d v="2025-07-23T00:00:00"/>
    <s v="PRLV INT ETS DGFIP/LIB/DGFIP/LIB/PASDSN15072025-062025-8115245450"/>
    <m/>
    <e v="#N/A"/>
    <e v="#N/A"/>
    <n v="78429"/>
    <m/>
    <m/>
    <s v="Q3"/>
    <e v="#REF!"/>
    <e v="#REF!"/>
    <e v="#REF!"/>
  </r>
  <r>
    <s v="512100"/>
    <x v="6"/>
    <s v="BANQUE POPULAIRE RIVE DE PARIS"/>
    <s v="BPRI"/>
    <n v="-3598"/>
    <d v="2025-07-23T00:00:00"/>
    <s v="PRLV INT ETS DGFIP/LIB/DGFIP/LIB/PASDSN15072025-062025-8115245450"/>
    <m/>
    <e v="#N/A"/>
    <e v="#N/A"/>
    <n v="78426"/>
    <m/>
    <m/>
    <s v="Q3"/>
    <e v="#REF!"/>
    <e v="#REF!"/>
    <e v="#REF!"/>
  </r>
  <r>
    <s v="442100"/>
    <x v="6"/>
    <s v="PRÉLÈVEMENTS À LA SOURCE (IR)"/>
    <s v="BPRI"/>
    <n v="2801"/>
    <d v="2025-09-23T00:00:00"/>
    <s v="PRLV INT ETS DGFIP/LIB/DGFIP/LIB/PASDSN15092025-082025-8115245450"/>
    <m/>
    <e v="#N/A"/>
    <e v="#N/A"/>
    <n v="82468"/>
    <m/>
    <m/>
    <s v="Q3"/>
    <e v="#REF!"/>
    <e v="#REF!"/>
    <e v="#REF!"/>
  </r>
  <r>
    <s v="442100"/>
    <x v="6"/>
    <s v="PRÉLÈVEMENTS À LA SOURCE (IR)"/>
    <s v="BPRI"/>
    <n v="5533"/>
    <d v="2025-09-23T00:00:00"/>
    <s v="PRLV INT ETS DGFIP/LIB/DGFIP/LIB/PASDSN15092025-082025-8115245450"/>
    <m/>
    <e v="#N/A"/>
    <e v="#N/A"/>
    <n v="82462"/>
    <m/>
    <m/>
    <s v="Q3"/>
    <e v="#REF!"/>
    <e v="#REF!"/>
    <e v="#REF!"/>
  </r>
  <r>
    <s v="442100"/>
    <x v="6"/>
    <s v="PRÉLÈVEMENTS À LA SOURCE (IR)"/>
    <s v="BPRI"/>
    <n v="8299"/>
    <d v="2025-09-23T00:00:00"/>
    <s v="PRLV INT ETS DGFIP/LIB/DGFIP/LIB/PASDSN15092025-082025-8115245450"/>
    <m/>
    <e v="#N/A"/>
    <e v="#N/A"/>
    <n v="82465"/>
    <m/>
    <m/>
    <s v="Q3"/>
    <e v="#REF!"/>
    <e v="#REF!"/>
    <e v="#REF!"/>
  </r>
  <r>
    <s v="512100"/>
    <x v="6"/>
    <s v="BANQUE POPULAIRE RIVE DE PARIS"/>
    <s v="BPRI"/>
    <n v="-8299"/>
    <d v="2025-09-23T00:00:00"/>
    <s v="PRLV INT ETS DGFIP/LIB/DGFIP/LIB/PASDSN15092025-082025-8115245450"/>
    <m/>
    <e v="#N/A"/>
    <e v="#N/A"/>
    <n v="82464"/>
    <m/>
    <m/>
    <s v="Q3"/>
    <e v="#REF!"/>
    <e v="#REF!"/>
    <e v="#REF!"/>
  </r>
  <r>
    <s v="512100"/>
    <x v="6"/>
    <s v="BANQUE POPULAIRE RIVE DE PARIS"/>
    <s v="BPRI"/>
    <n v="-5533"/>
    <d v="2025-09-23T00:00:00"/>
    <s v="PRLV INT ETS DGFIP/LIB/DGFIP/LIB/PASDSN15092025-082025-8115245450"/>
    <m/>
    <e v="#N/A"/>
    <e v="#N/A"/>
    <n v="82461"/>
    <m/>
    <m/>
    <s v="Q3"/>
    <e v="#REF!"/>
    <e v="#REF!"/>
    <e v="#REF!"/>
  </r>
  <r>
    <s v="512100"/>
    <x v="6"/>
    <s v="BANQUE POPULAIRE RIVE DE PARIS"/>
    <s v="BPRI"/>
    <n v="-2801"/>
    <d v="2025-09-23T00:00:00"/>
    <s v="PRLV INT ETS DGFIP/LIB/DGFIP/LIB/PASDSN15092025-082025-8115245450"/>
    <m/>
    <e v="#N/A"/>
    <e v="#N/A"/>
    <n v="82467"/>
    <m/>
    <m/>
    <s v="Q3"/>
    <e v="#REF!"/>
    <e v="#REF!"/>
    <e v="#REF!"/>
  </r>
  <r>
    <s v="437100"/>
    <x v="6"/>
    <s v="MUTUELLES - ALAN"/>
    <s v="BPRI"/>
    <n v="1408"/>
    <d v="2025-08-05T00:00:00"/>
    <s v="PRLV SEPA ALAN INSURANCE/LIB/ALAN INSURANCE/LIB/ALAN SANTE 203133"/>
    <m/>
    <e v="#N/A"/>
    <e v="#N/A"/>
    <n v="80690"/>
    <m/>
    <m/>
    <s v="Q3"/>
    <e v="#REF!"/>
    <e v="#REF!"/>
    <e v="#REF!"/>
  </r>
  <r>
    <s v="512100"/>
    <x v="6"/>
    <s v="BANQUE POPULAIRE RIVE DE PARIS"/>
    <s v="BPRI"/>
    <n v="-1408"/>
    <d v="2025-08-05T00:00:00"/>
    <s v="PRLV SEPA ALAN INSURANCE/LIB/ALAN INSURANCE/LIB/ALAN SANTE 203133"/>
    <m/>
    <e v="#N/A"/>
    <e v="#N/A"/>
    <n v="80689"/>
    <m/>
    <m/>
    <s v="Q3"/>
    <e v="#REF!"/>
    <e v="#REF!"/>
    <e v="#REF!"/>
  </r>
  <r>
    <s v="437100"/>
    <x v="6"/>
    <s v="MUTUELLES - ALAN"/>
    <s v="BPRI"/>
    <n v="622.92999999999995"/>
    <d v="2025-08-05T00:00:00"/>
    <s v="PRLV SEPA ALAN INSURANCE/LIB/ALAN INSURANCE/LIB/ALAN SANTE 203134"/>
    <m/>
    <e v="#N/A"/>
    <e v="#N/A"/>
    <n v="80688"/>
    <m/>
    <m/>
    <s v="Q3"/>
    <e v="#REF!"/>
    <e v="#REF!"/>
    <e v="#REF!"/>
  </r>
  <r>
    <s v="512100"/>
    <x v="6"/>
    <s v="BANQUE POPULAIRE RIVE DE PARIS"/>
    <s v="BPRI"/>
    <n v="-622.92999999999995"/>
    <d v="2025-08-05T00:00:00"/>
    <s v="PRLV SEPA ALAN INSURANCE/LIB/ALAN INSURANCE/LIB/ALAN SANTE 203134"/>
    <m/>
    <e v="#N/A"/>
    <e v="#N/A"/>
    <n v="80687"/>
    <m/>
    <m/>
    <s v="Q3"/>
    <e v="#REF!"/>
    <e v="#REF!"/>
    <e v="#REF!"/>
  </r>
  <r>
    <s v="437100"/>
    <x v="6"/>
    <s v="MUTUELLES - ALAN"/>
    <s v="BPRI"/>
    <n v="1152"/>
    <d v="2025-08-05T00:00:00"/>
    <s v="PRLV SEPA ALAN INSURANCE/LIB/ALAN INSURANCE/LIB/ALAN SANTE 203135"/>
    <m/>
    <e v="#N/A"/>
    <e v="#N/A"/>
    <n v="80692"/>
    <m/>
    <m/>
    <s v="Q3"/>
    <e v="#REF!"/>
    <e v="#REF!"/>
    <e v="#REF!"/>
  </r>
  <r>
    <s v="512100"/>
    <x v="6"/>
    <s v="BANQUE POPULAIRE RIVE DE PARIS"/>
    <s v="BPRI"/>
    <n v="-1152"/>
    <d v="2025-08-05T00:00:00"/>
    <s v="PRLV SEPA ALAN INSURANCE/LIB/ALAN INSURANCE/LIB/ALAN SANTE 203135"/>
    <m/>
    <e v="#N/A"/>
    <e v="#N/A"/>
    <n v="80691"/>
    <m/>
    <m/>
    <s v="Q3"/>
    <e v="#REF!"/>
    <e v="#REF!"/>
    <e v="#REF!"/>
  </r>
  <r>
    <s v="401000"/>
    <x v="6"/>
    <s v="FOURNISSEURS"/>
    <s v="BPRI"/>
    <n v="178.61"/>
    <d v="2025-09-30T00:00:00"/>
    <s v="PRLV SEPA ALFI ACTIVITE IM/LIB/ALFI ACTIVITE IM/LIB//INV/5800831067 31.8.2025/LIB/00INTERND3000000026140"/>
    <m/>
    <e v="#N/A"/>
    <e v="#N/A"/>
    <n v="82659"/>
    <m/>
    <s v="AIR LIQUIDE"/>
    <s v="Q3"/>
    <e v="#REF!"/>
    <e v="#REF!"/>
    <e v="#REF!"/>
  </r>
  <r>
    <s v="512100"/>
    <x v="6"/>
    <s v="BANQUE POPULAIRE RIVE DE PARIS"/>
    <s v="BPRI"/>
    <n v="-178.61"/>
    <d v="2025-09-30T00:00:00"/>
    <s v="PRLV SEPA ALFI ACTIVITE IM/LIB/ALFI ACTIVITE IM/LIB//INV/5800831067 31.8.2025/LIB/00INTERND3000000026140"/>
    <m/>
    <e v="#N/A"/>
    <e v="#N/A"/>
    <n v="82658"/>
    <m/>
    <s v="AIR LIQUIDE"/>
    <s v="Q3"/>
    <e v="#REF!"/>
    <e v="#REF!"/>
    <e v="#REF!"/>
  </r>
  <r>
    <s v="401000"/>
    <x v="6"/>
    <s v="FOURNISSEURS"/>
    <s v="BPRI"/>
    <n v="229.06"/>
    <d v="2025-09-30T00:00:00"/>
    <s v="PRLV SEPA ALFI ACTIVITE IM/LIB/ALFI ACTIVITE IM/LIB//INV/PO-264 22.8.2025/LIB/00INTERND3000000024075"/>
    <m/>
    <e v="#N/A"/>
    <e v="#N/A"/>
    <n v="82662"/>
    <m/>
    <s v="AIR LIQUIDE"/>
    <s v="Q3"/>
    <e v="#REF!"/>
    <e v="#REF!"/>
    <e v="#REF!"/>
  </r>
  <r>
    <s v="512100"/>
    <x v="6"/>
    <s v="BANQUE POPULAIRE RIVE DE PARIS"/>
    <s v="BPRI"/>
    <n v="-229.06"/>
    <d v="2025-09-30T00:00:00"/>
    <s v="PRLV SEPA ALFI ACTIVITE IM/LIB/ALFI ACTIVITE IM/LIB//INV/PO-264 22.8.2025/LIB/00INTERND3000000024075"/>
    <m/>
    <e v="#N/A"/>
    <e v="#N/A"/>
    <n v="82661"/>
    <m/>
    <s v="AIR LIQUIDE"/>
    <s v="Q3"/>
    <e v="#REF!"/>
    <e v="#REF!"/>
    <e v="#REF!"/>
  </r>
  <r>
    <s v="401000"/>
    <x v="6"/>
    <s v="FOURNISSEURS"/>
    <s v="BPRI"/>
    <n v="6472.98"/>
    <d v="2025-07-23T00:00:00"/>
    <s v="PRLV SEPA BDO EXPERTISE SOCIALE/LIB/BDO EXPERTISE SOCIALE/LIB/FACTURE FC-290-25-06-00764"/>
    <s v="Non"/>
    <s v="Non"/>
    <e v="#N/A"/>
    <n v="78435"/>
    <m/>
    <s v="BDO EXPERTISE"/>
    <s v="Q3"/>
    <e v="#REF!"/>
    <e v="#REF!"/>
    <e v="#REF!"/>
  </r>
  <r>
    <s v="512100"/>
    <x v="6"/>
    <s v="BANQUE POPULAIRE RIVE DE PARIS"/>
    <s v="BPRI"/>
    <n v="-6472.98"/>
    <d v="2025-07-23T00:00:00"/>
    <s v="PRLV SEPA BDO EXPERTISE SOCIALE/LIB/BDO EXPERTISE SOCIALE/LIB/FACTURE FC-290-25-06-00764"/>
    <s v="Non"/>
    <s v="Non"/>
    <e v="#N/A"/>
    <n v="78434"/>
    <m/>
    <s v="BDO EXPERTISE"/>
    <s v="Q3"/>
    <e v="#REF!"/>
    <e v="#REF!"/>
    <e v="#REF!"/>
  </r>
  <r>
    <s v="401000"/>
    <x v="6"/>
    <s v="FOURNISSEURS"/>
    <s v="BPRI"/>
    <n v="476.52"/>
    <d v="2025-10-01T00:00:00"/>
    <s v="PRLV SEPA BNP PARIBAS LEASE GRO/LIB/BNP PARIBAS LEASE GROUP"/>
    <m/>
    <e v="#N/A"/>
    <e v="#N/A"/>
    <n v="82569"/>
    <m/>
    <s v="BNP PARIBAS LEASE GROUP"/>
    <s v="Q4"/>
    <e v="#REF!"/>
    <e v="#REF!"/>
    <e v="#REF!"/>
  </r>
  <r>
    <s v="512100"/>
    <x v="6"/>
    <s v="BANQUE POPULAIRE RIVE DE PARIS"/>
    <s v="BPRI"/>
    <n v="-476.52"/>
    <d v="2025-10-01T00:00:00"/>
    <s v="PRLV SEPA BNP PARIBAS LEASE GRO/LIB/BNP PARIBAS LEASE GROUP"/>
    <m/>
    <e v="#N/A"/>
    <e v="#N/A"/>
    <n v="82568"/>
    <m/>
    <s v="BNP PARIBAS LEASE GROUP"/>
    <s v="Q4"/>
    <e v="#REF!"/>
    <e v="#REF!"/>
    <e v="#REF!"/>
  </r>
  <r>
    <s v="401000"/>
    <x v="6"/>
    <s v="FOURNISSEURS"/>
    <s v="BPRI"/>
    <n v="12"/>
    <d v="2025-08-12T00:00:00"/>
    <s v="PRLV SEPA BPIFRANCE FINANCEMENT/LIB/BPIFRANCE FINANCEMENT/LIB/BPIFRANCE FINANCEMENT/LIB/BELAB0000000002482AA00176"/>
    <m/>
    <e v="#N/A"/>
    <e v="#N/A"/>
    <n v="80807"/>
    <m/>
    <s v="BPI FRANCE"/>
    <s v="Q3"/>
    <e v="#REF!"/>
    <e v="#REF!"/>
    <e v="#REF!"/>
  </r>
  <r>
    <s v="512100"/>
    <x v="6"/>
    <s v="BANQUE POPULAIRE RIVE DE PARIS"/>
    <s v="BPRI"/>
    <n v="-12"/>
    <d v="2025-08-12T00:00:00"/>
    <s v="PRLV SEPA BPIFRANCE FINANCEMENT/LIB/BPIFRANCE FINANCEMENT/LIB/BPIFRANCE FINANCEMENT/LIB/BELAB0000000002482AA00176"/>
    <m/>
    <e v="#N/A"/>
    <e v="#N/A"/>
    <n v="80806"/>
    <m/>
    <s v="BPI FRANCE"/>
    <s v="Q3"/>
    <e v="#REF!"/>
    <e v="#REF!"/>
    <e v="#REF!"/>
  </r>
  <r>
    <s v="164220"/>
    <x v="6"/>
    <s v="BPI - Emprunt Amorçage FEI - DOS009339700 "/>
    <s v="BPRI"/>
    <n v="12500"/>
    <d v="2025-06-30T00:00:00"/>
    <s v="PRLV SEPA BPIFRANCE/LIB/BPIFRANCE/LIB/5234776 F2506/000276949/LIB/RUM-01212407"/>
    <m/>
    <e v="#N/A"/>
    <e v="#N/A"/>
    <n v="76927"/>
    <m/>
    <m/>
    <s v="Q2"/>
    <e v="#REF!"/>
    <e v="#REF!"/>
    <e v="#REF!"/>
  </r>
  <r>
    <s v="512100"/>
    <x v="6"/>
    <s v="BANQUE POPULAIRE RIVE DE PARIS"/>
    <s v="BPRI"/>
    <n v="-13925"/>
    <d v="2025-06-30T00:00:00"/>
    <s v="PRLV SEPA BPIFRANCE/LIB/BPIFRANCE/LIB/5234776 F2506/000276949/LIB/RUM-01212407"/>
    <m/>
    <e v="#N/A"/>
    <e v="#N/A"/>
    <n v="76926"/>
    <m/>
    <m/>
    <s v="Q2"/>
    <e v="#REF!"/>
    <e v="#REF!"/>
    <e v="#REF!"/>
  </r>
  <r>
    <s v="661100"/>
    <x v="6"/>
    <s v="INTÉRÊTS BANCAIRES"/>
    <s v="BPRI"/>
    <n v="1425"/>
    <d v="2025-06-30T00:00:00"/>
    <s v="PRLV SEPA BPIFRANCE/LIB/BPIFRANCE/LIB/5234776 F2506/000276949/LIB/RUM-01212407"/>
    <m/>
    <e v="#N/A"/>
    <e v="#N/A"/>
    <n v="76928"/>
    <m/>
    <m/>
    <s v="Q2"/>
    <e v="#REF!"/>
    <e v="#REF!"/>
    <e v="#REF!"/>
  </r>
  <r>
    <s v="512100"/>
    <x v="6"/>
    <s v="BANQUE POPULAIRE RIVE DE PARIS"/>
    <s v="BPRI"/>
    <n v="-22700"/>
    <d v="2025-06-30T00:00:00"/>
    <s v="PRLV SEPA BPIFRANCE/LIB/BPIFRANCE/LIB/5234777 F2506/000303406/LIB/RUM-01331624"/>
    <m/>
    <e v="#N/A"/>
    <e v="#N/A"/>
    <n v="77005"/>
    <m/>
    <m/>
    <s v="Q2"/>
    <e v="#REF!"/>
    <e v="#REF!"/>
    <e v="#REF!"/>
  </r>
  <r>
    <s v="401000"/>
    <x v="6"/>
    <s v="FOURNISSEURS"/>
    <s v="BPRI"/>
    <n v="29.27"/>
    <d v="2025-07-07T00:00:00"/>
    <s v="PRLV SEPA ENGIE/LIB/ENGIE/LIB/300003369236-980005338298/LIB/00PEG0418998"/>
    <m/>
    <e v="#N/A"/>
    <e v="#N/A"/>
    <n v="77027"/>
    <m/>
    <s v="ENGIE"/>
    <s v="Q3"/>
    <e v="#REF!"/>
    <e v="#REF!"/>
    <e v="#REF!"/>
  </r>
  <r>
    <s v="512100"/>
    <x v="6"/>
    <s v="BANQUE POPULAIRE RIVE DE PARIS"/>
    <s v="BPRI"/>
    <n v="-29.27"/>
    <d v="2025-07-07T00:00:00"/>
    <s v="PRLV SEPA ENGIE/LIB/ENGIE/LIB/300003369236-980005338298/LIB/00PEG0418998"/>
    <m/>
    <e v="#N/A"/>
    <e v="#N/A"/>
    <n v="77026"/>
    <m/>
    <s v="ENGIE"/>
    <s v="Q3"/>
    <e v="#REF!"/>
    <e v="#REF!"/>
    <e v="#REF!"/>
  </r>
  <r>
    <s v="401000"/>
    <x v="6"/>
    <s v="FOURNISSEURS"/>
    <s v="BPRI"/>
    <n v="158.65"/>
    <d v="2025-08-11T00:00:00"/>
    <s v="PRLV SEPA FENWICK FINANCIAL SER/LIB/FENWICK FINANCIAL SERVIC/LIB/158,65 CONTRAT20086968//LIB/000000002681"/>
    <m/>
    <e v="#N/A"/>
    <e v="#N/A"/>
    <n v="80799"/>
    <m/>
    <s v="FENWICK FINANCIAL SERVICES"/>
    <s v="Q3"/>
    <e v="#REF!"/>
    <e v="#REF!"/>
    <e v="#REF!"/>
  </r>
  <r>
    <s v="512100"/>
    <x v="6"/>
    <s v="BANQUE POPULAIRE RIVE DE PARIS"/>
    <s v="BPRI"/>
    <n v="-158.65"/>
    <d v="2025-08-11T00:00:00"/>
    <s v="PRLV SEPA FENWICK FINANCIAL SER/LIB/FENWICK FINANCIAL SERVIC/LIB/158,65 CONTRAT20086968//LIB/000000002681"/>
    <m/>
    <e v="#N/A"/>
    <e v="#N/A"/>
    <n v="80798"/>
    <m/>
    <s v="FENWICK FINANCIAL SERVICES"/>
    <s v="Q3"/>
    <e v="#REF!"/>
    <e v="#REF!"/>
    <e v="#REF!"/>
  </r>
  <r>
    <s v="401000"/>
    <x v="6"/>
    <s v="FOURNISSEURS"/>
    <s v="BPRI"/>
    <n v="907.2"/>
    <d v="2025-08-05T00:00:00"/>
    <s v="PRLV SEPA ORANGE SA/LIB/ORANGE SA/LIB/DIVENT - P - FACTURE: 1250704938"/>
    <m/>
    <e v="#N/A"/>
    <e v="#N/A"/>
    <n v="80712"/>
    <m/>
    <s v="ORANGE"/>
    <s v="Q3"/>
    <e v="#REF!"/>
    <e v="#REF!"/>
    <e v="#REF!"/>
  </r>
  <r>
    <s v="512100"/>
    <x v="6"/>
    <s v="BANQUE POPULAIRE RIVE DE PARIS"/>
    <s v="BPRI"/>
    <n v="-907.2"/>
    <d v="2025-08-05T00:00:00"/>
    <s v="PRLV SEPA ORANGE SA/LIB/ORANGE SA/LIB/DIVENT - P - FACTURE: 1250704938"/>
    <m/>
    <e v="#N/A"/>
    <e v="#N/A"/>
    <n v="80711"/>
    <m/>
    <s v="ORANGE"/>
    <s v="Q3"/>
    <e v="#REF!"/>
    <e v="#REF!"/>
    <e v="#REF!"/>
  </r>
  <r>
    <s v="401000"/>
    <x v="6"/>
    <s v="FOURNISSEURS"/>
    <s v="BPRI"/>
    <n v="514.08000000000004"/>
    <d v="2025-09-29T00:00:00"/>
    <s v="PRLV SEPA ORANGE SA/LIB/ORANGE SA/LIB/MOBENT - P - FACTURE: 4015 - COM/"/>
    <m/>
    <e v="#N/A"/>
    <e v="#N/A"/>
    <n v="82646"/>
    <m/>
    <s v="ORANGE"/>
    <s v="Q3"/>
    <e v="#REF!"/>
    <e v="#REF!"/>
    <e v="#REF!"/>
  </r>
  <r>
    <s v="512100"/>
    <x v="6"/>
    <s v="BANQUE POPULAIRE RIVE DE PARIS"/>
    <s v="BPRI"/>
    <n v="-514.08000000000004"/>
    <d v="2025-09-29T00:00:00"/>
    <s v="PRLV SEPA ORANGE SA/LIB/ORANGE SA/LIB/MOBENT - P - FACTURE: 4015 - COM/"/>
    <m/>
    <e v="#N/A"/>
    <e v="#N/A"/>
    <n v="82645"/>
    <m/>
    <s v="ORANGE"/>
    <s v="Q3"/>
    <e v="#REF!"/>
    <e v="#REF!"/>
    <e v="#REF!"/>
  </r>
  <r>
    <s v="401000"/>
    <x v="6"/>
    <s v="FOURNISSEURS"/>
    <s v="BPRI"/>
    <n v="585.19000000000005"/>
    <d v="2025-06-23T00:00:00"/>
    <s v="PRLV SEPA ORANGE SA/LIB/ORANGE SA/LIB/MOBENT - P - FACTURE: 4696 - COM"/>
    <m/>
    <e v="#N/A"/>
    <e v="#N/A"/>
    <n v="76163"/>
    <m/>
    <s v="ORANGE"/>
    <s v="Q2"/>
    <e v="#REF!"/>
    <e v="#REF!"/>
    <e v="#REF!"/>
  </r>
  <r>
    <s v="512100"/>
    <x v="6"/>
    <s v="BANQUE POPULAIRE RIVE DE PARIS"/>
    <s v="BPRI"/>
    <n v="-585.19000000000005"/>
    <d v="2025-06-23T00:00:00"/>
    <s v="PRLV SEPA ORANGE SA/LIB/ORANGE SA/LIB/MOBENT - P - FACTURE: 4696 - COM"/>
    <m/>
    <e v="#N/A"/>
    <e v="#N/A"/>
    <n v="76162"/>
    <m/>
    <s v="ORANGE"/>
    <s v="Q2"/>
    <e v="#REF!"/>
    <e v="#REF!"/>
    <e v="#REF!"/>
  </r>
  <r>
    <s v="401000"/>
    <x v="6"/>
    <s v="FOURNISSEURS"/>
    <s v="BPRI"/>
    <n v="503.86"/>
    <d v="2025-08-25T00:00:00"/>
    <s v="PRLV SEPA ORANGE SA/LIB/ORANGE SA/LIB/MOBENT - P - FACTURE: 6859 - COM"/>
    <m/>
    <e v="#N/A"/>
    <e v="#N/A"/>
    <n v="81637"/>
    <m/>
    <s v="ORANGE"/>
    <s v="Q3"/>
    <e v="#REF!"/>
    <e v="#REF!"/>
    <e v="#REF!"/>
  </r>
  <r>
    <s v="512100"/>
    <x v="6"/>
    <s v="BANQUE POPULAIRE RIVE DE PARIS"/>
    <s v="BPRI"/>
    <n v="-503.86"/>
    <d v="2025-08-25T00:00:00"/>
    <s v="PRLV SEPA ORANGE SA/LIB/ORANGE SA/LIB/MOBENT - P - FACTURE: 6859 - COM"/>
    <m/>
    <e v="#N/A"/>
    <e v="#N/A"/>
    <n v="81636"/>
    <m/>
    <s v="ORANGE"/>
    <s v="Q3"/>
    <e v="#REF!"/>
    <e v="#REF!"/>
    <e v="#REF!"/>
  </r>
  <r>
    <s v="401000"/>
    <x v="6"/>
    <s v="FOURNISSEURS"/>
    <s v="BPRI"/>
    <n v="449.4"/>
    <d v="2025-07-28T00:00:00"/>
    <s v="PRLV SEPA ORANGE SA/LIB/ORANGE SA/LIB/MOBENT - P - FACTURE: 8499 - COM/"/>
    <m/>
    <e v="#N/A"/>
    <e v="#N/A"/>
    <n v="78973"/>
    <m/>
    <s v="ORANGE"/>
    <s v="Q3"/>
    <e v="#REF!"/>
    <e v="#REF!"/>
    <e v="#REF!"/>
  </r>
  <r>
    <s v="512100"/>
    <x v="6"/>
    <s v="BANQUE POPULAIRE RIVE DE PARIS"/>
    <s v="BPRI"/>
    <n v="-449.4"/>
    <d v="2025-07-28T00:00:00"/>
    <s v="PRLV SEPA ORANGE SA/LIB/ORANGE SA/LIB/MOBENT - P - FACTURE: 8499 - COM/"/>
    <m/>
    <e v="#N/A"/>
    <e v="#N/A"/>
    <n v="78972"/>
    <m/>
    <s v="ORANGE"/>
    <s v="Q3"/>
    <e v="#REF!"/>
    <e v="#REF!"/>
    <e v="#REF!"/>
  </r>
  <r>
    <s v="401000"/>
    <x v="6"/>
    <s v="FOURNISSEURS"/>
    <s v="BPRI"/>
    <n v="157.19999999999999"/>
    <d v="2025-07-11T00:00:00"/>
    <s v="PRLV SEPA ORANGE SA/VOTRE ABONNEMENT FIBRE (FACTURE:/LIB/M0066644577"/>
    <m/>
    <e v="#N/A"/>
    <e v="#N/A"/>
    <n v="77374"/>
    <m/>
    <s v="ORANGE"/>
    <s v="Q3"/>
    <e v="#REF!"/>
    <e v="#REF!"/>
    <e v="#REF!"/>
  </r>
  <r>
    <s v="512100"/>
    <x v="6"/>
    <s v="BANQUE POPULAIRE RIVE DE PARIS"/>
    <s v="BPRI"/>
    <n v="-157.19999999999999"/>
    <d v="2025-07-11T00:00:00"/>
    <s v="PRLV SEPA ORANGE SA/VOTRE ABONNEMENT FIBRE (FACTURE:/LIB/M0066644577"/>
    <m/>
    <e v="#N/A"/>
    <e v="#N/A"/>
    <n v="77373"/>
    <m/>
    <s v="ORANGE"/>
    <s v="Q3"/>
    <e v="#REF!"/>
    <e v="#REF!"/>
    <e v="#REF!"/>
  </r>
  <r>
    <s v="401000"/>
    <x v="6"/>
    <s v="FOURNISSEURS"/>
    <s v="BPRI"/>
    <n v="1426.11"/>
    <d v="2025-08-11T00:00:00"/>
    <s v="PRLV SEPA REGIE CONSEIL/LIB/REGIE CONSEIL/LIB/PRELEVEMENT DU 11/08/2025/LIB/L00005087001"/>
    <m/>
    <e v="#N/A"/>
    <e v="#N/A"/>
    <n v="80802"/>
    <m/>
    <s v="REGIE CONSEIL"/>
    <s v="Q3"/>
    <e v="#REF!"/>
    <e v="#REF!"/>
    <e v="#REF!"/>
  </r>
  <r>
    <s v="512100"/>
    <x v="6"/>
    <s v="BANQUE POPULAIRE RIVE DE PARIS"/>
    <s v="BPRI"/>
    <n v="-1426.11"/>
    <d v="2025-08-11T00:00:00"/>
    <s v="PRLV SEPA REGIE CONSEIL/LIB/REGIE CONSEIL/LIB/PRELEVEMENT DU 11/08/2025/LIB/L00005087001"/>
    <m/>
    <e v="#N/A"/>
    <e v="#N/A"/>
    <n v="80801"/>
    <m/>
    <s v="REGIE CONSEIL"/>
    <s v="Q3"/>
    <e v="#REF!"/>
    <e v="#REF!"/>
    <e v="#REF!"/>
  </r>
  <r>
    <s v="401000"/>
    <x v="6"/>
    <s v="FOURNISSEURS"/>
    <s v="BPRI"/>
    <n v="136.56"/>
    <d v="2025-08-11T00:00:00"/>
    <s v="PRLV SEPA SYLARELE HELLOCE/LIB/SYLARELE HELLOCE/LIB/HELLOCSE - FACTURE 2025-08-2316/LIB/TVNCKVN"/>
    <m/>
    <s v="Non"/>
    <e v="#N/A"/>
    <n v="80805"/>
    <m/>
    <s v="HELLOCSE"/>
    <s v="Q3"/>
    <e v="#REF!"/>
    <e v="#REF!"/>
    <e v="#REF!"/>
  </r>
  <r>
    <s v="512100"/>
    <x v="6"/>
    <s v="BANQUE POPULAIRE RIVE DE PARIS"/>
    <s v="BPRI"/>
    <n v="-136.56"/>
    <d v="2025-08-11T00:00:00"/>
    <s v="PRLV SEPA SYLARELE HELLOCE/LIB/SYLARELE HELLOCE/LIB/HELLOCSE - FACTURE 2025-08-2316/LIB/TVNCKVN"/>
    <m/>
    <s v="Non"/>
    <e v="#N/A"/>
    <n v="80804"/>
    <m/>
    <s v="HELLOCSE"/>
    <s v="Q3"/>
    <e v="#REF!"/>
    <e v="#REF!"/>
    <e v="#REF!"/>
  </r>
  <r>
    <s v="401000"/>
    <x v="6"/>
    <s v="FOURNISSEURS"/>
    <s v="BPRI"/>
    <n v="136.56"/>
    <d v="2025-10-03T00:00:00"/>
    <s v="PRLV SEPA SYLARELE HELLOCE/LIB/SYLARELE HELLOCE/LIB/HELLOCSE - FACTURE 2025-10-231"/>
    <m/>
    <s v="Non"/>
    <e v="#N/A"/>
    <n v="82680"/>
    <m/>
    <s v="HELLOCSE"/>
    <s v="Q4"/>
    <e v="#REF!"/>
    <e v="#REF!"/>
    <e v="#REF!"/>
  </r>
  <r>
    <s v="512100"/>
    <x v="6"/>
    <s v="BANQUE POPULAIRE RIVE DE PARIS"/>
    <s v="BPRI"/>
    <n v="-136.56"/>
    <d v="2025-10-03T00:00:00"/>
    <s v="PRLV SEPA SYLARELE HELLOCE/LIB/SYLARELE HELLOCE/LIB/HELLOCSE - FACTURE 2025-10-231"/>
    <m/>
    <s v="Non"/>
    <e v="#N/A"/>
    <n v="82679"/>
    <m/>
    <s v="HELLOCSE"/>
    <s v="Q4"/>
    <e v="#REF!"/>
    <e v="#REF!"/>
    <e v="#REF!"/>
  </r>
  <r>
    <s v="401000"/>
    <x v="6"/>
    <s v="FOURNISSEURS"/>
    <s v="AC"/>
    <n v="-349"/>
    <d v="2025-11-27T00:00:00"/>
    <s v="RENOUVELLEMENT CARTE LIBERTÉ"/>
    <m/>
    <e v="#N/A"/>
    <e v="#N/A"/>
    <n v="91470"/>
    <s v="42"/>
    <s v="SNCF"/>
    <s v="Q4"/>
    <e v="#REF!"/>
    <e v="#REF!"/>
    <e v="#REF!"/>
  </r>
  <r>
    <s v="625100"/>
    <x v="6"/>
    <s v="Voyages et déplacements"/>
    <s v="AC"/>
    <n v="349"/>
    <d v="2025-11-27T00:00:00"/>
    <s v="RENOUVELLEMENT CARTE LIBERTÉ"/>
    <m/>
    <e v="#N/A"/>
    <e v="#N/A"/>
    <n v="91471"/>
    <s v="42"/>
    <s v="SNCF"/>
    <s v="Q4"/>
    <e v="#REF!"/>
    <e v="#REF!"/>
    <e v="#REF!"/>
  </r>
  <r>
    <s v="401000"/>
    <x v="6"/>
    <s v="FOURNISSEURS"/>
    <s v="AC"/>
    <n v="-721"/>
    <d v="2025-04-25T00:00:00"/>
    <s v="RENOUVELLEMENT CARTE LIBERTÉ + BILLETS AR TOULOUSE + BILLETS AR KB X 2"/>
    <m/>
    <e v="#N/A"/>
    <e v="#N/A"/>
    <n v="72610"/>
    <s v="JULAC202505"/>
    <s v="SNCF"/>
    <s v="Q2"/>
    <e v="#REF!"/>
    <e v="#REF!"/>
    <e v="#REF!"/>
  </r>
  <r>
    <s v="625100"/>
    <x v="6"/>
    <s v="Voyages et déplacements"/>
    <s v="AC"/>
    <n v="721"/>
    <d v="2025-04-25T00:00:00"/>
    <s v="RENOUVELLEMENT CARTE LIBERTÉ + BILLETS AR TOULOUSE + BILLETS AR KB X 2"/>
    <m/>
    <e v="#N/A"/>
    <e v="#N/A"/>
    <n v="72611"/>
    <s v="JULAC202505"/>
    <s v="SNCF"/>
    <s v="Q2"/>
    <e v="#REF!"/>
    <e v="#REF!"/>
    <e v="#REF!"/>
  </r>
  <r>
    <s v="401000"/>
    <x v="6"/>
    <s v="FOURNISSEURS"/>
    <s v="BPRI"/>
    <n v="61"/>
    <d v="2025-09-01T00:00:00"/>
    <s v="SNCF-VOYAGEURS F/LIB/300825 CB    3583"/>
    <m/>
    <e v="#N/A"/>
    <e v="#N/A"/>
    <n v="81671"/>
    <m/>
    <s v="SNCF"/>
    <s v="Q3"/>
    <e v="#REF!"/>
    <e v="#REF!"/>
    <e v="#REF!"/>
  </r>
  <r>
    <s v="401000"/>
    <x v="6"/>
    <s v="FOURNISSEURS"/>
    <s v="BPRI"/>
    <n v="73"/>
    <d v="2025-09-01T00:00:00"/>
    <s v="SNCF-VOYAGEURS F/LIB/300825 CB    3583"/>
    <m/>
    <e v="#N/A"/>
    <e v="#N/A"/>
    <n v="81679"/>
    <m/>
    <s v="SNCF"/>
    <s v="Q3"/>
    <e v="#REF!"/>
    <e v="#REF!"/>
    <e v="#REF!"/>
  </r>
  <r>
    <s v="401000"/>
    <x v="6"/>
    <s v="FOURNISSEURS"/>
    <s v="BPRI"/>
    <n v="73"/>
    <d v="2025-09-01T00:00:00"/>
    <s v="SNCF-VOYAGEURS F/LIB/300825 CB    3583"/>
    <m/>
    <e v="#N/A"/>
    <e v="#N/A"/>
    <n v="81681"/>
    <m/>
    <s v="SNCF"/>
    <s v="Q3"/>
    <e v="#REF!"/>
    <e v="#REF!"/>
    <e v="#REF!"/>
  </r>
  <r>
    <s v="401000"/>
    <x v="6"/>
    <s v="FOURNISSEURS"/>
    <s v="BPRI"/>
    <n v="349"/>
    <d v="2025-09-01T00:00:00"/>
    <s v="SNCF-VOYAGEURS F/LIB/300825 CB    3583"/>
    <m/>
    <e v="#N/A"/>
    <e v="#N/A"/>
    <n v="81683"/>
    <m/>
    <s v="SNCF"/>
    <s v="Q3"/>
    <e v="#REF!"/>
    <e v="#REF!"/>
    <e v="#REF!"/>
  </r>
  <r>
    <s v="512100"/>
    <x v="6"/>
    <s v="BANQUE POPULAIRE RIVE DE PARIS"/>
    <s v="BPRI"/>
    <n v="-349"/>
    <d v="2025-09-01T00:00:00"/>
    <s v="SNCF-VOYAGEURS F/LIB/300825 CB    3583"/>
    <m/>
    <e v="#N/A"/>
    <e v="#N/A"/>
    <n v="81682"/>
    <m/>
    <s v="SNCF"/>
    <s v="Q3"/>
    <e v="#REF!"/>
    <e v="#REF!"/>
    <e v="#REF!"/>
  </r>
  <r>
    <s v="512100"/>
    <x v="6"/>
    <s v="BANQUE POPULAIRE RIVE DE PARIS"/>
    <s v="BPRI"/>
    <n v="-73"/>
    <d v="2025-09-01T00:00:00"/>
    <s v="SNCF-VOYAGEURS F/LIB/300825 CB    3583"/>
    <m/>
    <e v="#N/A"/>
    <e v="#N/A"/>
    <n v="81678"/>
    <m/>
    <s v="SNCF"/>
    <s v="Q3"/>
    <e v="#REF!"/>
    <e v="#REF!"/>
    <e v="#REF!"/>
  </r>
  <r>
    <s v="512100"/>
    <x v="6"/>
    <s v="BANQUE POPULAIRE RIVE DE PARIS"/>
    <s v="BPRI"/>
    <n v="-73"/>
    <d v="2025-09-01T00:00:00"/>
    <s v="SNCF-VOYAGEURS F/LIB/300825 CB    3583"/>
    <m/>
    <e v="#N/A"/>
    <e v="#N/A"/>
    <n v="81680"/>
    <m/>
    <s v="SNCF"/>
    <s v="Q3"/>
    <e v="#REF!"/>
    <e v="#REF!"/>
    <e v="#REF!"/>
  </r>
  <r>
    <s v="512100"/>
    <x v="6"/>
    <s v="BANQUE POPULAIRE RIVE DE PARIS"/>
    <s v="BPRI"/>
    <n v="-61"/>
    <d v="2025-09-01T00:00:00"/>
    <s v="SNCF-VOYAGEURS F/LIB/300825 CB    3583"/>
    <m/>
    <e v="#N/A"/>
    <e v="#N/A"/>
    <n v="81670"/>
    <m/>
    <s v="SNCF"/>
    <s v="Q3"/>
    <e v="#REF!"/>
    <e v="#REF!"/>
    <e v="#REF!"/>
  </r>
  <r>
    <s v="438650"/>
    <x v="6"/>
    <s v="TAXE APPRENTISSAGE"/>
    <s v="SA"/>
    <n v="-328.07"/>
    <d v="2025-02-28T00:00:00"/>
    <s v="TAXE D'APPRENTISSAGE (LIBÉRATOIRE)"/>
    <m/>
    <e v="#N/A"/>
    <e v="#N/A"/>
    <n v="85203"/>
    <s v="SA202502"/>
    <m/>
    <s v="Q1"/>
    <e v="#REF!"/>
    <e v="#REF!"/>
    <e v="#REF!"/>
  </r>
  <r>
    <s v="438650"/>
    <x v="6"/>
    <s v="TAXE APPRENTISSAGE"/>
    <s v="SA"/>
    <n v="-173.26"/>
    <d v="2025-06-30T00:00:00"/>
    <s v="TAXE D'APPRENTISSAGE (LIBÉRATOIRE)"/>
    <m/>
    <e v="#N/A"/>
    <e v="#N/A"/>
    <n v="79990"/>
    <s v="SA202506"/>
    <m/>
    <s v="Q2"/>
    <e v="#REF!"/>
    <e v="#REF!"/>
    <e v="#REF!"/>
  </r>
  <r>
    <s v="438650"/>
    <x v="6"/>
    <s v="TAXE APPRENTISSAGE"/>
    <s v="SA"/>
    <n v="-171.38"/>
    <d v="2025-09-30T00:00:00"/>
    <s v="TAXE D'APPRENTISSAGE (LIBÉRATOIRE)"/>
    <m/>
    <e v="#N/A"/>
    <e v="#N/A"/>
    <n v="84110"/>
    <s v="SA202509"/>
    <m/>
    <s v="Q3"/>
    <e v="#REF!"/>
    <e v="#REF!"/>
    <e v="#REF!"/>
  </r>
  <r>
    <s v="438650"/>
    <x v="6"/>
    <s v="TAXE APPRENTISSAGE"/>
    <s v="SA"/>
    <n v="-169.91"/>
    <d v="2025-03-31T00:00:00"/>
    <s v="TAXE D'APPRENTISSAGE (LIBÉRATOIRE)"/>
    <m/>
    <e v="#N/A"/>
    <e v="#N/A"/>
    <n v="80499"/>
    <s v="SA202503"/>
    <m/>
    <s v="Q1"/>
    <e v="#REF!"/>
    <e v="#REF!"/>
    <e v="#REF!"/>
  </r>
  <r>
    <s v="438650"/>
    <x v="6"/>
    <s v="TAXE APPRENTISSAGE"/>
    <s v="SA"/>
    <n v="-169.86"/>
    <d v="2025-01-31T00:00:00"/>
    <s v="TAXE D'APPRENTISSAGE (LIBÉRATOIRE)"/>
    <m/>
    <e v="#N/A"/>
    <e v="#N/A"/>
    <n v="85391"/>
    <s v="SA202501"/>
    <m/>
    <s v="Q1"/>
    <e v="#REF!"/>
    <e v="#REF!"/>
    <e v="#REF!"/>
  </r>
  <r>
    <s v="438650"/>
    <x v="6"/>
    <s v="TAXE APPRENTISSAGE"/>
    <s v="SA"/>
    <n v="-168.77"/>
    <d v="2025-07-31T00:00:00"/>
    <s v="TAXE D'APPRENTISSAGE (LIBÉRATOIRE)"/>
    <m/>
    <e v="#N/A"/>
    <e v="#N/A"/>
    <n v="79816"/>
    <s v="SA202507"/>
    <m/>
    <s v="Q3"/>
    <e v="#REF!"/>
    <e v="#REF!"/>
    <e v="#REF!"/>
  </r>
  <r>
    <s v="438650"/>
    <x v="6"/>
    <s v="TAXE APPRENTISSAGE"/>
    <s v="SA"/>
    <n v="-168.06"/>
    <d v="2025-04-30T00:00:00"/>
    <s v="TAXE D'APPRENTISSAGE (LIBÉRATOIRE)"/>
    <m/>
    <e v="#N/A"/>
    <e v="#N/A"/>
    <n v="80329"/>
    <s v="SA202504"/>
    <m/>
    <s v="Q2"/>
    <e v="#REF!"/>
    <e v="#REF!"/>
    <e v="#REF!"/>
  </r>
  <r>
    <s v="438650"/>
    <x v="6"/>
    <s v="TAXE APPRENTISSAGE"/>
    <s v="SA"/>
    <n v="-166.97"/>
    <d v="2025-05-31T00:00:00"/>
    <s v="TAXE D'APPRENTISSAGE (LIBÉRATOIRE)"/>
    <m/>
    <e v="#N/A"/>
    <e v="#N/A"/>
    <n v="80159"/>
    <s v="SA202505"/>
    <m/>
    <s v="Q2"/>
    <e v="#REF!"/>
    <e v="#REF!"/>
    <e v="#REF!"/>
  </r>
  <r>
    <s v="438650"/>
    <x v="6"/>
    <s v="TAXE APPRENTISSAGE"/>
    <s v="SA"/>
    <n v="-165.18"/>
    <d v="2025-11-30T00:00:00"/>
    <s v="TAXE D'APPRENTISSAGE (LIBÉRATOIRE)"/>
    <m/>
    <e v="#N/A"/>
    <e v="#N/A"/>
    <n v="92284"/>
    <s v="SA202511"/>
    <m/>
    <s v="Q4"/>
    <e v="#REF!"/>
    <e v="#REF!"/>
    <e v="#REF!"/>
  </r>
  <r>
    <s v="438650"/>
    <x v="6"/>
    <s v="TAXE APPRENTISSAGE"/>
    <s v="SA"/>
    <n v="-165.11"/>
    <d v="2025-10-31T00:00:00"/>
    <s v="TAXE D'APPRENTISSAGE (LIBÉRATOIRE)"/>
    <m/>
    <e v="#N/A"/>
    <e v="#N/A"/>
    <n v="87775"/>
    <s v="SA202510"/>
    <m/>
    <s v="Q4"/>
    <e v="#REF!"/>
    <e v="#REF!"/>
    <e v="#REF!"/>
  </r>
  <r>
    <s v="438650"/>
    <x v="6"/>
    <s v="TAXE APPRENTISSAGE"/>
    <s v="SA"/>
    <n v="-164.91"/>
    <d v="2025-08-31T00:00:00"/>
    <s v="TAXE D'APPRENTISSAGE (LIBÉRATOIRE)"/>
    <m/>
    <e v="#N/A"/>
    <e v="#N/A"/>
    <n v="83935"/>
    <s v="SA202508"/>
    <m/>
    <s v="Q3"/>
    <e v="#REF!"/>
    <e v="#REF!"/>
    <e v="#REF!"/>
  </r>
  <r>
    <s v="438650"/>
    <x v="6"/>
    <s v="TAXE APPRENTISSAGE"/>
    <s v="SA"/>
    <n v="-162.02000000000001"/>
    <d v="2025-12-31T00:00:00"/>
    <s v="TAXE D'APPRENTISSAGE (LIBÉRATOIRE)"/>
    <m/>
    <e v="#N/A"/>
    <e v="#N/A"/>
    <n v="92743"/>
    <s v="SA202512"/>
    <m/>
    <s v="Q4"/>
    <e v="#REF!"/>
    <e v="#REF!"/>
    <e v="#REF!"/>
  </r>
  <r>
    <s v="631200"/>
    <x v="6"/>
    <s v="TAXE D'APPRENTISSAGE"/>
    <s v="SA"/>
    <n v="11.18"/>
    <d v="2025-01-31T00:00:00"/>
    <s v="TAXE D'APPRENTISSAGE (LIBÉRATOIRE)"/>
    <m/>
    <e v="#N/A"/>
    <e v="#N/A"/>
    <n v="85400"/>
    <s v="SA202501"/>
    <m/>
    <s v="Q1"/>
    <e v="#REF!"/>
    <e v="#REF!"/>
    <e v="#REF!"/>
  </r>
  <r>
    <s v="631200"/>
    <x v="6"/>
    <s v="TAXE D'APPRENTISSAGE"/>
    <s v="SA"/>
    <n v="11.41"/>
    <d v="2025-03-31T00:00:00"/>
    <s v="TAXE D'APPRENTISSAGE (LIBÉRATOIRE)"/>
    <m/>
    <e v="#N/A"/>
    <e v="#N/A"/>
    <n v="80508"/>
    <s v="SA202503"/>
    <m/>
    <s v="Q1"/>
    <e v="#REF!"/>
    <e v="#REF!"/>
    <e v="#REF!"/>
  </r>
  <r>
    <s v="631200"/>
    <x v="6"/>
    <s v="TAXE D'APPRENTISSAGE"/>
    <s v="SA"/>
    <n v="11.41"/>
    <d v="2025-04-30T00:00:00"/>
    <s v="TAXE D'APPRENTISSAGE (LIBÉRATOIRE)"/>
    <m/>
    <e v="#N/A"/>
    <e v="#N/A"/>
    <n v="80338"/>
    <s v="SA202504"/>
    <m/>
    <s v="Q2"/>
    <e v="#REF!"/>
    <e v="#REF!"/>
    <e v="#REF!"/>
  </r>
  <r>
    <s v="645300"/>
    <x v="6"/>
    <s v="COTISATIONS AUX CAISSES DE RETRAITE"/>
    <s v="SA"/>
    <n v="341.73"/>
    <d v="2025-01-31T00:00:00"/>
    <s v="RETRAITE TU2"/>
    <m/>
    <e v="#N/A"/>
    <e v="#N/A"/>
    <n v="85527"/>
    <s v="SA202501"/>
    <m/>
    <s v="Q1"/>
    <e v="#REF!"/>
    <e v="#REF!"/>
    <e v="#REF!"/>
  </r>
  <r>
    <s v="645300"/>
    <x v="6"/>
    <s v="COTISATIONS AUX CAISSES DE RETRAITE"/>
    <s v="SA"/>
    <n v="349.98"/>
    <d v="2025-03-31T00:00:00"/>
    <s v="RETRAITE TU2"/>
    <m/>
    <e v="#N/A"/>
    <e v="#N/A"/>
    <n v="80636"/>
    <s v="SA202503"/>
    <m/>
    <s v="Q1"/>
    <e v="#REF!"/>
    <e v="#REF!"/>
    <e v="#REF!"/>
  </r>
  <r>
    <s v="645300"/>
    <x v="6"/>
    <s v="COTISATIONS AUX CAISSES DE RETRAITE"/>
    <s v="SA"/>
    <n v="349.98"/>
    <d v="2025-04-30T00:00:00"/>
    <s v="RETRAITE TU2"/>
    <m/>
    <e v="#N/A"/>
    <e v="#N/A"/>
    <n v="80463"/>
    <s v="SA202504"/>
    <m/>
    <s v="Q2"/>
    <e v="#REF!"/>
    <e v="#REF!"/>
    <e v="#REF!"/>
  </r>
  <r>
    <s v="645300"/>
    <x v="6"/>
    <s v="COTISATIONS AUX CAISSES DE RETRAITE"/>
    <s v="SA"/>
    <n v="349.98"/>
    <d v="2025-06-30T00:00:00"/>
    <s v="RETRAITE TU2"/>
    <m/>
    <e v="#N/A"/>
    <e v="#N/A"/>
    <n v="80125"/>
    <s v="SA202506"/>
    <m/>
    <s v="Q2"/>
    <e v="#REF!"/>
    <e v="#REF!"/>
    <e v="#REF!"/>
  </r>
  <r>
    <s v="645300"/>
    <x v="6"/>
    <s v="COTISATIONS AUX CAISSES DE RETRAITE"/>
    <s v="SA"/>
    <n v="349.98"/>
    <d v="2025-11-30T00:00:00"/>
    <s v="RETRAITE TU2"/>
    <m/>
    <e v="#N/A"/>
    <e v="#N/A"/>
    <n v="92415"/>
    <s v="SA202511"/>
    <m/>
    <s v="Q4"/>
    <e v="#REF!"/>
    <e v="#REF!"/>
    <e v="#REF!"/>
  </r>
  <r>
    <s v="645300"/>
    <x v="6"/>
    <s v="COTISATIONS AUX CAISSES DE RETRAITE"/>
    <s v="SA"/>
    <n v="350.02"/>
    <d v="2025-08-31T00:00:00"/>
    <s v="RETRAITE TU2"/>
    <m/>
    <e v="#N/A"/>
    <e v="#N/A"/>
    <n v="84068"/>
    <s v="SA202508"/>
    <m/>
    <s v="Q3"/>
    <e v="#REF!"/>
    <e v="#REF!"/>
    <e v="#REF!"/>
  </r>
  <r>
    <s v="645300"/>
    <x v="6"/>
    <s v="COTISATIONS AUX CAISSES DE RETRAITE"/>
    <s v="SA"/>
    <n v="350.39"/>
    <d v="2025-07-31T00:00:00"/>
    <s v="RETRAITE TU2"/>
    <m/>
    <e v="#N/A"/>
    <e v="#N/A"/>
    <n v="79953"/>
    <s v="SA202507"/>
    <m/>
    <s v="Q3"/>
    <e v="#REF!"/>
    <e v="#REF!"/>
    <e v="#REF!"/>
  </r>
  <r>
    <s v="645300"/>
    <x v="6"/>
    <s v="COTISATIONS AUX CAISSES DE RETRAITE"/>
    <s v="SA"/>
    <n v="350.43"/>
    <d v="2025-12-31T00:00:00"/>
    <s v="RETRAITE TU2"/>
    <m/>
    <e v="#N/A"/>
    <e v="#N/A"/>
    <n v="92878"/>
    <s v="SA202512"/>
    <m/>
    <s v="Q4"/>
    <e v="#REF!"/>
    <e v="#REF!"/>
    <e v="#REF!"/>
  </r>
  <r>
    <s v="645300"/>
    <x v="6"/>
    <s v="COTISATIONS AUX CAISSES DE RETRAITE"/>
    <s v="SA"/>
    <n v="350.64"/>
    <d v="2025-09-30T00:00:00"/>
    <s v="RETRAITE TU2"/>
    <m/>
    <e v="#N/A"/>
    <e v="#N/A"/>
    <n v="84242"/>
    <s v="SA202509"/>
    <m/>
    <s v="Q3"/>
    <e v="#REF!"/>
    <e v="#REF!"/>
    <e v="#REF!"/>
  </r>
  <r>
    <s v="645300"/>
    <x v="6"/>
    <s v="COTISATIONS AUX CAISSES DE RETRAITE"/>
    <s v="SA"/>
    <n v="356.36"/>
    <d v="2025-05-31T00:00:00"/>
    <s v="RETRAITE TU2"/>
    <m/>
    <e v="#N/A"/>
    <e v="#N/A"/>
    <n v="80293"/>
    <s v="SA202505"/>
    <m/>
    <s v="Q2"/>
    <e v="#REF!"/>
    <e v="#REF!"/>
    <e v="#REF!"/>
  </r>
  <r>
    <s v="631200"/>
    <x v="6"/>
    <s v="TAXE D'APPRENTISSAGE"/>
    <s v="SA"/>
    <n v="11.41"/>
    <d v="2025-06-30T00:00:00"/>
    <s v="TAXE D'APPRENTISSAGE (LIBÉRATOIRE)"/>
    <m/>
    <e v="#N/A"/>
    <e v="#N/A"/>
    <n v="79999"/>
    <s v="SA202506"/>
    <m/>
    <s v="Q2"/>
    <e v="#REF!"/>
    <e v="#REF!"/>
    <e v="#REF!"/>
  </r>
  <r>
    <s v="631200"/>
    <x v="6"/>
    <s v="TAXE D'APPRENTISSAGE"/>
    <s v="SA"/>
    <n v="11.41"/>
    <d v="2025-07-31T00:00:00"/>
    <s v="TAXE D'APPRENTISSAGE (LIBÉRATOIRE)"/>
    <m/>
    <e v="#N/A"/>
    <e v="#N/A"/>
    <n v="79825"/>
    <s v="SA202507"/>
    <m/>
    <s v="Q3"/>
    <e v="#REF!"/>
    <e v="#REF!"/>
    <e v="#REF!"/>
  </r>
  <r>
    <s v="631200"/>
    <x v="6"/>
    <s v="TAXE D'APPRENTISSAGE"/>
    <s v="SA"/>
    <n v="11.41"/>
    <d v="2025-08-31T00:00:00"/>
    <s v="TAXE D'APPRENTISSAGE (LIBÉRATOIRE)"/>
    <m/>
    <e v="#N/A"/>
    <e v="#N/A"/>
    <n v="83944"/>
    <s v="SA202508"/>
    <m/>
    <s v="Q3"/>
    <e v="#REF!"/>
    <e v="#REF!"/>
    <e v="#REF!"/>
  </r>
  <r>
    <s v="631200"/>
    <x v="6"/>
    <s v="TAXE D'APPRENTISSAGE"/>
    <s v="SA"/>
    <n v="11.41"/>
    <d v="2025-09-30T00:00:00"/>
    <s v="TAXE D'APPRENTISSAGE (LIBÉRATOIRE)"/>
    <m/>
    <e v="#N/A"/>
    <e v="#N/A"/>
    <n v="84119"/>
    <s v="SA202509"/>
    <m/>
    <s v="Q3"/>
    <e v="#REF!"/>
    <e v="#REF!"/>
    <e v="#REF!"/>
  </r>
  <r>
    <s v="631200"/>
    <x v="6"/>
    <s v="TAXE D'APPRENTISSAGE"/>
    <s v="SA"/>
    <n v="11.41"/>
    <d v="2025-11-30T00:00:00"/>
    <s v="TAXE D'APPRENTISSAGE (LIBÉRATOIRE)"/>
    <m/>
    <e v="#N/A"/>
    <e v="#N/A"/>
    <n v="92293"/>
    <s v="SA202511"/>
    <m/>
    <s v="Q4"/>
    <e v="#REF!"/>
    <e v="#REF!"/>
    <e v="#REF!"/>
  </r>
  <r>
    <s v="631200"/>
    <x v="6"/>
    <s v="TAXE D'APPRENTISSAGE"/>
    <s v="SA"/>
    <n v="11.41"/>
    <d v="2025-12-31T00:00:00"/>
    <s v="TAXE D'APPRENTISSAGE (LIBÉRATOIRE)"/>
    <m/>
    <e v="#N/A"/>
    <e v="#N/A"/>
    <n v="92752"/>
    <s v="SA202512"/>
    <m/>
    <s v="Q4"/>
    <e v="#REF!"/>
    <e v="#REF!"/>
    <e v="#REF!"/>
  </r>
  <r>
    <s v="631200"/>
    <x v="6"/>
    <s v="TAXE D'APPRENTISSAGE"/>
    <s v="SA"/>
    <n v="11.45"/>
    <d v="2025-05-31T00:00:00"/>
    <s v="TAXE D'APPRENTISSAGE (LIBÉRATOIRE)"/>
    <m/>
    <e v="#N/A"/>
    <e v="#N/A"/>
    <n v="80168"/>
    <s v="SA202505"/>
    <m/>
    <s v="Q2"/>
    <e v="#REF!"/>
    <e v="#REF!"/>
    <e v="#REF!"/>
  </r>
  <r>
    <s v="631200"/>
    <x v="6"/>
    <s v="TAXE D'APPRENTISSAGE"/>
    <s v="SA"/>
    <n v="13"/>
    <d v="2025-10-31T00:00:00"/>
    <s v="TAXE D'APPRENTISSAGE (LIBÉRATOIRE)"/>
    <m/>
    <e v="#N/A"/>
    <e v="#N/A"/>
    <n v="87784"/>
    <s v="SA202510"/>
    <m/>
    <s v="Q4"/>
    <e v="#REF!"/>
    <e v="#REF!"/>
    <e v="#REF!"/>
  </r>
  <r>
    <s v="645300"/>
    <x v="6"/>
    <s v="COTISATIONS AUX CAISSES DE RETRAITE"/>
    <s v="SA"/>
    <n v="462"/>
    <d v="2025-01-31T00:00:00"/>
    <s v="RETRAITE TU1"/>
    <m/>
    <e v="#N/A"/>
    <e v="#N/A"/>
    <n v="85526"/>
    <s v="SA202501"/>
    <m/>
    <s v="Q1"/>
    <e v="#REF!"/>
    <e v="#REF!"/>
    <e v="#REF!"/>
  </r>
  <r>
    <s v="645300"/>
    <x v="6"/>
    <s v="COTISATIONS AUX CAISSES DE RETRAITE"/>
    <s v="SA"/>
    <n v="471.08"/>
    <d v="2025-03-31T00:00:00"/>
    <s v="RETRAITE TU1"/>
    <m/>
    <e v="#N/A"/>
    <e v="#N/A"/>
    <n v="80635"/>
    <s v="SA202503"/>
    <m/>
    <s v="Q1"/>
    <e v="#REF!"/>
    <e v="#REF!"/>
    <e v="#REF!"/>
  </r>
  <r>
    <s v="645300"/>
    <x v="6"/>
    <s v="COTISATIONS AUX CAISSES DE RETRAITE"/>
    <s v="SA"/>
    <n v="471.08"/>
    <d v="2025-04-30T00:00:00"/>
    <s v="RETRAITE TU1"/>
    <m/>
    <e v="#N/A"/>
    <e v="#N/A"/>
    <n v="80462"/>
    <s v="SA202504"/>
    <m/>
    <s v="Q2"/>
    <e v="#REF!"/>
    <e v="#REF!"/>
    <e v="#REF!"/>
  </r>
  <r>
    <s v="645300"/>
    <x v="6"/>
    <s v="COTISATIONS AUX CAISSES DE RETRAITE"/>
    <s v="SA"/>
    <n v="471.08"/>
    <d v="2025-05-31T00:00:00"/>
    <s v="RETRAITE TU1"/>
    <m/>
    <e v="#N/A"/>
    <e v="#N/A"/>
    <n v="80292"/>
    <s v="SA202505"/>
    <m/>
    <s v="Q2"/>
    <e v="#REF!"/>
    <e v="#REF!"/>
    <e v="#REF!"/>
  </r>
  <r>
    <s v="645300"/>
    <x v="6"/>
    <s v="COTISATIONS AUX CAISSES DE RETRAITE"/>
    <s v="SA"/>
    <n v="471.08"/>
    <d v="2025-06-30T00:00:00"/>
    <s v="RETRAITE TU1"/>
    <m/>
    <e v="#N/A"/>
    <e v="#N/A"/>
    <n v="80124"/>
    <s v="SA202506"/>
    <m/>
    <s v="Q2"/>
    <e v="#REF!"/>
    <e v="#REF!"/>
    <e v="#REF!"/>
  </r>
  <r>
    <s v="645300"/>
    <x v="6"/>
    <s v="COTISATIONS AUX CAISSES DE RETRAITE"/>
    <s v="SA"/>
    <n v="471.08"/>
    <d v="2025-07-31T00:00:00"/>
    <s v="RETRAITE TU1"/>
    <m/>
    <e v="#N/A"/>
    <e v="#N/A"/>
    <n v="79952"/>
    <s v="SA202507"/>
    <m/>
    <s v="Q3"/>
    <e v="#REF!"/>
    <e v="#REF!"/>
    <e v="#REF!"/>
  </r>
  <r>
    <s v="645300"/>
    <x v="6"/>
    <s v="COTISATIONS AUX CAISSES DE RETRAITE"/>
    <s v="SA"/>
    <n v="471.08"/>
    <d v="2025-08-31T00:00:00"/>
    <s v="RETRAITE TU1"/>
    <m/>
    <e v="#N/A"/>
    <e v="#N/A"/>
    <n v="84067"/>
    <s v="SA202508"/>
    <m/>
    <s v="Q3"/>
    <e v="#REF!"/>
    <e v="#REF!"/>
    <e v="#REF!"/>
  </r>
  <r>
    <s v="645300"/>
    <x v="6"/>
    <s v="COTISATIONS AUX CAISSES DE RETRAITE"/>
    <s v="SA"/>
    <n v="471.08"/>
    <d v="2025-09-30T00:00:00"/>
    <s v="RETRAITE TU1 - EXO PART APPRENTI"/>
    <m/>
    <e v="#N/A"/>
    <e v="#N/A"/>
    <n v="84241"/>
    <s v="SA202509"/>
    <m/>
    <s v="Q3"/>
    <e v="#REF!"/>
    <e v="#REF!"/>
    <e v="#REF!"/>
  </r>
  <r>
    <s v="645300"/>
    <x v="6"/>
    <s v="COTISATIONS AUX CAISSES DE RETRAITE"/>
    <s v="SA"/>
    <n v="471.08"/>
    <d v="2025-10-31T00:00:00"/>
    <s v="RETRAITE TU1 - EXO PART APPRENTI"/>
    <m/>
    <e v="#N/A"/>
    <e v="#N/A"/>
    <n v="87907"/>
    <s v="SA202510"/>
    <m/>
    <s v="Q4"/>
    <e v="#REF!"/>
    <e v="#REF!"/>
    <e v="#REF!"/>
  </r>
  <r>
    <s v="645300"/>
    <x v="6"/>
    <s v="COTISATIONS AUX CAISSES DE RETRAITE"/>
    <s v="SA"/>
    <n v="471.08"/>
    <d v="2025-11-30T00:00:00"/>
    <s v="RETRAITE TU1 - EXO PART APPRENTI"/>
    <m/>
    <e v="#N/A"/>
    <e v="#N/A"/>
    <n v="92414"/>
    <s v="SA202511"/>
    <m/>
    <s v="Q4"/>
    <e v="#REF!"/>
    <e v="#REF!"/>
    <e v="#REF!"/>
  </r>
  <r>
    <s v="645300"/>
    <x v="6"/>
    <s v="COTISATIONS AUX CAISSES DE RETRAITE"/>
    <s v="SA"/>
    <n v="471.08"/>
    <d v="2025-12-31T00:00:00"/>
    <s v="RETRAITE TU1 - EXO PART APPRENTI"/>
    <m/>
    <e v="#N/A"/>
    <e v="#N/A"/>
    <n v="92877"/>
    <s v="SA202512"/>
    <m/>
    <s v="Q4"/>
    <e v="#REF!"/>
    <e v="#REF!"/>
    <e v="#REF!"/>
  </r>
  <r>
    <s v="631200"/>
    <x v="6"/>
    <s v="TAXE D'APPRENTISSAGE"/>
    <s v="SA"/>
    <n v="19.440000000000001"/>
    <d v="2025-02-28T00:00:00"/>
    <s v="TAXE D'APPRENTISSAGE (LIBÉRATOIRE)"/>
    <m/>
    <e v="#N/A"/>
    <e v="#N/A"/>
    <n v="85212"/>
    <s v="SA202502"/>
    <m/>
    <s v="Q1"/>
    <e v="#REF!"/>
    <e v="#REF!"/>
    <e v="#REF!"/>
  </r>
  <r>
    <s v="631200"/>
    <x v="6"/>
    <s v="TAXE D'APPRENTISSAGE"/>
    <s v="SA"/>
    <n v="26.29"/>
    <d v="2025-03-31T00:00:00"/>
    <s v="TAXE D'APPRENTISSAGE (LIBÉRATOIRE)"/>
    <m/>
    <e v="#N/A"/>
    <e v="#N/A"/>
    <n v="80502"/>
    <s v="SA202503"/>
    <m/>
    <s v="Q1"/>
    <e v="#REF!"/>
    <e v="#REF!"/>
    <e v="#REF!"/>
  </r>
  <r>
    <s v="645300"/>
    <x v="6"/>
    <s v="COTISATIONS AUX CAISSES DE RETRAITE"/>
    <s v="SA"/>
    <n v="480.16"/>
    <d v="2025-02-28T00:00:00"/>
    <s v="RETRAITE TU1"/>
    <m/>
    <e v="#N/A"/>
    <e v="#N/A"/>
    <n v="85354"/>
    <s v="SA202502"/>
    <m/>
    <s v="Q1"/>
    <e v="#REF!"/>
    <e v="#REF!"/>
    <e v="#REF!"/>
  </r>
  <r>
    <s v="631200"/>
    <x v="6"/>
    <s v="TAXE D'APPRENTISSAGE"/>
    <s v="SA"/>
    <n v="26.29"/>
    <d v="2025-04-30T00:00:00"/>
    <s v="TAXE D'APPRENTISSAGE (LIBÉRATOIRE)"/>
    <m/>
    <e v="#N/A"/>
    <e v="#N/A"/>
    <n v="80332"/>
    <s v="SA202504"/>
    <m/>
    <s v="Q2"/>
    <e v="#REF!"/>
    <e v="#REF!"/>
    <e v="#REF!"/>
  </r>
  <r>
    <s v="631200"/>
    <x v="6"/>
    <s v="TAXE D'APPRENTISSAGE"/>
    <s v="SA"/>
    <n v="27.05"/>
    <d v="2025-05-31T00:00:00"/>
    <s v="TAXE D'APPRENTISSAGE (LIBÉRATOIRE)"/>
    <m/>
    <e v="#N/A"/>
    <e v="#N/A"/>
    <n v="80162"/>
    <s v="SA202505"/>
    <m/>
    <s v="Q2"/>
    <e v="#REF!"/>
    <e v="#REF!"/>
    <e v="#REF!"/>
  </r>
  <r>
    <s v="645300"/>
    <x v="6"/>
    <s v="COTISATIONS AUX CAISSES DE RETRAITE"/>
    <s v="SA"/>
    <n v="579.1"/>
    <d v="2025-10-31T00:00:00"/>
    <s v="RETRAITE TU2"/>
    <m/>
    <e v="#N/A"/>
    <e v="#N/A"/>
    <n v="87908"/>
    <s v="SA202510"/>
    <m/>
    <s v="Q4"/>
    <e v="#REF!"/>
    <e v="#REF!"/>
    <e v="#REF!"/>
  </r>
  <r>
    <s v="631200"/>
    <x v="6"/>
    <s v="TAXE D'APPRENTISSAGE"/>
    <s v="SA"/>
    <n v="27.84"/>
    <d v="2025-07-31T00:00:00"/>
    <s v="TAXE D'APPRENTISSAGE (LIBÉRATOIRE)"/>
    <m/>
    <e v="#N/A"/>
    <e v="#N/A"/>
    <n v="79819"/>
    <s v="SA202507"/>
    <m/>
    <s v="Q3"/>
    <e v="#REF!"/>
    <e v="#REF!"/>
    <e v="#REF!"/>
  </r>
  <r>
    <s v="645300"/>
    <x v="6"/>
    <s v="COTISATIONS AUX CAISSES DE RETRAITE"/>
    <s v="SA"/>
    <n v="716.34"/>
    <d v="2025-09-30T00:00:00"/>
    <s v="RETRAITE TU1 - EXO PART APPRENTI"/>
    <m/>
    <e v="#N/A"/>
    <e v="#N/A"/>
    <n v="84215"/>
    <s v="SA202509"/>
    <m/>
    <s v="Q3"/>
    <e v="#REF!"/>
    <e v="#REF!"/>
    <e v="#REF!"/>
  </r>
  <r>
    <s v="645300"/>
    <x v="6"/>
    <s v="COTISATIONS AUX CAISSES DE RETRAITE"/>
    <s v="SA"/>
    <n v="724.91"/>
    <d v="2025-03-31T00:00:00"/>
    <s v="RETRAITE TU1"/>
    <m/>
    <e v="#N/A"/>
    <e v="#N/A"/>
    <n v="80609"/>
    <s v="SA202503"/>
    <m/>
    <s v="Q1"/>
    <e v="#REF!"/>
    <e v="#REF!"/>
    <e v="#REF!"/>
  </r>
  <r>
    <s v="645300"/>
    <x v="6"/>
    <s v="COTISATIONS AUX CAISSES DE RETRAITE"/>
    <s v="SA"/>
    <n v="724.91"/>
    <d v="2025-04-30T00:00:00"/>
    <s v="RETRAITE TU1"/>
    <m/>
    <e v="#N/A"/>
    <e v="#N/A"/>
    <n v="80436"/>
    <s v="SA202504"/>
    <m/>
    <s v="Q2"/>
    <e v="#REF!"/>
    <e v="#REF!"/>
    <e v="#REF!"/>
  </r>
  <r>
    <s v="645300"/>
    <x v="6"/>
    <s v="COTISATIONS AUX CAISSES DE RETRAITE"/>
    <s v="SA"/>
    <n v="724.91"/>
    <d v="2025-05-31T00:00:00"/>
    <s v="RETRAITE TU1"/>
    <m/>
    <e v="#N/A"/>
    <e v="#N/A"/>
    <n v="80266"/>
    <s v="SA202505"/>
    <m/>
    <s v="Q2"/>
    <e v="#REF!"/>
    <e v="#REF!"/>
    <e v="#REF!"/>
  </r>
  <r>
    <s v="645300"/>
    <x v="6"/>
    <s v="COTISATIONS AUX CAISSES DE RETRAITE"/>
    <s v="SA"/>
    <n v="735.06"/>
    <d v="2025-08-31T00:00:00"/>
    <s v="RETRAITE TU1"/>
    <m/>
    <e v="#N/A"/>
    <e v="#N/A"/>
    <n v="84041"/>
    <s v="SA202508"/>
    <m/>
    <s v="Q3"/>
    <e v="#REF!"/>
    <e v="#REF!"/>
    <e v="#REF!"/>
  </r>
  <r>
    <s v="645300"/>
    <x v="6"/>
    <s v="COTISATIONS AUX CAISSES DE RETRAITE"/>
    <s v="SA"/>
    <n v="741.04"/>
    <d v="2025-10-31T00:00:00"/>
    <s v="RETRAITE TU1 - EXO PART APPRENTI"/>
    <m/>
    <e v="#N/A"/>
    <e v="#N/A"/>
    <n v="87881"/>
    <s v="SA202510"/>
    <m/>
    <s v="Q4"/>
    <e v="#REF!"/>
    <e v="#REF!"/>
    <e v="#REF!"/>
  </r>
  <r>
    <s v="645300"/>
    <x v="6"/>
    <s v="COTISATIONS AUX CAISSES DE RETRAITE"/>
    <s v="SA"/>
    <n v="741.04"/>
    <d v="2025-11-30T00:00:00"/>
    <s v="RETRAITE TU1 - EXO PART APPRENTI"/>
    <m/>
    <e v="#N/A"/>
    <e v="#N/A"/>
    <n v="92388"/>
    <s v="SA202511"/>
    <m/>
    <s v="Q4"/>
    <e v="#REF!"/>
    <e v="#REF!"/>
    <e v="#REF!"/>
  </r>
  <r>
    <s v="645300"/>
    <x v="6"/>
    <s v="COTISATIONS AUX CAISSES DE RETRAITE"/>
    <s v="SA"/>
    <n v="741.04"/>
    <d v="2025-12-31T00:00:00"/>
    <s v="RETRAITE TU1 - EXO PART APPRENTI"/>
    <m/>
    <e v="#N/A"/>
    <e v="#N/A"/>
    <n v="92851"/>
    <s v="SA202512"/>
    <m/>
    <s v="Q4"/>
    <e v="#REF!"/>
    <e v="#REF!"/>
    <e v="#REF!"/>
  </r>
  <r>
    <s v="645300"/>
    <x v="6"/>
    <s v="COTISATIONS AUX CAISSES DE RETRAITE"/>
    <s v="SA"/>
    <n v="866.53"/>
    <d v="2025-07-31T00:00:00"/>
    <s v="RETRAITE TU1"/>
    <m/>
    <e v="#N/A"/>
    <e v="#N/A"/>
    <n v="79926"/>
    <s v="SA202507"/>
    <m/>
    <s v="Q3"/>
    <e v="#REF!"/>
    <e v="#REF!"/>
    <e v="#REF!"/>
  </r>
  <r>
    <s v="645300"/>
    <x v="6"/>
    <s v="COTISATIONS AUX CAISSES DE RETRAITE"/>
    <s v="SA"/>
    <n v="905.45"/>
    <d v="2025-06-30T00:00:00"/>
    <s v="RETRAITE TU1"/>
    <m/>
    <e v="#N/A"/>
    <e v="#N/A"/>
    <n v="80098"/>
    <s v="SA202506"/>
    <m/>
    <s v="Q2"/>
    <e v="#REF!"/>
    <e v="#REF!"/>
    <e v="#REF!"/>
  </r>
  <r>
    <s v="645300"/>
    <x v="6"/>
    <s v="COTISATIONS AUX CAISSES DE RETRAITE"/>
    <s v="SA"/>
    <n v="910.17"/>
    <d v="2025-01-31T00:00:00"/>
    <s v="RETRAITE TU1"/>
    <m/>
    <e v="#N/A"/>
    <e v="#N/A"/>
    <n v="85500"/>
    <s v="SA202501"/>
    <m/>
    <s v="Q1"/>
    <e v="#REF!"/>
    <e v="#REF!"/>
    <e v="#REF!"/>
  </r>
  <r>
    <s v="645300"/>
    <x v="6"/>
    <s v="COTISATIONS AUX CAISSES DE RETRAITE"/>
    <s v="SA"/>
    <n v="933.77"/>
    <d v="2025-02-28T00:00:00"/>
    <s v="RETRAITE TU1"/>
    <m/>
    <e v="#N/A"/>
    <e v="#N/A"/>
    <n v="85328"/>
    <s v="SA202502"/>
    <m/>
    <s v="Q1"/>
    <e v="#REF!"/>
    <e v="#REF!"/>
    <e v="#REF!"/>
  </r>
  <r>
    <s v="631200"/>
    <x v="6"/>
    <s v="TAXE D'APPRENTISSAGE"/>
    <s v="SA"/>
    <n v="27.96"/>
    <d v="2025-09-30T00:00:00"/>
    <s v="TAXE D'APPRENTISSAGE (LIBÉRATOIRE)"/>
    <m/>
    <e v="#N/A"/>
    <e v="#N/A"/>
    <n v="84113"/>
    <s v="SA202509"/>
    <m/>
    <s v="Q3"/>
    <e v="#REF!"/>
    <e v="#REF!"/>
    <e v="#REF!"/>
  </r>
  <r>
    <s v="631200"/>
    <x v="6"/>
    <s v="TAXE D'APPRENTISSAGE"/>
    <s v="SA"/>
    <n v="29.07"/>
    <d v="2025-10-31T00:00:00"/>
    <s v="TAXE D'APPRENTISSAGE (LIBÉRATOIRE)"/>
    <m/>
    <e v="#N/A"/>
    <e v="#N/A"/>
    <n v="87778"/>
    <s v="SA202510"/>
    <m/>
    <s v="Q4"/>
    <e v="#REF!"/>
    <e v="#REF!"/>
    <e v="#REF!"/>
  </r>
  <r>
    <s v="631200"/>
    <x v="6"/>
    <s v="TAXE D'APPRENTISSAGE"/>
    <s v="SA"/>
    <n v="29.12"/>
    <d v="2025-11-30T00:00:00"/>
    <s v="TAXE D'APPRENTISSAGE (LIBÉRATOIRE)"/>
    <m/>
    <e v="#N/A"/>
    <e v="#N/A"/>
    <n v="92287"/>
    <s v="SA202511"/>
    <m/>
    <s v="Q4"/>
    <e v="#REF!"/>
    <e v="#REF!"/>
    <e v="#REF!"/>
  </r>
  <r>
    <s v="631200"/>
    <x v="6"/>
    <s v="TAXE D'APPRENTISSAGE"/>
    <s v="SA"/>
    <n v="29.24"/>
    <d v="2025-12-31T00:00:00"/>
    <s v="TAXE D'APPRENTISSAGE (LIBÉRATOIRE)"/>
    <m/>
    <e v="#N/A"/>
    <e v="#N/A"/>
    <n v="92746"/>
    <s v="SA202512"/>
    <m/>
    <s v="Q4"/>
    <e v="#REF!"/>
    <e v="#REF!"/>
    <e v="#REF!"/>
  </r>
  <r>
    <s v="631200"/>
    <x v="6"/>
    <s v="TAXE D'APPRENTISSAGE"/>
    <s v="SA"/>
    <n v="30.1"/>
    <d v="2025-08-31T00:00:00"/>
    <s v="TAXE D'APPRENTISSAGE (LIBÉRATOIRE)"/>
    <m/>
    <e v="#N/A"/>
    <e v="#N/A"/>
    <n v="83938"/>
    <s v="SA202508"/>
    <m/>
    <s v="Q3"/>
    <e v="#REF!"/>
    <e v="#REF!"/>
    <e v="#REF!"/>
  </r>
  <r>
    <s v="631200"/>
    <x v="6"/>
    <s v="TAXE D'APPRENTISSAGE"/>
    <s v="SA"/>
    <n v="32.32"/>
    <d v="2025-06-30T00:00:00"/>
    <s v="TAXE D'APPRENTISSAGE (LIBÉRATOIRE)"/>
    <m/>
    <e v="#N/A"/>
    <e v="#N/A"/>
    <n v="79993"/>
    <s v="SA202506"/>
    <m/>
    <s v="Q2"/>
    <e v="#REF!"/>
    <e v="#REF!"/>
    <e v="#REF!"/>
  </r>
  <r>
    <s v="631200"/>
    <x v="6"/>
    <s v="TAXE D'APPRENTISSAGE"/>
    <s v="SA"/>
    <n v="33.590000000000003"/>
    <d v="2025-01-31T00:00:00"/>
    <s v="TAXE D'APPRENTISSAGE (LIBÉRATOIRE)"/>
    <m/>
    <e v="#N/A"/>
    <e v="#N/A"/>
    <n v="85394"/>
    <s v="SA202501"/>
    <m/>
    <s v="Q1"/>
    <e v="#REF!"/>
    <e v="#REF!"/>
    <e v="#REF!"/>
  </r>
  <r>
    <s v="631200"/>
    <x v="6"/>
    <s v="TAXE D'APPRENTISSAGE"/>
    <s v="SA"/>
    <n v="37.92"/>
    <d v="2025-01-31T00:00:00"/>
    <s v="TAXE D'APPRENTISSAGE (LIBÉRATOIRE)"/>
    <m/>
    <e v="#N/A"/>
    <e v="#N/A"/>
    <n v="85396"/>
    <s v="SA202501"/>
    <m/>
    <s v="Q1"/>
    <e v="#REF!"/>
    <e v="#REF!"/>
    <e v="#REF!"/>
  </r>
  <r>
    <s v="631200"/>
    <x v="6"/>
    <s v="TAXE D'APPRENTISSAGE"/>
    <s v="SA"/>
    <n v="39.020000000000003"/>
    <d v="2025-10-31T00:00:00"/>
    <s v="TAXE D'APPRENTISSAGE (LIBÉRATOIRE)"/>
    <m/>
    <e v="#N/A"/>
    <e v="#N/A"/>
    <n v="87780"/>
    <s v="SA202510"/>
    <m/>
    <s v="Q4"/>
    <e v="#REF!"/>
    <e v="#REF!"/>
    <e v="#REF!"/>
  </r>
  <r>
    <s v="631200"/>
    <x v="6"/>
    <s v="TAXE D'APPRENTISSAGE"/>
    <s v="SA"/>
    <n v="39.020000000000003"/>
    <d v="2025-12-31T00:00:00"/>
    <s v="TAXE D'APPRENTISSAGE (LIBÉRATOIRE)"/>
    <m/>
    <e v="#N/A"/>
    <e v="#N/A"/>
    <n v="92748"/>
    <s v="SA202512"/>
    <m/>
    <s v="Q4"/>
    <e v="#REF!"/>
    <e v="#REF!"/>
    <e v="#REF!"/>
  </r>
  <r>
    <s v="631200"/>
    <x v="6"/>
    <s v="TAXE D'APPRENTISSAGE"/>
    <s v="SA"/>
    <n v="39.15"/>
    <d v="2025-11-30T00:00:00"/>
    <s v="TAXE D'APPRENTISSAGE (LIBÉRATOIRE)"/>
    <m/>
    <e v="#N/A"/>
    <e v="#N/A"/>
    <n v="92289"/>
    <s v="SA202511"/>
    <m/>
    <s v="Q4"/>
    <e v="#REF!"/>
    <e v="#REF!"/>
    <e v="#REF!"/>
  </r>
  <r>
    <s v="631200"/>
    <x v="6"/>
    <s v="TAXE D'APPRENTISSAGE"/>
    <s v="SA"/>
    <n v="40.58"/>
    <d v="2025-08-31T00:00:00"/>
    <s v="TAXE D'APPRENTISSAGE (LIBÉRATOIRE)"/>
    <m/>
    <e v="#N/A"/>
    <e v="#N/A"/>
    <n v="83940"/>
    <s v="SA202508"/>
    <m/>
    <s v="Q3"/>
    <e v="#REF!"/>
    <e v="#REF!"/>
    <e v="#REF!"/>
  </r>
  <r>
    <s v="631200"/>
    <x v="6"/>
    <s v="TAXE D'APPRENTISSAGE"/>
    <s v="SA"/>
    <n v="40.81"/>
    <d v="2025-07-31T00:00:00"/>
    <s v="TAXE D'APPRENTISSAGE (LIBÉRATOIRE)"/>
    <m/>
    <e v="#N/A"/>
    <e v="#N/A"/>
    <n v="79821"/>
    <s v="SA202507"/>
    <m/>
    <s v="Q3"/>
    <e v="#REF!"/>
    <e v="#REF!"/>
    <e v="#REF!"/>
  </r>
  <r>
    <s v="645300"/>
    <x v="6"/>
    <s v="COTISATIONS AUX CAISSES DE RETRAITE"/>
    <s v="SA"/>
    <n v="1222.52"/>
    <d v="2025-06-30T00:00:00"/>
    <s v="RETRAITE TU2"/>
    <m/>
    <e v="#N/A"/>
    <e v="#N/A"/>
    <n v="80116"/>
    <s v="SA202506"/>
    <m/>
    <s v="Q2"/>
    <e v="#REF!"/>
    <e v="#REF!"/>
    <e v="#REF!"/>
  </r>
  <r>
    <s v="645300"/>
    <x v="6"/>
    <s v="COTISATIONS AUX CAISSES DE RETRAITE"/>
    <s v="SA"/>
    <n v="1349.13"/>
    <d v="2025-01-31T00:00:00"/>
    <s v="RETRAITE TU2"/>
    <m/>
    <e v="#N/A"/>
    <e v="#N/A"/>
    <n v="85509"/>
    <s v="SA202501"/>
    <m/>
    <s v="Q1"/>
    <e v="#REF!"/>
    <e v="#REF!"/>
    <e v="#REF!"/>
  </r>
  <r>
    <s v="631200"/>
    <x v="6"/>
    <s v="TAXE D'APPRENTISSAGE"/>
    <s v="SA"/>
    <n v="43.48"/>
    <d v="2025-09-30T00:00:00"/>
    <s v="TAXE D'APPRENTISSAGE (LIBÉRATOIRE)"/>
    <m/>
    <e v="#N/A"/>
    <e v="#N/A"/>
    <n v="84115"/>
    <s v="SA202509"/>
    <m/>
    <s v="Q3"/>
    <e v="#REF!"/>
    <e v="#REF!"/>
    <e v="#REF!"/>
  </r>
  <r>
    <s v="645300"/>
    <x v="6"/>
    <s v="COTISATIONS AUX CAISSES DE RETRAITE"/>
    <s v="SA"/>
    <n v="1363.21"/>
    <d v="2025-10-31T00:00:00"/>
    <s v="RETRAITE TU2"/>
    <m/>
    <e v="#N/A"/>
    <e v="#N/A"/>
    <n v="87899"/>
    <s v="SA202510"/>
    <m/>
    <s v="Q4"/>
    <e v="#REF!"/>
    <e v="#REF!"/>
    <e v="#REF!"/>
  </r>
  <r>
    <s v="645300"/>
    <x v="6"/>
    <s v="COTISATIONS AUX CAISSES DE RETRAITE"/>
    <s v="SA"/>
    <n v="1400.25"/>
    <d v="2025-12-31T00:00:00"/>
    <s v="RETRAITE TU2"/>
    <m/>
    <e v="#N/A"/>
    <e v="#N/A"/>
    <n v="92869"/>
    <s v="SA202512"/>
    <m/>
    <s v="Q4"/>
    <e v="#REF!"/>
    <e v="#REF!"/>
    <e v="#REF!"/>
  </r>
  <r>
    <s v="645300"/>
    <x v="6"/>
    <s v="COTISATIONS AUX CAISSES DE RETRAITE"/>
    <s v="SA"/>
    <n v="1449.57"/>
    <d v="2025-05-31T00:00:00"/>
    <s v="RETRAITE TU2"/>
    <m/>
    <e v="#N/A"/>
    <e v="#N/A"/>
    <n v="80284"/>
    <s v="SA202505"/>
    <m/>
    <s v="Q2"/>
    <e v="#REF!"/>
    <e v="#REF!"/>
    <e v="#REF!"/>
  </r>
  <r>
    <s v="645300"/>
    <x v="6"/>
    <s v="COTISATIONS AUX CAISSES DE RETRAITE"/>
    <s v="SA"/>
    <n v="1466.17"/>
    <d v="2025-11-30T00:00:00"/>
    <s v="RETRAITE TU1 - EXO PART APPRENTI"/>
    <m/>
    <e v="#N/A"/>
    <e v="#N/A"/>
    <n v="92396"/>
    <s v="SA202511"/>
    <m/>
    <s v="Q4"/>
    <e v="#REF!"/>
    <e v="#REF!"/>
    <e v="#REF!"/>
  </r>
  <r>
    <s v="645300"/>
    <x v="6"/>
    <s v="COTISATIONS AUX CAISSES DE RETRAITE"/>
    <s v="SA"/>
    <n v="1466.23"/>
    <d v="2025-12-31T00:00:00"/>
    <s v="RETRAITE TU1 - EXO PART APPRENTI"/>
    <m/>
    <e v="#N/A"/>
    <e v="#N/A"/>
    <n v="92859"/>
    <s v="SA202512"/>
    <m/>
    <s v="Q4"/>
    <e v="#REF!"/>
    <e v="#REF!"/>
    <e v="#REF!"/>
  </r>
  <r>
    <s v="645300"/>
    <x v="6"/>
    <s v="COTISATIONS AUX CAISSES DE RETRAITE"/>
    <s v="SA"/>
    <n v="1469.47"/>
    <d v="2025-10-31T00:00:00"/>
    <s v="RETRAITE TU1 - EXO PART APPRENTI"/>
    <m/>
    <e v="#N/A"/>
    <e v="#N/A"/>
    <n v="87889"/>
    <s v="SA202510"/>
    <m/>
    <s v="Q4"/>
    <e v="#REF!"/>
    <e v="#REF!"/>
    <e v="#REF!"/>
  </r>
  <r>
    <s v="645300"/>
    <x v="6"/>
    <s v="COTISATIONS AUX CAISSES DE RETRAITE"/>
    <s v="SA"/>
    <n v="1479.2"/>
    <d v="2025-02-28T00:00:00"/>
    <s v="RETRAITE TU2"/>
    <m/>
    <e v="#N/A"/>
    <e v="#N/A"/>
    <n v="85355"/>
    <s v="SA202502"/>
    <m/>
    <s v="Q1"/>
    <e v="#REF!"/>
    <e v="#REF!"/>
    <e v="#REF!"/>
  </r>
  <r>
    <s v="645300"/>
    <x v="6"/>
    <s v="COTISATIONS AUX CAISSES DE RETRAITE"/>
    <s v="SA"/>
    <n v="1497.17"/>
    <d v="2025-01-31T00:00:00"/>
    <s v="RETRAITE TU1"/>
    <m/>
    <e v="#N/A"/>
    <e v="#N/A"/>
    <n v="85508"/>
    <s v="SA202501"/>
    <m/>
    <s v="Q1"/>
    <e v="#REF!"/>
    <e v="#REF!"/>
    <e v="#REF!"/>
  </r>
  <r>
    <s v="645300"/>
    <x v="6"/>
    <s v="COTISATIONS AUX CAISSES DE RETRAITE"/>
    <s v="SA"/>
    <n v="1506.32"/>
    <d v="2025-01-31T00:00:00"/>
    <s v="RETRAITE TU2"/>
    <m/>
    <e v="#N/A"/>
    <e v="#N/A"/>
    <n v="85518"/>
    <s v="SA202501"/>
    <m/>
    <s v="Q1"/>
    <e v="#REF!"/>
    <e v="#REF!"/>
    <e v="#REF!"/>
  </r>
  <r>
    <s v="645300"/>
    <x v="6"/>
    <s v="COTISATIONS AUX CAISSES DE RETRAITE"/>
    <s v="SA"/>
    <n v="1535.62"/>
    <d v="2025-08-31T00:00:00"/>
    <s v="RETRAITE TU1"/>
    <m/>
    <e v="#N/A"/>
    <e v="#N/A"/>
    <n v="84049"/>
    <s v="SA202508"/>
    <m/>
    <s v="Q3"/>
    <e v="#REF!"/>
    <e v="#REF!"/>
    <e v="#REF!"/>
  </r>
  <r>
    <s v="645300"/>
    <x v="6"/>
    <s v="COTISATIONS AUX CAISSES DE RETRAITE"/>
    <s v="SA"/>
    <n v="1535.97"/>
    <d v="2025-07-31T00:00:00"/>
    <s v="RETRAITE TU2"/>
    <m/>
    <e v="#N/A"/>
    <e v="#N/A"/>
    <n v="79944"/>
    <s v="SA202507"/>
    <m/>
    <s v="Q3"/>
    <e v="#REF!"/>
    <e v="#REF!"/>
    <e v="#REF!"/>
  </r>
  <r>
    <s v="645300"/>
    <x v="6"/>
    <s v="COTISATIONS AUX CAISSES DE RETRAITE"/>
    <s v="SA"/>
    <n v="1562.67"/>
    <d v="2025-07-31T00:00:00"/>
    <s v="RETRAITE TU1"/>
    <m/>
    <e v="#N/A"/>
    <e v="#N/A"/>
    <n v="79934"/>
    <s v="SA202507"/>
    <m/>
    <s v="Q3"/>
    <e v="#REF!"/>
    <e v="#REF!"/>
    <e v="#REF!"/>
  </r>
  <r>
    <s v="645300"/>
    <x v="6"/>
    <s v="COTISATIONS AUX CAISSES DE RETRAITE"/>
    <s v="SA"/>
    <n v="1569.87"/>
    <d v="2025-11-30T00:00:00"/>
    <s v="RETRAITE TU2"/>
    <m/>
    <e v="#N/A"/>
    <e v="#N/A"/>
    <n v="92406"/>
    <s v="SA202511"/>
    <m/>
    <s v="Q4"/>
    <e v="#REF!"/>
    <e v="#REF!"/>
    <e v="#REF!"/>
  </r>
  <r>
    <s v="645300"/>
    <x v="6"/>
    <s v="COTISATIONS AUX CAISSES DE RETRAITE"/>
    <s v="SA"/>
    <n v="1570.04"/>
    <d v="2025-09-30T00:00:00"/>
    <s v="RETRAITE TU2"/>
    <m/>
    <e v="#N/A"/>
    <e v="#N/A"/>
    <n v="84233"/>
    <s v="SA202509"/>
    <m/>
    <s v="Q3"/>
    <e v="#REF!"/>
    <e v="#REF!"/>
    <e v="#REF!"/>
  </r>
  <r>
    <s v="645300"/>
    <x v="6"/>
    <s v="COTISATIONS AUX CAISSES DE RETRAITE"/>
    <s v="SA"/>
    <n v="1577.07"/>
    <d v="2025-06-30T00:00:00"/>
    <s v="RETRAITE TU1"/>
    <m/>
    <e v="#N/A"/>
    <e v="#N/A"/>
    <n v="80106"/>
    <s v="SA202506"/>
    <m/>
    <s v="Q2"/>
    <e v="#REF!"/>
    <e v="#REF!"/>
    <e v="#REF!"/>
  </r>
  <r>
    <s v="645300"/>
    <x v="6"/>
    <s v="COTISATIONS AUX CAISSES DE RETRAITE"/>
    <s v="SA"/>
    <n v="1580.05"/>
    <d v="2025-10-31T00:00:00"/>
    <s v="RETRAITE TU2"/>
    <m/>
    <e v="#N/A"/>
    <e v="#N/A"/>
    <n v="87890"/>
    <s v="SA202510"/>
    <m/>
    <s v="Q4"/>
    <e v="#REF!"/>
    <e v="#REF!"/>
    <e v="#REF!"/>
  </r>
  <r>
    <s v="645300"/>
    <x v="6"/>
    <s v="COTISATIONS AUX CAISSES DE RETRAITE"/>
    <s v="SA"/>
    <n v="1582.66"/>
    <d v="2025-07-31T00:00:00"/>
    <s v="RETRAITE TU2"/>
    <m/>
    <e v="#N/A"/>
    <e v="#N/A"/>
    <n v="79935"/>
    <s v="SA202507"/>
    <m/>
    <s v="Q3"/>
    <e v="#REF!"/>
    <e v="#REF!"/>
    <e v="#REF!"/>
  </r>
  <r>
    <s v="645300"/>
    <x v="6"/>
    <s v="COTISATIONS AUX CAISSES DE RETRAITE"/>
    <s v="SA"/>
    <n v="1584.63"/>
    <d v="2025-03-31T00:00:00"/>
    <s v="RETRAITE TU2"/>
    <m/>
    <e v="#N/A"/>
    <e v="#N/A"/>
    <n v="80618"/>
    <s v="SA202503"/>
    <m/>
    <s v="Q1"/>
    <e v="#REF!"/>
    <e v="#REF!"/>
    <e v="#REF!"/>
  </r>
  <r>
    <s v="645300"/>
    <x v="6"/>
    <s v="COTISATIONS AUX CAISSES DE RETRAITE"/>
    <s v="SA"/>
    <n v="1588.89"/>
    <d v="2025-12-31T00:00:00"/>
    <s v="RETRAITE TU2"/>
    <m/>
    <e v="#N/A"/>
    <e v="#N/A"/>
    <n v="92860"/>
    <s v="SA202512"/>
    <m/>
    <s v="Q4"/>
    <e v="#REF!"/>
    <e v="#REF!"/>
    <e v="#REF!"/>
  </r>
  <r>
    <s v="645300"/>
    <x v="6"/>
    <s v="COTISATIONS AUX CAISSES DE RETRAITE"/>
    <s v="SA"/>
    <n v="1593.68"/>
    <d v="2025-03-31T00:00:00"/>
    <s v="RETRAITE TU2"/>
    <m/>
    <e v="#N/A"/>
    <e v="#N/A"/>
    <n v="80627"/>
    <s v="SA202503"/>
    <m/>
    <s v="Q1"/>
    <e v="#REF!"/>
    <e v="#REF!"/>
    <e v="#REF!"/>
  </r>
  <r>
    <s v="645300"/>
    <x v="6"/>
    <s v="COTISATIONS AUX CAISSES DE RETRAITE"/>
    <s v="SA"/>
    <n v="1611.07"/>
    <d v="2025-11-30T00:00:00"/>
    <s v="RETRAITE TU2"/>
    <m/>
    <e v="#N/A"/>
    <e v="#N/A"/>
    <n v="92397"/>
    <s v="SA202511"/>
    <m/>
    <s v="Q4"/>
    <e v="#REF!"/>
    <e v="#REF!"/>
    <e v="#REF!"/>
  </r>
  <r>
    <s v="645300"/>
    <x v="6"/>
    <s v="COTISATIONS AUX CAISSES DE RETRAITE"/>
    <s v="SA"/>
    <n v="1623.8"/>
    <d v="2025-09-30T00:00:00"/>
    <s v="RETRAITE TU1 - EXO PART APPRENTI"/>
    <m/>
    <e v="#N/A"/>
    <e v="#N/A"/>
    <n v="84223"/>
    <s v="SA202509"/>
    <m/>
    <s v="Q3"/>
    <e v="#REF!"/>
    <e v="#REF!"/>
    <e v="#REF!"/>
  </r>
  <r>
    <s v="645300"/>
    <x v="6"/>
    <s v="COTISATIONS AUX CAISSES DE RETRAITE"/>
    <s v="SA"/>
    <n v="1624.23"/>
    <d v="2025-08-31T00:00:00"/>
    <s v="RETRAITE TU2"/>
    <m/>
    <e v="#N/A"/>
    <e v="#N/A"/>
    <n v="84050"/>
    <s v="SA202508"/>
    <m/>
    <s v="Q3"/>
    <e v="#REF!"/>
    <e v="#REF!"/>
    <e v="#REF!"/>
  </r>
  <r>
    <s v="645300"/>
    <x v="6"/>
    <s v="COTISATIONS AUX CAISSES DE RETRAITE"/>
    <s v="SA"/>
    <n v="1629.16"/>
    <d v="2025-07-31T00:00:00"/>
    <s v="RETRAITE TU2"/>
    <m/>
    <e v="#N/A"/>
    <e v="#N/A"/>
    <n v="79927"/>
    <s v="SA202507"/>
    <m/>
    <s v="Q3"/>
    <e v="#REF!"/>
    <e v="#REF!"/>
    <e v="#REF!"/>
  </r>
  <r>
    <s v="645300"/>
    <x v="6"/>
    <s v="COTISATIONS AUX CAISSES DE RETRAITE"/>
    <s v="SA"/>
    <n v="1673.65"/>
    <d v="2025-08-31T00:00:00"/>
    <s v="RETRAITE TU2"/>
    <m/>
    <e v="#N/A"/>
    <e v="#N/A"/>
    <n v="84059"/>
    <s v="SA202508"/>
    <m/>
    <s v="Q3"/>
    <e v="#REF!"/>
    <e v="#REF!"/>
    <e v="#REF!"/>
  </r>
  <r>
    <s v="645300"/>
    <x v="6"/>
    <s v="COTISATIONS AUX CAISSES DE RETRAITE"/>
    <s v="SA"/>
    <n v="1678.4"/>
    <d v="2025-05-31T00:00:00"/>
    <s v="RETRAITE TU2"/>
    <m/>
    <e v="#N/A"/>
    <e v="#N/A"/>
    <n v="80275"/>
    <s v="SA202505"/>
    <m/>
    <s v="Q2"/>
    <e v="#REF!"/>
    <e v="#REF!"/>
    <e v="#REF!"/>
  </r>
  <r>
    <s v="645300"/>
    <x v="6"/>
    <s v="COTISATIONS AUX CAISSES DE RETRAITE"/>
    <s v="SA"/>
    <n v="1735.92"/>
    <d v="2025-04-30T00:00:00"/>
    <s v="RETRAITE TU1"/>
    <m/>
    <e v="#N/A"/>
    <e v="#N/A"/>
    <n v="80444"/>
    <s v="SA202504"/>
    <m/>
    <s v="Q2"/>
    <e v="#REF!"/>
    <e v="#REF!"/>
    <e v="#REF!"/>
  </r>
  <r>
    <s v="645300"/>
    <x v="6"/>
    <s v="COTISATIONS AUX CAISSES DE RETRAITE"/>
    <s v="SA"/>
    <n v="1753.24"/>
    <d v="2025-05-31T00:00:00"/>
    <s v="RETRAITE TU1"/>
    <m/>
    <e v="#N/A"/>
    <e v="#N/A"/>
    <n v="80274"/>
    <s v="SA202505"/>
    <m/>
    <s v="Q2"/>
    <e v="#REF!"/>
    <e v="#REF!"/>
    <e v="#REF!"/>
  </r>
  <r>
    <s v="645300"/>
    <x v="6"/>
    <s v="COTISATIONS AUX CAISSES DE RETRAITE"/>
    <s v="SA"/>
    <n v="1796.05"/>
    <d v="2025-03-31T00:00:00"/>
    <s v="RETRAITE TU2"/>
    <m/>
    <e v="#N/A"/>
    <e v="#N/A"/>
    <n v="80610"/>
    <s v="SA202503"/>
    <m/>
    <s v="Q1"/>
    <e v="#REF!"/>
    <e v="#REF!"/>
    <e v="#REF!"/>
  </r>
  <r>
    <s v="645300"/>
    <x v="6"/>
    <s v="COTISATIONS AUX CAISSES DE RETRAITE"/>
    <s v="SA"/>
    <n v="1796.05"/>
    <d v="2025-04-30T00:00:00"/>
    <s v="RETRAITE TU2"/>
    <m/>
    <e v="#N/A"/>
    <e v="#N/A"/>
    <n v="80437"/>
    <s v="SA202504"/>
    <m/>
    <s v="Q2"/>
    <e v="#REF!"/>
    <e v="#REF!"/>
    <e v="#REF!"/>
  </r>
  <r>
    <s v="645300"/>
    <x v="6"/>
    <s v="COTISATIONS AUX CAISSES DE RETRAITE"/>
    <s v="SA"/>
    <n v="1800.6"/>
    <d v="2025-09-30T00:00:00"/>
    <s v="RETRAITE TU2"/>
    <m/>
    <e v="#N/A"/>
    <e v="#N/A"/>
    <n v="84224"/>
    <s v="SA202509"/>
    <m/>
    <s v="Q3"/>
    <e v="#REF!"/>
    <e v="#REF!"/>
    <e v="#REF!"/>
  </r>
  <r>
    <s v="645300"/>
    <x v="6"/>
    <s v="COTISATIONS AUX CAISSES DE RETRAITE"/>
    <s v="SA"/>
    <n v="1801.07"/>
    <d v="2025-03-31T00:00:00"/>
    <s v="RETRAITE TU1"/>
    <m/>
    <e v="#N/A"/>
    <e v="#N/A"/>
    <n v="80617"/>
    <s v="SA202503"/>
    <m/>
    <s v="Q1"/>
    <e v="#REF!"/>
    <e v="#REF!"/>
    <e v="#REF!"/>
  </r>
  <r>
    <s v="645300"/>
    <x v="6"/>
    <s v="COTISATIONS AUX CAISSES DE RETRAITE"/>
    <s v="SA"/>
    <n v="1863.06"/>
    <d v="2025-04-30T00:00:00"/>
    <s v="RETRAITE TU2"/>
    <m/>
    <e v="#N/A"/>
    <e v="#N/A"/>
    <n v="80454"/>
    <s v="SA202504"/>
    <m/>
    <s v="Q2"/>
    <e v="#REF!"/>
    <e v="#REF!"/>
    <e v="#REF!"/>
  </r>
  <r>
    <s v="645300"/>
    <x v="6"/>
    <s v="COTISATIONS AUX CAISSES DE RETRAITE"/>
    <s v="SA"/>
    <n v="1905.81"/>
    <d v="2025-05-31T00:00:00"/>
    <s v="RETRAITE TU2"/>
    <m/>
    <e v="#N/A"/>
    <e v="#N/A"/>
    <n v="80267"/>
    <s v="SA202505"/>
    <m/>
    <s v="Q2"/>
    <e v="#REF!"/>
    <e v="#REF!"/>
    <e v="#REF!"/>
  </r>
  <r>
    <s v="645300"/>
    <x v="6"/>
    <s v="COTISATIONS AUX CAISSES DE RETRAITE"/>
    <s v="SA"/>
    <n v="1919.59"/>
    <d v="2025-04-30T00:00:00"/>
    <s v="RETRAITE TU2"/>
    <m/>
    <e v="#N/A"/>
    <e v="#N/A"/>
    <n v="80445"/>
    <s v="SA202504"/>
    <m/>
    <s v="Q2"/>
    <e v="#REF!"/>
    <e v="#REF!"/>
    <e v="#REF!"/>
  </r>
  <r>
    <s v="645300"/>
    <x v="6"/>
    <s v="COTISATIONS AUX CAISSES DE RETRAITE"/>
    <s v="SA"/>
    <n v="1960.35"/>
    <d v="2025-02-28T00:00:00"/>
    <s v="RETRAITE TU1"/>
    <m/>
    <e v="#N/A"/>
    <e v="#N/A"/>
    <n v="85336"/>
    <s v="SA202502"/>
    <m/>
    <s v="Q1"/>
    <e v="#REF!"/>
    <e v="#REF!"/>
    <e v="#REF!"/>
  </r>
  <r>
    <s v="645300"/>
    <x v="6"/>
    <s v="COTISATIONS AUX CAISSES DE RETRAITE"/>
    <s v="SA"/>
    <n v="2059.4899999999998"/>
    <d v="2025-09-30T00:00:00"/>
    <s v="RETRAITE TU2"/>
    <m/>
    <e v="#N/A"/>
    <e v="#N/A"/>
    <n v="84216"/>
    <s v="SA202509"/>
    <m/>
    <s v="Q3"/>
    <e v="#REF!"/>
    <e v="#REF!"/>
    <e v="#REF!"/>
  </r>
  <r>
    <s v="645300"/>
    <x v="6"/>
    <s v="COTISATIONS AUX CAISSES DE RETRAITE"/>
    <s v="SA"/>
    <n v="2151.1"/>
    <d v="2025-10-31T00:00:00"/>
    <s v="RETRAITE TU2"/>
    <m/>
    <e v="#N/A"/>
    <e v="#N/A"/>
    <n v="87882"/>
    <s v="SA202510"/>
    <m/>
    <s v="Q4"/>
    <e v="#REF!"/>
    <e v="#REF!"/>
    <e v="#REF!"/>
  </r>
  <r>
    <s v="645300"/>
    <x v="6"/>
    <s v="COTISATIONS AUX CAISSES DE RETRAITE"/>
    <s v="SA"/>
    <n v="2157.4"/>
    <d v="2025-11-30T00:00:00"/>
    <s v="RETRAITE TU2"/>
    <m/>
    <e v="#N/A"/>
    <e v="#N/A"/>
    <n v="92389"/>
    <s v="SA202511"/>
    <m/>
    <s v="Q4"/>
    <e v="#REF!"/>
    <e v="#REF!"/>
    <e v="#REF!"/>
  </r>
  <r>
    <s v="645300"/>
    <x v="6"/>
    <s v="COTISATIONS AUX CAISSES DE RETRAITE"/>
    <s v="SA"/>
    <n v="2168.04"/>
    <d v="2025-06-30T00:00:00"/>
    <s v="RETRAITE TU2"/>
    <m/>
    <e v="#N/A"/>
    <e v="#N/A"/>
    <n v="80099"/>
    <s v="SA202506"/>
    <m/>
    <s v="Q2"/>
    <e v="#REF!"/>
    <e v="#REF!"/>
    <e v="#REF!"/>
  </r>
  <r>
    <s v="645300"/>
    <x v="6"/>
    <s v="COTISATIONS AUX CAISSES DE RETRAITE"/>
    <s v="SA"/>
    <n v="2174.71"/>
    <d v="2025-12-31T00:00:00"/>
    <s v="RETRAITE TU2"/>
    <m/>
    <e v="#N/A"/>
    <e v="#N/A"/>
    <n v="92852"/>
    <s v="SA202512"/>
    <m/>
    <s v="Q4"/>
    <e v="#REF!"/>
    <e v="#REF!"/>
    <e v="#REF!"/>
  </r>
  <r>
    <s v="645300"/>
    <x v="6"/>
    <s v="COTISATIONS AUX CAISSES DE RETRAITE"/>
    <s v="SA"/>
    <n v="2316.02"/>
    <d v="2025-08-31T00:00:00"/>
    <s v="RETRAITE TU2"/>
    <m/>
    <e v="#N/A"/>
    <e v="#N/A"/>
    <n v="84042"/>
    <s v="SA202508"/>
    <m/>
    <s v="Q3"/>
    <e v="#REF!"/>
    <e v="#REF!"/>
    <e v="#REF!"/>
  </r>
  <r>
    <s v="645300"/>
    <x v="6"/>
    <s v="COTISATIONS AUX CAISSES DE RETRAITE"/>
    <s v="SA"/>
    <n v="2337.5300000000002"/>
    <d v="2025-01-31T00:00:00"/>
    <s v="RETRAITE TU2"/>
    <m/>
    <e v="#N/A"/>
    <e v="#N/A"/>
    <n v="85501"/>
    <s v="SA202501"/>
    <m/>
    <s v="Q1"/>
    <e v="#REF!"/>
    <e v="#REF!"/>
    <e v="#REF!"/>
  </r>
  <r>
    <s v="645300"/>
    <x v="6"/>
    <s v="COTISATIONS AUX CAISSES DE RETRAITE"/>
    <s v="SA"/>
    <n v="2428.7399999999998"/>
    <d v="2025-06-30T00:00:00"/>
    <s v="RETRAITE TU2"/>
    <m/>
    <e v="#N/A"/>
    <e v="#N/A"/>
    <n v="80107"/>
    <s v="SA202506"/>
    <m/>
    <s v="Q2"/>
    <e v="#REF!"/>
    <e v="#REF!"/>
    <e v="#REF!"/>
  </r>
  <r>
    <s v="645300"/>
    <x v="6"/>
    <s v="COTISATIONS AUX CAISSES DE RETRAITE"/>
    <s v="SA"/>
    <n v="3721.09"/>
    <d v="2025-04-30T00:00:00"/>
    <s v="RETRAITE TU1"/>
    <m/>
    <e v="#N/A"/>
    <e v="#N/A"/>
    <n v="80453"/>
    <s v="SA202504"/>
    <m/>
    <s v="Q2"/>
    <e v="#REF!"/>
    <e v="#REF!"/>
    <e v="#REF!"/>
  </r>
  <r>
    <s v="645300"/>
    <x v="6"/>
    <s v="COTISATIONS AUX CAISSES DE RETRAITE"/>
    <s v="SA"/>
    <n v="3732.23"/>
    <d v="2025-08-31T00:00:00"/>
    <s v="RETRAITE TU1"/>
    <m/>
    <e v="#N/A"/>
    <e v="#N/A"/>
    <n v="84058"/>
    <s v="SA202508"/>
    <m/>
    <s v="Q3"/>
    <e v="#REF!"/>
    <e v="#REF!"/>
    <e v="#REF!"/>
  </r>
  <r>
    <s v="645300"/>
    <x v="6"/>
    <s v="COTISATIONS AUX CAISSES DE RETRAITE"/>
    <s v="SA"/>
    <n v="3807.4"/>
    <d v="2025-12-31T00:00:00"/>
    <s v="RETRAITE TU1 - EXO PART APPRENTI"/>
    <m/>
    <e v="#N/A"/>
    <e v="#N/A"/>
    <n v="92868"/>
    <s v="SA202512"/>
    <m/>
    <s v="Q4"/>
    <e v="#REF!"/>
    <e v="#REF!"/>
    <e v="#REF!"/>
  </r>
  <r>
    <s v="645300"/>
    <x v="6"/>
    <s v="COTISATIONS AUX CAISSES DE RETRAITE"/>
    <s v="SA"/>
    <n v="3843.31"/>
    <d v="2025-05-31T00:00:00"/>
    <s v="RETRAITE TU1"/>
    <m/>
    <e v="#N/A"/>
    <e v="#N/A"/>
    <n v="80283"/>
    <s v="SA202505"/>
    <m/>
    <s v="Q2"/>
    <e v="#REF!"/>
    <e v="#REF!"/>
    <e v="#REF!"/>
  </r>
  <r>
    <s v="645300"/>
    <x v="6"/>
    <s v="COTISATIONS AUX CAISSES DE RETRAITE"/>
    <s v="SA"/>
    <n v="3883.98"/>
    <d v="2025-06-30T00:00:00"/>
    <s v="RETRAITE TU1"/>
    <m/>
    <e v="#N/A"/>
    <e v="#N/A"/>
    <n v="80115"/>
    <s v="SA202506"/>
    <m/>
    <s v="Q2"/>
    <e v="#REF!"/>
    <e v="#REF!"/>
    <e v="#REF!"/>
  </r>
  <r>
    <s v="645300"/>
    <x v="6"/>
    <s v="COTISATIONS AUX CAISSES DE RETRAITE"/>
    <s v="SA"/>
    <n v="3908.6"/>
    <d v="2025-10-31T00:00:00"/>
    <s v="RETRAITE TU1 - EXO PART APPRENTI"/>
    <m/>
    <e v="#N/A"/>
    <e v="#N/A"/>
    <n v="87898"/>
    <s v="SA202510"/>
    <m/>
    <s v="Q4"/>
    <e v="#REF!"/>
    <e v="#REF!"/>
    <e v="#REF!"/>
  </r>
  <r>
    <s v="645300"/>
    <x v="6"/>
    <s v="COTISATIONS AUX CAISSES DE RETRAITE"/>
    <s v="SA"/>
    <n v="3909.89"/>
    <d v="2025-11-30T00:00:00"/>
    <s v="RETRAITE TU1 - EXO PART APPRENTI"/>
    <m/>
    <e v="#N/A"/>
    <e v="#N/A"/>
    <n v="92405"/>
    <s v="SA202511"/>
    <m/>
    <s v="Q4"/>
    <e v="#REF!"/>
    <e v="#REF!"/>
    <e v="#REF!"/>
  </r>
  <r>
    <s v="645300"/>
    <x v="6"/>
    <s v="COTISATIONS AUX CAISSES DE RETRAITE"/>
    <s v="SA"/>
    <n v="3973.77"/>
    <d v="2025-03-31T00:00:00"/>
    <s v="RETRAITE TU1"/>
    <m/>
    <e v="#N/A"/>
    <e v="#N/A"/>
    <n v="80626"/>
    <s v="SA202503"/>
    <m/>
    <s v="Q1"/>
    <e v="#REF!"/>
    <e v="#REF!"/>
    <e v="#REF!"/>
  </r>
  <r>
    <s v="645300"/>
    <x v="6"/>
    <s v="COTISATIONS AUX CAISSES DE RETRAITE"/>
    <s v="SA"/>
    <n v="4022.05"/>
    <d v="2025-01-31T00:00:00"/>
    <s v="RETRAITE TU1"/>
    <m/>
    <e v="#N/A"/>
    <e v="#N/A"/>
    <n v="85517"/>
    <s v="SA202501"/>
    <m/>
    <s v="Q1"/>
    <e v="#REF!"/>
    <e v="#REF!"/>
    <e v="#REF!"/>
  </r>
  <r>
    <s v="645300"/>
    <x v="6"/>
    <s v="COTISATIONS AUX CAISSES DE RETRAITE"/>
    <s v="SA"/>
    <n v="4069.05"/>
    <d v="2025-09-30T00:00:00"/>
    <s v="RETRAITE TU1 - EXO PART APPRENTI"/>
    <m/>
    <e v="#N/A"/>
    <e v="#N/A"/>
    <n v="84232"/>
    <s v="SA202509"/>
    <m/>
    <s v="Q3"/>
    <e v="#REF!"/>
    <e v="#REF!"/>
    <e v="#REF!"/>
  </r>
  <r>
    <s v="645300"/>
    <x v="6"/>
    <s v="COTISATIONS AUX CAISSES DE RETRAITE"/>
    <s v="SA"/>
    <n v="4091.53"/>
    <d v="2025-07-31T00:00:00"/>
    <s v="RETRAITE TU1"/>
    <m/>
    <e v="#N/A"/>
    <e v="#N/A"/>
    <n v="79943"/>
    <s v="SA202507"/>
    <m/>
    <s v="Q3"/>
    <e v="#REF!"/>
    <e v="#REF!"/>
    <e v="#REF!"/>
  </r>
  <r>
    <s v="645300"/>
    <x v="6"/>
    <s v="COTISATIONS AUX CAISSES DE RETRAITE"/>
    <s v="SA"/>
    <n v="4967.68"/>
    <d v="2025-02-28T00:00:00"/>
    <s v="RETRAITE TU1"/>
    <m/>
    <e v="#N/A"/>
    <e v="#N/A"/>
    <n v="85345"/>
    <s v="SA202502"/>
    <m/>
    <s v="Q1"/>
    <e v="#REF!"/>
    <e v="#REF!"/>
    <e v="#REF!"/>
  </r>
  <r>
    <s v="645300"/>
    <x v="6"/>
    <s v="COTISATIONS AUX CAISSES DE RETRAITE"/>
    <s v="SA"/>
    <n v="5128.13"/>
    <d v="2025-02-28T00:00:00"/>
    <s v="RETRAITE TU2"/>
    <m/>
    <e v="#N/A"/>
    <e v="#N/A"/>
    <n v="85337"/>
    <s v="SA202502"/>
    <m/>
    <s v="Q1"/>
    <e v="#REF!"/>
    <e v="#REF!"/>
    <e v="#REF!"/>
  </r>
  <r>
    <s v="645300"/>
    <x v="6"/>
    <s v="COTISATIONS AUX CAISSES DE RETRAITE"/>
    <s v="SA"/>
    <n v="8544.4"/>
    <d v="2025-02-28T00:00:00"/>
    <s v="RETRAITE TU2"/>
    <m/>
    <e v="#N/A"/>
    <e v="#N/A"/>
    <n v="85346"/>
    <s v="SA202502"/>
    <m/>
    <s v="Q1"/>
    <e v="#REF!"/>
    <e v="#REF!"/>
    <e v="#REF!"/>
  </r>
  <r>
    <s v="645300"/>
    <x v="6"/>
    <s v="COTISATIONS AUX CAISSES DE RETRAITE"/>
    <s v="SA"/>
    <n v="9168.24"/>
    <d v="2025-02-28T00:00:00"/>
    <s v="RETRAITE TU2"/>
    <m/>
    <e v="#N/A"/>
    <e v="#N/A"/>
    <n v="85329"/>
    <s v="SA202502"/>
    <m/>
    <s v="Q1"/>
    <e v="#REF!"/>
    <e v="#REF!"/>
    <e v="#REF!"/>
  </r>
  <r>
    <s v="645900"/>
    <x v="6"/>
    <s v="CHARGES SOC.S/CONGÉS PAYÉS"/>
    <s v="JC"/>
    <n v="-60251"/>
    <d v="2025-01-01T00:00:00"/>
    <s v="Extourne Provision"/>
    <m/>
    <e v="#N/A"/>
    <e v="#N/A"/>
    <n v="72218"/>
    <m/>
    <m/>
    <s v="Q1"/>
    <e v="#REF!"/>
    <e v="#REF!"/>
    <e v="#REF!"/>
  </r>
  <r>
    <s v="645900"/>
    <x v="6"/>
    <s v="CHARGES SOC.S/CONGÉS PAYÉS"/>
    <s v="JC"/>
    <n v="-34345.06"/>
    <d v="2025-07-01T00:00:00"/>
    <s v="Extourne Provision CP"/>
    <m/>
    <e v="#N/A"/>
    <e v="#N/A"/>
    <n v="85882"/>
    <m/>
    <m/>
    <s v="Q3"/>
    <e v="#REF!"/>
    <e v="#REF!"/>
    <e v="#REF!"/>
  </r>
  <r>
    <s v="645900"/>
    <x v="6"/>
    <s v="CHARGES SOC.S/CONGÉS PAYÉS"/>
    <s v="JC"/>
    <n v="-32299.87"/>
    <d v="2025-12-01T00:00:00"/>
    <s v="PROV. CS SUR CP"/>
    <m/>
    <e v="#N/A"/>
    <e v="#N/A"/>
    <n v="92450"/>
    <s v="Extourne Provision CP"/>
    <m/>
    <s v="Q4"/>
    <e v="#REF!"/>
    <e v="#REF!"/>
    <e v="#REF!"/>
  </r>
  <r>
    <s v="645900"/>
    <x v="6"/>
    <s v="CHARGES SOC.S/CONGÉS PAYÉS"/>
    <s v="JC"/>
    <n v="-32205.95"/>
    <d v="2025-08-01T00:00:00"/>
    <s v="Extourne Provision CP"/>
    <m/>
    <e v="#N/A"/>
    <e v="#N/A"/>
    <n v="85920"/>
    <m/>
    <m/>
    <s v="Q3"/>
    <e v="#REF!"/>
    <e v="#REF!"/>
    <e v="#REF!"/>
  </r>
  <r>
    <s v="645900"/>
    <x v="6"/>
    <s v="CHARGES SOC.S/CONGÉS PAYÉS"/>
    <s v="JC"/>
    <n v="-30586.240000000002"/>
    <d v="2025-11-01T00:00:00"/>
    <s v="PROV. CS SUR CP"/>
    <m/>
    <e v="#N/A"/>
    <e v="#N/A"/>
    <n v="87961"/>
    <s v="Extourne Provision CP"/>
    <m/>
    <s v="Q4"/>
    <e v="#REF!"/>
    <e v="#REF!"/>
    <e v="#REF!"/>
  </r>
  <r>
    <s v="645900"/>
    <x v="6"/>
    <s v="CHARGES SOC.S/CONGÉS PAYÉS"/>
    <s v="JC"/>
    <n v="-30581.119999999999"/>
    <d v="2025-05-01T00:00:00"/>
    <s v="PROV. CS SUR CP"/>
    <m/>
    <e v="#N/A"/>
    <e v="#N/A"/>
    <n v="92593"/>
    <s v="Extourne Provision CP"/>
    <m/>
    <s v="Q2"/>
    <e v="#REF!"/>
    <e v="#REF!"/>
    <e v="#REF!"/>
  </r>
  <r>
    <s v="645900"/>
    <x v="6"/>
    <s v="CHARGES SOC.S/CONGÉS PAYÉS"/>
    <s v="JC"/>
    <n v="-29950.28"/>
    <d v="2025-04-01T00:00:00"/>
    <s v="PROV. CS SUR CP"/>
    <m/>
    <e v="#N/A"/>
    <e v="#N/A"/>
    <n v="92513"/>
    <s v="Extourne Provision CP"/>
    <m/>
    <s v="Q2"/>
    <e v="#REF!"/>
    <e v="#REF!"/>
    <e v="#REF!"/>
  </r>
  <r>
    <s v="645900"/>
    <x v="6"/>
    <s v="CHARGES SOC.S/CONGÉS PAYÉS"/>
    <s v="JC"/>
    <n v="-28539.17"/>
    <d v="2025-06-01T00:00:00"/>
    <s v="PROV. CS SUR CP"/>
    <m/>
    <e v="#N/A"/>
    <e v="#N/A"/>
    <n v="92633"/>
    <s v="Extourne Provision CP"/>
    <m/>
    <s v="Q2"/>
    <e v="#REF!"/>
    <e v="#REF!"/>
    <e v="#REF!"/>
  </r>
  <r>
    <s v="645900"/>
    <x v="6"/>
    <s v="CHARGES SOC.S/CONGÉS PAYÉS"/>
    <s v="JC"/>
    <n v="-28352.14"/>
    <d v="2025-03-01T00:00:00"/>
    <s v="PROV. CS SUR CP"/>
    <m/>
    <e v="#N/A"/>
    <e v="#N/A"/>
    <n v="92553"/>
    <s v="Extourne Provision CP"/>
    <m/>
    <s v="Q1"/>
    <e v="#REF!"/>
    <e v="#REF!"/>
    <e v="#REF!"/>
  </r>
  <r>
    <s v="645900"/>
    <x v="6"/>
    <s v="CHARGES SOC.S/CONGÉS PAYÉS"/>
    <s v="JC"/>
    <n v="-26705.29"/>
    <d v="2025-02-01T00:00:00"/>
    <s v="Extourne Provision CP"/>
    <m/>
    <e v="#N/A"/>
    <e v="#N/A"/>
    <n v="92470"/>
    <m/>
    <m/>
    <s v="Q1"/>
    <e v="#REF!"/>
    <e v="#REF!"/>
    <e v="#REF!"/>
  </r>
  <r>
    <s v="645900"/>
    <x v="6"/>
    <s v="CHARGES SOC.S/CONGÉS PAYÉS"/>
    <s v="JC"/>
    <n v="-26604"/>
    <d v="2025-01-01T00:00:00"/>
    <s v="Extourne Provision"/>
    <m/>
    <e v="#N/A"/>
    <e v="#N/A"/>
    <n v="92659"/>
    <s v="Extourne Provision"/>
    <m/>
    <s v="Q1"/>
    <e v="#REF!"/>
    <e v="#REF!"/>
    <e v="#REF!"/>
  </r>
  <r>
    <s v="645900"/>
    <x v="6"/>
    <s v="CHARGES SOC.S/CONGÉS PAYÉS"/>
    <s v="JC"/>
    <n v="-25849.14"/>
    <d v="2025-10-01T00:00:00"/>
    <s v="Extourne Provision CP"/>
    <m/>
    <e v="#N/A"/>
    <e v="#N/A"/>
    <n v="85839"/>
    <m/>
    <m/>
    <s v="Q4"/>
    <e v="#REF!"/>
    <e v="#REF!"/>
    <e v="#REF!"/>
  </r>
  <r>
    <s v="645900"/>
    <x v="6"/>
    <s v="CHARGES SOC.S/CONGÉS PAYÉS"/>
    <s v="JC"/>
    <n v="-25250.89"/>
    <d v="2025-09-01T00:00:00"/>
    <s v="PROV. CS SUR CP"/>
    <m/>
    <e v="#N/A"/>
    <e v="#N/A"/>
    <n v="85972"/>
    <s v="Extourne Provision CP"/>
    <m/>
    <s v="Q3"/>
    <e v="#REF!"/>
    <e v="#REF!"/>
    <e v="#REF!"/>
  </r>
  <r>
    <s v="645900"/>
    <x v="6"/>
    <s v="CHARGES SOC.S/CONGÉS PAYÉS"/>
    <s v="JC"/>
    <n v="-20615.2"/>
    <d v="2025-06-01T00:00:00"/>
    <s v="PROV. CS SUR CP"/>
    <m/>
    <e v="#N/A"/>
    <e v="#N/A"/>
    <n v="92632"/>
    <s v="Extourne Provision CP"/>
    <m/>
    <s v="Q2"/>
    <e v="#REF!"/>
    <e v="#REF!"/>
    <e v="#REF!"/>
  </r>
  <r>
    <s v="645900"/>
    <x v="6"/>
    <s v="CHARGES SOC.S/CONGÉS PAYÉS"/>
    <s v="JC"/>
    <n v="-20574.740000000002"/>
    <d v="2025-05-01T00:00:00"/>
    <s v="PROV. CS SUR CP"/>
    <m/>
    <e v="#N/A"/>
    <e v="#N/A"/>
    <n v="92592"/>
    <s v="Extourne Provision CP"/>
    <m/>
    <s v="Q2"/>
    <e v="#REF!"/>
    <e v="#REF!"/>
    <e v="#REF!"/>
  </r>
  <r>
    <s v="645900"/>
    <x v="6"/>
    <s v="CHARGES SOC.S/CONGÉS PAYÉS"/>
    <s v="JC"/>
    <n v="-20340.939999999999"/>
    <d v="2025-07-01T00:00:00"/>
    <s v="Extourne Provision CP"/>
    <m/>
    <e v="#N/A"/>
    <e v="#N/A"/>
    <n v="85879"/>
    <m/>
    <m/>
    <s v="Q3"/>
    <e v="#REF!"/>
    <e v="#REF!"/>
    <e v="#REF!"/>
  </r>
  <r>
    <s v="645900"/>
    <x v="6"/>
    <s v="CHARGES SOC.S/CONGÉS PAYÉS"/>
    <s v="JC"/>
    <n v="-20111.39"/>
    <d v="2025-08-01T00:00:00"/>
    <s v="Extourne Provision CP"/>
    <m/>
    <e v="#N/A"/>
    <e v="#N/A"/>
    <n v="85923"/>
    <m/>
    <m/>
    <s v="Q3"/>
    <e v="#REF!"/>
    <e v="#REF!"/>
    <e v="#REF!"/>
  </r>
  <r>
    <s v="645900"/>
    <x v="6"/>
    <s v="CHARGES SOC.S/CONGÉS PAYÉS"/>
    <s v="JC"/>
    <n v="-20109.43"/>
    <d v="2025-04-01T00:00:00"/>
    <s v="PROV. CS SUR CP"/>
    <m/>
    <e v="#N/A"/>
    <e v="#N/A"/>
    <n v="92512"/>
    <s v="Extourne Provision CP"/>
    <m/>
    <s v="Q2"/>
    <e v="#REF!"/>
    <e v="#REF!"/>
    <e v="#REF!"/>
  </r>
  <r>
    <s v="645900"/>
    <x v="6"/>
    <s v="CHARGES SOC.S/CONGÉS PAYÉS"/>
    <s v="JC"/>
    <n v="-18945.57"/>
    <d v="2025-03-01T00:00:00"/>
    <s v="PROV. CS SUR CP"/>
    <m/>
    <e v="#N/A"/>
    <e v="#N/A"/>
    <n v="92552"/>
    <s v="Extourne Provision CP"/>
    <m/>
    <s v="Q1"/>
    <e v="#REF!"/>
    <e v="#REF!"/>
    <e v="#REF!"/>
  </r>
  <r>
    <s v="645900"/>
    <x v="6"/>
    <s v="CHARGES SOC.S/CONGÉS PAYÉS"/>
    <s v="JC"/>
    <n v="-18893.97"/>
    <d v="2025-12-01T00:00:00"/>
    <s v="PROV. CS SUR CP"/>
    <m/>
    <e v="#N/A"/>
    <e v="#N/A"/>
    <n v="92449"/>
    <s v="Extourne Provision CP"/>
    <m/>
    <s v="Q4"/>
    <e v="#REF!"/>
    <e v="#REF!"/>
    <e v="#REF!"/>
  </r>
  <r>
    <s v="645900"/>
    <x v="6"/>
    <s v="CHARGES SOC.S/CONGÉS PAYÉS"/>
    <s v="JC"/>
    <n v="-17921.11"/>
    <d v="2025-11-01T00:00:00"/>
    <s v="PROV. CS SUR CP"/>
    <m/>
    <e v="#N/A"/>
    <e v="#N/A"/>
    <n v="87960"/>
    <s v="Extourne Provision CP"/>
    <m/>
    <s v="Q4"/>
    <e v="#REF!"/>
    <e v="#REF!"/>
    <e v="#REF!"/>
  </r>
  <r>
    <s v="645900"/>
    <x v="6"/>
    <s v="CHARGES SOC.S/CONGÉS PAYÉS"/>
    <s v="JC"/>
    <n v="-17823.490000000002"/>
    <d v="2025-02-01T00:00:00"/>
    <s v="Extourne Provision CP"/>
    <m/>
    <e v="#N/A"/>
    <e v="#N/A"/>
    <n v="92469"/>
    <m/>
    <m/>
    <s v="Q1"/>
    <e v="#REF!"/>
    <e v="#REF!"/>
    <e v="#REF!"/>
  </r>
  <r>
    <s v="645900"/>
    <x v="6"/>
    <s v="CHARGES SOC.S/CONGÉS PAYÉS"/>
    <s v="JC"/>
    <n v="-17038"/>
    <d v="2025-01-01T00:00:00"/>
    <s v="Extourne Provision"/>
    <m/>
    <e v="#N/A"/>
    <e v="#N/A"/>
    <n v="92658"/>
    <s v="Extourne Provision"/>
    <m/>
    <s v="Q1"/>
    <e v="#REF!"/>
    <e v="#REF!"/>
    <e v="#REF!"/>
  </r>
  <r>
    <s v="645900"/>
    <x v="6"/>
    <s v="CHARGES SOC.S/CONGÉS PAYÉS"/>
    <s v="JC"/>
    <n v="-15909.07"/>
    <d v="2025-09-01T00:00:00"/>
    <s v="PROV. CS SUR CP"/>
    <m/>
    <e v="#N/A"/>
    <e v="#N/A"/>
    <n v="85971"/>
    <s v="Extourne Provision CP"/>
    <m/>
    <s v="Q3"/>
    <e v="#REF!"/>
    <e v="#REF!"/>
    <e v="#REF!"/>
  </r>
  <r>
    <s v="645900"/>
    <x v="6"/>
    <s v="CHARGES SOC.S/CONGÉS PAYÉS"/>
    <s v="JC"/>
    <n v="-15443.8"/>
    <d v="2025-10-01T00:00:00"/>
    <s v="Extourne Provision CP"/>
    <m/>
    <e v="#N/A"/>
    <e v="#N/A"/>
    <n v="85838"/>
    <m/>
    <m/>
    <s v="Q4"/>
    <e v="#REF!"/>
    <e v="#REF!"/>
    <e v="#REF!"/>
  </r>
  <r>
    <s v="645900"/>
    <x v="6"/>
    <s v="CHARGES SOC.S/CONGÉS PAYÉS"/>
    <s v="JC"/>
    <n v="-10438"/>
    <d v="2025-01-01T00:00:00"/>
    <s v="Extourne Provision"/>
    <m/>
    <e v="#N/A"/>
    <e v="#N/A"/>
    <n v="92657"/>
    <s v="Extourne Provision"/>
    <m/>
    <s v="Q1"/>
    <e v="#REF!"/>
    <e v="#REF!"/>
    <e v="#REF!"/>
  </r>
  <r>
    <s v="645900"/>
    <x v="6"/>
    <s v="CHARGES SOC.S/CONGÉS PAYÉS"/>
    <s v="JC"/>
    <n v="-10269.61"/>
    <d v="2025-02-01T00:00:00"/>
    <s v="Extourne Provision CP"/>
    <m/>
    <e v="#N/A"/>
    <e v="#N/A"/>
    <n v="92465"/>
    <m/>
    <m/>
    <s v="Q1"/>
    <e v="#REF!"/>
    <e v="#REF!"/>
    <e v="#REF!"/>
  </r>
  <r>
    <s v="645900"/>
    <x v="6"/>
    <s v="CHARGES SOC.S/CONGÉS PAYÉS"/>
    <s v="JC"/>
    <n v="-9977.7199999999993"/>
    <d v="2025-07-01T00:00:00"/>
    <s v="Extourne Provision CP"/>
    <m/>
    <e v="#N/A"/>
    <e v="#N/A"/>
    <n v="85880"/>
    <m/>
    <m/>
    <s v="Q3"/>
    <e v="#REF!"/>
    <e v="#REF!"/>
    <e v="#REF!"/>
  </r>
  <r>
    <s v="645900"/>
    <x v="6"/>
    <s v="CHARGES SOC.S/CONGÉS PAYÉS"/>
    <s v="JC"/>
    <n v="-9835.8799999999992"/>
    <d v="2025-08-01T00:00:00"/>
    <s v="Extourne Provision CP"/>
    <m/>
    <e v="#N/A"/>
    <e v="#N/A"/>
    <n v="85922"/>
    <m/>
    <m/>
    <s v="Q3"/>
    <e v="#REF!"/>
    <e v="#REF!"/>
    <e v="#REF!"/>
  </r>
  <r>
    <s v="645900"/>
    <x v="6"/>
    <s v="CHARGES SOC.S/CONGÉS PAYÉS"/>
    <s v="JC"/>
    <n v="-8588.8700000000008"/>
    <d v="2025-06-01T00:00:00"/>
    <s v="PROV. CS SUR CP"/>
    <m/>
    <e v="#N/A"/>
    <e v="#N/A"/>
    <n v="92631"/>
    <s v="Extourne Provision CP"/>
    <m/>
    <s v="Q2"/>
    <e v="#REF!"/>
    <e v="#REF!"/>
    <e v="#REF!"/>
  </r>
  <r>
    <s v="645900"/>
    <x v="6"/>
    <s v="CHARGES SOC.S/CONGÉS PAYÉS"/>
    <s v="JC"/>
    <n v="-8279.42"/>
    <d v="2025-12-01T00:00:00"/>
    <s v="PROV. CS SUR CP"/>
    <m/>
    <e v="#N/A"/>
    <e v="#N/A"/>
    <n v="92448"/>
    <s v="Extourne Provision CP"/>
    <m/>
    <s v="Q4"/>
    <e v="#REF!"/>
    <e v="#REF!"/>
    <e v="#REF!"/>
  </r>
  <r>
    <s v="645900"/>
    <x v="6"/>
    <s v="CHARGES SOC.S/CONGÉS PAYÉS"/>
    <s v="JC"/>
    <n v="-8113.69"/>
    <d v="2025-08-01T00:00:00"/>
    <s v="Extourne Provision CP"/>
    <m/>
    <e v="#N/A"/>
    <e v="#N/A"/>
    <n v="85921"/>
    <m/>
    <m/>
    <s v="Q3"/>
    <e v="#REF!"/>
    <e v="#REF!"/>
    <e v="#REF!"/>
  </r>
  <r>
    <s v="645900"/>
    <x v="6"/>
    <s v="CHARGES SOC.S/CONGÉS PAYÉS"/>
    <s v="JC"/>
    <n v="-8095.18"/>
    <d v="2025-05-01T00:00:00"/>
    <s v="PROV. CS SUR CP"/>
    <m/>
    <e v="#N/A"/>
    <e v="#N/A"/>
    <n v="92591"/>
    <s v="Extourne Provision CP"/>
    <m/>
    <s v="Q2"/>
    <e v="#REF!"/>
    <e v="#REF!"/>
    <e v="#REF!"/>
  </r>
  <r>
    <s v="645900"/>
    <x v="6"/>
    <s v="CHARGES SOC.S/CONGÉS PAYÉS"/>
    <s v="JC"/>
    <n v="-7922.11"/>
    <d v="2025-07-01T00:00:00"/>
    <s v="Extourne Provision CP"/>
    <m/>
    <e v="#N/A"/>
    <e v="#N/A"/>
    <n v="85881"/>
    <m/>
    <m/>
    <s v="Q3"/>
    <e v="#REF!"/>
    <e v="#REF!"/>
    <e v="#REF!"/>
  </r>
  <r>
    <s v="645900"/>
    <x v="6"/>
    <s v="CHARGES SOC.S/CONGÉS PAYÉS"/>
    <s v="JC"/>
    <n v="-7682.09"/>
    <d v="2025-04-01T00:00:00"/>
    <s v="PROV. CS SUR CP"/>
    <m/>
    <e v="#N/A"/>
    <e v="#N/A"/>
    <n v="92511"/>
    <s v="Extourne Provision CP"/>
    <m/>
    <s v="Q2"/>
    <e v="#REF!"/>
    <e v="#REF!"/>
    <e v="#REF!"/>
  </r>
  <r>
    <s v="645900"/>
    <x v="6"/>
    <s v="CHARGES SOC.S/CONGÉS PAYÉS"/>
    <s v="JC"/>
    <n v="-7662.26"/>
    <d v="2025-09-01T00:00:00"/>
    <s v="PROV. CS SUR CP"/>
    <m/>
    <e v="#N/A"/>
    <e v="#N/A"/>
    <n v="85973"/>
    <s v="Extourne Provision CP"/>
    <m/>
    <s v="Q3"/>
    <e v="#REF!"/>
    <e v="#REF!"/>
    <e v="#REF!"/>
  </r>
  <r>
    <s v="645900"/>
    <x v="6"/>
    <s v="CHARGES SOC.S/CONGÉS PAYÉS"/>
    <s v="JC"/>
    <n v="-7569.84"/>
    <d v="2025-10-01T00:00:00"/>
    <s v="Extourne Provision CP"/>
    <m/>
    <e v="#N/A"/>
    <e v="#N/A"/>
    <n v="85840"/>
    <m/>
    <m/>
    <s v="Q4"/>
    <e v="#REF!"/>
    <e v="#REF!"/>
    <e v="#REF!"/>
  </r>
  <r>
    <s v="645900"/>
    <x v="6"/>
    <s v="CHARGES SOC.S/CONGÉS PAYÉS"/>
    <s v="JC"/>
    <n v="-7551.54"/>
    <d v="2025-11-01T00:00:00"/>
    <s v="PROV. CS SUR CP"/>
    <m/>
    <e v="#N/A"/>
    <e v="#N/A"/>
    <n v="87959"/>
    <s v="Extourne Provision CP"/>
    <m/>
    <s v="Q4"/>
    <e v="#REF!"/>
    <e v="#REF!"/>
    <e v="#REF!"/>
  </r>
  <r>
    <s v="645900"/>
    <x v="6"/>
    <s v="CHARGES SOC.S/CONGÉS PAYÉS"/>
    <s v="JC"/>
    <n v="-7226.81"/>
    <d v="2025-05-01T00:00:00"/>
    <s v="PROV. CS SUR CP"/>
    <m/>
    <e v="#N/A"/>
    <e v="#N/A"/>
    <n v="92594"/>
    <s v="Extourne Provision CP"/>
    <m/>
    <s v="Q2"/>
    <e v="#REF!"/>
    <e v="#REF!"/>
    <e v="#REF!"/>
  </r>
  <r>
    <s v="645900"/>
    <x v="6"/>
    <s v="CHARGES SOC.S/CONGÉS PAYÉS"/>
    <s v="JC"/>
    <n v="-6857.94"/>
    <d v="2025-03-01T00:00:00"/>
    <s v="PROV. CS SUR CP"/>
    <m/>
    <e v="#N/A"/>
    <e v="#N/A"/>
    <n v="92551"/>
    <s v="Extourne Provision CP"/>
    <m/>
    <s v="Q1"/>
    <e v="#REF!"/>
    <e v="#REF!"/>
    <e v="#REF!"/>
  </r>
  <r>
    <s v="645900"/>
    <x v="6"/>
    <s v="CHARGES SOC.S/CONGÉS PAYÉS"/>
    <s v="JC"/>
    <n v="-6853.21"/>
    <d v="2025-12-01T00:00:00"/>
    <s v="PROV. CS SUR CP"/>
    <m/>
    <e v="#N/A"/>
    <e v="#N/A"/>
    <n v="92451"/>
    <s v="Extourne Provision CP"/>
    <m/>
    <s v="Q4"/>
    <e v="#REF!"/>
    <e v="#REF!"/>
    <e v="#REF!"/>
  </r>
  <r>
    <s v="645900"/>
    <x v="6"/>
    <s v="CHARGES SOC.S/CONGÉS PAYÉS"/>
    <s v="JC"/>
    <n v="-6830.37"/>
    <d v="2025-10-01T00:00:00"/>
    <s v="Extourne Provision CP"/>
    <m/>
    <e v="#N/A"/>
    <e v="#N/A"/>
    <n v="85834"/>
    <m/>
    <m/>
    <s v="Q4"/>
    <e v="#REF!"/>
    <e v="#REF!"/>
    <e v="#REF!"/>
  </r>
  <r>
    <s v="645900"/>
    <x v="6"/>
    <s v="CHARGES SOC.S/CONGÉS PAYÉS"/>
    <s v="JC"/>
    <n v="-6796.76"/>
    <d v="2025-06-01T00:00:00"/>
    <s v="PROV. CS SUR CP"/>
    <m/>
    <e v="#N/A"/>
    <e v="#N/A"/>
    <n v="92634"/>
    <s v="Extourne Provision CP"/>
    <m/>
    <s v="Q2"/>
    <e v="#REF!"/>
    <e v="#REF!"/>
    <e v="#REF!"/>
  </r>
  <r>
    <s v="645900"/>
    <x v="6"/>
    <s v="CHARGES SOC.S/CONGÉS PAYÉS"/>
    <s v="JC"/>
    <n v="-6694.86"/>
    <d v="2025-04-01T00:00:00"/>
    <s v="PROV. CS SUR CP"/>
    <m/>
    <e v="#N/A"/>
    <e v="#N/A"/>
    <n v="92514"/>
    <s v="Extourne Provision CP"/>
    <m/>
    <s v="Q2"/>
    <e v="#REF!"/>
    <e v="#REF!"/>
    <e v="#REF!"/>
  </r>
  <r>
    <s v="645900"/>
    <x v="6"/>
    <s v="CHARGES SOC.S/CONGÉS PAYÉS"/>
    <s v="JC"/>
    <n v="-6317.53"/>
    <d v="2025-09-01T00:00:00"/>
    <s v="PROV. CS SUR CP"/>
    <m/>
    <e v="#N/A"/>
    <e v="#N/A"/>
    <n v="85970"/>
    <s v="Extourne Provision CP"/>
    <m/>
    <s v="Q3"/>
    <e v="#REF!"/>
    <e v="#REF!"/>
    <e v="#REF!"/>
  </r>
  <r>
    <s v="645900"/>
    <x v="6"/>
    <s v="CHARGES SOC.S/CONGÉS PAYÉS"/>
    <s v="JC"/>
    <n v="-6297.3"/>
    <d v="2025-11-01T00:00:00"/>
    <s v="PROV. CS SUR CP"/>
    <m/>
    <e v="#N/A"/>
    <e v="#N/A"/>
    <n v="87962"/>
    <s v="Extourne Provision CP"/>
    <m/>
    <s v="Q4"/>
    <e v="#REF!"/>
    <e v="#REF!"/>
    <e v="#REF!"/>
  </r>
  <r>
    <s v="645900"/>
    <x v="6"/>
    <s v="CHARGES SOC.S/CONGÉS PAYÉS"/>
    <s v="JC"/>
    <n v="-6171"/>
    <d v="2025-01-01T00:00:00"/>
    <s v="Extourne Provision"/>
    <m/>
    <e v="#N/A"/>
    <e v="#N/A"/>
    <n v="92660"/>
    <s v="Extourne Provision"/>
    <m/>
    <s v="Q1"/>
    <e v="#REF!"/>
    <e v="#REF!"/>
    <e v="#REF!"/>
  </r>
  <r>
    <s v="645900"/>
    <x v="6"/>
    <s v="CHARGES SOC.S/CONGÉS PAYÉS"/>
    <s v="JC"/>
    <n v="-6073.3"/>
    <d v="2025-03-01T00:00:00"/>
    <s v="PROV. CS SUR CP"/>
    <m/>
    <e v="#N/A"/>
    <e v="#N/A"/>
    <n v="92554"/>
    <s v="Extourne Provision CP"/>
    <m/>
    <s v="Q1"/>
    <e v="#REF!"/>
    <e v="#REF!"/>
    <e v="#REF!"/>
  </r>
  <r>
    <s v="645900"/>
    <x v="6"/>
    <s v="CHARGES SOC.S/CONGÉS PAYÉS"/>
    <s v="JC"/>
    <n v="-5434.28"/>
    <d v="2025-02-01T00:00:00"/>
    <s v="Extourne Provision CP"/>
    <m/>
    <e v="#N/A"/>
    <e v="#N/A"/>
    <n v="92471"/>
    <m/>
    <m/>
    <s v="Q1"/>
    <e v="#REF!"/>
    <e v="#REF!"/>
    <e v="#REF!"/>
  </r>
  <r>
    <s v="645900"/>
    <x v="6"/>
    <s v="CHARGES SOC.S/CONGÉS PAYÉS"/>
    <s v="JC"/>
    <n v="5434.28"/>
    <d v="2025-01-31T00:00:00"/>
    <s v="Provision CP"/>
    <m/>
    <e v="#N/A"/>
    <e v="#N/A"/>
    <n v="90035"/>
    <m/>
    <m/>
    <s v="Q1"/>
    <e v="#REF!"/>
    <e v="#REF!"/>
    <e v="#REF!"/>
  </r>
  <r>
    <s v="645900"/>
    <x v="6"/>
    <s v="CHARGES SOC.S/CONGÉS PAYÉS"/>
    <s v="JC"/>
    <n v="6073.3"/>
    <d v="2025-02-28T00:00:00"/>
    <s v="PROV. CS SUR CP"/>
    <m/>
    <e v="#N/A"/>
    <e v="#N/A"/>
    <n v="92534"/>
    <s v="Provision CP"/>
    <m/>
    <s v="Q1"/>
    <e v="#REF!"/>
    <e v="#REF!"/>
    <e v="#REF!"/>
  </r>
  <r>
    <s v="645900"/>
    <x v="6"/>
    <s v="CHARGES SOC.S/CONGÉS PAYÉS"/>
    <s v="JC"/>
    <n v="6297.3"/>
    <d v="2025-10-31T00:00:00"/>
    <s v="PROV. CS SUR CP"/>
    <m/>
    <e v="#N/A"/>
    <e v="#N/A"/>
    <n v="87942"/>
    <s v="Provision CP"/>
    <m/>
    <s v="Q4"/>
    <e v="#REF!"/>
    <e v="#REF!"/>
    <e v="#REF!"/>
  </r>
  <r>
    <s v="645900"/>
    <x v="6"/>
    <s v="CHARGES SOC.S/CONGÉS PAYÉS"/>
    <s v="JC"/>
    <n v="6317.53"/>
    <d v="2025-08-31T00:00:00"/>
    <s v="PROV. CS SUR CP"/>
    <m/>
    <e v="#N/A"/>
    <e v="#N/A"/>
    <n v="85950"/>
    <s v="Provision CP"/>
    <m/>
    <s v="Q3"/>
    <e v="#REF!"/>
    <e v="#REF!"/>
    <e v="#REF!"/>
  </r>
  <r>
    <s v="645900"/>
    <x v="6"/>
    <s v="CHARGES SOC.S/CONGÉS PAYÉS"/>
    <s v="JC"/>
    <n v="6543.07"/>
    <d v="2025-12-31T00:00:00"/>
    <s v="PROV. CS SUR CP"/>
    <m/>
    <e v="#N/A"/>
    <e v="#N/A"/>
    <n v="92908"/>
    <s v="Provision CP"/>
    <m/>
    <s v="Q4"/>
    <e v="#REF!"/>
    <e v="#REF!"/>
    <e v="#REF!"/>
  </r>
  <r>
    <s v="645900"/>
    <x v="6"/>
    <s v="CHARGES SOC.S/CONGÉS PAYÉS"/>
    <s v="JC"/>
    <n v="6694.86"/>
    <d v="2025-03-31T00:00:00"/>
    <s v="PROV. CS SUR CP"/>
    <m/>
    <e v="#N/A"/>
    <e v="#N/A"/>
    <n v="92494"/>
    <s v="Provision CP"/>
    <m/>
    <s v="Q1"/>
    <e v="#REF!"/>
    <e v="#REF!"/>
    <e v="#REF!"/>
  </r>
  <r>
    <s v="645900"/>
    <x v="6"/>
    <s v="CHARGES SOC.S/CONGÉS PAYÉS"/>
    <s v="JC"/>
    <n v="6796.76"/>
    <d v="2025-05-31T00:00:00"/>
    <s v="PROV. CS SUR CP"/>
    <m/>
    <e v="#N/A"/>
    <e v="#N/A"/>
    <n v="92614"/>
    <s v="Provision CP"/>
    <m/>
    <s v="Q2"/>
    <e v="#REF!"/>
    <e v="#REF!"/>
    <e v="#REF!"/>
  </r>
  <r>
    <s v="645900"/>
    <x v="6"/>
    <s v="CHARGES SOC.S/CONGÉS PAYÉS"/>
    <s v="JC"/>
    <n v="6830.37"/>
    <d v="2025-09-30T00:00:00"/>
    <s v="Provision CP"/>
    <m/>
    <e v="#N/A"/>
    <e v="#N/A"/>
    <n v="85822"/>
    <m/>
    <m/>
    <s v="Q3"/>
    <e v="#REF!"/>
    <e v="#REF!"/>
    <e v="#REF!"/>
  </r>
  <r>
    <s v="645900"/>
    <x v="6"/>
    <s v="CHARGES SOC.S/CONGÉS PAYÉS"/>
    <s v="JC"/>
    <n v="6853.21"/>
    <d v="2025-11-30T00:00:00"/>
    <s v="PROV. CS SUR CP"/>
    <m/>
    <e v="#N/A"/>
    <e v="#N/A"/>
    <n v="92431"/>
    <s v="Provision CP"/>
    <m/>
    <s v="Q4"/>
    <e v="#REF!"/>
    <e v="#REF!"/>
    <e v="#REF!"/>
  </r>
  <r>
    <s v="645900"/>
    <x v="6"/>
    <s v="CHARGES SOC.S/CONGÉS PAYÉS"/>
    <s v="JC"/>
    <n v="6857.94"/>
    <d v="2025-02-28T00:00:00"/>
    <s v="PROV. CS SUR CP"/>
    <m/>
    <e v="#N/A"/>
    <e v="#N/A"/>
    <n v="92531"/>
    <s v="Provision CP"/>
    <m/>
    <s v="Q1"/>
    <e v="#REF!"/>
    <e v="#REF!"/>
    <e v="#REF!"/>
  </r>
  <r>
    <s v="645900"/>
    <x v="6"/>
    <s v="CHARGES SOC.S/CONGÉS PAYÉS"/>
    <s v="JC"/>
    <n v="7226.81"/>
    <d v="2025-04-30T00:00:00"/>
    <s v="PROV. CS SUR CP"/>
    <m/>
    <e v="#N/A"/>
    <e v="#N/A"/>
    <n v="92574"/>
    <s v="Provision CP"/>
    <m/>
    <s v="Q2"/>
    <e v="#REF!"/>
    <e v="#REF!"/>
    <e v="#REF!"/>
  </r>
  <r>
    <s v="645900"/>
    <x v="6"/>
    <s v="CHARGES SOC.S/CONGÉS PAYÉS"/>
    <s v="JC"/>
    <n v="7551.54"/>
    <d v="2025-10-31T00:00:00"/>
    <s v="PROV. CS SUR CP"/>
    <m/>
    <e v="#N/A"/>
    <e v="#N/A"/>
    <n v="87939"/>
    <s v="Provision CP"/>
    <m/>
    <s v="Q4"/>
    <e v="#REF!"/>
    <e v="#REF!"/>
    <e v="#REF!"/>
  </r>
  <r>
    <s v="645900"/>
    <x v="6"/>
    <s v="CHARGES SOC.S/CONGÉS PAYÉS"/>
    <s v="JC"/>
    <n v="7569.84"/>
    <d v="2025-09-30T00:00:00"/>
    <s v="Provision CP"/>
    <m/>
    <e v="#N/A"/>
    <e v="#N/A"/>
    <n v="85828"/>
    <m/>
    <m/>
    <s v="Q3"/>
    <e v="#REF!"/>
    <e v="#REF!"/>
    <e v="#REF!"/>
  </r>
  <r>
    <s v="645900"/>
    <x v="6"/>
    <s v="CHARGES SOC.S/CONGÉS PAYÉS"/>
    <s v="JC"/>
    <n v="7662.26"/>
    <d v="2025-08-31T00:00:00"/>
    <s v="PROV. CS SUR CP"/>
    <m/>
    <e v="#N/A"/>
    <e v="#N/A"/>
    <n v="85953"/>
    <s v="Provision CP"/>
    <m/>
    <s v="Q3"/>
    <e v="#REF!"/>
    <e v="#REF!"/>
    <e v="#REF!"/>
  </r>
  <r>
    <s v="645900"/>
    <x v="6"/>
    <s v="CHARGES SOC.S/CONGÉS PAYÉS"/>
    <s v="JC"/>
    <n v="7682.09"/>
    <d v="2025-03-31T00:00:00"/>
    <s v="PROV. CS SUR CP"/>
    <m/>
    <e v="#N/A"/>
    <e v="#N/A"/>
    <n v="92491"/>
    <s v="Provision CP"/>
    <m/>
    <s v="Q1"/>
    <e v="#REF!"/>
    <e v="#REF!"/>
    <e v="#REF!"/>
  </r>
  <r>
    <s v="645900"/>
    <x v="6"/>
    <s v="CHARGES SOC.S/CONGÉS PAYÉS"/>
    <s v="JC"/>
    <n v="7922.11"/>
    <d v="2025-06-30T00:00:00"/>
    <s v="Provision CP"/>
    <m/>
    <e v="#N/A"/>
    <e v="#N/A"/>
    <n v="85848"/>
    <m/>
    <m/>
    <s v="Q2"/>
    <e v="#REF!"/>
    <e v="#REF!"/>
    <e v="#REF!"/>
  </r>
  <r>
    <s v="645900"/>
    <x v="6"/>
    <s v="CHARGES SOC.S/CONGÉS PAYÉS"/>
    <s v="JC"/>
    <n v="8095.18"/>
    <d v="2025-04-30T00:00:00"/>
    <s v="PROV. CS SUR CP"/>
    <m/>
    <e v="#N/A"/>
    <e v="#N/A"/>
    <n v="92571"/>
    <s v="Provision CP"/>
    <m/>
    <s v="Q2"/>
    <e v="#REF!"/>
    <e v="#REF!"/>
    <e v="#REF!"/>
  </r>
  <r>
    <s v="645900"/>
    <x v="6"/>
    <s v="CHARGES SOC.S/CONGÉS PAYÉS"/>
    <s v="JC"/>
    <n v="8113.69"/>
    <d v="2025-07-31T00:00:00"/>
    <s v="Provision CP"/>
    <m/>
    <e v="#N/A"/>
    <e v="#N/A"/>
    <n v="85912"/>
    <m/>
    <m/>
    <s v="Q3"/>
    <e v="#REF!"/>
    <e v="#REF!"/>
    <e v="#REF!"/>
  </r>
  <r>
    <s v="645900"/>
    <x v="6"/>
    <s v="CHARGES SOC.S/CONGÉS PAYÉS"/>
    <s v="JC"/>
    <n v="8279.42"/>
    <d v="2025-11-30T00:00:00"/>
    <s v="PROV. CS SUR CP"/>
    <m/>
    <e v="#N/A"/>
    <e v="#N/A"/>
    <n v="92428"/>
    <s v="Provision CP"/>
    <m/>
    <s v="Q4"/>
    <e v="#REF!"/>
    <e v="#REF!"/>
    <e v="#REF!"/>
  </r>
  <r>
    <s v="645900"/>
    <x v="6"/>
    <s v="CHARGES SOC.S/CONGÉS PAYÉS"/>
    <s v="JC"/>
    <n v="8330.5"/>
    <d v="2025-12-31T00:00:00"/>
    <s v="PROV. CS SUR CP"/>
    <m/>
    <e v="#N/A"/>
    <e v="#N/A"/>
    <n v="92905"/>
    <s v="Provision CP"/>
    <m/>
    <s v="Q4"/>
    <e v="#REF!"/>
    <e v="#REF!"/>
    <e v="#REF!"/>
  </r>
  <r>
    <s v="645900"/>
    <x v="6"/>
    <s v="CHARGES SOC.S/CONGÉS PAYÉS"/>
    <s v="JC"/>
    <n v="8588.8700000000008"/>
    <d v="2025-05-31T00:00:00"/>
    <s v="PROV. CS SUR CP"/>
    <m/>
    <e v="#N/A"/>
    <e v="#N/A"/>
    <n v="92611"/>
    <s v="Provision CP"/>
    <m/>
    <s v="Q2"/>
    <e v="#REF!"/>
    <e v="#REF!"/>
    <e v="#REF!"/>
  </r>
  <r>
    <s v="645900"/>
    <x v="6"/>
    <s v="CHARGES SOC.S/CONGÉS PAYÉS"/>
    <s v="JC"/>
    <n v="9835.8799999999992"/>
    <d v="2025-07-31T00:00:00"/>
    <s v="Provision CP"/>
    <m/>
    <e v="#N/A"/>
    <e v="#N/A"/>
    <n v="85911"/>
    <m/>
    <m/>
    <s v="Q3"/>
    <e v="#REF!"/>
    <e v="#REF!"/>
    <e v="#REF!"/>
  </r>
  <r>
    <s v="645900"/>
    <x v="6"/>
    <s v="CHARGES SOC.S/CONGÉS PAYÉS"/>
    <s v="JC"/>
    <n v="9977.7199999999993"/>
    <d v="2025-06-30T00:00:00"/>
    <s v="Provision CP"/>
    <m/>
    <e v="#N/A"/>
    <e v="#N/A"/>
    <n v="85849"/>
    <m/>
    <m/>
    <s v="Q2"/>
    <e v="#REF!"/>
    <e v="#REF!"/>
    <e v="#REF!"/>
  </r>
  <r>
    <s v="645900"/>
    <x v="6"/>
    <s v="CHARGES SOC.S/CONGÉS PAYÉS"/>
    <s v="JC"/>
    <n v="10269.61"/>
    <d v="2025-01-31T00:00:00"/>
    <s v="Provision CP"/>
    <m/>
    <e v="#N/A"/>
    <e v="#N/A"/>
    <n v="72141"/>
    <m/>
    <m/>
    <s v="Q1"/>
    <e v="#REF!"/>
    <e v="#REF!"/>
    <e v="#REF!"/>
  </r>
  <r>
    <s v="645900"/>
    <x v="6"/>
    <s v="CHARGES SOC.S/CONGÉS PAYÉS"/>
    <s v="JC"/>
    <n v="15443.8"/>
    <d v="2025-09-30T00:00:00"/>
    <s v="Provision CP"/>
    <m/>
    <e v="#N/A"/>
    <e v="#N/A"/>
    <n v="85826"/>
    <m/>
    <m/>
    <s v="Q3"/>
    <e v="#REF!"/>
    <e v="#REF!"/>
    <e v="#REF!"/>
  </r>
  <r>
    <s v="645900"/>
    <x v="6"/>
    <s v="CHARGES SOC.S/CONGÉS PAYÉS"/>
    <s v="JC"/>
    <n v="15909.07"/>
    <d v="2025-08-31T00:00:00"/>
    <s v="PROV. CS SUR CP"/>
    <m/>
    <e v="#N/A"/>
    <e v="#N/A"/>
    <n v="85951"/>
    <s v="Provision CP"/>
    <m/>
    <s v="Q3"/>
    <e v="#REF!"/>
    <e v="#REF!"/>
    <e v="#REF!"/>
  </r>
  <r>
    <s v="645900"/>
    <x v="6"/>
    <s v="CHARGES SOC.S/CONGÉS PAYÉS"/>
    <s v="JC"/>
    <n v="17823.490000000002"/>
    <d v="2025-01-31T00:00:00"/>
    <s v="Provision CP"/>
    <m/>
    <e v="#N/A"/>
    <e v="#N/A"/>
    <n v="90033"/>
    <m/>
    <m/>
    <s v="Q1"/>
    <e v="#REF!"/>
    <e v="#REF!"/>
    <e v="#REF!"/>
  </r>
  <r>
    <s v="645900"/>
    <x v="6"/>
    <s v="CHARGES SOC.S/CONGÉS PAYÉS"/>
    <s v="JC"/>
    <n v="17921.11"/>
    <d v="2025-10-31T00:00:00"/>
    <s v="PROV. CS SUR CP"/>
    <m/>
    <e v="#N/A"/>
    <e v="#N/A"/>
    <n v="87940"/>
    <s v="Provision CP"/>
    <m/>
    <s v="Q4"/>
    <e v="#REF!"/>
    <e v="#REF!"/>
    <e v="#REF!"/>
  </r>
  <r>
    <s v="645900"/>
    <x v="6"/>
    <s v="CHARGES SOC.S/CONGÉS PAYÉS"/>
    <s v="JC"/>
    <n v="18893.97"/>
    <d v="2025-11-30T00:00:00"/>
    <s v="PROV. CS SUR CP"/>
    <m/>
    <e v="#N/A"/>
    <e v="#N/A"/>
    <n v="92429"/>
    <s v="Provision CP"/>
    <m/>
    <s v="Q4"/>
    <e v="#REF!"/>
    <e v="#REF!"/>
    <e v="#REF!"/>
  </r>
  <r>
    <s v="645900"/>
    <x v="6"/>
    <s v="CHARGES SOC.S/CONGÉS PAYÉS"/>
    <s v="JC"/>
    <n v="18945.57"/>
    <d v="2025-02-28T00:00:00"/>
    <s v="PROV. CS SUR CP"/>
    <m/>
    <e v="#N/A"/>
    <e v="#N/A"/>
    <n v="92532"/>
    <s v="Provision CP"/>
    <m/>
    <s v="Q1"/>
    <e v="#REF!"/>
    <e v="#REF!"/>
    <e v="#REF!"/>
  </r>
  <r>
    <s v="645900"/>
    <x v="6"/>
    <s v="CHARGES SOC.S/CONGÉS PAYÉS"/>
    <s v="JC"/>
    <n v="19375.23"/>
    <d v="2025-12-31T00:00:00"/>
    <s v="PROV. CS SUR CP"/>
    <m/>
    <e v="#N/A"/>
    <e v="#N/A"/>
    <n v="92906"/>
    <s v="Provision CP"/>
    <m/>
    <s v="Q4"/>
    <e v="#REF!"/>
    <e v="#REF!"/>
    <e v="#REF!"/>
  </r>
  <r>
    <s v="645900"/>
    <x v="6"/>
    <s v="CHARGES SOC.S/CONGÉS PAYÉS"/>
    <s v="JC"/>
    <n v="20109.43"/>
    <d v="2025-03-31T00:00:00"/>
    <s v="PROV. CS SUR CP"/>
    <m/>
    <e v="#N/A"/>
    <e v="#N/A"/>
    <n v="92492"/>
    <s v="Provision CP"/>
    <m/>
    <s v="Q1"/>
    <e v="#REF!"/>
    <e v="#REF!"/>
    <e v="#REF!"/>
  </r>
  <r>
    <s v="645900"/>
    <x v="6"/>
    <s v="CHARGES SOC.S/CONGÉS PAYÉS"/>
    <s v="JC"/>
    <n v="20111.39"/>
    <d v="2025-07-31T00:00:00"/>
    <s v="Provision CP"/>
    <m/>
    <e v="#N/A"/>
    <e v="#N/A"/>
    <n v="85910"/>
    <m/>
    <m/>
    <s v="Q3"/>
    <e v="#REF!"/>
    <e v="#REF!"/>
    <e v="#REF!"/>
  </r>
  <r>
    <s v="645900"/>
    <x v="6"/>
    <s v="CHARGES SOC.S/CONGÉS PAYÉS"/>
    <s v="JC"/>
    <n v="20340.939999999999"/>
    <d v="2025-06-30T00:00:00"/>
    <s v="Provision CP"/>
    <m/>
    <e v="#N/A"/>
    <e v="#N/A"/>
    <n v="85850"/>
    <m/>
    <m/>
    <s v="Q2"/>
    <e v="#REF!"/>
    <e v="#REF!"/>
    <e v="#REF!"/>
  </r>
  <r>
    <s v="645900"/>
    <x v="6"/>
    <s v="CHARGES SOC.S/CONGÉS PAYÉS"/>
    <s v="JC"/>
    <n v="20574.740000000002"/>
    <d v="2025-04-30T00:00:00"/>
    <s v="PROV. CS SUR CP"/>
    <m/>
    <e v="#N/A"/>
    <e v="#N/A"/>
    <n v="92572"/>
    <s v="Provision CP"/>
    <m/>
    <s v="Q2"/>
    <e v="#REF!"/>
    <e v="#REF!"/>
    <e v="#REF!"/>
  </r>
  <r>
    <s v="645900"/>
    <x v="6"/>
    <s v="CHARGES SOC.S/CONGÉS PAYÉS"/>
    <s v="JC"/>
    <n v="20615.2"/>
    <d v="2025-05-31T00:00:00"/>
    <s v="PROV. CS SUR CP"/>
    <m/>
    <e v="#N/A"/>
    <e v="#N/A"/>
    <n v="92612"/>
    <s v="Provision CP"/>
    <m/>
    <s v="Q2"/>
    <e v="#REF!"/>
    <e v="#REF!"/>
    <e v="#REF!"/>
  </r>
  <r>
    <s v="645900"/>
    <x v="6"/>
    <s v="CHARGES SOC.S/CONGÉS PAYÉS"/>
    <s v="JC"/>
    <n v="25250.89"/>
    <d v="2025-08-31T00:00:00"/>
    <s v="PROV. CS SUR CP"/>
    <m/>
    <e v="#N/A"/>
    <e v="#N/A"/>
    <n v="85952"/>
    <s v="Provision CP"/>
    <m/>
    <s v="Q3"/>
    <e v="#REF!"/>
    <e v="#REF!"/>
    <e v="#REF!"/>
  </r>
  <r>
    <s v="645900"/>
    <x v="6"/>
    <s v="CHARGES SOC.S/CONGÉS PAYÉS"/>
    <s v="JC"/>
    <n v="25849.14"/>
    <d v="2025-09-30T00:00:00"/>
    <s v="Provision CP"/>
    <m/>
    <e v="#N/A"/>
    <e v="#N/A"/>
    <n v="85827"/>
    <m/>
    <m/>
    <s v="Q3"/>
    <e v="#REF!"/>
    <e v="#REF!"/>
    <e v="#REF!"/>
  </r>
  <r>
    <s v="645900"/>
    <x v="6"/>
    <s v="CHARGES SOC.S/CONGÉS PAYÉS"/>
    <s v="JC"/>
    <n v="26705.29"/>
    <d v="2025-01-31T00:00:00"/>
    <s v="Provision CP"/>
    <m/>
    <e v="#N/A"/>
    <e v="#N/A"/>
    <n v="90034"/>
    <m/>
    <m/>
    <s v="Q1"/>
    <e v="#REF!"/>
    <e v="#REF!"/>
    <e v="#REF!"/>
  </r>
  <r>
    <s v="645900"/>
    <x v="6"/>
    <s v="CHARGES SOC.S/CONGÉS PAYÉS"/>
    <s v="JC"/>
    <n v="28352.14"/>
    <d v="2025-02-28T00:00:00"/>
    <s v="PROV. CS SUR CP"/>
    <m/>
    <e v="#N/A"/>
    <e v="#N/A"/>
    <n v="92533"/>
    <s v="Provision CP"/>
    <m/>
    <s v="Q1"/>
    <e v="#REF!"/>
    <e v="#REF!"/>
    <e v="#REF!"/>
  </r>
  <r>
    <s v="645900"/>
    <x v="6"/>
    <s v="CHARGES SOC.S/CONGÉS PAYÉS"/>
    <s v="JC"/>
    <n v="28539.17"/>
    <d v="2025-05-31T00:00:00"/>
    <s v="PROV. CS SUR CP"/>
    <m/>
    <e v="#N/A"/>
    <e v="#N/A"/>
    <n v="92613"/>
    <s v="Provision CP"/>
    <m/>
    <s v="Q2"/>
    <e v="#REF!"/>
    <e v="#REF!"/>
    <e v="#REF!"/>
  </r>
  <r>
    <s v="645900"/>
    <x v="6"/>
    <s v="CHARGES SOC.S/CONGÉS PAYÉS"/>
    <s v="JC"/>
    <n v="29950.28"/>
    <d v="2025-03-31T00:00:00"/>
    <s v="PROV. CS SUR CP"/>
    <m/>
    <e v="#N/A"/>
    <e v="#N/A"/>
    <n v="92493"/>
    <s v="Provision CP"/>
    <m/>
    <s v="Q1"/>
    <e v="#REF!"/>
    <e v="#REF!"/>
    <e v="#REF!"/>
  </r>
  <r>
    <s v="645900"/>
    <x v="6"/>
    <s v="CHARGES SOC.S/CONGÉS PAYÉS"/>
    <s v="JC"/>
    <n v="30581.119999999999"/>
    <d v="2025-04-30T00:00:00"/>
    <s v="PROV. CS SUR CP"/>
    <m/>
    <e v="#N/A"/>
    <e v="#N/A"/>
    <n v="92573"/>
    <s v="Provision CP"/>
    <m/>
    <s v="Q2"/>
    <e v="#REF!"/>
    <e v="#REF!"/>
    <e v="#REF!"/>
  </r>
  <r>
    <s v="645900"/>
    <x v="6"/>
    <s v="CHARGES SOC.S/CONGÉS PAYÉS"/>
    <s v="JC"/>
    <n v="30586.240000000002"/>
    <d v="2025-10-31T00:00:00"/>
    <s v="PROV. CS SUR CP"/>
    <m/>
    <e v="#N/A"/>
    <e v="#N/A"/>
    <n v="87941"/>
    <s v="Provision CP"/>
    <m/>
    <s v="Q4"/>
    <e v="#REF!"/>
    <e v="#REF!"/>
    <e v="#REF!"/>
  </r>
  <r>
    <s v="645900"/>
    <x v="6"/>
    <s v="CHARGES SOC.S/CONGÉS PAYÉS"/>
    <s v="JC"/>
    <n v="32205.95"/>
    <d v="2025-07-31T00:00:00"/>
    <s v="Provision CP"/>
    <m/>
    <e v="#N/A"/>
    <e v="#N/A"/>
    <n v="85913"/>
    <m/>
    <m/>
    <s v="Q3"/>
    <e v="#REF!"/>
    <e v="#REF!"/>
    <e v="#REF!"/>
  </r>
  <r>
    <s v="645900"/>
    <x v="6"/>
    <s v="CHARGES SOC.S/CONGÉS PAYÉS"/>
    <s v="JC"/>
    <n v="32299.87"/>
    <d v="2025-11-30T00:00:00"/>
    <s v="PROV. CS SUR CP"/>
    <m/>
    <e v="#N/A"/>
    <e v="#N/A"/>
    <n v="92430"/>
    <s v="Provision CP"/>
    <m/>
    <s v="Q4"/>
    <e v="#REF!"/>
    <e v="#REF!"/>
    <e v="#REF!"/>
  </r>
  <r>
    <s v="645900"/>
    <x v="6"/>
    <s v="CHARGES SOC.S/CONGÉS PAYÉS"/>
    <s v="JC"/>
    <n v="32998.47"/>
    <d v="2025-12-31T00:00:00"/>
    <s v="PROV. CS SUR CP"/>
    <m/>
    <e v="#N/A"/>
    <e v="#N/A"/>
    <n v="92907"/>
    <s v="Provision CP"/>
    <m/>
    <s v="Q4"/>
    <e v="#REF!"/>
    <e v="#REF!"/>
    <e v="#REF!"/>
  </r>
  <r>
    <s v="645900"/>
    <x v="6"/>
    <s v="CHARGES SOC.S/CONGÉS PAYÉS"/>
    <s v="JC"/>
    <n v="34345.06"/>
    <d v="2025-06-30T00:00:00"/>
    <s v="Provision CP"/>
    <m/>
    <e v="#N/A"/>
    <e v="#N/A"/>
    <n v="85847"/>
    <m/>
    <m/>
    <s v="Q2"/>
    <e v="#REF!"/>
    <e v="#REF!"/>
    <e v="#REF!"/>
  </r>
  <r>
    <s v="645900"/>
    <x v="6"/>
    <s v="CHARGES SOC.S/CONGÉS PAYÉS"/>
    <s v="JC"/>
    <n v="60251"/>
    <d v="2025-01-01T00:00:00"/>
    <s v="Extourne Provision"/>
    <m/>
    <e v="#N/A"/>
    <e v="#N/A"/>
    <n v="92656"/>
    <s v="Extourne Provision"/>
    <m/>
    <s v="Q1"/>
    <e v="#REF!"/>
    <e v="#REF!"/>
    <e v="#REF!"/>
  </r>
  <r>
    <s v="645910"/>
    <x v="6"/>
    <s v="CHARGES SOC.S/RTT"/>
    <s v="JC"/>
    <n v="-4825.83"/>
    <d v="2025-08-01T00:00:00"/>
    <s v="Extourne Provision RTT"/>
    <m/>
    <e v="#N/A"/>
    <e v="#N/A"/>
    <n v="85942"/>
    <m/>
    <m/>
    <s v="Q3"/>
    <e v="#REF!"/>
    <e v="#REF!"/>
    <e v="#REF!"/>
  </r>
  <r>
    <s v="645910"/>
    <x v="6"/>
    <s v="CHARGES SOC.S/RTT"/>
    <s v="JC"/>
    <n v="-4757.0200000000004"/>
    <d v="2025-07-01T00:00:00"/>
    <s v="Extourne Provision RTT"/>
    <m/>
    <e v="#N/A"/>
    <e v="#N/A"/>
    <n v="85864"/>
    <m/>
    <m/>
    <s v="Q3"/>
    <e v="#REF!"/>
    <e v="#REF!"/>
    <e v="#REF!"/>
  </r>
  <r>
    <s v="645910"/>
    <x v="6"/>
    <s v="CHARGES SOC.S/RTT"/>
    <s v="JC"/>
    <n v="-4678.8100000000004"/>
    <d v="2025-11-01T00:00:00"/>
    <s v="PROV. CS SUR RTT"/>
    <m/>
    <e v="#N/A"/>
    <e v="#N/A"/>
    <n v="87971"/>
    <s v="Extourne Provision RTT"/>
    <m/>
    <s v="Q4"/>
    <e v="#REF!"/>
    <e v="#REF!"/>
    <e v="#REF!"/>
  </r>
  <r>
    <s v="645910"/>
    <x v="6"/>
    <s v="CHARGES SOC.S/RTT"/>
    <s v="JC"/>
    <n v="-4441.62"/>
    <d v="2025-10-01T00:00:00"/>
    <s v="Extourne Provision RTT"/>
    <m/>
    <e v="#N/A"/>
    <e v="#N/A"/>
    <n v="85902"/>
    <m/>
    <m/>
    <s v="Q4"/>
    <e v="#REF!"/>
    <e v="#REF!"/>
    <e v="#REF!"/>
  </r>
  <r>
    <s v="645910"/>
    <x v="6"/>
    <s v="CHARGES SOC.S/RTT"/>
    <s v="JC"/>
    <n v="-4052.73"/>
    <d v="2025-12-01T00:00:00"/>
    <s v="PROV. CS SUR RTT"/>
    <m/>
    <e v="#N/A"/>
    <e v="#N/A"/>
    <n v="92460"/>
    <s v="Extourne Provision RTT"/>
    <m/>
    <s v="Q4"/>
    <e v="#REF!"/>
    <e v="#REF!"/>
    <e v="#REF!"/>
  </r>
  <r>
    <s v="645910"/>
    <x v="6"/>
    <s v="CHARGES SOC.S/RTT"/>
    <s v="JC"/>
    <n v="-3835.49"/>
    <d v="2025-09-01T00:00:00"/>
    <s v="PROV. CS SUR RTT"/>
    <m/>
    <e v="#N/A"/>
    <e v="#N/A"/>
    <n v="85982"/>
    <s v="Extourne Provision RTT"/>
    <m/>
    <s v="Q3"/>
    <e v="#REF!"/>
    <e v="#REF!"/>
    <e v="#REF!"/>
  </r>
  <r>
    <s v="645910"/>
    <x v="6"/>
    <s v="CHARGES SOC.S/RTT"/>
    <s v="JC"/>
    <n v="-3768.43"/>
    <d v="2025-05-01T00:00:00"/>
    <s v="PROV. CS SUR RTT"/>
    <m/>
    <e v="#N/A"/>
    <e v="#N/A"/>
    <n v="92603"/>
    <s v="Extourne Provision RTT"/>
    <m/>
    <s v="Q2"/>
    <e v="#REF!"/>
    <e v="#REF!"/>
    <e v="#REF!"/>
  </r>
  <r>
    <s v="645910"/>
    <x v="6"/>
    <s v="CHARGES SOC.S/RTT"/>
    <s v="JC"/>
    <n v="-3454.54"/>
    <d v="2025-08-01T00:00:00"/>
    <s v="Extourne Provision RTT"/>
    <m/>
    <e v="#N/A"/>
    <e v="#N/A"/>
    <n v="85941"/>
    <m/>
    <m/>
    <s v="Q3"/>
    <e v="#REF!"/>
    <e v="#REF!"/>
    <e v="#REF!"/>
  </r>
  <r>
    <s v="645910"/>
    <x v="6"/>
    <s v="CHARGES SOC.S/RTT"/>
    <s v="JC"/>
    <n v="-3328.62"/>
    <d v="2025-04-01T00:00:00"/>
    <s v="PROV. CS SUR RTT"/>
    <m/>
    <e v="#N/A"/>
    <e v="#N/A"/>
    <n v="92523"/>
    <s v="Extourne Provision RTT"/>
    <m/>
    <s v="Q2"/>
    <e v="#REF!"/>
    <e v="#REF!"/>
    <e v="#REF!"/>
  </r>
  <r>
    <s v="645910"/>
    <x v="6"/>
    <s v="CHARGES SOC.S/RTT"/>
    <s v="JC"/>
    <n v="-3180.97"/>
    <d v="2025-11-01T00:00:00"/>
    <s v="PROV. CS SUR RTT"/>
    <m/>
    <e v="#N/A"/>
    <e v="#N/A"/>
    <n v="87970"/>
    <s v="Extourne Provision RTT"/>
    <m/>
    <s v="Q4"/>
    <e v="#REF!"/>
    <e v="#REF!"/>
    <e v="#REF!"/>
  </r>
  <r>
    <s v="645910"/>
    <x v="6"/>
    <s v="CHARGES SOC.S/RTT"/>
    <s v="JC"/>
    <n v="-3177.43"/>
    <d v="2025-06-01T00:00:00"/>
    <s v="PROV. CS SUR RTT"/>
    <m/>
    <e v="#N/A"/>
    <e v="#N/A"/>
    <n v="92643"/>
    <s v="Extourne Provision RTT"/>
    <m/>
    <s v="Q2"/>
    <e v="#REF!"/>
    <e v="#REF!"/>
    <e v="#REF!"/>
  </r>
  <r>
    <s v="645910"/>
    <x v="6"/>
    <s v="CHARGES SOC.S/RTT"/>
    <s v="JC"/>
    <n v="-2983.31"/>
    <d v="2025-07-01T00:00:00"/>
    <s v="Extourne Provision RTT"/>
    <m/>
    <e v="#N/A"/>
    <e v="#N/A"/>
    <n v="85865"/>
    <m/>
    <m/>
    <s v="Q3"/>
    <e v="#REF!"/>
    <e v="#REF!"/>
    <e v="#REF!"/>
  </r>
  <r>
    <s v="645910"/>
    <x v="6"/>
    <s v="CHARGES SOC.S/RTT"/>
    <s v="JC"/>
    <n v="-2920.19"/>
    <d v="2025-12-01T00:00:00"/>
    <s v="PROV. CS SUR RTT"/>
    <m/>
    <e v="#N/A"/>
    <e v="#N/A"/>
    <n v="92459"/>
    <s v="Extourne Provision RTT"/>
    <m/>
    <s v="Q4"/>
    <e v="#REF!"/>
    <e v="#REF!"/>
    <e v="#REF!"/>
  </r>
  <r>
    <s v="645910"/>
    <x v="6"/>
    <s v="CHARGES SOC.S/RTT"/>
    <s v="JC"/>
    <n v="-2852.39"/>
    <d v="2025-10-01T00:00:00"/>
    <s v="Extourne Provision RTT"/>
    <m/>
    <e v="#N/A"/>
    <e v="#N/A"/>
    <n v="85901"/>
    <m/>
    <m/>
    <s v="Q4"/>
    <e v="#REF!"/>
    <e v="#REF!"/>
    <e v="#REF!"/>
  </r>
  <r>
    <s v="645910"/>
    <x v="6"/>
    <s v="CHARGES SOC.S/RTT"/>
    <s v="JC"/>
    <n v="-2544.2399999999998"/>
    <d v="2025-03-01T00:00:00"/>
    <s v="PROV. CS SUR RTT"/>
    <m/>
    <e v="#N/A"/>
    <e v="#N/A"/>
    <n v="92563"/>
    <s v="Extourne Provision RTT"/>
    <m/>
    <s v="Q1"/>
    <e v="#REF!"/>
    <e v="#REF!"/>
    <e v="#REF!"/>
  </r>
  <r>
    <s v="645910"/>
    <x v="6"/>
    <s v="CHARGES SOC.S/RTT"/>
    <s v="JC"/>
    <n v="-2443"/>
    <d v="2025-01-01T00:00:00"/>
    <s v="Extourne Provision"/>
    <m/>
    <e v="#N/A"/>
    <e v="#N/A"/>
    <n v="72228"/>
    <m/>
    <m/>
    <s v="Q1"/>
    <e v="#REF!"/>
    <e v="#REF!"/>
    <e v="#REF!"/>
  </r>
  <r>
    <s v="645910"/>
    <x v="6"/>
    <s v="CHARGES SOC.S/RTT"/>
    <s v="JC"/>
    <n v="-2371.4"/>
    <d v="2025-06-01T00:00:00"/>
    <s v="PROV. CS SUR RTT"/>
    <m/>
    <e v="#N/A"/>
    <e v="#N/A"/>
    <n v="92642"/>
    <s v="Extourne Provision RTT"/>
    <m/>
    <s v="Q2"/>
    <e v="#REF!"/>
    <e v="#REF!"/>
    <e v="#REF!"/>
  </r>
  <r>
    <s v="645910"/>
    <x v="6"/>
    <s v="CHARGES SOC.S/RTT"/>
    <s v="JC"/>
    <n v="-2369.7600000000002"/>
    <d v="2025-05-01T00:00:00"/>
    <s v="PROV. CS SUR RTT"/>
    <m/>
    <e v="#N/A"/>
    <e v="#N/A"/>
    <n v="92602"/>
    <s v="Extourne Provision RTT"/>
    <m/>
    <s v="Q2"/>
    <e v="#REF!"/>
    <e v="#REF!"/>
    <e v="#REF!"/>
  </r>
  <r>
    <s v="645910"/>
    <x v="6"/>
    <s v="CHARGES SOC.S/RTT"/>
    <s v="JC"/>
    <n v="-2232.5100000000002"/>
    <d v="2025-09-01T00:00:00"/>
    <s v="PROV. CS SUR RTT"/>
    <m/>
    <e v="#N/A"/>
    <e v="#N/A"/>
    <n v="85981"/>
    <s v="Extourne Provision RTT"/>
    <m/>
    <s v="Q3"/>
    <e v="#REF!"/>
    <e v="#REF!"/>
    <e v="#REF!"/>
  </r>
  <r>
    <s v="645910"/>
    <x v="6"/>
    <s v="CHARGES SOC.S/RTT"/>
    <s v="JC"/>
    <n v="-1812.01"/>
    <d v="2025-04-01T00:00:00"/>
    <s v="PROV. CS SUR RTT"/>
    <m/>
    <e v="#N/A"/>
    <e v="#N/A"/>
    <n v="92522"/>
    <s v="Extourne Provision RTT"/>
    <m/>
    <s v="Q2"/>
    <e v="#REF!"/>
    <e v="#REF!"/>
    <e v="#REF!"/>
  </r>
  <r>
    <s v="645910"/>
    <x v="6"/>
    <s v="CHARGES SOC.S/RTT"/>
    <s v="JC"/>
    <n v="-1314"/>
    <d v="2025-01-01T00:00:00"/>
    <s v="Extourne Provision"/>
    <m/>
    <e v="#N/A"/>
    <e v="#N/A"/>
    <n v="92665"/>
    <s v="Extourne Provision"/>
    <m/>
    <s v="Q1"/>
    <e v="#REF!"/>
    <e v="#REF!"/>
    <e v="#REF!"/>
  </r>
  <r>
    <s v="645910"/>
    <x v="6"/>
    <s v="CHARGES SOC.S/RTT"/>
    <s v="JC"/>
    <n v="-1239.48"/>
    <d v="2025-08-01T00:00:00"/>
    <s v="Extourne Provision RTT"/>
    <m/>
    <e v="#N/A"/>
    <e v="#N/A"/>
    <n v="85940"/>
    <m/>
    <m/>
    <s v="Q3"/>
    <e v="#REF!"/>
    <e v="#REF!"/>
    <e v="#REF!"/>
  </r>
  <r>
    <s v="645910"/>
    <x v="6"/>
    <s v="CHARGES SOC.S/RTT"/>
    <s v="JC"/>
    <n v="-1191.96"/>
    <d v="2025-10-01T00:00:00"/>
    <s v="Extourne Provision RTT"/>
    <m/>
    <e v="#N/A"/>
    <e v="#N/A"/>
    <n v="85900"/>
    <m/>
    <m/>
    <s v="Q4"/>
    <e v="#REF!"/>
    <e v="#REF!"/>
    <e v="#REF!"/>
  </r>
  <r>
    <s v="645910"/>
    <x v="6"/>
    <s v="CHARGES SOC.S/RTT"/>
    <s v="JC"/>
    <n v="-1165.8399999999999"/>
    <d v="2025-12-01T00:00:00"/>
    <s v="PROV. CS SUR RTT"/>
    <m/>
    <e v="#N/A"/>
    <e v="#N/A"/>
    <n v="92458"/>
    <s v="Extourne Provision RTT"/>
    <m/>
    <s v="Q4"/>
    <e v="#REF!"/>
    <e v="#REF!"/>
    <e v="#REF!"/>
  </r>
  <r>
    <s v="645910"/>
    <x v="6"/>
    <s v="CHARGES SOC.S/RTT"/>
    <s v="JC"/>
    <n v="-1136.3"/>
    <d v="2025-02-01T00:00:00"/>
    <s v="Extourne Provision RTT"/>
    <m/>
    <e v="#N/A"/>
    <e v="#N/A"/>
    <n v="92478"/>
    <m/>
    <m/>
    <s v="Q1"/>
    <e v="#REF!"/>
    <e v="#REF!"/>
    <e v="#REF!"/>
  </r>
  <r>
    <s v="645910"/>
    <x v="6"/>
    <s v="CHARGES SOC.S/RTT"/>
    <s v="JC"/>
    <n v="-1092.8499999999999"/>
    <d v="2025-05-01T00:00:00"/>
    <s v="PROV. CS SUR RTT"/>
    <m/>
    <e v="#N/A"/>
    <e v="#N/A"/>
    <n v="92601"/>
    <s v="Extourne Provision RTT"/>
    <m/>
    <s v="Q2"/>
    <e v="#REF!"/>
    <e v="#REF!"/>
    <e v="#REF!"/>
  </r>
  <r>
    <s v="645910"/>
    <x v="6"/>
    <s v="CHARGES SOC.S/RTT"/>
    <s v="JC"/>
    <n v="-1065.1099999999999"/>
    <d v="2025-03-01T00:00:00"/>
    <s v="PROV. CS SUR RTT"/>
    <m/>
    <e v="#N/A"/>
    <e v="#N/A"/>
    <n v="92562"/>
    <s v="Extourne Provision RTT"/>
    <m/>
    <s v="Q1"/>
    <e v="#REF!"/>
    <e v="#REF!"/>
    <e v="#REF!"/>
  </r>
  <r>
    <s v="645910"/>
    <x v="6"/>
    <s v="CHARGES SOC.S/RTT"/>
    <s v="JC"/>
    <n v="-1042.5999999999999"/>
    <d v="2025-07-01T00:00:00"/>
    <s v="Extourne Provision RTT"/>
    <m/>
    <e v="#N/A"/>
    <e v="#N/A"/>
    <n v="85863"/>
    <m/>
    <m/>
    <s v="Q3"/>
    <e v="#REF!"/>
    <e v="#REF!"/>
    <e v="#REF!"/>
  </r>
  <r>
    <s v="645910"/>
    <x v="6"/>
    <s v="CHARGES SOC.S/RTT"/>
    <s v="JC"/>
    <n v="-1032.79"/>
    <d v="2025-07-01T00:00:00"/>
    <s v="Extourne Provision RTT"/>
    <m/>
    <e v="#N/A"/>
    <e v="#N/A"/>
    <n v="85872"/>
    <m/>
    <m/>
    <s v="Q3"/>
    <e v="#REF!"/>
    <e v="#REF!"/>
    <e v="#REF!"/>
  </r>
  <r>
    <s v="645910"/>
    <x v="6"/>
    <s v="CHARGES SOC.S/RTT"/>
    <s v="JC"/>
    <n v="-971.49"/>
    <d v="2025-04-01T00:00:00"/>
    <s v="PROV. CS SUR RTT"/>
    <m/>
    <e v="#N/A"/>
    <e v="#N/A"/>
    <n v="92521"/>
    <s v="Extourne Provision RTT"/>
    <m/>
    <s v="Q2"/>
    <e v="#REF!"/>
    <e v="#REF!"/>
    <e v="#REF!"/>
  </r>
  <r>
    <s v="645910"/>
    <x v="6"/>
    <s v="CHARGES SOC.S/RTT"/>
    <s v="JC"/>
    <n v="-899.18"/>
    <d v="2025-06-01T00:00:00"/>
    <s v="PROV. CS SUR RTT"/>
    <m/>
    <e v="#N/A"/>
    <e v="#N/A"/>
    <n v="92644"/>
    <s v="Extourne Provision RTT"/>
    <m/>
    <s v="Q2"/>
    <e v="#REF!"/>
    <e v="#REF!"/>
    <e v="#REF!"/>
  </r>
  <r>
    <s v="645910"/>
    <x v="6"/>
    <s v="CHARGES SOC.S/RTT"/>
    <s v="JC"/>
    <n v="-898.94"/>
    <d v="2025-11-01T00:00:00"/>
    <s v="PROV. CS SUR RTT"/>
    <m/>
    <e v="#N/A"/>
    <e v="#N/A"/>
    <n v="87969"/>
    <s v="Extourne Provision RTT"/>
    <m/>
    <s v="Q4"/>
    <e v="#REF!"/>
    <e v="#REF!"/>
    <e v="#REF!"/>
  </r>
  <r>
    <s v="645910"/>
    <x v="6"/>
    <s v="CHARGES SOC.S/RTT"/>
    <s v="JC"/>
    <n v="-742"/>
    <d v="2025-01-01T00:00:00"/>
    <s v="Extourne Provision"/>
    <m/>
    <e v="#N/A"/>
    <e v="#N/A"/>
    <n v="92662"/>
    <s v="Extourne Provision"/>
    <m/>
    <s v="Q1"/>
    <e v="#REF!"/>
    <e v="#REF!"/>
    <e v="#REF!"/>
  </r>
  <r>
    <s v="645910"/>
    <x v="6"/>
    <s v="CHARGES SOC.S/RTT"/>
    <s v="JC"/>
    <n v="-735.74"/>
    <d v="2025-09-01T00:00:00"/>
    <s v="PROV. CS SUR RTT"/>
    <m/>
    <e v="#N/A"/>
    <e v="#N/A"/>
    <n v="85980"/>
    <s v="Extourne Provision RTT"/>
    <m/>
    <s v="Q3"/>
    <e v="#REF!"/>
    <e v="#REF!"/>
    <e v="#REF!"/>
  </r>
  <r>
    <s v="645910"/>
    <x v="6"/>
    <s v="CHARGES SOC.S/RTT"/>
    <s v="JC"/>
    <n v="-716.82"/>
    <d v="2025-05-01T00:00:00"/>
    <s v="PROV. CS SUR RTT"/>
    <m/>
    <e v="#N/A"/>
    <e v="#N/A"/>
    <n v="92604"/>
    <s v="Extourne Provision RTT"/>
    <m/>
    <s v="Q2"/>
    <e v="#REF!"/>
    <e v="#REF!"/>
    <e v="#REF!"/>
  </r>
  <r>
    <s v="645910"/>
    <x v="6"/>
    <s v="CHARGES SOC.S/RTT"/>
    <s v="JC"/>
    <n v="-675.02"/>
    <d v="2025-06-01T00:00:00"/>
    <s v="PROV. CS SUR RTT"/>
    <m/>
    <e v="#N/A"/>
    <e v="#N/A"/>
    <n v="92641"/>
    <s v="Extourne Provision RTT"/>
    <m/>
    <s v="Q2"/>
    <e v="#REF!"/>
    <e v="#REF!"/>
    <e v="#REF!"/>
  </r>
  <r>
    <s v="645910"/>
    <x v="6"/>
    <s v="CHARGES SOC.S/RTT"/>
    <s v="JC"/>
    <n v="-607.30999999999995"/>
    <d v="2025-03-01T00:00:00"/>
    <s v="PROV. CS SUR RTT"/>
    <m/>
    <e v="#N/A"/>
    <e v="#N/A"/>
    <n v="92561"/>
    <s v="Extourne Provision RTT"/>
    <m/>
    <s v="Q1"/>
    <e v="#REF!"/>
    <e v="#REF!"/>
    <e v="#REF!"/>
  </r>
  <r>
    <s v="645910"/>
    <x v="6"/>
    <s v="CHARGES SOC.S/RTT"/>
    <s v="JC"/>
    <n v="-567"/>
    <d v="2025-01-01T00:00:00"/>
    <s v="Extourne Provision"/>
    <m/>
    <e v="#N/A"/>
    <e v="#N/A"/>
    <n v="92666"/>
    <s v="Extourne Provision"/>
    <m/>
    <s v="Q1"/>
    <e v="#REF!"/>
    <e v="#REF!"/>
    <e v="#REF!"/>
  </r>
  <r>
    <s v="645910"/>
    <x v="6"/>
    <s v="CHARGES SOC.S/RTT"/>
    <s v="JC"/>
    <n v="-546.92999999999995"/>
    <d v="2025-11-01T00:00:00"/>
    <s v="PROV. CS SUR RTT"/>
    <m/>
    <e v="#N/A"/>
    <e v="#N/A"/>
    <n v="87972"/>
    <s v="Extourne Provision RTT"/>
    <m/>
    <s v="Q4"/>
    <e v="#REF!"/>
    <e v="#REF!"/>
    <e v="#REF!"/>
  </r>
  <r>
    <s v="645910"/>
    <x v="6"/>
    <s v="CHARGES SOC.S/RTT"/>
    <s v="JC"/>
    <n v="-533.77"/>
    <d v="2025-08-01T00:00:00"/>
    <s v="Extourne Provision RTT"/>
    <m/>
    <e v="#N/A"/>
    <e v="#N/A"/>
    <n v="85943"/>
    <m/>
    <m/>
    <s v="Q3"/>
    <e v="#REF!"/>
    <e v="#REF!"/>
    <e v="#REF!"/>
  </r>
  <r>
    <s v="645910"/>
    <x v="6"/>
    <s v="CHARGES SOC.S/RTT"/>
    <s v="JC"/>
    <n v="-530.66"/>
    <d v="2025-04-01T00:00:00"/>
    <s v="PROV. CS SUR RTT"/>
    <m/>
    <e v="#N/A"/>
    <e v="#N/A"/>
    <n v="92524"/>
    <s v="Extourne Provision RTT"/>
    <m/>
    <s v="Q2"/>
    <e v="#REF!"/>
    <e v="#REF!"/>
    <e v="#REF!"/>
  </r>
  <r>
    <s v="645910"/>
    <x v="6"/>
    <s v="CHARGES SOC.S/RTT"/>
    <s v="JC"/>
    <n v="-431.89"/>
    <d v="2025-10-01T00:00:00"/>
    <s v="Extourne Provision RTT"/>
    <m/>
    <e v="#N/A"/>
    <e v="#N/A"/>
    <n v="85903"/>
    <m/>
    <m/>
    <s v="Q4"/>
    <e v="#REF!"/>
    <e v="#REF!"/>
    <e v="#REF!"/>
  </r>
  <r>
    <s v="645910"/>
    <x v="6"/>
    <s v="CHARGES SOC.S/RTT"/>
    <s v="JC"/>
    <n v="-411.59"/>
    <d v="2025-01-31T00:00:00"/>
    <s v="Provision RTT"/>
    <m/>
    <e v="#N/A"/>
    <e v="#N/A"/>
    <n v="90043"/>
    <m/>
    <m/>
    <s v="Q1"/>
    <e v="#REF!"/>
    <e v="#REF!"/>
    <e v="#REF!"/>
  </r>
  <r>
    <s v="645910"/>
    <x v="6"/>
    <s v="CHARGES SOC.S/RTT"/>
    <s v="JC"/>
    <n v="-393.1"/>
    <d v="2025-12-01T00:00:00"/>
    <s v="PROV. CS SUR RTT"/>
    <m/>
    <e v="#N/A"/>
    <e v="#N/A"/>
    <n v="92461"/>
    <s v="Extourne Provision RTT"/>
    <m/>
    <s v="Q4"/>
    <e v="#REF!"/>
    <e v="#REF!"/>
    <e v="#REF!"/>
  </r>
  <r>
    <s v="645910"/>
    <x v="6"/>
    <s v="CHARGES SOC.S/RTT"/>
    <s v="JC"/>
    <n v="-323.88"/>
    <d v="2025-03-01T00:00:00"/>
    <s v="PROV. CS SUR RTT"/>
    <m/>
    <e v="#N/A"/>
    <e v="#N/A"/>
    <n v="92564"/>
    <s v="Extourne Provision RTT"/>
    <m/>
    <s v="Q1"/>
    <e v="#REF!"/>
    <e v="#REF!"/>
    <e v="#REF!"/>
  </r>
  <r>
    <s v="645910"/>
    <x v="6"/>
    <s v="CHARGES SOC.S/RTT"/>
    <s v="JC"/>
    <n v="-300.92"/>
    <d v="2025-09-01T00:00:00"/>
    <s v="PROV. CS SUR RTT"/>
    <m/>
    <e v="#N/A"/>
    <e v="#N/A"/>
    <n v="85983"/>
    <s v="Extourne Provision RTT"/>
    <m/>
    <s v="Q3"/>
    <e v="#REF!"/>
    <e v="#REF!"/>
    <e v="#REF!"/>
  </r>
  <r>
    <s v="645910"/>
    <x v="6"/>
    <s v="CHARGES SOC.S/RTT"/>
    <s v="JC"/>
    <n v="-228.8"/>
    <d v="2025-12-31T00:00:00"/>
    <s v="PROV. CS SUR RTT"/>
    <m/>
    <e v="#N/A"/>
    <e v="#N/A"/>
    <n v="92918"/>
    <s v="Provision RTT"/>
    <m/>
    <s v="Q4"/>
    <e v="#REF!"/>
    <e v="#REF!"/>
    <e v="#REF!"/>
  </r>
  <r>
    <s v="645910"/>
    <x v="6"/>
    <s v="CHARGES SOC.S/RTT"/>
    <s v="JC"/>
    <n v="-195.85"/>
    <d v="2025-01-31T00:00:00"/>
    <s v="Provision RTT"/>
    <m/>
    <e v="#N/A"/>
    <e v="#N/A"/>
    <n v="90041"/>
    <m/>
    <m/>
    <s v="Q1"/>
    <e v="#REF!"/>
    <e v="#REF!"/>
    <e v="#REF!"/>
  </r>
  <r>
    <s v="645910"/>
    <x v="6"/>
    <s v="CHARGES SOC.S/RTT"/>
    <s v="JC"/>
    <n v="-159.58000000000001"/>
    <d v="2025-02-01T00:00:00"/>
    <s v="Extourne Provision RTT"/>
    <m/>
    <e v="#N/A"/>
    <e v="#N/A"/>
    <n v="92480"/>
    <m/>
    <m/>
    <s v="Q1"/>
    <e v="#REF!"/>
    <e v="#REF!"/>
    <e v="#REF!"/>
  </r>
  <r>
    <s v="645910"/>
    <x v="6"/>
    <s v="CHARGES SOC.S/RTT"/>
    <s v="JC"/>
    <n v="159.58000000000001"/>
    <d v="2025-01-31T00:00:00"/>
    <s v="Provision RTT"/>
    <m/>
    <e v="#N/A"/>
    <e v="#N/A"/>
    <n v="90042"/>
    <m/>
    <m/>
    <s v="Q1"/>
    <e v="#REF!"/>
    <e v="#REF!"/>
    <e v="#REF!"/>
  </r>
  <r>
    <s v="645910"/>
    <x v="6"/>
    <s v="CHARGES SOC.S/RTT"/>
    <s v="JC"/>
    <n v="180"/>
    <d v="2025-01-01T00:00:00"/>
    <s v="Extourne Provision"/>
    <m/>
    <e v="#N/A"/>
    <e v="#N/A"/>
    <n v="92664"/>
    <s v="Extourne Provision"/>
    <m/>
    <s v="Q1"/>
    <e v="#REF!"/>
    <e v="#REF!"/>
    <e v="#REF!"/>
  </r>
  <r>
    <s v="645910"/>
    <x v="6"/>
    <s v="CHARGES SOC.S/RTT"/>
    <s v="JC"/>
    <n v="195.85"/>
    <d v="2025-02-01T00:00:00"/>
    <s v="Extourne Provision RTT"/>
    <m/>
    <e v="#N/A"/>
    <e v="#N/A"/>
    <n v="92479"/>
    <m/>
    <m/>
    <s v="Q1"/>
    <e v="#REF!"/>
    <e v="#REF!"/>
    <e v="#REF!"/>
  </r>
  <r>
    <s v="645910"/>
    <x v="6"/>
    <s v="CHARGES SOC.S/RTT"/>
    <s v="JC"/>
    <n v="300.92"/>
    <d v="2025-08-31T00:00:00"/>
    <s v="PROV. CS SUR RTT"/>
    <m/>
    <e v="#N/A"/>
    <e v="#N/A"/>
    <n v="85963"/>
    <s v="Provision RTT"/>
    <m/>
    <s v="Q3"/>
    <e v="#REF!"/>
    <e v="#REF!"/>
    <e v="#REF!"/>
  </r>
  <r>
    <s v="645910"/>
    <x v="6"/>
    <s v="CHARGES SOC.S/RTT"/>
    <s v="JC"/>
    <n v="323.88"/>
    <d v="2025-02-28T00:00:00"/>
    <s v="PROV. CS SUR RTT"/>
    <m/>
    <e v="#N/A"/>
    <e v="#N/A"/>
    <n v="92544"/>
    <s v="Provision RTT"/>
    <m/>
    <s v="Q1"/>
    <e v="#REF!"/>
    <e v="#REF!"/>
    <e v="#REF!"/>
  </r>
  <r>
    <s v="645910"/>
    <x v="6"/>
    <s v="CHARGES SOC.S/RTT"/>
    <s v="JC"/>
    <n v="393.1"/>
    <d v="2025-11-30T00:00:00"/>
    <s v="PROV. CS SUR RTT"/>
    <m/>
    <e v="#N/A"/>
    <e v="#N/A"/>
    <n v="92441"/>
    <s v="Provision RTT"/>
    <m/>
    <s v="Q4"/>
    <e v="#REF!"/>
    <e v="#REF!"/>
    <e v="#REF!"/>
  </r>
  <r>
    <s v="645910"/>
    <x v="6"/>
    <s v="CHARGES SOC.S/RTT"/>
    <s v="JC"/>
    <n v="411.59"/>
    <d v="2025-02-01T00:00:00"/>
    <s v="Extourne Provision RTT"/>
    <m/>
    <e v="#N/A"/>
    <e v="#N/A"/>
    <n v="92481"/>
    <m/>
    <m/>
    <s v="Q1"/>
    <e v="#REF!"/>
    <e v="#REF!"/>
    <e v="#REF!"/>
  </r>
  <r>
    <s v="645910"/>
    <x v="6"/>
    <s v="CHARGES SOC.S/RTT"/>
    <s v="JC"/>
    <n v="431.89"/>
    <d v="2025-09-30T00:00:00"/>
    <s v="Provision RTT"/>
    <m/>
    <e v="#N/A"/>
    <e v="#N/A"/>
    <n v="85890"/>
    <m/>
    <m/>
    <s v="Q3"/>
    <e v="#REF!"/>
    <e v="#REF!"/>
    <e v="#REF!"/>
  </r>
  <r>
    <s v="645910"/>
    <x v="6"/>
    <s v="CHARGES SOC.S/RTT"/>
    <s v="JC"/>
    <n v="530.66"/>
    <d v="2025-03-31T00:00:00"/>
    <s v="PROV. CS SUR RTT"/>
    <m/>
    <e v="#N/A"/>
    <e v="#N/A"/>
    <n v="92504"/>
    <s v="Provision RTT"/>
    <m/>
    <s v="Q1"/>
    <e v="#REF!"/>
    <e v="#REF!"/>
    <e v="#REF!"/>
  </r>
  <r>
    <s v="645910"/>
    <x v="6"/>
    <s v="CHARGES SOC.S/RTT"/>
    <s v="JC"/>
    <n v="533.77"/>
    <d v="2025-07-31T00:00:00"/>
    <s v="Provision RTT"/>
    <m/>
    <e v="#N/A"/>
    <e v="#N/A"/>
    <n v="85930"/>
    <m/>
    <m/>
    <s v="Q3"/>
    <e v="#REF!"/>
    <e v="#REF!"/>
    <e v="#REF!"/>
  </r>
  <r>
    <s v="645910"/>
    <x v="6"/>
    <s v="CHARGES SOC.S/RTT"/>
    <s v="JC"/>
    <n v="546.92999999999995"/>
    <d v="2025-10-31T00:00:00"/>
    <s v="PROV. CS SUR RTT"/>
    <m/>
    <e v="#N/A"/>
    <e v="#N/A"/>
    <n v="87952"/>
    <s v="Provision RTT"/>
    <m/>
    <s v="Q4"/>
    <e v="#REF!"/>
    <e v="#REF!"/>
    <e v="#REF!"/>
  </r>
  <r>
    <s v="645910"/>
    <x v="6"/>
    <s v="CHARGES SOC.S/RTT"/>
    <s v="JC"/>
    <n v="607.30999999999995"/>
    <d v="2025-02-28T00:00:00"/>
    <s v="PROV. CS SUR RTT"/>
    <m/>
    <e v="#N/A"/>
    <e v="#N/A"/>
    <n v="92541"/>
    <s v="Provision RTT"/>
    <m/>
    <s v="Q1"/>
    <e v="#REF!"/>
    <e v="#REF!"/>
    <e v="#REF!"/>
  </r>
  <r>
    <s v="645910"/>
    <x v="6"/>
    <s v="CHARGES SOC.S/RTT"/>
    <s v="JC"/>
    <n v="675.02"/>
    <d v="2025-05-31T00:00:00"/>
    <s v="PROV. CS SUR RTT"/>
    <m/>
    <e v="#N/A"/>
    <e v="#N/A"/>
    <n v="92621"/>
    <s v="Provision RTT"/>
    <m/>
    <s v="Q2"/>
    <e v="#REF!"/>
    <e v="#REF!"/>
    <e v="#REF!"/>
  </r>
  <r>
    <s v="645910"/>
    <x v="6"/>
    <s v="CHARGES SOC.S/RTT"/>
    <s v="JC"/>
    <n v="716.82"/>
    <d v="2025-04-30T00:00:00"/>
    <s v="PROV. CS SUR RTT"/>
    <m/>
    <e v="#N/A"/>
    <e v="#N/A"/>
    <n v="92584"/>
    <s v="Provision RTT"/>
    <m/>
    <s v="Q2"/>
    <e v="#REF!"/>
    <e v="#REF!"/>
    <e v="#REF!"/>
  </r>
  <r>
    <s v="645910"/>
    <x v="6"/>
    <s v="CHARGES SOC.S/RTT"/>
    <s v="JC"/>
    <n v="735.74"/>
    <d v="2025-08-31T00:00:00"/>
    <s v="PROV. CS SUR RTT"/>
    <m/>
    <e v="#N/A"/>
    <e v="#N/A"/>
    <n v="85960"/>
    <s v="Provision RTT"/>
    <m/>
    <s v="Q3"/>
    <e v="#REF!"/>
    <e v="#REF!"/>
    <e v="#REF!"/>
  </r>
  <r>
    <s v="645910"/>
    <x v="6"/>
    <s v="CHARGES SOC.S/RTT"/>
    <s v="JC"/>
    <n v="898.94"/>
    <d v="2025-10-31T00:00:00"/>
    <s v="PROV. CS SUR RTT"/>
    <m/>
    <e v="#N/A"/>
    <e v="#N/A"/>
    <n v="87949"/>
    <s v="Provision RTT"/>
    <m/>
    <s v="Q4"/>
    <e v="#REF!"/>
    <e v="#REF!"/>
    <e v="#REF!"/>
  </r>
  <r>
    <s v="645910"/>
    <x v="6"/>
    <s v="CHARGES SOC.S/RTT"/>
    <s v="JC"/>
    <n v="899.18"/>
    <d v="2025-05-31T00:00:00"/>
    <s v="PROV. CS SUR RTT"/>
    <m/>
    <e v="#N/A"/>
    <e v="#N/A"/>
    <n v="92624"/>
    <s v="Provision RTT"/>
    <m/>
    <s v="Q2"/>
    <e v="#REF!"/>
    <e v="#REF!"/>
    <e v="#REF!"/>
  </r>
  <r>
    <s v="645910"/>
    <x v="6"/>
    <s v="CHARGES SOC.S/RTT"/>
    <s v="JC"/>
    <n v="971.49"/>
    <d v="2025-03-31T00:00:00"/>
    <s v="PROV. CS SUR RTT"/>
    <m/>
    <e v="#N/A"/>
    <e v="#N/A"/>
    <n v="92501"/>
    <s v="Provision RTT"/>
    <m/>
    <s v="Q1"/>
    <e v="#REF!"/>
    <e v="#REF!"/>
    <e v="#REF!"/>
  </r>
  <r>
    <s v="645910"/>
    <x v="6"/>
    <s v="CHARGES SOC.S/RTT"/>
    <s v="JC"/>
    <n v="1032.79"/>
    <d v="2025-06-30T00:00:00"/>
    <s v="Provision RTT"/>
    <m/>
    <e v="#N/A"/>
    <e v="#N/A"/>
    <n v="85854"/>
    <m/>
    <m/>
    <s v="Q2"/>
    <e v="#REF!"/>
    <e v="#REF!"/>
    <e v="#REF!"/>
  </r>
  <r>
    <s v="645910"/>
    <x v="6"/>
    <s v="CHARGES SOC.S/RTT"/>
    <s v="JC"/>
    <n v="1042.5999999999999"/>
    <d v="2025-06-30T00:00:00"/>
    <s v="Provision RTT"/>
    <m/>
    <e v="#N/A"/>
    <e v="#N/A"/>
    <n v="85862"/>
    <m/>
    <m/>
    <s v="Q2"/>
    <e v="#REF!"/>
    <e v="#REF!"/>
    <e v="#REF!"/>
  </r>
  <r>
    <s v="645910"/>
    <x v="6"/>
    <s v="CHARGES SOC.S/RTT"/>
    <s v="JC"/>
    <n v="1065.1099999999999"/>
    <d v="2025-02-28T00:00:00"/>
    <s v="PROV. CS SUR RTT"/>
    <m/>
    <e v="#N/A"/>
    <e v="#N/A"/>
    <n v="92542"/>
    <s v="Provision RTT"/>
    <m/>
    <s v="Q1"/>
    <e v="#REF!"/>
    <e v="#REF!"/>
    <e v="#REF!"/>
  </r>
  <r>
    <s v="645910"/>
    <x v="6"/>
    <s v="CHARGES SOC.S/RTT"/>
    <s v="JC"/>
    <n v="1092.8499999999999"/>
    <d v="2025-04-30T00:00:00"/>
    <s v="PROV. CS SUR RTT"/>
    <m/>
    <e v="#N/A"/>
    <e v="#N/A"/>
    <n v="92581"/>
    <s v="Provision RTT"/>
    <m/>
    <s v="Q2"/>
    <e v="#REF!"/>
    <e v="#REF!"/>
    <e v="#REF!"/>
  </r>
  <r>
    <s v="645910"/>
    <x v="6"/>
    <s v="CHARGES SOC.S/RTT"/>
    <s v="JC"/>
    <n v="1136.3"/>
    <d v="2025-01-31T00:00:00"/>
    <s v="Provision RTT"/>
    <m/>
    <e v="#N/A"/>
    <e v="#N/A"/>
    <n v="72157"/>
    <m/>
    <m/>
    <s v="Q1"/>
    <e v="#REF!"/>
    <e v="#REF!"/>
    <e v="#REF!"/>
  </r>
  <r>
    <s v="645910"/>
    <x v="6"/>
    <s v="CHARGES SOC.S/RTT"/>
    <s v="JC"/>
    <n v="1165.8399999999999"/>
    <d v="2025-11-30T00:00:00"/>
    <s v="PROV. CS SUR RTT"/>
    <m/>
    <e v="#N/A"/>
    <e v="#N/A"/>
    <n v="92438"/>
    <s v="Provision RTT"/>
    <m/>
    <s v="Q4"/>
    <e v="#REF!"/>
    <e v="#REF!"/>
    <e v="#REF!"/>
  </r>
  <r>
    <s v="645910"/>
    <x v="6"/>
    <s v="CHARGES SOC.S/RTT"/>
    <s v="JC"/>
    <n v="1172.33"/>
    <d v="2025-12-31T00:00:00"/>
    <s v="PROV. CS SUR RTT"/>
    <m/>
    <e v="#N/A"/>
    <e v="#N/A"/>
    <n v="92915"/>
    <s v="Provision RTT"/>
    <m/>
    <s v="Q4"/>
    <e v="#REF!"/>
    <e v="#REF!"/>
    <e v="#REF!"/>
  </r>
  <r>
    <s v="645910"/>
    <x v="6"/>
    <s v="CHARGES SOC.S/RTT"/>
    <s v="JC"/>
    <n v="1191.96"/>
    <d v="2025-09-30T00:00:00"/>
    <s v="Provision RTT"/>
    <m/>
    <e v="#N/A"/>
    <e v="#N/A"/>
    <n v="85893"/>
    <m/>
    <m/>
    <s v="Q3"/>
    <e v="#REF!"/>
    <e v="#REF!"/>
    <e v="#REF!"/>
  </r>
  <r>
    <s v="645910"/>
    <x v="6"/>
    <s v="CHARGES SOC.S/RTT"/>
    <s v="JC"/>
    <n v="1239.48"/>
    <d v="2025-07-31T00:00:00"/>
    <s v="Provision RTT"/>
    <m/>
    <e v="#N/A"/>
    <e v="#N/A"/>
    <n v="85933"/>
    <m/>
    <m/>
    <s v="Q3"/>
    <e v="#REF!"/>
    <e v="#REF!"/>
    <e v="#REF!"/>
  </r>
  <r>
    <s v="645910"/>
    <x v="6"/>
    <s v="CHARGES SOC.S/RTT"/>
    <s v="JC"/>
    <n v="1621.72"/>
    <d v="2025-12-31T00:00:00"/>
    <s v="PROV. CS SUR RTT"/>
    <m/>
    <e v="#N/A"/>
    <e v="#N/A"/>
    <n v="92916"/>
    <s v="Provision RTT"/>
    <m/>
    <s v="Q4"/>
    <e v="#REF!"/>
    <e v="#REF!"/>
    <e v="#REF!"/>
  </r>
  <r>
    <s v="645910"/>
    <x v="6"/>
    <s v="CHARGES SOC.S/RTT"/>
    <s v="JC"/>
    <n v="1622.14"/>
    <d v="2025-12-31T00:00:00"/>
    <s v="PROV. CS SUR RTT"/>
    <m/>
    <e v="#N/A"/>
    <e v="#N/A"/>
    <n v="92917"/>
    <s v="Provision RTT"/>
    <m/>
    <s v="Q4"/>
    <e v="#REF!"/>
    <e v="#REF!"/>
    <e v="#REF!"/>
  </r>
  <r>
    <s v="645910"/>
    <x v="6"/>
    <s v="CHARGES SOC.S/RTT"/>
    <s v="JC"/>
    <n v="1812.01"/>
    <d v="2025-03-31T00:00:00"/>
    <s v="PROV. CS SUR RTT"/>
    <m/>
    <e v="#N/A"/>
    <e v="#N/A"/>
    <n v="92502"/>
    <s v="Provision RTT"/>
    <m/>
    <s v="Q1"/>
    <e v="#REF!"/>
    <e v="#REF!"/>
    <e v="#REF!"/>
  </r>
  <r>
    <s v="645910"/>
    <x v="6"/>
    <s v="CHARGES SOC.S/RTT"/>
    <s v="JC"/>
    <n v="2232.5100000000002"/>
    <d v="2025-08-31T00:00:00"/>
    <s v="PROV. CS SUR RTT"/>
    <m/>
    <e v="#N/A"/>
    <e v="#N/A"/>
    <n v="85961"/>
    <s v="Provision RTT"/>
    <m/>
    <s v="Q3"/>
    <e v="#REF!"/>
    <e v="#REF!"/>
    <e v="#REF!"/>
  </r>
  <r>
    <s v="645910"/>
    <x v="6"/>
    <s v="CHARGES SOC.S/RTT"/>
    <s v="JC"/>
    <n v="2369.7600000000002"/>
    <d v="2025-04-30T00:00:00"/>
    <s v="PROV. CS SUR RTT"/>
    <m/>
    <e v="#N/A"/>
    <e v="#N/A"/>
    <n v="92582"/>
    <s v="Provision RTT"/>
    <m/>
    <s v="Q2"/>
    <e v="#REF!"/>
    <e v="#REF!"/>
    <e v="#REF!"/>
  </r>
  <r>
    <s v="645910"/>
    <x v="6"/>
    <s v="CHARGES SOC.S/RTT"/>
    <s v="JC"/>
    <n v="2371.4"/>
    <d v="2025-05-31T00:00:00"/>
    <s v="PROV. CS SUR RTT"/>
    <m/>
    <e v="#N/A"/>
    <e v="#N/A"/>
    <n v="92622"/>
    <s v="Provision RTT"/>
    <m/>
    <s v="Q2"/>
    <e v="#REF!"/>
    <e v="#REF!"/>
    <e v="#REF!"/>
  </r>
  <r>
    <s v="645910"/>
    <x v="6"/>
    <s v="CHARGES SOC.S/RTT"/>
    <s v="JC"/>
    <n v="2443"/>
    <d v="2025-01-01T00:00:00"/>
    <s v="Extourne Provision"/>
    <m/>
    <e v="#N/A"/>
    <e v="#N/A"/>
    <n v="92661"/>
    <s v="Extourne Provision"/>
    <m/>
    <s v="Q1"/>
    <e v="#REF!"/>
    <e v="#REF!"/>
    <e v="#REF!"/>
  </r>
  <r>
    <s v="645910"/>
    <x v="6"/>
    <s v="CHARGES SOC.S/RTT"/>
    <s v="JC"/>
    <n v="2544.2399999999998"/>
    <d v="2025-02-28T00:00:00"/>
    <s v="PROV. CS SUR RTT"/>
    <m/>
    <e v="#N/A"/>
    <e v="#N/A"/>
    <n v="92543"/>
    <s v="Provision RTT"/>
    <m/>
    <s v="Q1"/>
    <e v="#REF!"/>
    <e v="#REF!"/>
    <e v="#REF!"/>
  </r>
  <r>
    <s v="645910"/>
    <x v="6"/>
    <s v="CHARGES SOC.S/RTT"/>
    <s v="JC"/>
    <n v="2852.39"/>
    <d v="2025-09-30T00:00:00"/>
    <s v="Provision RTT"/>
    <m/>
    <e v="#N/A"/>
    <e v="#N/A"/>
    <n v="85892"/>
    <m/>
    <m/>
    <s v="Q3"/>
    <e v="#REF!"/>
    <e v="#REF!"/>
    <e v="#REF!"/>
  </r>
  <r>
    <s v="645910"/>
    <x v="6"/>
    <s v="CHARGES SOC.S/RTT"/>
    <s v="JC"/>
    <n v="2920.19"/>
    <d v="2025-11-30T00:00:00"/>
    <s v="PROV. CS SUR RTT"/>
    <m/>
    <e v="#N/A"/>
    <e v="#N/A"/>
    <n v="92439"/>
    <s v="Provision RTT"/>
    <m/>
    <s v="Q4"/>
    <e v="#REF!"/>
    <e v="#REF!"/>
    <e v="#REF!"/>
  </r>
  <r>
    <s v="645910"/>
    <x v="6"/>
    <s v="CHARGES SOC.S/RTT"/>
    <s v="JC"/>
    <n v="2983.31"/>
    <d v="2025-06-30T00:00:00"/>
    <s v="Provision RTT"/>
    <m/>
    <e v="#N/A"/>
    <e v="#N/A"/>
    <n v="85860"/>
    <m/>
    <m/>
    <s v="Q2"/>
    <e v="#REF!"/>
    <e v="#REF!"/>
    <e v="#REF!"/>
  </r>
  <r>
    <s v="645910"/>
    <x v="6"/>
    <s v="CHARGES SOC.S/RTT"/>
    <s v="JC"/>
    <n v="3177.43"/>
    <d v="2025-05-31T00:00:00"/>
    <s v="PROV. CS SUR RTT"/>
    <m/>
    <e v="#N/A"/>
    <e v="#N/A"/>
    <n v="92623"/>
    <s v="Provision RTT"/>
    <m/>
    <s v="Q2"/>
    <e v="#REF!"/>
    <e v="#REF!"/>
    <e v="#REF!"/>
  </r>
  <r>
    <s v="645910"/>
    <x v="6"/>
    <s v="CHARGES SOC.S/RTT"/>
    <s v="JC"/>
    <n v="3180.97"/>
    <d v="2025-10-31T00:00:00"/>
    <s v="PROV. CS SUR RTT"/>
    <m/>
    <e v="#N/A"/>
    <e v="#N/A"/>
    <n v="87950"/>
    <s v="Provision RTT"/>
    <m/>
    <s v="Q4"/>
    <e v="#REF!"/>
    <e v="#REF!"/>
    <e v="#REF!"/>
  </r>
  <r>
    <s v="645910"/>
    <x v="6"/>
    <s v="CHARGES SOC.S/RTT"/>
    <s v="JC"/>
    <n v="3328.62"/>
    <d v="2025-03-31T00:00:00"/>
    <s v="PROV. CS SUR RTT"/>
    <m/>
    <e v="#N/A"/>
    <e v="#N/A"/>
    <n v="92503"/>
    <s v="Provision RTT"/>
    <m/>
    <s v="Q1"/>
    <e v="#REF!"/>
    <e v="#REF!"/>
    <e v="#REF!"/>
  </r>
  <r>
    <s v="645910"/>
    <x v="6"/>
    <s v="CHARGES SOC.S/RTT"/>
    <s v="JC"/>
    <n v="3454.54"/>
    <d v="2025-07-31T00:00:00"/>
    <s v="Provision RTT"/>
    <m/>
    <e v="#N/A"/>
    <e v="#N/A"/>
    <n v="85932"/>
    <m/>
    <m/>
    <s v="Q3"/>
    <e v="#REF!"/>
    <e v="#REF!"/>
    <e v="#REF!"/>
  </r>
  <r>
    <s v="645910"/>
    <x v="6"/>
    <s v="CHARGES SOC.S/RTT"/>
    <s v="JC"/>
    <n v="3768.43"/>
    <d v="2025-04-30T00:00:00"/>
    <s v="PROV. CS SUR RTT"/>
    <m/>
    <e v="#N/A"/>
    <e v="#N/A"/>
    <n v="92583"/>
    <s v="Provision RTT"/>
    <m/>
    <s v="Q2"/>
    <e v="#REF!"/>
    <e v="#REF!"/>
    <e v="#REF!"/>
  </r>
  <r>
    <s v="645910"/>
    <x v="6"/>
    <s v="CHARGES SOC.S/RTT"/>
    <s v="JC"/>
    <n v="3835.49"/>
    <d v="2025-08-31T00:00:00"/>
    <s v="PROV. CS SUR RTT"/>
    <m/>
    <e v="#N/A"/>
    <e v="#N/A"/>
    <n v="85962"/>
    <s v="Provision RTT"/>
    <m/>
    <s v="Q3"/>
    <e v="#REF!"/>
    <e v="#REF!"/>
    <e v="#REF!"/>
  </r>
  <r>
    <s v="645910"/>
    <x v="6"/>
    <s v="CHARGES SOC.S/RTT"/>
    <s v="JC"/>
    <n v="4052.73"/>
    <d v="2025-11-30T00:00:00"/>
    <s v="PROV. CS SUR RTT"/>
    <m/>
    <e v="#N/A"/>
    <e v="#N/A"/>
    <n v="92440"/>
    <s v="Provision RTT"/>
    <m/>
    <s v="Q4"/>
    <e v="#REF!"/>
    <e v="#REF!"/>
    <e v="#REF!"/>
  </r>
  <r>
    <s v="645910"/>
    <x v="6"/>
    <s v="CHARGES SOC.S/RTT"/>
    <s v="JC"/>
    <n v="4441.62"/>
    <d v="2025-09-30T00:00:00"/>
    <s v="Provision RTT"/>
    <m/>
    <e v="#N/A"/>
    <e v="#N/A"/>
    <n v="85891"/>
    <m/>
    <m/>
    <s v="Q3"/>
    <e v="#REF!"/>
    <e v="#REF!"/>
    <e v="#REF!"/>
  </r>
  <r>
    <s v="645910"/>
    <x v="6"/>
    <s v="CHARGES SOC.S/RTT"/>
    <s v="JC"/>
    <n v="4678.8100000000004"/>
    <d v="2025-10-31T00:00:00"/>
    <s v="PROV. CS SUR RTT"/>
    <m/>
    <e v="#N/A"/>
    <e v="#N/A"/>
    <n v="87951"/>
    <s v="Provision RTT"/>
    <m/>
    <s v="Q4"/>
    <e v="#REF!"/>
    <e v="#REF!"/>
    <e v="#REF!"/>
  </r>
  <r>
    <s v="645910"/>
    <x v="6"/>
    <s v="CHARGES SOC.S/RTT"/>
    <s v="JC"/>
    <n v="4757.0200000000004"/>
    <d v="2025-06-30T00:00:00"/>
    <s v="Provision RTT"/>
    <m/>
    <e v="#N/A"/>
    <e v="#N/A"/>
    <n v="85861"/>
    <m/>
    <m/>
    <s v="Q2"/>
    <e v="#REF!"/>
    <e v="#REF!"/>
    <e v="#REF!"/>
  </r>
  <r>
    <s v="645910"/>
    <x v="6"/>
    <s v="CHARGES SOC.S/RTT"/>
    <s v="JC"/>
    <n v="4825.83"/>
    <d v="2025-07-31T00:00:00"/>
    <s v="Provision RTT"/>
    <m/>
    <e v="#N/A"/>
    <e v="#N/A"/>
    <n v="85931"/>
    <m/>
    <m/>
    <s v="Q3"/>
    <e v="#REF!"/>
    <e v="#REF!"/>
    <e v="#REF!"/>
  </r>
  <r>
    <s v="645920"/>
    <x v="6"/>
    <s v="CHARGES SOC.S/PROV. VARIABLES"/>
    <s v="JC"/>
    <n v="-63399.14"/>
    <d v="2025-12-01T00:00:00"/>
    <s v="PROV. CS SUR VARIABLES 2025"/>
    <m/>
    <e v="#N/A"/>
    <e v="#N/A"/>
    <n v="85805"/>
    <s v="Ext. Prov. Variables 2025"/>
    <m/>
    <s v="Q4"/>
    <e v="#REF!"/>
    <e v="#REF!"/>
    <e v="#REF!"/>
  </r>
  <r>
    <s v="645920"/>
    <x v="6"/>
    <s v="CHARGES SOC.S/PROV. VARIABLES"/>
    <s v="JC"/>
    <n v="-57635.59"/>
    <d v="2025-11-01T00:00:00"/>
    <s v="PROV. CS SUR VARIABLES 2025"/>
    <m/>
    <e v="#N/A"/>
    <e v="#N/A"/>
    <n v="85785"/>
    <s v="Ext. Prov. Variables 2025"/>
    <m/>
    <s v="Q4"/>
    <e v="#REF!"/>
    <e v="#REF!"/>
    <e v="#REF!"/>
  </r>
  <r>
    <s v="645920"/>
    <x v="6"/>
    <s v="CHARGES SOC.S/PROV. VARIABLES"/>
    <s v="JC"/>
    <n v="-51872.02"/>
    <d v="2025-10-01T00:00:00"/>
    <s v="PROV. CS SUR VARIABLES 2025"/>
    <m/>
    <e v="#N/A"/>
    <e v="#N/A"/>
    <n v="85765"/>
    <s v="Ext. Prov. Variables 2025"/>
    <m/>
    <s v="Q4"/>
    <e v="#REF!"/>
    <e v="#REF!"/>
    <e v="#REF!"/>
  </r>
  <r>
    <s v="645920"/>
    <x v="6"/>
    <s v="CHARGES SOC.S/PROV. VARIABLES"/>
    <s v="JC"/>
    <n v="-46108.47"/>
    <d v="2025-09-01T00:00:00"/>
    <s v="PROV. CS SUR VARIABLES 2025"/>
    <m/>
    <e v="#N/A"/>
    <e v="#N/A"/>
    <n v="85745"/>
    <s v="Ext. Prov. Variables 2025"/>
    <m/>
    <s v="Q3"/>
    <e v="#REF!"/>
    <e v="#REF!"/>
    <e v="#REF!"/>
  </r>
  <r>
    <s v="645920"/>
    <x v="6"/>
    <s v="CHARGES SOC.S/PROV. VARIABLES"/>
    <s v="JC"/>
    <n v="-40344.9"/>
    <d v="2025-08-01T00:00:00"/>
    <s v="PROV. CS SUR VARIABLES 2025"/>
    <m/>
    <e v="#N/A"/>
    <e v="#N/A"/>
    <n v="85725"/>
    <s v="Ext. Prov. Variables 2025"/>
    <m/>
    <s v="Q3"/>
    <e v="#REF!"/>
    <e v="#REF!"/>
    <e v="#REF!"/>
  </r>
  <r>
    <s v="645920"/>
    <x v="6"/>
    <s v="CHARGES SOC.S/PROV. VARIABLES"/>
    <s v="JC"/>
    <n v="-34581.35"/>
    <d v="2025-07-01T00:00:00"/>
    <s v="PROV. CS SUR VARIABLES 2025"/>
    <m/>
    <e v="#N/A"/>
    <e v="#N/A"/>
    <n v="85705"/>
    <s v="Ext. Prov. Variables 2025"/>
    <m/>
    <s v="Q3"/>
    <e v="#REF!"/>
    <e v="#REF!"/>
    <e v="#REF!"/>
  </r>
  <r>
    <s v="645920"/>
    <x v="6"/>
    <s v="CHARGES SOC.S/PROV. VARIABLES"/>
    <s v="JC"/>
    <n v="-28817.79"/>
    <d v="2025-06-01T00:00:00"/>
    <s v="PROV. CS SUR VARIABLES 2025"/>
    <m/>
    <e v="#N/A"/>
    <e v="#N/A"/>
    <n v="85685"/>
    <s v="Ext. Prov. Variables 2025"/>
    <m/>
    <s v="Q2"/>
    <e v="#REF!"/>
    <e v="#REF!"/>
    <e v="#REF!"/>
  </r>
  <r>
    <s v="645920"/>
    <x v="6"/>
    <s v="CHARGES SOC.S/PROV. VARIABLES"/>
    <s v="JC"/>
    <n v="-25785.15"/>
    <d v="2025-02-01T00:00:00"/>
    <s v="EXTOURNE PROVISION VARIABLES 2024"/>
    <m/>
    <e v="#N/A"/>
    <e v="#N/A"/>
    <n v="85585"/>
    <m/>
    <m/>
    <s v="Q1"/>
    <e v="#REF!"/>
    <e v="#REF!"/>
    <e v="#REF!"/>
  </r>
  <r>
    <s v="645920"/>
    <x v="6"/>
    <s v="CHARGES SOC.S/PROV. VARIABLES"/>
    <s v="JC"/>
    <n v="-23054.23"/>
    <d v="2025-05-01T00:00:00"/>
    <s v="PROV. CS SUR VARIABLES 2025"/>
    <m/>
    <e v="#N/A"/>
    <e v="#N/A"/>
    <n v="85665"/>
    <s v="Ext. Prov. Variables 2025"/>
    <m/>
    <s v="Q2"/>
    <e v="#REF!"/>
    <e v="#REF!"/>
    <e v="#REF!"/>
  </r>
  <r>
    <s v="645920"/>
    <x v="6"/>
    <s v="CHARGES SOC.S/PROV. VARIABLES"/>
    <s v="JC"/>
    <n v="-22407.71"/>
    <d v="2025-12-01T00:00:00"/>
    <s v="PROV. CS SUR VARIABLES 2025"/>
    <m/>
    <e v="#N/A"/>
    <e v="#N/A"/>
    <n v="85804"/>
    <s v="Ext. Prov. Variables 2025"/>
    <m/>
    <s v="Q4"/>
    <e v="#REF!"/>
    <e v="#REF!"/>
    <e v="#REF!"/>
  </r>
  <r>
    <s v="645920"/>
    <x v="6"/>
    <s v="CHARGES SOC.S/PROV. VARIABLES"/>
    <s v="JC"/>
    <n v="-20370.64"/>
    <d v="2025-11-01T00:00:00"/>
    <s v="PROV. CS SUR VARIABLES 2025"/>
    <m/>
    <e v="#N/A"/>
    <e v="#N/A"/>
    <n v="85784"/>
    <s v="Ext. Prov. Variables 2025"/>
    <m/>
    <s v="Q4"/>
    <e v="#REF!"/>
    <e v="#REF!"/>
    <e v="#REF!"/>
  </r>
  <r>
    <s v="645920"/>
    <x v="6"/>
    <s v="CHARGES SOC.S/PROV. VARIABLES"/>
    <s v="JC"/>
    <n v="-18333.580000000002"/>
    <d v="2025-10-01T00:00:00"/>
    <s v="PROV. CS SUR VARIABLES 2025"/>
    <m/>
    <e v="#N/A"/>
    <e v="#N/A"/>
    <n v="85764"/>
    <s v="Ext. Prov. Variables 2025"/>
    <m/>
    <s v="Q4"/>
    <e v="#REF!"/>
    <e v="#REF!"/>
    <e v="#REF!"/>
  </r>
  <r>
    <s v="645920"/>
    <x v="6"/>
    <s v="CHARGES SOC.S/PROV. VARIABLES"/>
    <s v="JC"/>
    <n v="-17290.669999999998"/>
    <d v="2025-04-01T00:00:00"/>
    <s v="PROV. CS SUR VARIABLES 2025"/>
    <m/>
    <e v="#N/A"/>
    <e v="#N/A"/>
    <n v="85645"/>
    <s v="Ext. Prov. Variables 2025"/>
    <m/>
    <s v="Q2"/>
    <e v="#REF!"/>
    <e v="#REF!"/>
    <e v="#REF!"/>
  </r>
  <r>
    <s v="645920"/>
    <x v="6"/>
    <s v="CHARGES SOC.S/PROV. VARIABLES"/>
    <s v="JC"/>
    <n v="-16519.25"/>
    <d v="2025-02-01T00:00:00"/>
    <s v="EXTOURNE PROVISION VARIABLES 2024"/>
    <m/>
    <e v="#N/A"/>
    <e v="#N/A"/>
    <n v="85583"/>
    <m/>
    <m/>
    <s v="Q1"/>
    <e v="#REF!"/>
    <e v="#REF!"/>
    <e v="#REF!"/>
  </r>
  <r>
    <s v="645920"/>
    <x v="6"/>
    <s v="CHARGES SOC.S/PROV. VARIABLES"/>
    <s v="JC"/>
    <n v="-16296.52"/>
    <d v="2025-09-01T00:00:00"/>
    <s v="PROV. CS SUR VARIABLES 2025"/>
    <m/>
    <e v="#N/A"/>
    <e v="#N/A"/>
    <n v="85744"/>
    <s v="Ext. Prov. Variables 2025"/>
    <m/>
    <s v="Q3"/>
    <e v="#REF!"/>
    <e v="#REF!"/>
    <e v="#REF!"/>
  </r>
  <r>
    <s v="645920"/>
    <x v="6"/>
    <s v="CHARGES SOC.S/PROV. VARIABLES"/>
    <s v="JC"/>
    <n v="-14259.45"/>
    <d v="2025-08-01T00:00:00"/>
    <s v="PROV. CS SUR VARIABLES 2025"/>
    <m/>
    <e v="#N/A"/>
    <e v="#N/A"/>
    <n v="85724"/>
    <s v="Ext. Prov. Variables 2025"/>
    <m/>
    <s v="Q3"/>
    <e v="#REF!"/>
    <e v="#REF!"/>
    <e v="#REF!"/>
  </r>
  <r>
    <s v="645920"/>
    <x v="6"/>
    <s v="CHARGES SOC.S/PROV. VARIABLES"/>
    <s v="JC"/>
    <n v="-14085.78"/>
    <d v="2025-12-01T00:00:00"/>
    <s v="PROV. CS SUR VARIABLES 2025"/>
    <m/>
    <e v="#N/A"/>
    <e v="#N/A"/>
    <n v="85803"/>
    <s v="Ext. Prov. Variables 2025"/>
    <m/>
    <s v="Q4"/>
    <e v="#REF!"/>
    <e v="#REF!"/>
    <e v="#REF!"/>
  </r>
  <r>
    <s v="645920"/>
    <x v="6"/>
    <s v="CHARGES SOC.S/PROV. VARIABLES"/>
    <s v="JC"/>
    <n v="-13597.83"/>
    <d v="2025-02-01T00:00:00"/>
    <s v="EXTOURNE PROVISION VARIABLES 2024"/>
    <m/>
    <e v="#N/A"/>
    <e v="#N/A"/>
    <n v="85584"/>
    <m/>
    <m/>
    <s v="Q1"/>
    <e v="#REF!"/>
    <e v="#REF!"/>
    <e v="#REF!"/>
  </r>
  <r>
    <s v="645920"/>
    <x v="6"/>
    <s v="CHARGES SOC.S/PROV. VARIABLES"/>
    <s v="JC"/>
    <n v="-12805.25"/>
    <d v="2025-11-01T00:00:00"/>
    <s v="PROV. CS SUR VARIABLES 2025"/>
    <m/>
    <e v="#N/A"/>
    <e v="#N/A"/>
    <n v="85783"/>
    <s v="Ext. Prov. Variables 2025"/>
    <m/>
    <s v="Q4"/>
    <e v="#REF!"/>
    <e v="#REF!"/>
    <e v="#REF!"/>
  </r>
  <r>
    <s v="645920"/>
    <x v="6"/>
    <s v="CHARGES SOC.S/PROV. VARIABLES"/>
    <s v="JC"/>
    <n v="-12222.39"/>
    <d v="2025-07-01T00:00:00"/>
    <s v="PROV. CS SUR VARIABLES 2025"/>
    <m/>
    <e v="#N/A"/>
    <e v="#N/A"/>
    <n v="85704"/>
    <s v="Ext. Prov. Variables 2025"/>
    <m/>
    <s v="Q3"/>
    <e v="#REF!"/>
    <e v="#REF!"/>
    <e v="#REF!"/>
  </r>
  <r>
    <s v="645920"/>
    <x v="6"/>
    <s v="CHARGES SOC.S/PROV. VARIABLES"/>
    <s v="JC"/>
    <n v="-11527.12"/>
    <d v="2025-03-01T00:00:00"/>
    <s v="PROV. CS SUR VARIABLES 2025"/>
    <m/>
    <e v="#N/A"/>
    <e v="#N/A"/>
    <n v="85625"/>
    <s v="Ext. Prov. Variables 2025"/>
    <m/>
    <s v="Q1"/>
    <e v="#REF!"/>
    <e v="#REF!"/>
    <e v="#REF!"/>
  </r>
  <r>
    <s v="645920"/>
    <x v="6"/>
    <s v="CHARGES SOC.S/PROV. VARIABLES"/>
    <s v="JC"/>
    <n v="-11524.73"/>
    <d v="2025-10-01T00:00:00"/>
    <s v="PROV. CS SUR VARIABLES 2025"/>
    <m/>
    <e v="#N/A"/>
    <e v="#N/A"/>
    <n v="85763"/>
    <s v="Ext. Prov. Variables 2025"/>
    <m/>
    <s v="Q4"/>
    <e v="#REF!"/>
    <e v="#REF!"/>
    <e v="#REF!"/>
  </r>
  <r>
    <s v="645920"/>
    <x v="6"/>
    <s v="CHARGES SOC.S/PROV. VARIABLES"/>
    <s v="JC"/>
    <n v="-10244.200000000001"/>
    <d v="2025-09-01T00:00:00"/>
    <s v="PROV. CS SUR VARIABLES 2025"/>
    <m/>
    <e v="#N/A"/>
    <e v="#N/A"/>
    <n v="85743"/>
    <s v="Ext. Prov. Variables 2025"/>
    <m/>
    <s v="Q3"/>
    <e v="#REF!"/>
    <e v="#REF!"/>
    <e v="#REF!"/>
  </r>
  <r>
    <s v="645920"/>
    <x v="6"/>
    <s v="CHARGES SOC.S/PROV. VARIABLES"/>
    <s v="JC"/>
    <n v="-10185.32"/>
    <d v="2025-06-01T00:00:00"/>
    <s v="PROV. CS SUR VARIABLES 2025"/>
    <m/>
    <e v="#N/A"/>
    <e v="#N/A"/>
    <n v="85684"/>
    <s v="Ext. Prov. Variables 2025"/>
    <m/>
    <s v="Q2"/>
    <e v="#REF!"/>
    <e v="#REF!"/>
    <e v="#REF!"/>
  </r>
  <r>
    <s v="645920"/>
    <x v="6"/>
    <s v="CHARGES SOC.S/PROV. VARIABLES"/>
    <s v="JC"/>
    <n v="-8963.68"/>
    <d v="2025-08-01T00:00:00"/>
    <s v="PROV. CS SUR VARIABLES 2025"/>
    <m/>
    <e v="#N/A"/>
    <e v="#N/A"/>
    <n v="85723"/>
    <s v="Ext. Prov. Variables 2025"/>
    <m/>
    <s v="Q3"/>
    <e v="#REF!"/>
    <e v="#REF!"/>
    <e v="#REF!"/>
  </r>
  <r>
    <s v="645920"/>
    <x v="6"/>
    <s v="CHARGES SOC.S/PROV. VARIABLES"/>
    <s v="JC"/>
    <n v="-8148.26"/>
    <d v="2025-05-01T00:00:00"/>
    <s v="PROV. CS SUR VARIABLES 2025"/>
    <m/>
    <e v="#N/A"/>
    <e v="#N/A"/>
    <n v="85664"/>
    <s v="Ext. Prov. Variables 2025"/>
    <m/>
    <s v="Q2"/>
    <e v="#REF!"/>
    <e v="#REF!"/>
    <e v="#REF!"/>
  </r>
  <r>
    <s v="645920"/>
    <x v="6"/>
    <s v="CHARGES SOC.S/PROV. VARIABLES"/>
    <s v="JC"/>
    <n v="-7683.15"/>
    <d v="2025-07-01T00:00:00"/>
    <s v="PROV. CS SUR VARIABLES 2025"/>
    <m/>
    <e v="#N/A"/>
    <e v="#N/A"/>
    <n v="85703"/>
    <s v="Ext. Prov. Variables 2025"/>
    <m/>
    <s v="Q3"/>
    <e v="#REF!"/>
    <e v="#REF!"/>
    <e v="#REF!"/>
  </r>
  <r>
    <s v="645920"/>
    <x v="6"/>
    <s v="CHARGES SOC.S/PROV. VARIABLES"/>
    <s v="JC"/>
    <n v="-6481.37"/>
    <d v="2025-12-01T00:00:00"/>
    <s v="PROV. CS SUR VARIABLES 2025"/>
    <m/>
    <e v="#N/A"/>
    <e v="#N/A"/>
    <n v="85806"/>
    <s v="Ext. Prov. Variables 2025"/>
    <m/>
    <s v="Q4"/>
    <e v="#REF!"/>
    <e v="#REF!"/>
    <e v="#REF!"/>
  </r>
  <r>
    <s v="645920"/>
    <x v="6"/>
    <s v="CHARGES SOC.S/PROV. VARIABLES"/>
    <s v="JC"/>
    <n v="-6402.63"/>
    <d v="2025-06-01T00:00:00"/>
    <s v="PROV. CS SUR VARIABLES 2025"/>
    <m/>
    <e v="#N/A"/>
    <e v="#N/A"/>
    <n v="85683"/>
    <s v="Ext. Prov. Variables 2025"/>
    <m/>
    <s v="Q2"/>
    <e v="#REF!"/>
    <e v="#REF!"/>
    <e v="#REF!"/>
  </r>
  <r>
    <s v="645920"/>
    <x v="6"/>
    <s v="CHARGES SOC.S/PROV. VARIABLES"/>
    <s v="JC"/>
    <n v="-6111.19"/>
    <d v="2025-04-01T00:00:00"/>
    <s v="PROV. CS SUR VARIABLES 2025"/>
    <m/>
    <e v="#N/A"/>
    <e v="#N/A"/>
    <n v="85644"/>
    <s v="Ext. Prov. Variables 2025"/>
    <m/>
    <s v="Q2"/>
    <e v="#REF!"/>
    <e v="#REF!"/>
    <e v="#REF!"/>
  </r>
  <r>
    <s v="645920"/>
    <x v="6"/>
    <s v="CHARGES SOC.S/PROV. VARIABLES"/>
    <s v="JC"/>
    <n v="-5892.15"/>
    <d v="2025-11-01T00:00:00"/>
    <s v="PROV. CS SUR VARIABLES 2025"/>
    <m/>
    <e v="#N/A"/>
    <e v="#N/A"/>
    <n v="85786"/>
    <s v="Ext. Prov. Variables 2025"/>
    <m/>
    <s v="Q4"/>
    <e v="#REF!"/>
    <e v="#REF!"/>
    <e v="#REF!"/>
  </r>
  <r>
    <s v="645920"/>
    <x v="6"/>
    <s v="CHARGES SOC.S/PROV. VARIABLES"/>
    <s v="JC"/>
    <n v="-5763.56"/>
    <d v="2025-02-01T00:00:00"/>
    <s v="PROV. CS SUR VARIABLES 2025"/>
    <m/>
    <e v="#N/A"/>
    <e v="#N/A"/>
    <n v="85605"/>
    <s v="Ext. Prov. Variables 2025"/>
    <m/>
    <s v="Q1"/>
    <e v="#REF!"/>
    <e v="#REF!"/>
    <e v="#REF!"/>
  </r>
  <r>
    <s v="645920"/>
    <x v="6"/>
    <s v="CHARGES SOC.S/PROV. VARIABLES"/>
    <s v="JC"/>
    <n v="-5302.94"/>
    <d v="2025-10-01T00:00:00"/>
    <s v="PROV. CS SUR VARIABLES 2025"/>
    <m/>
    <e v="#N/A"/>
    <e v="#N/A"/>
    <n v="85766"/>
    <s v="Ext. Prov. Variables 2025"/>
    <m/>
    <s v="Q4"/>
    <e v="#REF!"/>
    <e v="#REF!"/>
    <e v="#REF!"/>
  </r>
  <r>
    <s v="645920"/>
    <x v="6"/>
    <s v="CHARGES SOC.S/PROV. VARIABLES"/>
    <s v="JC"/>
    <n v="-5122.1000000000004"/>
    <d v="2025-05-01T00:00:00"/>
    <s v="PROV. CS SUR VARIABLES 2025"/>
    <m/>
    <e v="#N/A"/>
    <e v="#N/A"/>
    <n v="85663"/>
    <s v="Ext. Prov. Variables 2025"/>
    <m/>
    <s v="Q2"/>
    <e v="#REF!"/>
    <e v="#REF!"/>
    <e v="#REF!"/>
  </r>
  <r>
    <s v="645920"/>
    <x v="6"/>
    <s v="CHARGES SOC.S/PROV. VARIABLES"/>
    <s v="JC"/>
    <n v="-4713.72"/>
    <d v="2025-09-01T00:00:00"/>
    <s v="PROV. CS SUR VARIABLES 2025"/>
    <m/>
    <e v="#N/A"/>
    <e v="#N/A"/>
    <n v="85746"/>
    <s v="Ext. Prov. Variables 2025"/>
    <m/>
    <s v="Q3"/>
    <e v="#REF!"/>
    <e v="#REF!"/>
    <e v="#REF!"/>
  </r>
  <r>
    <s v="645920"/>
    <x v="6"/>
    <s v="CHARGES SOC.S/PROV. VARIABLES"/>
    <s v="JC"/>
    <n v="-4336.7700000000004"/>
    <d v="2025-02-01T00:00:00"/>
    <s v="EXTOURNE PROVISION VARIABLES 2024"/>
    <m/>
    <e v="#N/A"/>
    <e v="#N/A"/>
    <n v="85586"/>
    <m/>
    <m/>
    <s v="Q1"/>
    <e v="#REF!"/>
    <e v="#REF!"/>
    <e v="#REF!"/>
  </r>
  <r>
    <s v="645920"/>
    <x v="6"/>
    <s v="CHARGES SOC.S/PROV. VARIABLES"/>
    <s v="JC"/>
    <n v="-4124.51"/>
    <d v="2025-08-01T00:00:00"/>
    <s v="PROV. CS SUR VARIABLES 2025"/>
    <m/>
    <e v="#N/A"/>
    <e v="#N/A"/>
    <n v="85726"/>
    <s v="Ext. Prov. Variables 2025"/>
    <m/>
    <s v="Q3"/>
    <e v="#REF!"/>
    <e v="#REF!"/>
    <e v="#REF!"/>
  </r>
  <r>
    <s v="645920"/>
    <x v="6"/>
    <s v="CHARGES SOC.S/PROV. VARIABLES"/>
    <s v="JC"/>
    <n v="-4074.13"/>
    <d v="2025-03-01T00:00:00"/>
    <s v="PROV. CS SUR VARIABLES 2025"/>
    <m/>
    <e v="#N/A"/>
    <e v="#N/A"/>
    <n v="85624"/>
    <s v="Ext. Prov. Variables 2025"/>
    <m/>
    <s v="Q1"/>
    <e v="#REF!"/>
    <e v="#REF!"/>
    <e v="#REF!"/>
  </r>
  <r>
    <s v="645920"/>
    <x v="6"/>
    <s v="CHARGES SOC.S/PROV. VARIABLES"/>
    <s v="JC"/>
    <n v="-3841.58"/>
    <d v="2025-04-01T00:00:00"/>
    <s v="PROV. CS SUR VARIABLES 2025"/>
    <m/>
    <e v="#N/A"/>
    <e v="#N/A"/>
    <n v="85643"/>
    <s v="Ext. Prov. Variables 2025"/>
    <m/>
    <s v="Q2"/>
    <e v="#REF!"/>
    <e v="#REF!"/>
    <e v="#REF!"/>
  </r>
  <r>
    <s v="645920"/>
    <x v="6"/>
    <s v="CHARGES SOC.S/PROV. VARIABLES"/>
    <s v="JC"/>
    <n v="-3535.29"/>
    <d v="2025-07-01T00:00:00"/>
    <s v="PROV. CS SUR VARIABLES 2025"/>
    <m/>
    <e v="#N/A"/>
    <e v="#N/A"/>
    <n v="85706"/>
    <s v="Ext. Prov. Variables 2025"/>
    <m/>
    <s v="Q3"/>
    <e v="#REF!"/>
    <e v="#REF!"/>
    <e v="#REF!"/>
  </r>
  <r>
    <s v="645920"/>
    <x v="6"/>
    <s v="CHARGES SOC.S/PROV. VARIABLES"/>
    <s v="JC"/>
    <n v="-2946.08"/>
    <d v="2025-06-01T00:00:00"/>
    <s v="PROV. CS SUR VARIABLES 2025"/>
    <m/>
    <e v="#N/A"/>
    <e v="#N/A"/>
    <n v="85686"/>
    <s v="Ext. Prov. Variables 2025"/>
    <m/>
    <s v="Q2"/>
    <e v="#REF!"/>
    <e v="#REF!"/>
    <e v="#REF!"/>
  </r>
  <r>
    <s v="645920"/>
    <x v="6"/>
    <s v="CHARGES SOC.S/PROV. VARIABLES"/>
    <s v="JC"/>
    <n v="-2561.0500000000002"/>
    <d v="2025-03-01T00:00:00"/>
    <s v="PROV. CS SUR VARIABLES 2025"/>
    <m/>
    <e v="#N/A"/>
    <e v="#N/A"/>
    <n v="85623"/>
    <s v="Ext. Prov. Variables 2025"/>
    <m/>
    <s v="Q1"/>
    <e v="#REF!"/>
    <e v="#REF!"/>
    <e v="#REF!"/>
  </r>
  <r>
    <s v="645920"/>
    <x v="6"/>
    <s v="CHARGES SOC.S/PROV. VARIABLES"/>
    <s v="JC"/>
    <n v="-2356.86"/>
    <d v="2025-05-01T00:00:00"/>
    <s v="PROV. CS SUR VARIABLES 2025"/>
    <m/>
    <e v="#N/A"/>
    <e v="#N/A"/>
    <n v="85666"/>
    <s v="Ext. Prov. Variables 2025"/>
    <m/>
    <s v="Q2"/>
    <e v="#REF!"/>
    <e v="#REF!"/>
    <e v="#REF!"/>
  </r>
  <r>
    <s v="645920"/>
    <x v="6"/>
    <s v="CHARGES SOC.S/PROV. VARIABLES"/>
    <s v="JC"/>
    <n v="-2037.06"/>
    <d v="2025-02-01T00:00:00"/>
    <s v="PROV. CS SUR VARIABLES 2025"/>
    <m/>
    <e v="#N/A"/>
    <e v="#N/A"/>
    <n v="85604"/>
    <s v="Ext. Prov. Variables 2025"/>
    <m/>
    <s v="Q1"/>
    <e v="#REF!"/>
    <e v="#REF!"/>
    <e v="#REF!"/>
  </r>
  <r>
    <s v="645920"/>
    <x v="6"/>
    <s v="CHARGES SOC.S/PROV. VARIABLES"/>
    <s v="JC"/>
    <n v="-1767.65"/>
    <d v="2025-04-01T00:00:00"/>
    <s v="PROV. CS SUR VARIABLES 2025"/>
    <m/>
    <e v="#N/A"/>
    <e v="#N/A"/>
    <n v="85646"/>
    <s v="Ext. Prov. Variables 2025"/>
    <m/>
    <s v="Q2"/>
    <e v="#REF!"/>
    <e v="#REF!"/>
    <e v="#REF!"/>
  </r>
  <r>
    <s v="645920"/>
    <x v="6"/>
    <s v="CHARGES SOC.S/PROV. VARIABLES"/>
    <s v="JC"/>
    <n v="-1280.52"/>
    <d v="2025-02-01T00:00:00"/>
    <s v="PROV. CS SUR VARIABLES 2025"/>
    <m/>
    <e v="#N/A"/>
    <e v="#N/A"/>
    <n v="85603"/>
    <s v="Ext. Prov. Variables 2025"/>
    <m/>
    <s v="Q1"/>
    <e v="#REF!"/>
    <e v="#REF!"/>
    <e v="#REF!"/>
  </r>
  <r>
    <s v="645920"/>
    <x v="6"/>
    <s v="CHARGES SOC.S/PROV. VARIABLES"/>
    <s v="JC"/>
    <n v="-1178.43"/>
    <d v="2025-03-01T00:00:00"/>
    <s v="PROV. CS SUR VARIABLES 2025"/>
    <m/>
    <e v="#N/A"/>
    <e v="#N/A"/>
    <n v="85626"/>
    <s v="Ext. Prov. Variables 2025"/>
    <m/>
    <s v="Q1"/>
    <e v="#REF!"/>
    <e v="#REF!"/>
    <e v="#REF!"/>
  </r>
  <r>
    <s v="645920"/>
    <x v="6"/>
    <s v="CHARGES SOC.S/PROV. VARIABLES"/>
    <s v="JC"/>
    <n v="-589.22"/>
    <d v="2025-02-01T00:00:00"/>
    <s v="PROV. CS SUR VARIABLES 2025"/>
    <m/>
    <e v="#N/A"/>
    <e v="#N/A"/>
    <n v="85606"/>
    <s v="Ext. Prov. Variables 2025"/>
    <m/>
    <s v="Q1"/>
    <e v="#REF!"/>
    <e v="#REF!"/>
    <e v="#REF!"/>
  </r>
  <r>
    <s v="645920"/>
    <x v="6"/>
    <s v="CHARGES SOC.S/PROV. VARIABLES"/>
    <s v="JC"/>
    <n v="589.22"/>
    <d v="2025-01-31T00:00:00"/>
    <s v="PROV. CS SUR VARIABLES 2025"/>
    <m/>
    <e v="#N/A"/>
    <e v="#N/A"/>
    <n v="85596"/>
    <s v="Prov. Variables 2025"/>
    <m/>
    <s v="Q1"/>
    <e v="#REF!"/>
    <e v="#REF!"/>
    <e v="#REF!"/>
  </r>
  <r>
    <s v="645920"/>
    <x v="6"/>
    <s v="CHARGES SOC.S/PROV. VARIABLES"/>
    <s v="JC"/>
    <n v="1178.43"/>
    <d v="2025-02-28T00:00:00"/>
    <s v="PROV. CS SUR VARIABLES 2025"/>
    <m/>
    <e v="#N/A"/>
    <e v="#N/A"/>
    <n v="85616"/>
    <s v="Prov. Variables 2025"/>
    <m/>
    <s v="Q1"/>
    <e v="#REF!"/>
    <e v="#REF!"/>
    <e v="#REF!"/>
  </r>
  <r>
    <s v="645920"/>
    <x v="6"/>
    <s v="CHARGES SOC.S/PROV. VARIABLES"/>
    <s v="JC"/>
    <n v="1280.52"/>
    <d v="2025-01-31T00:00:00"/>
    <s v="PROV. CS SUR VARIABLES 2025"/>
    <m/>
    <e v="#N/A"/>
    <e v="#N/A"/>
    <n v="85593"/>
    <s v="Prov. Variables 2025"/>
    <m/>
    <s v="Q1"/>
    <e v="#REF!"/>
    <e v="#REF!"/>
    <e v="#REF!"/>
  </r>
  <r>
    <s v="645920"/>
    <x v="6"/>
    <s v="CHARGES SOC.S/PROV. VARIABLES"/>
    <s v="JC"/>
    <n v="1767.65"/>
    <d v="2025-03-31T00:00:00"/>
    <s v="PROV. CS SUR VARIABLES 2025"/>
    <m/>
    <e v="#N/A"/>
    <e v="#N/A"/>
    <n v="85636"/>
    <s v="Prov. Variables 2025"/>
    <m/>
    <s v="Q1"/>
    <e v="#REF!"/>
    <e v="#REF!"/>
    <e v="#REF!"/>
  </r>
  <r>
    <s v="645920"/>
    <x v="6"/>
    <s v="CHARGES SOC.S/PROV. VARIABLES"/>
    <s v="JC"/>
    <n v="2037.06"/>
    <d v="2025-01-31T00:00:00"/>
    <s v="PROV. CS SUR VARIABLES 2025"/>
    <m/>
    <e v="#N/A"/>
    <e v="#N/A"/>
    <n v="85594"/>
    <s v="Prov. Variables 2025"/>
    <m/>
    <s v="Q1"/>
    <e v="#REF!"/>
    <e v="#REF!"/>
    <e v="#REF!"/>
  </r>
  <r>
    <s v="645920"/>
    <x v="6"/>
    <s v="CHARGES SOC.S/PROV. VARIABLES"/>
    <s v="JC"/>
    <n v="2356.86"/>
    <d v="2025-04-30T00:00:00"/>
    <s v="PROV. CS SUR VARIABLES 2025"/>
    <m/>
    <e v="#N/A"/>
    <e v="#N/A"/>
    <n v="85656"/>
    <s v="Prov. Variables 2025"/>
    <m/>
    <s v="Q2"/>
    <e v="#REF!"/>
    <e v="#REF!"/>
    <e v="#REF!"/>
  </r>
  <r>
    <s v="645920"/>
    <x v="6"/>
    <s v="CHARGES SOC.S/PROV. VARIABLES"/>
    <s v="JC"/>
    <n v="2561.0500000000002"/>
    <d v="2025-02-28T00:00:00"/>
    <s v="PROV. CS SUR VARIABLES 2025"/>
    <m/>
    <e v="#N/A"/>
    <e v="#N/A"/>
    <n v="85613"/>
    <s v="Prov. Variables 2025"/>
    <m/>
    <s v="Q1"/>
    <e v="#REF!"/>
    <e v="#REF!"/>
    <e v="#REF!"/>
  </r>
  <r>
    <s v="645920"/>
    <x v="6"/>
    <s v="CHARGES SOC.S/PROV. VARIABLES"/>
    <s v="JC"/>
    <n v="2946.08"/>
    <d v="2025-05-31T00:00:00"/>
    <s v="PROV. CS SUR VARIABLES 2025"/>
    <m/>
    <e v="#N/A"/>
    <e v="#N/A"/>
    <n v="85676"/>
    <s v="Prov. Variables 2025"/>
    <m/>
    <s v="Q2"/>
    <e v="#REF!"/>
    <e v="#REF!"/>
    <e v="#REF!"/>
  </r>
  <r>
    <s v="645920"/>
    <x v="6"/>
    <s v="CHARGES SOC.S/PROV. VARIABLES"/>
    <s v="JC"/>
    <n v="3535.29"/>
    <d v="2025-06-30T00:00:00"/>
    <s v="PROV. CS SUR VARIABLES 2025"/>
    <m/>
    <e v="#N/A"/>
    <e v="#N/A"/>
    <n v="85696"/>
    <s v="Prov. Variables 2025"/>
    <m/>
    <s v="Q2"/>
    <e v="#REF!"/>
    <e v="#REF!"/>
    <e v="#REF!"/>
  </r>
  <r>
    <s v="645920"/>
    <x v="6"/>
    <s v="CHARGES SOC.S/PROV. VARIABLES"/>
    <s v="JC"/>
    <n v="3841.58"/>
    <d v="2025-03-31T00:00:00"/>
    <s v="PROV. CS SUR VARIABLES 2025"/>
    <m/>
    <e v="#N/A"/>
    <e v="#N/A"/>
    <n v="85633"/>
    <s v="Prov. Variables 2025"/>
    <m/>
    <s v="Q1"/>
    <e v="#REF!"/>
    <e v="#REF!"/>
    <e v="#REF!"/>
  </r>
  <r>
    <s v="645920"/>
    <x v="6"/>
    <s v="CHARGES SOC.S/PROV. VARIABLES"/>
    <s v="JC"/>
    <n v="4074.13"/>
    <d v="2025-02-28T00:00:00"/>
    <s v="PROV. CS SUR VARIABLES 2025"/>
    <m/>
    <e v="#N/A"/>
    <e v="#N/A"/>
    <n v="85614"/>
    <s v="Prov. Variables 2025"/>
    <m/>
    <s v="Q1"/>
    <e v="#REF!"/>
    <e v="#REF!"/>
    <e v="#REF!"/>
  </r>
  <r>
    <s v="645920"/>
    <x v="6"/>
    <s v="CHARGES SOC.S/PROV. VARIABLES"/>
    <s v="JC"/>
    <n v="4124.51"/>
    <d v="2025-07-31T00:00:00"/>
    <s v="PROV. CS SUR VARIABLES 2025"/>
    <m/>
    <e v="#N/A"/>
    <e v="#N/A"/>
    <n v="85716"/>
    <s v="Prov. Variables 2025"/>
    <m/>
    <s v="Q3"/>
    <e v="#REF!"/>
    <e v="#REF!"/>
    <e v="#REF!"/>
  </r>
  <r>
    <s v="645920"/>
    <x v="6"/>
    <s v="CHARGES SOC.S/PROV. VARIABLES"/>
    <s v="JC"/>
    <n v="4713.72"/>
    <d v="2025-08-31T00:00:00"/>
    <s v="PROV. CS SUR VARIABLES 2025"/>
    <m/>
    <e v="#N/A"/>
    <e v="#N/A"/>
    <n v="85736"/>
    <s v="Prov. Variables 2025"/>
    <m/>
    <s v="Q3"/>
    <e v="#REF!"/>
    <e v="#REF!"/>
    <e v="#REF!"/>
  </r>
  <r>
    <s v="645920"/>
    <x v="6"/>
    <s v="CHARGES SOC.S/PROV. VARIABLES"/>
    <s v="JC"/>
    <n v="5122.1000000000004"/>
    <d v="2025-04-30T00:00:00"/>
    <s v="PROV. CS SUR VARIABLES 2025"/>
    <m/>
    <e v="#N/A"/>
    <e v="#N/A"/>
    <n v="85653"/>
    <s v="Prov. Variables 2025"/>
    <m/>
    <s v="Q2"/>
    <e v="#REF!"/>
    <e v="#REF!"/>
    <e v="#REF!"/>
  </r>
  <r>
    <s v="645920"/>
    <x v="6"/>
    <s v="CHARGES SOC.S/PROV. VARIABLES"/>
    <s v="JC"/>
    <n v="5302.94"/>
    <d v="2025-09-30T00:00:00"/>
    <s v="PROV. CS SUR VARIABLES 2025"/>
    <m/>
    <e v="#N/A"/>
    <e v="#N/A"/>
    <n v="85756"/>
    <s v="Prov. Variables 2025"/>
    <m/>
    <s v="Q3"/>
    <e v="#REF!"/>
    <e v="#REF!"/>
    <e v="#REF!"/>
  </r>
  <r>
    <s v="645920"/>
    <x v="6"/>
    <s v="CHARGES SOC.S/PROV. VARIABLES"/>
    <s v="JC"/>
    <n v="5763.56"/>
    <d v="2025-01-31T00:00:00"/>
    <s v="PROV. CS SUR VARIABLES 2025"/>
    <m/>
    <e v="#N/A"/>
    <e v="#N/A"/>
    <n v="85595"/>
    <s v="Prov. Variables 2025"/>
    <m/>
    <s v="Q1"/>
    <e v="#REF!"/>
    <e v="#REF!"/>
    <e v="#REF!"/>
  </r>
  <r>
    <s v="645920"/>
    <x v="6"/>
    <s v="CHARGES SOC.S/PROV. VARIABLES"/>
    <s v="JC"/>
    <n v="5892.15"/>
    <d v="2025-10-31T00:00:00"/>
    <s v="PROV. CS SUR VARIABLES 2025"/>
    <m/>
    <e v="#N/A"/>
    <e v="#N/A"/>
    <n v="85776"/>
    <s v="Prov. Variables 2025"/>
    <m/>
    <s v="Q4"/>
    <e v="#REF!"/>
    <e v="#REF!"/>
    <e v="#REF!"/>
  </r>
  <r>
    <s v="645920"/>
    <x v="6"/>
    <s v="CHARGES SOC.S/PROV. VARIABLES"/>
    <s v="JC"/>
    <n v="6111.19"/>
    <d v="2025-03-31T00:00:00"/>
    <s v="PROV. CS SUR VARIABLES 2025"/>
    <m/>
    <e v="#N/A"/>
    <e v="#N/A"/>
    <n v="85634"/>
    <s v="Prov. Variables 2025"/>
    <m/>
    <s v="Q1"/>
    <e v="#REF!"/>
    <e v="#REF!"/>
    <e v="#REF!"/>
  </r>
  <r>
    <s v="645920"/>
    <x v="6"/>
    <s v="CHARGES SOC.S/PROV. VARIABLES"/>
    <s v="JC"/>
    <n v="6402.63"/>
    <d v="2025-05-31T00:00:00"/>
    <s v="PROV. CS SUR VARIABLES 2025"/>
    <m/>
    <e v="#N/A"/>
    <e v="#N/A"/>
    <n v="85673"/>
    <s v="Prov. Variables 2025"/>
    <m/>
    <s v="Q2"/>
    <e v="#REF!"/>
    <e v="#REF!"/>
    <e v="#REF!"/>
  </r>
  <r>
    <s v="645920"/>
    <x v="6"/>
    <s v="CHARGES SOC.S/PROV. VARIABLES"/>
    <s v="JC"/>
    <n v="6481.37"/>
    <d v="2025-11-30T00:00:00"/>
    <s v="PROV. CS SUR VARIABLES 2025"/>
    <m/>
    <e v="#N/A"/>
    <e v="#N/A"/>
    <n v="85796"/>
    <s v="Prov. Variables 2025"/>
    <m/>
    <s v="Q4"/>
    <e v="#REF!"/>
    <e v="#REF!"/>
    <e v="#REF!"/>
  </r>
  <r>
    <s v="645920"/>
    <x v="6"/>
    <s v="CHARGES SOC.S/PROV. VARIABLES"/>
    <s v="JC"/>
    <n v="7070.58"/>
    <d v="2025-12-31T00:00:00"/>
    <s v="PROV. CS SUR VARIABLES 2025"/>
    <m/>
    <e v="#N/A"/>
    <e v="#N/A"/>
    <n v="85816"/>
    <s v="Prov. Variables 2025"/>
    <m/>
    <s v="Q4"/>
    <e v="#REF!"/>
    <e v="#REF!"/>
    <e v="#REF!"/>
  </r>
  <r>
    <s v="645920"/>
    <x v="6"/>
    <s v="CHARGES SOC.S/PROV. VARIABLES"/>
    <s v="JC"/>
    <n v="7683.15"/>
    <d v="2025-06-30T00:00:00"/>
    <s v="PROV. CS SUR VARIABLES 2025"/>
    <m/>
    <e v="#N/A"/>
    <e v="#N/A"/>
    <n v="85693"/>
    <s v="Prov. Variables 2025"/>
    <m/>
    <s v="Q2"/>
    <e v="#REF!"/>
    <e v="#REF!"/>
    <e v="#REF!"/>
  </r>
  <r>
    <s v="645920"/>
    <x v="6"/>
    <s v="CHARGES SOC.S/PROV. VARIABLES"/>
    <s v="JC"/>
    <n v="8148.26"/>
    <d v="2025-04-30T00:00:00"/>
    <s v="PROV. CS SUR VARIABLES 2025"/>
    <m/>
    <e v="#N/A"/>
    <e v="#N/A"/>
    <n v="85654"/>
    <s v="Prov. Variables 2025"/>
    <m/>
    <s v="Q2"/>
    <e v="#REF!"/>
    <e v="#REF!"/>
    <e v="#REF!"/>
  </r>
  <r>
    <s v="645920"/>
    <x v="6"/>
    <s v="CHARGES SOC.S/PROV. VARIABLES"/>
    <s v="JC"/>
    <n v="8963.68"/>
    <d v="2025-07-31T00:00:00"/>
    <s v="PROV. CS SUR VARIABLES 2025"/>
    <m/>
    <e v="#N/A"/>
    <e v="#N/A"/>
    <n v="85713"/>
    <s v="Prov. Variables 2025"/>
    <m/>
    <s v="Q3"/>
    <e v="#REF!"/>
    <e v="#REF!"/>
    <e v="#REF!"/>
  </r>
  <r>
    <s v="645920"/>
    <x v="6"/>
    <s v="CHARGES SOC.S/PROV. VARIABLES"/>
    <s v="JC"/>
    <n v="10185.32"/>
    <d v="2025-05-31T00:00:00"/>
    <s v="PROV. CS SUR VARIABLES 2025"/>
    <m/>
    <e v="#N/A"/>
    <e v="#N/A"/>
    <n v="85674"/>
    <s v="Prov. Variables 2025"/>
    <m/>
    <s v="Q2"/>
    <e v="#REF!"/>
    <e v="#REF!"/>
    <e v="#REF!"/>
  </r>
  <r>
    <s v="645920"/>
    <x v="6"/>
    <s v="CHARGES SOC.S/PROV. VARIABLES"/>
    <s v="JC"/>
    <n v="10244.200000000001"/>
    <d v="2025-08-31T00:00:00"/>
    <s v="PROV. CS SUR VARIABLES 2025"/>
    <m/>
    <e v="#N/A"/>
    <e v="#N/A"/>
    <n v="85733"/>
    <s v="Prov. Variables 2025"/>
    <m/>
    <s v="Q3"/>
    <e v="#REF!"/>
    <e v="#REF!"/>
    <e v="#REF!"/>
  </r>
  <r>
    <s v="645920"/>
    <x v="6"/>
    <s v="CHARGES SOC.S/PROV. VARIABLES"/>
    <s v="JC"/>
    <n v="11524.73"/>
    <d v="2025-09-30T00:00:00"/>
    <s v="PROV. CS SUR VARIABLES 2025"/>
    <m/>
    <e v="#N/A"/>
    <e v="#N/A"/>
    <n v="85753"/>
    <s v="Prov. Variables 2025"/>
    <m/>
    <s v="Q3"/>
    <e v="#REF!"/>
    <e v="#REF!"/>
    <e v="#REF!"/>
  </r>
  <r>
    <s v="645920"/>
    <x v="6"/>
    <s v="CHARGES SOC.S/PROV. VARIABLES"/>
    <s v="JC"/>
    <n v="11527.12"/>
    <d v="2025-02-28T00:00:00"/>
    <s v="PROV. CS SUR VARIABLES 2025"/>
    <m/>
    <e v="#N/A"/>
    <e v="#N/A"/>
    <n v="85615"/>
    <s v="Prov. Variables 2025"/>
    <m/>
    <s v="Q1"/>
    <e v="#REF!"/>
    <e v="#REF!"/>
    <e v="#REF!"/>
  </r>
  <r>
    <s v="645920"/>
    <x v="6"/>
    <s v="CHARGES SOC.S/PROV. VARIABLES"/>
    <s v="JC"/>
    <n v="12222.39"/>
    <d v="2025-06-30T00:00:00"/>
    <s v="PROV. CS SUR VARIABLES 2025"/>
    <m/>
    <e v="#N/A"/>
    <e v="#N/A"/>
    <n v="85694"/>
    <s v="Prov. Variables 2025"/>
    <m/>
    <s v="Q2"/>
    <e v="#REF!"/>
    <e v="#REF!"/>
    <e v="#REF!"/>
  </r>
  <r>
    <s v="645920"/>
    <x v="6"/>
    <s v="CHARGES SOC.S/PROV. VARIABLES"/>
    <s v="JC"/>
    <n v="12805.25"/>
    <d v="2025-10-31T00:00:00"/>
    <s v="PROV. CS SUR VARIABLES 2025"/>
    <m/>
    <e v="#N/A"/>
    <e v="#N/A"/>
    <n v="85773"/>
    <s v="Prov. Variables 2025"/>
    <m/>
    <s v="Q4"/>
    <e v="#REF!"/>
    <e v="#REF!"/>
    <e v="#REF!"/>
  </r>
  <r>
    <s v="645920"/>
    <x v="6"/>
    <s v="CHARGES SOC.S/PROV. VARIABLES"/>
    <s v="JC"/>
    <n v="14085.78"/>
    <d v="2025-11-30T00:00:00"/>
    <s v="PROV. CS SUR VARIABLES 2025"/>
    <m/>
    <e v="#N/A"/>
    <e v="#N/A"/>
    <n v="85793"/>
    <s v="Prov. Variables 2025"/>
    <m/>
    <s v="Q4"/>
    <e v="#REF!"/>
    <e v="#REF!"/>
    <e v="#REF!"/>
  </r>
  <r>
    <s v="645920"/>
    <x v="6"/>
    <s v="CHARGES SOC.S/PROV. VARIABLES"/>
    <s v="JC"/>
    <n v="14259.45"/>
    <d v="2025-07-31T00:00:00"/>
    <s v="PROV. CS SUR VARIABLES 2025"/>
    <m/>
    <e v="#N/A"/>
    <e v="#N/A"/>
    <n v="85714"/>
    <s v="Prov. Variables 2025"/>
    <m/>
    <s v="Q3"/>
    <e v="#REF!"/>
    <e v="#REF!"/>
    <e v="#REF!"/>
  </r>
  <r>
    <s v="645920"/>
    <x v="6"/>
    <s v="CHARGES SOC.S/PROV. VARIABLES"/>
    <s v="JC"/>
    <n v="15366.3"/>
    <d v="2025-12-31T00:00:00"/>
    <s v="PROV. CS SUR VARIABLES 2025"/>
    <m/>
    <e v="#N/A"/>
    <e v="#N/A"/>
    <n v="85813"/>
    <s v="Prov. Variables 2025"/>
    <m/>
    <s v="Q4"/>
    <e v="#REF!"/>
    <e v="#REF!"/>
    <e v="#REF!"/>
  </r>
  <r>
    <s v="645920"/>
    <x v="6"/>
    <s v="CHARGES SOC.S/PROV. VARIABLES"/>
    <s v="JC"/>
    <n v="16296.52"/>
    <d v="2025-08-31T00:00:00"/>
    <s v="PROV. CS SUR VARIABLES 2025"/>
    <m/>
    <e v="#N/A"/>
    <e v="#N/A"/>
    <n v="85734"/>
    <s v="Prov. Variables 2025"/>
    <m/>
    <s v="Q3"/>
    <e v="#REF!"/>
    <e v="#REF!"/>
    <e v="#REF!"/>
  </r>
  <r>
    <s v="645920"/>
    <x v="6"/>
    <s v="CHARGES SOC.S/PROV. VARIABLES"/>
    <s v="JC"/>
    <n v="17290.669999999998"/>
    <d v="2025-03-31T00:00:00"/>
    <s v="PROV. CS SUR VARIABLES 2025"/>
    <m/>
    <e v="#N/A"/>
    <e v="#N/A"/>
    <n v="85635"/>
    <s v="Prov. Variables 2025"/>
    <m/>
    <s v="Q1"/>
    <e v="#REF!"/>
    <e v="#REF!"/>
    <e v="#REF!"/>
  </r>
  <r>
    <s v="645920"/>
    <x v="6"/>
    <s v="CHARGES SOC.S/PROV. VARIABLES"/>
    <s v="JC"/>
    <n v="18333.580000000002"/>
    <d v="2025-09-30T00:00:00"/>
    <s v="PROV. CS SUR VARIABLES 2025"/>
    <m/>
    <e v="#N/A"/>
    <e v="#N/A"/>
    <n v="85754"/>
    <s v="Prov. Variables 2025"/>
    <m/>
    <s v="Q3"/>
    <e v="#REF!"/>
    <e v="#REF!"/>
    <e v="#REF!"/>
  </r>
  <r>
    <s v="645920"/>
    <x v="6"/>
    <s v="CHARGES SOC.S/PROV. VARIABLES"/>
    <s v="JC"/>
    <n v="20370.64"/>
    <d v="2025-10-31T00:00:00"/>
    <s v="PROV. CS SUR VARIABLES 2025"/>
    <m/>
    <e v="#N/A"/>
    <e v="#N/A"/>
    <n v="85774"/>
    <s v="Prov. Variables 2025"/>
    <m/>
    <s v="Q4"/>
    <e v="#REF!"/>
    <e v="#REF!"/>
    <e v="#REF!"/>
  </r>
  <r>
    <s v="645920"/>
    <x v="6"/>
    <s v="CHARGES SOC.S/PROV. VARIABLES"/>
    <s v="JC"/>
    <n v="22407.71"/>
    <d v="2025-11-30T00:00:00"/>
    <s v="PROV. CS SUR VARIABLES 2025"/>
    <m/>
    <e v="#N/A"/>
    <e v="#N/A"/>
    <n v="85794"/>
    <s v="Prov. Variables 2025"/>
    <m/>
    <s v="Q4"/>
    <e v="#REF!"/>
    <e v="#REF!"/>
    <e v="#REF!"/>
  </r>
  <r>
    <s v="645920"/>
    <x v="6"/>
    <s v="CHARGES SOC.S/PROV. VARIABLES"/>
    <s v="JC"/>
    <n v="23054.23"/>
    <d v="2025-04-30T00:00:00"/>
    <s v="PROV. CS SUR VARIABLES 2025"/>
    <m/>
    <e v="#N/A"/>
    <e v="#N/A"/>
    <n v="85655"/>
    <s v="Prov. Variables 2025"/>
    <m/>
    <s v="Q2"/>
    <e v="#REF!"/>
    <e v="#REF!"/>
    <e v="#REF!"/>
  </r>
  <r>
    <s v="645920"/>
    <x v="6"/>
    <s v="CHARGES SOC.S/PROV. VARIABLES"/>
    <s v="JC"/>
    <n v="24444.77"/>
    <d v="2025-12-31T00:00:00"/>
    <s v="PROV. CS SUR VARIABLES 2025"/>
    <m/>
    <e v="#N/A"/>
    <e v="#N/A"/>
    <n v="85814"/>
    <s v="Prov. Variables 2025"/>
    <m/>
    <s v="Q4"/>
    <e v="#REF!"/>
    <e v="#REF!"/>
    <e v="#REF!"/>
  </r>
  <r>
    <s v="645920"/>
    <x v="6"/>
    <s v="CHARGES SOC.S/PROV. VARIABLES"/>
    <s v="JC"/>
    <n v="28817.79"/>
    <d v="2025-05-31T00:00:00"/>
    <s v="PROV. CS SUR VARIABLES 2025"/>
    <m/>
    <e v="#N/A"/>
    <e v="#N/A"/>
    <n v="85675"/>
    <s v="Prov. Variables 2025"/>
    <m/>
    <s v="Q2"/>
    <e v="#REF!"/>
    <e v="#REF!"/>
    <e v="#REF!"/>
  </r>
  <r>
    <s v="645920"/>
    <x v="6"/>
    <s v="CHARGES SOC.S/PROV. VARIABLES"/>
    <s v="JC"/>
    <n v="34581.35"/>
    <d v="2025-06-30T00:00:00"/>
    <s v="PROV. CS SUR VARIABLES 2025"/>
    <m/>
    <e v="#N/A"/>
    <e v="#N/A"/>
    <n v="85695"/>
    <s v="Prov. Variables 2025"/>
    <m/>
    <s v="Q2"/>
    <e v="#REF!"/>
    <e v="#REF!"/>
    <e v="#REF!"/>
  </r>
  <r>
    <s v="645920"/>
    <x v="6"/>
    <s v="CHARGES SOC.S/PROV. VARIABLES"/>
    <s v="JC"/>
    <n v="40344.9"/>
    <d v="2025-07-31T00:00:00"/>
    <s v="PROV. CS SUR VARIABLES 2025"/>
    <m/>
    <e v="#N/A"/>
    <e v="#N/A"/>
    <n v="85715"/>
    <s v="Prov. Variables 2025"/>
    <m/>
    <s v="Q3"/>
    <e v="#REF!"/>
    <e v="#REF!"/>
    <e v="#REF!"/>
  </r>
  <r>
    <s v="645920"/>
    <x v="6"/>
    <s v="CHARGES SOC.S/PROV. VARIABLES"/>
    <s v="JC"/>
    <n v="46108.47"/>
    <d v="2025-08-31T00:00:00"/>
    <s v="PROV. CS SUR VARIABLES 2025"/>
    <m/>
    <e v="#N/A"/>
    <e v="#N/A"/>
    <n v="85735"/>
    <s v="Prov. Variables 2025"/>
    <m/>
    <s v="Q3"/>
    <e v="#REF!"/>
    <e v="#REF!"/>
    <e v="#REF!"/>
  </r>
  <r>
    <s v="645920"/>
    <x v="6"/>
    <s v="CHARGES SOC.S/PROV. VARIABLES"/>
    <s v="JC"/>
    <n v="51872.02"/>
    <d v="2025-09-30T00:00:00"/>
    <s v="PROV. CS SUR VARIABLES 2025"/>
    <m/>
    <e v="#N/A"/>
    <e v="#N/A"/>
    <n v="85755"/>
    <s v="Prov. Variables 2025"/>
    <m/>
    <s v="Q3"/>
    <e v="#REF!"/>
    <e v="#REF!"/>
    <e v="#REF!"/>
  </r>
  <r>
    <s v="645920"/>
    <x v="6"/>
    <s v="CHARGES SOC.S/PROV. VARIABLES"/>
    <s v="JC"/>
    <n v="57635.59"/>
    <d v="2025-10-31T00:00:00"/>
    <s v="PROV. CS SUR VARIABLES 2025"/>
    <m/>
    <e v="#N/A"/>
    <e v="#N/A"/>
    <n v="85775"/>
    <s v="Prov. Variables 2025"/>
    <m/>
    <s v="Q4"/>
    <e v="#REF!"/>
    <e v="#REF!"/>
    <e v="#REF!"/>
  </r>
  <r>
    <s v="645920"/>
    <x v="6"/>
    <s v="CHARGES SOC.S/PROV. VARIABLES"/>
    <s v="JC"/>
    <n v="63399.14"/>
    <d v="2025-11-30T00:00:00"/>
    <s v="PROV. CS SUR VARIABLES 2025"/>
    <m/>
    <e v="#N/A"/>
    <e v="#N/A"/>
    <n v="85795"/>
    <s v="Prov. Variables 2025"/>
    <m/>
    <s v="Q4"/>
    <e v="#REF!"/>
    <e v="#REF!"/>
    <e v="#REF!"/>
  </r>
  <r>
    <s v="645920"/>
    <x v="6"/>
    <s v="CHARGES SOC.S/PROV. VARIABLES"/>
    <s v="JC"/>
    <n v="69162.710000000006"/>
    <d v="2025-12-31T00:00:00"/>
    <s v="PROV. CS SUR VARIABLES 2025"/>
    <m/>
    <e v="#N/A"/>
    <e v="#N/A"/>
    <n v="85815"/>
    <s v="Prov. Variables 2025"/>
    <m/>
    <s v="Q4"/>
    <e v="#REF!"/>
    <e v="#REF!"/>
    <e v="#REF!"/>
  </r>
  <r>
    <s v="647010"/>
    <x v="6"/>
    <s v="CHARGES SOC.S/PROV.  AUTRES"/>
    <s v="JC"/>
    <n v="-7305"/>
    <d v="2025-03-01T00:00:00"/>
    <s v="Extourne CS sur Provision précarité"/>
    <m/>
    <e v="#N/A"/>
    <e v="#N/A"/>
    <n v="72242"/>
    <m/>
    <m/>
    <s v="Q1"/>
    <e v="#REF!"/>
    <e v="#REF!"/>
    <e v="#REF!"/>
  </r>
  <r>
    <s v="647510"/>
    <x v="6"/>
    <s v="Médecine du travail"/>
    <s v="AC"/>
    <n v="93"/>
    <d v="2025-07-31T00:00:00"/>
    <s v="MÉDECINE DU TRAVAIL"/>
    <m/>
    <e v="#N/A"/>
    <e v="#N/A"/>
    <n v="80660"/>
    <s v="25042280"/>
    <s v="PREVALY"/>
    <s v="Q3"/>
    <e v="#REF!"/>
    <e v="#REF!"/>
    <e v="#REF!"/>
  </r>
  <r>
    <s v="647510"/>
    <x v="6"/>
    <s v="Médecine du travail"/>
    <s v="AC"/>
    <n v="93"/>
    <d v="2025-09-30T00:00:00"/>
    <s v="COTISATION ANNUELLE"/>
    <m/>
    <e v="#N/A"/>
    <e v="#N/A"/>
    <n v="82782"/>
    <s v="25048482"/>
    <s v="PREVALY"/>
    <s v="Q3"/>
    <e v="#REF!"/>
    <e v="#REF!"/>
    <e v="#REF!"/>
  </r>
  <r>
    <s v="647510"/>
    <x v="6"/>
    <s v="Médecine du travail"/>
    <s v="AC"/>
    <n v="390"/>
    <d v="2025-12-31T00:00:00"/>
    <s v="VISITES MÉDICALES"/>
    <m/>
    <e v="#N/A"/>
    <e v="#N/A"/>
    <n v="95740"/>
    <s v="2545823"/>
    <s v="CIAMT"/>
    <s v="Q4"/>
    <e v="#REF!"/>
    <e v="#REF!"/>
    <e v="#REF!"/>
  </r>
  <r>
    <s v="647510"/>
    <x v="6"/>
    <s v="Médecine du travail"/>
    <s v="AC"/>
    <n v="1488"/>
    <d v="2025-01-17T00:00:00"/>
    <s v="COTISATION ANNUELLE"/>
    <m/>
    <e v="#N/A"/>
    <e v="#N/A"/>
    <n v="72517"/>
    <s v="25009518"/>
    <s v="PREVALY"/>
    <s v="Q1"/>
    <e v="#REF!"/>
    <e v="#REF!"/>
    <e v="#REF!"/>
  </r>
  <r>
    <s v="647510"/>
    <x v="6"/>
    <s v="Médecine du travail"/>
    <s v="AC"/>
    <n v="1950"/>
    <d v="2025-01-18T00:00:00"/>
    <s v="DÉCLARATION D'EFFECTIF"/>
    <m/>
    <e v="#N/A"/>
    <e v="#N/A"/>
    <n v="61274"/>
    <s v="2512909"/>
    <s v="CIAMT"/>
    <s v="Q1"/>
    <e v="#REF!"/>
    <e v="#REF!"/>
    <e v="#REF!"/>
  </r>
  <r>
    <s v="651100"/>
    <x v="13"/>
    <s v="REDEVANCES POUR CONCESSIONS,BREVETS"/>
    <s v="AC"/>
    <n v="32.5"/>
    <d v="2025-02-06T00:00:00"/>
    <s v="PDF ARCHITECT V9 POUR DIRECTION FINANCIÈRE"/>
    <m/>
    <s v="Non"/>
    <e v="#N/A"/>
    <n v="61428"/>
    <s v="106"/>
    <s v="DIVERS"/>
    <s v="Q1"/>
    <e v="#REF!"/>
    <e v="#REF!"/>
    <e v="#REF!"/>
  </r>
  <r>
    <s v="651100"/>
    <x v="13"/>
    <s v="REDEVANCES POUR CONCESSIONS,BREVETS"/>
    <s v="BPRI"/>
    <n v="23.99"/>
    <d v="2025-01-09T00:00:00"/>
    <s v="080125 CB    5564"/>
    <m/>
    <e v="#N/A"/>
    <e v="#N/A"/>
    <n v="20930"/>
    <s v="0G1LAYM"/>
    <m/>
    <s v="Q1"/>
    <e v="#REF!"/>
    <e v="#REF!"/>
    <e v="#REF!"/>
  </r>
  <r>
    <s v="651100"/>
    <x v="13"/>
    <s v="REDEVANCES POUR CONCESSIONS,BREVETS"/>
    <s v="BPRI"/>
    <n v="23.99"/>
    <d v="2025-02-10T00:00:00"/>
    <s v="080225 CB    5564"/>
    <m/>
    <e v="#N/A"/>
    <e v="#N/A"/>
    <n v="21260"/>
    <s v="1WYSIGJ"/>
    <m/>
    <s v="Q1"/>
    <e v="#REF!"/>
    <e v="#REF!"/>
    <e v="#REF!"/>
  </r>
  <r>
    <s v="651100"/>
    <x v="13"/>
    <s v="REDEVANCES POUR CONCESSIONS,BREVETS"/>
    <s v="BPRI"/>
    <n v="23.99"/>
    <d v="2025-03-10T00:00:00"/>
    <s v="CB PASSIM - Adobe"/>
    <m/>
    <e v="#N/A"/>
    <e v="#N/A"/>
    <n v="60092"/>
    <m/>
    <m/>
    <s v="Q1"/>
    <e v="#REF!"/>
    <e v="#REF!"/>
    <e v="#REF!"/>
  </r>
  <r>
    <s v="651100"/>
    <x v="13"/>
    <s v="REDEVANCES POUR CONCESSIONS,BREVETS"/>
    <s v="BPRI"/>
    <n v="23.99"/>
    <d v="2025-04-09T00:00:00"/>
    <s v="Adobe - CB PASSIM"/>
    <m/>
    <e v="#N/A"/>
    <e v="#N/A"/>
    <n v="66716"/>
    <m/>
    <m/>
    <s v="Q2"/>
    <e v="#REF!"/>
    <e v="#REF!"/>
    <e v="#REF!"/>
  </r>
  <r>
    <s v="651100"/>
    <x v="13"/>
    <s v="REDEVANCES POUR CONCESSIONS,BREVETS"/>
    <s v="BPRI"/>
    <n v="23.99"/>
    <d v="2025-05-08T00:00:00"/>
    <s v="Paiement CB 5564 Adobe "/>
    <m/>
    <e v="#N/A"/>
    <e v="#N/A"/>
    <n v="71715"/>
    <m/>
    <m/>
    <s v="Q2"/>
    <e v="#REF!"/>
    <e v="#REF!"/>
    <e v="#REF!"/>
  </r>
  <r>
    <s v="656000"/>
    <x v="6"/>
    <s v="PERTES DE CHANGE SUR CRÉANCES ET DETTES COMMERCIALES"/>
    <s v="BPRI"/>
    <n v="-151.1"/>
    <d v="2025-08-18T00:00:00"/>
    <s v="Ecart de change NB"/>
    <m/>
    <e v="#N/A"/>
    <e v="#N/A"/>
    <n v="81183"/>
    <m/>
    <m/>
    <s v="Q3"/>
    <e v="#REF!"/>
    <e v="#REF!"/>
    <e v="#REF!"/>
  </r>
  <r>
    <s v="656000"/>
    <x v="6"/>
    <s v="PERTES DE CHANGE SUR CRÉANCES ET DETTES COMMERCIALES"/>
    <s v="BPRI"/>
    <n v="-111.89"/>
    <d v="2025-08-18T00:00:00"/>
    <s v="Ecart de change TC"/>
    <m/>
    <e v="#N/A"/>
    <e v="#N/A"/>
    <n v="81186"/>
    <m/>
    <m/>
    <s v="Q3"/>
    <e v="#REF!"/>
    <e v="#REF!"/>
    <e v="#REF!"/>
  </r>
  <r>
    <s v="656000"/>
    <x v="6"/>
    <s v="PERTES DE CHANGE SUR CRÉANCES ET DETTES COMMERCIALES"/>
    <s v="BPRI"/>
    <n v="6.85"/>
    <d v="2025-02-25T00:00:00"/>
    <s v="2LCW2IE"/>
    <m/>
    <s v="Non"/>
    <e v="#N/A"/>
    <n v="71737"/>
    <s v="2LCW2IE"/>
    <s v="DIVERS"/>
    <s v="Q1"/>
    <e v="#REF!"/>
    <e v="#REF!"/>
    <e v="#REF!"/>
  </r>
  <r>
    <s v="656000"/>
    <x v="6"/>
    <s v="PERTES DE CHANGE SUR CRÉANCES ET DETTES COMMERCIALES"/>
    <s v="BPRI"/>
    <n v="15"/>
    <d v="2025-02-11T00:00:00"/>
    <s v="A2B3FL1"/>
    <m/>
    <e v="#N/A"/>
    <e v="#N/A"/>
    <n v="72274"/>
    <s v="A2B3FL1"/>
    <s v="CITIZENS OF HUMANITY LLC"/>
    <s v="Q1"/>
    <e v="#REF!"/>
    <e v="#REF!"/>
    <e v="#REF!"/>
  </r>
  <r>
    <s v="656000"/>
    <x v="6"/>
    <s v="PERTES DE CHANGE SUR CRÉANCES ET DETTES COMMERCIALES"/>
    <s v="OD"/>
    <n v="-0.96"/>
    <d v="2025-04-30T00:00:00"/>
    <s v="Lettrage devise 467100"/>
    <m/>
    <e v="#N/A"/>
    <e v="#N/A"/>
    <n v="74735"/>
    <m/>
    <m/>
    <s v="Q2"/>
    <e v="#REF!"/>
    <e v="#REF!"/>
    <e v="#REF!"/>
  </r>
  <r>
    <s v="656000"/>
    <x v="6"/>
    <s v="PERTES DE CHANGE SUR CRÉANCES ET DETTES COMMERCIALES"/>
    <s v="OD"/>
    <n v="0.01"/>
    <d v="2025-09-01T00:00:00"/>
    <s v="Ecart de change"/>
    <m/>
    <e v="#N/A"/>
    <e v="#N/A"/>
    <n v="94622"/>
    <m/>
    <s v="AMERICAN CHEMICAL SOCIETY"/>
    <s v="Q3"/>
    <e v="#REF!"/>
    <e v="#REF!"/>
    <e v="#REF!"/>
  </r>
  <r>
    <s v="656000"/>
    <x v="6"/>
    <s v="PERTES DE CHANGE SUR CRÉANCES ET DETTES COMMERCIALES"/>
    <s v="OD"/>
    <n v="0.01"/>
    <d v="2025-12-01T00:00:00"/>
    <s v="Ecart de change"/>
    <m/>
    <e v="#N/A"/>
    <e v="#N/A"/>
    <n v="94624"/>
    <m/>
    <s v="AMERICAN CHEMICAL SOCIETY"/>
    <s v="Q4"/>
    <e v="#REF!"/>
    <e v="#REF!"/>
    <e v="#REF!"/>
  </r>
  <r>
    <s v="656000"/>
    <x v="6"/>
    <s v="PERTES DE CHANGE SUR CRÉANCES ET DETTES COMMERCIALES"/>
    <s v="OD"/>
    <n v="0.03"/>
    <d v="2025-03-03T00:00:00"/>
    <s v="Ecart de règlement"/>
    <m/>
    <e v="#N/A"/>
    <e v="#N/A"/>
    <n v="63839"/>
    <m/>
    <s v="SANITY"/>
    <s v="Q1"/>
    <e v="#REF!"/>
    <e v="#REF!"/>
    <e v="#REF!"/>
  </r>
  <r>
    <s v="656000"/>
    <x v="6"/>
    <s v="PERTES DE CHANGE SUR CRÉANCES ET DETTES COMMERCIALES"/>
    <s v="OD"/>
    <n v="0.03"/>
    <d v="2025-04-02T00:00:00"/>
    <s v="Ecart de change"/>
    <m/>
    <e v="#N/A"/>
    <e v="#N/A"/>
    <n v="74759"/>
    <m/>
    <s v="SHOPIFY"/>
    <s v="Q2"/>
    <e v="#REF!"/>
    <e v="#REF!"/>
    <e v="#REF!"/>
  </r>
  <r>
    <s v="656000"/>
    <x v="6"/>
    <s v="PERTES DE CHANGE SUR CRÉANCES ET DETTES COMMERCIALES"/>
    <s v="OD"/>
    <n v="0.03"/>
    <d v="2025-05-02T00:00:00"/>
    <s v="Ecart de change"/>
    <m/>
    <e v="#N/A"/>
    <e v="#N/A"/>
    <n v="75101"/>
    <m/>
    <s v="SANITY"/>
    <s v="Q2"/>
    <e v="#REF!"/>
    <e v="#REF!"/>
    <e v="#REF!"/>
  </r>
  <r>
    <s v="656000"/>
    <x v="6"/>
    <s v="PERTES DE CHANGE SUR CRÉANCES ET DETTES COMMERCIALES"/>
    <s v="OD"/>
    <n v="0.05"/>
    <d v="2025-10-02T00:00:00"/>
    <s v="Ecart de change"/>
    <m/>
    <e v="#N/A"/>
    <e v="#N/A"/>
    <n v="87716"/>
    <m/>
    <m/>
    <s v="Q4"/>
    <e v="#REF!"/>
    <e v="#REF!"/>
    <e v="#REF!"/>
  </r>
  <r>
    <s v="656000"/>
    <x v="6"/>
    <s v="PERTES DE CHANGE SUR CRÉANCES ET DETTES COMMERCIALES"/>
    <s v="OD"/>
    <n v="0.96"/>
    <d v="2025-04-30T00:00:00"/>
    <s v="Solde Justifié"/>
    <m/>
    <e v="#N/A"/>
    <e v="#N/A"/>
    <n v="74730"/>
    <m/>
    <m/>
    <s v="Q2"/>
    <e v="#REF!"/>
    <e v="#REF!"/>
    <e v="#REF!"/>
  </r>
  <r>
    <s v="656000"/>
    <x v="6"/>
    <s v="PERTES DE CHANGE SUR CRÉANCES ET DETTES COMMERCIALES"/>
    <s v="OD"/>
    <n v="7.42"/>
    <d v="2025-12-24T00:00:00"/>
    <s v="Ecart de change"/>
    <s v="Non"/>
    <s v="Non"/>
    <e v="#N/A"/>
    <n v="93674"/>
    <m/>
    <s v="FLOWLIE"/>
    <s v="Q4"/>
    <e v="#REF!"/>
    <e v="#REF!"/>
    <e v="#REF!"/>
  </r>
  <r>
    <s v="656000"/>
    <x v="6"/>
    <s v="PERTES DE CHANGE SUR CRÉANCES ET DETTES COMMERCIALES"/>
    <s v="OD"/>
    <n v="96.84"/>
    <d v="2025-05-02T00:00:00"/>
    <s v="Ecart de change"/>
    <m/>
    <e v="#N/A"/>
    <e v="#N/A"/>
    <n v="70662"/>
    <m/>
    <s v="Eurofins BLC Leather Technology Centre Limited"/>
    <s v="Q2"/>
    <e v="#REF!"/>
    <e v="#REF!"/>
    <e v="#REF!"/>
  </r>
  <r>
    <s v="656000"/>
    <x v="6"/>
    <s v="PERTES DE CHANGE SUR CRÉANCES ET DETTES COMMERCIALES"/>
    <s v="OD"/>
    <n v="838.23"/>
    <d v="2025-11-04T00:00:00"/>
    <s v="Ecart de change"/>
    <m/>
    <e v="#N/A"/>
    <e v="#N/A"/>
    <n v="88176"/>
    <m/>
    <s v="AMERICAN CHEMICAL SOCIETY"/>
    <s v="Q4"/>
    <e v="#REF!"/>
    <e v="#REF!"/>
    <e v="#REF!"/>
  </r>
  <r>
    <s v="656000"/>
    <x v="6"/>
    <s v="PERTES DE CHANGE SUR CRÉANCES ET DETTES COMMERCIALES"/>
    <s v="SP"/>
    <n v="-2.5499999999999998"/>
    <d v="2025-07-31T00:00:00"/>
    <s v="Lettrage USD"/>
    <m/>
    <e v="#N/A"/>
    <e v="#N/A"/>
    <n v="81092"/>
    <m/>
    <m/>
    <s v="Q3"/>
    <e v="#REF!"/>
    <e v="#REF!"/>
    <e v="#REF!"/>
  </r>
  <r>
    <s v="656000"/>
    <x v="6"/>
    <s v="PERTES DE CHANGE SUR CRÉANCES ET DETTES COMMERCIALES"/>
    <s v="SP"/>
    <n v="0.08"/>
    <d v="2025-07-31T00:00:00"/>
    <s v="Lettrage USD"/>
    <m/>
    <e v="#N/A"/>
    <e v="#N/A"/>
    <n v="83370"/>
    <m/>
    <m/>
    <s v="Q3"/>
    <e v="#REF!"/>
    <e v="#REF!"/>
    <e v="#REF!"/>
  </r>
  <r>
    <s v="656000"/>
    <x v="6"/>
    <s v="PERTES DE CHANGE SUR CRÉANCES ET DETTES COMMERCIALES"/>
    <s v="SP"/>
    <n v="2.5499999999999998"/>
    <d v="2025-07-31T00:00:00"/>
    <s v="Lettrage USD"/>
    <m/>
    <e v="#N/A"/>
    <e v="#N/A"/>
    <n v="81095"/>
    <m/>
    <m/>
    <s v="Q3"/>
    <e v="#REF!"/>
    <e v="#REF!"/>
    <e v="#REF!"/>
  </r>
  <r>
    <s v="658000"/>
    <x v="6"/>
    <s v="CHARGES DIVERSES DE GESTION COURANTE"/>
    <s v="BPRI"/>
    <n v="117.04"/>
    <d v="2025-03-12T00:00:00"/>
    <s v="Virement STC - Tatiana Ghanem"/>
    <m/>
    <e v="#N/A"/>
    <e v="#N/A"/>
    <n v="72847"/>
    <m/>
    <m/>
    <s v="Q1"/>
    <e v="#REF!"/>
    <e v="#REF!"/>
    <e v="#REF!"/>
  </r>
  <r>
    <s v="658000"/>
    <x v="6"/>
    <s v="CHARGES DIVERSES DE GESTION COURANTE"/>
    <s v="OD"/>
    <n v="-296.14999999999998"/>
    <d v="2025-01-01T00:00:00"/>
    <s v="Solde double comptabilisation"/>
    <m/>
    <e v="#N/A"/>
    <e v="#N/A"/>
    <n v="71925"/>
    <m/>
    <s v="YALE SOUCHES BIO"/>
    <s v="Q1"/>
    <e v="#REF!"/>
    <e v="#REF!"/>
    <e v="#REF!"/>
  </r>
  <r>
    <s v="658000"/>
    <x v="6"/>
    <s v="CHARGES DIVERSES DE GESTION COURANTE"/>
    <s v="OD"/>
    <n v="-174.99"/>
    <d v="2025-06-30T00:00:00"/>
    <s v="Lettrage USD"/>
    <m/>
    <e v="#N/A"/>
    <e v="#N/A"/>
    <n v="83358"/>
    <m/>
    <m/>
    <s v="Q2"/>
    <e v="#REF!"/>
    <e v="#REF!"/>
    <e v="#REF!"/>
  </r>
  <r>
    <s v="658000"/>
    <x v="6"/>
    <s v="CHARGES DIVERSES DE GESTION COURANTE"/>
    <s v="OD"/>
    <n v="-74.52"/>
    <d v="2025-07-31T00:00:00"/>
    <s v="Régul de net à payer"/>
    <m/>
    <e v="#N/A"/>
    <e v="#N/A"/>
    <n v="79955"/>
    <m/>
    <m/>
    <s v="Q3"/>
    <e v="#REF!"/>
    <e v="#REF!"/>
    <e v="#REF!"/>
  </r>
  <r>
    <s v="658000"/>
    <x v="6"/>
    <s v="CHARGES DIVERSES DE GESTION COURANTE"/>
    <s v="OD"/>
    <n v="-1.74"/>
    <d v="2025-11-02T00:00:00"/>
    <s v="Lettrage USD"/>
    <m/>
    <e v="#N/A"/>
    <e v="#N/A"/>
    <n v="91614"/>
    <m/>
    <m/>
    <s v="Q4"/>
    <e v="#REF!"/>
    <e v="#REF!"/>
    <e v="#REF!"/>
  </r>
  <r>
    <s v="658000"/>
    <x v="6"/>
    <s v="CHARGES DIVERSES DE GESTION COURANTE"/>
    <s v="OD"/>
    <n v="-0.88"/>
    <d v="2025-06-30T00:00:00"/>
    <s v="Lettrage USD"/>
    <m/>
    <e v="#N/A"/>
    <e v="#N/A"/>
    <n v="83362"/>
    <m/>
    <m/>
    <s v="Q2"/>
    <e v="#REF!"/>
    <e v="#REF!"/>
    <e v="#REF!"/>
  </r>
  <r>
    <s v="658000"/>
    <x v="6"/>
    <s v="CHARGES DIVERSES DE GESTION COURANTE"/>
    <s v="OD"/>
    <n v="-0.88"/>
    <d v="2025-08-31T00:00:00"/>
    <s v="Lettrage Devise"/>
    <m/>
    <e v="#N/A"/>
    <e v="#N/A"/>
    <n v="83372"/>
    <m/>
    <m/>
    <s v="Q3"/>
    <e v="#REF!"/>
    <e v="#REF!"/>
    <e v="#REF!"/>
  </r>
  <r>
    <s v="658000"/>
    <x v="6"/>
    <s v="CHARGES DIVERSES DE GESTION COURANTE"/>
    <s v="OD"/>
    <n v="-0.86"/>
    <d v="2025-12-31T00:00:00"/>
    <s v="Lettrage devise - USD"/>
    <m/>
    <e v="#N/A"/>
    <e v="#N/A"/>
    <n v="94158"/>
    <m/>
    <m/>
    <s v="Q4"/>
    <e v="#REF!"/>
    <e v="#REF!"/>
    <e v="#REF!"/>
  </r>
  <r>
    <s v="658000"/>
    <x v="6"/>
    <s v="CHARGES DIVERSES DE GESTION COURANTE"/>
    <s v="OD"/>
    <n v="0.01"/>
    <d v="2025-01-31T00:00:00"/>
    <s v="Ecart de règlement"/>
    <m/>
    <e v="#N/A"/>
    <e v="#N/A"/>
    <n v="97885"/>
    <m/>
    <m/>
    <s v="Q1"/>
    <e v="#REF!"/>
    <e v="#REF!"/>
    <e v="#REF!"/>
  </r>
  <r>
    <s v="658000"/>
    <x v="6"/>
    <s v="CHARGES DIVERSES DE GESTION COURANTE"/>
    <s v="OD"/>
    <n v="0.03"/>
    <d v="2025-08-18T00:00:00"/>
    <s v="Ecart de règlement"/>
    <m/>
    <e v="#N/A"/>
    <e v="#N/A"/>
    <n v="81103"/>
    <m/>
    <m/>
    <s v="Q3"/>
    <e v="#REF!"/>
    <e v="#REF!"/>
    <e v="#REF!"/>
  </r>
  <r>
    <s v="658000"/>
    <x v="6"/>
    <s v="CHARGES DIVERSES DE GESTION COURANTE"/>
    <s v="OD"/>
    <n v="0.05"/>
    <d v="2025-11-02T00:00:00"/>
    <s v="Lettrage EUR"/>
    <m/>
    <e v="#N/A"/>
    <e v="#N/A"/>
    <n v="91619"/>
    <m/>
    <m/>
    <s v="Q4"/>
    <e v="#REF!"/>
    <e v="#REF!"/>
    <e v="#REF!"/>
  </r>
  <r>
    <s v="658000"/>
    <x v="6"/>
    <s v="CHARGES DIVERSES DE GESTION COURANTE"/>
    <s v="OD"/>
    <n v="0.21"/>
    <d v="2025-10-21T00:00:00"/>
    <s v="Ecart de règlement"/>
    <m/>
    <e v="#N/A"/>
    <e v="#N/A"/>
    <n v="87200"/>
    <m/>
    <m/>
    <s v="Q4"/>
    <e v="#REF!"/>
    <e v="#REF!"/>
    <e v="#REF!"/>
  </r>
  <r>
    <s v="658000"/>
    <x v="6"/>
    <s v="CHARGES DIVERSES DE GESTION COURANTE"/>
    <s v="OD"/>
    <n v="0.27"/>
    <d v="2025-02-28T00:00:00"/>
    <s v="Ecart de règlement"/>
    <m/>
    <e v="#N/A"/>
    <e v="#N/A"/>
    <n v="84262"/>
    <m/>
    <m/>
    <s v="Q1"/>
    <e v="#REF!"/>
    <e v="#REF!"/>
    <e v="#REF!"/>
  </r>
  <r>
    <s v="658000"/>
    <x v="6"/>
    <s v="CHARGES DIVERSES DE GESTION COURANTE"/>
    <s v="OD"/>
    <n v="0.56000000000000005"/>
    <d v="2025-05-21T00:00:00"/>
    <s v="Ecart de règlement"/>
    <m/>
    <e v="#N/A"/>
    <e v="#N/A"/>
    <n v="84322"/>
    <m/>
    <m/>
    <s v="Q2"/>
    <e v="#REF!"/>
    <e v="#REF!"/>
    <e v="#REF!"/>
  </r>
  <r>
    <s v="658000"/>
    <x v="6"/>
    <s v="CHARGES DIVERSES DE GESTION COURANTE"/>
    <s v="OD"/>
    <n v="0.59"/>
    <d v="2025-07-25T00:00:00"/>
    <s v="Ecart de règlement"/>
    <m/>
    <e v="#N/A"/>
    <e v="#N/A"/>
    <n v="84340"/>
    <m/>
    <m/>
    <s v="Q3"/>
    <e v="#REF!"/>
    <e v="#REF!"/>
    <e v="#REF!"/>
  </r>
  <r>
    <s v="658000"/>
    <x v="6"/>
    <s v="CHARGES DIVERSES DE GESTION COURANTE"/>
    <s v="OD"/>
    <n v="0.59"/>
    <d v="2025-11-26T00:00:00"/>
    <s v="Ecart de règlement"/>
    <m/>
    <e v="#N/A"/>
    <e v="#N/A"/>
    <n v="91167"/>
    <m/>
    <m/>
    <s v="Q4"/>
    <e v="#REF!"/>
    <e v="#REF!"/>
    <e v="#REF!"/>
  </r>
  <r>
    <s v="658000"/>
    <x v="6"/>
    <s v="CHARGES DIVERSES DE GESTION COURANTE"/>
    <s v="OD"/>
    <n v="0.7"/>
    <d v="2025-07-01T00:00:00"/>
    <s v="Ecart de règlement"/>
    <m/>
    <e v="#N/A"/>
    <e v="#N/A"/>
    <n v="76781"/>
    <m/>
    <s v="Yves Combret"/>
    <s v="Q3"/>
    <e v="#REF!"/>
    <e v="#REF!"/>
    <e v="#REF!"/>
  </r>
  <r>
    <s v="658000"/>
    <x v="6"/>
    <s v="CHARGES DIVERSES DE GESTION COURANTE"/>
    <s v="OD"/>
    <n v="0.86"/>
    <d v="2025-12-31T00:00:00"/>
    <s v="Lettrage devise - EUR"/>
    <m/>
    <e v="#N/A"/>
    <e v="#N/A"/>
    <n v="94160"/>
    <m/>
    <m/>
    <s v="Q4"/>
    <e v="#REF!"/>
    <e v="#REF!"/>
    <e v="#REF!"/>
  </r>
  <r>
    <s v="658000"/>
    <x v="6"/>
    <s v="CHARGES DIVERSES DE GESTION COURANTE"/>
    <s v="OD"/>
    <n v="0.88"/>
    <d v="2025-06-30T00:00:00"/>
    <s v="Lettrage USD"/>
    <m/>
    <e v="#N/A"/>
    <e v="#N/A"/>
    <n v="83364"/>
    <m/>
    <m/>
    <s v="Q2"/>
    <e v="#REF!"/>
    <e v="#REF!"/>
    <e v="#REF!"/>
  </r>
  <r>
    <s v="658000"/>
    <x v="6"/>
    <s v="CHARGES DIVERSES DE GESTION COURANTE"/>
    <s v="OD"/>
    <n v="0.88"/>
    <d v="2025-08-31T00:00:00"/>
    <s v="Lettrage Devise"/>
    <m/>
    <e v="#N/A"/>
    <e v="#N/A"/>
    <n v="83376"/>
    <m/>
    <m/>
    <s v="Q3"/>
    <e v="#REF!"/>
    <e v="#REF!"/>
    <e v="#REF!"/>
  </r>
  <r>
    <s v="658000"/>
    <x v="6"/>
    <s v="CHARGES DIVERSES DE GESTION COURANTE"/>
    <s v="OD"/>
    <n v="0.94"/>
    <d v="2025-10-07T00:00:00"/>
    <s v="Ecart de règlement"/>
    <m/>
    <e v="#N/A"/>
    <e v="#N/A"/>
    <n v="84346"/>
    <m/>
    <m/>
    <s v="Q4"/>
    <e v="#REF!"/>
    <e v="#REF!"/>
    <e v="#REF!"/>
  </r>
  <r>
    <s v="658000"/>
    <x v="6"/>
    <s v="CHARGES DIVERSES DE GESTION COURANTE"/>
    <s v="OD"/>
    <n v="1.5"/>
    <d v="2025-02-28T00:00:00"/>
    <s v="Ecart de règlement"/>
    <m/>
    <e v="#N/A"/>
    <e v="#N/A"/>
    <n v="84256"/>
    <m/>
    <m/>
    <s v="Q1"/>
    <e v="#REF!"/>
    <e v="#REF!"/>
    <e v="#REF!"/>
  </r>
  <r>
    <s v="658000"/>
    <x v="6"/>
    <s v="CHARGES DIVERSES DE GESTION COURANTE"/>
    <s v="OD"/>
    <n v="1.55"/>
    <d v="2025-02-28T00:00:00"/>
    <s v="Ecart de règlement"/>
    <m/>
    <e v="#N/A"/>
    <e v="#N/A"/>
    <n v="84246"/>
    <m/>
    <m/>
    <s v="Q1"/>
    <e v="#REF!"/>
    <e v="#REF!"/>
    <e v="#REF!"/>
  </r>
  <r>
    <s v="658000"/>
    <x v="6"/>
    <s v="CHARGES DIVERSES DE GESTION COURANTE"/>
    <s v="OD"/>
    <n v="1.74"/>
    <d v="2025-11-02T00:00:00"/>
    <s v="Lettrage EUR"/>
    <m/>
    <e v="#N/A"/>
    <e v="#N/A"/>
    <n v="91617"/>
    <m/>
    <m/>
    <s v="Q4"/>
    <e v="#REF!"/>
    <e v="#REF!"/>
    <e v="#REF!"/>
  </r>
  <r>
    <s v="658000"/>
    <x v="6"/>
    <s v="CHARGES DIVERSES DE GESTION COURANTE"/>
    <s v="OD"/>
    <n v="2.13"/>
    <d v="2025-11-06T00:00:00"/>
    <s v="Ecart de règlement"/>
    <m/>
    <e v="#N/A"/>
    <e v="#N/A"/>
    <n v="89294"/>
    <m/>
    <m/>
    <s v="Q4"/>
    <e v="#REF!"/>
    <e v="#REF!"/>
    <e v="#REF!"/>
  </r>
  <r>
    <s v="658000"/>
    <x v="6"/>
    <s v="CHARGES DIVERSES DE GESTION COURANTE"/>
    <s v="OD"/>
    <n v="2.39"/>
    <d v="2025-11-19T00:00:00"/>
    <s v="Ecart de règlement"/>
    <m/>
    <e v="#N/A"/>
    <e v="#N/A"/>
    <n v="90243"/>
    <m/>
    <m/>
    <s v="Q4"/>
    <e v="#REF!"/>
    <e v="#REF!"/>
    <e v="#REF!"/>
  </r>
  <r>
    <s v="658000"/>
    <x v="6"/>
    <s v="CHARGES DIVERSES DE GESTION COURANTE"/>
    <s v="OD"/>
    <n v="5.26"/>
    <d v="2025-06-30T00:00:00"/>
    <s v="Lettrage USD"/>
    <m/>
    <e v="#N/A"/>
    <e v="#N/A"/>
    <n v="83366"/>
    <m/>
    <m/>
    <s v="Q2"/>
    <e v="#REF!"/>
    <e v="#REF!"/>
    <e v="#REF!"/>
  </r>
  <r>
    <s v="658000"/>
    <x v="6"/>
    <s v="CHARGES DIVERSES DE GESTION COURANTE"/>
    <s v="OD"/>
    <n v="86.74"/>
    <d v="2025-06-30T00:00:00"/>
    <s v="Ecart de règlement"/>
    <m/>
    <e v="#N/A"/>
    <e v="#N/A"/>
    <n v="84368"/>
    <m/>
    <m/>
    <s v="Q2"/>
    <e v="#REF!"/>
    <e v="#REF!"/>
    <e v="#REF!"/>
  </r>
  <r>
    <s v="658000"/>
    <x v="6"/>
    <s v="CHARGES DIVERSES DE GESTION COURANTE"/>
    <s v="OD"/>
    <n v="174.99"/>
    <d v="2025-06-30T00:00:00"/>
    <s v="Lettrage USD"/>
    <m/>
    <e v="#N/A"/>
    <e v="#N/A"/>
    <n v="83360"/>
    <m/>
    <m/>
    <s v="Q2"/>
    <e v="#REF!"/>
    <e v="#REF!"/>
    <e v="#REF!"/>
  </r>
  <r>
    <s v="658000"/>
    <x v="6"/>
    <s v="CHARGES DIVERSES DE GESTION COURANTE"/>
    <s v="OD"/>
    <n v="282"/>
    <d v="2025-01-31T00:00:00"/>
    <s v="Perte sur TVA collectée OPCO"/>
    <m/>
    <e v="#N/A"/>
    <e v="#N/A"/>
    <n v="87256"/>
    <m/>
    <m/>
    <s v="Q1"/>
    <e v="#REF!"/>
    <e v="#REF!"/>
    <e v="#REF!"/>
  </r>
  <r>
    <s v="658000"/>
    <x v="6"/>
    <s v="CHARGES DIVERSES DE GESTION COURANTE"/>
    <s v="OD"/>
    <n v="1827.78"/>
    <d v="2025-05-22T00:00:00"/>
    <s v="Perte sur liquidiation Heidolph"/>
    <m/>
    <e v="#N/A"/>
    <e v="#N/A"/>
    <n v="73923"/>
    <m/>
    <s v="HEIDOLPH"/>
    <s v="Q2"/>
    <e v="#REF!"/>
    <e v="#REF!"/>
    <e v="#REF!"/>
  </r>
  <r>
    <s v="658000"/>
    <x v="6"/>
    <s v="CHARGES DIVERSES DE GESTION COURANTE"/>
    <s v="SP"/>
    <n v="-51.96"/>
    <d v="2025-01-01T00:00:00"/>
    <s v="RÈGLEMENT PAR CARTE SPENDESK"/>
    <m/>
    <e v="#N/A"/>
    <e v="#N/A"/>
    <n v="59957"/>
    <s v="213ea301-2fd8-5b32-ae72-d3fffb64cd8b"/>
    <m/>
    <s v="Q1"/>
    <e v="#REF!"/>
    <e v="#REF!"/>
    <e v="#REF!"/>
  </r>
  <r>
    <s v="658000"/>
    <x v="6"/>
    <s v="CHARGES DIVERSES DE GESTION COURANTE"/>
    <s v="SP"/>
    <n v="-1.76"/>
    <d v="2025-10-02T00:00:00"/>
    <s v="RÈGLEMENT PAR CARTE SPENDESK"/>
    <m/>
    <e v="#N/A"/>
    <e v="#N/A"/>
    <n v="87710"/>
    <s v="287f7148-88ec-5d32-9fd0-3ba8e46b82d4"/>
    <s v="SANITY"/>
    <s v="Q4"/>
    <e v="#REF!"/>
    <e v="#REF!"/>
    <e v="#REF!"/>
  </r>
  <r>
    <s v="658000"/>
    <x v="6"/>
    <s v="CHARGES DIVERSES DE GESTION COURANTE"/>
    <s v="SP"/>
    <n v="-0.92"/>
    <d v="2025-05-31T00:00:00"/>
    <s v="Lettrage Euro"/>
    <m/>
    <e v="#N/A"/>
    <e v="#N/A"/>
    <n v="75095"/>
    <m/>
    <m/>
    <s v="Q2"/>
    <e v="#REF!"/>
    <e v="#REF!"/>
    <e v="#REF!"/>
  </r>
  <r>
    <s v="658000"/>
    <x v="6"/>
    <s v="CHARGES DIVERSES DE GESTION COURANTE"/>
    <s v="SP"/>
    <n v="0.92"/>
    <d v="2025-05-31T00:00:00"/>
    <s v="Lettrage Euro"/>
    <m/>
    <e v="#N/A"/>
    <e v="#N/A"/>
    <n v="75092"/>
    <m/>
    <m/>
    <s v="Q2"/>
    <e v="#REF!"/>
    <e v="#REF!"/>
    <e v="#REF!"/>
  </r>
  <r>
    <s v="658000"/>
    <x v="6"/>
    <s v="CHARGES DIVERSES DE GESTION COURANTE"/>
    <s v="SP"/>
    <n v="1.76"/>
    <d v="2025-10-31T00:00:00"/>
    <s v="Lettrage USD"/>
    <m/>
    <e v="#N/A"/>
    <e v="#N/A"/>
    <n v="87712"/>
    <m/>
    <m/>
    <s v="Q4"/>
    <e v="#REF!"/>
    <e v="#REF!"/>
    <e v="#REF!"/>
  </r>
  <r>
    <s v="658000"/>
    <x v="6"/>
    <s v="CHARGES DIVERSES DE GESTION COURANTE"/>
    <s v="TVA"/>
    <n v="0.2"/>
    <d v="2025-12-31T00:00:00"/>
    <s v="Déclaration TVA Q4 2025 - ECART REGLEMENT"/>
    <m/>
    <e v="#N/A"/>
    <e v="#N/A"/>
    <n v="96215"/>
    <m/>
    <m/>
    <s v="Q4"/>
    <e v="#REF!"/>
    <e v="#REF!"/>
    <e v="#REF!"/>
  </r>
  <r>
    <s v="658000"/>
    <x v="6"/>
    <s v="CHARGES DIVERSES DE GESTION COURANTE"/>
    <s v="TVA"/>
    <n v="0.43"/>
    <d v="2025-06-30T00:00:00"/>
    <s v="Déclaration TVA Q2 2025"/>
    <m/>
    <e v="#N/A"/>
    <e v="#N/A"/>
    <n v="78458"/>
    <m/>
    <m/>
    <s v="Q2"/>
    <e v="#REF!"/>
    <e v="#REF!"/>
    <e v="#REF!"/>
  </r>
  <r>
    <s v="658000"/>
    <x v="6"/>
    <s v="CHARGES DIVERSES DE GESTION COURANTE"/>
    <s v="VT"/>
    <n v="2.56"/>
    <d v="2025-07-03T00:00:00"/>
    <s v="Vente GAM - frais Shopify"/>
    <m/>
    <s v="Non"/>
    <e v="#N/A"/>
    <n v="76991"/>
    <s v="1040"/>
    <s v="DIVERS"/>
    <s v="Q3"/>
    <e v="#REF!"/>
    <e v="#REF!"/>
    <e v="#REF!"/>
  </r>
  <r>
    <s v="658000"/>
    <x v="6"/>
    <s v="CHARGES DIVERSES DE GESTION COURANTE"/>
    <s v="VT"/>
    <n v="3.55"/>
    <d v="2025-05-27T00:00:00"/>
    <s v="Vente GAM - frais Shopify"/>
    <m/>
    <s v="Non"/>
    <e v="#N/A"/>
    <n v="75551"/>
    <s v="1038"/>
    <s v="DIVERS"/>
    <s v="Q2"/>
    <e v="#REF!"/>
    <e v="#REF!"/>
    <e v="#REF!"/>
  </r>
  <r>
    <s v="658000"/>
    <x v="6"/>
    <s v="CHARGES DIVERSES DE GESTION COURANTE"/>
    <s v="VT"/>
    <n v="3.55"/>
    <d v="2025-06-07T00:00:00"/>
    <s v="Vente GAM - frais Shopify"/>
    <m/>
    <s v="Non"/>
    <e v="#N/A"/>
    <n v="75912"/>
    <s v="1039"/>
    <s v="DIVERS"/>
    <s v="Q2"/>
    <e v="#REF!"/>
    <e v="#REF!"/>
    <e v="#REF!"/>
  </r>
  <r>
    <s v="631200"/>
    <x v="6"/>
    <s v="TAXE D'APPRENTISSAGE"/>
    <s v="SA"/>
    <n v="45.11"/>
    <d v="2025-05-31T00:00:00"/>
    <s v="TAXE D'APPRENTISSAGE (LIBÉRATOIRE)"/>
    <m/>
    <e v="#N/A"/>
    <e v="#N/A"/>
    <n v="80164"/>
    <s v="SA202505"/>
    <m/>
    <s v="Q2"/>
    <e v="#REF!"/>
    <e v="#REF!"/>
    <e v="#REF!"/>
  </r>
  <r>
    <s v="661100"/>
    <x v="6"/>
    <s v="INTÉRÊTS BANCAIRES"/>
    <s v="BPRI"/>
    <n v="34.880000000000003"/>
    <d v="2025-03-31T00:00:00"/>
    <s v="Prélèvement BPI"/>
    <m/>
    <e v="#N/A"/>
    <e v="#N/A"/>
    <n v="70557"/>
    <m/>
    <m/>
    <s v="Q1"/>
    <e v="#REF!"/>
    <e v="#REF!"/>
    <e v="#REF!"/>
  </r>
  <r>
    <s v="661100"/>
    <x v="6"/>
    <s v="INTÉRÊTS BANCAIRES"/>
    <s v="BPRI"/>
    <n v="39.090000000000003"/>
    <d v="2025-05-30T00:00:00"/>
    <s v="Prélèvement BPI"/>
    <m/>
    <e v="#N/A"/>
    <e v="#N/A"/>
    <n v="75001"/>
    <m/>
    <m/>
    <s v="Q2"/>
    <e v="#REF!"/>
    <e v="#REF!"/>
    <e v="#REF!"/>
  </r>
  <r>
    <s v="631200"/>
    <x v="6"/>
    <s v="TAXE D'APPRENTISSAGE"/>
    <s v="SA"/>
    <n v="45.36"/>
    <d v="2025-03-31T00:00:00"/>
    <s v="TAXE D'APPRENTISSAGE (LIBÉRATOIRE)"/>
    <m/>
    <e v="#N/A"/>
    <e v="#N/A"/>
    <n v="80504"/>
    <s v="SA202503"/>
    <m/>
    <s v="Q1"/>
    <e v="#REF!"/>
    <e v="#REF!"/>
    <e v="#REF!"/>
  </r>
  <r>
    <s v="661100"/>
    <x v="6"/>
    <s v="INTÉRÊTS BANCAIRES"/>
    <s v="BPRI"/>
    <n v="69.75"/>
    <d v="2025-01-02T00:00:00"/>
    <s v="06WURVS"/>
    <m/>
    <e v="#N/A"/>
    <e v="#N/A"/>
    <n v="70556"/>
    <s v="06WURVS"/>
    <m/>
    <s v="Q1"/>
    <e v="#REF!"/>
    <e v="#REF!"/>
    <e v="#REF!"/>
  </r>
  <r>
    <s v="631200"/>
    <x v="6"/>
    <s v="TAXE D'APPRENTISSAGE"/>
    <s v="SA"/>
    <n v="46.45"/>
    <d v="2025-04-30T00:00:00"/>
    <s v="TAXE D'APPRENTISSAGE (LIBÉRATOIRE)"/>
    <m/>
    <e v="#N/A"/>
    <e v="#N/A"/>
    <n v="80334"/>
    <s v="SA202504"/>
    <m/>
    <s v="Q2"/>
    <e v="#REF!"/>
    <e v="#REF!"/>
    <e v="#REF!"/>
  </r>
  <r>
    <s v="631200"/>
    <x v="6"/>
    <s v="TAXE D'APPRENTISSAGE"/>
    <s v="SA"/>
    <n v="46.95"/>
    <d v="2025-06-30T00:00:00"/>
    <s v="TAXE D'APPRENTISSAGE (LIBÉRATOIRE)"/>
    <m/>
    <e v="#N/A"/>
    <e v="#N/A"/>
    <n v="79995"/>
    <s v="SA202506"/>
    <m/>
    <s v="Q2"/>
    <e v="#REF!"/>
    <e v="#REF!"/>
    <e v="#REF!"/>
  </r>
  <r>
    <s v="631200"/>
    <x v="6"/>
    <s v="TAXE D'APPRENTISSAGE"/>
    <s v="SA"/>
    <n v="73.02"/>
    <d v="2025-02-28T00:00:00"/>
    <s v="TAXE D'APPRENTISSAGE (LIBÉRATOIRE)"/>
    <m/>
    <e v="#N/A"/>
    <e v="#N/A"/>
    <n v="85208"/>
    <s v="SA202502"/>
    <m/>
    <s v="Q1"/>
    <e v="#REF!"/>
    <e v="#REF!"/>
    <e v="#REF!"/>
  </r>
  <r>
    <s v="631200"/>
    <x v="6"/>
    <s v="TAXE D'APPRENTISSAGE"/>
    <s v="SA"/>
    <n v="81.52"/>
    <d v="2025-02-28T00:00:00"/>
    <s v="TAXE D'APPRENTISSAGE (LIBÉRATOIRE)"/>
    <m/>
    <e v="#N/A"/>
    <e v="#N/A"/>
    <n v="85206"/>
    <s v="SA202502"/>
    <m/>
    <s v="Q1"/>
    <e v="#REF!"/>
    <e v="#REF!"/>
    <e v="#REF!"/>
  </r>
  <r>
    <s v="631200"/>
    <x v="6"/>
    <s v="TAXE D'APPRENTISSAGE"/>
    <s v="SA"/>
    <n v="82.35"/>
    <d v="2025-12-31T00:00:00"/>
    <s v="TAXE D'APPRENTISSAGE (LIBÉRATOIRE)"/>
    <m/>
    <e v="#N/A"/>
    <e v="#N/A"/>
    <n v="92750"/>
    <s v="SA202512"/>
    <m/>
    <s v="Q4"/>
    <e v="#REF!"/>
    <e v="#REF!"/>
    <e v="#REF!"/>
  </r>
  <r>
    <s v="631200"/>
    <x v="6"/>
    <s v="TAXE D'APPRENTISSAGE"/>
    <s v="SA"/>
    <n v="82.58"/>
    <d v="2025-06-30T00:00:00"/>
    <s v="TAXE D'APPRENTISSAGE (LIBÉRATOIRE)"/>
    <m/>
    <e v="#N/A"/>
    <e v="#N/A"/>
    <n v="79997"/>
    <s v="SA202506"/>
    <m/>
    <s v="Q2"/>
    <e v="#REF!"/>
    <e v="#REF!"/>
    <e v="#REF!"/>
  </r>
  <r>
    <s v="661100"/>
    <x v="6"/>
    <s v="INTÉRÊTS BANCAIRES"/>
    <s v="BPRI"/>
    <n v="229.02"/>
    <d v="2025-04-29T00:00:00"/>
    <s v="Echéance Prêt"/>
    <m/>
    <e v="#N/A"/>
    <e v="#N/A"/>
    <n v="74899"/>
    <m/>
    <m/>
    <s v="Q2"/>
    <e v="#REF!"/>
    <e v="#REF!"/>
    <e v="#REF!"/>
  </r>
  <r>
    <s v="661100"/>
    <x v="6"/>
    <s v="INTÉRÊTS BANCAIRES"/>
    <s v="BPRI"/>
    <n v="248.5"/>
    <d v="2025-03-29T00:00:00"/>
    <s v="Prélèvement BPI"/>
    <m/>
    <e v="#N/A"/>
    <e v="#N/A"/>
    <n v="66439"/>
    <m/>
    <m/>
    <s v="Q1"/>
    <e v="#REF!"/>
    <e v="#REF!"/>
    <e v="#REF!"/>
  </r>
  <r>
    <s v="661100"/>
    <x v="6"/>
    <s v="INTÉRÊTS BANCAIRES"/>
    <s v="BPRI"/>
    <n v="267.95"/>
    <d v="2025-03-01T00:00:00"/>
    <s v="Prélèvement Emprunts"/>
    <m/>
    <e v="#N/A"/>
    <e v="#N/A"/>
    <n v="58990"/>
    <m/>
    <m/>
    <s v="Q1"/>
    <e v="#REF!"/>
    <e v="#REF!"/>
    <e v="#REF!"/>
  </r>
  <r>
    <s v="661100"/>
    <x v="6"/>
    <s v="INTÉRÊTS BANCAIRES"/>
    <s v="BPRI"/>
    <n v="287.38"/>
    <d v="2025-01-29T00:00:00"/>
    <s v="ECHEANCE PRET"/>
    <m/>
    <e v="#N/A"/>
    <e v="#N/A"/>
    <n v="21102"/>
    <s v="8857432"/>
    <m/>
    <s v="Q1"/>
    <e v="#REF!"/>
    <e v="#REF!"/>
    <e v="#REF!"/>
  </r>
  <r>
    <s v="661100"/>
    <x v="6"/>
    <s v="INTÉRÊTS BANCAIRES"/>
    <s v="BPRI"/>
    <n v="331.55"/>
    <d v="2025-05-31T00:00:00"/>
    <s v="Prélèvement échéance prêt"/>
    <m/>
    <e v="#N/A"/>
    <e v="#N/A"/>
    <n v="75205"/>
    <m/>
    <m/>
    <s v="Q2"/>
    <e v="#REF!"/>
    <e v="#REF!"/>
    <e v="#REF!"/>
  </r>
  <r>
    <s v="661100"/>
    <x v="6"/>
    <s v="INTÉRÊTS BANCAIRES"/>
    <s v="BPRI"/>
    <n v="336.39"/>
    <d v="2025-05-02T00:00:00"/>
    <s v="Echéance de prêt"/>
    <m/>
    <e v="#N/A"/>
    <e v="#N/A"/>
    <n v="75309"/>
    <m/>
    <m/>
    <s v="Q2"/>
    <e v="#REF!"/>
    <e v="#REF!"/>
    <e v="#REF!"/>
  </r>
  <r>
    <s v="661100"/>
    <x v="6"/>
    <s v="INTÉRÊTS BANCAIRES"/>
    <s v="BPRI"/>
    <n v="341.22"/>
    <d v="2025-04-01T00:00:00"/>
    <s v="Prélèvement Emprunt"/>
    <m/>
    <e v="#N/A"/>
    <e v="#N/A"/>
    <n v="66458"/>
    <m/>
    <m/>
    <s v="Q2"/>
    <e v="#REF!"/>
    <e v="#REF!"/>
    <e v="#REF!"/>
  </r>
  <r>
    <s v="661100"/>
    <x v="6"/>
    <s v="INTÉRÊTS BANCAIRES"/>
    <s v="BPRI"/>
    <n v="346.05"/>
    <d v="2025-03-01T00:00:00"/>
    <s v="Prélèvement Emprunts"/>
    <m/>
    <e v="#N/A"/>
    <e v="#N/A"/>
    <n v="58994"/>
    <m/>
    <m/>
    <s v="Q1"/>
    <e v="#REF!"/>
    <e v="#REF!"/>
    <e v="#REF!"/>
  </r>
  <r>
    <s v="661100"/>
    <x v="6"/>
    <s v="INTÉRÊTS BANCAIRES"/>
    <s v="BPRI"/>
    <n v="350.87"/>
    <d v="2025-01-31T00:00:00"/>
    <s v="Prélèvement Emprunt"/>
    <m/>
    <e v="#N/A"/>
    <e v="#N/A"/>
    <n v="21153"/>
    <s v="8815036"/>
    <m/>
    <s v="Q1"/>
    <e v="#REF!"/>
    <e v="#REF!"/>
    <e v="#REF!"/>
  </r>
  <r>
    <s v="631200"/>
    <x v="6"/>
    <s v="TAXE D'APPRENTISSAGE"/>
    <s v="SA"/>
    <n v="82.82"/>
    <d v="2025-08-31T00:00:00"/>
    <s v="TAXE D'APPRENTISSAGE (LIBÉRATOIRE)"/>
    <m/>
    <e v="#N/A"/>
    <e v="#N/A"/>
    <n v="83942"/>
    <s v="SA202508"/>
    <m/>
    <s v="Q3"/>
    <e v="#REF!"/>
    <e v="#REF!"/>
    <e v="#REF!"/>
  </r>
  <r>
    <s v="661100"/>
    <x v="6"/>
    <s v="INTÉRÊTS BANCAIRES"/>
    <s v="BPRI"/>
    <n v="1282.5"/>
    <d v="2025-09-30T00:00:00"/>
    <s v="PRLV SEPA BPIFRANCE"/>
    <m/>
    <e v="#N/A"/>
    <e v="#N/A"/>
    <n v="86869"/>
    <m/>
    <m/>
    <s v="Q3"/>
    <e v="#REF!"/>
    <e v="#REF!"/>
    <e v="#REF!"/>
  </r>
  <r>
    <s v="631200"/>
    <x v="6"/>
    <s v="TAXE D'APPRENTISSAGE"/>
    <s v="SA"/>
    <n v="83.36"/>
    <d v="2025-05-31T00:00:00"/>
    <s v="TAXE D'APPRENTISSAGE (LIBÉRATOIRE)"/>
    <m/>
    <e v="#N/A"/>
    <e v="#N/A"/>
    <n v="80166"/>
    <s v="SA202505"/>
    <m/>
    <s v="Q2"/>
    <e v="#REF!"/>
    <e v="#REF!"/>
    <e v="#REF!"/>
  </r>
  <r>
    <s v="661100"/>
    <x v="6"/>
    <s v="INTÉRÊTS BANCAIRES"/>
    <s v="BPRI"/>
    <n v="1567.5"/>
    <d v="2025-03-31T00:00:00"/>
    <s v="Prélèvement BPI"/>
    <m/>
    <e v="#N/A"/>
    <e v="#N/A"/>
    <n v="70559"/>
    <m/>
    <m/>
    <s v="Q1"/>
    <e v="#REF!"/>
    <e v="#REF!"/>
    <e v="#REF!"/>
  </r>
  <r>
    <s v="661100"/>
    <x v="6"/>
    <s v="INTÉRÊTS BANCAIRES"/>
    <s v="BPRI"/>
    <n v="22700"/>
    <d v="2025-01-02T00:00:00"/>
    <s v="Intérêts sur emprunts DOS0220148/00 - 164230"/>
    <m/>
    <e v="#N/A"/>
    <e v="#N/A"/>
    <n v="20860"/>
    <s v="06WUS2R"/>
    <m/>
    <s v="Q1"/>
    <e v="#REF!"/>
    <e v="#REF!"/>
    <e v="#REF!"/>
  </r>
  <r>
    <s v="661100"/>
    <x v="6"/>
    <s v="INTÉRÊTS BANCAIRES"/>
    <s v="BPRI"/>
    <n v="22700"/>
    <d v="2025-06-30T00:00:00"/>
    <s v="PRLV SEPA BPIFRANCE - INTERETS TRIM PRET INNOVATION"/>
    <m/>
    <e v="#N/A"/>
    <e v="#N/A"/>
    <n v="77006"/>
    <m/>
    <m/>
    <s v="Q2"/>
    <e v="#REF!"/>
    <e v="#REF!"/>
    <e v="#REF!"/>
  </r>
  <r>
    <s v="661100"/>
    <x v="6"/>
    <s v="INTÉRÊTS BANCAIRES"/>
    <s v="BPRI"/>
    <n v="22700"/>
    <d v="2025-09-30T00:00:00"/>
    <s v="PRLV SEPA BPIFRANCE - INTERETS TRIM PRET INNOVATION"/>
    <m/>
    <e v="#N/A"/>
    <e v="#N/A"/>
    <n v="82652"/>
    <m/>
    <m/>
    <s v="Q3"/>
    <e v="#REF!"/>
    <e v="#REF!"/>
    <e v="#REF!"/>
  </r>
  <r>
    <s v="631200"/>
    <x v="6"/>
    <s v="TAXE D'APPRENTISSAGE"/>
    <s v="SA"/>
    <n v="83.91"/>
    <d v="2025-04-30T00:00:00"/>
    <s v="TAXE D'APPRENTISSAGE (LIBÉRATOIRE)"/>
    <m/>
    <e v="#N/A"/>
    <e v="#N/A"/>
    <n v="80336"/>
    <s v="SA202504"/>
    <m/>
    <s v="Q2"/>
    <e v="#REF!"/>
    <e v="#REF!"/>
    <e v="#REF!"/>
  </r>
  <r>
    <s v="661100"/>
    <x v="6"/>
    <s v="INTÉRÊTS BANCAIRES"/>
    <s v="OD"/>
    <n v="-38044.01"/>
    <d v="2025-09-30T00:00:00"/>
    <s v="REPRISE PROVISION INTERETS COURUS CMI BLUE II"/>
    <m/>
    <e v="#N/A"/>
    <e v="#N/A"/>
    <n v="86876"/>
    <m/>
    <m/>
    <s v="Q3"/>
    <e v="#REF!"/>
    <e v="#REF!"/>
    <e v="#REF!"/>
  </r>
  <r>
    <s v="661100"/>
    <x v="6"/>
    <s v="INTÉRÊTS BANCAIRES"/>
    <s v="OD"/>
    <n v="-530.98"/>
    <d v="2025-12-31T00:00:00"/>
    <s v="Reclassement des intérêts capitalisés - BPRI - 08815036"/>
    <m/>
    <e v="#N/A"/>
    <e v="#N/A"/>
    <n v="97887"/>
    <m/>
    <m/>
    <s v="Q4"/>
    <e v="#REF!"/>
    <e v="#REF!"/>
    <e v="#REF!"/>
  </r>
  <r>
    <s v="661100"/>
    <x v="6"/>
    <s v="INTÉRÊTS BANCAIRES"/>
    <s v="OD"/>
    <n v="216.24"/>
    <d v="2025-09-30T00:00:00"/>
    <s v="BPIFRANCE REMBOURSMENT CMI BLUE II - ECART"/>
    <m/>
    <e v="#N/A"/>
    <e v="#N/A"/>
    <n v="86874"/>
    <m/>
    <m/>
    <s v="Q3"/>
    <e v="#REF!"/>
    <e v="#REF!"/>
    <e v="#REF!"/>
  </r>
  <r>
    <s v="661100"/>
    <x v="6"/>
    <s v="INTÉRÊTS BANCAIRES"/>
    <s v="OD"/>
    <n v="8492"/>
    <d v="2025-09-30T00:00:00"/>
    <s v="BPIFRANCE REMBOURSMENT CMI BLUE II - EXTOURNE CCA 2024"/>
    <m/>
    <e v="#N/A"/>
    <e v="#N/A"/>
    <n v="86873"/>
    <m/>
    <m/>
    <s v="Q3"/>
    <e v="#REF!"/>
    <e v="#REF!"/>
    <e v="#REF!"/>
  </r>
  <r>
    <s v="661100"/>
    <x v="6"/>
    <s v="INTÉRÊTS BANCAIRES"/>
    <s v="OD"/>
    <n v="19928.98"/>
    <d v="2025-06-02T00:00:00"/>
    <s v="Préfinancement CIR 2024 - Neftys - Déduction Initiale"/>
    <m/>
    <e v="#N/A"/>
    <e v="#N/A"/>
    <n v="87304"/>
    <m/>
    <m/>
    <s v="Q2"/>
    <e v="#REF!"/>
    <e v="#REF!"/>
    <e v="#REF!"/>
  </r>
  <r>
    <s v="661100"/>
    <x v="6"/>
    <s v="INTÉRÊTS BANCAIRES"/>
    <s v="OD"/>
    <n v="34093.01"/>
    <d v="2025-09-30T00:00:00"/>
    <s v="BPIFRANCE REMBOURSMENT CMI BLUE II + EFFET ACTUALISATION"/>
    <m/>
    <e v="#N/A"/>
    <e v="#N/A"/>
    <n v="86872"/>
    <m/>
    <m/>
    <s v="Q3"/>
    <e v="#REF!"/>
    <e v="#REF!"/>
    <e v="#REF!"/>
  </r>
  <r>
    <s v="661121"/>
    <x v="6"/>
    <s v="INTÉRÊTS OBLIGATAIRES"/>
    <s v="OD"/>
    <n v="-14431"/>
    <d v="2025-10-15T00:00:00"/>
    <s v="REPRISE PROVISION INTERETS COURUS OC"/>
    <m/>
    <e v="#N/A"/>
    <e v="#N/A"/>
    <n v="86877"/>
    <m/>
    <m/>
    <s v="Q4"/>
    <e v="#REF!"/>
    <e v="#REF!"/>
    <e v="#REF!"/>
  </r>
  <r>
    <s v="661121"/>
    <x v="6"/>
    <s v="INTÉRÊTS OBLIGATAIRES"/>
    <s v="OD"/>
    <n v="24052.01"/>
    <d v="2025-10-15T00:00:00"/>
    <s v="INTERETS 2025 OC CAPITALISATION"/>
    <m/>
    <e v="#N/A"/>
    <e v="#N/A"/>
    <n v="85096"/>
    <m/>
    <m/>
    <s v="Q4"/>
    <e v="#REF!"/>
    <e v="#REF!"/>
    <e v="#REF!"/>
  </r>
  <r>
    <s v="661121"/>
    <x v="6"/>
    <s v="INTÉRÊTS OBLIGATAIRES"/>
    <s v="OD"/>
    <n v="50241.87"/>
    <d v="2025-01-01T00:00:00"/>
    <s v="INTERETS 2025 OC CAPITALISATION"/>
    <m/>
    <e v="#N/A"/>
    <e v="#N/A"/>
    <n v="85078"/>
    <m/>
    <m/>
    <s v="Q1"/>
    <e v="#REF!"/>
    <e v="#REF!"/>
    <e v="#REF!"/>
  </r>
  <r>
    <s v="661121"/>
    <x v="6"/>
    <s v="INTÉRÊTS OBLIGATAIRES"/>
    <s v="OD"/>
    <n v="50241.87"/>
    <d v="2025-02-01T00:00:00"/>
    <s v="INTERETS 2025 OC CAPITALISATION"/>
    <m/>
    <e v="#N/A"/>
    <e v="#N/A"/>
    <n v="85080"/>
    <m/>
    <m/>
    <s v="Q1"/>
    <e v="#REF!"/>
    <e v="#REF!"/>
    <e v="#REF!"/>
  </r>
  <r>
    <s v="661121"/>
    <x v="6"/>
    <s v="INTÉRÊTS OBLIGATAIRES"/>
    <s v="OD"/>
    <n v="50241.87"/>
    <d v="2025-03-01T00:00:00"/>
    <s v="INTERETS 2025 OC CAPITALISATION"/>
    <m/>
    <e v="#N/A"/>
    <e v="#N/A"/>
    <n v="85082"/>
    <m/>
    <m/>
    <s v="Q1"/>
    <e v="#REF!"/>
    <e v="#REF!"/>
    <e v="#REF!"/>
  </r>
  <r>
    <s v="661121"/>
    <x v="6"/>
    <s v="INTÉRÊTS OBLIGATAIRES"/>
    <s v="OD"/>
    <n v="50241.87"/>
    <d v="2025-04-01T00:00:00"/>
    <s v="INTERETS 2025 OC CAPITALISATION"/>
    <m/>
    <e v="#N/A"/>
    <e v="#N/A"/>
    <n v="85084"/>
    <m/>
    <m/>
    <s v="Q2"/>
    <e v="#REF!"/>
    <e v="#REF!"/>
    <e v="#REF!"/>
  </r>
  <r>
    <s v="661121"/>
    <x v="6"/>
    <s v="INTÉRÊTS OBLIGATAIRES"/>
    <s v="OD"/>
    <n v="50241.87"/>
    <d v="2025-05-01T00:00:00"/>
    <s v="INTERETS 2025 OC CAPITALISATION"/>
    <m/>
    <e v="#N/A"/>
    <e v="#N/A"/>
    <n v="85086"/>
    <m/>
    <m/>
    <s v="Q2"/>
    <e v="#REF!"/>
    <e v="#REF!"/>
    <e v="#REF!"/>
  </r>
  <r>
    <s v="661121"/>
    <x v="6"/>
    <s v="INTÉRÊTS OBLIGATAIRES"/>
    <s v="OD"/>
    <n v="50241.87"/>
    <d v="2025-06-01T00:00:00"/>
    <s v="INTERETS 2025 OC CAPITALISATION"/>
    <m/>
    <e v="#N/A"/>
    <e v="#N/A"/>
    <n v="85088"/>
    <m/>
    <m/>
    <s v="Q2"/>
    <e v="#REF!"/>
    <e v="#REF!"/>
    <e v="#REF!"/>
  </r>
  <r>
    <s v="661121"/>
    <x v="6"/>
    <s v="INTÉRÊTS OBLIGATAIRES"/>
    <s v="OD"/>
    <n v="50241.87"/>
    <d v="2025-07-01T00:00:00"/>
    <s v="INTERETS 2025 OC CAPITALISATION"/>
    <m/>
    <e v="#N/A"/>
    <e v="#N/A"/>
    <n v="85090"/>
    <m/>
    <m/>
    <s v="Q3"/>
    <e v="#REF!"/>
    <e v="#REF!"/>
    <e v="#REF!"/>
  </r>
  <r>
    <s v="661121"/>
    <x v="6"/>
    <s v="INTÉRÊTS OBLIGATAIRES"/>
    <s v="OD"/>
    <n v="50241.87"/>
    <d v="2025-08-01T00:00:00"/>
    <s v="INTERETS 2025 OC CAPITALISATION"/>
    <m/>
    <e v="#N/A"/>
    <e v="#N/A"/>
    <n v="85092"/>
    <m/>
    <m/>
    <s v="Q3"/>
    <e v="#REF!"/>
    <e v="#REF!"/>
    <e v="#REF!"/>
  </r>
  <r>
    <s v="661121"/>
    <x v="6"/>
    <s v="INTÉRÊTS OBLIGATAIRES"/>
    <s v="OD"/>
    <n v="50241.87"/>
    <d v="2025-09-01T00:00:00"/>
    <s v="INTERETS 2025 OC CAPITALISATION"/>
    <m/>
    <e v="#N/A"/>
    <e v="#N/A"/>
    <n v="85094"/>
    <m/>
    <m/>
    <s v="Q3"/>
    <e v="#REF!"/>
    <e v="#REF!"/>
    <e v="#REF!"/>
  </r>
  <r>
    <s v="681110"/>
    <x v="6"/>
    <s v="Dotations sur immos incorporelles"/>
    <s v="IM"/>
    <n v="32.700000000000003"/>
    <d v="2025-01-31T00:00:00"/>
    <s v="Amortissement Manuel - 2025"/>
    <m/>
    <e v="#N/A"/>
    <e v="#N/A"/>
    <n v="85996"/>
    <m/>
    <m/>
    <s v="Q1"/>
    <e v="#REF!"/>
    <e v="#REF!"/>
    <e v="#REF!"/>
  </r>
  <r>
    <s v="681110"/>
    <x v="6"/>
    <s v="Dotations sur immos incorporelles"/>
    <s v="IM"/>
    <n v="32.700000000000003"/>
    <d v="2025-02-28T00:00:00"/>
    <s v="Amortissement Manuel - 2025"/>
    <m/>
    <e v="#N/A"/>
    <e v="#N/A"/>
    <n v="86034"/>
    <m/>
    <m/>
    <s v="Q1"/>
    <e v="#REF!"/>
    <e v="#REF!"/>
    <e v="#REF!"/>
  </r>
  <r>
    <s v="681110"/>
    <x v="6"/>
    <s v="Dotations sur immos incorporelles"/>
    <s v="IM"/>
    <n v="32.700000000000003"/>
    <d v="2025-03-31T00:00:00"/>
    <s v="Amortissement Manuel - 2025"/>
    <m/>
    <e v="#N/A"/>
    <e v="#N/A"/>
    <n v="86053"/>
    <m/>
    <m/>
    <s v="Q1"/>
    <e v="#REF!"/>
    <e v="#REF!"/>
    <e v="#REF!"/>
  </r>
  <r>
    <s v="681110"/>
    <x v="6"/>
    <s v="Dotations sur immos incorporelles"/>
    <s v="IM"/>
    <n v="32.700000000000003"/>
    <d v="2025-04-30T00:00:00"/>
    <s v="Amortissement Manuel - 2025"/>
    <m/>
    <e v="#N/A"/>
    <e v="#N/A"/>
    <n v="86072"/>
    <m/>
    <m/>
    <s v="Q2"/>
    <e v="#REF!"/>
    <e v="#REF!"/>
    <e v="#REF!"/>
  </r>
  <r>
    <s v="681110"/>
    <x v="6"/>
    <s v="Dotations sur immos incorporelles"/>
    <s v="IM"/>
    <n v="32.700000000000003"/>
    <d v="2025-05-31T00:00:00"/>
    <s v="Amortissement Manuel - 2025"/>
    <m/>
    <e v="#N/A"/>
    <e v="#N/A"/>
    <n v="86091"/>
    <m/>
    <m/>
    <s v="Q2"/>
    <e v="#REF!"/>
    <e v="#REF!"/>
    <e v="#REF!"/>
  </r>
  <r>
    <s v="681110"/>
    <x v="6"/>
    <s v="Dotations sur immos incorporelles"/>
    <s v="IM"/>
    <n v="32.700000000000003"/>
    <d v="2025-06-30T00:00:00"/>
    <s v="Amortissement Manuel - 2025"/>
    <m/>
    <e v="#N/A"/>
    <e v="#N/A"/>
    <n v="86110"/>
    <m/>
    <m/>
    <s v="Q2"/>
    <e v="#REF!"/>
    <e v="#REF!"/>
    <e v="#REF!"/>
  </r>
  <r>
    <s v="681110"/>
    <x v="6"/>
    <s v="Dotations sur immos incorporelles"/>
    <s v="IM"/>
    <n v="32.700000000000003"/>
    <d v="2025-07-31T00:00:00"/>
    <s v="Amortissement Manuel - 2025"/>
    <m/>
    <e v="#N/A"/>
    <e v="#N/A"/>
    <n v="86129"/>
    <m/>
    <m/>
    <s v="Q3"/>
    <e v="#REF!"/>
    <e v="#REF!"/>
    <e v="#REF!"/>
  </r>
  <r>
    <s v="681110"/>
    <x v="6"/>
    <s v="Dotations sur immos incorporelles"/>
    <s v="IM"/>
    <n v="32.700000000000003"/>
    <d v="2025-08-31T00:00:00"/>
    <s v="Amortissement Manuel - 2025"/>
    <m/>
    <e v="#N/A"/>
    <e v="#N/A"/>
    <n v="86148"/>
    <m/>
    <m/>
    <s v="Q3"/>
    <e v="#REF!"/>
    <e v="#REF!"/>
    <e v="#REF!"/>
  </r>
  <r>
    <s v="681110"/>
    <x v="6"/>
    <s v="Dotations sur immos incorporelles"/>
    <s v="IM"/>
    <n v="32.700000000000003"/>
    <d v="2025-09-30T00:00:00"/>
    <s v="Amortissement Manuel - 2025"/>
    <m/>
    <e v="#N/A"/>
    <e v="#N/A"/>
    <n v="86167"/>
    <m/>
    <m/>
    <s v="Q3"/>
    <e v="#REF!"/>
    <e v="#REF!"/>
    <e v="#REF!"/>
  </r>
  <r>
    <s v="681110"/>
    <x v="6"/>
    <s v="Dotations sur immos incorporelles"/>
    <s v="IM"/>
    <n v="32.700000000000003"/>
    <d v="2025-10-31T00:00:00"/>
    <s v="Amortissement Manuel - 2025"/>
    <m/>
    <e v="#N/A"/>
    <e v="#N/A"/>
    <n v="90297"/>
    <m/>
    <m/>
    <s v="Q4"/>
    <e v="#REF!"/>
    <e v="#REF!"/>
    <e v="#REF!"/>
  </r>
  <r>
    <s v="681110"/>
    <x v="6"/>
    <s v="Dotations sur immos incorporelles"/>
    <s v="IM"/>
    <n v="32.700000000000003"/>
    <d v="2025-11-30T00:00:00"/>
    <s v="Amortissement Manuel - 2025"/>
    <m/>
    <e v="#N/A"/>
    <e v="#N/A"/>
    <n v="90316"/>
    <m/>
    <m/>
    <s v="Q4"/>
    <e v="#REF!"/>
    <e v="#REF!"/>
    <e v="#REF!"/>
  </r>
  <r>
    <s v="681110"/>
    <x v="6"/>
    <s v="Dotations sur immos incorporelles"/>
    <s v="IM"/>
    <n v="32.700000000000003"/>
    <d v="2025-12-31T00:00:00"/>
    <s v="Amortissement Manuel - 2025"/>
    <m/>
    <e v="#N/A"/>
    <e v="#N/A"/>
    <n v="90337"/>
    <m/>
    <m/>
    <s v="Q4"/>
    <e v="#REF!"/>
    <e v="#REF!"/>
    <e v="#REF!"/>
  </r>
  <r>
    <s v="681110"/>
    <x v="6"/>
    <s v="Dotations sur immos incorporelles"/>
    <s v="IM"/>
    <n v="269.38"/>
    <d v="2025-01-31T00:00:00"/>
    <s v="Amortissement Manuel - 2025"/>
    <m/>
    <e v="#N/A"/>
    <e v="#N/A"/>
    <n v="85995"/>
    <m/>
    <m/>
    <s v="Q1"/>
    <e v="#REF!"/>
    <e v="#REF!"/>
    <e v="#REF!"/>
  </r>
  <r>
    <s v="681110"/>
    <x v="6"/>
    <s v="Dotations sur immos incorporelles"/>
    <s v="IM"/>
    <n v="269.38"/>
    <d v="2025-02-28T00:00:00"/>
    <s v="Amortissement Manuel - 2025"/>
    <m/>
    <e v="#N/A"/>
    <e v="#N/A"/>
    <n v="86033"/>
    <m/>
    <m/>
    <s v="Q1"/>
    <e v="#REF!"/>
    <e v="#REF!"/>
    <e v="#REF!"/>
  </r>
  <r>
    <s v="681110"/>
    <x v="6"/>
    <s v="Dotations sur immos incorporelles"/>
    <s v="IM"/>
    <n v="269.38"/>
    <d v="2025-03-31T00:00:00"/>
    <s v="Amortissement Manuel - 2025"/>
    <m/>
    <e v="#N/A"/>
    <e v="#N/A"/>
    <n v="86052"/>
    <m/>
    <m/>
    <s v="Q1"/>
    <e v="#REF!"/>
    <e v="#REF!"/>
    <e v="#REF!"/>
  </r>
  <r>
    <s v="681110"/>
    <x v="6"/>
    <s v="Dotations sur immos incorporelles"/>
    <s v="IM"/>
    <n v="269.38"/>
    <d v="2025-04-30T00:00:00"/>
    <s v="Amortissement Manuel - 2025"/>
    <m/>
    <e v="#N/A"/>
    <e v="#N/A"/>
    <n v="86071"/>
    <m/>
    <m/>
    <s v="Q2"/>
    <e v="#REF!"/>
    <e v="#REF!"/>
    <e v="#REF!"/>
  </r>
  <r>
    <s v="681110"/>
    <x v="6"/>
    <s v="Dotations sur immos incorporelles"/>
    <s v="IM"/>
    <n v="269.38"/>
    <d v="2025-05-31T00:00:00"/>
    <s v="Amortissement Manuel - 2025"/>
    <m/>
    <e v="#N/A"/>
    <e v="#N/A"/>
    <n v="86090"/>
    <m/>
    <m/>
    <s v="Q2"/>
    <e v="#REF!"/>
    <e v="#REF!"/>
    <e v="#REF!"/>
  </r>
  <r>
    <s v="681110"/>
    <x v="6"/>
    <s v="Dotations sur immos incorporelles"/>
    <s v="IM"/>
    <n v="269.38"/>
    <d v="2025-06-30T00:00:00"/>
    <s v="Amortissement Manuel - 2025"/>
    <m/>
    <e v="#N/A"/>
    <e v="#N/A"/>
    <n v="86109"/>
    <m/>
    <m/>
    <s v="Q2"/>
    <e v="#REF!"/>
    <e v="#REF!"/>
    <e v="#REF!"/>
  </r>
  <r>
    <s v="681110"/>
    <x v="6"/>
    <s v="Dotations sur immos incorporelles"/>
    <s v="IM"/>
    <n v="269.38"/>
    <d v="2025-07-31T00:00:00"/>
    <s v="Amortissement Manuel - 2025"/>
    <m/>
    <e v="#N/A"/>
    <e v="#N/A"/>
    <n v="86128"/>
    <m/>
    <m/>
    <s v="Q3"/>
    <e v="#REF!"/>
    <e v="#REF!"/>
    <e v="#REF!"/>
  </r>
  <r>
    <s v="681110"/>
    <x v="6"/>
    <s v="Dotations sur immos incorporelles"/>
    <s v="IM"/>
    <n v="269.38"/>
    <d v="2025-08-31T00:00:00"/>
    <s v="Amortissement Manuel - 2025"/>
    <m/>
    <e v="#N/A"/>
    <e v="#N/A"/>
    <n v="86147"/>
    <m/>
    <m/>
    <s v="Q3"/>
    <e v="#REF!"/>
    <e v="#REF!"/>
    <e v="#REF!"/>
  </r>
  <r>
    <s v="681110"/>
    <x v="6"/>
    <s v="Dotations sur immos incorporelles"/>
    <s v="IM"/>
    <n v="269.38"/>
    <d v="2025-09-30T00:00:00"/>
    <s v="Amortissement Manuel - 2025"/>
    <m/>
    <e v="#N/A"/>
    <e v="#N/A"/>
    <n v="86166"/>
    <m/>
    <m/>
    <s v="Q3"/>
    <e v="#REF!"/>
    <e v="#REF!"/>
    <e v="#REF!"/>
  </r>
  <r>
    <s v="681110"/>
    <x v="6"/>
    <s v="Dotations sur immos incorporelles"/>
    <s v="IM"/>
    <n v="269.38"/>
    <d v="2025-10-31T00:00:00"/>
    <s v="Amortissement Manuel - 2025"/>
    <m/>
    <e v="#N/A"/>
    <e v="#N/A"/>
    <n v="90296"/>
    <m/>
    <m/>
    <s v="Q4"/>
    <e v="#REF!"/>
    <e v="#REF!"/>
    <e v="#REF!"/>
  </r>
  <r>
    <s v="681110"/>
    <x v="6"/>
    <s v="Dotations sur immos incorporelles"/>
    <s v="IM"/>
    <n v="269.38"/>
    <d v="2025-11-30T00:00:00"/>
    <s v="Amortissement Manuel - 2025"/>
    <m/>
    <e v="#N/A"/>
    <e v="#N/A"/>
    <n v="90315"/>
    <m/>
    <m/>
    <s v="Q4"/>
    <e v="#REF!"/>
    <e v="#REF!"/>
    <e v="#REF!"/>
  </r>
  <r>
    <s v="681110"/>
    <x v="6"/>
    <s v="Dotations sur immos incorporelles"/>
    <s v="IM"/>
    <n v="269.38"/>
    <d v="2025-12-31T00:00:00"/>
    <s v="Amortissement Manuel - 2025"/>
    <m/>
    <e v="#N/A"/>
    <e v="#N/A"/>
    <n v="90336"/>
    <m/>
    <m/>
    <s v="Q4"/>
    <e v="#REF!"/>
    <e v="#REF!"/>
    <e v="#REF!"/>
  </r>
  <r>
    <s v="681110"/>
    <x v="6"/>
    <s v="Dotations sur immos incorporelles"/>
    <s v="IM"/>
    <n v="806.25"/>
    <d v="2025-01-31T00:00:00"/>
    <s v="Amortissement Manuel - 2025"/>
    <m/>
    <e v="#N/A"/>
    <e v="#N/A"/>
    <n v="85991"/>
    <m/>
    <m/>
    <s v="Q1"/>
    <e v="#REF!"/>
    <e v="#REF!"/>
    <e v="#REF!"/>
  </r>
  <r>
    <s v="681110"/>
    <x v="6"/>
    <s v="Dotations sur immos incorporelles"/>
    <s v="IM"/>
    <n v="806.25"/>
    <d v="2025-02-28T00:00:00"/>
    <s v="Amortissement Manuel - 2025"/>
    <m/>
    <e v="#N/A"/>
    <e v="#N/A"/>
    <n v="86029"/>
    <m/>
    <m/>
    <s v="Q1"/>
    <e v="#REF!"/>
    <e v="#REF!"/>
    <e v="#REF!"/>
  </r>
  <r>
    <s v="681110"/>
    <x v="6"/>
    <s v="Dotations sur immos incorporelles"/>
    <s v="IM"/>
    <n v="806.25"/>
    <d v="2025-03-31T00:00:00"/>
    <s v="Amortissement Manuel - 2025"/>
    <m/>
    <e v="#N/A"/>
    <e v="#N/A"/>
    <n v="86048"/>
    <m/>
    <m/>
    <s v="Q1"/>
    <e v="#REF!"/>
    <e v="#REF!"/>
    <e v="#REF!"/>
  </r>
  <r>
    <s v="681110"/>
    <x v="6"/>
    <s v="Dotations sur immos incorporelles"/>
    <s v="IM"/>
    <n v="806.25"/>
    <d v="2025-04-30T00:00:00"/>
    <s v="Amortissement Manuel - 2025"/>
    <m/>
    <e v="#N/A"/>
    <e v="#N/A"/>
    <n v="86067"/>
    <m/>
    <m/>
    <s v="Q2"/>
    <e v="#REF!"/>
    <e v="#REF!"/>
    <e v="#REF!"/>
  </r>
  <r>
    <s v="681110"/>
    <x v="6"/>
    <s v="Dotations sur immos incorporelles"/>
    <s v="IM"/>
    <n v="806.25"/>
    <d v="2025-05-31T00:00:00"/>
    <s v="Amortissement Manuel - 2025"/>
    <m/>
    <e v="#N/A"/>
    <e v="#N/A"/>
    <n v="86086"/>
    <m/>
    <m/>
    <s v="Q2"/>
    <e v="#REF!"/>
    <e v="#REF!"/>
    <e v="#REF!"/>
  </r>
  <r>
    <s v="681110"/>
    <x v="6"/>
    <s v="Dotations sur immos incorporelles"/>
    <s v="IM"/>
    <n v="806.25"/>
    <d v="2025-06-30T00:00:00"/>
    <s v="Amortissement Manuel - 2025"/>
    <m/>
    <e v="#N/A"/>
    <e v="#N/A"/>
    <n v="86105"/>
    <m/>
    <m/>
    <s v="Q2"/>
    <e v="#REF!"/>
    <e v="#REF!"/>
    <e v="#REF!"/>
  </r>
  <r>
    <s v="681110"/>
    <x v="6"/>
    <s v="Dotations sur immos incorporelles"/>
    <s v="IM"/>
    <n v="806.25"/>
    <d v="2025-07-31T00:00:00"/>
    <s v="Amortissement Manuel - 2025"/>
    <m/>
    <e v="#N/A"/>
    <e v="#N/A"/>
    <n v="86124"/>
    <m/>
    <m/>
    <s v="Q3"/>
    <e v="#REF!"/>
    <e v="#REF!"/>
    <e v="#REF!"/>
  </r>
  <r>
    <s v="681110"/>
    <x v="6"/>
    <s v="Dotations sur immos incorporelles"/>
    <s v="IM"/>
    <n v="806.25"/>
    <d v="2025-08-31T00:00:00"/>
    <s v="Amortissement Manuel - 2025"/>
    <m/>
    <e v="#N/A"/>
    <e v="#N/A"/>
    <n v="86143"/>
    <m/>
    <m/>
    <s v="Q3"/>
    <e v="#REF!"/>
    <e v="#REF!"/>
    <e v="#REF!"/>
  </r>
  <r>
    <s v="681110"/>
    <x v="6"/>
    <s v="Dotations sur immos incorporelles"/>
    <s v="IM"/>
    <n v="806.25"/>
    <d v="2025-09-30T00:00:00"/>
    <s v="Amortissement Manuel - 2025"/>
    <m/>
    <e v="#N/A"/>
    <e v="#N/A"/>
    <n v="86162"/>
    <m/>
    <m/>
    <s v="Q3"/>
    <e v="#REF!"/>
    <e v="#REF!"/>
    <e v="#REF!"/>
  </r>
  <r>
    <s v="681110"/>
    <x v="6"/>
    <s v="Dotations sur immos incorporelles"/>
    <s v="IM"/>
    <n v="806.25"/>
    <d v="2025-10-31T00:00:00"/>
    <s v="Amortissement Manuel - 2025"/>
    <m/>
    <e v="#N/A"/>
    <e v="#N/A"/>
    <n v="90292"/>
    <m/>
    <m/>
    <s v="Q4"/>
    <e v="#REF!"/>
    <e v="#REF!"/>
    <e v="#REF!"/>
  </r>
  <r>
    <s v="681110"/>
    <x v="6"/>
    <s v="Dotations sur immos incorporelles"/>
    <s v="IM"/>
    <n v="806.25"/>
    <d v="2025-11-30T00:00:00"/>
    <s v="Amortissement Manuel - 2025"/>
    <m/>
    <e v="#N/A"/>
    <e v="#N/A"/>
    <n v="90311"/>
    <m/>
    <m/>
    <s v="Q4"/>
    <e v="#REF!"/>
    <e v="#REF!"/>
    <e v="#REF!"/>
  </r>
  <r>
    <s v="681110"/>
    <x v="6"/>
    <s v="Dotations sur immos incorporelles"/>
    <s v="IM"/>
    <n v="806.25"/>
    <d v="2025-12-31T00:00:00"/>
    <s v="Amortissement Manuel - 2025"/>
    <m/>
    <e v="#N/A"/>
    <e v="#N/A"/>
    <n v="90332"/>
    <m/>
    <m/>
    <s v="Q4"/>
    <e v="#REF!"/>
    <e v="#REF!"/>
    <e v="#REF!"/>
  </r>
  <r>
    <s v="681110"/>
    <x v="6"/>
    <s v="Dotations sur immos incorporelles"/>
    <s v="IM"/>
    <n v="1680.44"/>
    <d v="2025-06-01T00:00:00"/>
    <s v="AMT MENSUEL - ERP FINANCE SAGE FRP1000"/>
    <m/>
    <e v="#N/A"/>
    <e v="#N/A"/>
    <n v="90461"/>
    <s v="DOT.AMT.INCORP.202506"/>
    <m/>
    <s v="Q2"/>
    <e v="#REF!"/>
    <e v="#REF!"/>
    <e v="#REF!"/>
  </r>
  <r>
    <s v="681110"/>
    <x v="6"/>
    <s v="Dotations sur immos incorporelles"/>
    <s v="IM"/>
    <n v="1680.44"/>
    <d v="2025-07-01T00:00:00"/>
    <s v="AMT MENSUEL - ERP FINANCE SAGE FRP1000"/>
    <m/>
    <e v="#N/A"/>
    <e v="#N/A"/>
    <n v="90463"/>
    <s v="DOT.AMT.INCORP.202507"/>
    <m/>
    <s v="Q3"/>
    <e v="#REF!"/>
    <e v="#REF!"/>
    <e v="#REF!"/>
  </r>
  <r>
    <s v="681110"/>
    <x v="6"/>
    <s v="Dotations sur immos incorporelles"/>
    <s v="IM"/>
    <n v="1680.44"/>
    <d v="2025-08-01T00:00:00"/>
    <s v="AMT MENSUEL - ERP FINANCE SAGE FRP1000"/>
    <m/>
    <e v="#N/A"/>
    <e v="#N/A"/>
    <n v="90465"/>
    <s v="DOT.AMT.INCORP.202508"/>
    <m/>
    <s v="Q3"/>
    <e v="#REF!"/>
    <e v="#REF!"/>
    <e v="#REF!"/>
  </r>
  <r>
    <s v="681110"/>
    <x v="6"/>
    <s v="Dotations sur immos incorporelles"/>
    <s v="IM"/>
    <n v="1680.44"/>
    <d v="2025-09-01T00:00:00"/>
    <s v="AMT MENSUEL - ERP FINANCE SAGE FRP1000"/>
    <m/>
    <e v="#N/A"/>
    <e v="#N/A"/>
    <n v="90467"/>
    <s v="DOT.AMT.INCORP.202509"/>
    <m/>
    <s v="Q3"/>
    <e v="#REF!"/>
    <e v="#REF!"/>
    <e v="#REF!"/>
  </r>
  <r>
    <s v="681110"/>
    <x v="6"/>
    <s v="Dotations sur immos incorporelles"/>
    <s v="IM"/>
    <n v="1680.44"/>
    <d v="2025-10-01T00:00:00"/>
    <s v="AMT MENSUEL - ERP FINANCE SAGE FRP1000"/>
    <m/>
    <e v="#N/A"/>
    <e v="#N/A"/>
    <n v="90469"/>
    <s v="DOT.AMT.INCORP.202510"/>
    <m/>
    <s v="Q4"/>
    <e v="#REF!"/>
    <e v="#REF!"/>
    <e v="#REF!"/>
  </r>
  <r>
    <s v="681110"/>
    <x v="6"/>
    <s v="Dotations sur immos incorporelles"/>
    <s v="IM"/>
    <n v="1680.44"/>
    <d v="2025-11-01T00:00:00"/>
    <s v="AMT MENSUEL - ERP FINANCE SAGE FRP1000"/>
    <m/>
    <e v="#N/A"/>
    <e v="#N/A"/>
    <n v="90471"/>
    <s v="DOT.AMT.INCORP.202511"/>
    <m/>
    <s v="Q4"/>
    <e v="#REF!"/>
    <e v="#REF!"/>
    <e v="#REF!"/>
  </r>
  <r>
    <s v="681110"/>
    <x v="6"/>
    <s v="Dotations sur immos incorporelles"/>
    <s v="IM"/>
    <n v="1680.44"/>
    <d v="2025-12-01T00:00:00"/>
    <s v="AMT MENSUEL - ERP FINANCE SAGE FRP1000"/>
    <m/>
    <e v="#N/A"/>
    <e v="#N/A"/>
    <n v="90473"/>
    <s v="DOT.AMT.INCORP.202512"/>
    <m/>
    <s v="Q4"/>
    <e v="#REF!"/>
    <e v="#REF!"/>
    <e v="#REF!"/>
  </r>
  <r>
    <s v="681110"/>
    <x v="6"/>
    <s v="Dotations sur immos incorporelles"/>
    <s v="IM"/>
    <n v="56743.95"/>
    <d v="2025-01-31T00:00:00"/>
    <s v="Amortissement Manuel - 2025"/>
    <m/>
    <e v="#N/A"/>
    <e v="#N/A"/>
    <n v="85993"/>
    <m/>
    <m/>
    <s v="Q1"/>
    <e v="#REF!"/>
    <e v="#REF!"/>
    <e v="#REF!"/>
  </r>
  <r>
    <s v="681110"/>
    <x v="6"/>
    <s v="Dotations sur immos incorporelles"/>
    <s v="IM"/>
    <n v="56743.95"/>
    <d v="2025-02-28T00:00:00"/>
    <s v="Amortissement Manuel - 2025"/>
    <m/>
    <e v="#N/A"/>
    <e v="#N/A"/>
    <n v="86031"/>
    <m/>
    <m/>
    <s v="Q1"/>
    <e v="#REF!"/>
    <e v="#REF!"/>
    <e v="#REF!"/>
  </r>
  <r>
    <s v="681110"/>
    <x v="6"/>
    <s v="Dotations sur immos incorporelles"/>
    <s v="IM"/>
    <n v="56743.95"/>
    <d v="2025-03-31T00:00:00"/>
    <s v="Amortissement Manuel - 2025"/>
    <m/>
    <e v="#N/A"/>
    <e v="#N/A"/>
    <n v="86050"/>
    <m/>
    <m/>
    <s v="Q1"/>
    <e v="#REF!"/>
    <e v="#REF!"/>
    <e v="#REF!"/>
  </r>
  <r>
    <s v="681110"/>
    <x v="6"/>
    <s v="Dotations sur immos incorporelles"/>
    <s v="IM"/>
    <n v="56743.95"/>
    <d v="2025-04-30T00:00:00"/>
    <s v="Amortissement Manuel - 2025"/>
    <m/>
    <e v="#N/A"/>
    <e v="#N/A"/>
    <n v="86069"/>
    <m/>
    <m/>
    <s v="Q2"/>
    <e v="#REF!"/>
    <e v="#REF!"/>
    <e v="#REF!"/>
  </r>
  <r>
    <s v="681110"/>
    <x v="6"/>
    <s v="Dotations sur immos incorporelles"/>
    <s v="IM"/>
    <n v="56743.95"/>
    <d v="2025-05-31T00:00:00"/>
    <s v="Amortissement Manuel - 2025"/>
    <m/>
    <e v="#N/A"/>
    <e v="#N/A"/>
    <n v="86088"/>
    <m/>
    <m/>
    <s v="Q2"/>
    <e v="#REF!"/>
    <e v="#REF!"/>
    <e v="#REF!"/>
  </r>
  <r>
    <s v="681110"/>
    <x v="6"/>
    <s v="Dotations sur immos incorporelles"/>
    <s v="IM"/>
    <n v="56743.95"/>
    <d v="2025-06-30T00:00:00"/>
    <s v="Amortissement Manuel - 2025"/>
    <m/>
    <e v="#N/A"/>
    <e v="#N/A"/>
    <n v="86107"/>
    <m/>
    <m/>
    <s v="Q2"/>
    <e v="#REF!"/>
    <e v="#REF!"/>
    <e v="#REF!"/>
  </r>
  <r>
    <s v="681110"/>
    <x v="6"/>
    <s v="Dotations sur immos incorporelles"/>
    <s v="IM"/>
    <n v="56743.95"/>
    <d v="2025-07-31T00:00:00"/>
    <s v="Amortissement Manuel - 2025"/>
    <m/>
    <e v="#N/A"/>
    <e v="#N/A"/>
    <n v="86126"/>
    <m/>
    <m/>
    <s v="Q3"/>
    <e v="#REF!"/>
    <e v="#REF!"/>
    <e v="#REF!"/>
  </r>
  <r>
    <s v="681110"/>
    <x v="6"/>
    <s v="Dotations sur immos incorporelles"/>
    <s v="IM"/>
    <n v="56743.95"/>
    <d v="2025-08-31T00:00:00"/>
    <s v="Amortissement Manuel - 2025"/>
    <m/>
    <e v="#N/A"/>
    <e v="#N/A"/>
    <n v="86145"/>
    <m/>
    <m/>
    <s v="Q3"/>
    <e v="#REF!"/>
    <e v="#REF!"/>
    <e v="#REF!"/>
  </r>
  <r>
    <s v="681110"/>
    <x v="6"/>
    <s v="Dotations sur immos incorporelles"/>
    <s v="IM"/>
    <n v="56743.95"/>
    <d v="2025-09-30T00:00:00"/>
    <s v="Amortissement Manuel - 2025"/>
    <m/>
    <e v="#N/A"/>
    <e v="#N/A"/>
    <n v="86164"/>
    <m/>
    <m/>
    <s v="Q3"/>
    <e v="#REF!"/>
    <e v="#REF!"/>
    <e v="#REF!"/>
  </r>
  <r>
    <s v="681110"/>
    <x v="6"/>
    <s v="Dotations sur immos incorporelles"/>
    <s v="IM"/>
    <n v="56743.95"/>
    <d v="2025-10-31T00:00:00"/>
    <s v="Amortissement Manuel - 2025"/>
    <m/>
    <e v="#N/A"/>
    <e v="#N/A"/>
    <n v="90294"/>
    <m/>
    <m/>
    <s v="Q4"/>
    <e v="#REF!"/>
    <e v="#REF!"/>
    <e v="#REF!"/>
  </r>
  <r>
    <s v="681110"/>
    <x v="6"/>
    <s v="Dotations sur immos incorporelles"/>
    <s v="IM"/>
    <n v="56743.95"/>
    <d v="2025-11-30T00:00:00"/>
    <s v="Amortissement Manuel - 2025"/>
    <m/>
    <e v="#N/A"/>
    <e v="#N/A"/>
    <n v="90313"/>
    <m/>
    <m/>
    <s v="Q4"/>
    <e v="#REF!"/>
    <e v="#REF!"/>
    <e v="#REF!"/>
  </r>
  <r>
    <s v="681110"/>
    <x v="6"/>
    <s v="Dotations sur immos incorporelles"/>
    <s v="IM"/>
    <n v="56743.95"/>
    <d v="2025-12-31T00:00:00"/>
    <s v="Amortissement Manuel - 2025"/>
    <m/>
    <e v="#N/A"/>
    <e v="#N/A"/>
    <n v="90334"/>
    <m/>
    <m/>
    <s v="Q4"/>
    <e v="#REF!"/>
    <e v="#REF!"/>
    <e v="#REF!"/>
  </r>
  <r>
    <s v="681120"/>
    <x v="6"/>
    <s v="Dotations sur immos corporelles"/>
    <s v="IM"/>
    <n v="11.1"/>
    <d v="2025-01-31T00:00:00"/>
    <s v="Amortissement Manuel - 2025"/>
    <m/>
    <e v="#N/A"/>
    <e v="#N/A"/>
    <n v="86005"/>
    <m/>
    <m/>
    <s v="Q1"/>
    <e v="#REF!"/>
    <e v="#REF!"/>
    <e v="#REF!"/>
  </r>
  <r>
    <s v="681120"/>
    <x v="6"/>
    <s v="Dotations sur immos corporelles"/>
    <s v="IM"/>
    <n v="11.1"/>
    <d v="2025-02-28T00:00:00"/>
    <s v="Amortissement Manuel - 2025"/>
    <m/>
    <e v="#N/A"/>
    <e v="#N/A"/>
    <n v="86043"/>
    <m/>
    <m/>
    <s v="Q1"/>
    <e v="#REF!"/>
    <e v="#REF!"/>
    <e v="#REF!"/>
  </r>
  <r>
    <s v="681120"/>
    <x v="6"/>
    <s v="Dotations sur immos corporelles"/>
    <s v="IM"/>
    <n v="11.1"/>
    <d v="2025-03-31T00:00:00"/>
    <s v="Amortissement Manuel - 2025"/>
    <m/>
    <e v="#N/A"/>
    <e v="#N/A"/>
    <n v="86062"/>
    <m/>
    <m/>
    <s v="Q1"/>
    <e v="#REF!"/>
    <e v="#REF!"/>
    <e v="#REF!"/>
  </r>
  <r>
    <s v="681120"/>
    <x v="6"/>
    <s v="Dotations sur immos corporelles"/>
    <s v="IM"/>
    <n v="11.1"/>
    <d v="2025-04-30T00:00:00"/>
    <s v="Amortissement Manuel - 2025"/>
    <m/>
    <e v="#N/A"/>
    <e v="#N/A"/>
    <n v="86081"/>
    <m/>
    <m/>
    <s v="Q2"/>
    <e v="#REF!"/>
    <e v="#REF!"/>
    <e v="#REF!"/>
  </r>
  <r>
    <s v="681120"/>
    <x v="6"/>
    <s v="Dotations sur immos corporelles"/>
    <s v="IM"/>
    <n v="11.1"/>
    <d v="2025-05-31T00:00:00"/>
    <s v="Amortissement Manuel - 2025"/>
    <m/>
    <e v="#N/A"/>
    <e v="#N/A"/>
    <n v="86100"/>
    <m/>
    <m/>
    <s v="Q2"/>
    <e v="#REF!"/>
    <e v="#REF!"/>
    <e v="#REF!"/>
  </r>
  <r>
    <s v="681120"/>
    <x v="6"/>
    <s v="Dotations sur immos corporelles"/>
    <s v="IM"/>
    <n v="11.1"/>
    <d v="2025-06-30T00:00:00"/>
    <s v="Amortissement Manuel - 2025"/>
    <m/>
    <e v="#N/A"/>
    <e v="#N/A"/>
    <n v="86119"/>
    <m/>
    <m/>
    <s v="Q2"/>
    <e v="#REF!"/>
    <e v="#REF!"/>
    <e v="#REF!"/>
  </r>
  <r>
    <s v="681120"/>
    <x v="6"/>
    <s v="Dotations sur immos corporelles"/>
    <s v="IM"/>
    <n v="11.1"/>
    <d v="2025-07-31T00:00:00"/>
    <s v="Amortissement Manuel - 2025"/>
    <m/>
    <e v="#N/A"/>
    <e v="#N/A"/>
    <n v="86138"/>
    <m/>
    <m/>
    <s v="Q3"/>
    <e v="#REF!"/>
    <e v="#REF!"/>
    <e v="#REF!"/>
  </r>
  <r>
    <s v="681120"/>
    <x v="6"/>
    <s v="Dotations sur immos corporelles"/>
    <s v="IM"/>
    <n v="11.1"/>
    <d v="2025-08-31T00:00:00"/>
    <s v="Amortissement Manuel - 2025"/>
    <m/>
    <e v="#N/A"/>
    <e v="#N/A"/>
    <n v="86157"/>
    <m/>
    <m/>
    <s v="Q3"/>
    <e v="#REF!"/>
    <e v="#REF!"/>
    <e v="#REF!"/>
  </r>
  <r>
    <s v="681120"/>
    <x v="6"/>
    <s v="Dotations sur immos corporelles"/>
    <s v="IM"/>
    <n v="11.1"/>
    <d v="2025-09-30T00:00:00"/>
    <s v="Amortissement Manuel - 2025"/>
    <m/>
    <e v="#N/A"/>
    <e v="#N/A"/>
    <n v="86176"/>
    <m/>
    <m/>
    <s v="Q3"/>
    <e v="#REF!"/>
    <e v="#REF!"/>
    <e v="#REF!"/>
  </r>
  <r>
    <s v="681120"/>
    <x v="6"/>
    <s v="Dotations sur immos corporelles"/>
    <s v="IM"/>
    <n v="11.1"/>
    <d v="2025-10-31T00:00:00"/>
    <s v="Amortissement Manuel - 2025"/>
    <m/>
    <e v="#N/A"/>
    <e v="#N/A"/>
    <n v="90306"/>
    <m/>
    <m/>
    <s v="Q4"/>
    <e v="#REF!"/>
    <e v="#REF!"/>
    <e v="#REF!"/>
  </r>
  <r>
    <s v="681120"/>
    <x v="6"/>
    <s v="Dotations sur immos corporelles"/>
    <s v="IM"/>
    <n v="11.1"/>
    <d v="2025-11-30T00:00:00"/>
    <s v="Amortissement Manuel - 2025"/>
    <m/>
    <e v="#N/A"/>
    <e v="#N/A"/>
    <n v="90325"/>
    <m/>
    <m/>
    <s v="Q4"/>
    <e v="#REF!"/>
    <e v="#REF!"/>
    <e v="#REF!"/>
  </r>
  <r>
    <s v="681120"/>
    <x v="6"/>
    <s v="Dotations sur immos corporelles"/>
    <s v="IM"/>
    <n v="11.1"/>
    <d v="2025-12-31T00:00:00"/>
    <s v="Amortissement Manuel - 2025"/>
    <m/>
    <e v="#N/A"/>
    <e v="#N/A"/>
    <n v="90346"/>
    <m/>
    <m/>
    <s v="Q4"/>
    <e v="#REF!"/>
    <e v="#REF!"/>
    <e v="#REF!"/>
  </r>
  <r>
    <s v="681120"/>
    <x v="6"/>
    <s v="Dotations sur immos corporelles"/>
    <s v="IM"/>
    <n v="30.17"/>
    <d v="2025-08-01T00:00:00"/>
    <s v="AMT MENSUEL - LOPEZ PLOMBERIE ELECTRICITE - RACCORDEMENT ASPIRATION LABORATOIRE"/>
    <m/>
    <e v="#N/A"/>
    <e v="#N/A"/>
    <n v="90395"/>
    <s v="DOT.AMT.CORP.202508"/>
    <m/>
    <s v="Q3"/>
    <e v="#REF!"/>
    <e v="#REF!"/>
    <e v="#REF!"/>
  </r>
  <r>
    <s v="681120"/>
    <x v="6"/>
    <s v="Dotations sur immos corporelles"/>
    <s v="IM"/>
    <n v="30.17"/>
    <d v="2025-09-01T00:00:00"/>
    <s v="AMT MENSUEL - LOPEZ PLOMBERIE ELECTRICITE - RACCORDEMENT ASPIRATION LABORATOIRE"/>
    <m/>
    <e v="#N/A"/>
    <e v="#N/A"/>
    <n v="90409"/>
    <s v="DOT.AMT.CORP.202509"/>
    <m/>
    <s v="Q3"/>
    <e v="#REF!"/>
    <e v="#REF!"/>
    <e v="#REF!"/>
  </r>
  <r>
    <s v="681120"/>
    <x v="6"/>
    <s v="Dotations sur immos corporelles"/>
    <s v="IM"/>
    <n v="30.17"/>
    <d v="2025-10-01T00:00:00"/>
    <s v="AMT MENSUEL - LOPEZ PLOMBERIE ELECTRICITE - RACCORDEMENT ASPIRATION LABORATOIRE"/>
    <m/>
    <e v="#N/A"/>
    <e v="#N/A"/>
    <n v="90425"/>
    <s v="DOT.AMT.CORP.202510"/>
    <m/>
    <s v="Q4"/>
    <e v="#REF!"/>
    <e v="#REF!"/>
    <e v="#REF!"/>
  </r>
  <r>
    <s v="681120"/>
    <x v="6"/>
    <s v="Dotations sur immos corporelles"/>
    <s v="IM"/>
    <n v="30.17"/>
    <d v="2025-11-01T00:00:00"/>
    <s v="AMT MENSUEL - LOPEZ PLOMBERIE ELECTRICITE - RACCORDEMENT ASPIRATION LABORATOIRE"/>
    <m/>
    <e v="#N/A"/>
    <e v="#N/A"/>
    <n v="90441"/>
    <s v="DOT.AMT.CORP.202511"/>
    <m/>
    <s v="Q4"/>
    <e v="#REF!"/>
    <e v="#REF!"/>
    <e v="#REF!"/>
  </r>
  <r>
    <s v="681120"/>
    <x v="6"/>
    <s v="Dotations sur immos corporelles"/>
    <s v="IM"/>
    <n v="30.17"/>
    <d v="2025-12-01T00:00:00"/>
    <s v="AMT MENSUEL - LOPEZ PLOMBERIE ELECTRICITE - RACCORDEMENT ASPIRATION LABORATOIRE"/>
    <m/>
    <e v="#N/A"/>
    <e v="#N/A"/>
    <n v="90457"/>
    <s v="DOT.AMT.CORP.202512"/>
    <m/>
    <s v="Q4"/>
    <e v="#REF!"/>
    <e v="#REF!"/>
    <e v="#REF!"/>
  </r>
  <r>
    <s v="681120"/>
    <x v="6"/>
    <s v="Dotations sur immos corporelles"/>
    <s v="IM"/>
    <n v="31.67"/>
    <d v="2025-08-01T00:00:00"/>
    <s v="AMT MENSUEL - APIE - BACS DE RÉTENTION ACIER GALVANISÉ 2 IBC OU 3 PALETTES EUROPES (COMPATIBLE RACKS)"/>
    <m/>
    <e v="#N/A"/>
    <e v="#N/A"/>
    <n v="90389"/>
    <s v="DOT.AMT.CORP.202508"/>
    <m/>
    <s v="Q3"/>
    <e v="#REF!"/>
    <e v="#REF!"/>
    <e v="#REF!"/>
  </r>
  <r>
    <s v="681120"/>
    <x v="6"/>
    <s v="Dotations sur immos corporelles"/>
    <s v="IM"/>
    <n v="31.67"/>
    <d v="2025-09-01T00:00:00"/>
    <s v="AMT MENSUEL - APIE - BACS DE RÉTENTION ACIER GALVANISÉ 2 IBC OU 3 PALETTES EUROPES (COMPATIBLE RACKS)"/>
    <m/>
    <e v="#N/A"/>
    <e v="#N/A"/>
    <n v="90403"/>
    <s v="DOT.AMT.CORP.202509"/>
    <m/>
    <s v="Q3"/>
    <e v="#REF!"/>
    <e v="#REF!"/>
    <e v="#REF!"/>
  </r>
  <r>
    <s v="681120"/>
    <x v="6"/>
    <s v="Dotations sur immos corporelles"/>
    <s v="IM"/>
    <n v="31.67"/>
    <d v="2025-10-01T00:00:00"/>
    <s v="AMT MENSUEL - APIE - BACS DE RÉTENTION ACIER GALVANISÉ 2 IBC OU 3 PALETTES EUROPES (COMPATIBLE RACKS)"/>
    <m/>
    <e v="#N/A"/>
    <e v="#N/A"/>
    <n v="90419"/>
    <s v="DOT.AMT.CORP.202510"/>
    <m/>
    <s v="Q4"/>
    <e v="#REF!"/>
    <e v="#REF!"/>
    <e v="#REF!"/>
  </r>
  <r>
    <s v="681120"/>
    <x v="6"/>
    <s v="Dotations sur immos corporelles"/>
    <s v="IM"/>
    <n v="31.67"/>
    <d v="2025-11-01T00:00:00"/>
    <s v="AMT MENSUEL - APIE - BACS DE RÉTENTION ACIER GALVANISÉ 2 IBC OU 3 PALETTES EUROPES (COMPATIBLE RACKS)"/>
    <m/>
    <e v="#N/A"/>
    <e v="#N/A"/>
    <n v="90435"/>
    <s v="DOT.AMT.CORP.202511"/>
    <m/>
    <s v="Q4"/>
    <e v="#REF!"/>
    <e v="#REF!"/>
    <e v="#REF!"/>
  </r>
  <r>
    <s v="681120"/>
    <x v="6"/>
    <s v="Dotations sur immos corporelles"/>
    <s v="IM"/>
    <n v="31.67"/>
    <d v="2025-12-01T00:00:00"/>
    <s v="AMT MENSUEL - APIE - BACS DE RÉTENTION ACIER GALVANISÉ 2 IBC OU 3 PALETTES EUROPES (COMPATIBLE RACKS)"/>
    <m/>
    <e v="#N/A"/>
    <e v="#N/A"/>
    <n v="90451"/>
    <s v="DOT.AMT.CORP.202512"/>
    <m/>
    <s v="Q4"/>
    <e v="#REF!"/>
    <e v="#REF!"/>
    <e v="#REF!"/>
  </r>
  <r>
    <s v="681120"/>
    <x v="6"/>
    <s v="Dotations sur immos corporelles"/>
    <s v="IM"/>
    <n v="34.04"/>
    <d v="2025-04-01T00:00:00"/>
    <s v="AMT MENSUEL - DENIOS - DÉTECTEUR HCN POUR KEENB"/>
    <m/>
    <e v="#N/A"/>
    <e v="#N/A"/>
    <n v="90363"/>
    <s v="DOT.AMT.CORP.202504"/>
    <m/>
    <s v="Q2"/>
    <e v="#REF!"/>
    <e v="#REF!"/>
    <e v="#REF!"/>
  </r>
  <r>
    <s v="681120"/>
    <x v="6"/>
    <s v="Dotations sur immos corporelles"/>
    <s v="IM"/>
    <n v="34.04"/>
    <d v="2025-05-01T00:00:00"/>
    <s v="AMT MENSUEL - DENIOS - DÉTECTEUR HCN POUR KEENB"/>
    <m/>
    <e v="#N/A"/>
    <e v="#N/A"/>
    <n v="90369"/>
    <s v="DOT.AMT.CORP.202505"/>
    <m/>
    <s v="Q2"/>
    <e v="#REF!"/>
    <e v="#REF!"/>
    <e v="#REF!"/>
  </r>
  <r>
    <s v="681120"/>
    <x v="6"/>
    <s v="Dotations sur immos corporelles"/>
    <s v="IM"/>
    <n v="34.04"/>
    <d v="2025-06-01T00:00:00"/>
    <s v="AMT MENSUEL - DENIOS - DÉTECTEUR HCN POUR KEENB"/>
    <m/>
    <e v="#N/A"/>
    <e v="#N/A"/>
    <n v="90375"/>
    <s v="DOT.AMT.CORP.202506"/>
    <m/>
    <s v="Q2"/>
    <e v="#REF!"/>
    <e v="#REF!"/>
    <e v="#REF!"/>
  </r>
  <r>
    <s v="681120"/>
    <x v="6"/>
    <s v="Dotations sur immos corporelles"/>
    <s v="IM"/>
    <n v="34.04"/>
    <d v="2025-07-01T00:00:00"/>
    <s v="AMT MENSUEL - DENIOS - DÉTECTEUR HCN POUR KEENB"/>
    <m/>
    <e v="#N/A"/>
    <e v="#N/A"/>
    <n v="90381"/>
    <s v="DOT.AMT.CORP.202507"/>
    <m/>
    <s v="Q3"/>
    <e v="#REF!"/>
    <e v="#REF!"/>
    <e v="#REF!"/>
  </r>
  <r>
    <s v="681120"/>
    <x v="6"/>
    <s v="Dotations sur immos corporelles"/>
    <s v="IM"/>
    <n v="34.04"/>
    <d v="2025-08-01T00:00:00"/>
    <s v="AMT MENSUEL - DENIOS - DÉTECTEUR HCN POUR KEENB"/>
    <m/>
    <e v="#N/A"/>
    <e v="#N/A"/>
    <n v="90387"/>
    <s v="DOT.AMT.CORP.202508"/>
    <m/>
    <s v="Q3"/>
    <e v="#REF!"/>
    <e v="#REF!"/>
    <e v="#REF!"/>
  </r>
  <r>
    <s v="681120"/>
    <x v="6"/>
    <s v="Dotations sur immos corporelles"/>
    <s v="IM"/>
    <n v="34.04"/>
    <d v="2025-09-01T00:00:00"/>
    <s v="AMT MENSUEL - DENIOS - DÉTECTEUR HCN POUR KEENB"/>
    <m/>
    <e v="#N/A"/>
    <e v="#N/A"/>
    <n v="90401"/>
    <s v="DOT.AMT.CORP.202509"/>
    <m/>
    <s v="Q3"/>
    <e v="#REF!"/>
    <e v="#REF!"/>
    <e v="#REF!"/>
  </r>
  <r>
    <s v="681120"/>
    <x v="6"/>
    <s v="Dotations sur immos corporelles"/>
    <s v="IM"/>
    <n v="34.04"/>
    <d v="2025-10-01T00:00:00"/>
    <s v="AMT MENSUEL - DENIOS - DÉTECTEUR HCN POUR KEENB"/>
    <m/>
    <e v="#N/A"/>
    <e v="#N/A"/>
    <n v="90417"/>
    <s v="DOT.AMT.CORP.202510"/>
    <m/>
    <s v="Q4"/>
    <e v="#REF!"/>
    <e v="#REF!"/>
    <e v="#REF!"/>
  </r>
  <r>
    <s v="681120"/>
    <x v="6"/>
    <s v="Dotations sur immos corporelles"/>
    <s v="IM"/>
    <n v="34.04"/>
    <d v="2025-11-01T00:00:00"/>
    <s v="AMT MENSUEL - DENIOS - DÉTECTEUR HCN POUR KEENB"/>
    <m/>
    <e v="#N/A"/>
    <e v="#N/A"/>
    <n v="90433"/>
    <s v="DOT.AMT.CORP.202511"/>
    <m/>
    <s v="Q4"/>
    <e v="#REF!"/>
    <e v="#REF!"/>
    <e v="#REF!"/>
  </r>
  <r>
    <s v="681120"/>
    <x v="6"/>
    <s v="Dotations sur immos corporelles"/>
    <s v="IM"/>
    <n v="34.04"/>
    <d v="2025-12-01T00:00:00"/>
    <s v="AMT MENSUEL - DENIOS - DÉTECTEUR HCN POUR KEENB"/>
    <m/>
    <e v="#N/A"/>
    <e v="#N/A"/>
    <n v="90449"/>
    <s v="DOT.AMT.CORP.202512"/>
    <m/>
    <s v="Q4"/>
    <e v="#REF!"/>
    <e v="#REF!"/>
    <e v="#REF!"/>
  </r>
  <r>
    <s v="681120"/>
    <x v="6"/>
    <s v="Dotations sur immos corporelles"/>
    <s v="IM"/>
    <n v="34.58"/>
    <d v="2025-08-01T00:00:00"/>
    <s v="AMT MENSUEL - COTE - PRISES LABORATOIRE, PRISES ATEX, ALIMENTATION CLIM + AIR, PLANS"/>
    <m/>
    <e v="#N/A"/>
    <e v="#N/A"/>
    <n v="90391"/>
    <s v="DOT.AMT.CORP.202508"/>
    <m/>
    <s v="Q3"/>
    <e v="#REF!"/>
    <e v="#REF!"/>
    <e v="#REF!"/>
  </r>
  <r>
    <s v="681120"/>
    <x v="6"/>
    <s v="Dotations sur immos corporelles"/>
    <s v="IM"/>
    <n v="34.58"/>
    <d v="2025-09-01T00:00:00"/>
    <s v="AMT MENSUEL - COTE - PRISES LABORATOIRE, PRISES ATEX, ALIMENTATION CLIM + AIR, PLANS"/>
    <m/>
    <e v="#N/A"/>
    <e v="#N/A"/>
    <n v="90405"/>
    <s v="DOT.AMT.CORP.202509"/>
    <m/>
    <s v="Q3"/>
    <e v="#REF!"/>
    <e v="#REF!"/>
    <e v="#REF!"/>
  </r>
  <r>
    <s v="681120"/>
    <x v="6"/>
    <s v="Dotations sur immos corporelles"/>
    <s v="IM"/>
    <n v="34.58"/>
    <d v="2025-10-01T00:00:00"/>
    <s v="AMT MENSUEL - COTE - PRISES LABORATOIRE, PRISES ATEX, ALIMENTATION CLIM + AIR, PLANS"/>
    <m/>
    <e v="#N/A"/>
    <e v="#N/A"/>
    <n v="90421"/>
    <s v="DOT.AMT.CORP.202510"/>
    <m/>
    <s v="Q4"/>
    <e v="#REF!"/>
    <e v="#REF!"/>
    <e v="#REF!"/>
  </r>
  <r>
    <s v="681120"/>
    <x v="6"/>
    <s v="Dotations sur immos corporelles"/>
    <s v="IM"/>
    <n v="34.58"/>
    <d v="2025-11-01T00:00:00"/>
    <s v="AMT MENSUEL - COTE - PRISES LABORATOIRE, PRISES ATEX, ALIMENTATION CLIM + AIR, PLANS"/>
    <m/>
    <e v="#N/A"/>
    <e v="#N/A"/>
    <n v="90437"/>
    <s v="DOT.AMT.CORP.202511"/>
    <m/>
    <s v="Q4"/>
    <e v="#REF!"/>
    <e v="#REF!"/>
    <e v="#REF!"/>
  </r>
  <r>
    <s v="681120"/>
    <x v="6"/>
    <s v="Dotations sur immos corporelles"/>
    <s v="IM"/>
    <n v="34.58"/>
    <d v="2025-12-01T00:00:00"/>
    <s v="AMT MENSUEL - COTE - PRISES LABORATOIRE, PRISES ATEX, ALIMENTATION CLIM + AIR, PLANS"/>
    <m/>
    <e v="#N/A"/>
    <e v="#N/A"/>
    <n v="90453"/>
    <s v="DOT.AMT.CORP.202512"/>
    <m/>
    <s v="Q4"/>
    <e v="#REF!"/>
    <e v="#REF!"/>
    <e v="#REF!"/>
  </r>
  <r>
    <s v="681120"/>
    <x v="6"/>
    <s v="Dotations sur immos corporelles"/>
    <s v="IM"/>
    <n v="37.58"/>
    <d v="2025-09-01T00:00:00"/>
    <s v="AMT MENSUEL - SCMI - DOUBLE PORTE ATELIER"/>
    <m/>
    <e v="#N/A"/>
    <e v="#N/A"/>
    <n v="90411"/>
    <s v="DOT.AMT.CORP.202509"/>
    <m/>
    <s v="Q3"/>
    <e v="#REF!"/>
    <e v="#REF!"/>
    <e v="#REF!"/>
  </r>
  <r>
    <s v="681120"/>
    <x v="6"/>
    <s v="Dotations sur immos corporelles"/>
    <s v="IM"/>
    <n v="37.58"/>
    <d v="2025-10-01T00:00:00"/>
    <s v="AMT MENSUEL - SCMI - DOUBLE PORTE ATELIER"/>
    <m/>
    <e v="#N/A"/>
    <e v="#N/A"/>
    <n v="90427"/>
    <s v="DOT.AMT.CORP.202510"/>
    <m/>
    <s v="Q4"/>
    <e v="#REF!"/>
    <e v="#REF!"/>
    <e v="#REF!"/>
  </r>
  <r>
    <s v="681120"/>
    <x v="6"/>
    <s v="Dotations sur immos corporelles"/>
    <s v="IM"/>
    <n v="37.58"/>
    <d v="2025-11-01T00:00:00"/>
    <s v="AMT MENSUEL - SCMI - DOUBLE PORTE ATELIER"/>
    <m/>
    <e v="#N/A"/>
    <e v="#N/A"/>
    <n v="90443"/>
    <s v="DOT.AMT.CORP.202511"/>
    <m/>
    <s v="Q4"/>
    <e v="#REF!"/>
    <e v="#REF!"/>
    <e v="#REF!"/>
  </r>
  <r>
    <s v="681120"/>
    <x v="6"/>
    <s v="Dotations sur immos corporelles"/>
    <s v="IM"/>
    <n v="37.58"/>
    <d v="2025-12-01T00:00:00"/>
    <s v="AMT MENSUEL - SCMI - DOUBLE PORTE ATELIER"/>
    <m/>
    <e v="#N/A"/>
    <e v="#N/A"/>
    <n v="90459"/>
    <s v="DOT.AMT.CORP.202512"/>
    <m/>
    <s v="Q4"/>
    <e v="#REF!"/>
    <e v="#REF!"/>
    <e v="#REF!"/>
  </r>
  <r>
    <s v="681120"/>
    <x v="6"/>
    <s v="Dotations sur immos corporelles"/>
    <s v="IM"/>
    <n v="40.46"/>
    <d v="2025-02-01T00:00:00"/>
    <s v="AMT MENSUEL - PROMINENT - POMPE ADDITION KL"/>
    <m/>
    <e v="#N/A"/>
    <e v="#N/A"/>
    <n v="90353"/>
    <s v="DOT.AMT.CORP.202502"/>
    <m/>
    <s v="Q1"/>
    <e v="#REF!"/>
    <e v="#REF!"/>
    <e v="#REF!"/>
  </r>
  <r>
    <s v="681120"/>
    <x v="6"/>
    <s v="Dotations sur immos corporelles"/>
    <s v="IM"/>
    <n v="40.46"/>
    <d v="2025-03-01T00:00:00"/>
    <s v="AMT MENSUEL - PROMINENT - POMPE ADDITION KL"/>
    <m/>
    <e v="#N/A"/>
    <e v="#N/A"/>
    <n v="90357"/>
    <s v="DOT.AMT.CORP.202503"/>
    <m/>
    <s v="Q1"/>
    <e v="#REF!"/>
    <e v="#REF!"/>
    <e v="#REF!"/>
  </r>
  <r>
    <s v="681120"/>
    <x v="6"/>
    <s v="Dotations sur immos corporelles"/>
    <s v="IM"/>
    <n v="40.46"/>
    <d v="2025-04-01T00:00:00"/>
    <s v="AMT MENSUEL - PROMINENT - POMPE ADDITION KL"/>
    <m/>
    <e v="#N/A"/>
    <e v="#N/A"/>
    <n v="90361"/>
    <s v="DOT.AMT.CORP.202504"/>
    <m/>
    <s v="Q2"/>
    <e v="#REF!"/>
    <e v="#REF!"/>
    <e v="#REF!"/>
  </r>
  <r>
    <s v="681120"/>
    <x v="6"/>
    <s v="Dotations sur immos corporelles"/>
    <s v="IM"/>
    <n v="40.46"/>
    <d v="2025-05-01T00:00:00"/>
    <s v="AMT MENSUEL - PROMINENT - POMPE ADDITION KL"/>
    <m/>
    <e v="#N/A"/>
    <e v="#N/A"/>
    <n v="90367"/>
    <s v="DOT.AMT.CORP.202505"/>
    <m/>
    <s v="Q2"/>
    <e v="#REF!"/>
    <e v="#REF!"/>
    <e v="#REF!"/>
  </r>
  <r>
    <s v="681120"/>
    <x v="6"/>
    <s v="Dotations sur immos corporelles"/>
    <s v="IM"/>
    <n v="40.46"/>
    <d v="2025-06-01T00:00:00"/>
    <s v="AMT MENSUEL - PROMINENT - POMPE ADDITION KL"/>
    <m/>
    <e v="#N/A"/>
    <e v="#N/A"/>
    <n v="90373"/>
    <s v="DOT.AMT.CORP.202506"/>
    <m/>
    <s v="Q2"/>
    <e v="#REF!"/>
    <e v="#REF!"/>
    <e v="#REF!"/>
  </r>
  <r>
    <s v="681120"/>
    <x v="6"/>
    <s v="Dotations sur immos corporelles"/>
    <s v="IM"/>
    <n v="40.46"/>
    <d v="2025-07-01T00:00:00"/>
    <s v="AMT MENSUEL - PROMINENT - POMPE ADDITION KL"/>
    <m/>
    <e v="#N/A"/>
    <e v="#N/A"/>
    <n v="90379"/>
    <s v="DOT.AMT.CORP.202507"/>
    <m/>
    <s v="Q3"/>
    <e v="#REF!"/>
    <e v="#REF!"/>
    <e v="#REF!"/>
  </r>
  <r>
    <s v="681120"/>
    <x v="6"/>
    <s v="Dotations sur immos corporelles"/>
    <s v="IM"/>
    <n v="40.46"/>
    <d v="2025-08-01T00:00:00"/>
    <s v="AMT MENSUEL - PROMINENT - POMPE ADDITION KL"/>
    <m/>
    <e v="#N/A"/>
    <e v="#N/A"/>
    <n v="90385"/>
    <s v="DOT.AMT.CORP.202508"/>
    <m/>
    <s v="Q3"/>
    <e v="#REF!"/>
    <e v="#REF!"/>
    <e v="#REF!"/>
  </r>
  <r>
    <s v="681120"/>
    <x v="6"/>
    <s v="Dotations sur immos corporelles"/>
    <s v="IM"/>
    <n v="40.46"/>
    <d v="2025-09-01T00:00:00"/>
    <s v="AMT MENSUEL - PROMINENT - POMPE ADDITION KL"/>
    <m/>
    <e v="#N/A"/>
    <e v="#N/A"/>
    <n v="90399"/>
    <s v="DOT.AMT.CORP.202509"/>
    <m/>
    <s v="Q3"/>
    <e v="#REF!"/>
    <e v="#REF!"/>
    <e v="#REF!"/>
  </r>
  <r>
    <s v="681120"/>
    <x v="6"/>
    <s v="Dotations sur immos corporelles"/>
    <s v="IM"/>
    <n v="40.46"/>
    <d v="2025-10-01T00:00:00"/>
    <s v="AMT MENSUEL - PROMINENT - POMPE ADDITION KL"/>
    <m/>
    <e v="#N/A"/>
    <e v="#N/A"/>
    <n v="90415"/>
    <s v="DOT.AMT.CORP.202510"/>
    <m/>
    <s v="Q4"/>
    <e v="#REF!"/>
    <e v="#REF!"/>
    <e v="#REF!"/>
  </r>
  <r>
    <s v="681120"/>
    <x v="6"/>
    <s v="Dotations sur immos corporelles"/>
    <s v="IM"/>
    <n v="40.46"/>
    <d v="2025-11-01T00:00:00"/>
    <s v="AMT MENSUEL - PROMINENT - POMPE ADDITION KL"/>
    <m/>
    <e v="#N/A"/>
    <e v="#N/A"/>
    <n v="90431"/>
    <s v="DOT.AMT.CORP.202511"/>
    <m/>
    <s v="Q4"/>
    <e v="#REF!"/>
    <e v="#REF!"/>
    <e v="#REF!"/>
  </r>
  <r>
    <s v="681120"/>
    <x v="6"/>
    <s v="Dotations sur immos corporelles"/>
    <s v="IM"/>
    <n v="40.46"/>
    <d v="2025-12-01T00:00:00"/>
    <s v="AMT MENSUEL - PROMINENT - POMPE ADDITION KL"/>
    <m/>
    <e v="#N/A"/>
    <e v="#N/A"/>
    <n v="90447"/>
    <s v="DOT.AMT.CORP.202512"/>
    <m/>
    <s v="Q4"/>
    <e v="#REF!"/>
    <e v="#REF!"/>
    <e v="#REF!"/>
  </r>
  <r>
    <s v="681120"/>
    <x v="6"/>
    <s v="Dotations sur immos corporelles"/>
    <s v="IM"/>
    <n v="75.209999999999994"/>
    <d v="2025-02-01T00:00:00"/>
    <s v="AMT MENSUEL - FISHER SCIENTIFIC - SPECTROMÈTRE UV LABO ROUSSILLON"/>
    <m/>
    <e v="#N/A"/>
    <e v="#N/A"/>
    <n v="90351"/>
    <s v="DOT.AMT.CORP.202502"/>
    <m/>
    <s v="Q1"/>
    <e v="#REF!"/>
    <e v="#REF!"/>
    <e v="#REF!"/>
  </r>
  <r>
    <s v="681120"/>
    <x v="6"/>
    <s v="Dotations sur immos corporelles"/>
    <s v="IM"/>
    <n v="75.209999999999994"/>
    <d v="2025-03-01T00:00:00"/>
    <s v="AMT MENSUEL - FISHER SCIENTIFIC - SPECTROMÈTRE UV LABO ROUSSILLON"/>
    <m/>
    <e v="#N/A"/>
    <e v="#N/A"/>
    <n v="90355"/>
    <s v="DOT.AMT.CORP.202503"/>
    <m/>
    <s v="Q1"/>
    <e v="#REF!"/>
    <e v="#REF!"/>
    <e v="#REF!"/>
  </r>
  <r>
    <s v="681120"/>
    <x v="6"/>
    <s v="Dotations sur immos corporelles"/>
    <s v="IM"/>
    <n v="75.209999999999994"/>
    <d v="2025-04-01T00:00:00"/>
    <s v="AMT MENSUEL - FISHER SCIENTIFIC - SPECTROMÈTRE UV LABO ROUSSILLON"/>
    <m/>
    <e v="#N/A"/>
    <e v="#N/A"/>
    <n v="90359"/>
    <s v="DOT.AMT.CORP.202504"/>
    <m/>
    <s v="Q2"/>
    <e v="#REF!"/>
    <e v="#REF!"/>
    <e v="#REF!"/>
  </r>
  <r>
    <s v="681120"/>
    <x v="6"/>
    <s v="Dotations sur immos corporelles"/>
    <s v="IM"/>
    <n v="75.209999999999994"/>
    <d v="2025-05-01T00:00:00"/>
    <s v="AMT MENSUEL - FISHER SCIENTIFIC - SPECTROMÈTRE UV LABO ROUSSILLON"/>
    <m/>
    <e v="#N/A"/>
    <e v="#N/A"/>
    <n v="90365"/>
    <s v="DOT.AMT.CORP.202505"/>
    <m/>
    <s v="Q2"/>
    <e v="#REF!"/>
    <e v="#REF!"/>
    <e v="#REF!"/>
  </r>
  <r>
    <s v="681120"/>
    <x v="6"/>
    <s v="Dotations sur immos corporelles"/>
    <s v="IM"/>
    <n v="75.209999999999994"/>
    <d v="2025-06-01T00:00:00"/>
    <s v="AMT MENSUEL - FISHER SCIENTIFIC - SPECTROMÈTRE UV LABO ROUSSILLON"/>
    <m/>
    <e v="#N/A"/>
    <e v="#N/A"/>
    <n v="90371"/>
    <s v="DOT.AMT.CORP.202506"/>
    <m/>
    <s v="Q2"/>
    <e v="#REF!"/>
    <e v="#REF!"/>
    <e v="#REF!"/>
  </r>
  <r>
    <s v="681120"/>
    <x v="6"/>
    <s v="Dotations sur immos corporelles"/>
    <s v="IM"/>
    <n v="75.209999999999994"/>
    <d v="2025-07-01T00:00:00"/>
    <s v="AMT MENSUEL - FISHER SCIENTIFIC - SPECTROMÈTRE UV LABO ROUSSILLON"/>
    <m/>
    <e v="#N/A"/>
    <e v="#N/A"/>
    <n v="90377"/>
    <s v="DOT.AMT.CORP.202507"/>
    <m/>
    <s v="Q3"/>
    <e v="#REF!"/>
    <e v="#REF!"/>
    <e v="#REF!"/>
  </r>
  <r>
    <s v="681120"/>
    <x v="6"/>
    <s v="Dotations sur immos corporelles"/>
    <s v="IM"/>
    <n v="75.209999999999994"/>
    <d v="2025-08-01T00:00:00"/>
    <s v="AMT MENSUEL - FISHER SCIENTIFIC - SPECTROMÈTRE UV LABO ROUSSILLON"/>
    <m/>
    <e v="#N/A"/>
    <e v="#N/A"/>
    <n v="90383"/>
    <s v="DOT.AMT.CORP.202508"/>
    <m/>
    <s v="Q3"/>
    <e v="#REF!"/>
    <e v="#REF!"/>
    <e v="#REF!"/>
  </r>
  <r>
    <s v="681120"/>
    <x v="6"/>
    <s v="Dotations sur immos corporelles"/>
    <s v="IM"/>
    <n v="75.209999999999994"/>
    <d v="2025-09-01T00:00:00"/>
    <s v="AMT MENSUEL - FISHER SCIENTIFIC - SPECTROMÈTRE UV LABO ROUSSILLON"/>
    <m/>
    <e v="#N/A"/>
    <e v="#N/A"/>
    <n v="90397"/>
    <s v="DOT.AMT.CORP.202509"/>
    <m/>
    <s v="Q3"/>
    <e v="#REF!"/>
    <e v="#REF!"/>
    <e v="#REF!"/>
  </r>
  <r>
    <s v="681120"/>
    <x v="6"/>
    <s v="Dotations sur immos corporelles"/>
    <s v="IM"/>
    <n v="75.209999999999994"/>
    <d v="2025-10-01T00:00:00"/>
    <s v="AMT MENSUEL - FISHER SCIENTIFIC - SPECTROMÈTRE UV LABO ROUSSILLON"/>
    <m/>
    <e v="#N/A"/>
    <e v="#N/A"/>
    <n v="90413"/>
    <s v="DOT.AMT.CORP.202510"/>
    <m/>
    <s v="Q4"/>
    <e v="#REF!"/>
    <e v="#REF!"/>
    <e v="#REF!"/>
  </r>
  <r>
    <s v="681120"/>
    <x v="6"/>
    <s v="Dotations sur immos corporelles"/>
    <s v="IM"/>
    <n v="75.209999999999994"/>
    <d v="2025-11-01T00:00:00"/>
    <s v="AMT MENSUEL - FISHER SCIENTIFIC - SPECTROMÈTRE UV LABO ROUSSILLON"/>
    <m/>
    <e v="#N/A"/>
    <e v="#N/A"/>
    <n v="90429"/>
    <s v="DOT.AMT.CORP.202511"/>
    <m/>
    <s v="Q4"/>
    <e v="#REF!"/>
    <e v="#REF!"/>
    <e v="#REF!"/>
  </r>
  <r>
    <s v="681120"/>
    <x v="6"/>
    <s v="Dotations sur immos corporelles"/>
    <s v="IM"/>
    <n v="75.209999999999994"/>
    <d v="2025-12-01T00:00:00"/>
    <s v="AMT MENSUEL - FISHER SCIENTIFIC - SPECTROMÈTRE UV LABO ROUSSILLON"/>
    <m/>
    <e v="#N/A"/>
    <e v="#N/A"/>
    <n v="90445"/>
    <s v="DOT.AMT.CORP.202512"/>
    <m/>
    <s v="Q4"/>
    <e v="#REF!"/>
    <e v="#REF!"/>
    <e v="#REF!"/>
  </r>
  <r>
    <s v="681120"/>
    <x v="6"/>
    <s v="Dotations sur immos corporelles"/>
    <s v="IM"/>
    <n v="216.67"/>
    <d v="2025-08-01T00:00:00"/>
    <s v="AMT MENSUEL - LOPEZ PLOMBERIE ELECTRICITE - CHAUFFAGE / CLIMATISATION LABORATOIRE + APPORT D'AIR LABORATOIRE"/>
    <m/>
    <e v="#N/A"/>
    <e v="#N/A"/>
    <n v="90393"/>
    <s v="DOT.AMT.CORP.202508"/>
    <m/>
    <s v="Q3"/>
    <e v="#REF!"/>
    <e v="#REF!"/>
    <e v="#REF!"/>
  </r>
  <r>
    <s v="681120"/>
    <x v="6"/>
    <s v="Dotations sur immos corporelles"/>
    <s v="IM"/>
    <n v="216.67"/>
    <d v="2025-09-01T00:00:00"/>
    <s v="AMT MENSUEL - LOPEZ PLOMBERIE ELECTRICITE - CHAUFFAGE / CLIMATISATION LABORATOIRE + APPORT D'AIR LABORATOIRE"/>
    <m/>
    <e v="#N/A"/>
    <e v="#N/A"/>
    <n v="90407"/>
    <s v="DOT.AMT.CORP.202509"/>
    <m/>
    <s v="Q3"/>
    <e v="#REF!"/>
    <e v="#REF!"/>
    <e v="#REF!"/>
  </r>
  <r>
    <s v="681120"/>
    <x v="6"/>
    <s v="Dotations sur immos corporelles"/>
    <s v="IM"/>
    <n v="216.67"/>
    <d v="2025-10-01T00:00:00"/>
    <s v="AMT MENSUEL - LOPEZ PLOMBERIE ELECTRICITE - CHAUFFAGE / CLIMATISATION LABORATOIRE + APPORT D'AIR LABORATOIRE"/>
    <m/>
    <e v="#N/A"/>
    <e v="#N/A"/>
    <n v="90423"/>
    <s v="DOT.AMT.CORP.202510"/>
    <m/>
    <s v="Q4"/>
    <e v="#REF!"/>
    <e v="#REF!"/>
    <e v="#REF!"/>
  </r>
  <r>
    <s v="681120"/>
    <x v="6"/>
    <s v="Dotations sur immos corporelles"/>
    <s v="IM"/>
    <n v="216.67"/>
    <d v="2025-11-01T00:00:00"/>
    <s v="AMT MENSUEL - LOPEZ PLOMBERIE ELECTRICITE - CHAUFFAGE / CLIMATISATION LABORATOIRE + APPORT D'AIR LABORATOIRE"/>
    <m/>
    <e v="#N/A"/>
    <e v="#N/A"/>
    <n v="90439"/>
    <s v="DOT.AMT.CORP.202511"/>
    <m/>
    <s v="Q4"/>
    <e v="#REF!"/>
    <e v="#REF!"/>
    <e v="#REF!"/>
  </r>
  <r>
    <s v="681120"/>
    <x v="6"/>
    <s v="Dotations sur immos corporelles"/>
    <s v="IM"/>
    <n v="216.67"/>
    <d v="2025-12-01T00:00:00"/>
    <s v="AMT MENSUEL - LOPEZ PLOMBERIE ELECTRICITE - CHAUFFAGE / CLIMATISATION LABORATOIRE + APPORT D'AIR LABORATOIRE"/>
    <m/>
    <e v="#N/A"/>
    <e v="#N/A"/>
    <n v="90455"/>
    <s v="DOT.AMT.CORP.202512"/>
    <m/>
    <s v="Q4"/>
    <e v="#REF!"/>
    <e v="#REF!"/>
    <e v="#REF!"/>
  </r>
  <r>
    <s v="681120"/>
    <x v="6"/>
    <s v="Dotations sur immos corporelles"/>
    <s v="IM"/>
    <n v="225.47"/>
    <d v="2025-01-31T00:00:00"/>
    <s v="Amortissement Manuel - 2025"/>
    <m/>
    <e v="#N/A"/>
    <e v="#N/A"/>
    <n v="86004"/>
    <m/>
    <m/>
    <s v="Q1"/>
    <e v="#REF!"/>
    <e v="#REF!"/>
    <e v="#REF!"/>
  </r>
  <r>
    <s v="681120"/>
    <x v="6"/>
    <s v="Dotations sur immos corporelles"/>
    <s v="IM"/>
    <n v="225.47"/>
    <d v="2025-02-28T00:00:00"/>
    <s v="Amortissement Manuel - 2025"/>
    <m/>
    <e v="#N/A"/>
    <e v="#N/A"/>
    <n v="86042"/>
    <m/>
    <m/>
    <s v="Q1"/>
    <e v="#REF!"/>
    <e v="#REF!"/>
    <e v="#REF!"/>
  </r>
  <r>
    <s v="681120"/>
    <x v="6"/>
    <s v="Dotations sur immos corporelles"/>
    <s v="IM"/>
    <n v="225.47"/>
    <d v="2025-03-31T00:00:00"/>
    <s v="Amortissement Manuel - 2025"/>
    <m/>
    <e v="#N/A"/>
    <e v="#N/A"/>
    <n v="86061"/>
    <m/>
    <m/>
    <s v="Q1"/>
    <e v="#REF!"/>
    <e v="#REF!"/>
    <e v="#REF!"/>
  </r>
  <r>
    <s v="681120"/>
    <x v="6"/>
    <s v="Dotations sur immos corporelles"/>
    <s v="IM"/>
    <n v="225.47"/>
    <d v="2025-04-30T00:00:00"/>
    <s v="Amortissement Manuel - 2025"/>
    <m/>
    <e v="#N/A"/>
    <e v="#N/A"/>
    <n v="86080"/>
    <m/>
    <m/>
    <s v="Q2"/>
    <e v="#REF!"/>
    <e v="#REF!"/>
    <e v="#REF!"/>
  </r>
  <r>
    <s v="681120"/>
    <x v="6"/>
    <s v="Dotations sur immos corporelles"/>
    <s v="IM"/>
    <n v="225.47"/>
    <d v="2025-05-31T00:00:00"/>
    <s v="Amortissement Manuel - 2025"/>
    <m/>
    <e v="#N/A"/>
    <e v="#N/A"/>
    <n v="86099"/>
    <m/>
    <m/>
    <s v="Q2"/>
    <e v="#REF!"/>
    <e v="#REF!"/>
    <e v="#REF!"/>
  </r>
  <r>
    <s v="681120"/>
    <x v="6"/>
    <s v="Dotations sur immos corporelles"/>
    <s v="IM"/>
    <n v="225.47"/>
    <d v="2025-06-30T00:00:00"/>
    <s v="Amortissement Manuel - 2025"/>
    <m/>
    <e v="#N/A"/>
    <e v="#N/A"/>
    <n v="86118"/>
    <m/>
    <m/>
    <s v="Q2"/>
    <e v="#REF!"/>
    <e v="#REF!"/>
    <e v="#REF!"/>
  </r>
  <r>
    <s v="681120"/>
    <x v="6"/>
    <s v="Dotations sur immos corporelles"/>
    <s v="IM"/>
    <n v="225.47"/>
    <d v="2025-07-31T00:00:00"/>
    <s v="Amortissement Manuel - 2025"/>
    <m/>
    <e v="#N/A"/>
    <e v="#N/A"/>
    <n v="86137"/>
    <m/>
    <m/>
    <s v="Q3"/>
    <e v="#REF!"/>
    <e v="#REF!"/>
    <e v="#REF!"/>
  </r>
  <r>
    <s v="681120"/>
    <x v="6"/>
    <s v="Dotations sur immos corporelles"/>
    <s v="IM"/>
    <n v="225.47"/>
    <d v="2025-08-31T00:00:00"/>
    <s v="Amortissement Manuel - 2025"/>
    <m/>
    <e v="#N/A"/>
    <e v="#N/A"/>
    <n v="86156"/>
    <m/>
    <m/>
    <s v="Q3"/>
    <e v="#REF!"/>
    <e v="#REF!"/>
    <e v="#REF!"/>
  </r>
  <r>
    <s v="681120"/>
    <x v="6"/>
    <s v="Dotations sur immos corporelles"/>
    <s v="IM"/>
    <n v="225.47"/>
    <d v="2025-09-30T00:00:00"/>
    <s v="Amortissement Manuel - 2025"/>
    <m/>
    <e v="#N/A"/>
    <e v="#N/A"/>
    <n v="86175"/>
    <m/>
    <m/>
    <s v="Q3"/>
    <e v="#REF!"/>
    <e v="#REF!"/>
    <e v="#REF!"/>
  </r>
  <r>
    <s v="681120"/>
    <x v="6"/>
    <s v="Dotations sur immos corporelles"/>
    <s v="IM"/>
    <n v="225.47"/>
    <d v="2025-10-31T00:00:00"/>
    <s v="Amortissement Manuel - 2025"/>
    <m/>
    <e v="#N/A"/>
    <e v="#N/A"/>
    <n v="90305"/>
    <m/>
    <m/>
    <s v="Q4"/>
    <e v="#REF!"/>
    <e v="#REF!"/>
    <e v="#REF!"/>
  </r>
  <r>
    <s v="681120"/>
    <x v="6"/>
    <s v="Dotations sur immos corporelles"/>
    <s v="IM"/>
    <n v="225.47"/>
    <d v="2025-11-30T00:00:00"/>
    <s v="Amortissement Manuel - 2025"/>
    <m/>
    <e v="#N/A"/>
    <e v="#N/A"/>
    <n v="90324"/>
    <m/>
    <m/>
    <s v="Q4"/>
    <e v="#REF!"/>
    <e v="#REF!"/>
    <e v="#REF!"/>
  </r>
  <r>
    <s v="681120"/>
    <x v="6"/>
    <s v="Dotations sur immos corporelles"/>
    <s v="IM"/>
    <n v="225.47"/>
    <d v="2025-12-31T00:00:00"/>
    <s v="Amortissement Manuel - 2025"/>
    <m/>
    <e v="#N/A"/>
    <e v="#N/A"/>
    <n v="90345"/>
    <m/>
    <m/>
    <s v="Q4"/>
    <e v="#REF!"/>
    <e v="#REF!"/>
    <e v="#REF!"/>
  </r>
  <r>
    <s v="681120"/>
    <x v="6"/>
    <s v="Dotations sur immos corporelles"/>
    <s v="IM"/>
    <n v="303.12"/>
    <d v="2025-01-31T00:00:00"/>
    <s v="Amortissement Manuel - 2025"/>
    <m/>
    <e v="#N/A"/>
    <e v="#N/A"/>
    <n v="86007"/>
    <m/>
    <m/>
    <s v="Q1"/>
    <e v="#REF!"/>
    <e v="#REF!"/>
    <e v="#REF!"/>
  </r>
  <r>
    <s v="681120"/>
    <x v="6"/>
    <s v="Dotations sur immos corporelles"/>
    <s v="IM"/>
    <n v="303.12"/>
    <d v="2025-02-28T00:00:00"/>
    <s v="Amortissement Manuel - 2025"/>
    <m/>
    <e v="#N/A"/>
    <e v="#N/A"/>
    <n v="86045"/>
    <m/>
    <m/>
    <s v="Q1"/>
    <e v="#REF!"/>
    <e v="#REF!"/>
    <e v="#REF!"/>
  </r>
  <r>
    <s v="681120"/>
    <x v="6"/>
    <s v="Dotations sur immos corporelles"/>
    <s v="IM"/>
    <n v="303.12"/>
    <d v="2025-03-31T00:00:00"/>
    <s v="Amortissement Manuel - 2025"/>
    <m/>
    <e v="#N/A"/>
    <e v="#N/A"/>
    <n v="86064"/>
    <m/>
    <m/>
    <s v="Q1"/>
    <e v="#REF!"/>
    <e v="#REF!"/>
    <e v="#REF!"/>
  </r>
  <r>
    <s v="681120"/>
    <x v="6"/>
    <s v="Dotations sur immos corporelles"/>
    <s v="IM"/>
    <n v="303.12"/>
    <d v="2025-04-30T00:00:00"/>
    <s v="Amortissement Manuel - 2025"/>
    <m/>
    <e v="#N/A"/>
    <e v="#N/A"/>
    <n v="86083"/>
    <m/>
    <m/>
    <s v="Q2"/>
    <e v="#REF!"/>
    <e v="#REF!"/>
    <e v="#REF!"/>
  </r>
  <r>
    <s v="681120"/>
    <x v="6"/>
    <s v="Dotations sur immos corporelles"/>
    <s v="IM"/>
    <n v="303.12"/>
    <d v="2025-05-31T00:00:00"/>
    <s v="Amortissement Manuel - 2025"/>
    <m/>
    <e v="#N/A"/>
    <e v="#N/A"/>
    <n v="86102"/>
    <m/>
    <m/>
    <s v="Q2"/>
    <e v="#REF!"/>
    <e v="#REF!"/>
    <e v="#REF!"/>
  </r>
  <r>
    <s v="681120"/>
    <x v="6"/>
    <s v="Dotations sur immos corporelles"/>
    <s v="IM"/>
    <n v="303.12"/>
    <d v="2025-06-30T00:00:00"/>
    <s v="Amortissement Manuel - 2025"/>
    <m/>
    <e v="#N/A"/>
    <e v="#N/A"/>
    <n v="86121"/>
    <m/>
    <m/>
    <s v="Q2"/>
    <e v="#REF!"/>
    <e v="#REF!"/>
    <e v="#REF!"/>
  </r>
  <r>
    <s v="681120"/>
    <x v="6"/>
    <s v="Dotations sur immos corporelles"/>
    <s v="IM"/>
    <n v="303.12"/>
    <d v="2025-07-31T00:00:00"/>
    <s v="Amortissement Manuel - 2025"/>
    <m/>
    <e v="#N/A"/>
    <e v="#N/A"/>
    <n v="86140"/>
    <m/>
    <m/>
    <s v="Q3"/>
    <e v="#REF!"/>
    <e v="#REF!"/>
    <e v="#REF!"/>
  </r>
  <r>
    <s v="681120"/>
    <x v="6"/>
    <s v="Dotations sur immos corporelles"/>
    <s v="IM"/>
    <n v="303.12"/>
    <d v="2025-08-31T00:00:00"/>
    <s v="Amortissement Manuel - 2025"/>
    <m/>
    <e v="#N/A"/>
    <e v="#N/A"/>
    <n v="86159"/>
    <m/>
    <m/>
    <s v="Q3"/>
    <e v="#REF!"/>
    <e v="#REF!"/>
    <e v="#REF!"/>
  </r>
  <r>
    <s v="681120"/>
    <x v="6"/>
    <s v="Dotations sur immos corporelles"/>
    <s v="IM"/>
    <n v="303.12"/>
    <d v="2025-09-30T00:00:00"/>
    <s v="Amortissement Manuel - 2025"/>
    <m/>
    <e v="#N/A"/>
    <e v="#N/A"/>
    <n v="86178"/>
    <m/>
    <m/>
    <s v="Q3"/>
    <e v="#REF!"/>
    <e v="#REF!"/>
    <e v="#REF!"/>
  </r>
  <r>
    <s v="681120"/>
    <x v="6"/>
    <s v="Dotations sur immos corporelles"/>
    <s v="IM"/>
    <n v="303.12"/>
    <d v="2025-10-31T00:00:00"/>
    <s v="Amortissement Manuel - 2025"/>
    <m/>
    <e v="#N/A"/>
    <e v="#N/A"/>
    <n v="90308"/>
    <m/>
    <m/>
    <s v="Q4"/>
    <e v="#REF!"/>
    <e v="#REF!"/>
    <e v="#REF!"/>
  </r>
  <r>
    <s v="681120"/>
    <x v="6"/>
    <s v="Dotations sur immos corporelles"/>
    <s v="IM"/>
    <n v="303.12"/>
    <d v="2025-11-30T00:00:00"/>
    <s v="Amortissement Manuel - 2025"/>
    <m/>
    <e v="#N/A"/>
    <e v="#N/A"/>
    <n v="90327"/>
    <m/>
    <m/>
    <s v="Q4"/>
    <e v="#REF!"/>
    <e v="#REF!"/>
    <e v="#REF!"/>
  </r>
  <r>
    <s v="681120"/>
    <x v="6"/>
    <s v="Dotations sur immos corporelles"/>
    <s v="IM"/>
    <n v="303.12"/>
    <d v="2025-12-31T00:00:00"/>
    <s v="Amortissement Manuel - 2025"/>
    <m/>
    <e v="#N/A"/>
    <e v="#N/A"/>
    <n v="90348"/>
    <m/>
    <m/>
    <s v="Q4"/>
    <e v="#REF!"/>
    <e v="#REF!"/>
    <e v="#REF!"/>
  </r>
  <r>
    <s v="681120"/>
    <x v="6"/>
    <s v="Dotations sur immos corporelles"/>
    <s v="IM"/>
    <n v="423.33"/>
    <d v="2025-01-31T00:00:00"/>
    <s v="Amortissement Manuel - 2025"/>
    <m/>
    <e v="#N/A"/>
    <e v="#N/A"/>
    <n v="86008"/>
    <m/>
    <m/>
    <s v="Q1"/>
    <e v="#REF!"/>
    <e v="#REF!"/>
    <e v="#REF!"/>
  </r>
  <r>
    <s v="681120"/>
    <x v="6"/>
    <s v="Dotations sur immos corporelles"/>
    <s v="IM"/>
    <n v="423.33"/>
    <d v="2025-02-28T00:00:00"/>
    <s v="Amortissement Manuel - 2025"/>
    <m/>
    <e v="#N/A"/>
    <e v="#N/A"/>
    <n v="86046"/>
    <m/>
    <m/>
    <s v="Q1"/>
    <e v="#REF!"/>
    <e v="#REF!"/>
    <e v="#REF!"/>
  </r>
  <r>
    <s v="681120"/>
    <x v="6"/>
    <s v="Dotations sur immos corporelles"/>
    <s v="IM"/>
    <n v="423.33"/>
    <d v="2025-03-31T00:00:00"/>
    <s v="Amortissement Manuel - 2025"/>
    <m/>
    <e v="#N/A"/>
    <e v="#N/A"/>
    <n v="86065"/>
    <m/>
    <m/>
    <s v="Q1"/>
    <e v="#REF!"/>
    <e v="#REF!"/>
    <e v="#REF!"/>
  </r>
  <r>
    <s v="681120"/>
    <x v="6"/>
    <s v="Dotations sur immos corporelles"/>
    <s v="IM"/>
    <n v="423.33"/>
    <d v="2025-04-30T00:00:00"/>
    <s v="Amortissement Manuel - 2025"/>
    <m/>
    <e v="#N/A"/>
    <e v="#N/A"/>
    <n v="86084"/>
    <m/>
    <m/>
    <s v="Q2"/>
    <e v="#REF!"/>
    <e v="#REF!"/>
    <e v="#REF!"/>
  </r>
  <r>
    <s v="681120"/>
    <x v="6"/>
    <s v="Dotations sur immos corporelles"/>
    <s v="IM"/>
    <n v="423.33"/>
    <d v="2025-05-31T00:00:00"/>
    <s v="Amortissement Manuel - 2025"/>
    <m/>
    <e v="#N/A"/>
    <e v="#N/A"/>
    <n v="86103"/>
    <m/>
    <m/>
    <s v="Q2"/>
    <e v="#REF!"/>
    <e v="#REF!"/>
    <e v="#REF!"/>
  </r>
  <r>
    <s v="681120"/>
    <x v="6"/>
    <s v="Dotations sur immos corporelles"/>
    <s v="IM"/>
    <n v="423.33"/>
    <d v="2025-06-30T00:00:00"/>
    <s v="Amortissement Manuel - 2025"/>
    <m/>
    <e v="#N/A"/>
    <e v="#N/A"/>
    <n v="86122"/>
    <m/>
    <m/>
    <s v="Q2"/>
    <e v="#REF!"/>
    <e v="#REF!"/>
    <e v="#REF!"/>
  </r>
  <r>
    <s v="681120"/>
    <x v="6"/>
    <s v="Dotations sur immos corporelles"/>
    <s v="IM"/>
    <n v="423.33"/>
    <d v="2025-07-31T00:00:00"/>
    <s v="Amortissement Manuel - 2025"/>
    <m/>
    <e v="#N/A"/>
    <e v="#N/A"/>
    <n v="86141"/>
    <m/>
    <m/>
    <s v="Q3"/>
    <e v="#REF!"/>
    <e v="#REF!"/>
    <e v="#REF!"/>
  </r>
  <r>
    <s v="681120"/>
    <x v="6"/>
    <s v="Dotations sur immos corporelles"/>
    <s v="IM"/>
    <n v="423.33"/>
    <d v="2025-08-31T00:00:00"/>
    <s v="Amortissement Manuel - 2025"/>
    <m/>
    <e v="#N/A"/>
    <e v="#N/A"/>
    <n v="86160"/>
    <m/>
    <m/>
    <s v="Q3"/>
    <e v="#REF!"/>
    <e v="#REF!"/>
    <e v="#REF!"/>
  </r>
  <r>
    <s v="681120"/>
    <x v="6"/>
    <s v="Dotations sur immos corporelles"/>
    <s v="IM"/>
    <n v="423.33"/>
    <d v="2025-09-30T00:00:00"/>
    <s v="Amortissement Manuel - 2025"/>
    <m/>
    <e v="#N/A"/>
    <e v="#N/A"/>
    <n v="86179"/>
    <m/>
    <m/>
    <s v="Q3"/>
    <e v="#REF!"/>
    <e v="#REF!"/>
    <e v="#REF!"/>
  </r>
  <r>
    <s v="681120"/>
    <x v="6"/>
    <s v="Dotations sur immos corporelles"/>
    <s v="IM"/>
    <n v="423.33"/>
    <d v="2025-10-31T00:00:00"/>
    <s v="Amortissement Manuel - 2025"/>
    <m/>
    <e v="#N/A"/>
    <e v="#N/A"/>
    <n v="90309"/>
    <m/>
    <m/>
    <s v="Q4"/>
    <e v="#REF!"/>
    <e v="#REF!"/>
    <e v="#REF!"/>
  </r>
  <r>
    <s v="681120"/>
    <x v="6"/>
    <s v="Dotations sur immos corporelles"/>
    <s v="IM"/>
    <n v="423.33"/>
    <d v="2025-11-30T00:00:00"/>
    <s v="Amortissement Manuel - 2025"/>
    <m/>
    <e v="#N/A"/>
    <e v="#N/A"/>
    <n v="90328"/>
    <m/>
    <m/>
    <s v="Q4"/>
    <e v="#REF!"/>
    <e v="#REF!"/>
    <e v="#REF!"/>
  </r>
  <r>
    <s v="681120"/>
    <x v="6"/>
    <s v="Dotations sur immos corporelles"/>
    <s v="IM"/>
    <n v="423.33"/>
    <d v="2025-12-31T00:00:00"/>
    <s v="Amortissement Manuel - 2025"/>
    <m/>
    <e v="#N/A"/>
    <e v="#N/A"/>
    <n v="90349"/>
    <m/>
    <m/>
    <s v="Q4"/>
    <e v="#REF!"/>
    <e v="#REF!"/>
    <e v="#REF!"/>
  </r>
  <r>
    <s v="681120"/>
    <x v="6"/>
    <s v="Dotations sur immos corporelles"/>
    <s v="IM"/>
    <n v="746.9"/>
    <d v="2025-01-31T00:00:00"/>
    <s v="Amortissement Manuel - 2025"/>
    <m/>
    <e v="#N/A"/>
    <e v="#N/A"/>
    <n v="86001"/>
    <m/>
    <m/>
    <s v="Q1"/>
    <e v="#REF!"/>
    <e v="#REF!"/>
    <e v="#REF!"/>
  </r>
  <r>
    <s v="681120"/>
    <x v="6"/>
    <s v="Dotations sur immos corporelles"/>
    <s v="IM"/>
    <n v="746.9"/>
    <d v="2025-02-28T00:00:00"/>
    <s v="Amortissement Manuel - 2025"/>
    <m/>
    <e v="#N/A"/>
    <e v="#N/A"/>
    <n v="86039"/>
    <m/>
    <m/>
    <s v="Q1"/>
    <e v="#REF!"/>
    <e v="#REF!"/>
    <e v="#REF!"/>
  </r>
  <r>
    <s v="681120"/>
    <x v="6"/>
    <s v="Dotations sur immos corporelles"/>
    <s v="IM"/>
    <n v="746.9"/>
    <d v="2025-03-31T00:00:00"/>
    <s v="Amortissement Manuel - 2025"/>
    <m/>
    <e v="#N/A"/>
    <e v="#N/A"/>
    <n v="86058"/>
    <m/>
    <m/>
    <s v="Q1"/>
    <e v="#REF!"/>
    <e v="#REF!"/>
    <e v="#REF!"/>
  </r>
  <r>
    <s v="681120"/>
    <x v="6"/>
    <s v="Dotations sur immos corporelles"/>
    <s v="IM"/>
    <n v="746.9"/>
    <d v="2025-04-30T00:00:00"/>
    <s v="Amortissement Manuel - 2025"/>
    <m/>
    <e v="#N/A"/>
    <e v="#N/A"/>
    <n v="86077"/>
    <m/>
    <m/>
    <s v="Q2"/>
    <e v="#REF!"/>
    <e v="#REF!"/>
    <e v="#REF!"/>
  </r>
  <r>
    <s v="681120"/>
    <x v="6"/>
    <s v="Dotations sur immos corporelles"/>
    <s v="IM"/>
    <n v="746.9"/>
    <d v="2025-05-31T00:00:00"/>
    <s v="Amortissement Manuel - 2025"/>
    <m/>
    <e v="#N/A"/>
    <e v="#N/A"/>
    <n v="86096"/>
    <m/>
    <m/>
    <s v="Q2"/>
    <e v="#REF!"/>
    <e v="#REF!"/>
    <e v="#REF!"/>
  </r>
  <r>
    <s v="681120"/>
    <x v="6"/>
    <s v="Dotations sur immos corporelles"/>
    <s v="IM"/>
    <n v="746.9"/>
    <d v="2025-06-30T00:00:00"/>
    <s v="Amortissement Manuel - 2025"/>
    <m/>
    <e v="#N/A"/>
    <e v="#N/A"/>
    <n v="86115"/>
    <m/>
    <m/>
    <s v="Q2"/>
    <e v="#REF!"/>
    <e v="#REF!"/>
    <e v="#REF!"/>
  </r>
  <r>
    <s v="681120"/>
    <x v="6"/>
    <s v="Dotations sur immos corporelles"/>
    <s v="IM"/>
    <n v="746.9"/>
    <d v="2025-07-31T00:00:00"/>
    <s v="Amortissement Manuel - 2025"/>
    <m/>
    <e v="#N/A"/>
    <e v="#N/A"/>
    <n v="86134"/>
    <m/>
    <m/>
    <s v="Q3"/>
    <e v="#REF!"/>
    <e v="#REF!"/>
    <e v="#REF!"/>
  </r>
  <r>
    <s v="681120"/>
    <x v="6"/>
    <s v="Dotations sur immos corporelles"/>
    <s v="IM"/>
    <n v="746.9"/>
    <d v="2025-08-31T00:00:00"/>
    <s v="Amortissement Manuel - 2025"/>
    <m/>
    <e v="#N/A"/>
    <e v="#N/A"/>
    <n v="86153"/>
    <m/>
    <m/>
    <s v="Q3"/>
    <e v="#REF!"/>
    <e v="#REF!"/>
    <e v="#REF!"/>
  </r>
  <r>
    <s v="681120"/>
    <x v="6"/>
    <s v="Dotations sur immos corporelles"/>
    <s v="IM"/>
    <n v="746.9"/>
    <d v="2025-09-30T00:00:00"/>
    <s v="Amortissement Manuel - 2025"/>
    <m/>
    <e v="#N/A"/>
    <e v="#N/A"/>
    <n v="86172"/>
    <m/>
    <m/>
    <s v="Q3"/>
    <e v="#REF!"/>
    <e v="#REF!"/>
    <e v="#REF!"/>
  </r>
  <r>
    <s v="681120"/>
    <x v="6"/>
    <s v="Dotations sur immos corporelles"/>
    <s v="IM"/>
    <n v="746.9"/>
    <d v="2025-10-31T00:00:00"/>
    <s v="Amortissement Manuel - 2025"/>
    <m/>
    <e v="#N/A"/>
    <e v="#N/A"/>
    <n v="90302"/>
    <m/>
    <m/>
    <s v="Q4"/>
    <e v="#REF!"/>
    <e v="#REF!"/>
    <e v="#REF!"/>
  </r>
  <r>
    <s v="681120"/>
    <x v="6"/>
    <s v="Dotations sur immos corporelles"/>
    <s v="IM"/>
    <n v="746.9"/>
    <d v="2025-11-30T00:00:00"/>
    <s v="Amortissement Manuel - 2025"/>
    <m/>
    <e v="#N/A"/>
    <e v="#N/A"/>
    <n v="90321"/>
    <m/>
    <m/>
    <s v="Q4"/>
    <e v="#REF!"/>
    <e v="#REF!"/>
    <e v="#REF!"/>
  </r>
  <r>
    <s v="681120"/>
    <x v="6"/>
    <s v="Dotations sur immos corporelles"/>
    <s v="IM"/>
    <n v="746.9"/>
    <d v="2025-12-31T00:00:00"/>
    <s v="Amortissement Manuel - 2025"/>
    <m/>
    <e v="#N/A"/>
    <e v="#N/A"/>
    <n v="90342"/>
    <m/>
    <m/>
    <s v="Q4"/>
    <e v="#REF!"/>
    <e v="#REF!"/>
    <e v="#REF!"/>
  </r>
  <r>
    <s v="681120"/>
    <x v="6"/>
    <s v="Dotations sur immos corporelles"/>
    <s v="IM"/>
    <n v="920.55"/>
    <d v="2025-01-31T00:00:00"/>
    <s v="Amortissement Manuel - 2025"/>
    <m/>
    <e v="#N/A"/>
    <e v="#N/A"/>
    <n v="85999"/>
    <m/>
    <m/>
    <s v="Q1"/>
    <e v="#REF!"/>
    <e v="#REF!"/>
    <e v="#REF!"/>
  </r>
  <r>
    <s v="681120"/>
    <x v="6"/>
    <s v="Dotations sur immos corporelles"/>
    <s v="IM"/>
    <n v="920.55"/>
    <d v="2025-02-28T00:00:00"/>
    <s v="Amortissement Manuel - 2025"/>
    <m/>
    <e v="#N/A"/>
    <e v="#N/A"/>
    <n v="86037"/>
    <m/>
    <m/>
    <s v="Q1"/>
    <e v="#REF!"/>
    <e v="#REF!"/>
    <e v="#REF!"/>
  </r>
  <r>
    <s v="681120"/>
    <x v="6"/>
    <s v="Dotations sur immos corporelles"/>
    <s v="IM"/>
    <n v="920.55"/>
    <d v="2025-03-31T00:00:00"/>
    <s v="Amortissement Manuel - 2025"/>
    <m/>
    <e v="#N/A"/>
    <e v="#N/A"/>
    <n v="86056"/>
    <m/>
    <m/>
    <s v="Q1"/>
    <e v="#REF!"/>
    <e v="#REF!"/>
    <e v="#REF!"/>
  </r>
  <r>
    <s v="681120"/>
    <x v="6"/>
    <s v="Dotations sur immos corporelles"/>
    <s v="IM"/>
    <n v="920.55"/>
    <d v="2025-04-30T00:00:00"/>
    <s v="Amortissement Manuel - 2025"/>
    <m/>
    <e v="#N/A"/>
    <e v="#N/A"/>
    <n v="86075"/>
    <m/>
    <m/>
    <s v="Q2"/>
    <e v="#REF!"/>
    <e v="#REF!"/>
    <e v="#REF!"/>
  </r>
  <r>
    <s v="681120"/>
    <x v="6"/>
    <s v="Dotations sur immos corporelles"/>
    <s v="IM"/>
    <n v="920.55"/>
    <d v="2025-05-31T00:00:00"/>
    <s v="Amortissement Manuel - 2025"/>
    <m/>
    <e v="#N/A"/>
    <e v="#N/A"/>
    <n v="86094"/>
    <m/>
    <m/>
    <s v="Q2"/>
    <e v="#REF!"/>
    <e v="#REF!"/>
    <e v="#REF!"/>
  </r>
  <r>
    <s v="681120"/>
    <x v="6"/>
    <s v="Dotations sur immos corporelles"/>
    <s v="IM"/>
    <n v="920.55"/>
    <d v="2025-06-30T00:00:00"/>
    <s v="Amortissement Manuel - 2025"/>
    <m/>
    <e v="#N/A"/>
    <e v="#N/A"/>
    <n v="86113"/>
    <m/>
    <m/>
    <s v="Q2"/>
    <e v="#REF!"/>
    <e v="#REF!"/>
    <e v="#REF!"/>
  </r>
  <r>
    <s v="681120"/>
    <x v="6"/>
    <s v="Dotations sur immos corporelles"/>
    <s v="IM"/>
    <n v="920.55"/>
    <d v="2025-07-31T00:00:00"/>
    <s v="Amortissement Manuel - 2025"/>
    <m/>
    <e v="#N/A"/>
    <e v="#N/A"/>
    <n v="86132"/>
    <m/>
    <m/>
    <s v="Q3"/>
    <e v="#REF!"/>
    <e v="#REF!"/>
    <e v="#REF!"/>
  </r>
  <r>
    <s v="681120"/>
    <x v="6"/>
    <s v="Dotations sur immos corporelles"/>
    <s v="IM"/>
    <n v="920.55"/>
    <d v="2025-08-31T00:00:00"/>
    <s v="Amortissement Manuel - 2025"/>
    <m/>
    <e v="#N/A"/>
    <e v="#N/A"/>
    <n v="86151"/>
    <m/>
    <m/>
    <s v="Q3"/>
    <e v="#REF!"/>
    <e v="#REF!"/>
    <e v="#REF!"/>
  </r>
  <r>
    <s v="681120"/>
    <x v="6"/>
    <s v="Dotations sur immos corporelles"/>
    <s v="IM"/>
    <n v="920.55"/>
    <d v="2025-09-30T00:00:00"/>
    <s v="Amortissement Manuel - 2025"/>
    <m/>
    <e v="#N/A"/>
    <e v="#N/A"/>
    <n v="86170"/>
    <m/>
    <m/>
    <s v="Q3"/>
    <e v="#REF!"/>
    <e v="#REF!"/>
    <e v="#REF!"/>
  </r>
  <r>
    <s v="681120"/>
    <x v="6"/>
    <s v="Dotations sur immos corporelles"/>
    <s v="IM"/>
    <n v="920.55"/>
    <d v="2025-10-31T00:00:00"/>
    <s v="Amortissement Manuel - 2025"/>
    <m/>
    <e v="#N/A"/>
    <e v="#N/A"/>
    <n v="90300"/>
    <m/>
    <m/>
    <s v="Q4"/>
    <e v="#REF!"/>
    <e v="#REF!"/>
    <e v="#REF!"/>
  </r>
  <r>
    <s v="681120"/>
    <x v="6"/>
    <s v="Dotations sur immos corporelles"/>
    <s v="IM"/>
    <n v="920.55"/>
    <d v="2025-11-30T00:00:00"/>
    <s v="Amortissement Manuel - 2025"/>
    <m/>
    <e v="#N/A"/>
    <e v="#N/A"/>
    <n v="90319"/>
    <m/>
    <m/>
    <s v="Q4"/>
    <e v="#REF!"/>
    <e v="#REF!"/>
    <e v="#REF!"/>
  </r>
  <r>
    <s v="681120"/>
    <x v="6"/>
    <s v="Dotations sur immos corporelles"/>
    <s v="IM"/>
    <n v="920.55"/>
    <d v="2025-12-31T00:00:00"/>
    <s v="Amortissement Manuel - 2025"/>
    <m/>
    <e v="#N/A"/>
    <e v="#N/A"/>
    <n v="90340"/>
    <m/>
    <m/>
    <s v="Q4"/>
    <e v="#REF!"/>
    <e v="#REF!"/>
    <e v="#REF!"/>
  </r>
  <r>
    <s v="681120"/>
    <x v="6"/>
    <s v="Dotations sur immos corporelles"/>
    <s v="IM"/>
    <n v="4641.57"/>
    <d v="2025-01-31T00:00:00"/>
    <s v="Amortissement Manuel - 2025"/>
    <m/>
    <e v="#N/A"/>
    <e v="#N/A"/>
    <n v="86002"/>
    <m/>
    <m/>
    <s v="Q1"/>
    <e v="#REF!"/>
    <e v="#REF!"/>
    <e v="#REF!"/>
  </r>
  <r>
    <s v="681120"/>
    <x v="6"/>
    <s v="Dotations sur immos corporelles"/>
    <s v="IM"/>
    <n v="4641.57"/>
    <d v="2025-02-28T00:00:00"/>
    <s v="Amortissement Manuel - 2025"/>
    <m/>
    <e v="#N/A"/>
    <e v="#N/A"/>
    <n v="86040"/>
    <m/>
    <m/>
    <s v="Q1"/>
    <e v="#REF!"/>
    <e v="#REF!"/>
    <e v="#REF!"/>
  </r>
  <r>
    <s v="681120"/>
    <x v="6"/>
    <s v="Dotations sur immos corporelles"/>
    <s v="IM"/>
    <n v="4641.57"/>
    <d v="2025-03-31T00:00:00"/>
    <s v="Amortissement Manuel - 2025"/>
    <m/>
    <e v="#N/A"/>
    <e v="#N/A"/>
    <n v="86059"/>
    <m/>
    <m/>
    <s v="Q1"/>
    <e v="#REF!"/>
    <e v="#REF!"/>
    <e v="#REF!"/>
  </r>
  <r>
    <s v="681120"/>
    <x v="6"/>
    <s v="Dotations sur immos corporelles"/>
    <s v="IM"/>
    <n v="4641.57"/>
    <d v="2025-04-30T00:00:00"/>
    <s v="Amortissement Manuel - 2025"/>
    <m/>
    <e v="#N/A"/>
    <e v="#N/A"/>
    <n v="86078"/>
    <m/>
    <m/>
    <s v="Q2"/>
    <e v="#REF!"/>
    <e v="#REF!"/>
    <e v="#REF!"/>
  </r>
  <r>
    <s v="681120"/>
    <x v="6"/>
    <s v="Dotations sur immos corporelles"/>
    <s v="IM"/>
    <n v="4641.57"/>
    <d v="2025-05-31T00:00:00"/>
    <s v="Amortissement Manuel - 2025"/>
    <m/>
    <e v="#N/A"/>
    <e v="#N/A"/>
    <n v="86097"/>
    <m/>
    <m/>
    <s v="Q2"/>
    <e v="#REF!"/>
    <e v="#REF!"/>
    <e v="#REF!"/>
  </r>
  <r>
    <s v="681120"/>
    <x v="6"/>
    <s v="Dotations sur immos corporelles"/>
    <s v="IM"/>
    <n v="4641.57"/>
    <d v="2025-06-30T00:00:00"/>
    <s v="Amortissement Manuel - 2025"/>
    <m/>
    <e v="#N/A"/>
    <e v="#N/A"/>
    <n v="86116"/>
    <m/>
    <m/>
    <s v="Q2"/>
    <e v="#REF!"/>
    <e v="#REF!"/>
    <e v="#REF!"/>
  </r>
  <r>
    <s v="681120"/>
    <x v="6"/>
    <s v="Dotations sur immos corporelles"/>
    <s v="IM"/>
    <n v="4641.57"/>
    <d v="2025-07-31T00:00:00"/>
    <s v="Amortissement Manuel - 2025"/>
    <m/>
    <e v="#N/A"/>
    <e v="#N/A"/>
    <n v="86135"/>
    <m/>
    <m/>
    <s v="Q3"/>
    <e v="#REF!"/>
    <e v="#REF!"/>
    <e v="#REF!"/>
  </r>
  <r>
    <s v="681120"/>
    <x v="6"/>
    <s v="Dotations sur immos corporelles"/>
    <s v="IM"/>
    <n v="4641.57"/>
    <d v="2025-08-31T00:00:00"/>
    <s v="Amortissement Manuel - 2025"/>
    <m/>
    <e v="#N/A"/>
    <e v="#N/A"/>
    <n v="86154"/>
    <m/>
    <m/>
    <s v="Q3"/>
    <e v="#REF!"/>
    <e v="#REF!"/>
    <e v="#REF!"/>
  </r>
  <r>
    <s v="681120"/>
    <x v="6"/>
    <s v="Dotations sur immos corporelles"/>
    <s v="IM"/>
    <n v="4641.57"/>
    <d v="2025-09-30T00:00:00"/>
    <s v="Amortissement Manuel - 2025"/>
    <m/>
    <e v="#N/A"/>
    <e v="#N/A"/>
    <n v="86173"/>
    <m/>
    <m/>
    <s v="Q3"/>
    <e v="#REF!"/>
    <e v="#REF!"/>
    <e v="#REF!"/>
  </r>
  <r>
    <s v="681120"/>
    <x v="6"/>
    <s v="Dotations sur immos corporelles"/>
    <s v="IM"/>
    <n v="4641.57"/>
    <d v="2025-10-31T00:00:00"/>
    <s v="Amortissement Manuel - 2025"/>
    <m/>
    <e v="#N/A"/>
    <e v="#N/A"/>
    <n v="90303"/>
    <m/>
    <m/>
    <s v="Q4"/>
    <e v="#REF!"/>
    <e v="#REF!"/>
    <e v="#REF!"/>
  </r>
  <r>
    <s v="681120"/>
    <x v="6"/>
    <s v="Dotations sur immos corporelles"/>
    <s v="IM"/>
    <n v="4641.57"/>
    <d v="2025-11-30T00:00:00"/>
    <s v="Amortissement Manuel - 2025"/>
    <m/>
    <e v="#N/A"/>
    <e v="#N/A"/>
    <n v="90322"/>
    <m/>
    <m/>
    <s v="Q4"/>
    <e v="#REF!"/>
    <e v="#REF!"/>
    <e v="#REF!"/>
  </r>
  <r>
    <s v="681120"/>
    <x v="6"/>
    <s v="Dotations sur immos corporelles"/>
    <s v="IM"/>
    <n v="4641.57"/>
    <d v="2025-12-31T00:00:00"/>
    <s v="Amortissement Manuel - 2025"/>
    <m/>
    <e v="#N/A"/>
    <e v="#N/A"/>
    <n v="90343"/>
    <m/>
    <m/>
    <s v="Q4"/>
    <e v="#REF!"/>
    <e v="#REF!"/>
    <e v="#REF!"/>
  </r>
  <r>
    <s v="681120"/>
    <x v="6"/>
    <s v="Dotations sur immos corporelles"/>
    <s v="IM"/>
    <n v="10556.52"/>
    <d v="2025-01-31T00:00:00"/>
    <s v="Amortissement Manuel - 2025"/>
    <m/>
    <e v="#N/A"/>
    <e v="#N/A"/>
    <n v="85998"/>
    <m/>
    <m/>
    <s v="Q1"/>
    <e v="#REF!"/>
    <e v="#REF!"/>
    <e v="#REF!"/>
  </r>
  <r>
    <s v="681120"/>
    <x v="6"/>
    <s v="Dotations sur immos corporelles"/>
    <s v="IM"/>
    <n v="10556.52"/>
    <d v="2025-02-28T00:00:00"/>
    <s v="Amortissement Manuel - 2025"/>
    <m/>
    <e v="#N/A"/>
    <e v="#N/A"/>
    <n v="86036"/>
    <m/>
    <m/>
    <s v="Q1"/>
    <e v="#REF!"/>
    <e v="#REF!"/>
    <e v="#REF!"/>
  </r>
  <r>
    <s v="681120"/>
    <x v="6"/>
    <s v="Dotations sur immos corporelles"/>
    <s v="IM"/>
    <n v="10556.52"/>
    <d v="2025-03-31T00:00:00"/>
    <s v="Amortissement Manuel - 2025"/>
    <m/>
    <e v="#N/A"/>
    <e v="#N/A"/>
    <n v="86055"/>
    <m/>
    <m/>
    <s v="Q1"/>
    <e v="#REF!"/>
    <e v="#REF!"/>
    <e v="#REF!"/>
  </r>
  <r>
    <s v="681120"/>
    <x v="6"/>
    <s v="Dotations sur immos corporelles"/>
    <s v="IM"/>
    <n v="10556.52"/>
    <d v="2025-04-30T00:00:00"/>
    <s v="Amortissement Manuel - 2025"/>
    <m/>
    <e v="#N/A"/>
    <e v="#N/A"/>
    <n v="86074"/>
    <m/>
    <m/>
    <s v="Q2"/>
    <e v="#REF!"/>
    <e v="#REF!"/>
    <e v="#REF!"/>
  </r>
  <r>
    <s v="681120"/>
    <x v="6"/>
    <s v="Dotations sur immos corporelles"/>
    <s v="IM"/>
    <n v="10556.52"/>
    <d v="2025-05-31T00:00:00"/>
    <s v="Amortissement Manuel - 2025"/>
    <m/>
    <e v="#N/A"/>
    <e v="#N/A"/>
    <n v="86093"/>
    <m/>
    <m/>
    <s v="Q2"/>
    <e v="#REF!"/>
    <e v="#REF!"/>
    <e v="#REF!"/>
  </r>
  <r>
    <s v="681120"/>
    <x v="6"/>
    <s v="Dotations sur immos corporelles"/>
    <s v="IM"/>
    <n v="10556.52"/>
    <d v="2025-06-30T00:00:00"/>
    <s v="Amortissement Manuel - 2025"/>
    <m/>
    <e v="#N/A"/>
    <e v="#N/A"/>
    <n v="86112"/>
    <m/>
    <m/>
    <s v="Q2"/>
    <e v="#REF!"/>
    <e v="#REF!"/>
    <e v="#REF!"/>
  </r>
  <r>
    <s v="681120"/>
    <x v="6"/>
    <s v="Dotations sur immos corporelles"/>
    <s v="IM"/>
    <n v="10556.52"/>
    <d v="2025-07-31T00:00:00"/>
    <s v="Amortissement Manuel - 2025"/>
    <m/>
    <e v="#N/A"/>
    <e v="#N/A"/>
    <n v="86131"/>
    <m/>
    <m/>
    <s v="Q3"/>
    <e v="#REF!"/>
    <e v="#REF!"/>
    <e v="#REF!"/>
  </r>
  <r>
    <s v="681120"/>
    <x v="6"/>
    <s v="Dotations sur immos corporelles"/>
    <s v="IM"/>
    <n v="10556.52"/>
    <d v="2025-08-31T00:00:00"/>
    <s v="Amortissement Manuel - 2025"/>
    <m/>
    <e v="#N/A"/>
    <e v="#N/A"/>
    <n v="86150"/>
    <m/>
    <m/>
    <s v="Q3"/>
    <e v="#REF!"/>
    <e v="#REF!"/>
    <e v="#REF!"/>
  </r>
  <r>
    <s v="681120"/>
    <x v="6"/>
    <s v="Dotations sur immos corporelles"/>
    <s v="IM"/>
    <n v="10556.52"/>
    <d v="2025-09-30T00:00:00"/>
    <s v="Amortissement Manuel - 2025"/>
    <m/>
    <e v="#N/A"/>
    <e v="#N/A"/>
    <n v="86169"/>
    <m/>
    <m/>
    <s v="Q3"/>
    <e v="#REF!"/>
    <e v="#REF!"/>
    <e v="#REF!"/>
  </r>
  <r>
    <s v="681120"/>
    <x v="6"/>
    <s v="Dotations sur immos corporelles"/>
    <s v="IM"/>
    <n v="10556.52"/>
    <d v="2025-10-31T00:00:00"/>
    <s v="Amortissement Manuel - 2025"/>
    <m/>
    <e v="#N/A"/>
    <e v="#N/A"/>
    <n v="90299"/>
    <m/>
    <m/>
    <s v="Q4"/>
    <e v="#REF!"/>
    <e v="#REF!"/>
    <e v="#REF!"/>
  </r>
  <r>
    <s v="681120"/>
    <x v="6"/>
    <s v="Dotations sur immos corporelles"/>
    <s v="IM"/>
    <n v="10556.52"/>
    <d v="2025-11-30T00:00:00"/>
    <s v="Amortissement Manuel - 2025"/>
    <m/>
    <e v="#N/A"/>
    <e v="#N/A"/>
    <n v="90318"/>
    <m/>
    <m/>
    <s v="Q4"/>
    <e v="#REF!"/>
    <e v="#REF!"/>
    <e v="#REF!"/>
  </r>
  <r>
    <s v="681120"/>
    <x v="6"/>
    <s v="Dotations sur immos corporelles"/>
    <s v="IM"/>
    <n v="10556.52"/>
    <d v="2025-12-31T00:00:00"/>
    <s v="Amortissement Manuel - 2025"/>
    <m/>
    <e v="#N/A"/>
    <e v="#N/A"/>
    <n v="90339"/>
    <m/>
    <m/>
    <s v="Q4"/>
    <e v="#REF!"/>
    <e v="#REF!"/>
    <e v="#REF!"/>
  </r>
  <r>
    <s v="695000"/>
    <x v="6"/>
    <s v="Impôts sur les sociétés"/>
    <s v="JC"/>
    <n v="-22000"/>
    <d v="2025-01-31T00:00:00"/>
    <s v="Produit à recevoir CIR"/>
    <m/>
    <e v="#N/A"/>
    <e v="#N/A"/>
    <n v="71553"/>
    <m/>
    <m/>
    <s v="Q1"/>
    <e v="#REF!"/>
    <e v="#REF!"/>
    <e v="#REF!"/>
  </r>
  <r>
    <s v="695000"/>
    <x v="6"/>
    <s v="Impôts sur les sociétés"/>
    <s v="JC"/>
    <n v="-22000"/>
    <d v="2025-02-28T00:00:00"/>
    <s v="Produit à recevoir CIR"/>
    <m/>
    <e v="#N/A"/>
    <e v="#N/A"/>
    <n v="71555"/>
    <m/>
    <m/>
    <s v="Q1"/>
    <e v="#REF!"/>
    <e v="#REF!"/>
    <e v="#REF!"/>
  </r>
  <r>
    <s v="695000"/>
    <x v="6"/>
    <s v="Impôts sur les sociétés"/>
    <s v="JC"/>
    <n v="-22000"/>
    <d v="2025-03-31T00:00:00"/>
    <s v="Produit à recevoir CIR"/>
    <m/>
    <e v="#N/A"/>
    <e v="#N/A"/>
    <n v="71557"/>
    <m/>
    <m/>
    <s v="Q1"/>
    <e v="#REF!"/>
    <e v="#REF!"/>
    <e v="#REF!"/>
  </r>
  <r>
    <s v="695000"/>
    <x v="6"/>
    <s v="Impôts sur les sociétés"/>
    <s v="JC"/>
    <n v="-22000"/>
    <d v="2025-04-30T00:00:00"/>
    <s v="Produit à recevoir CIR"/>
    <m/>
    <e v="#N/A"/>
    <e v="#N/A"/>
    <n v="71559"/>
    <m/>
    <m/>
    <s v="Q2"/>
    <e v="#REF!"/>
    <e v="#REF!"/>
    <e v="#REF!"/>
  </r>
  <r>
    <s v="695000"/>
    <x v="6"/>
    <s v="Impôts sur les sociétés"/>
    <s v="JC"/>
    <n v="-22000"/>
    <d v="2025-05-31T00:00:00"/>
    <s v="Produit à recevoir CIR"/>
    <m/>
    <e v="#N/A"/>
    <e v="#N/A"/>
    <n v="71561"/>
    <m/>
    <m/>
    <s v="Q2"/>
    <e v="#REF!"/>
    <e v="#REF!"/>
    <e v="#REF!"/>
  </r>
  <r>
    <s v="695000"/>
    <x v="6"/>
    <s v="Impôts sur les sociétés"/>
    <s v="JC"/>
    <n v="-22000"/>
    <d v="2025-06-30T00:00:00"/>
    <s v="Produit à recevoir CIR"/>
    <m/>
    <e v="#N/A"/>
    <e v="#N/A"/>
    <n v="71563"/>
    <m/>
    <m/>
    <s v="Q2"/>
    <e v="#REF!"/>
    <e v="#REF!"/>
    <e v="#REF!"/>
  </r>
  <r>
    <s v="695000"/>
    <x v="6"/>
    <s v="Impôts sur les sociétés"/>
    <s v="JC"/>
    <n v="-22000"/>
    <d v="2025-07-31T00:00:00"/>
    <s v="Produit à recevoir CIR"/>
    <m/>
    <e v="#N/A"/>
    <e v="#N/A"/>
    <n v="71565"/>
    <m/>
    <m/>
    <s v="Q3"/>
    <e v="#REF!"/>
    <e v="#REF!"/>
    <e v="#REF!"/>
  </r>
  <r>
    <s v="695000"/>
    <x v="6"/>
    <s v="Impôts sur les sociétés"/>
    <s v="JC"/>
    <n v="-22000"/>
    <d v="2025-08-31T00:00:00"/>
    <s v="Produit à recevoir CIR"/>
    <m/>
    <e v="#N/A"/>
    <e v="#N/A"/>
    <n v="71567"/>
    <m/>
    <m/>
    <s v="Q3"/>
    <e v="#REF!"/>
    <e v="#REF!"/>
    <e v="#REF!"/>
  </r>
  <r>
    <s v="695000"/>
    <x v="6"/>
    <s v="Impôts sur les sociétés"/>
    <s v="JC"/>
    <n v="-22000"/>
    <d v="2025-09-30T00:00:00"/>
    <s v="Produit à recevoir CIR"/>
    <m/>
    <e v="#N/A"/>
    <e v="#N/A"/>
    <n v="71569"/>
    <m/>
    <m/>
    <s v="Q3"/>
    <e v="#REF!"/>
    <e v="#REF!"/>
    <e v="#REF!"/>
  </r>
  <r>
    <s v="695000"/>
    <x v="6"/>
    <s v="Impôts sur les sociétés"/>
    <s v="JC"/>
    <n v="-22000"/>
    <d v="2025-10-31T00:00:00"/>
    <s v="Produit à recevoir CIR"/>
    <m/>
    <e v="#N/A"/>
    <e v="#N/A"/>
    <n v="71571"/>
    <m/>
    <m/>
    <s v="Q4"/>
    <e v="#REF!"/>
    <e v="#REF!"/>
    <e v="#REF!"/>
  </r>
  <r>
    <s v="695000"/>
    <x v="6"/>
    <s v="Impôts sur les sociétés"/>
    <s v="JC"/>
    <n v="-22000"/>
    <d v="2025-11-30T00:00:00"/>
    <s v="Produit à recevoir CIR"/>
    <m/>
    <e v="#N/A"/>
    <e v="#N/A"/>
    <n v="71573"/>
    <m/>
    <m/>
    <s v="Q4"/>
    <e v="#REF!"/>
    <e v="#REF!"/>
    <e v="#REF!"/>
  </r>
  <r>
    <s v="695000"/>
    <x v="6"/>
    <s v="Impôts sur les sociétés"/>
    <s v="JC"/>
    <n v="-22000"/>
    <d v="2025-12-31T00:00:00"/>
    <s v="Produit à recevoir CIR"/>
    <m/>
    <e v="#N/A"/>
    <e v="#N/A"/>
    <n v="71575"/>
    <m/>
    <m/>
    <s v="Q4"/>
    <e v="#REF!"/>
    <e v="#REF!"/>
    <e v="#REF!"/>
  </r>
  <r>
    <s v="701150"/>
    <x v="6"/>
    <s v="VENTES DE PRODUITS FINIS - EXPORT"/>
    <s v="VT"/>
    <n v="-150000"/>
    <d v="2025-04-04T00:00:00"/>
    <s v="1ton Indigo"/>
    <m/>
    <e v="#N/A"/>
    <e v="#N/A"/>
    <n v="72273"/>
    <s v="F250404_1"/>
    <s v="COH TURKEY"/>
    <s v="Q2"/>
    <e v="#REF!"/>
    <e v="#REF!"/>
    <e v="#REF!"/>
  </r>
  <r>
    <s v="701150"/>
    <x v="6"/>
    <s v="VENTES DE PRODUITS FINIS - EXPORT"/>
    <s v="VT"/>
    <n v="-150000"/>
    <d v="2025-09-24T00:00:00"/>
    <s v=" F250924_1"/>
    <m/>
    <e v="#N/A"/>
    <e v="#N/A"/>
    <n v="82544"/>
    <s v=" F250924_1"/>
    <s v="COH TURKEY"/>
    <s v="Q3"/>
    <e v="#REF!"/>
    <e v="#REF!"/>
    <e v="#REF!"/>
  </r>
  <r>
    <s v="701150"/>
    <x v="6"/>
    <s v="VENTES DE PRODUITS FINIS - EXPORT"/>
    <s v="VT"/>
    <n v="-30000"/>
    <d v="2025-07-03T00:00:00"/>
    <s v="Commercial Invoice F250703_1 - 0.2t Indigo"/>
    <m/>
    <e v="#N/A"/>
    <e v="#N/A"/>
    <n v="80828"/>
    <m/>
    <s v="COH TURKEY"/>
    <s v="Q3"/>
    <e v="#REF!"/>
    <e v="#REF!"/>
    <e v="#REF!"/>
  </r>
  <r>
    <s v="701150"/>
    <x v="6"/>
    <s v="VENTES DE PRODUITS FINIS - EXPORT"/>
    <s v="VT"/>
    <n v="-1500"/>
    <d v="2025-05-26T00:00:00"/>
    <s v="Pili indigo sample - 10 kg - as per quote D250417_1"/>
    <m/>
    <e v="#N/A"/>
    <e v="#N/A"/>
    <n v="76149"/>
    <m/>
    <s v="NIG Nahrungs-Ingenieurtechnik GmbH"/>
    <s v="Q2"/>
    <e v="#REF!"/>
    <e v="#REF!"/>
    <e v="#REF!"/>
  </r>
  <r>
    <s v="701150"/>
    <x v="6"/>
    <s v="VENTES DE PRODUITS FINIS - EXPORT"/>
    <s v="VT"/>
    <n v="-127.2"/>
    <d v="2025-02-15T00:00:00"/>
    <s v="300g Indigo"/>
    <m/>
    <e v="#N/A"/>
    <e v="#N/A"/>
    <n v="72269"/>
    <m/>
    <s v="CITIZENS OF HUMANITY EUROPE SRL"/>
    <s v="Q1"/>
    <e v="#REF!"/>
    <e v="#REF!"/>
    <e v="#REF!"/>
  </r>
  <r>
    <s v="701150"/>
    <x v="6"/>
    <s v="VENTES DE PRODUITS FINIS - EXPORT"/>
    <s v="VT"/>
    <n v="-70"/>
    <d v="2025-05-26T00:00:00"/>
    <s v="Freight "/>
    <m/>
    <e v="#N/A"/>
    <e v="#N/A"/>
    <n v="76151"/>
    <m/>
    <s v="NIG Nahrungs-Ingenieurtechnik GmbH"/>
    <s v="Q2"/>
    <e v="#REF!"/>
    <e v="#REF!"/>
    <e v="#REF!"/>
  </r>
  <r>
    <s v="701150"/>
    <x v="6"/>
    <s v="VENTES DE PRODUITS FINIS - EXPORT"/>
    <s v="VT"/>
    <n v="4640"/>
    <d v="2025-09-26T00:00:00"/>
    <s v="Credit Note F250926_3"/>
    <m/>
    <e v="#N/A"/>
    <e v="#N/A"/>
    <n v="82554"/>
    <s v="F250926_3"/>
    <s v="COH TURKEY"/>
    <s v="Q3"/>
    <e v="#REF!"/>
    <e v="#REF!"/>
    <e v="#REF!"/>
  </r>
  <r>
    <s v="701150"/>
    <x v="6"/>
    <s v="VENTES DE PRODUITS FINIS - EXPORT"/>
    <s v="VT"/>
    <n v="22620"/>
    <d v="2025-09-26T00:00:00"/>
    <s v="Credit Note F250926_1"/>
    <m/>
    <e v="#N/A"/>
    <e v="#N/A"/>
    <n v="82547"/>
    <s v="F250926_1"/>
    <s v="COH TURKEY"/>
    <s v="Q3"/>
    <e v="#REF!"/>
    <e v="#REF!"/>
    <e v="#REF!"/>
  </r>
  <r>
    <s v="701150"/>
    <x v="6"/>
    <s v="VENTES DE PRODUITS FINIS - EXPORT"/>
    <s v="VT"/>
    <n v="23200"/>
    <d v="2025-09-26T00:00:00"/>
    <s v="Credit Note F250926_2"/>
    <m/>
    <e v="#N/A"/>
    <e v="#N/A"/>
    <n v="82550"/>
    <s v="F250926_2"/>
    <s v="COH TURKEY"/>
    <s v="Q3"/>
    <e v="#REF!"/>
    <e v="#REF!"/>
    <e v="#REF!"/>
  </r>
  <r>
    <s v="702100"/>
    <x v="6"/>
    <s v="VENTES DE PRODUITS INTERMEDIAIRES"/>
    <s v="VT"/>
    <n v="-130"/>
    <d v="2025-11-26T00:00:00"/>
    <s v="Anthranilic Acid sample  1 kg"/>
    <m/>
    <e v="#N/A"/>
    <e v="#N/A"/>
    <n v="93903"/>
    <m/>
    <s v="TOTALENERGIES ONETECH"/>
    <s v="Q4"/>
    <e v="#REF!"/>
    <e v="#REF!"/>
    <e v="#REF!"/>
  </r>
  <r>
    <s v="702100"/>
    <x v="6"/>
    <s v="VENTES DE PRODUITS INTERMEDIAIRES"/>
    <s v="VT"/>
    <n v="-130"/>
    <d v="2025-11-26T00:00:00"/>
    <s v="Para Amino Benzoic Acid sample  1 kg"/>
    <m/>
    <e v="#N/A"/>
    <e v="#N/A"/>
    <n v="93905"/>
    <m/>
    <s v="TOTALENERGIES ONETECH"/>
    <s v="Q4"/>
    <e v="#REF!"/>
    <e v="#REF!"/>
    <e v="#REF!"/>
  </r>
  <r>
    <s v="702150"/>
    <x v="6"/>
    <s v="VENTES DE PRODUITS INTERMEDIAIRES - EXPORT"/>
    <s v="VT"/>
    <n v="-565"/>
    <d v="2025-06-13T00:00:00"/>
    <s v="F250613_2 - Pili bioaromatic PABA sample"/>
    <m/>
    <e v="#N/A"/>
    <e v="#N/A"/>
    <n v="81195"/>
    <m/>
    <s v="DIC CORPORATION"/>
    <s v="Q2"/>
    <e v="#REF!"/>
    <e v="#REF!"/>
    <e v="#REF!"/>
  </r>
  <r>
    <s v="708800"/>
    <x v="6"/>
    <s v="PRODUITS ACCESSOIRES"/>
    <s v="VT"/>
    <n v="-630"/>
    <d v="2025-01-31T00:00:00"/>
    <s v="Facture n° F241126-1 OPCO corrigée"/>
    <m/>
    <e v="#N/A"/>
    <e v="#N/A"/>
    <n v="80837"/>
    <m/>
    <s v="OPCO"/>
    <s v="Q1"/>
    <e v="#REF!"/>
    <e v="#REF!"/>
    <e v="#REF!"/>
  </r>
  <r>
    <s v="708800"/>
    <x v="6"/>
    <s v="PRODUITS ACCESSOIRES"/>
    <s v="VT"/>
    <n v="-420"/>
    <d v="2025-07-25T00:00:00"/>
    <s v="Facture OPCO F_TR20250725_1"/>
    <m/>
    <e v="#N/A"/>
    <e v="#N/A"/>
    <n v="80831"/>
    <m/>
    <s v="OPCO"/>
    <s v="Q3"/>
    <e v="#REF!"/>
    <e v="#REF!"/>
    <e v="#REF!"/>
  </r>
  <r>
    <s v="708800"/>
    <x v="6"/>
    <s v="PRODUITS ACCESSOIRES"/>
    <s v="VT"/>
    <n v="-366.67"/>
    <d v="2025-04-01T00:00:00"/>
    <s v="Vente GAM"/>
    <m/>
    <s v="Non"/>
    <e v="#N/A"/>
    <n v="71735"/>
    <m/>
    <s v="DIVERS"/>
    <s v="Q2"/>
    <e v="#REF!"/>
    <e v="#REF!"/>
    <e v="#REF!"/>
  </r>
  <r>
    <s v="708800"/>
    <x v="6"/>
    <s v="PRODUITS ACCESSOIRES"/>
    <s v="VT"/>
    <n v="-183.33"/>
    <d v="2025-05-27T00:00:00"/>
    <s v="Vente GAM"/>
    <m/>
    <s v="Non"/>
    <e v="#N/A"/>
    <n v="75549"/>
    <s v="1038"/>
    <s v="DIVERS"/>
    <s v="Q2"/>
    <e v="#REF!"/>
    <e v="#REF!"/>
    <e v="#REF!"/>
  </r>
  <r>
    <s v="708800"/>
    <x v="6"/>
    <s v="PRODUITS ACCESSOIRES"/>
    <s v="VT"/>
    <n v="-183.33"/>
    <d v="2025-06-07T00:00:00"/>
    <s v="Vente GAM"/>
    <m/>
    <s v="Non"/>
    <e v="#N/A"/>
    <n v="75910"/>
    <s v="1039"/>
    <s v="DIVERS"/>
    <s v="Q2"/>
    <e v="#REF!"/>
    <e v="#REF!"/>
    <e v="#REF!"/>
  </r>
  <r>
    <s v="708800"/>
    <x v="6"/>
    <s v="PRODUITS ACCESSOIRES"/>
    <s v="VT"/>
    <n v="-128.33000000000001"/>
    <d v="2025-07-03T00:00:00"/>
    <s v="Vente GAM"/>
    <m/>
    <s v="Non"/>
    <e v="#N/A"/>
    <n v="76989"/>
    <s v="1040"/>
    <s v="DIVERS"/>
    <s v="Q3"/>
    <e v="#REF!"/>
    <e v="#REF!"/>
    <e v="#REF!"/>
  </r>
  <r>
    <s v="708800"/>
    <x v="6"/>
    <s v="PRODUITS ACCESSOIRES"/>
    <s v="VT"/>
    <n v="2040"/>
    <d v="2025-01-31T00:00:00"/>
    <s v="Facture n° F241108-1 OPCO annulée"/>
    <m/>
    <e v="#N/A"/>
    <e v="#N/A"/>
    <n v="80841"/>
    <m/>
    <s v="OPCO"/>
    <s v="Q1"/>
    <e v="#REF!"/>
    <e v="#REF!"/>
    <e v="#REF!"/>
  </r>
  <r>
    <s v="721000"/>
    <x v="6"/>
    <s v="Production immobilisée incorporelle"/>
    <s v="JC"/>
    <n v="-92885.36"/>
    <d v="2025-10-31T00:00:00"/>
    <s v="Production immobilisée - Phoenix vBIO"/>
    <m/>
    <e v="#N/A"/>
    <e v="#N/A"/>
    <n v="90538"/>
    <m/>
    <m/>
    <s v="Q4"/>
    <e v="#REF!"/>
    <e v="#REF!"/>
    <e v="#REF!"/>
  </r>
  <r>
    <s v="721000"/>
    <x v="6"/>
    <s v="Production immobilisée incorporelle"/>
    <s v="JC"/>
    <n v="-88152.88"/>
    <d v="2025-09-30T00:00:00"/>
    <s v="Production immobilisée - Phoenix vBIO"/>
    <m/>
    <e v="#N/A"/>
    <e v="#N/A"/>
    <n v="86183"/>
    <m/>
    <m/>
    <s v="Q3"/>
    <e v="#REF!"/>
    <e v="#REF!"/>
    <e v="#REF!"/>
  </r>
  <r>
    <s v="721000"/>
    <x v="6"/>
    <s v="Production immobilisée incorporelle"/>
    <s v="JC"/>
    <n v="-73984.75"/>
    <d v="2025-06-30T00:00:00"/>
    <s v="Production immobilisée - Phoenix vBIO"/>
    <m/>
    <e v="#N/A"/>
    <e v="#N/A"/>
    <n v="90550"/>
    <m/>
    <m/>
    <s v="Q2"/>
    <e v="#REF!"/>
    <e v="#REF!"/>
    <e v="#REF!"/>
  </r>
  <r>
    <s v="721000"/>
    <x v="6"/>
    <s v="Production immobilisée incorporelle"/>
    <s v="JC"/>
    <n v="-70776.3"/>
    <d v="2025-07-31T00:00:00"/>
    <s v="Production immobilisée - Phoenix vBIO"/>
    <m/>
    <e v="#N/A"/>
    <e v="#N/A"/>
    <n v="90553"/>
    <m/>
    <m/>
    <s v="Q3"/>
    <e v="#REF!"/>
    <e v="#REF!"/>
    <e v="#REF!"/>
  </r>
  <r>
    <s v="721000"/>
    <x v="6"/>
    <s v="Production immobilisée incorporelle"/>
    <s v="JC"/>
    <n v="-67611.77"/>
    <d v="2025-11-30T00:00:00"/>
    <s v="Production immobilisée - Phoenix vBIO"/>
    <m/>
    <e v="#N/A"/>
    <e v="#N/A"/>
    <n v="96136"/>
    <m/>
    <m/>
    <s v="Q4"/>
    <e v="#REF!"/>
    <e v="#REF!"/>
    <e v="#REF!"/>
  </r>
  <r>
    <s v="721000"/>
    <x v="6"/>
    <s v="Production immobilisée incorporelle"/>
    <s v="JC"/>
    <n v="-59617.5"/>
    <d v="2025-08-31T00:00:00"/>
    <s v="Production immobilisée - Phoenix vBIO"/>
    <m/>
    <e v="#N/A"/>
    <e v="#N/A"/>
    <n v="90555"/>
    <m/>
    <m/>
    <s v="Q3"/>
    <e v="#REF!"/>
    <e v="#REF!"/>
    <e v="#REF!"/>
  </r>
  <r>
    <s v="721000"/>
    <x v="6"/>
    <s v="Production immobilisée incorporelle"/>
    <s v="JC"/>
    <n v="-50873.17"/>
    <d v="2025-12-31T00:00:00"/>
    <s v="Production immobilisée - Phoenix vBIO"/>
    <m/>
    <e v="#N/A"/>
    <e v="#N/A"/>
    <n v="96138"/>
    <m/>
    <m/>
    <s v="Q4"/>
    <e v="#REF!"/>
    <e v="#REF!"/>
    <e v="#REF!"/>
  </r>
  <r>
    <s v="721000"/>
    <x v="6"/>
    <s v="Production immobilisée incorporelle"/>
    <s v="JC"/>
    <n v="-48994.83"/>
    <d v="2025-05-31T00:00:00"/>
    <s v="Production immobilisée - Phoenix vBIO"/>
    <m/>
    <e v="#N/A"/>
    <e v="#N/A"/>
    <n v="90549"/>
    <m/>
    <m/>
    <s v="Q2"/>
    <e v="#REF!"/>
    <e v="#REF!"/>
    <e v="#REF!"/>
  </r>
  <r>
    <s v="721000"/>
    <x v="6"/>
    <s v="Production immobilisée incorporelle"/>
    <s v="JC"/>
    <n v="-45564.14"/>
    <d v="2025-03-31T00:00:00"/>
    <s v="Production immobilisée - Phoenix vBIO"/>
    <m/>
    <e v="#N/A"/>
    <e v="#N/A"/>
    <n v="90545"/>
    <m/>
    <m/>
    <s v="Q1"/>
    <e v="#REF!"/>
    <e v="#REF!"/>
    <e v="#REF!"/>
  </r>
  <r>
    <s v="721000"/>
    <x v="6"/>
    <s v="Production immobilisée incorporelle"/>
    <s v="JC"/>
    <n v="-44947.72"/>
    <d v="2025-04-30T00:00:00"/>
    <s v="Production immobilisée - Phoenix vBIO"/>
    <m/>
    <e v="#N/A"/>
    <e v="#N/A"/>
    <n v="90546"/>
    <m/>
    <m/>
    <s v="Q2"/>
    <e v="#REF!"/>
    <e v="#REF!"/>
    <e v="#REF!"/>
  </r>
  <r>
    <s v="721000"/>
    <x v="6"/>
    <s v="Production immobilisée incorporelle"/>
    <s v="JC"/>
    <n v="-36313.99"/>
    <d v="2025-01-31T00:00:00"/>
    <s v="Production immobilisée - Phoenix vBIO"/>
    <m/>
    <e v="#N/A"/>
    <e v="#N/A"/>
    <n v="90537"/>
    <m/>
    <m/>
    <s v="Q1"/>
    <e v="#REF!"/>
    <e v="#REF!"/>
    <e v="#REF!"/>
  </r>
  <r>
    <s v="721000"/>
    <x v="6"/>
    <s v="Production immobilisée incorporelle"/>
    <s v="JC"/>
    <n v="-34934.94"/>
    <d v="2025-02-28T00:00:00"/>
    <s v="Production immobilisée - Phoenix vBIO"/>
    <m/>
    <e v="#N/A"/>
    <e v="#N/A"/>
    <n v="90543"/>
    <m/>
    <m/>
    <s v="Q1"/>
    <e v="#REF!"/>
    <e v="#REF!"/>
    <e v="#REF!"/>
  </r>
  <r>
    <s v="740000"/>
    <x v="7"/>
    <s v="SUBVENTIONS SUR DOSSIERS RECHERCHE"/>
    <s v="JC"/>
    <n v="-363564"/>
    <d v="2025-12-31T00:00:00"/>
    <s v="PRODUITS À RECEVOIR SUR M36 - BPI INOV BIOPIGMENT"/>
    <m/>
    <e v="#N/A"/>
    <e v="#N/A"/>
    <n v="73066"/>
    <s v="Produits à recevoir sur M36 - BPI Inov Biopigment"/>
    <m/>
    <s v="Q4"/>
    <e v="#REF!"/>
    <e v="#REF!"/>
    <e v="#REF!"/>
  </r>
  <r>
    <s v="740000"/>
    <x v="7"/>
    <s v="SUBVENTIONS SUR DOSSIERS RECHERCHE"/>
    <s v="JC"/>
    <n v="-338180"/>
    <d v="2025-11-30T00:00:00"/>
    <s v="PRODUITS À RECEVOIR SUR M36 - BPI INOV BIOPIGMENT"/>
    <m/>
    <e v="#N/A"/>
    <e v="#N/A"/>
    <n v="73062"/>
    <s v="Produits à recevoir sur M36 - BPI Inov Biopigment"/>
    <m/>
    <s v="Q4"/>
    <e v="#REF!"/>
    <e v="#REF!"/>
    <e v="#REF!"/>
  </r>
  <r>
    <s v="740000"/>
    <x v="7"/>
    <s v="SUBVENTIONS SUR DOSSIERS RECHERCHE"/>
    <s v="JC"/>
    <n v="-313615"/>
    <d v="2025-10-31T00:00:00"/>
    <s v="PRODUITS À RECEVOIR SUR M36 - BPI INOV BIOPIGMENT"/>
    <m/>
    <e v="#N/A"/>
    <e v="#N/A"/>
    <n v="73058"/>
    <s v="Produits à recevoir sur M36 - BPI Inov Biopigment"/>
    <m/>
    <s v="Q4"/>
    <e v="#REF!"/>
    <e v="#REF!"/>
    <e v="#REF!"/>
  </r>
  <r>
    <s v="740000"/>
    <x v="7"/>
    <s v="SUBVENTIONS SUR DOSSIERS RECHERCHE"/>
    <s v="JC"/>
    <n v="-301389"/>
    <d v="2025-12-31T00:00:00"/>
    <s v="Produits à recevoir -M36 - Color4Craft"/>
    <m/>
    <e v="#N/A"/>
    <e v="#N/A"/>
    <n v="72971"/>
    <m/>
    <m/>
    <s v="Q4"/>
    <e v="#REF!"/>
    <e v="#REF!"/>
    <e v="#REF!"/>
  </r>
  <r>
    <s v="740000"/>
    <x v="7"/>
    <s v="SUBVENTIONS SUR DOSSIERS RECHERCHE"/>
    <s v="JC"/>
    <n v="-291667"/>
    <d v="2025-11-30T00:00:00"/>
    <s v="Produits à recevoir -M36 - Color4Craft"/>
    <m/>
    <e v="#N/A"/>
    <e v="#N/A"/>
    <n v="72967"/>
    <m/>
    <m/>
    <s v="Q4"/>
    <e v="#REF!"/>
    <e v="#REF!"/>
    <e v="#REF!"/>
  </r>
  <r>
    <s v="740000"/>
    <x v="7"/>
    <s v="SUBVENTIONS SUR DOSSIERS RECHERCHE"/>
    <s v="JC"/>
    <n v="-288231"/>
    <d v="2025-09-30T00:00:00"/>
    <s v="PRODUITS À RECEVOIR SUR M36 - BPI INOV BIOPIGMENT"/>
    <m/>
    <e v="#N/A"/>
    <e v="#N/A"/>
    <n v="73054"/>
    <s v="Produits à recevoir sur M36 - BPI Inov Biopigment"/>
    <m/>
    <s v="Q3"/>
    <e v="#REF!"/>
    <e v="#REF!"/>
    <e v="#REF!"/>
  </r>
  <r>
    <s v="740000"/>
    <x v="7"/>
    <s v="SUBVENTIONS SUR DOSSIERS RECHERCHE"/>
    <s v="JC"/>
    <n v="-287272"/>
    <d v="2025-04-30T00:00:00"/>
    <s v="PRODUITS À RECEVOIR SUR M24 - ADEME"/>
    <m/>
    <e v="#N/A"/>
    <e v="#N/A"/>
    <n v="73968"/>
    <s v="Produits à recevoir sur M24 - Ademe"/>
    <m/>
    <s v="Q2"/>
    <e v="#REF!"/>
    <e v="#REF!"/>
    <e v="#REF!"/>
  </r>
  <r>
    <s v="740000"/>
    <x v="7"/>
    <s v="SUBVENTIONS SUR DOSSIERS RECHERCHE"/>
    <s v="JC"/>
    <n v="-281944"/>
    <d v="2025-10-31T00:00:00"/>
    <s v="Produits à recevoir -M36 - Color4Craft"/>
    <m/>
    <e v="#N/A"/>
    <e v="#N/A"/>
    <n v="72963"/>
    <m/>
    <m/>
    <s v="Q4"/>
    <e v="#REF!"/>
    <e v="#REF!"/>
    <e v="#REF!"/>
  </r>
  <r>
    <s v="740000"/>
    <x v="7"/>
    <s v="SUBVENTIONS SUR DOSSIERS RECHERCHE"/>
    <s v="JC"/>
    <n v="-272222"/>
    <d v="2025-09-30T00:00:00"/>
    <s v="Produits à recevoir -M36 - Color4Craft"/>
    <m/>
    <e v="#N/A"/>
    <e v="#N/A"/>
    <n v="72959"/>
    <m/>
    <m/>
    <s v="Q3"/>
    <e v="#REF!"/>
    <e v="#REF!"/>
    <e v="#REF!"/>
  </r>
  <r>
    <s v="740000"/>
    <x v="7"/>
    <s v="SUBVENTIONS SUR DOSSIERS RECHERCHE"/>
    <s v="JC"/>
    <n v="-263666"/>
    <d v="2025-08-31T00:00:00"/>
    <s v="PRODUITS À RECEVOIR SUR M36 - BPI INOV BIOPIGMENT"/>
    <m/>
    <e v="#N/A"/>
    <e v="#N/A"/>
    <n v="73050"/>
    <s v="Produits à recevoir sur M36 - BPI Inov Biopigment"/>
    <m/>
    <s v="Q3"/>
    <e v="#REF!"/>
    <e v="#REF!"/>
    <e v="#REF!"/>
  </r>
  <r>
    <s v="740000"/>
    <x v="7"/>
    <s v="SUBVENTIONS SUR DOSSIERS RECHERCHE"/>
    <s v="JC"/>
    <n v="-263333"/>
    <d v="2025-03-31T00:00:00"/>
    <s v="PRODUITS À RECEVOIR SUR M24 - ADEME"/>
    <m/>
    <e v="#N/A"/>
    <e v="#N/A"/>
    <n v="73962"/>
    <s v="Produits à recevoir sur M24 - Ademe"/>
    <m/>
    <s v="Q1"/>
    <e v="#REF!"/>
    <e v="#REF!"/>
    <e v="#REF!"/>
  </r>
  <r>
    <s v="740000"/>
    <x v="7"/>
    <s v="SUBVENTIONS SUR DOSSIERS RECHERCHE"/>
    <s v="JC"/>
    <n v="-262500"/>
    <d v="2025-08-31T00:00:00"/>
    <s v="Produits à recevoir -M36 - Color4Craft"/>
    <m/>
    <e v="#N/A"/>
    <e v="#N/A"/>
    <n v="72955"/>
    <m/>
    <m/>
    <s v="Q3"/>
    <e v="#REF!"/>
    <e v="#REF!"/>
    <e v="#REF!"/>
  </r>
  <r>
    <s v="740000"/>
    <x v="7"/>
    <s v="SUBVENTIONS SUR DOSSIERS RECHERCHE"/>
    <s v="JC"/>
    <n v="-252778"/>
    <d v="2025-07-31T00:00:00"/>
    <s v="Produits à recevoir -M36 - Color4Craft"/>
    <m/>
    <e v="#N/A"/>
    <e v="#N/A"/>
    <n v="72951"/>
    <m/>
    <m/>
    <s v="Q3"/>
    <e v="#REF!"/>
    <e v="#REF!"/>
    <e v="#REF!"/>
  </r>
  <r>
    <s v="740000"/>
    <x v="7"/>
    <s v="SUBVENTIONS SUR DOSSIERS RECHERCHE"/>
    <s v="JC"/>
    <n v="-243056"/>
    <d v="2025-06-30T00:00:00"/>
    <s v="Produits à recevoir -M36 - Color4Craft"/>
    <m/>
    <e v="#N/A"/>
    <e v="#N/A"/>
    <n v="72947"/>
    <m/>
    <m/>
    <s v="Q2"/>
    <e v="#REF!"/>
    <e v="#REF!"/>
    <e v="#REF!"/>
  </r>
  <r>
    <s v="740000"/>
    <x v="7"/>
    <s v="SUBVENTIONS SUR DOSSIERS RECHERCHE"/>
    <s v="JC"/>
    <n v="-239394"/>
    <d v="2025-02-28T00:00:00"/>
    <s v="PRODUITS À RECEVOIR SUR M24 - ADEME"/>
    <m/>
    <e v="#N/A"/>
    <e v="#N/A"/>
    <n v="73956"/>
    <s v="Produits à recevoir sur M24 - Ademe"/>
    <m/>
    <s v="Q1"/>
    <e v="#REF!"/>
    <e v="#REF!"/>
    <e v="#REF!"/>
  </r>
  <r>
    <s v="740000"/>
    <x v="7"/>
    <s v="SUBVENTIONS SUR DOSSIERS RECHERCHE"/>
    <s v="JC"/>
    <n v="-238282"/>
    <d v="2025-07-31T00:00:00"/>
    <s v="PRODUITS À RECEVOIR SUR M36 - BPI INOV BIOPIGMENT"/>
    <m/>
    <e v="#N/A"/>
    <e v="#N/A"/>
    <n v="73046"/>
    <s v="Produits à recevoir sur M36 - BPI Inov Biopigment"/>
    <m/>
    <s v="Q3"/>
    <e v="#REF!"/>
    <e v="#REF!"/>
    <e v="#REF!"/>
  </r>
  <r>
    <s v="740000"/>
    <x v="7"/>
    <s v="SUBVENTIONS SUR DOSSIERS RECHERCHE"/>
    <s v="JC"/>
    <n v="-233333"/>
    <d v="2025-05-31T00:00:00"/>
    <s v="Produits à recevoir -M36 - Color4Craft"/>
    <m/>
    <e v="#N/A"/>
    <e v="#N/A"/>
    <n v="72943"/>
    <m/>
    <m/>
    <s v="Q2"/>
    <e v="#REF!"/>
    <e v="#REF!"/>
    <e v="#REF!"/>
  </r>
  <r>
    <s v="740000"/>
    <x v="7"/>
    <s v="SUBVENTIONS SUR DOSSIERS RECHERCHE"/>
    <s v="JC"/>
    <n v="-223611"/>
    <d v="2025-04-30T00:00:00"/>
    <s v="Produits à recevoir -M36 - Color4Craft"/>
    <m/>
    <e v="#N/A"/>
    <e v="#N/A"/>
    <n v="72939"/>
    <m/>
    <m/>
    <s v="Q2"/>
    <e v="#REF!"/>
    <e v="#REF!"/>
    <e v="#REF!"/>
  </r>
  <r>
    <s v="740000"/>
    <x v="7"/>
    <s v="SUBVENTIONS SUR DOSSIERS RECHERCHE"/>
    <s v="JC"/>
    <n v="-215454"/>
    <d v="2025-01-31T00:00:00"/>
    <s v="PRODUITS À RECEVOIR SUR M24 - ADEME"/>
    <m/>
    <e v="#N/A"/>
    <e v="#N/A"/>
    <n v="73950"/>
    <s v="Produits à recevoir sur M24 - Ademe"/>
    <m/>
    <s v="Q1"/>
    <e v="#REF!"/>
    <e v="#REF!"/>
    <e v="#REF!"/>
  </r>
  <r>
    <s v="740000"/>
    <x v="7"/>
    <s v="SUBVENTIONS SUR DOSSIERS RECHERCHE"/>
    <s v="JC"/>
    <n v="-213889"/>
    <d v="2025-03-31T00:00:00"/>
    <s v="Produits à recevoir -M36 - Color4Craft"/>
    <m/>
    <e v="#N/A"/>
    <e v="#N/A"/>
    <n v="72935"/>
    <m/>
    <m/>
    <s v="Q1"/>
    <e v="#REF!"/>
    <e v="#REF!"/>
    <e v="#REF!"/>
  </r>
  <r>
    <s v="740000"/>
    <x v="7"/>
    <s v="SUBVENTIONS SUR DOSSIERS RECHERCHE"/>
    <s v="JC"/>
    <n v="-212898"/>
    <d v="2025-06-30T00:00:00"/>
    <s v="PRODUITS À RECEVOIR SUR M36 - BPI INOV BIOPIGMENT"/>
    <m/>
    <e v="#N/A"/>
    <e v="#N/A"/>
    <n v="73042"/>
    <s v="Produits à recevoir sur M36 - BPI Inov Biopigment"/>
    <m/>
    <s v="Q2"/>
    <e v="#REF!"/>
    <e v="#REF!"/>
    <e v="#REF!"/>
  </r>
  <r>
    <s v="740000"/>
    <x v="7"/>
    <s v="SUBVENTIONS SUR DOSSIERS RECHERCHE"/>
    <s v="JC"/>
    <n v="-204167"/>
    <d v="2025-02-28T00:00:00"/>
    <s v="Produits à recevoir -M36 - Color4Craft"/>
    <m/>
    <e v="#N/A"/>
    <e v="#N/A"/>
    <n v="72928"/>
    <m/>
    <m/>
    <s v="Q1"/>
    <e v="#REF!"/>
    <e v="#REF!"/>
    <e v="#REF!"/>
  </r>
  <r>
    <s v="740000"/>
    <x v="7"/>
    <s v="SUBVENTIONS SUR DOSSIERS RECHERCHE"/>
    <s v="JC"/>
    <n v="-194444"/>
    <d v="2025-01-31T00:00:00"/>
    <s v="Produits à recevoir -M36 - Color4Craft"/>
    <m/>
    <e v="#N/A"/>
    <e v="#N/A"/>
    <n v="72926"/>
    <m/>
    <m/>
    <s v="Q1"/>
    <e v="#REF!"/>
    <e v="#REF!"/>
    <e v="#REF!"/>
  </r>
  <r>
    <s v="740000"/>
    <x v="7"/>
    <s v="SUBVENTIONS SUR DOSSIERS RECHERCHE"/>
    <s v="JC"/>
    <n v="-188333"/>
    <d v="2025-05-31T00:00:00"/>
    <s v="PRODUITS À RECEVOIR SUR M36 - BPI INOV BIOPIGMENT"/>
    <m/>
    <e v="#N/A"/>
    <e v="#N/A"/>
    <n v="73038"/>
    <s v="Produits à recevoir sur M36 - BPI Inov Biopigment"/>
    <m/>
    <s v="Q2"/>
    <e v="#REF!"/>
    <e v="#REF!"/>
    <e v="#REF!"/>
  </r>
  <r>
    <s v="740000"/>
    <x v="7"/>
    <s v="SUBVENTIONS SUR DOSSIERS RECHERCHE"/>
    <s v="JC"/>
    <n v="-173441.97"/>
    <d v="2025-12-31T00:00:00"/>
    <s v="PRODUITS À RECEVOIR SUR M36 - ADEME"/>
    <m/>
    <e v="#N/A"/>
    <e v="#N/A"/>
    <n v="74013"/>
    <s v="Produits à recevoir sur M36 - Ademe"/>
    <m/>
    <s v="Q4"/>
    <e v="#REF!"/>
    <e v="#REF!"/>
    <e v="#REF!"/>
  </r>
  <r>
    <s v="740000"/>
    <x v="7"/>
    <s v="SUBVENTIONS SUR DOSSIERS RECHERCHE"/>
    <s v="JC"/>
    <n v="-162949"/>
    <d v="2025-04-30T00:00:00"/>
    <s v="PRODUITS À RECEVOIR SUR M36 - BPI INOV BIOPIGMENT"/>
    <m/>
    <e v="#N/A"/>
    <e v="#N/A"/>
    <n v="73034"/>
    <s v="Produits à recevoir sur M36 - BPI Inov Biopigment"/>
    <m/>
    <s v="Q2"/>
    <e v="#REF!"/>
    <e v="#REF!"/>
    <e v="#REF!"/>
  </r>
  <r>
    <s v="740000"/>
    <x v="7"/>
    <s v="SUBVENTIONS SUR DOSSIERS RECHERCHE"/>
    <s v="JC"/>
    <n v="-151761.73000000001"/>
    <d v="2025-11-30T00:00:00"/>
    <s v="PRODUITS À RECEVOIR SUR M36 - ADEME"/>
    <m/>
    <e v="#N/A"/>
    <e v="#N/A"/>
    <n v="74007"/>
    <s v="Produits à recevoir sur M36 - Ademe"/>
    <m/>
    <s v="Q4"/>
    <e v="#REF!"/>
    <e v="#REF!"/>
    <e v="#REF!"/>
  </r>
  <r>
    <s v="740000"/>
    <x v="7"/>
    <s v="SUBVENTIONS SUR DOSSIERS RECHERCHE"/>
    <s v="JC"/>
    <n v="-138383"/>
    <d v="2025-03-31T00:00:00"/>
    <s v="PRODUITS À RECEVOIR SUR M36 - BPI INOV BIOPIGMENT"/>
    <m/>
    <e v="#N/A"/>
    <e v="#N/A"/>
    <n v="73030"/>
    <s v="Produits à recevoir sur M36 - BPI Inov Biopigment"/>
    <m/>
    <s v="Q1"/>
    <e v="#REF!"/>
    <e v="#REF!"/>
    <e v="#REF!"/>
  </r>
  <r>
    <s v="740000"/>
    <x v="7"/>
    <s v="SUBVENTIONS SUR DOSSIERS RECHERCHE"/>
    <s v="JC"/>
    <n v="-130081.48"/>
    <d v="2025-10-31T00:00:00"/>
    <s v="PRODUITS À RECEVOIR SUR M36 - ADEME"/>
    <m/>
    <e v="#N/A"/>
    <e v="#N/A"/>
    <n v="74001"/>
    <s v="Produits à recevoir sur M36 - Ademe"/>
    <m/>
    <s v="Q4"/>
    <e v="#REF!"/>
    <e v="#REF!"/>
    <e v="#REF!"/>
  </r>
  <r>
    <s v="740000"/>
    <x v="7"/>
    <s v="SUBVENTIONS SUR DOSSIERS RECHERCHE"/>
    <s v="JC"/>
    <n v="-112999"/>
    <d v="2025-02-28T00:00:00"/>
    <s v="PRODUITS À RECEVOIR SUR M36 - BPI INOV BIOPIGMENT"/>
    <m/>
    <e v="#N/A"/>
    <e v="#N/A"/>
    <n v="73026"/>
    <s v="Produits à recevoir sur M36 - BPI Inov Biopigment"/>
    <m/>
    <s v="Q1"/>
    <e v="#REF!"/>
    <e v="#REF!"/>
    <e v="#REF!"/>
  </r>
  <r>
    <s v="740000"/>
    <x v="7"/>
    <s v="SUBVENTIONS SUR DOSSIERS RECHERCHE"/>
    <s v="JC"/>
    <n v="-108401.23"/>
    <d v="2025-09-30T00:00:00"/>
    <s v="PRODUITS À RECEVOIR SUR M36 - ADEME"/>
    <m/>
    <e v="#N/A"/>
    <e v="#N/A"/>
    <n v="73995"/>
    <s v="Produits à recevoir sur M36 - Ademe"/>
    <m/>
    <s v="Q3"/>
    <e v="#REF!"/>
    <e v="#REF!"/>
    <e v="#REF!"/>
  </r>
  <r>
    <s v="740000"/>
    <x v="7"/>
    <s v="SUBVENTIONS SUR DOSSIERS RECHERCHE"/>
    <s v="JC"/>
    <n v="-90072"/>
    <d v="2025-01-31T00:00:00"/>
    <s v="PRODUITS À RECEVOIR SUR M36 - BPI INOV BIOPIGMENT"/>
    <m/>
    <e v="#N/A"/>
    <e v="#N/A"/>
    <n v="72978"/>
    <s v="Produits à recevoir sur M36 - BPI Inov Biopigment"/>
    <m/>
    <s v="Q1"/>
    <e v="#REF!"/>
    <e v="#REF!"/>
    <e v="#REF!"/>
  </r>
  <r>
    <s v="740000"/>
    <x v="7"/>
    <s v="SUBVENTIONS SUR DOSSIERS RECHERCHE"/>
    <s v="JC"/>
    <n v="-86720.99"/>
    <d v="2025-08-31T00:00:00"/>
    <s v="PRODUITS À RECEVOIR SUR M36 - ADEME"/>
    <m/>
    <e v="#N/A"/>
    <e v="#N/A"/>
    <n v="73989"/>
    <s v="Produits à recevoir sur M36 - Ademe"/>
    <m/>
    <s v="Q3"/>
    <e v="#REF!"/>
    <e v="#REF!"/>
    <e v="#REF!"/>
  </r>
  <r>
    <s v="740000"/>
    <x v="7"/>
    <s v="SUBVENTIONS SUR DOSSIERS RECHERCHE"/>
    <s v="JC"/>
    <n v="-65040.74"/>
    <d v="2025-07-31T00:00:00"/>
    <s v="PRODUITS À RECEVOIR SUR M36 - ADEME"/>
    <m/>
    <e v="#N/A"/>
    <e v="#N/A"/>
    <n v="73983"/>
    <s v="Produits à recevoir sur M36 - Ademe"/>
    <m/>
    <s v="Q3"/>
    <e v="#REF!"/>
    <e v="#REF!"/>
    <e v="#REF!"/>
  </r>
  <r>
    <s v="740000"/>
    <x v="7"/>
    <s v="SUBVENTIONS SUR DOSSIERS RECHERCHE"/>
    <s v="JC"/>
    <n v="-60550"/>
    <d v="2025-12-31T00:00:00"/>
    <s v="PRODUITS À RECEVOIR SUR M36 - WOODVALOR"/>
    <m/>
    <e v="#N/A"/>
    <e v="#N/A"/>
    <n v="76265"/>
    <s v="Produits à recevoir sur M36 - WoodValor"/>
    <m/>
    <s v="Q4"/>
    <e v="#REF!"/>
    <e v="#REF!"/>
    <e v="#REF!"/>
  </r>
  <r>
    <s v="740000"/>
    <x v="7"/>
    <s v="SUBVENTIONS SUR DOSSIERS RECHERCHE"/>
    <s v="JC"/>
    <n v="-51900"/>
    <d v="2025-11-30T00:00:00"/>
    <s v="PRODUITS À RECEVOIR SUR M36 - WOODVALOR"/>
    <m/>
    <e v="#N/A"/>
    <e v="#N/A"/>
    <n v="76261"/>
    <s v="Produits à recevoir sur M36 - WoodValor"/>
    <m/>
    <s v="Q4"/>
    <e v="#REF!"/>
    <e v="#REF!"/>
    <e v="#REF!"/>
  </r>
  <r>
    <s v="740000"/>
    <x v="7"/>
    <s v="SUBVENTIONS SUR DOSSIERS RECHERCHE"/>
    <s v="JC"/>
    <n v="-43360.49"/>
    <d v="2025-06-30T00:00:00"/>
    <s v="PRODUITS À RECEVOIR SUR M36 - ADEME"/>
    <m/>
    <e v="#N/A"/>
    <e v="#N/A"/>
    <n v="73977"/>
    <s v="Produits à recevoir sur M36 - Ademe"/>
    <m/>
    <s v="Q2"/>
    <e v="#REF!"/>
    <e v="#REF!"/>
    <e v="#REF!"/>
  </r>
  <r>
    <s v="740000"/>
    <x v="7"/>
    <s v="SUBVENTIONS SUR DOSSIERS RECHERCHE"/>
    <s v="JC"/>
    <n v="-43250"/>
    <d v="2025-10-31T00:00:00"/>
    <s v="PRODUITS À RECEVOIR SUR M36 - WOODVALOR"/>
    <m/>
    <e v="#N/A"/>
    <e v="#N/A"/>
    <n v="76257"/>
    <s v="Produits à recevoir sur M36 - WoodValor"/>
    <m/>
    <s v="Q4"/>
    <e v="#REF!"/>
    <e v="#REF!"/>
    <e v="#REF!"/>
  </r>
  <r>
    <s v="740000"/>
    <x v="7"/>
    <s v="SUBVENTIONS SUR DOSSIERS RECHERCHE"/>
    <s v="JC"/>
    <n v="-34600"/>
    <d v="2025-09-30T00:00:00"/>
    <s v="PRODUITS À RECEVOIR SUR M36 - WOODVALOR"/>
    <m/>
    <e v="#N/A"/>
    <e v="#N/A"/>
    <n v="76253"/>
    <s v="Produits à recevoir sur M36 - WoodValor"/>
    <m/>
    <s v="Q3"/>
    <e v="#REF!"/>
    <e v="#REF!"/>
    <e v="#REF!"/>
  </r>
  <r>
    <s v="740000"/>
    <x v="7"/>
    <s v="SUBVENTIONS SUR DOSSIERS RECHERCHE"/>
    <s v="JC"/>
    <n v="-25950"/>
    <d v="2025-08-31T00:00:00"/>
    <s v="PRODUITS À RECEVOIR SUR M36 - WOODVALOR"/>
    <m/>
    <e v="#N/A"/>
    <e v="#N/A"/>
    <n v="76249"/>
    <s v="Produits à recevoir sur M36 - WoodValor"/>
    <m/>
    <s v="Q3"/>
    <e v="#REF!"/>
    <e v="#REF!"/>
    <e v="#REF!"/>
  </r>
  <r>
    <s v="740000"/>
    <x v="7"/>
    <s v="SUBVENTIONS SUR DOSSIERS RECHERCHE"/>
    <s v="JC"/>
    <n v="-21680.25"/>
    <d v="2025-05-31T00:00:00"/>
    <s v="PRODUITS À RECEVOIR SUR M36 - ADEME"/>
    <m/>
    <e v="#N/A"/>
    <e v="#N/A"/>
    <n v="73974"/>
    <s v="Produits à recevoir sur M36 - Ademe"/>
    <m/>
    <s v="Q2"/>
    <e v="#REF!"/>
    <e v="#REF!"/>
    <e v="#REF!"/>
  </r>
  <r>
    <s v="740000"/>
    <x v="7"/>
    <s v="SUBVENTIONS SUR DOSSIERS RECHERCHE"/>
    <s v="JC"/>
    <n v="-17300"/>
    <d v="2025-07-31T00:00:00"/>
    <s v="PRODUITS À RECEVOIR SUR M36 - WOODVALOR"/>
    <m/>
    <e v="#N/A"/>
    <e v="#N/A"/>
    <n v="76245"/>
    <s v="Produits à recevoir sur M36 - WoodValor"/>
    <m/>
    <s v="Q3"/>
    <e v="#REF!"/>
    <e v="#REF!"/>
    <e v="#REF!"/>
  </r>
  <r>
    <s v="740000"/>
    <x v="7"/>
    <s v="SUBVENTIONS SUR DOSSIERS RECHERCHE"/>
    <s v="JC"/>
    <n v="-8650"/>
    <d v="2025-06-30T00:00:00"/>
    <s v="PRODUITS À RECEVOIR SUR M36 - WOODVALOR"/>
    <m/>
    <e v="#N/A"/>
    <e v="#N/A"/>
    <n v="76243"/>
    <s v="Produits à recevoir sur M36 - WoodValor"/>
    <m/>
    <s v="Q2"/>
    <e v="#REF!"/>
    <e v="#REF!"/>
    <e v="#REF!"/>
  </r>
  <r>
    <s v="740000"/>
    <x v="7"/>
    <s v="SUBVENTIONS SUR DOSSIERS RECHERCHE"/>
    <s v="JC"/>
    <n v="2790"/>
    <d v="2025-09-01T00:00:00"/>
    <s v="FINANCIAL REPORT SUBMISSION - W2BC"/>
    <m/>
    <e v="#N/A"/>
    <e v="#N/A"/>
    <n v="87366"/>
    <m/>
    <m/>
    <s v="Q3"/>
    <e v="#REF!"/>
    <e v="#REF!"/>
    <e v="#REF!"/>
  </r>
  <r>
    <s v="740000"/>
    <x v="7"/>
    <s v="SUBVENTIONS SUR DOSSIERS RECHERCHE"/>
    <s v="JC"/>
    <n v="8650"/>
    <d v="2025-07-31T00:00:00"/>
    <s v="EXTOURNE - PRODUITS À RECEVOIR SUR M36 - WOODVALOR"/>
    <m/>
    <e v="#N/A"/>
    <e v="#N/A"/>
    <n v="76247"/>
    <s v="Extourne - Produits à recevoir sur M36 - WoodValor"/>
    <m/>
    <s v="Q3"/>
    <e v="#REF!"/>
    <e v="#REF!"/>
    <e v="#REF!"/>
  </r>
  <r>
    <s v="740000"/>
    <x v="7"/>
    <s v="SUBVENTIONS SUR DOSSIERS RECHERCHE"/>
    <s v="JC"/>
    <n v="17300"/>
    <d v="2025-08-31T00:00:00"/>
    <s v="EXTOURNE - PRODUITS À RECEVOIR SUR M36 - WOODVALOR"/>
    <m/>
    <e v="#N/A"/>
    <e v="#N/A"/>
    <n v="76251"/>
    <s v="Extourne - Produits à recevoir sur M36 - WoodValor"/>
    <m/>
    <s v="Q3"/>
    <e v="#REF!"/>
    <e v="#REF!"/>
    <e v="#REF!"/>
  </r>
  <r>
    <s v="740000"/>
    <x v="7"/>
    <s v="SUBVENTIONS SUR DOSSIERS RECHERCHE"/>
    <s v="JC"/>
    <n v="21680.25"/>
    <d v="2025-06-01T00:00:00"/>
    <s v="EXTOURNE PAR - M36"/>
    <m/>
    <e v="#N/A"/>
    <e v="#N/A"/>
    <n v="73980"/>
    <s v="Extourne PAR - M36"/>
    <m/>
    <s v="Q2"/>
    <e v="#REF!"/>
    <e v="#REF!"/>
    <e v="#REF!"/>
  </r>
  <r>
    <s v="740000"/>
    <x v="7"/>
    <s v="SUBVENTIONS SUR DOSSIERS RECHERCHE"/>
    <s v="JC"/>
    <n v="25950"/>
    <d v="2025-09-30T00:00:00"/>
    <s v="EXTOURNE - PRODUITS À RECEVOIR SUR M36 - WOODVALOR"/>
    <m/>
    <e v="#N/A"/>
    <e v="#N/A"/>
    <n v="76255"/>
    <s v="Extourne - Produits à recevoir sur M36 - WoodValor"/>
    <m/>
    <s v="Q3"/>
    <e v="#REF!"/>
    <e v="#REF!"/>
    <e v="#REF!"/>
  </r>
  <r>
    <s v="740000"/>
    <x v="7"/>
    <s v="SUBVENTIONS SUR DOSSIERS RECHERCHE"/>
    <s v="JC"/>
    <n v="34600"/>
    <d v="2025-10-31T00:00:00"/>
    <s v="EXTOURNE - PRODUITS À RECEVOIR SUR M36 - WOODVALOR"/>
    <m/>
    <e v="#N/A"/>
    <e v="#N/A"/>
    <n v="76259"/>
    <s v="Extourne - Produits à recevoir sur M36 - WoodValor"/>
    <m/>
    <s v="Q4"/>
    <e v="#REF!"/>
    <e v="#REF!"/>
    <e v="#REF!"/>
  </r>
  <r>
    <s v="740000"/>
    <x v="7"/>
    <s v="SUBVENTIONS SUR DOSSIERS RECHERCHE"/>
    <s v="JC"/>
    <n v="43250"/>
    <d v="2025-11-30T00:00:00"/>
    <s v="EXTOURNE - PRODUITS À RECEVOIR SUR M36 - WOODVALOR"/>
    <m/>
    <e v="#N/A"/>
    <e v="#N/A"/>
    <n v="76263"/>
    <s v="Extourne - Produits à recevoir sur M36 - WoodValor"/>
    <m/>
    <s v="Q4"/>
    <e v="#REF!"/>
    <e v="#REF!"/>
    <e v="#REF!"/>
  </r>
  <r>
    <s v="740000"/>
    <x v="7"/>
    <s v="SUBVENTIONS SUR DOSSIERS RECHERCHE"/>
    <s v="JC"/>
    <n v="43360.49"/>
    <d v="2025-07-01T00:00:00"/>
    <s v="EXTOURNE PAR - M36"/>
    <m/>
    <e v="#N/A"/>
    <e v="#N/A"/>
    <n v="73986"/>
    <s v="Extourne PAR - M36"/>
    <m/>
    <s v="Q3"/>
    <e v="#REF!"/>
    <e v="#REF!"/>
    <e v="#REF!"/>
  </r>
  <r>
    <s v="740000"/>
    <x v="7"/>
    <s v="SUBVENTIONS SUR DOSSIERS RECHERCHE"/>
    <s v="JC"/>
    <n v="51900"/>
    <d v="2025-12-31T00:00:00"/>
    <s v="EXTOURNE - PRODUITS À RECEVOIR SUR M36 - WOODVALOR"/>
    <m/>
    <e v="#N/A"/>
    <e v="#N/A"/>
    <n v="76267"/>
    <s v="Extourne - Produits à recevoir sur M36 - WoodValor"/>
    <m/>
    <s v="Q4"/>
    <e v="#REF!"/>
    <e v="#REF!"/>
    <e v="#REF!"/>
  </r>
  <r>
    <s v="740000"/>
    <x v="7"/>
    <s v="SUBVENTIONS SUR DOSSIERS RECHERCHE"/>
    <s v="JC"/>
    <n v="64688.3"/>
    <d v="2025-01-31T00:00:00"/>
    <s v="EXTOURNE PAR - M-1"/>
    <m/>
    <e v="#N/A"/>
    <e v="#N/A"/>
    <n v="72980"/>
    <s v="Extourne PAR - M-1"/>
    <m/>
    <s v="Q1"/>
    <e v="#REF!"/>
    <e v="#REF!"/>
    <e v="#REF!"/>
  </r>
  <r>
    <s v="740000"/>
    <x v="7"/>
    <s v="SUBVENTIONS SUR DOSSIERS RECHERCHE"/>
    <s v="JC"/>
    <n v="65040.74"/>
    <d v="2025-08-01T00:00:00"/>
    <s v="EXTOURNE PAR - M36"/>
    <m/>
    <e v="#N/A"/>
    <e v="#N/A"/>
    <n v="73992"/>
    <s v="Extourne PAR - M36"/>
    <m/>
    <s v="Q3"/>
    <e v="#REF!"/>
    <e v="#REF!"/>
    <e v="#REF!"/>
  </r>
  <r>
    <s v="740000"/>
    <x v="7"/>
    <s v="SUBVENTIONS SUR DOSSIERS RECHERCHE"/>
    <s v="JC"/>
    <n v="86720.99"/>
    <d v="2025-09-01T00:00:00"/>
    <s v="EXTOURNE PAR - M36"/>
    <m/>
    <e v="#N/A"/>
    <e v="#N/A"/>
    <n v="73998"/>
    <s v="Extourne PAR - M36"/>
    <m/>
    <s v="Q3"/>
    <e v="#REF!"/>
    <e v="#REF!"/>
    <e v="#REF!"/>
  </r>
  <r>
    <s v="740000"/>
    <x v="7"/>
    <s v="SUBVENTIONS SUR DOSSIERS RECHERCHE"/>
    <s v="JC"/>
    <n v="90072"/>
    <d v="2025-02-28T00:00:00"/>
    <s v="EXTOURNE PAR - M-1"/>
    <m/>
    <e v="#N/A"/>
    <e v="#N/A"/>
    <n v="73028"/>
    <s v="Extourne PAR - M-1"/>
    <m/>
    <s v="Q1"/>
    <e v="#REF!"/>
    <e v="#REF!"/>
    <e v="#REF!"/>
  </r>
  <r>
    <s v="740000"/>
    <x v="7"/>
    <s v="SUBVENTIONS SUR DOSSIERS RECHERCHE"/>
    <s v="JC"/>
    <n v="108401.23"/>
    <d v="2025-10-01T00:00:00"/>
    <s v="EXTOURNE PAR - M36"/>
    <m/>
    <e v="#N/A"/>
    <e v="#N/A"/>
    <n v="74004"/>
    <s v="Extourne PAR - M36"/>
    <m/>
    <s v="Q4"/>
    <e v="#REF!"/>
    <e v="#REF!"/>
    <e v="#REF!"/>
  </r>
  <r>
    <s v="740000"/>
    <x v="7"/>
    <s v="SUBVENTIONS SUR DOSSIERS RECHERCHE"/>
    <s v="JC"/>
    <n v="112999"/>
    <d v="2025-03-31T00:00:00"/>
    <s v="EXTOURNE PAR - M-1"/>
    <m/>
    <e v="#N/A"/>
    <e v="#N/A"/>
    <n v="73032"/>
    <s v="Extourne PAR - M-1"/>
    <m/>
    <s v="Q1"/>
    <e v="#REF!"/>
    <e v="#REF!"/>
    <e v="#REF!"/>
  </r>
  <r>
    <s v="740000"/>
    <x v="7"/>
    <s v="SUBVENTIONS SUR DOSSIERS RECHERCHE"/>
    <s v="JC"/>
    <n v="130081.48"/>
    <d v="2025-11-01T00:00:00"/>
    <s v="EXTOURNE PAR - M36"/>
    <m/>
    <e v="#N/A"/>
    <e v="#N/A"/>
    <n v="74010"/>
    <s v="Extourne PAR - M36"/>
    <m/>
    <s v="Q4"/>
    <e v="#REF!"/>
    <e v="#REF!"/>
    <e v="#REF!"/>
  </r>
  <r>
    <s v="740000"/>
    <x v="7"/>
    <s v="SUBVENTIONS SUR DOSSIERS RECHERCHE"/>
    <s v="JC"/>
    <n v="138383"/>
    <d v="2025-04-30T00:00:00"/>
    <s v="EXTOURNE PAR - M-1"/>
    <m/>
    <e v="#N/A"/>
    <e v="#N/A"/>
    <n v="73036"/>
    <s v="Extourne PAR - M-1"/>
    <m/>
    <s v="Q2"/>
    <e v="#REF!"/>
    <e v="#REF!"/>
    <e v="#REF!"/>
  </r>
  <r>
    <s v="740000"/>
    <x v="7"/>
    <s v="SUBVENTIONS SUR DOSSIERS RECHERCHE"/>
    <s v="JC"/>
    <n v="151761.73000000001"/>
    <d v="2025-12-01T00:00:00"/>
    <s v="EXTOURNE PAR - M36"/>
    <m/>
    <e v="#N/A"/>
    <e v="#N/A"/>
    <n v="74016"/>
    <s v="Extourne PAR - M36"/>
    <m/>
    <s v="Q4"/>
    <e v="#REF!"/>
    <e v="#REF!"/>
    <e v="#REF!"/>
  </r>
  <r>
    <s v="740000"/>
    <x v="7"/>
    <s v="SUBVENTIONS SUR DOSSIERS RECHERCHE"/>
    <s v="JC"/>
    <n v="162949"/>
    <d v="2025-05-31T00:00:00"/>
    <s v="EXTOURNE PAR - M-1"/>
    <m/>
    <e v="#N/A"/>
    <e v="#N/A"/>
    <n v="73040"/>
    <s v="Extourne PAR - M-1"/>
    <m/>
    <s v="Q2"/>
    <e v="#REF!"/>
    <e v="#REF!"/>
    <e v="#REF!"/>
  </r>
  <r>
    <s v="740000"/>
    <x v="7"/>
    <s v="SUBVENTIONS SUR DOSSIERS RECHERCHE"/>
    <s v="JC"/>
    <n v="184722"/>
    <d v="2025-01-31T00:00:00"/>
    <s v="Produits à recevoir -M36 - Color4Craft"/>
    <m/>
    <e v="#N/A"/>
    <e v="#N/A"/>
    <n v="72929"/>
    <m/>
    <m/>
    <s v="Q1"/>
    <e v="#REF!"/>
    <e v="#REF!"/>
    <e v="#REF!"/>
  </r>
  <r>
    <s v="740000"/>
    <x v="7"/>
    <s v="SUBVENTIONS SUR DOSSIERS RECHERCHE"/>
    <s v="JC"/>
    <n v="188333"/>
    <d v="2025-06-30T00:00:00"/>
    <s v="EXTOURNE PAR - M-1"/>
    <m/>
    <e v="#N/A"/>
    <e v="#N/A"/>
    <n v="73044"/>
    <s v="Extourne PAR - M-1"/>
    <m/>
    <s v="Q2"/>
    <e v="#REF!"/>
    <e v="#REF!"/>
    <e v="#REF!"/>
  </r>
  <r>
    <s v="740000"/>
    <x v="7"/>
    <s v="SUBVENTIONS SUR DOSSIERS RECHERCHE"/>
    <s v="JC"/>
    <n v="191515"/>
    <d v="2025-01-01T00:00:00"/>
    <s v="EXTOURNE PAR - M-1"/>
    <m/>
    <e v="#N/A"/>
    <e v="#N/A"/>
    <n v="73953"/>
    <s v="Extourne PAR - M-1"/>
    <m/>
    <s v="Q1"/>
    <e v="#REF!"/>
    <e v="#REF!"/>
    <e v="#REF!"/>
  </r>
  <r>
    <s v="740000"/>
    <x v="7"/>
    <s v="SUBVENTIONS SUR DOSSIERS RECHERCHE"/>
    <s v="JC"/>
    <n v="194444"/>
    <d v="2025-02-28T00:00:00"/>
    <s v="Produits à recevoir -M36 - Color4Craft"/>
    <m/>
    <e v="#N/A"/>
    <e v="#N/A"/>
    <n v="72931"/>
    <m/>
    <m/>
    <s v="Q1"/>
    <e v="#REF!"/>
    <e v="#REF!"/>
    <e v="#REF!"/>
  </r>
  <r>
    <s v="740000"/>
    <x v="7"/>
    <s v="SUBVENTIONS SUR DOSSIERS RECHERCHE"/>
    <s v="JC"/>
    <n v="204167"/>
    <d v="2025-03-31T00:00:00"/>
    <s v="Produits à recevoir -M36 - Color4Craft"/>
    <m/>
    <e v="#N/A"/>
    <e v="#N/A"/>
    <n v="72936"/>
    <m/>
    <m/>
    <s v="Q1"/>
    <e v="#REF!"/>
    <e v="#REF!"/>
    <e v="#REF!"/>
  </r>
  <r>
    <s v="740000"/>
    <x v="7"/>
    <s v="SUBVENTIONS SUR DOSSIERS RECHERCHE"/>
    <s v="JC"/>
    <n v="212898"/>
    <d v="2025-07-31T00:00:00"/>
    <s v="EXTOURNE PAR - M-1"/>
    <m/>
    <e v="#N/A"/>
    <e v="#N/A"/>
    <n v="73048"/>
    <s v="Extourne PAR - M-1"/>
    <m/>
    <s v="Q3"/>
    <e v="#REF!"/>
    <e v="#REF!"/>
    <e v="#REF!"/>
  </r>
  <r>
    <s v="740000"/>
    <x v="7"/>
    <s v="SUBVENTIONS SUR DOSSIERS RECHERCHE"/>
    <s v="JC"/>
    <n v="213889"/>
    <d v="2025-04-30T00:00:00"/>
    <s v="Produits à recevoir -M36 - Color4Craft"/>
    <m/>
    <e v="#N/A"/>
    <e v="#N/A"/>
    <n v="72940"/>
    <m/>
    <m/>
    <s v="Q2"/>
    <e v="#REF!"/>
    <e v="#REF!"/>
    <e v="#REF!"/>
  </r>
  <r>
    <s v="740000"/>
    <x v="7"/>
    <s v="SUBVENTIONS SUR DOSSIERS RECHERCHE"/>
    <s v="JC"/>
    <n v="215454"/>
    <d v="2025-02-01T00:00:00"/>
    <s v="EXTOURNE PAR - M-1"/>
    <m/>
    <e v="#N/A"/>
    <e v="#N/A"/>
    <n v="73959"/>
    <s v="Extourne PAR - M-1"/>
    <m/>
    <s v="Q1"/>
    <e v="#REF!"/>
    <e v="#REF!"/>
    <e v="#REF!"/>
  </r>
  <r>
    <s v="740000"/>
    <x v="7"/>
    <s v="SUBVENTIONS SUR DOSSIERS RECHERCHE"/>
    <s v="JC"/>
    <n v="223611"/>
    <d v="2025-05-31T00:00:00"/>
    <s v="Produits à recevoir -M36 - Color4Craft"/>
    <m/>
    <e v="#N/A"/>
    <e v="#N/A"/>
    <n v="72944"/>
    <m/>
    <m/>
    <s v="Q2"/>
    <e v="#REF!"/>
    <e v="#REF!"/>
    <e v="#REF!"/>
  </r>
  <r>
    <s v="740000"/>
    <x v="7"/>
    <s v="SUBVENTIONS SUR DOSSIERS RECHERCHE"/>
    <s v="JC"/>
    <n v="233333"/>
    <d v="2025-06-30T00:00:00"/>
    <s v="Produits à recevoir -M36 - Color4Craft"/>
    <m/>
    <e v="#N/A"/>
    <e v="#N/A"/>
    <n v="72948"/>
    <m/>
    <m/>
    <s v="Q2"/>
    <e v="#REF!"/>
    <e v="#REF!"/>
    <e v="#REF!"/>
  </r>
  <r>
    <s v="740000"/>
    <x v="7"/>
    <s v="SUBVENTIONS SUR DOSSIERS RECHERCHE"/>
    <s v="JC"/>
    <n v="238282"/>
    <d v="2025-08-01T00:00:00"/>
    <s v="EXTOURNE PAR - M-1"/>
    <m/>
    <e v="#N/A"/>
    <e v="#N/A"/>
    <n v="73052"/>
    <s v="Extourne PAR - M-1"/>
    <m/>
    <s v="Q3"/>
    <e v="#REF!"/>
    <e v="#REF!"/>
    <e v="#REF!"/>
  </r>
  <r>
    <s v="740000"/>
    <x v="7"/>
    <s v="SUBVENTIONS SUR DOSSIERS RECHERCHE"/>
    <s v="JC"/>
    <n v="239394"/>
    <d v="2025-03-01T00:00:00"/>
    <s v="EXTOURNE PAR - M-1"/>
    <m/>
    <e v="#N/A"/>
    <e v="#N/A"/>
    <n v="73965"/>
    <s v="Extourne PAR - M-1"/>
    <m/>
    <s v="Q1"/>
    <e v="#REF!"/>
    <e v="#REF!"/>
    <e v="#REF!"/>
  </r>
  <r>
    <s v="740000"/>
    <x v="7"/>
    <s v="SUBVENTIONS SUR DOSSIERS RECHERCHE"/>
    <s v="JC"/>
    <n v="243056"/>
    <d v="2025-07-31T00:00:00"/>
    <s v="Produits à recevoir -M36 - Color4Craft"/>
    <m/>
    <e v="#N/A"/>
    <e v="#N/A"/>
    <n v="72952"/>
    <m/>
    <m/>
    <s v="Q3"/>
    <e v="#REF!"/>
    <e v="#REF!"/>
    <e v="#REF!"/>
  </r>
  <r>
    <s v="740000"/>
    <x v="7"/>
    <s v="SUBVENTIONS SUR DOSSIERS RECHERCHE"/>
    <s v="JC"/>
    <n v="252778"/>
    <d v="2025-08-31T00:00:00"/>
    <s v="Produits à recevoir -M36 - Color4Craft"/>
    <m/>
    <e v="#N/A"/>
    <e v="#N/A"/>
    <n v="72956"/>
    <m/>
    <m/>
    <s v="Q3"/>
    <e v="#REF!"/>
    <e v="#REF!"/>
    <e v="#REF!"/>
  </r>
  <r>
    <s v="740000"/>
    <x v="7"/>
    <s v="SUBVENTIONS SUR DOSSIERS RECHERCHE"/>
    <s v="JC"/>
    <n v="262500"/>
    <d v="2025-09-30T00:00:00"/>
    <s v="Produits à recevoir -M36 - Color4Craft"/>
    <m/>
    <e v="#N/A"/>
    <e v="#N/A"/>
    <n v="72960"/>
    <m/>
    <m/>
    <s v="Q3"/>
    <e v="#REF!"/>
    <e v="#REF!"/>
    <e v="#REF!"/>
  </r>
  <r>
    <s v="740000"/>
    <x v="7"/>
    <s v="SUBVENTIONS SUR DOSSIERS RECHERCHE"/>
    <s v="JC"/>
    <n v="263333"/>
    <d v="2025-04-01T00:00:00"/>
    <s v="EXTOURNE PAR - M-1"/>
    <m/>
    <e v="#N/A"/>
    <e v="#N/A"/>
    <n v="73971"/>
    <s v="Extourne PAR - M-1"/>
    <m/>
    <s v="Q2"/>
    <e v="#REF!"/>
    <e v="#REF!"/>
    <e v="#REF!"/>
  </r>
  <r>
    <s v="740000"/>
    <x v="7"/>
    <s v="SUBVENTIONS SUR DOSSIERS RECHERCHE"/>
    <s v="JC"/>
    <n v="263666"/>
    <d v="2025-09-01T00:00:00"/>
    <s v="EXTOURNE PAR - M-1"/>
    <m/>
    <e v="#N/A"/>
    <e v="#N/A"/>
    <n v="73056"/>
    <s v="Extourne PAR - M-1"/>
    <m/>
    <s v="Q3"/>
    <e v="#REF!"/>
    <e v="#REF!"/>
    <e v="#REF!"/>
  </r>
  <r>
    <s v="740000"/>
    <x v="7"/>
    <s v="SUBVENTIONS SUR DOSSIERS RECHERCHE"/>
    <s v="JC"/>
    <n v="272222"/>
    <d v="2025-10-31T00:00:00"/>
    <s v="Produits à recevoir -M36 - Color4Craft"/>
    <m/>
    <e v="#N/A"/>
    <e v="#N/A"/>
    <n v="72964"/>
    <m/>
    <m/>
    <s v="Q4"/>
    <e v="#REF!"/>
    <e v="#REF!"/>
    <e v="#REF!"/>
  </r>
  <r>
    <s v="740000"/>
    <x v="7"/>
    <s v="SUBVENTIONS SUR DOSSIERS RECHERCHE"/>
    <s v="JC"/>
    <n v="281944"/>
    <d v="2025-11-30T00:00:00"/>
    <s v="Produits à recevoir -M36 - Color4Craft"/>
    <m/>
    <e v="#N/A"/>
    <e v="#N/A"/>
    <n v="72968"/>
    <m/>
    <m/>
    <s v="Q4"/>
    <e v="#REF!"/>
    <e v="#REF!"/>
    <e v="#REF!"/>
  </r>
  <r>
    <s v="740000"/>
    <x v="7"/>
    <s v="SUBVENTIONS SUR DOSSIERS RECHERCHE"/>
    <s v="JC"/>
    <n v="288231"/>
    <d v="2025-10-01T00:00:00"/>
    <s v="EXTOURNE PAR - M-1"/>
    <m/>
    <e v="#N/A"/>
    <e v="#N/A"/>
    <n v="73060"/>
    <s v="Extourne PAR - M-1"/>
    <m/>
    <s v="Q4"/>
    <e v="#REF!"/>
    <e v="#REF!"/>
    <e v="#REF!"/>
  </r>
  <r>
    <s v="740000"/>
    <x v="7"/>
    <s v="SUBVENTIONS SUR DOSSIERS RECHERCHE"/>
    <s v="JC"/>
    <n v="291667"/>
    <d v="2025-12-31T00:00:00"/>
    <s v="Produits à recevoir -M36 - Color4Craft"/>
    <m/>
    <e v="#N/A"/>
    <e v="#N/A"/>
    <n v="72972"/>
    <m/>
    <m/>
    <s v="Q4"/>
    <e v="#REF!"/>
    <e v="#REF!"/>
    <e v="#REF!"/>
  </r>
  <r>
    <s v="740000"/>
    <x v="7"/>
    <s v="SUBVENTIONS SUR DOSSIERS RECHERCHE"/>
    <s v="JC"/>
    <n v="313615"/>
    <d v="2025-11-01T00:00:00"/>
    <s v="EXTOURNE PAR - M-1"/>
    <m/>
    <e v="#N/A"/>
    <e v="#N/A"/>
    <n v="73064"/>
    <s v="Extourne PAR - M-1"/>
    <m/>
    <s v="Q4"/>
    <e v="#REF!"/>
    <e v="#REF!"/>
    <e v="#REF!"/>
  </r>
  <r>
    <s v="740000"/>
    <x v="7"/>
    <s v="SUBVENTIONS SUR DOSSIERS RECHERCHE"/>
    <s v="JC"/>
    <n v="338180"/>
    <d v="2025-12-01T00:00:00"/>
    <s v="EXTOURNE PAR - M-1"/>
    <m/>
    <e v="#N/A"/>
    <e v="#N/A"/>
    <n v="73068"/>
    <s v="Extourne PAR - M-1"/>
    <m/>
    <s v="Q4"/>
    <e v="#REF!"/>
    <e v="#REF!"/>
    <e v="#REF!"/>
  </r>
  <r>
    <s v="740100"/>
    <x v="7"/>
    <s v="SUBVENTIONS D'EXPLOITATION - DIVERS"/>
    <s v="BPRI"/>
    <n v="-4000"/>
    <d v="2025-01-20T00:00:00"/>
    <s v="EVI DRFIP ILE DE FRANCE ET D"/>
    <m/>
    <e v="#N/A"/>
    <e v="#N/A"/>
    <n v="21039"/>
    <s v="0SUY923"/>
    <m/>
    <s v="Q1"/>
    <e v="#REF!"/>
    <e v="#REF!"/>
    <e v="#REF!"/>
  </r>
  <r>
    <s v="740100"/>
    <x v="7"/>
    <s v="SUBVENTIONS D'EXPLOITATION - DIVERS"/>
    <s v="BPRI"/>
    <n v="-1000"/>
    <d v="2025-03-06T00:00:00"/>
    <s v="Aide aux apprentis"/>
    <m/>
    <e v="#N/A"/>
    <e v="#N/A"/>
    <n v="60098"/>
    <m/>
    <m/>
    <s v="Q1"/>
    <e v="#REF!"/>
    <e v="#REF!"/>
    <e v="#REF!"/>
  </r>
  <r>
    <s v="740100"/>
    <x v="7"/>
    <s v="SUBVENTIONS D'EXPLOITATION - DIVERS"/>
    <s v="BPRI"/>
    <n v="-1000"/>
    <d v="2025-04-07T00:00:00"/>
    <s v="Règlement Aide"/>
    <m/>
    <e v="#N/A"/>
    <e v="#N/A"/>
    <n v="66639"/>
    <m/>
    <m/>
    <s v="Q2"/>
    <e v="#REF!"/>
    <e v="#REF!"/>
    <e v="#REF!"/>
  </r>
  <r>
    <s v="740100"/>
    <x v="7"/>
    <s v="SUBVENTIONS D'EXPLOITATION - DIVERS"/>
    <s v="BPRI"/>
    <n v="-1000"/>
    <d v="2025-05-08T00:00:00"/>
    <s v="Règlement DRFIP"/>
    <m/>
    <e v="#N/A"/>
    <e v="#N/A"/>
    <n v="71733"/>
    <m/>
    <m/>
    <s v="Q2"/>
    <e v="#REF!"/>
    <e v="#REF!"/>
    <e v="#REF!"/>
  </r>
  <r>
    <s v="740100"/>
    <x v="7"/>
    <s v="SUBVENTIONS D'EXPLOITATION - DIVERS"/>
    <s v="BPRI"/>
    <n v="-1000"/>
    <d v="2025-06-06T00:00:00"/>
    <s v="Virement reçu - Ministere Travail  AIDE UNIQUE APPRENTI "/>
    <m/>
    <e v="#N/A"/>
    <e v="#N/A"/>
    <n v="75643"/>
    <m/>
    <m/>
    <s v="Q2"/>
    <e v="#REF!"/>
    <e v="#REF!"/>
    <e v="#REF!"/>
  </r>
  <r>
    <s v="740100"/>
    <x v="7"/>
    <s v="SUBVENTIONS D'EXPLOITATION - DIVERS"/>
    <s v="BPRI"/>
    <n v="-1000"/>
    <d v="2025-07-07T00:00:00"/>
    <s v="Subvention aprentis"/>
    <m/>
    <e v="#N/A"/>
    <e v="#N/A"/>
    <n v="77025"/>
    <m/>
    <m/>
    <s v="Q3"/>
    <e v="#REF!"/>
    <e v="#REF!"/>
    <e v="#REF!"/>
  </r>
  <r>
    <s v="740100"/>
    <x v="7"/>
    <s v="SUBVENTIONS D'EXPLOITATION - DIVERS"/>
    <s v="BPRI"/>
    <n v="-1000"/>
    <d v="2025-08-05T00:00:00"/>
    <s v="SUBVENTION APPRENTI"/>
    <m/>
    <e v="#N/A"/>
    <e v="#N/A"/>
    <n v="80679"/>
    <m/>
    <m/>
    <s v="Q3"/>
    <e v="#REF!"/>
    <e v="#REF!"/>
    <e v="#REF!"/>
  </r>
  <r>
    <s v="631200"/>
    <x v="6"/>
    <s v="TAXE D'APPRENTISSAGE"/>
    <s v="SA"/>
    <n v="84.02"/>
    <d v="2025-10-31T00:00:00"/>
    <s v="TAXE D'APPRENTISSAGE (LIBÉRATOIRE)"/>
    <m/>
    <e v="#N/A"/>
    <e v="#N/A"/>
    <n v="87782"/>
    <s v="SA202510"/>
    <m/>
    <s v="Q4"/>
    <e v="#REF!"/>
    <e v="#REF!"/>
    <e v="#REF!"/>
  </r>
  <r>
    <s v="740100"/>
    <x v="7"/>
    <s v="SUBVENTIONS D'EXPLOITATION - DIVERS"/>
    <s v="OD"/>
    <n v="-416.66"/>
    <d v="2025-09-01T00:00:00"/>
    <s v="AIDE AUX ALTERNANCES - HAJAR AATILA EL HAMSI "/>
    <m/>
    <e v="#N/A"/>
    <e v="#N/A"/>
    <n v="94181"/>
    <m/>
    <m/>
    <s v="Q3"/>
    <e v="#REF!"/>
    <e v="#REF!"/>
    <e v="#REF!"/>
  </r>
  <r>
    <s v="740100"/>
    <x v="7"/>
    <s v="SUBVENTIONS D'EXPLOITATION - DIVERS"/>
    <s v="OD"/>
    <n v="-416.66"/>
    <d v="2025-10-01T00:00:00"/>
    <s v="AIDE AUX ALTERNANCES - HAJAR AATILA EL HAMSI "/>
    <m/>
    <e v="#N/A"/>
    <e v="#N/A"/>
    <n v="94183"/>
    <m/>
    <m/>
    <s v="Q4"/>
    <e v="#REF!"/>
    <e v="#REF!"/>
    <e v="#REF!"/>
  </r>
  <r>
    <s v="740100"/>
    <x v="7"/>
    <s v="SUBVENTIONS D'EXPLOITATION - DIVERS"/>
    <s v="OD"/>
    <n v="-416.66"/>
    <d v="2025-11-01T00:00:00"/>
    <s v="AIDE AUX ALTERNANCES - HAJAR AATILA EL HAMSI "/>
    <m/>
    <e v="#N/A"/>
    <e v="#N/A"/>
    <n v="94185"/>
    <m/>
    <m/>
    <s v="Q4"/>
    <e v="#REF!"/>
    <e v="#REF!"/>
    <e v="#REF!"/>
  </r>
  <r>
    <s v="740100"/>
    <x v="7"/>
    <s v="SUBVENTIONS D'EXPLOITATION - DIVERS"/>
    <s v="OD"/>
    <n v="-416.66"/>
    <d v="2025-12-01T00:00:00"/>
    <s v="AIDE AUX ALTERNANCES - HAJAR AATILA EL HAMSI "/>
    <m/>
    <e v="#N/A"/>
    <e v="#N/A"/>
    <n v="94187"/>
    <m/>
    <m/>
    <s v="Q4"/>
    <e v="#REF!"/>
    <e v="#REF!"/>
    <e v="#REF!"/>
  </r>
  <r>
    <s v="756000"/>
    <x v="6"/>
    <s v="GAINS DE CHANGE SUR CRÉANCES ET DETTES COMMERCIALES"/>
    <s v="OD"/>
    <n v="-276.18"/>
    <d v="2025-07-01T00:00:00"/>
    <s v="Ecart de change"/>
    <s v="Non"/>
    <s v="Non"/>
    <e v="#N/A"/>
    <n v="76954"/>
    <m/>
    <s v="NEIL BELL"/>
    <s v="Q3"/>
    <e v="#REF!"/>
    <e v="#REF!"/>
    <e v="#REF!"/>
  </r>
  <r>
    <s v="756000"/>
    <x v="6"/>
    <s v="GAINS DE CHANGE SUR CRÉANCES ET DETTES COMMERCIALES"/>
    <s v="OD"/>
    <n v="-85.15"/>
    <d v="2025-04-02T00:00:00"/>
    <s v="Ecart de change"/>
    <s v="Non"/>
    <s v="Non"/>
    <e v="#N/A"/>
    <n v="76930"/>
    <m/>
    <s v="NEIL BELL"/>
    <s v="Q2"/>
    <e v="#REF!"/>
    <e v="#REF!"/>
    <e v="#REF!"/>
  </r>
  <r>
    <s v="758000"/>
    <x v="6"/>
    <s v="PRODUITS DIVERS DE GESTION COURANTE"/>
    <s v="AC"/>
    <n v="-308"/>
    <d v="2025-03-31T00:00:00"/>
    <s v="Solde - Pernet"/>
    <m/>
    <e v="#N/A"/>
    <e v="#N/A"/>
    <n v="73127"/>
    <m/>
    <s v="TRISTAN PERNET"/>
    <s v="Q1"/>
    <e v="#REF!"/>
    <e v="#REF!"/>
    <e v="#REF!"/>
  </r>
  <r>
    <s v="758000"/>
    <x v="6"/>
    <s v="PRODUITS DIVERS DE GESTION COURANTE"/>
    <s v="AC"/>
    <n v="-42.83"/>
    <d v="2025-04-01T00:00:00"/>
    <s v="Solde Shopify"/>
    <m/>
    <e v="#N/A"/>
    <e v="#N/A"/>
    <n v="74979"/>
    <m/>
    <s v="SHOPIFY"/>
    <s v="Q2"/>
    <e v="#REF!"/>
    <e v="#REF!"/>
    <e v="#REF!"/>
  </r>
  <r>
    <s v="758000"/>
    <x v="6"/>
    <s v="PRODUITS DIVERS DE GESTION COURANTE"/>
    <s v="BPRI"/>
    <n v="-34.700000000000003"/>
    <d v="2025-01-16T00:00:00"/>
    <s v="L688050"/>
    <m/>
    <e v="#N/A"/>
    <e v="#N/A"/>
    <n v="48103"/>
    <s v="L688050"/>
    <s v="Eurofins BLC Leather Technology Centre Limited"/>
    <s v="Q1"/>
    <e v="#REF!"/>
    <e v="#REF!"/>
    <e v="#REF!"/>
  </r>
  <r>
    <s v="758000"/>
    <x v="6"/>
    <s v="PRODUITS DIVERS DE GESTION COURANTE"/>
    <s v="JC"/>
    <n v="-419.06"/>
    <d v="2025-01-01T00:00:00"/>
    <s v="ECHÉANCIER EMPRUNT"/>
    <m/>
    <e v="#N/A"/>
    <e v="#N/A"/>
    <n v="75340"/>
    <s v="Echéancier Emprunt"/>
    <m/>
    <s v="Q1"/>
    <e v="#REF!"/>
    <e v="#REF!"/>
    <e v="#REF!"/>
  </r>
  <r>
    <s v="758000"/>
    <x v="6"/>
    <s v="PRODUITS DIVERS DE GESTION COURANTE"/>
    <s v="OD"/>
    <n v="-417.99"/>
    <d v="2025-07-31T00:00:00"/>
    <s v="Ecart de règlement"/>
    <m/>
    <e v="#N/A"/>
    <e v="#N/A"/>
    <n v="85056"/>
    <m/>
    <s v="FISHER SCIENTIFIC"/>
    <s v="Q3"/>
    <e v="#REF!"/>
    <e v="#REF!"/>
    <e v="#REF!"/>
  </r>
  <r>
    <s v="758000"/>
    <x v="6"/>
    <s v="PRODUITS DIVERS DE GESTION COURANTE"/>
    <s v="OD"/>
    <n v="-85.34"/>
    <d v="2025-08-31T00:00:00"/>
    <s v="Ecart de règlement"/>
    <m/>
    <e v="#N/A"/>
    <e v="#N/A"/>
    <n v="84360"/>
    <m/>
    <m/>
    <s v="Q3"/>
    <e v="#REF!"/>
    <e v="#REF!"/>
    <e v="#REF!"/>
  </r>
  <r>
    <s v="758000"/>
    <x v="6"/>
    <s v="PRODUITS DIVERS DE GESTION COURANTE"/>
    <s v="OD"/>
    <n v="-4.24"/>
    <d v="2025-12-15T00:00:00"/>
    <s v="Ecart de règlement"/>
    <m/>
    <e v="#N/A"/>
    <e v="#N/A"/>
    <n v="95669"/>
    <m/>
    <m/>
    <s v="Q4"/>
    <e v="#REF!"/>
    <e v="#REF!"/>
    <e v="#REF!"/>
  </r>
  <r>
    <s v="758000"/>
    <x v="6"/>
    <s v="PRODUITS DIVERS DE GESTION COURANTE"/>
    <s v="OD"/>
    <n v="-4.1900000000000004"/>
    <d v="2025-03-31T00:00:00"/>
    <s v="Ecart de règlement"/>
    <m/>
    <e v="#N/A"/>
    <e v="#N/A"/>
    <n v="84264"/>
    <m/>
    <m/>
    <s v="Q1"/>
    <e v="#REF!"/>
    <e v="#REF!"/>
    <e v="#REF!"/>
  </r>
  <r>
    <s v="758000"/>
    <x v="6"/>
    <s v="PRODUITS DIVERS DE GESTION COURANTE"/>
    <s v="OD"/>
    <n v="-2.34"/>
    <d v="2025-12-25T00:00:00"/>
    <s v="Ecart de règlement"/>
    <m/>
    <e v="#N/A"/>
    <e v="#N/A"/>
    <n v="93644"/>
    <m/>
    <m/>
    <s v="Q4"/>
    <e v="#REF!"/>
    <e v="#REF!"/>
    <e v="#REF!"/>
  </r>
  <r>
    <s v="758000"/>
    <x v="6"/>
    <s v="PRODUITS DIVERS DE GESTION COURANTE"/>
    <s v="OD"/>
    <n v="-2.13"/>
    <d v="2025-09-30T00:00:00"/>
    <s v="Ecart de règlement"/>
    <m/>
    <e v="#N/A"/>
    <e v="#N/A"/>
    <n v="84354"/>
    <m/>
    <m/>
    <s v="Q3"/>
    <e v="#REF!"/>
    <e v="#REF!"/>
    <e v="#REF!"/>
  </r>
  <r>
    <s v="758000"/>
    <x v="6"/>
    <s v="PRODUITS DIVERS DE GESTION COURANTE"/>
    <s v="OD"/>
    <n v="-1.34"/>
    <d v="2025-05-31T00:00:00"/>
    <s v="Ecart de règlement"/>
    <m/>
    <e v="#N/A"/>
    <e v="#N/A"/>
    <n v="84362"/>
    <m/>
    <m/>
    <s v="Q2"/>
    <e v="#REF!"/>
    <e v="#REF!"/>
    <e v="#REF!"/>
  </r>
  <r>
    <s v="758000"/>
    <x v="6"/>
    <s v="PRODUITS DIVERS DE GESTION COURANTE"/>
    <s v="OD"/>
    <n v="-1.0900000000000001"/>
    <d v="2025-01-31T00:00:00"/>
    <s v="Ecart de règlement"/>
    <m/>
    <e v="#N/A"/>
    <e v="#N/A"/>
    <n v="72867"/>
    <m/>
    <m/>
    <s v="Q1"/>
    <e v="#REF!"/>
    <e v="#REF!"/>
    <e v="#REF!"/>
  </r>
  <r>
    <s v="758000"/>
    <x v="6"/>
    <s v="PRODUITS DIVERS DE GESTION COURANTE"/>
    <s v="OD"/>
    <n v="-1"/>
    <d v="2025-02-07T00:00:00"/>
    <s v="Ecart de règlement"/>
    <m/>
    <e v="#N/A"/>
    <e v="#N/A"/>
    <n v="66298"/>
    <m/>
    <m/>
    <s v="Q1"/>
    <e v="#REF!"/>
    <e v="#REF!"/>
    <e v="#REF!"/>
  </r>
  <r>
    <s v="758000"/>
    <x v="6"/>
    <s v="PRODUITS DIVERS DE GESTION COURANTE"/>
    <s v="OD"/>
    <n v="-0.97"/>
    <d v="2025-02-28T00:00:00"/>
    <s v="Lettrage US"/>
    <m/>
    <e v="#N/A"/>
    <e v="#N/A"/>
    <n v="71457"/>
    <m/>
    <m/>
    <s v="Q1"/>
    <e v="#REF!"/>
    <e v="#REF!"/>
    <e v="#REF!"/>
  </r>
  <r>
    <s v="758000"/>
    <x v="6"/>
    <s v="PRODUITS DIVERS DE GESTION COURANTE"/>
    <s v="OD"/>
    <n v="-0.91"/>
    <d v="2025-08-25T00:00:00"/>
    <s v="Ecart de règlement"/>
    <m/>
    <e v="#N/A"/>
    <e v="#N/A"/>
    <n v="84310"/>
    <m/>
    <m/>
    <s v="Q3"/>
    <e v="#REF!"/>
    <e v="#REF!"/>
    <e v="#REF!"/>
  </r>
  <r>
    <s v="758000"/>
    <x v="6"/>
    <s v="PRODUITS DIVERS DE GESTION COURANTE"/>
    <s v="OD"/>
    <n v="-0.86"/>
    <d v="2025-01-31T00:00:00"/>
    <s v="Ecart de règlement"/>
    <m/>
    <e v="#N/A"/>
    <e v="#N/A"/>
    <n v="72849"/>
    <m/>
    <m/>
    <s v="Q1"/>
    <e v="#REF!"/>
    <e v="#REF!"/>
    <e v="#REF!"/>
  </r>
  <r>
    <s v="758000"/>
    <x v="6"/>
    <s v="PRODUITS DIVERS DE GESTION COURANTE"/>
    <s v="OD"/>
    <n v="-0.79"/>
    <d v="2025-04-24T00:00:00"/>
    <s v="Ecart de règlement"/>
    <m/>
    <e v="#N/A"/>
    <e v="#N/A"/>
    <n v="84316"/>
    <m/>
    <m/>
    <s v="Q2"/>
    <e v="#REF!"/>
    <e v="#REF!"/>
    <e v="#REF!"/>
  </r>
  <r>
    <s v="758000"/>
    <x v="6"/>
    <s v="PRODUITS DIVERS DE GESTION COURANTE"/>
    <s v="OD"/>
    <n v="-0.73"/>
    <d v="2025-05-30T00:00:00"/>
    <s v="Ecart de règlement"/>
    <m/>
    <e v="#N/A"/>
    <e v="#N/A"/>
    <n v="96511"/>
    <m/>
    <m/>
    <s v="Q2"/>
    <e v="#REF!"/>
    <e v="#REF!"/>
    <e v="#REF!"/>
  </r>
  <r>
    <s v="758000"/>
    <x v="6"/>
    <s v="PRODUITS DIVERS DE GESTION COURANTE"/>
    <s v="OD"/>
    <n v="-0.48"/>
    <d v="2025-10-17T00:00:00"/>
    <s v="Ecart de règlement"/>
    <m/>
    <e v="#N/A"/>
    <e v="#N/A"/>
    <n v="86984"/>
    <m/>
    <m/>
    <s v="Q4"/>
    <e v="#REF!"/>
    <e v="#REF!"/>
    <e v="#REF!"/>
  </r>
  <r>
    <s v="758000"/>
    <x v="6"/>
    <s v="PRODUITS DIVERS DE GESTION COURANTE"/>
    <s v="OD"/>
    <n v="-0.39"/>
    <d v="2025-03-25T00:00:00"/>
    <s v="Ecart de règlement"/>
    <m/>
    <e v="#N/A"/>
    <e v="#N/A"/>
    <n v="87932"/>
    <m/>
    <m/>
    <s v="Q1"/>
    <e v="#REF!"/>
    <e v="#REF!"/>
    <e v="#REF!"/>
  </r>
  <r>
    <s v="758000"/>
    <x v="6"/>
    <s v="PRODUITS DIVERS DE GESTION COURANTE"/>
    <s v="OD"/>
    <n v="-0.36"/>
    <d v="2025-02-25T00:00:00"/>
    <s v="Ecart de règlement"/>
    <m/>
    <e v="#N/A"/>
    <e v="#N/A"/>
    <n v="87926"/>
    <m/>
    <m/>
    <s v="Q1"/>
    <e v="#REF!"/>
    <e v="#REF!"/>
    <e v="#REF!"/>
  </r>
  <r>
    <s v="758000"/>
    <x v="6"/>
    <s v="PRODUITS DIVERS DE GESTION COURANTE"/>
    <s v="OD"/>
    <n v="-0.28000000000000003"/>
    <d v="2025-01-31T00:00:00"/>
    <s v="Ecart de règlement"/>
    <m/>
    <e v="#N/A"/>
    <e v="#N/A"/>
    <n v="72859"/>
    <m/>
    <m/>
    <s v="Q1"/>
    <e v="#REF!"/>
    <e v="#REF!"/>
    <e v="#REF!"/>
  </r>
  <r>
    <s v="758000"/>
    <x v="6"/>
    <s v="PRODUITS DIVERS DE GESTION COURANTE"/>
    <s v="OD"/>
    <n v="-0.28000000000000003"/>
    <d v="2025-06-26T00:00:00"/>
    <s v="Ecart de règlement"/>
    <m/>
    <e v="#N/A"/>
    <e v="#N/A"/>
    <n v="84328"/>
    <m/>
    <m/>
    <s v="Q2"/>
    <e v="#REF!"/>
    <e v="#REF!"/>
    <e v="#REF!"/>
  </r>
  <r>
    <s v="758000"/>
    <x v="6"/>
    <s v="PRODUITS DIVERS DE GESTION COURANTE"/>
    <s v="OD"/>
    <n v="-0.19"/>
    <d v="2025-02-16T00:00:00"/>
    <s v="Ecart de règlement"/>
    <m/>
    <e v="#N/A"/>
    <e v="#N/A"/>
    <n v="64515"/>
    <m/>
    <m/>
    <s v="Q1"/>
    <e v="#REF!"/>
    <e v="#REF!"/>
    <e v="#REF!"/>
  </r>
  <r>
    <s v="758000"/>
    <x v="6"/>
    <s v="PRODUITS DIVERS DE GESTION COURANTE"/>
    <s v="OD"/>
    <n v="-0.09"/>
    <d v="2025-01-31T00:00:00"/>
    <s v="Ecart de règlement"/>
    <m/>
    <e v="#N/A"/>
    <e v="#N/A"/>
    <n v="84298"/>
    <m/>
    <m/>
    <s v="Q1"/>
    <e v="#REF!"/>
    <e v="#REF!"/>
    <e v="#REF!"/>
  </r>
  <r>
    <s v="758000"/>
    <x v="6"/>
    <s v="PRODUITS DIVERS DE GESTION COURANTE"/>
    <s v="OD"/>
    <n v="-0.09"/>
    <d v="2025-10-07T00:00:00"/>
    <s v="Ecart de règlement"/>
    <m/>
    <e v="#N/A"/>
    <e v="#N/A"/>
    <n v="84286"/>
    <m/>
    <m/>
    <s v="Q4"/>
    <e v="#REF!"/>
    <e v="#REF!"/>
    <e v="#REF!"/>
  </r>
  <r>
    <s v="758000"/>
    <x v="6"/>
    <s v="PRODUITS DIVERS DE GESTION COURANTE"/>
    <s v="OD"/>
    <n v="-0.06"/>
    <d v="2025-02-28T00:00:00"/>
    <s v="Ecart de règlement"/>
    <m/>
    <e v="#N/A"/>
    <e v="#N/A"/>
    <n v="84292"/>
    <m/>
    <m/>
    <s v="Q1"/>
    <e v="#REF!"/>
    <e v="#REF!"/>
    <e v="#REF!"/>
  </r>
  <r>
    <s v="758000"/>
    <x v="6"/>
    <s v="PRODUITS DIVERS DE GESTION COURANTE"/>
    <s v="OD"/>
    <n v="-0.06"/>
    <d v="2025-10-07T00:00:00"/>
    <s v="Ecart de règlement"/>
    <m/>
    <e v="#N/A"/>
    <e v="#N/A"/>
    <n v="84304"/>
    <m/>
    <m/>
    <s v="Q4"/>
    <e v="#REF!"/>
    <e v="#REF!"/>
    <e v="#REF!"/>
  </r>
  <r>
    <s v="758000"/>
    <x v="6"/>
    <s v="PRODUITS DIVERS DE GESTION COURANTE"/>
    <s v="OD"/>
    <n v="-0.05"/>
    <d v="2025-11-06T00:00:00"/>
    <s v="Ecart de règlement"/>
    <m/>
    <e v="#N/A"/>
    <e v="#N/A"/>
    <n v="89300"/>
    <m/>
    <m/>
    <s v="Q4"/>
    <e v="#REF!"/>
    <e v="#REF!"/>
    <e v="#REF!"/>
  </r>
  <r>
    <s v="758000"/>
    <x v="6"/>
    <s v="PRODUITS DIVERS DE GESTION COURANTE"/>
    <s v="OD"/>
    <n v="-0.04"/>
    <d v="2025-10-07T00:00:00"/>
    <s v="Ecart de règlement"/>
    <m/>
    <e v="#N/A"/>
    <e v="#N/A"/>
    <n v="84274"/>
    <m/>
    <m/>
    <s v="Q4"/>
    <e v="#REF!"/>
    <e v="#REF!"/>
    <e v="#REF!"/>
  </r>
  <r>
    <s v="758000"/>
    <x v="6"/>
    <s v="PRODUITS DIVERS DE GESTION COURANTE"/>
    <s v="OD"/>
    <n v="-0.04"/>
    <d v="2025-12-17T00:00:00"/>
    <s v="Ecart de règlement"/>
    <m/>
    <e v="#N/A"/>
    <e v="#N/A"/>
    <n v="92421"/>
    <m/>
    <m/>
    <s v="Q4"/>
    <e v="#REF!"/>
    <e v="#REF!"/>
    <e v="#REF!"/>
  </r>
  <r>
    <s v="758000"/>
    <x v="6"/>
    <s v="PRODUITS DIVERS DE GESTION COURANTE"/>
    <s v="OD"/>
    <n v="-0.03"/>
    <d v="2025-01-31T00:00:00"/>
    <s v="Ecart de règlement"/>
    <m/>
    <e v="#N/A"/>
    <e v="#N/A"/>
    <n v="88066"/>
    <m/>
    <m/>
    <s v="Q1"/>
    <e v="#REF!"/>
    <e v="#REF!"/>
    <e v="#REF!"/>
  </r>
  <r>
    <s v="758000"/>
    <x v="6"/>
    <s v="PRODUITS DIVERS DE GESTION COURANTE"/>
    <s v="OD"/>
    <n v="-0.03"/>
    <d v="2025-10-07T00:00:00"/>
    <s v="Ecart de règlement"/>
    <m/>
    <e v="#N/A"/>
    <e v="#N/A"/>
    <n v="84280"/>
    <m/>
    <m/>
    <s v="Q4"/>
    <e v="#REF!"/>
    <e v="#REF!"/>
    <e v="#REF!"/>
  </r>
  <r>
    <s v="758000"/>
    <x v="6"/>
    <s v="PRODUITS DIVERS DE GESTION COURANTE"/>
    <s v="OD"/>
    <n v="-0.03"/>
    <d v="2025-10-07T00:00:00"/>
    <s v="Ecart de règlement"/>
    <m/>
    <e v="#N/A"/>
    <e v="#N/A"/>
    <n v="87916"/>
    <m/>
    <m/>
    <s v="Q4"/>
    <e v="#REF!"/>
    <e v="#REF!"/>
    <e v="#REF!"/>
  </r>
  <r>
    <s v="758000"/>
    <x v="6"/>
    <s v="PRODUITS DIVERS DE GESTION COURANTE"/>
    <s v="OD"/>
    <n v="1.08"/>
    <d v="2025-10-07T00:00:00"/>
    <s v="Ecart de règlement"/>
    <m/>
    <e v="#N/A"/>
    <e v="#N/A"/>
    <n v="84334"/>
    <m/>
    <m/>
    <s v="Q4"/>
    <e v="#REF!"/>
    <e v="#REF!"/>
    <e v="#REF!"/>
  </r>
  <r>
    <s v="758000"/>
    <x v="6"/>
    <s v="PRODUITS DIVERS DE GESTION COURANTE"/>
    <s v="OD"/>
    <n v="1.1299999999999999"/>
    <d v="2025-08-31T00:00:00"/>
    <s v="Ecart de règlement"/>
    <m/>
    <e v="#N/A"/>
    <e v="#N/A"/>
    <n v="84366"/>
    <m/>
    <m/>
    <s v="Q3"/>
    <e v="#REF!"/>
    <e v="#REF!"/>
    <e v="#REF!"/>
  </r>
  <r>
    <s v="758000"/>
    <x v="6"/>
    <s v="PRODUITS DIVERS DE GESTION COURANTE"/>
    <s v="OD"/>
    <n v="5.03"/>
    <d v="2025-07-31T00:00:00"/>
    <s v="Ecart de règlement"/>
    <m/>
    <e v="#N/A"/>
    <e v="#N/A"/>
    <n v="84268"/>
    <m/>
    <m/>
    <s v="Q3"/>
    <e v="#REF!"/>
    <e v="#REF!"/>
    <e v="#REF!"/>
  </r>
  <r>
    <s v="758000"/>
    <x v="6"/>
    <s v="PRODUITS DIVERS DE GESTION COURANTE"/>
    <s v="TVA"/>
    <n v="-5.57"/>
    <d v="2025-03-31T00:00:00"/>
    <s v="Déclaration TVA Q1"/>
    <m/>
    <e v="#N/A"/>
    <e v="#N/A"/>
    <n v="70273"/>
    <m/>
    <m/>
    <s v="Q1"/>
    <e v="#REF!"/>
    <e v="#REF!"/>
    <e v="#REF!"/>
  </r>
  <r>
    <s v="758000"/>
    <x v="6"/>
    <s v="PRODUITS DIVERS DE GESTION COURANTE"/>
    <s v="TVA"/>
    <n v="-0.39"/>
    <d v="2025-03-31T00:00:00"/>
    <s v="Déclaration TVA Q1"/>
    <m/>
    <e v="#N/A"/>
    <e v="#N/A"/>
    <n v="68482"/>
    <m/>
    <m/>
    <s v="Q1"/>
    <e v="#REF!"/>
    <e v="#REF!"/>
    <e v="#REF!"/>
  </r>
  <r>
    <s v="631200"/>
    <x v="6"/>
    <s v="TAXE D'APPRENTISSAGE"/>
    <s v="SA"/>
    <n v="85.5"/>
    <d v="2025-11-30T00:00:00"/>
    <s v="TAXE D'APPRENTISSAGE (LIBÉRATOIRE)"/>
    <m/>
    <e v="#N/A"/>
    <e v="#N/A"/>
    <n v="92291"/>
    <s v="SA202511"/>
    <m/>
    <s v="Q4"/>
    <e v="#REF!"/>
    <e v="#REF!"/>
    <e v="#REF!"/>
  </r>
  <r>
    <s v="631200"/>
    <x v="6"/>
    <s v="TAXE D'APPRENTISSAGE"/>
    <s v="SA"/>
    <n v="86.85"/>
    <d v="2025-03-31T00:00:00"/>
    <s v="TAXE D'APPRENTISSAGE (LIBÉRATOIRE)"/>
    <m/>
    <e v="#N/A"/>
    <e v="#N/A"/>
    <n v="80506"/>
    <s v="SA202503"/>
    <m/>
    <s v="Q1"/>
    <e v="#REF!"/>
    <e v="#REF!"/>
    <e v="#REF!"/>
  </r>
  <r>
    <s v="768000"/>
    <x v="6"/>
    <s v="AUTR. PRODUITS FINANCIERS CAT"/>
    <s v="JC"/>
    <n v="-1494.49"/>
    <d v="2025-12-31T00:00:00"/>
    <s v="Intérêts créditeurs courus à recevoir - compte BPRI - Q4 2025"/>
    <m/>
    <e v="#N/A"/>
    <e v="#N/A"/>
    <n v="94533"/>
    <m/>
    <m/>
    <s v="Q4"/>
    <e v="#REF!"/>
    <e v="#REF!"/>
    <e v="#REF!"/>
  </r>
  <r>
    <s v="768000"/>
    <x v="6"/>
    <s v="AUTR. PRODUITS FINANCIERS CAT"/>
    <s v="OD"/>
    <n v="-3940.98"/>
    <d v="2025-03-31T00:00:00"/>
    <s v="INTERETS CREDITEURS Q1 2025"/>
    <m/>
    <e v="#N/A"/>
    <e v="#N/A"/>
    <n v="82941"/>
    <m/>
    <s v="Banque Populaire Rive de Paris"/>
    <s v="Q1"/>
    <e v="#REF!"/>
    <e v="#REF!"/>
    <e v="#REF!"/>
  </r>
  <r>
    <s v="768000"/>
    <x v="6"/>
    <s v="AUTR. PRODUITS FINANCIERS CAT"/>
    <s v="OD"/>
    <n v="-1423.28"/>
    <d v="2025-09-30T00:00:00"/>
    <s v="INTERETS CREDITEURS Q3 2025"/>
    <m/>
    <e v="#N/A"/>
    <e v="#N/A"/>
    <n v="82943"/>
    <m/>
    <s v="Banque Populaire Rive de Paris"/>
    <s v="Q3"/>
    <e v="#REF!"/>
    <e v="#REF!"/>
    <e v="#REF!"/>
  </r>
  <r>
    <s v="768000"/>
    <x v="6"/>
    <s v="AUTR. PRODUITS FINANCIERS CAT"/>
    <s v="OD"/>
    <n v="-1375.17"/>
    <d v="2025-06-30T00:00:00"/>
    <s v="INTERETS CREDITEURS Q2 2025"/>
    <m/>
    <e v="#N/A"/>
    <e v="#N/A"/>
    <n v="82945"/>
    <m/>
    <s v="Banque Populaire Rive de Paris"/>
    <s v="Q2"/>
    <e v="#REF!"/>
    <e v="#REF!"/>
    <e v="#REF!"/>
  </r>
  <r>
    <s v="768000"/>
    <x v="6"/>
    <s v="AUTR. PRODUITS FINANCIERS CAT"/>
    <s v="OD"/>
    <n v="-101.14"/>
    <d v="2025-10-15T00:00:00"/>
    <s v="CONVERSION OC AU 15 OCT 2025 - SOULTE NON INCORPOREE"/>
    <m/>
    <e v="#N/A"/>
    <e v="#N/A"/>
    <n v="86822"/>
    <m/>
    <m/>
    <s v="Q4"/>
    <e v="#REF!"/>
    <e v="#REF!"/>
    <e v="#REF!"/>
  </r>
  <r>
    <s v="768000"/>
    <x v="6"/>
    <s v="AUTR. PRODUITS FINANCIERS CAT"/>
    <s v="OD"/>
    <n v="1375.17"/>
    <d v="2025-07-04T00:00:00"/>
    <s v="INTERETS CREDITEURS Q2 2025 - REPRISE"/>
    <m/>
    <e v="#N/A"/>
    <e v="#N/A"/>
    <n v="82947"/>
    <m/>
    <s v="Banque Populaire Rive de Paris"/>
    <s v="Q3"/>
    <e v="#REF!"/>
    <e v="#REF!"/>
    <e v="#REF!"/>
  </r>
  <r>
    <s v="631200"/>
    <x v="6"/>
    <s v="TAXE D'APPRENTISSAGE"/>
    <s v="SA"/>
    <n v="87.17"/>
    <d v="2025-01-31T00:00:00"/>
    <s v="TAXE D'APPRENTISSAGE (LIBÉRATOIRE)"/>
    <m/>
    <e v="#N/A"/>
    <e v="#N/A"/>
    <n v="85398"/>
    <s v="SA202501"/>
    <m/>
    <s v="Q1"/>
    <e v="#REF!"/>
    <e v="#REF!"/>
    <e v="#REF!"/>
  </r>
  <r>
    <s v="631200"/>
    <x v="6"/>
    <s v="TAXE D'APPRENTISSAGE"/>
    <s v="SA"/>
    <n v="88.53"/>
    <d v="2025-09-30T00:00:00"/>
    <s v="TAXE D'APPRENTISSAGE (LIBÉRATOIRE)"/>
    <m/>
    <e v="#N/A"/>
    <e v="#N/A"/>
    <n v="84117"/>
    <s v="SA202509"/>
    <m/>
    <s v="Q3"/>
    <e v="#REF!"/>
    <e v="#REF!"/>
    <e v="#REF!"/>
  </r>
  <r>
    <s v="631200"/>
    <x v="6"/>
    <s v="TAXE D'APPRENTISSAGE"/>
    <s v="SA"/>
    <n v="88.71"/>
    <d v="2025-07-31T00:00:00"/>
    <s v="TAXE D'APPRENTISSAGE (LIBÉRATOIRE)"/>
    <m/>
    <e v="#N/A"/>
    <e v="#N/A"/>
    <n v="79823"/>
    <s v="SA202507"/>
    <m/>
    <s v="Q3"/>
    <e v="#REF!"/>
    <e v="#REF!"/>
    <e v="#REF!"/>
  </r>
  <r>
    <s v="631200"/>
    <x v="6"/>
    <s v="TAXE D'APPRENTISSAGE"/>
    <s v="SA"/>
    <n v="154.09"/>
    <d v="2025-02-28T00:00:00"/>
    <s v="TAXE D'APPRENTISSAGE (LIBÉRATOIRE)"/>
    <m/>
    <e v="#N/A"/>
    <e v="#N/A"/>
    <n v="85210"/>
    <s v="SA202502"/>
    <m/>
    <s v="Q1"/>
    <e v="#REF!"/>
    <e v="#REF!"/>
    <e v="#REF!"/>
  </r>
  <r>
    <s v="Total"/>
    <x v="14"/>
    <m/>
    <m/>
    <n v="2818432.2"/>
    <m/>
    <m/>
    <m/>
    <m/>
    <m/>
    <m/>
    <m/>
    <n v="0"/>
    <m/>
    <m/>
    <m/>
    <m/>
  </r>
  <r>
    <m/>
    <x v="14"/>
    <m/>
    <m/>
    <m/>
    <m/>
    <m/>
    <m/>
    <m/>
    <m/>
    <m/>
    <m/>
    <m/>
    <m/>
    <m/>
    <m/>
    <m/>
  </r>
  <r>
    <s v="Organisme"/>
    <x v="15"/>
    <s v="Total à déduire"/>
    <m/>
    <s v="Organisme"/>
    <s v="Montant encaissé"/>
    <m/>
    <m/>
    <s v="Projet"/>
    <m/>
    <m/>
    <m/>
    <m/>
    <m/>
    <m/>
    <m/>
    <m/>
  </r>
  <r>
    <s v="ADEME M12"/>
    <x v="16"/>
    <n v="-476.52"/>
    <m/>
    <s v="ADEME M12"/>
    <n v="255486"/>
    <m/>
    <s v="Ademe"/>
    <s v="Phoenix"/>
    <n v="286694.74"/>
    <s v="ERDA 12 + 24"/>
    <m/>
    <m/>
    <m/>
    <m/>
    <m/>
    <m/>
  </r>
  <r>
    <s v="IA - ADEME M24"/>
    <x v="17"/>
    <n v="1331.4"/>
    <m/>
    <s v="INOV M18"/>
    <n v="131578"/>
    <m/>
    <s v="INOV"/>
    <s v="Biopigments"/>
    <n v="131602.72"/>
    <s v="EC1 ? "/>
    <m/>
    <m/>
    <m/>
    <m/>
    <m/>
    <m/>
  </r>
  <r>
    <s v="ANRT"/>
    <x v="18"/>
    <n v="5585"/>
    <m/>
    <s v="IA - ADEME M24"/>
    <n v="30353.86"/>
    <m/>
    <m/>
    <m/>
    <m/>
    <m/>
    <m/>
    <m/>
    <m/>
    <m/>
    <m/>
    <m/>
  </r>
  <r>
    <s v="EC - WOODVALOR"/>
    <x v="14"/>
    <n v="15000"/>
    <m/>
    <m/>
    <m/>
    <m/>
    <m/>
    <m/>
    <m/>
    <m/>
    <m/>
    <m/>
    <m/>
    <m/>
    <m/>
    <m/>
  </r>
  <r>
    <s v="INOV M18"/>
    <x v="19"/>
    <n v="24.72"/>
    <m/>
    <m/>
    <m/>
    <m/>
    <m/>
    <m/>
    <m/>
    <m/>
    <m/>
    <m/>
    <m/>
    <m/>
    <m/>
    <m/>
  </r>
  <r>
    <m/>
    <x v="14"/>
    <m/>
    <s v="NVLL"/>
    <m/>
    <m/>
    <m/>
    <m/>
    <m/>
    <m/>
    <m/>
    <m/>
    <m/>
    <m/>
    <m/>
    <m/>
    <m/>
  </r>
  <r>
    <s v="Remboursements de subventions publiques"/>
    <x v="14"/>
    <m/>
    <m/>
    <m/>
    <m/>
    <m/>
    <m/>
    <m/>
    <m/>
    <m/>
    <m/>
    <m/>
    <m/>
    <m/>
    <m/>
    <m/>
  </r>
  <r>
    <m/>
    <x v="14"/>
    <m/>
    <m/>
    <m/>
    <m/>
    <m/>
    <m/>
    <m/>
    <m/>
    <m/>
    <m/>
    <m/>
    <m/>
    <m/>
    <m/>
    <m/>
  </r>
  <r>
    <s v="Organisme"/>
    <x v="20"/>
    <s v="Total à réintégrer"/>
    <m/>
    <m/>
    <m/>
    <m/>
    <m/>
    <m/>
    <m/>
    <m/>
    <m/>
    <m/>
    <m/>
    <m/>
    <m/>
    <m/>
  </r>
  <r>
    <s v="BPI CMI BLUE II"/>
    <x v="21"/>
    <n v="-261922.91"/>
    <m/>
    <m/>
    <m/>
    <m/>
    <m/>
    <m/>
    <m/>
    <m/>
    <m/>
    <m/>
    <m/>
    <m/>
    <m/>
    <m/>
  </r>
  <r>
    <m/>
    <x v="14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s v="CHIC"/>
    <s v="Etudes R&amp;D"/>
    <s v="Etude "/>
    <x v="0"/>
    <s v="Française"/>
    <s v="Non"/>
    <x v="0"/>
    <n v="2023"/>
    <n v="2027"/>
    <n v="14020"/>
    <s v="Oui"/>
    <n v="14020"/>
    <m/>
    <n v="0"/>
    <m/>
    <n v="0"/>
    <m/>
    <n v="0"/>
    <m/>
    <x v="0"/>
    <n v="14020"/>
  </r>
  <r>
    <x v="0"/>
    <x v="0"/>
    <s v="CHIC"/>
    <s v="Etudes R&amp;D"/>
    <s v="Etude "/>
    <x v="0"/>
    <s v="Française"/>
    <s v="Non"/>
    <x v="0"/>
    <n v="2023"/>
    <n v="2027"/>
    <n v="9380"/>
    <s v="Oui"/>
    <n v="9380"/>
    <m/>
    <n v="0"/>
    <m/>
    <n v="0"/>
    <m/>
    <n v="0"/>
    <m/>
    <x v="0"/>
    <n v="9380"/>
  </r>
  <r>
    <x v="0"/>
    <x v="0"/>
    <s v="CHIC"/>
    <s v="Etudes R&amp;D"/>
    <s v="Etude "/>
    <x v="0"/>
    <s v="Française"/>
    <s v="Non"/>
    <x v="0"/>
    <n v="2023"/>
    <n v="2027"/>
    <n v="76080"/>
    <s v="Oui"/>
    <n v="76080"/>
    <m/>
    <n v="0"/>
    <m/>
    <n v="0"/>
    <m/>
    <n v="0"/>
    <m/>
    <x v="0"/>
    <n v="76080"/>
  </r>
  <r>
    <x v="1"/>
    <x v="1"/>
    <m/>
    <s v="Contrat de presatation de recherche"/>
    <s v="Essai"/>
    <x v="1"/>
    <s v="Française"/>
    <s v="Non"/>
    <x v="0"/>
    <n v="2022"/>
    <n v="2026"/>
    <n v="5100"/>
    <s v="Oui"/>
    <n v="5100"/>
    <m/>
    <n v="0"/>
    <m/>
    <n v="0"/>
    <m/>
    <n v="0"/>
    <m/>
    <x v="0"/>
    <n v="5100"/>
  </r>
  <r>
    <x v="1"/>
    <x v="1"/>
    <m/>
    <s v="PRESTATION PILI CIFRE N° 2021/1540"/>
    <s v="Essai"/>
    <x v="1"/>
    <s v="Française"/>
    <s v="Non"/>
    <x v="0"/>
    <n v="2022"/>
    <n v="2026"/>
    <n v="25000"/>
    <s v="Oui"/>
    <n v="25000"/>
    <m/>
    <n v="0"/>
    <m/>
    <n v="0"/>
    <m/>
    <n v="0"/>
    <m/>
    <x v="0"/>
    <n v="25000"/>
  </r>
  <r>
    <x v="1"/>
    <x v="1"/>
    <m/>
    <s v="Contrat de collaboration de recherche"/>
    <s v="Essai"/>
    <x v="1"/>
    <s v="Française"/>
    <s v="Non"/>
    <x v="0"/>
    <n v="2025"/>
    <n v="2026"/>
    <n v="7500"/>
    <s v="Oui"/>
    <n v="7500"/>
    <m/>
    <n v="0"/>
    <m/>
    <n v="0"/>
    <m/>
    <n v="0"/>
    <m/>
    <x v="0"/>
    <n v="7500"/>
  </r>
  <r>
    <x v="2"/>
    <x v="2"/>
    <m/>
    <s v="Accompagnement et support métier"/>
    <m/>
    <x v="2"/>
    <s v="Française"/>
    <s v="Non"/>
    <x v="0"/>
    <n v="2024"/>
    <n v="2028"/>
    <n v="1200"/>
    <s v="Non"/>
    <n v="0"/>
    <m/>
    <n v="0"/>
    <m/>
    <n v="0"/>
    <m/>
    <n v="0"/>
    <m/>
    <x v="0"/>
    <n v="0"/>
  </r>
  <r>
    <x v="3"/>
    <x v="3"/>
    <m/>
    <s v="Avenant 11 au contrat de recherche TWB signé le 30/01/2018"/>
    <m/>
    <x v="3"/>
    <s v="Française"/>
    <s v="Non"/>
    <x v="1"/>
    <n v="2025"/>
    <n v="2027"/>
    <n v="181545"/>
    <s v="Oui"/>
    <n v="0"/>
    <m/>
    <n v="0"/>
    <m/>
    <n v="0"/>
    <m/>
    <n v="181545"/>
    <m/>
    <x v="1"/>
    <n v="0"/>
  </r>
  <r>
    <x v="3"/>
    <x v="3"/>
    <m/>
    <s v="Avenant 11 - Recherche TWB"/>
    <m/>
    <x v="3"/>
    <s v="Française"/>
    <s v="Non"/>
    <x v="1"/>
    <n v="2025"/>
    <n v="2027"/>
    <n v="363089"/>
    <s v="Oui"/>
    <n v="0"/>
    <m/>
    <n v="0"/>
    <m/>
    <n v="0"/>
    <m/>
    <n v="363089"/>
    <m/>
    <x v="1"/>
    <n v="0"/>
  </r>
  <r>
    <x v="4"/>
    <x v="4"/>
    <m/>
    <s v="Journée RC1"/>
    <m/>
    <x v="4"/>
    <s v="Française"/>
    <s v="Non"/>
    <x v="0"/>
    <n v="2022"/>
    <n v="2026"/>
    <n v="2420"/>
    <s v="Oui"/>
    <n v="2420"/>
    <m/>
    <n v="0"/>
    <m/>
    <n v="0"/>
    <m/>
    <n v="0"/>
    <m/>
    <x v="0"/>
    <n v="2420"/>
  </r>
  <r>
    <x v="4"/>
    <x v="4"/>
    <m/>
    <s v="Journée RC1"/>
    <m/>
    <x v="4"/>
    <s v="Française"/>
    <s v="Non"/>
    <x v="0"/>
    <n v="2022"/>
    <n v="2026"/>
    <n v="2100"/>
    <s v="Oui"/>
    <n v="2100"/>
    <m/>
    <n v="0"/>
    <m/>
    <n v="0"/>
    <m/>
    <n v="0"/>
    <m/>
    <x v="0"/>
    <n v="2100"/>
  </r>
  <r>
    <x v="4"/>
    <x v="4"/>
    <m/>
    <s v="Journée RC1"/>
    <m/>
    <x v="4"/>
    <s v="Française"/>
    <s v="Non"/>
    <x v="0"/>
    <n v="2022"/>
    <n v="2026"/>
    <n v="1280"/>
    <s v="Oui"/>
    <n v="1280"/>
    <m/>
    <n v="0"/>
    <m/>
    <n v="0"/>
    <m/>
    <n v="0"/>
    <m/>
    <x v="0"/>
    <n v="1280"/>
  </r>
  <r>
    <x v="4"/>
    <x v="4"/>
    <m/>
    <s v="Journée RC1"/>
    <m/>
    <x v="4"/>
    <s v="Française"/>
    <s v="Non"/>
    <x v="0"/>
    <n v="2022"/>
    <n v="2026"/>
    <n v="2420"/>
    <s v="Oui"/>
    <n v="2420"/>
    <m/>
    <n v="0"/>
    <m/>
    <n v="0"/>
    <m/>
    <n v="0"/>
    <m/>
    <x v="0"/>
    <n v="2420"/>
  </r>
  <r>
    <x v="5"/>
    <x v="5"/>
    <m/>
    <s v="Analyses RMN"/>
    <m/>
    <x v="5"/>
    <s v="Française"/>
    <s v="Non"/>
    <x v="0"/>
    <n v="2022"/>
    <n v="2026"/>
    <n v="315"/>
    <s v="Oui"/>
    <n v="315"/>
    <m/>
    <n v="0"/>
    <m/>
    <n v="0"/>
    <m/>
    <n v="0"/>
    <m/>
    <x v="0"/>
    <n v="315"/>
  </r>
  <r>
    <x v="5"/>
    <x v="5"/>
    <m/>
    <s v="Analyses RMN"/>
    <m/>
    <x v="5"/>
    <s v="Française"/>
    <s v="Non"/>
    <x v="0"/>
    <n v="2022"/>
    <n v="2026"/>
    <n v="693.5"/>
    <s v="Oui"/>
    <n v="693.5"/>
    <m/>
    <n v="0"/>
    <m/>
    <n v="0"/>
    <m/>
    <n v="0"/>
    <m/>
    <x v="0"/>
    <n v="693.5"/>
  </r>
  <r>
    <x v="5"/>
    <x v="5"/>
    <m/>
    <s v="Analyses RMN"/>
    <m/>
    <x v="5"/>
    <s v="Française"/>
    <s v="Non"/>
    <x v="0"/>
    <n v="2022"/>
    <n v="2026"/>
    <n v="297"/>
    <s v="Oui"/>
    <n v="297"/>
    <m/>
    <n v="0"/>
    <m/>
    <n v="0"/>
    <m/>
    <n v="0"/>
    <m/>
    <x v="0"/>
    <n v="297"/>
  </r>
  <r>
    <x v="5"/>
    <x v="5"/>
    <m/>
    <s v="Analyses RMN"/>
    <m/>
    <x v="5"/>
    <s v="Française"/>
    <s v="Non"/>
    <x v="0"/>
    <n v="2022"/>
    <n v="2026"/>
    <n v="695"/>
    <s v="Oui"/>
    <n v="695"/>
    <m/>
    <n v="0"/>
    <m/>
    <n v="0"/>
    <m/>
    <n v="0"/>
    <m/>
    <x v="0"/>
    <n v="695"/>
  </r>
  <r>
    <x v="5"/>
    <x v="5"/>
    <m/>
    <s v="Analyses RMN"/>
    <m/>
    <x v="5"/>
    <s v="Française"/>
    <s v="Non"/>
    <x v="0"/>
    <n v="2022"/>
    <n v="2026"/>
    <n v="667.76"/>
    <s v="Oui"/>
    <n v="667.76"/>
    <m/>
    <n v="0"/>
    <m/>
    <n v="0"/>
    <m/>
    <n v="0"/>
    <m/>
    <x v="0"/>
    <n v="667.76"/>
  </r>
  <r>
    <x v="6"/>
    <x v="6"/>
    <m/>
    <s v="Forfait Essais Mélange de 185 kg de lots d'indigo broyés"/>
    <m/>
    <x v="6"/>
    <s v="Française"/>
    <s v="Non"/>
    <x v="0"/>
    <n v="2022"/>
    <n v="2026"/>
    <n v="3550"/>
    <s v="Partiel"/>
    <n v="3400"/>
    <m/>
    <n v="0"/>
    <m/>
    <n v="0"/>
    <m/>
    <n v="0"/>
    <m/>
    <x v="0"/>
    <n v="3400"/>
  </r>
  <r>
    <x v="7"/>
    <x v="7"/>
    <s v="BIOPPIGMENT"/>
    <s v="2-cyano-benzoic acid"/>
    <m/>
    <x v="7"/>
    <s v="Européenne"/>
    <s v="Non"/>
    <x v="0"/>
    <n v="2023"/>
    <n v="2025"/>
    <n v="9793"/>
    <s v="Oui"/>
    <n v="9793"/>
    <m/>
    <n v="0"/>
    <m/>
    <n v="0"/>
    <m/>
    <n v="0"/>
    <m/>
    <x v="2"/>
    <n v="9793"/>
  </r>
  <r>
    <x v="7"/>
    <x v="7"/>
    <s v="BIOPPIGMENT"/>
    <s v="Project Service WP 2 1rst"/>
    <m/>
    <x v="7"/>
    <s v="Européenne"/>
    <s v="Non"/>
    <x v="0"/>
    <n v="2023"/>
    <n v="2025"/>
    <n v="10714"/>
    <s v="Oui"/>
    <n v="10714"/>
    <m/>
    <n v="0"/>
    <m/>
    <n v="0"/>
    <m/>
    <n v="0"/>
    <m/>
    <x v="2"/>
    <n v="10714"/>
  </r>
  <r>
    <x v="7"/>
    <x v="7"/>
    <s v="BIOPPIGMENT"/>
    <s v="Project Service WP 2 2nd"/>
    <m/>
    <x v="7"/>
    <s v="Européenne"/>
    <s v="Non"/>
    <x v="0"/>
    <n v="2023"/>
    <n v="2025"/>
    <n v="10715"/>
    <s v="Oui"/>
    <n v="10715"/>
    <m/>
    <n v="0"/>
    <m/>
    <n v="0"/>
    <m/>
    <n v="0"/>
    <m/>
    <x v="2"/>
    <n v="10715"/>
  </r>
  <r>
    <x v="7"/>
    <x v="7"/>
    <s v="BIOPPIGMENT"/>
    <s v="INV/2025/00106"/>
    <m/>
    <x v="7"/>
    <s v="Européenne"/>
    <s v="Non"/>
    <x v="0"/>
    <n v="2023"/>
    <n v="2025"/>
    <n v="17444"/>
    <s v="Oui"/>
    <n v="17444"/>
    <m/>
    <n v="0"/>
    <m/>
    <n v="0"/>
    <m/>
    <n v="0"/>
    <m/>
    <x v="2"/>
    <n v="17444"/>
  </r>
  <r>
    <x v="7"/>
    <x v="7"/>
    <s v="BIOPPIGMENT"/>
    <s v="Project Service Second Installment after completion of the project"/>
    <m/>
    <x v="7"/>
    <s v="Européenne"/>
    <s v="Non"/>
    <x v="0"/>
    <n v="2023"/>
    <n v="2025"/>
    <n v="17443"/>
    <s v="Oui"/>
    <n v="17443"/>
    <m/>
    <n v="0"/>
    <m/>
    <n v="0"/>
    <m/>
    <n v="0"/>
    <m/>
    <x v="2"/>
    <n v="17443"/>
  </r>
  <r>
    <x v="8"/>
    <x v="8"/>
    <m/>
    <s v="TRAVAUX RMN"/>
    <m/>
    <x v="8"/>
    <s v="Française"/>
    <s v="Non"/>
    <x v="0"/>
    <n v="2025"/>
    <n v="2029"/>
    <n v="249"/>
    <s v="Oui"/>
    <n v="249"/>
    <m/>
    <n v="0"/>
    <m/>
    <n v="0"/>
    <m/>
    <n v="0"/>
    <m/>
    <x v="0"/>
    <n v="249"/>
  </r>
  <r>
    <x v="9"/>
    <x v="9"/>
    <m/>
    <s v="Contribution à la résolution des problèmes rencontrés pour la synthèse des cibles KEENB et KEENY et pour la synthèse de l'acide salicylique"/>
    <m/>
    <x v="9"/>
    <s v="Française"/>
    <s v="Non"/>
    <x v="0"/>
    <n v="2025"/>
    <n v="2029"/>
    <n v="4500"/>
    <s v="Oui"/>
    <n v="4500"/>
    <m/>
    <n v="0"/>
    <m/>
    <n v="0"/>
    <m/>
    <n v="0"/>
    <m/>
    <x v="0"/>
    <n v="4500"/>
  </r>
  <r>
    <x v="9"/>
    <x v="9"/>
    <m/>
    <s v="Contrat de prestations R&amp;D"/>
    <m/>
    <x v="9"/>
    <s v="Française"/>
    <s v="Non"/>
    <x v="0"/>
    <n v="2025"/>
    <n v="2029"/>
    <n v="8100"/>
    <s v="Oui"/>
    <n v="8100"/>
    <m/>
    <n v="0"/>
    <m/>
    <n v="0"/>
    <m/>
    <n v="0"/>
    <m/>
    <x v="0"/>
    <n v="8100"/>
  </r>
  <r>
    <x v="9"/>
    <x v="9"/>
    <m/>
    <s v="Contrat de service en consultance"/>
    <m/>
    <x v="9"/>
    <s v="Française"/>
    <s v="Non"/>
    <x v="0"/>
    <n v="2025"/>
    <n v="2029"/>
    <n v="6660"/>
    <s v="Oui"/>
    <n v="6660"/>
    <m/>
    <n v="0"/>
    <m/>
    <n v="0"/>
    <m/>
    <n v="0"/>
    <m/>
    <x v="0"/>
    <n v="666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  <r>
    <x v="7"/>
    <x v="10"/>
    <m/>
    <m/>
    <m/>
    <x v="10"/>
    <m/>
    <m/>
    <x v="2"/>
    <m/>
    <m/>
    <m/>
    <m/>
    <n v="0"/>
    <m/>
    <n v="0"/>
    <m/>
    <n v="0"/>
    <m/>
    <n v="0"/>
    <m/>
    <x v="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7D3CF-1E7F-4D1D-A46B-31FD22AA3E6B}" name="Tableau croisé dynamique1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20" firstHeaderRow="1" firstDataRow="1" firstDataCol="5"/>
  <pivotFields count="23">
    <pivotField axis="axisRow" compact="0" outline="0" showAll="0" defaultSubtotal="0">
      <items count="15">
        <item x="7"/>
        <item m="1" x="10"/>
        <item m="1" x="11"/>
        <item m="1" x="12"/>
        <item m="1" x="13"/>
        <item m="1" x="14"/>
        <item x="0"/>
        <item x="1"/>
        <item x="2"/>
        <item x="3"/>
        <item x="4"/>
        <item x="5"/>
        <item x="6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h="1" x="10"/>
        <item m="1" x="11"/>
        <item m="1" x="12"/>
        <item m="1" x="13"/>
        <item m="1" x="14"/>
        <item m="1" x="15"/>
        <item x="0"/>
        <item x="1"/>
        <item h="1"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h="1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1"/>
  </rowFields>
  <rowItems count="9">
    <i>
      <x/>
      <x v="13"/>
      <x v="13"/>
      <x v="1"/>
      <x v="3"/>
    </i>
    <i>
      <x v="6"/>
      <x v="6"/>
      <x v="6"/>
      <x v="1"/>
      <x v="1"/>
    </i>
    <i>
      <x v="7"/>
      <x v="7"/>
      <x v="7"/>
      <x v="1"/>
      <x v="1"/>
    </i>
    <i>
      <x v="10"/>
      <x v="10"/>
      <x v="10"/>
      <x v="1"/>
      <x v="1"/>
    </i>
    <i>
      <x v="11"/>
      <x v="11"/>
      <x v="11"/>
      <x v="1"/>
      <x v="1"/>
    </i>
    <i>
      <x v="12"/>
      <x v="12"/>
      <x v="12"/>
      <x v="1"/>
      <x v="1"/>
    </i>
    <i>
      <x v="13"/>
      <x v="14"/>
      <x v="14"/>
      <x v="1"/>
      <x v="1"/>
    </i>
    <i>
      <x v="14"/>
      <x v="15"/>
      <x v="15"/>
      <x v="1"/>
      <x v="1"/>
    </i>
    <i t="grand">
      <x/>
    </i>
  </rowItems>
  <colItems count="1">
    <i/>
  </colItems>
  <dataFields count="1">
    <dataField name="Somme de montant" fld="22" baseField="0" baseItem="0" numFmtId="164"/>
  </dataFields>
  <formats count="10">
    <format dxfId="325">
      <pivotArea field="0" type="button" dataOnly="0" labelOnly="1" outline="0" axis="axisRow" fieldPosition="0"/>
    </format>
    <format dxfId="324">
      <pivotArea field="1" type="button" dataOnly="0" labelOnly="1" outline="0" axis="axisRow" fieldPosition="1"/>
    </format>
    <format dxfId="323">
      <pivotArea field="5" type="button" dataOnly="0" labelOnly="1" outline="0" axis="axisRow" fieldPosition="2"/>
    </format>
    <format dxfId="322">
      <pivotArea field="8" type="button" dataOnly="0" labelOnly="1" outline="0" axis="axisRow" fieldPosition="3"/>
    </format>
    <format dxfId="321">
      <pivotArea field="21" type="button" dataOnly="0" labelOnly="1" outline="0" axis="axisRow" fieldPosition="4"/>
    </format>
    <format dxfId="320">
      <pivotArea dataOnly="0" labelOnly="1" outline="0" axis="axisValues" fieldPosition="0"/>
    </format>
    <format dxfId="319">
      <pivotArea grandRow="1" outline="0" collapsedLevelsAreSubtotals="1" fieldPosition="0"/>
    </format>
    <format dxfId="318">
      <pivotArea dataOnly="0" labelOnly="1" grandRow="1" outline="0" fieldPosition="0"/>
    </format>
    <format dxfId="317">
      <pivotArea grandRow="1" outline="0" collapsedLevelsAreSubtotals="1" fieldPosition="0"/>
    </format>
    <format dxfId="31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94F6D-5AAB-4F6C-B203-412AA2FA39F1}" name="Tableau croisé dynamique1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13" firstHeaderRow="1" firstDataRow="1" firstDataCol="5"/>
  <pivotFields count="23">
    <pivotField axis="axisRow" compact="0" outline="0" showAll="0" defaultSubtotal="0">
      <items count="15">
        <item x="7"/>
        <item m="1" x="10"/>
        <item m="1" x="11"/>
        <item m="1" x="12"/>
        <item m="1" x="13"/>
        <item m="1" x="14"/>
        <item x="0"/>
        <item x="1"/>
        <item x="2"/>
        <item x="3"/>
        <item x="4"/>
        <item x="5"/>
        <item x="6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h="1" x="10"/>
        <item m="1" x="11"/>
        <item m="1" x="12"/>
        <item m="1" x="13"/>
        <item m="1" x="14"/>
        <item m="1" x="15"/>
        <item x="0"/>
        <item x="1"/>
        <item h="1"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10"/>
        <item m="1" x="11"/>
        <item m="1" x="12"/>
        <item m="1" x="13"/>
        <item m="1" x="14"/>
        <item m="1" x="15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3"/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1"/>
  </rowFields>
  <rowItems count="2">
    <i>
      <x v="9"/>
      <x v="9"/>
      <x v="9"/>
      <x v="2"/>
      <x v="2"/>
    </i>
    <i t="grand">
      <x/>
    </i>
  </rowItems>
  <colItems count="1">
    <i/>
  </colItems>
  <dataFields count="1">
    <dataField name="Somme de montant" fld="22" baseField="0" baseItem="0" numFmtId="164"/>
  </dataFields>
  <formats count="10">
    <format dxfId="298">
      <pivotArea field="0" type="button" dataOnly="0" labelOnly="1" outline="0" axis="axisRow" fieldPosition="0"/>
    </format>
    <format dxfId="297">
      <pivotArea field="1" type="button" dataOnly="0" labelOnly="1" outline="0" axis="axisRow" fieldPosition="1"/>
    </format>
    <format dxfId="296">
      <pivotArea field="5" type="button" dataOnly="0" labelOnly="1" outline="0" axis="axisRow" fieldPosition="2"/>
    </format>
    <format dxfId="295">
      <pivotArea field="8" type="button" dataOnly="0" labelOnly="1" outline="0" axis="axisRow" fieldPosition="3"/>
    </format>
    <format dxfId="294">
      <pivotArea field="21" type="button" dataOnly="0" labelOnly="1" outline="0" axis="axisRow" fieldPosition="4"/>
    </format>
    <format dxfId="293">
      <pivotArea dataOnly="0" labelOnly="1" outline="0" axis="axisValues" fieldPosition="0"/>
    </format>
    <format dxfId="292">
      <pivotArea grandRow="1" outline="0" collapsedLevelsAreSubtotals="1" fieldPosition="0"/>
    </format>
    <format dxfId="291">
      <pivotArea dataOnly="0" labelOnly="1" grandRow="1" outline="0" fieldPosition="0"/>
    </format>
    <format dxfId="290">
      <pivotArea grandRow="1" outline="0" collapsedLevelsAreSubtotals="1" fieldPosition="0"/>
    </format>
    <format dxfId="28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E4B5C5-E16E-4E9D-925C-E4543559DEB2}" name="Tableau croisé dynamique4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N23:O30" firstHeaderRow="1" firstDataRow="1" firstDataCol="1"/>
  <pivotFields count="17">
    <pivotField showAll="0"/>
    <pivotField axis="axisRow" multipleItemSelectionAllowed="1" showAll="0">
      <items count="23">
        <item h="1" x="6"/>
        <item h="1" x="13"/>
        <item h="1" x="9"/>
        <item h="1" x="11"/>
        <item h="1" x="8"/>
        <item h="1" x="7"/>
        <item h="1" x="10"/>
        <item h="1" x="12"/>
        <item h="1" x="14"/>
        <item x="1"/>
        <item x="2"/>
        <item x="3"/>
        <item x="4"/>
        <item h="1" x="15"/>
        <item h="1" x="16"/>
        <item h="1" x="17"/>
        <item h="1" x="18"/>
        <item h="1" x="19"/>
        <item h="1" x="20"/>
        <item h="1" x="21"/>
        <item x="0"/>
        <item x="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9"/>
    </i>
    <i>
      <x v="10"/>
    </i>
    <i>
      <x v="11"/>
    </i>
    <i>
      <x v="12"/>
    </i>
    <i>
      <x v="20"/>
    </i>
    <i>
      <x v="21"/>
    </i>
    <i t="grand">
      <x/>
    </i>
  </rowItems>
  <colItems count="1">
    <i/>
  </colItems>
  <dataFields count="1">
    <dataField name="Somme de Solde Tenue de Compte" fld="4" baseField="1" baseItem="9" numFmtId="164"/>
  </dataFields>
  <formats count="1">
    <format dxfId="37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A3401-D60D-4DFA-87F8-144A02D96E00}" name="Tableau croisé dynamique6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1:B38" firstHeaderRow="1" firstDataRow="1" firstDataCol="1"/>
  <pivotFields count="17">
    <pivotField showAll="0"/>
    <pivotField axis="axisRow" multipleItemSelectionAllowed="1" showAll="0">
      <items count="23">
        <item h="1" x="6"/>
        <item h="1" x="13"/>
        <item h="1" x="9"/>
        <item h="1" x="11"/>
        <item h="1" x="8"/>
        <item h="1" x="7"/>
        <item h="1" x="10"/>
        <item h="1" x="12"/>
        <item h="1" x="14"/>
        <item x="1"/>
        <item x="2"/>
        <item x="3"/>
        <item x="4"/>
        <item h="1" x="15"/>
        <item h="1" x="16"/>
        <item h="1" x="17"/>
        <item h="1" x="18"/>
        <item h="1" x="19"/>
        <item h="1" x="20"/>
        <item h="1" x="21"/>
        <item x="0"/>
        <item x="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 v="9"/>
    </i>
    <i>
      <x v="10"/>
    </i>
    <i>
      <x v="11"/>
    </i>
    <i>
      <x v="12"/>
    </i>
    <i>
      <x v="20"/>
    </i>
    <i>
      <x v="21"/>
    </i>
    <i t="grand">
      <x/>
    </i>
  </rowItems>
  <colItems count="1">
    <i/>
  </colItems>
  <dataFields count="1">
    <dataField name="Somme de Solde Tenue de Compte" fld="4" baseField="1" baseItem="9" numFmtId="164"/>
  </dataFields>
  <formats count="1">
    <format dxfId="28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C51A17-98C0-46A4-B7A2-47CA57D83973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6:AU34" firstHeaderRow="1" firstDataRow="2" firstDataCol="3" rowPageCount="1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0">
        <item x="0"/>
        <item x="1"/>
        <item x="5"/>
        <item h="1" x="9"/>
        <item h="1" x="3"/>
        <item h="1" x="4"/>
        <item x="6"/>
        <item h="1" x="7"/>
        <item h="1" x="2"/>
        <item h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03"/>
        <item h="1" x="151"/>
        <item h="1" x="99"/>
        <item h="1" x="152"/>
        <item h="1" x="206"/>
        <item h="1" x="153"/>
        <item h="1" x="100"/>
        <item h="1" x="154"/>
        <item h="1" x="236"/>
        <item h="1" x="207"/>
        <item h="1" x="204"/>
        <item h="1" x="155"/>
        <item h="1" x="101"/>
        <item h="1" x="211"/>
        <item h="1" x="208"/>
        <item h="1" x="59"/>
        <item h="1" x="60"/>
        <item h="1" x="61"/>
        <item h="1" x="62"/>
        <item h="1" x="63"/>
        <item h="1" x="64"/>
        <item h="1" x="65"/>
        <item h="1" x="205"/>
        <item h="1" x="66"/>
        <item h="1" x="67"/>
        <item h="1" x="68"/>
        <item h="1" x="212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237"/>
        <item h="1" x="82"/>
        <item h="1" x="83"/>
        <item h="1" x="84"/>
        <item h="1" x="85"/>
        <item h="1" x="86"/>
        <item h="1" x="87"/>
        <item h="1" x="88"/>
        <item h="1" x="89"/>
        <item h="1" x="156"/>
        <item h="1" x="90"/>
        <item h="1" x="91"/>
        <item h="1" x="92"/>
        <item h="1" x="93"/>
        <item h="1" x="94"/>
        <item h="1" x="95"/>
        <item h="1" x="96"/>
        <item h="1" x="97"/>
        <item h="1" x="157"/>
        <item h="1" x="102"/>
        <item h="1" x="158"/>
        <item h="1" x="159"/>
        <item h="1" x="160"/>
        <item h="1" x="103"/>
        <item h="1" x="104"/>
        <item h="1" x="105"/>
        <item h="1" x="232"/>
        <item h="1" x="161"/>
        <item h="1" x="162"/>
        <item h="1" x="58"/>
        <item h="1" x="163"/>
        <item h="1" x="106"/>
        <item h="1" x="107"/>
        <item h="1" x="134"/>
        <item h="1" x="108"/>
        <item h="1" x="180"/>
        <item h="1" x="109"/>
        <item h="1" x="135"/>
        <item h="1" x="136"/>
        <item h="1" x="164"/>
        <item h="1" x="181"/>
        <item h="1" x="110"/>
        <item h="1" x="111"/>
        <item h="1" x="233"/>
        <item h="1" x="182"/>
        <item h="1" x="183"/>
        <item h="1" x="137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34"/>
        <item h="1" x="235"/>
        <item h="1" x="222"/>
        <item h="1" x="223"/>
        <item h="1" x="224"/>
        <item h="1" x="184"/>
        <item h="1" x="138"/>
        <item h="1" x="112"/>
        <item h="1" x="165"/>
        <item h="1" x="166"/>
        <item h="1" x="167"/>
        <item h="1" x="168"/>
        <item h="1" x="185"/>
        <item h="1" x="186"/>
        <item h="1" x="139"/>
        <item h="1" x="187"/>
        <item h="1" x="225"/>
        <item h="1" x="188"/>
        <item h="1" x="140"/>
        <item h="1" x="248"/>
        <item h="1" x="249"/>
        <item h="1" x="250"/>
        <item h="1" x="141"/>
        <item h="1" x="189"/>
        <item h="1" x="190"/>
        <item h="1" x="142"/>
        <item h="1" x="143"/>
        <item h="1" x="191"/>
        <item h="1" x="113"/>
        <item h="1" x="114"/>
        <item h="1" x="209"/>
        <item h="1" x="192"/>
        <item h="1" x="144"/>
        <item h="1" x="145"/>
        <item h="1" x="115"/>
        <item h="1" x="193"/>
        <item h="1" x="116"/>
        <item h="1" x="117"/>
        <item h="1" x="118"/>
        <item h="1" x="119"/>
        <item h="1" x="120"/>
        <item h="1" x="121"/>
        <item h="1" x="194"/>
        <item h="1" x="195"/>
        <item h="1" x="122"/>
        <item h="1" x="169"/>
        <item h="1" x="123"/>
        <item h="1" x="170"/>
        <item h="1" x="196"/>
        <item h="1" x="124"/>
        <item h="1" x="125"/>
        <item h="1" x="126"/>
        <item h="1" x="146"/>
        <item h="1" x="127"/>
        <item h="1" x="128"/>
        <item h="1" x="226"/>
        <item h="1" x="147"/>
        <item h="1" x="227"/>
        <item h="1" x="228"/>
        <item h="1" x="229"/>
        <item h="1" x="247"/>
        <item h="1" x="197"/>
        <item h="1" x="171"/>
        <item h="1" x="172"/>
        <item h="1" x="230"/>
        <item h="1" x="231"/>
        <item h="1" x="198"/>
        <item h="1" x="199"/>
        <item h="1" x="200"/>
        <item h="1" x="173"/>
        <item h="1" x="174"/>
        <item h="1" x="129"/>
        <item h="1" x="175"/>
        <item h="1" x="130"/>
        <item h="1" x="176"/>
        <item h="1" x="148"/>
        <item h="1" x="177"/>
        <item h="1" x="201"/>
        <item h="1" x="149"/>
        <item h="1" x="238"/>
        <item h="1" x="239"/>
        <item h="1" x="202"/>
        <item h="1" x="178"/>
        <item h="1" x="150"/>
        <item h="1" x="210"/>
        <item h="1" x="131"/>
        <item h="1" x="132"/>
        <item h="1" x="133"/>
        <item h="1" x="240"/>
        <item h="1" x="241"/>
        <item h="1" x="242"/>
        <item h="1" x="243"/>
        <item h="1"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1"/>
    <field x="2"/>
  </rowFields>
  <rowItems count="27"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7"/>
      <x v="6"/>
      <x v="4"/>
    </i>
    <i>
      <x v="9"/>
      <x v="23"/>
      <x v="7"/>
    </i>
    <i>
      <x v="10"/>
      <x v="37"/>
      <x v="9"/>
    </i>
    <i>
      <x v="11"/>
      <x v="33"/>
      <x v="30"/>
    </i>
    <i>
      <x v="12"/>
      <x v="5"/>
      <x v="5"/>
    </i>
    <i>
      <x v="13"/>
      <x v="13"/>
      <x v="31"/>
    </i>
    <i>
      <x v="14"/>
      <x v="28"/>
      <x v="3"/>
    </i>
    <i>
      <x v="16"/>
      <x v="42"/>
      <x v="34"/>
    </i>
    <i>
      <x v="18"/>
      <x v="18"/>
      <x v="23"/>
    </i>
    <i>
      <x v="19"/>
      <x v="25"/>
      <x v="5"/>
    </i>
    <i>
      <x v="20"/>
      <x v="9"/>
      <x v="24"/>
    </i>
    <i>
      <x v="24"/>
      <x v="15"/>
      <x v="40"/>
    </i>
    <i>
      <x v="25"/>
      <x v="21"/>
      <x/>
    </i>
    <i>
      <x v="30"/>
      <x v="3"/>
      <x v="39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7"/>
      <x v="20"/>
      <x v="4"/>
    </i>
    <i>
      <x v="38"/>
      <x v="39"/>
      <x v="14"/>
    </i>
    <i t="grand">
      <x/>
    </i>
  </rowItems>
  <colFields count="1">
    <field x="9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pageFields count="1">
    <pageField fld="7" hier="-1"/>
  </pageFields>
  <dataFields count="1">
    <dataField name="Somme de NbHeures" fld="5" baseField="0" baseItem="0" numFmtId="4"/>
  </dataFields>
  <formats count="24">
    <format dxfId="254">
      <pivotArea outline="0" fieldPosition="0">
        <references count="1">
          <reference field="7" count="1" selected="0">
            <x v="2"/>
          </reference>
        </references>
      </pivotArea>
    </format>
    <format dxfId="253">
      <pivotArea type="topRight" dataOnly="0" labelOnly="1" outline="0" offset="B1" fieldPosition="0"/>
    </format>
    <format dxfId="252">
      <pivotArea dataOnly="0" labelOnly="1" outline="0" fieldPosition="0">
        <references count="1">
          <reference field="7" count="1">
            <x v="2"/>
          </reference>
        </references>
      </pivotArea>
    </format>
    <format dxfId="251">
      <pivotArea outline="0" fieldPosition="0">
        <references count="1">
          <reference field="7" count="3" selected="0">
            <x v="7"/>
            <x v="8"/>
            <x v="9"/>
          </reference>
        </references>
      </pivotArea>
    </format>
    <format dxfId="250">
      <pivotArea type="topRight" dataOnly="0" labelOnly="1" outline="0" offset="G1:I1" fieldPosition="0"/>
    </format>
    <format dxfId="249">
      <pivotArea dataOnly="0" labelOnly="1" outline="0" fieldPosition="0">
        <references count="1">
          <reference field="7" count="3">
            <x v="7"/>
            <x v="8"/>
            <x v="9"/>
          </reference>
        </references>
      </pivotArea>
    </format>
    <format dxfId="248">
      <pivotArea outline="0" fieldPosition="0">
        <references count="1">
          <reference field="7" count="1" selected="0">
            <x v="0"/>
          </reference>
        </references>
      </pivotArea>
    </format>
    <format dxfId="247">
      <pivotArea field="7" type="button" dataOnly="0" labelOnly="1" outline="0" axis="axisPage" fieldPosition="0"/>
    </format>
    <format dxfId="246">
      <pivotArea dataOnly="0" labelOnly="1" outline="0" fieldPosition="0">
        <references count="1">
          <reference field="7" count="1">
            <x v="0"/>
          </reference>
        </references>
      </pivotArea>
    </format>
    <format dxfId="245">
      <pivotArea outline="0" fieldPosition="0">
        <references count="1">
          <reference field="7" count="1" selected="0">
            <x v="6"/>
          </reference>
        </references>
      </pivotArea>
    </format>
    <format dxfId="244">
      <pivotArea type="topRight" dataOnly="0" labelOnly="1" outline="0" offset="F1" fieldPosition="0"/>
    </format>
    <format dxfId="243">
      <pivotArea dataOnly="0" labelOnly="1" outline="0" fieldPosition="0">
        <references count="1">
          <reference field="7" count="1">
            <x v="6"/>
          </reference>
        </references>
      </pivotArea>
    </format>
    <format dxfId="242">
      <pivotArea outline="0" fieldPosition="0">
        <references count="1">
          <reference field="7" count="1" selected="0">
            <x v="4"/>
          </reference>
        </references>
      </pivotArea>
    </format>
    <format dxfId="241">
      <pivotArea type="topRight" dataOnly="0" labelOnly="1" outline="0" offset="D1" fieldPosition="0"/>
    </format>
    <format dxfId="240">
      <pivotArea dataOnly="0" labelOnly="1" outline="0" fieldPosition="0">
        <references count="1">
          <reference field="7" count="1">
            <x v="4"/>
          </reference>
        </references>
      </pivotArea>
    </format>
    <format dxfId="239">
      <pivotArea outline="0" fieldPosition="0">
        <references count="1">
          <reference field="7" count="1" selected="0">
            <x v="5"/>
          </reference>
        </references>
      </pivotArea>
    </format>
    <format dxfId="238">
      <pivotArea type="topRight" dataOnly="0" labelOnly="1" outline="0" offset="E1" fieldPosition="0"/>
    </format>
    <format dxfId="237">
      <pivotArea dataOnly="0" labelOnly="1" outline="0" fieldPosition="0">
        <references count="1">
          <reference field="7" count="1">
            <x v="5"/>
          </reference>
        </references>
      </pivotArea>
    </format>
    <format dxfId="236">
      <pivotArea outline="0" fieldPosition="0">
        <references count="1">
          <reference field="7" count="1" selected="0">
            <x v="3"/>
          </reference>
        </references>
      </pivotArea>
    </format>
    <format dxfId="235">
      <pivotArea type="topRight" dataOnly="0" labelOnly="1" outline="0" offset="C1" fieldPosition="0"/>
    </format>
    <format dxfId="234">
      <pivotArea dataOnly="0" labelOnly="1" outline="0" fieldPosition="0">
        <references count="1">
          <reference field="7" count="1">
            <x v="3"/>
          </reference>
        </references>
      </pivotArea>
    </format>
    <format dxfId="233">
      <pivotArea outline="0" fieldPosition="0">
        <references count="1">
          <reference field="7" count="1" selected="0">
            <x v="1"/>
          </reference>
        </references>
      </pivotArea>
    </format>
    <format dxfId="232">
      <pivotArea type="topRight" dataOnly="0" labelOnly="1" outline="0" offset="A1" fieldPosition="0"/>
    </format>
    <format dxfId="23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7C014-BB20-4B06-BDA6-8C3924068DAB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6:CK38" firstHeaderRow="1" firstDataRow="2" firstDataCol="3" rowPageCount="1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0">
        <item h="1" x="0"/>
        <item h="1" x="1"/>
        <item x="5"/>
        <item x="9"/>
        <item h="1" x="3"/>
        <item h="1" x="4"/>
        <item h="1" x="6"/>
        <item x="7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03"/>
        <item x="151"/>
        <item x="99"/>
        <item x="152"/>
        <item x="206"/>
        <item x="153"/>
        <item x="100"/>
        <item x="154"/>
        <item x="236"/>
        <item x="207"/>
        <item x="204"/>
        <item x="155"/>
        <item x="101"/>
        <item x="211"/>
        <item x="208"/>
        <item x="59"/>
        <item x="60"/>
        <item x="61"/>
        <item x="62"/>
        <item x="63"/>
        <item x="64"/>
        <item x="65"/>
        <item h="1" x="205"/>
        <item h="1" x="66"/>
        <item h="1" x="67"/>
        <item h="1" x="68"/>
        <item h="1" x="212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237"/>
        <item h="1" x="82"/>
        <item h="1" x="83"/>
        <item h="1" x="84"/>
        <item h="1" x="85"/>
        <item h="1" x="86"/>
        <item h="1" x="87"/>
        <item h="1" x="88"/>
        <item h="1" x="89"/>
        <item h="1" x="156"/>
        <item h="1" x="90"/>
        <item h="1" x="91"/>
        <item h="1" x="92"/>
        <item h="1" x="93"/>
        <item h="1" x="94"/>
        <item h="1" x="95"/>
        <item h="1" x="96"/>
        <item h="1" x="97"/>
        <item h="1" x="157"/>
        <item h="1" x="102"/>
        <item h="1" x="158"/>
        <item h="1" x="159"/>
        <item h="1" x="160"/>
        <item h="1" x="103"/>
        <item h="1" x="104"/>
        <item h="1" x="105"/>
        <item h="1" x="232"/>
        <item h="1" x="161"/>
        <item h="1" x="162"/>
        <item h="1" x="58"/>
        <item h="1" x="163"/>
        <item h="1" x="106"/>
        <item h="1" x="107"/>
        <item h="1" x="134"/>
        <item h="1" x="108"/>
        <item h="1" x="180"/>
        <item h="1" x="109"/>
        <item h="1" x="135"/>
        <item h="1" x="136"/>
        <item h="1" x="164"/>
        <item h="1" x="181"/>
        <item h="1" x="110"/>
        <item h="1" x="111"/>
        <item h="1" x="233"/>
        <item h="1" x="182"/>
        <item h="1" x="183"/>
        <item h="1" x="137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34"/>
        <item h="1" x="235"/>
        <item h="1" x="222"/>
        <item h="1" x="223"/>
        <item h="1" x="224"/>
        <item h="1" x="184"/>
        <item h="1" x="138"/>
        <item h="1" x="112"/>
        <item h="1" x="165"/>
        <item h="1" x="166"/>
        <item h="1" x="167"/>
        <item h="1" x="168"/>
        <item h="1" x="185"/>
        <item h="1" x="186"/>
        <item h="1" x="139"/>
        <item h="1" x="187"/>
        <item h="1" x="225"/>
        <item h="1" x="188"/>
        <item h="1" x="140"/>
        <item h="1" x="248"/>
        <item h="1" x="249"/>
        <item h="1" x="250"/>
        <item h="1" x="141"/>
        <item h="1" x="189"/>
        <item h="1" x="190"/>
        <item h="1" x="142"/>
        <item h="1" x="143"/>
        <item h="1" x="191"/>
        <item h="1" x="113"/>
        <item h="1" x="114"/>
        <item h="1" x="209"/>
        <item h="1" x="192"/>
        <item h="1" x="144"/>
        <item h="1" x="145"/>
        <item h="1" x="115"/>
        <item h="1" x="193"/>
        <item h="1" x="116"/>
        <item h="1" x="117"/>
        <item h="1" x="118"/>
        <item h="1" x="119"/>
        <item h="1" x="120"/>
        <item h="1" x="121"/>
        <item h="1" x="194"/>
        <item h="1" x="195"/>
        <item h="1" x="122"/>
        <item h="1" x="169"/>
        <item h="1" x="123"/>
        <item h="1" x="170"/>
        <item h="1" x="196"/>
        <item h="1" x="124"/>
        <item h="1" x="125"/>
        <item h="1" x="126"/>
        <item h="1" x="146"/>
        <item h="1" x="127"/>
        <item h="1" x="128"/>
        <item h="1" x="226"/>
        <item h="1" x="147"/>
        <item h="1" x="227"/>
        <item h="1" x="228"/>
        <item h="1" x="229"/>
        <item h="1" x="247"/>
        <item h="1" x="197"/>
        <item h="1" x="171"/>
        <item h="1" x="172"/>
        <item h="1" x="230"/>
        <item h="1" x="231"/>
        <item h="1" x="198"/>
        <item h="1" x="199"/>
        <item h="1" x="200"/>
        <item h="1" x="173"/>
        <item h="1" x="174"/>
        <item h="1" x="129"/>
        <item h="1" x="175"/>
        <item h="1" x="130"/>
        <item h="1" x="176"/>
        <item h="1" x="148"/>
        <item h="1" x="177"/>
        <item h="1" x="201"/>
        <item h="1" x="149"/>
        <item h="1" x="238"/>
        <item h="1" x="239"/>
        <item h="1" x="202"/>
        <item h="1" x="178"/>
        <item h="1" x="150"/>
        <item h="1" x="210"/>
        <item h="1" x="131"/>
        <item h="1" x="132"/>
        <item h="1" x="133"/>
        <item h="1" x="240"/>
        <item h="1" x="241"/>
        <item h="1" x="242"/>
        <item h="1" x="243"/>
        <item h="1"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1"/>
    <field x="2"/>
  </rowFields>
  <rowItems count="31"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6"/>
      <x v="26"/>
      <x v="12"/>
    </i>
    <i>
      <x v="7"/>
      <x v="6"/>
      <x v="4"/>
    </i>
    <i>
      <x v="8"/>
      <x v="19"/>
      <x v="25"/>
    </i>
    <i>
      <x v="9"/>
      <x v="23"/>
      <x v="7"/>
    </i>
    <i>
      <x v="10"/>
      <x v="37"/>
      <x v="9"/>
    </i>
    <i>
      <x v="12"/>
      <x v="5"/>
      <x v="5"/>
    </i>
    <i>
      <x v="13"/>
      <x v="13"/>
      <x v="31"/>
    </i>
    <i>
      <x v="14"/>
      <x v="28"/>
      <x v="3"/>
    </i>
    <i>
      <x v="15"/>
      <x v="34"/>
      <x v="22"/>
    </i>
    <i>
      <x v="17"/>
      <x v="12"/>
      <x v="29"/>
    </i>
    <i>
      <x v="18"/>
      <x v="18"/>
      <x v="23"/>
    </i>
    <i>
      <x v="19"/>
      <x v="25"/>
      <x v="5"/>
    </i>
    <i>
      <x v="20"/>
      <x v="9"/>
      <x v="24"/>
    </i>
    <i>
      <x v="21"/>
      <x v="29"/>
      <x v="28"/>
    </i>
    <i>
      <x v="22"/>
      <x v="40"/>
      <x v="34"/>
    </i>
    <i>
      <x v="23"/>
      <x v="31"/>
      <x v="10"/>
    </i>
    <i>
      <x v="24"/>
      <x v="15"/>
      <x v="40"/>
    </i>
    <i>
      <x v="25"/>
      <x v="21"/>
      <x/>
    </i>
    <i>
      <x v="26"/>
      <x v="38"/>
      <x v="27"/>
    </i>
    <i>
      <x v="27"/>
      <x v="10"/>
      <x v="1"/>
    </i>
    <i>
      <x v="28"/>
      <x v="4"/>
      <x v="20"/>
    </i>
    <i>
      <x v="30"/>
      <x v="3"/>
      <x v="39"/>
    </i>
    <i>
      <x v="31"/>
      <x v="11"/>
      <x v="13"/>
    </i>
    <i>
      <x v="33"/>
      <x v="35"/>
      <x v="33"/>
    </i>
    <i>
      <x v="34"/>
      <x v="36"/>
      <x v="26"/>
    </i>
    <i>
      <x v="37"/>
      <x v="20"/>
      <x v="4"/>
    </i>
    <i t="grand">
      <x/>
    </i>
  </rowItems>
  <colFields count="1">
    <field x="9"/>
  </colFields>
  <colItems count="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 t="grand">
      <x/>
    </i>
  </colItems>
  <pageFields count="1">
    <pageField fld="7" hier="-1"/>
  </pageFields>
  <dataFields count="1">
    <dataField name="Somme de NbHeures" fld="5" baseField="0" baseItem="0" numFmtId="4"/>
  </dataFields>
  <formats count="24">
    <format dxfId="230">
      <pivotArea outline="0" fieldPosition="0">
        <references count="1">
          <reference field="7" count="1" selected="0">
            <x v="2"/>
          </reference>
        </references>
      </pivotArea>
    </format>
    <format dxfId="229">
      <pivotArea type="topRight" dataOnly="0" labelOnly="1" outline="0" offset="B1" fieldPosition="0"/>
    </format>
    <format dxfId="228">
      <pivotArea dataOnly="0" labelOnly="1" outline="0" fieldPosition="0">
        <references count="1">
          <reference field="7" count="1">
            <x v="2"/>
          </reference>
        </references>
      </pivotArea>
    </format>
    <format dxfId="227">
      <pivotArea outline="0" fieldPosition="0">
        <references count="1">
          <reference field="7" count="3" selected="0">
            <x v="7"/>
            <x v="8"/>
            <x v="9"/>
          </reference>
        </references>
      </pivotArea>
    </format>
    <format dxfId="226">
      <pivotArea type="topRight" dataOnly="0" labelOnly="1" outline="0" offset="G1:I1" fieldPosition="0"/>
    </format>
    <format dxfId="225">
      <pivotArea dataOnly="0" labelOnly="1" outline="0" fieldPosition="0">
        <references count="1">
          <reference field="7" count="3">
            <x v="7"/>
            <x v="8"/>
            <x v="9"/>
          </reference>
        </references>
      </pivotArea>
    </format>
    <format dxfId="224">
      <pivotArea outline="0" fieldPosition="0">
        <references count="1">
          <reference field="7" count="1" selected="0">
            <x v="0"/>
          </reference>
        </references>
      </pivotArea>
    </format>
    <format dxfId="223">
      <pivotArea field="7" type="button" dataOnly="0" labelOnly="1" outline="0" axis="axisPage" fieldPosition="0"/>
    </format>
    <format dxfId="222">
      <pivotArea dataOnly="0" labelOnly="1" outline="0" fieldPosition="0">
        <references count="1">
          <reference field="7" count="1">
            <x v="0"/>
          </reference>
        </references>
      </pivotArea>
    </format>
    <format dxfId="221">
      <pivotArea outline="0" fieldPosition="0">
        <references count="1">
          <reference field="7" count="1" selected="0">
            <x v="6"/>
          </reference>
        </references>
      </pivotArea>
    </format>
    <format dxfId="220">
      <pivotArea type="topRight" dataOnly="0" labelOnly="1" outline="0" offset="F1" fieldPosition="0"/>
    </format>
    <format dxfId="219">
      <pivotArea dataOnly="0" labelOnly="1" outline="0" fieldPosition="0">
        <references count="1">
          <reference field="7" count="1">
            <x v="6"/>
          </reference>
        </references>
      </pivotArea>
    </format>
    <format dxfId="218">
      <pivotArea outline="0" fieldPosition="0">
        <references count="1">
          <reference field="7" count="1" selected="0">
            <x v="4"/>
          </reference>
        </references>
      </pivotArea>
    </format>
    <format dxfId="217">
      <pivotArea type="topRight" dataOnly="0" labelOnly="1" outline="0" offset="D1" fieldPosition="0"/>
    </format>
    <format dxfId="216">
      <pivotArea dataOnly="0" labelOnly="1" outline="0" fieldPosition="0">
        <references count="1">
          <reference field="7" count="1">
            <x v="4"/>
          </reference>
        </references>
      </pivotArea>
    </format>
    <format dxfId="215">
      <pivotArea outline="0" fieldPosition="0">
        <references count="1">
          <reference field="7" count="1" selected="0">
            <x v="5"/>
          </reference>
        </references>
      </pivotArea>
    </format>
    <format dxfId="214">
      <pivotArea type="topRight" dataOnly="0" labelOnly="1" outline="0" offset="E1" fieldPosition="0"/>
    </format>
    <format dxfId="213">
      <pivotArea dataOnly="0" labelOnly="1" outline="0" fieldPosition="0">
        <references count="1">
          <reference field="7" count="1">
            <x v="5"/>
          </reference>
        </references>
      </pivotArea>
    </format>
    <format dxfId="212">
      <pivotArea outline="0" fieldPosition="0">
        <references count="1">
          <reference field="7" count="1" selected="0">
            <x v="3"/>
          </reference>
        </references>
      </pivotArea>
    </format>
    <format dxfId="211">
      <pivotArea type="topRight" dataOnly="0" labelOnly="1" outline="0" offset="C1" fieldPosition="0"/>
    </format>
    <format dxfId="210">
      <pivotArea dataOnly="0" labelOnly="1" outline="0" fieldPosition="0">
        <references count="1">
          <reference field="7" count="1">
            <x v="3"/>
          </reference>
        </references>
      </pivotArea>
    </format>
    <format dxfId="209">
      <pivotArea outline="0" fieldPosition="0">
        <references count="1">
          <reference field="7" count="1" selected="0">
            <x v="1"/>
          </reference>
        </references>
      </pivotArea>
    </format>
    <format dxfId="208">
      <pivotArea type="topRight" dataOnly="0" labelOnly="1" outline="0" offset="A1" fieldPosition="0"/>
    </format>
    <format dxfId="20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7FE20-4D69-4BA1-B0DA-1599F3BBA22B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6:O52" firstHeaderRow="1" firstDataRow="2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0"/>
        <item x="1"/>
        <item x="5"/>
        <item x="9"/>
        <item x="3"/>
        <item x="4"/>
        <item x="6"/>
        <item x="7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03"/>
        <item x="151"/>
        <item x="99"/>
        <item x="152"/>
        <item x="206"/>
        <item x="153"/>
        <item x="100"/>
        <item x="154"/>
        <item x="236"/>
        <item x="207"/>
        <item x="204"/>
        <item x="155"/>
        <item x="101"/>
        <item x="211"/>
        <item x="208"/>
        <item x="59"/>
        <item x="60"/>
        <item x="61"/>
        <item x="62"/>
        <item x="63"/>
        <item x="64"/>
        <item x="65"/>
        <item x="205"/>
        <item x="66"/>
        <item x="67"/>
        <item x="68"/>
        <item x="212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237"/>
        <item x="82"/>
        <item x="83"/>
        <item x="84"/>
        <item x="85"/>
        <item x="86"/>
        <item x="87"/>
        <item x="88"/>
        <item x="89"/>
        <item x="156"/>
        <item x="90"/>
        <item x="91"/>
        <item x="92"/>
        <item x="93"/>
        <item x="94"/>
        <item x="95"/>
        <item x="96"/>
        <item x="97"/>
        <item x="157"/>
        <item x="102"/>
        <item x="158"/>
        <item x="159"/>
        <item x="160"/>
        <item x="103"/>
        <item x="104"/>
        <item x="105"/>
        <item x="232"/>
        <item x="161"/>
        <item x="162"/>
        <item x="58"/>
        <item x="163"/>
        <item x="106"/>
        <item x="107"/>
        <item x="134"/>
        <item x="108"/>
        <item x="180"/>
        <item x="109"/>
        <item x="135"/>
        <item x="136"/>
        <item x="164"/>
        <item x="181"/>
        <item x="110"/>
        <item x="111"/>
        <item x="233"/>
        <item x="182"/>
        <item x="183"/>
        <item x="137"/>
        <item x="213"/>
        <item x="214"/>
        <item x="215"/>
        <item x="216"/>
        <item x="217"/>
        <item x="218"/>
        <item x="219"/>
        <item x="220"/>
        <item x="221"/>
        <item x="234"/>
        <item x="235"/>
        <item x="222"/>
        <item x="223"/>
        <item x="224"/>
        <item x="184"/>
        <item x="138"/>
        <item x="112"/>
        <item x="165"/>
        <item x="166"/>
        <item x="167"/>
        <item x="168"/>
        <item x="185"/>
        <item x="186"/>
        <item x="139"/>
        <item x="187"/>
        <item x="225"/>
        <item x="188"/>
        <item x="140"/>
        <item x="248"/>
        <item x="249"/>
        <item x="250"/>
        <item x="141"/>
        <item x="189"/>
        <item x="190"/>
        <item x="142"/>
        <item x="143"/>
        <item x="191"/>
        <item x="113"/>
        <item x="114"/>
        <item x="209"/>
        <item x="192"/>
        <item x="144"/>
        <item x="145"/>
        <item x="115"/>
        <item x="193"/>
        <item x="116"/>
        <item x="117"/>
        <item x="118"/>
        <item x="119"/>
        <item x="120"/>
        <item x="121"/>
        <item x="194"/>
        <item x="195"/>
        <item x="122"/>
        <item x="169"/>
        <item x="123"/>
        <item x="170"/>
        <item x="196"/>
        <item x="124"/>
        <item x="125"/>
        <item x="126"/>
        <item x="146"/>
        <item x="127"/>
        <item x="128"/>
        <item x="226"/>
        <item x="147"/>
        <item x="227"/>
        <item x="228"/>
        <item x="229"/>
        <item x="247"/>
        <item x="197"/>
        <item x="171"/>
        <item x="172"/>
        <item x="230"/>
        <item x="231"/>
        <item x="198"/>
        <item x="199"/>
        <item x="200"/>
        <item x="173"/>
        <item x="174"/>
        <item x="129"/>
        <item x="175"/>
        <item x="130"/>
        <item x="176"/>
        <item x="148"/>
        <item x="177"/>
        <item x="201"/>
        <item x="149"/>
        <item x="238"/>
        <item x="239"/>
        <item x="202"/>
        <item x="178"/>
        <item x="150"/>
        <item x="210"/>
        <item x="131"/>
        <item x="132"/>
        <item x="133"/>
        <item x="240"/>
        <item x="241"/>
        <item x="242"/>
        <item x="243"/>
        <item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1"/>
    <field x="2"/>
  </rowFields>
  <rowItems count="45">
    <i>
      <x/>
      <x v="22"/>
      <x v="35"/>
    </i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7"/>
      <x v="6"/>
      <x v="4"/>
    </i>
    <i>
      <x v="8"/>
      <x v="19"/>
      <x v="25"/>
    </i>
    <i>
      <x v="9"/>
      <x v="23"/>
      <x v="7"/>
    </i>
    <i>
      <x v="10"/>
      <x v="37"/>
      <x v="9"/>
    </i>
    <i>
      <x v="11"/>
      <x v="33"/>
      <x v="30"/>
    </i>
    <i>
      <x v="12"/>
      <x v="5"/>
      <x v="5"/>
    </i>
    <i>
      <x v="13"/>
      <x v="13"/>
      <x v="31"/>
    </i>
    <i>
      <x v="14"/>
      <x v="28"/>
      <x v="3"/>
    </i>
    <i>
      <x v="15"/>
      <x v="34"/>
      <x v="22"/>
    </i>
    <i>
      <x v="16"/>
      <x v="42"/>
      <x v="34"/>
    </i>
    <i>
      <x v="17"/>
      <x v="12"/>
      <x v="29"/>
    </i>
    <i>
      <x v="18"/>
      <x v="18"/>
      <x v="23"/>
    </i>
    <i>
      <x v="19"/>
      <x v="25"/>
      <x v="5"/>
    </i>
    <i>
      <x v="20"/>
      <x v="9"/>
      <x v="24"/>
    </i>
    <i>
      <x v="21"/>
      <x v="29"/>
      <x v="28"/>
    </i>
    <i>
      <x v="22"/>
      <x v="40"/>
      <x v="34"/>
    </i>
    <i>
      <x v="23"/>
      <x v="31"/>
      <x v="10"/>
    </i>
    <i>
      <x v="24"/>
      <x v="15"/>
      <x v="40"/>
    </i>
    <i>
      <x v="25"/>
      <x v="21"/>
      <x/>
    </i>
    <i>
      <x v="26"/>
      <x v="38"/>
      <x v="27"/>
    </i>
    <i>
      <x v="27"/>
      <x v="10"/>
      <x v="1"/>
    </i>
    <i>
      <x v="28"/>
      <x v="4"/>
      <x v="20"/>
    </i>
    <i>
      <x v="29"/>
      <x v="41"/>
      <x v="17"/>
    </i>
    <i>
      <x v="30"/>
      <x v="3"/>
      <x v="39"/>
    </i>
    <i>
      <x v="31"/>
      <x v="11"/>
      <x v="13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6"/>
      <x v="27"/>
      <x v="2"/>
    </i>
    <i>
      <x v="37"/>
      <x v="20"/>
      <x v="4"/>
    </i>
    <i>
      <x v="38"/>
      <x v="39"/>
      <x v="14"/>
    </i>
    <i>
      <x v="39"/>
      <x v="32"/>
      <x v="18"/>
    </i>
    <i>
      <x v="40"/>
      <x v="40"/>
      <x v="32"/>
    </i>
    <i>
      <x v="41"/>
      <x/>
      <x v="16"/>
    </i>
    <i>
      <x v="42"/>
      <x v="14"/>
      <x v="37"/>
    </i>
    <i>
      <x v="43"/>
      <x v="30"/>
      <x v="8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me de NbHeures" fld="5" baseField="0" baseItem="0" numFmtId="4"/>
  </dataFields>
  <formats count="27">
    <format dxfId="205">
      <pivotArea outline="0" fieldPosition="0">
        <references count="1">
          <reference field="7" count="1" selected="0">
            <x v="2"/>
          </reference>
        </references>
      </pivotArea>
    </format>
    <format dxfId="204">
      <pivotArea type="topRight" dataOnly="0" labelOnly="1" outline="0" offset="B1" fieldPosition="0"/>
    </format>
    <format dxfId="203">
      <pivotArea dataOnly="0" labelOnly="1" outline="0" fieldPosition="0">
        <references count="1">
          <reference field="7" count="1">
            <x v="2"/>
          </reference>
        </references>
      </pivotArea>
    </format>
    <format dxfId="202">
      <pivotArea outline="0" fieldPosition="0">
        <references count="1">
          <reference field="7" count="3" selected="0">
            <x v="7"/>
            <x v="8"/>
            <x v="9"/>
          </reference>
        </references>
      </pivotArea>
    </format>
    <format dxfId="201">
      <pivotArea type="topRight" dataOnly="0" labelOnly="1" outline="0" offset="G1:I1" fieldPosition="0"/>
    </format>
    <format dxfId="200">
      <pivotArea dataOnly="0" labelOnly="1" outline="0" fieldPosition="0">
        <references count="1">
          <reference field="7" count="3">
            <x v="7"/>
            <x v="8"/>
            <x v="9"/>
          </reference>
        </references>
      </pivotArea>
    </format>
    <format dxfId="199">
      <pivotArea outline="0" fieldPosition="0">
        <references count="1">
          <reference field="7" count="1" selected="0">
            <x v="0"/>
          </reference>
        </references>
      </pivotArea>
    </format>
    <format dxfId="198">
      <pivotArea field="7" type="button" dataOnly="0" labelOnly="1" outline="0" axis="axisCol" fieldPosition="0"/>
    </format>
    <format dxfId="197">
      <pivotArea dataOnly="0" labelOnly="1" outline="0" fieldPosition="0">
        <references count="1">
          <reference field="7" count="1">
            <x v="0"/>
          </reference>
        </references>
      </pivotArea>
    </format>
    <format dxfId="196">
      <pivotArea outline="0" fieldPosition="0">
        <references count="1">
          <reference field="7" count="1" selected="0">
            <x v="6"/>
          </reference>
        </references>
      </pivotArea>
    </format>
    <format dxfId="195">
      <pivotArea type="topRight" dataOnly="0" labelOnly="1" outline="0" offset="F1" fieldPosition="0"/>
    </format>
    <format dxfId="194">
      <pivotArea dataOnly="0" labelOnly="1" outline="0" fieldPosition="0">
        <references count="1">
          <reference field="7" count="1">
            <x v="6"/>
          </reference>
        </references>
      </pivotArea>
    </format>
    <format dxfId="193">
      <pivotArea outline="0" fieldPosition="0">
        <references count="1">
          <reference field="7" count="1" selected="0">
            <x v="4"/>
          </reference>
        </references>
      </pivotArea>
    </format>
    <format dxfId="192">
      <pivotArea type="topRight" dataOnly="0" labelOnly="1" outline="0" offset="D1" fieldPosition="0"/>
    </format>
    <format dxfId="191">
      <pivotArea dataOnly="0" labelOnly="1" outline="0" fieldPosition="0">
        <references count="1">
          <reference field="7" count="1">
            <x v="4"/>
          </reference>
        </references>
      </pivotArea>
    </format>
    <format dxfId="190">
      <pivotArea outline="0" fieldPosition="0">
        <references count="1">
          <reference field="7" count="1" selected="0">
            <x v="5"/>
          </reference>
        </references>
      </pivotArea>
    </format>
    <format dxfId="189">
      <pivotArea type="topRight" dataOnly="0" labelOnly="1" outline="0" offset="E1" fieldPosition="0"/>
    </format>
    <format dxfId="188">
      <pivotArea dataOnly="0" labelOnly="1" outline="0" fieldPosition="0">
        <references count="1">
          <reference field="7" count="1">
            <x v="5"/>
          </reference>
        </references>
      </pivotArea>
    </format>
    <format dxfId="187">
      <pivotArea outline="0" fieldPosition="0">
        <references count="1">
          <reference field="7" count="1" selected="0">
            <x v="3"/>
          </reference>
        </references>
      </pivotArea>
    </format>
    <format dxfId="186">
      <pivotArea type="topRight" dataOnly="0" labelOnly="1" outline="0" offset="C1" fieldPosition="0"/>
    </format>
    <format dxfId="185">
      <pivotArea dataOnly="0" labelOnly="1" outline="0" fieldPosition="0">
        <references count="1">
          <reference field="7" count="1">
            <x v="3"/>
          </reference>
        </references>
      </pivotArea>
    </format>
    <format dxfId="184">
      <pivotArea outline="0" fieldPosition="0">
        <references count="1">
          <reference field="7" count="1" selected="0">
            <x v="1"/>
          </reference>
        </references>
      </pivotArea>
    </format>
    <format dxfId="183">
      <pivotArea type="topRight" dataOnly="0" labelOnly="1" outline="0" offset="A1" fieldPosition="0"/>
    </format>
    <format dxfId="182">
      <pivotArea dataOnly="0" labelOnly="1" outline="0" fieldPosition="0">
        <references count="1">
          <reference field="7" count="1">
            <x v="1"/>
          </reference>
        </references>
      </pivotArea>
    </format>
    <format dxfId="181">
      <pivotArea outline="0" fieldPosition="0">
        <references count="1">
          <reference field="7" count="1" selected="0">
            <x v="3"/>
          </reference>
        </references>
      </pivotArea>
    </format>
    <format dxfId="180">
      <pivotArea type="topRight" dataOnly="0" labelOnly="1" outline="0" offset="C1" fieldPosition="0"/>
    </format>
    <format dxfId="179">
      <pivotArea dataOnly="0" labelOnly="1" outline="0" fieldPosition="0">
        <references count="1">
          <reference field="7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6BBEE7-E7DF-4432-9768-1AE8F7527B5C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K3:S58" firstHeaderRow="1" firstDataRow="2" firstDataCol="3"/>
  <pivotFields count="9">
    <pivotField axis="axisRow" compact="0" outline="0" showAll="0" defaultSubtotal="0">
      <items count="55">
        <item x="2"/>
        <item x="8"/>
        <item x="20"/>
        <item x="10"/>
        <item x="19"/>
        <item x="9"/>
        <item x="30"/>
        <item x="7"/>
        <item x="23"/>
        <item x="26"/>
        <item x="44"/>
        <item x="40"/>
        <item x="34"/>
        <item x="6"/>
        <item x="16"/>
        <item x="33"/>
        <item x="41"/>
        <item x="53"/>
        <item x="15"/>
        <item x="21"/>
        <item x="1"/>
        <item x="11"/>
        <item x="45"/>
        <item x="29"/>
        <item x="12"/>
        <item x="35"/>
        <item x="50"/>
        <item x="37"/>
        <item x="38"/>
        <item x="18"/>
        <item x="25"/>
        <item x="32"/>
        <item x="46"/>
        <item x="13"/>
        <item x="5"/>
        <item x="51"/>
        <item x="4"/>
        <item x="47"/>
        <item x="14"/>
        <item x="28"/>
        <item x="42"/>
        <item x="43"/>
        <item x="3"/>
        <item x="31"/>
        <item x="24"/>
        <item x="48"/>
        <item x="22"/>
        <item x="27"/>
        <item x="39"/>
        <item x="52"/>
        <item x="49"/>
        <item x="0"/>
        <item x="17"/>
        <item x="36"/>
        <item x="54"/>
      </items>
    </pivotField>
    <pivotField axis="axisRow" compact="0" outline="0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compact="0" outline="0" showAll="0" defaultSubtotal="0">
      <items count="52">
        <item x="24"/>
        <item x="36"/>
        <item x="13"/>
        <item x="29"/>
        <item x="31"/>
        <item x="7"/>
        <item x="6"/>
        <item x="3"/>
        <item x="25"/>
        <item x="34"/>
        <item x="42"/>
        <item x="35"/>
        <item x="2"/>
        <item x="28"/>
        <item x="14"/>
        <item x="46"/>
        <item x="50"/>
        <item x="10"/>
        <item x="0"/>
        <item x="49"/>
        <item x="45"/>
        <item x="8"/>
        <item x="37"/>
        <item x="26"/>
        <item x="30"/>
        <item x="19"/>
        <item x="5"/>
        <item x="32"/>
        <item x="20"/>
        <item x="39"/>
        <item x="21"/>
        <item x="1"/>
        <item x="12"/>
        <item x="23"/>
        <item x="41"/>
        <item x="44"/>
        <item x="33"/>
        <item x="15"/>
        <item x="38"/>
        <item x="16"/>
        <item x="43"/>
        <item x="47"/>
        <item x="40"/>
        <item x="48"/>
        <item x="11"/>
        <item x="27"/>
        <item x="22"/>
        <item x="17"/>
        <item x="9"/>
        <item x="4"/>
        <item x="18"/>
        <item x="51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2">
        <item h="1" x="10"/>
        <item h="1" m="1" x="11"/>
        <item h="1" x="1"/>
        <item h="1" x="9"/>
        <item h="1" x="8"/>
        <item h="1" x="7"/>
        <item h="1" x="0"/>
        <item x="2"/>
        <item x="3"/>
        <item x="4"/>
        <item x="5"/>
        <item x="6"/>
      </items>
    </pivotField>
    <pivotField compact="0" outline="0" showAll="0" defaultSubtotal="0"/>
  </pivotFields>
  <rowFields count="3">
    <field x="0"/>
    <field x="1"/>
    <field x="2"/>
  </rowFields>
  <rowItems count="54">
    <i>
      <x/>
      <x v="2"/>
      <x v="12"/>
    </i>
    <i>
      <x v="2"/>
      <x v="20"/>
      <x v="28"/>
    </i>
    <i>
      <x v="3"/>
      <x v="10"/>
      <x v="17"/>
    </i>
    <i>
      <x v="4"/>
      <x v="19"/>
      <x v="25"/>
    </i>
    <i>
      <x v="5"/>
      <x v="9"/>
      <x v="48"/>
    </i>
    <i>
      <x v="6"/>
      <x v="30"/>
      <x v="13"/>
    </i>
    <i>
      <x v="7"/>
      <x v="7"/>
      <x v="5"/>
    </i>
    <i>
      <x v="8"/>
      <x v="23"/>
      <x v="33"/>
    </i>
    <i>
      <x v="9"/>
      <x v="26"/>
      <x v="8"/>
    </i>
    <i>
      <x v="10"/>
      <x v="44"/>
      <x v="10"/>
    </i>
    <i>
      <x v="11"/>
      <x v="40"/>
      <x v="38"/>
    </i>
    <i>
      <x v="12"/>
      <x v="34"/>
      <x v="27"/>
    </i>
    <i>
      <x v="13"/>
      <x v="6"/>
      <x v="6"/>
    </i>
    <i>
      <x v="14"/>
      <x v="16"/>
      <x v="39"/>
    </i>
    <i>
      <x v="15"/>
      <x v="33"/>
      <x v="4"/>
    </i>
    <i>
      <x v="16"/>
      <x v="41"/>
      <x v="29"/>
    </i>
    <i>
      <x v="17"/>
      <x v="52"/>
      <x v="43"/>
    </i>
    <i>
      <x v="18"/>
      <x v="15"/>
      <x v="37"/>
    </i>
    <i>
      <x v="19"/>
      <x v="21"/>
      <x v="30"/>
    </i>
    <i>
      <x v="20"/>
      <x v="1"/>
      <x v="31"/>
    </i>
    <i>
      <x v="21"/>
      <x v="11"/>
      <x v="44"/>
    </i>
    <i>
      <x v="22"/>
      <x v="45"/>
      <x v="40"/>
    </i>
    <i>
      <x v="23"/>
      <x v="29"/>
      <x v="6"/>
    </i>
    <i>
      <x v="24"/>
      <x v="12"/>
      <x v="32"/>
    </i>
    <i>
      <x v="25"/>
      <x v="35"/>
      <x v="36"/>
    </i>
    <i>
      <x v="26"/>
      <x v="49"/>
      <x v="43"/>
    </i>
    <i>
      <x v="27"/>
      <x v="37"/>
      <x v="11"/>
    </i>
    <i>
      <x v="28"/>
      <x v="38"/>
      <x v="1"/>
    </i>
    <i>
      <x v="29"/>
      <x v="18"/>
      <x v="50"/>
    </i>
    <i>
      <x v="30"/>
      <x v="25"/>
      <x/>
    </i>
    <i>
      <x v="31"/>
      <x v="32"/>
      <x v="24"/>
    </i>
    <i>
      <x v="32"/>
      <x v="46"/>
      <x v="35"/>
    </i>
    <i>
      <x v="33"/>
      <x v="13"/>
      <x v="2"/>
    </i>
    <i>
      <x v="34"/>
      <x v="5"/>
      <x v="26"/>
    </i>
    <i>
      <x v="35"/>
      <x v="50"/>
      <x v="19"/>
    </i>
    <i>
      <x v="36"/>
      <x v="4"/>
      <x v="49"/>
    </i>
    <i>
      <x v="37"/>
      <x v="47"/>
      <x v="20"/>
    </i>
    <i>
      <x v="38"/>
      <x v="14"/>
      <x v="14"/>
    </i>
    <i>
      <x v="39"/>
      <x v="28"/>
      <x v="45"/>
    </i>
    <i>
      <x v="40"/>
      <x v="42"/>
      <x v="42"/>
    </i>
    <i>
      <x v="41"/>
      <x v="43"/>
      <x v="34"/>
    </i>
    <i>
      <x v="42"/>
      <x v="3"/>
      <x v="7"/>
    </i>
    <i>
      <x v="43"/>
      <x v="31"/>
      <x v="3"/>
    </i>
    <i>
      <x v="44"/>
      <x v="24"/>
      <x v="5"/>
    </i>
    <i>
      <x v="45"/>
      <x v="48"/>
      <x v="15"/>
    </i>
    <i>
      <x v="46"/>
      <x v="22"/>
      <x v="46"/>
    </i>
    <i>
      <x v="47"/>
      <x v="27"/>
      <x v="23"/>
    </i>
    <i>
      <x v="48"/>
      <x v="39"/>
      <x v="22"/>
    </i>
    <i>
      <x v="49"/>
      <x v="51"/>
      <x v="16"/>
    </i>
    <i>
      <x v="50"/>
      <x v="49"/>
      <x v="41"/>
    </i>
    <i>
      <x v="51"/>
      <x/>
      <x v="18"/>
    </i>
    <i>
      <x v="52"/>
      <x v="17"/>
      <x v="47"/>
    </i>
    <i>
      <x v="53"/>
      <x v="36"/>
      <x v="9"/>
    </i>
    <i t="grand">
      <x/>
    </i>
  </rowItems>
  <colFields count="1">
    <field x="7"/>
  </colFields>
  <colItems count="6">
    <i>
      <x v="7"/>
    </i>
    <i>
      <x v="8"/>
    </i>
    <i>
      <x v="9"/>
    </i>
    <i>
      <x v="10"/>
    </i>
    <i>
      <x v="11"/>
    </i>
    <i t="grand">
      <x/>
    </i>
  </colItems>
  <dataFields count="1">
    <dataField name="Somme de Heures" fld="6" baseField="0" baseItem="0"/>
  </dataFields>
  <formats count="56">
    <format dxfId="122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121">
      <pivotArea dataOnly="0" labelOnly="1" outline="0" fieldPosition="0">
        <references count="1">
          <reference field="0" count="1">
            <x v="45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118">
      <pivotArea outline="0" fieldPosition="0">
        <references count="3">
          <reference field="0" count="1" selected="0">
            <x v="46"/>
          </reference>
          <reference field="1" count="1" selected="0">
            <x v="22"/>
          </reference>
          <reference field="2" count="1" selected="0">
            <x v="46"/>
          </reference>
        </references>
      </pivotArea>
    </format>
    <format dxfId="117">
      <pivotArea dataOnly="0" labelOnly="1" outline="0" fieldPosition="0">
        <references count="1">
          <reference field="0" count="1">
            <x v="46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46"/>
          </reference>
          <reference field="1" count="1">
            <x v="22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22"/>
          </reference>
          <reference field="2" count="1">
            <x v="46"/>
          </reference>
        </references>
      </pivotArea>
    </format>
    <format dxfId="114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13">
      <pivotArea dataOnly="0" labelOnly="1" outline="0" fieldPosition="0">
        <references count="1">
          <reference field="0" count="1">
            <x v="51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110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09">
      <pivotArea dataOnly="0" labelOnly="1" outline="0" fieldPosition="0">
        <references count="1">
          <reference field="0" count="1">
            <x v="51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106">
      <pivotArea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 selected="0">
            <x v="47"/>
          </reference>
        </references>
      </pivotArea>
    </format>
    <format dxfId="105">
      <pivotArea dataOnly="0" labelOnly="1" outline="0" fieldPosition="0">
        <references count="1">
          <reference field="0" count="1">
            <x v="52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52"/>
          </reference>
          <reference field="1" count="1">
            <x v="17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>
            <x v="47"/>
          </reference>
        </references>
      </pivotArea>
    </format>
    <format dxfId="102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101">
      <pivotArea dataOnly="0" labelOnly="1" outline="0" fieldPosition="0">
        <references count="1">
          <reference field="0" count="1">
            <x v="44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98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97">
      <pivotArea dataOnly="0" labelOnly="1" outline="0" fieldPosition="0">
        <references count="1">
          <reference field="0" count="1">
            <x v="43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94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93">
      <pivotArea dataOnly="0" labelOnly="1" outline="0" fieldPosition="0">
        <references count="1">
          <reference field="0" count="1">
            <x v="43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90">
      <pivotArea outline="0" fieldPosition="0">
        <references count="3">
          <reference field="0" count="1" selected="0">
            <x v="53"/>
          </reference>
          <reference field="1" count="1" selected="0">
            <x v="36"/>
          </reference>
          <reference field="2" count="1" selected="0">
            <x v="9"/>
          </reference>
        </references>
      </pivotArea>
    </format>
    <format dxfId="89">
      <pivotArea dataOnly="0" labelOnly="1" outline="0" fieldPosition="0">
        <references count="1">
          <reference field="0" count="1">
            <x v="53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53"/>
          </reference>
          <reference field="1" count="1">
            <x v="36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36"/>
          </reference>
          <reference field="2" count="1">
            <x v="9"/>
          </reference>
        </references>
      </pivotArea>
    </format>
    <format dxfId="86">
      <pivotArea outline="0" fieldPosition="0">
        <references count="3">
          <reference field="0" count="1" selected="0">
            <x v="40"/>
          </reference>
          <reference field="1" count="1" selected="0">
            <x v="42"/>
          </reference>
          <reference field="2" count="1" selected="0">
            <x v="42"/>
          </reference>
        </references>
      </pivotArea>
    </format>
    <format dxfId="85">
      <pivotArea dataOnly="0" labelOnly="1" outline="0" fieldPosition="0">
        <references count="1">
          <reference field="0" count="1">
            <x v="40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40"/>
          </reference>
          <reference field="1" count="1">
            <x v="42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2"/>
          </reference>
          <reference field="2" count="1">
            <x v="42"/>
          </reference>
        </references>
      </pivotArea>
    </format>
    <format dxfId="82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81">
      <pivotArea dataOnly="0" labelOnly="1" outline="0" fieldPosition="0">
        <references count="1">
          <reference field="0" count="1">
            <x v="45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78">
      <pivotArea outline="0" fieldPosition="0">
        <references count="3">
          <reference field="0" count="1" selected="0">
            <x v="33"/>
          </reference>
          <reference field="1" count="1" selected="0">
            <x v="13"/>
          </reference>
          <reference field="2" count="1" selected="0">
            <x v="2"/>
          </reference>
        </references>
      </pivotArea>
    </format>
    <format dxfId="77">
      <pivotArea dataOnly="0" labelOnly="1" outline="0" fieldPosition="0">
        <references count="1">
          <reference field="0" count="1">
            <x v="33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33"/>
          </reference>
          <reference field="1" count="1">
            <x v="13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13"/>
          </reference>
          <reference field="2" count="1">
            <x v="2"/>
          </reference>
        </references>
      </pivotArea>
    </format>
    <format dxfId="74">
      <pivotArea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 selected="0">
            <x v="45"/>
          </reference>
        </references>
      </pivotArea>
    </format>
    <format dxfId="73">
      <pivotArea dataOnly="0" labelOnly="1" outline="0" fieldPosition="0">
        <references count="1">
          <reference field="0" count="1">
            <x v="39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39"/>
          </reference>
          <reference field="1" count="1">
            <x v="28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>
            <x v="45"/>
          </reference>
        </references>
      </pivotArea>
    </format>
    <format dxfId="70">
      <pivotArea outline="0" fieldPosition="0">
        <references count="3">
          <reference field="0" count="1" selected="0">
            <x v="48"/>
          </reference>
          <reference field="1" count="1" selected="0">
            <x v="39"/>
          </reference>
          <reference field="2" count="1" selected="0">
            <x v="22"/>
          </reference>
        </references>
      </pivotArea>
    </format>
    <format dxfId="69">
      <pivotArea dataOnly="0" labelOnly="1" outline="0" fieldPosition="0">
        <references count="1">
          <reference field="0" count="1">
            <x v="48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48"/>
          </reference>
          <reference field="1" count="1">
            <x v="39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39"/>
          </reference>
          <reference field="2" count="1">
            <x v="2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15B95-0AC7-4F58-8B7F-A6247205238C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3:G59" firstHeaderRow="1" firstDataRow="2" firstDataCol="3" rowPageCount="1" colPageCount="1"/>
  <pivotFields count="9">
    <pivotField axis="axisRow" compact="0" outline="0" showAll="0" defaultSubtotal="0">
      <items count="55">
        <item x="2"/>
        <item x="8"/>
        <item x="20"/>
        <item x="10"/>
        <item x="19"/>
        <item x="9"/>
        <item x="30"/>
        <item x="7"/>
        <item x="23"/>
        <item x="26"/>
        <item x="44"/>
        <item x="40"/>
        <item x="34"/>
        <item x="6"/>
        <item x="16"/>
        <item x="33"/>
        <item x="41"/>
        <item x="53"/>
        <item x="15"/>
        <item x="21"/>
        <item x="1"/>
        <item x="11"/>
        <item x="45"/>
        <item x="29"/>
        <item x="12"/>
        <item x="35"/>
        <item x="50"/>
        <item x="37"/>
        <item x="38"/>
        <item x="18"/>
        <item x="25"/>
        <item x="32"/>
        <item x="46"/>
        <item x="13"/>
        <item x="5"/>
        <item x="51"/>
        <item x="4"/>
        <item x="47"/>
        <item x="14"/>
        <item x="28"/>
        <item x="42"/>
        <item x="43"/>
        <item x="3"/>
        <item x="31"/>
        <item x="24"/>
        <item x="48"/>
        <item x="22"/>
        <item x="27"/>
        <item x="39"/>
        <item x="52"/>
        <item x="49"/>
        <item x="0"/>
        <item x="17"/>
        <item x="36"/>
        <item x="54"/>
      </items>
    </pivotField>
    <pivotField axis="axisRow" compact="0" outline="0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compact="0" outline="0" showAll="0" defaultSubtotal="0">
      <items count="52">
        <item x="24"/>
        <item x="36"/>
        <item x="13"/>
        <item x="29"/>
        <item x="31"/>
        <item x="7"/>
        <item x="6"/>
        <item x="3"/>
        <item x="25"/>
        <item x="34"/>
        <item x="42"/>
        <item x="35"/>
        <item x="2"/>
        <item x="28"/>
        <item x="14"/>
        <item x="46"/>
        <item x="50"/>
        <item x="10"/>
        <item x="0"/>
        <item x="49"/>
        <item x="45"/>
        <item x="8"/>
        <item x="37"/>
        <item x="26"/>
        <item x="30"/>
        <item x="19"/>
        <item x="5"/>
        <item x="32"/>
        <item x="20"/>
        <item x="39"/>
        <item x="21"/>
        <item x="1"/>
        <item x="12"/>
        <item x="23"/>
        <item x="41"/>
        <item x="44"/>
        <item x="33"/>
        <item x="15"/>
        <item x="38"/>
        <item x="16"/>
        <item x="43"/>
        <item x="47"/>
        <item x="40"/>
        <item x="48"/>
        <item x="11"/>
        <item x="27"/>
        <item x="22"/>
        <item x="17"/>
        <item x="9"/>
        <item x="4"/>
        <item x="18"/>
        <item x="51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2">
        <item x="10"/>
        <item h="1" m="1" x="11"/>
        <item h="1" x="1"/>
        <item h="1" x="9"/>
        <item x="8"/>
        <item x="7"/>
        <item h="1" x="0"/>
        <item h="1" x="2"/>
        <item h="1" x="3"/>
        <item h="1" x="4"/>
        <item h="1" x="5"/>
        <item h="1" x="6"/>
      </items>
    </pivotField>
    <pivotField axis="axisPage" compact="0" outline="0" showAll="0" defaultSubtotal="0">
      <items count="3">
        <item x="1"/>
        <item x="2"/>
        <item x="0"/>
      </items>
    </pivotField>
  </pivotFields>
  <rowFields count="3">
    <field x="0"/>
    <field x="1"/>
    <field x="2"/>
  </rowFields>
  <rowItems count="55">
    <i>
      <x/>
      <x v="2"/>
      <x v="12"/>
    </i>
    <i>
      <x v="1"/>
      <x v="8"/>
      <x v="21"/>
    </i>
    <i>
      <x v="2"/>
      <x v="20"/>
      <x v="28"/>
    </i>
    <i>
      <x v="3"/>
      <x v="10"/>
      <x v="17"/>
    </i>
    <i>
      <x v="4"/>
      <x v="19"/>
      <x v="25"/>
    </i>
    <i>
      <x v="5"/>
      <x v="9"/>
      <x v="48"/>
    </i>
    <i>
      <x v="6"/>
      <x v="30"/>
      <x v="13"/>
    </i>
    <i>
      <x v="7"/>
      <x v="7"/>
      <x v="5"/>
    </i>
    <i>
      <x v="8"/>
      <x v="23"/>
      <x v="33"/>
    </i>
    <i>
      <x v="9"/>
      <x v="26"/>
      <x v="8"/>
    </i>
    <i>
      <x v="10"/>
      <x v="44"/>
      <x v="10"/>
    </i>
    <i>
      <x v="11"/>
      <x v="40"/>
      <x v="38"/>
    </i>
    <i>
      <x v="12"/>
      <x v="34"/>
      <x v="27"/>
    </i>
    <i>
      <x v="13"/>
      <x v="6"/>
      <x v="6"/>
    </i>
    <i>
      <x v="14"/>
      <x v="16"/>
      <x v="39"/>
    </i>
    <i>
      <x v="15"/>
      <x v="33"/>
      <x v="4"/>
    </i>
    <i>
      <x v="16"/>
      <x v="41"/>
      <x v="29"/>
    </i>
    <i>
      <x v="17"/>
      <x v="52"/>
      <x v="43"/>
    </i>
    <i>
      <x v="18"/>
      <x v="15"/>
      <x v="37"/>
    </i>
    <i>
      <x v="19"/>
      <x v="21"/>
      <x v="30"/>
    </i>
    <i>
      <x v="20"/>
      <x v="1"/>
      <x v="31"/>
    </i>
    <i>
      <x v="21"/>
      <x v="11"/>
      <x v="44"/>
    </i>
    <i>
      <x v="22"/>
      <x v="45"/>
      <x v="40"/>
    </i>
    <i>
      <x v="23"/>
      <x v="29"/>
      <x v="6"/>
    </i>
    <i>
      <x v="24"/>
      <x v="12"/>
      <x v="32"/>
    </i>
    <i>
      <x v="25"/>
      <x v="35"/>
      <x v="36"/>
    </i>
    <i>
      <x v="26"/>
      <x v="49"/>
      <x v="43"/>
    </i>
    <i>
      <x v="27"/>
      <x v="37"/>
      <x v="11"/>
    </i>
    <i>
      <x v="28"/>
      <x v="38"/>
      <x v="1"/>
    </i>
    <i>
      <x v="29"/>
      <x v="18"/>
      <x v="50"/>
    </i>
    <i>
      <x v="30"/>
      <x v="25"/>
      <x/>
    </i>
    <i>
      <x v="31"/>
      <x v="32"/>
      <x v="24"/>
    </i>
    <i>
      <x v="32"/>
      <x v="46"/>
      <x v="35"/>
    </i>
    <i>
      <x v="33"/>
      <x v="13"/>
      <x v="2"/>
    </i>
    <i>
      <x v="34"/>
      <x v="5"/>
      <x v="26"/>
    </i>
    <i>
      <x v="35"/>
      <x v="50"/>
      <x v="19"/>
    </i>
    <i>
      <x v="36"/>
      <x v="4"/>
      <x v="49"/>
    </i>
    <i>
      <x v="37"/>
      <x v="47"/>
      <x v="20"/>
    </i>
    <i>
      <x v="38"/>
      <x v="14"/>
      <x v="14"/>
    </i>
    <i>
      <x v="39"/>
      <x v="28"/>
      <x v="45"/>
    </i>
    <i>
      <x v="40"/>
      <x v="42"/>
      <x v="42"/>
    </i>
    <i>
      <x v="41"/>
      <x v="43"/>
      <x v="34"/>
    </i>
    <i>
      <x v="42"/>
      <x v="3"/>
      <x v="7"/>
    </i>
    <i>
      <x v="43"/>
      <x v="31"/>
      <x v="3"/>
    </i>
    <i>
      <x v="44"/>
      <x v="24"/>
      <x v="5"/>
    </i>
    <i>
      <x v="45"/>
      <x v="48"/>
      <x v="15"/>
    </i>
    <i>
      <x v="46"/>
      <x v="22"/>
      <x v="46"/>
    </i>
    <i>
      <x v="47"/>
      <x v="27"/>
      <x v="23"/>
    </i>
    <i>
      <x v="48"/>
      <x v="39"/>
      <x v="22"/>
    </i>
    <i>
      <x v="49"/>
      <x v="51"/>
      <x v="16"/>
    </i>
    <i>
      <x v="50"/>
      <x v="49"/>
      <x v="41"/>
    </i>
    <i>
      <x v="51"/>
      <x/>
      <x v="18"/>
    </i>
    <i>
      <x v="52"/>
      <x v="17"/>
      <x v="47"/>
    </i>
    <i>
      <x v="53"/>
      <x v="36"/>
      <x v="9"/>
    </i>
    <i t="grand">
      <x/>
    </i>
  </rowItems>
  <colFields count="1">
    <field x="7"/>
  </colFields>
  <colItems count="4">
    <i>
      <x/>
    </i>
    <i>
      <x v="4"/>
    </i>
    <i>
      <x v="5"/>
    </i>
    <i t="grand">
      <x/>
    </i>
  </colItems>
  <pageFields count="1">
    <pageField fld="8" item="1" hier="-1"/>
  </pageFields>
  <dataFields count="1">
    <dataField name="Somme de Heures" fld="6" baseField="0" baseItem="0"/>
  </dataFields>
  <formats count="56">
    <format dxfId="178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177">
      <pivotArea dataOnly="0" labelOnly="1" outline="0" fieldPosition="0">
        <references count="1">
          <reference field="0" count="1">
            <x v="44"/>
          </reference>
        </references>
      </pivotArea>
    </format>
    <format dxfId="176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175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174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173">
      <pivotArea dataOnly="0" labelOnly="1" outline="0" fieldPosition="0">
        <references count="1">
          <reference field="0" count="1">
            <x v="45"/>
          </reference>
        </references>
      </pivotArea>
    </format>
    <format dxfId="172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170">
      <pivotArea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 selected="0">
            <x v="41"/>
          </reference>
        </references>
      </pivotArea>
    </format>
    <format dxfId="169">
      <pivotArea dataOnly="0" labelOnly="1" outline="0" fieldPosition="0">
        <references count="1">
          <reference field="0" count="1">
            <x v="50"/>
          </reference>
        </references>
      </pivotArea>
    </format>
    <format dxfId="168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41"/>
          </reference>
        </references>
      </pivotArea>
    </format>
    <format dxfId="166">
      <pivotArea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 selected="0">
            <x v="41"/>
          </reference>
        </references>
      </pivotArea>
    </format>
    <format dxfId="165">
      <pivotArea dataOnly="0" labelOnly="1" outline="0" fieldPosition="0">
        <references count="1">
          <reference field="0" count="1">
            <x v="50"/>
          </reference>
        </references>
      </pivotArea>
    </format>
    <format dxfId="164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41"/>
          </reference>
        </references>
      </pivotArea>
    </format>
    <format dxfId="162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61">
      <pivotArea dataOnly="0" labelOnly="1" outline="0" fieldPosition="0">
        <references count="1">
          <reference field="0" count="1">
            <x v="51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158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157">
      <pivotArea dataOnly="0" labelOnly="1" outline="0" fieldPosition="0">
        <references count="1">
          <reference field="0" count="1">
            <x v="43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154">
      <pivotArea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 selected="0">
            <x v="7"/>
          </reference>
        </references>
      </pivotArea>
    </format>
    <format dxfId="153">
      <pivotArea dataOnly="0" labelOnly="1" outline="0" fieldPosition="0">
        <references count="1">
          <reference field="0" count="1">
            <x v="42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42"/>
          </reference>
          <reference field="1" count="1">
            <x v="3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>
            <x v="7"/>
          </reference>
        </references>
      </pivotArea>
    </format>
    <format dxfId="150">
      <pivotArea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 selected="0">
            <x v="7"/>
          </reference>
        </references>
      </pivotArea>
    </format>
    <format dxfId="149">
      <pivotArea dataOnly="0" labelOnly="1" outline="0" fieldPosition="0">
        <references count="1">
          <reference field="0" count="1">
            <x v="42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42"/>
          </reference>
          <reference field="1" count="1">
            <x v="3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>
            <x v="7"/>
          </reference>
        </references>
      </pivotArea>
    </format>
    <format dxfId="146">
      <pivotArea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 selected="0">
            <x v="47"/>
          </reference>
        </references>
      </pivotArea>
    </format>
    <format dxfId="145">
      <pivotArea dataOnly="0" labelOnly="1" outline="0" fieldPosition="0">
        <references count="1">
          <reference field="0" count="1">
            <x v="52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52"/>
          </reference>
          <reference field="1" count="1">
            <x v="17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>
            <x v="47"/>
          </reference>
        </references>
      </pivotArea>
    </format>
    <format dxfId="142">
      <pivotArea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 selected="0">
            <x v="45"/>
          </reference>
        </references>
      </pivotArea>
    </format>
    <format dxfId="141">
      <pivotArea dataOnly="0" labelOnly="1" outline="0" fieldPosition="0">
        <references count="1">
          <reference field="0" count="1">
            <x v="39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39"/>
          </reference>
          <reference field="1" count="1">
            <x v="28"/>
          </reference>
        </references>
      </pivotArea>
    </format>
    <format dxfId="139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>
            <x v="45"/>
          </reference>
        </references>
      </pivotArea>
    </format>
    <format dxfId="138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137">
      <pivotArea dataOnly="0" labelOnly="1" outline="0" fieldPosition="0">
        <references count="1">
          <reference field="0" count="1">
            <x v="44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134">
      <pivotArea outline="0" fieldPosition="0">
        <references count="3">
          <reference field="0" count="1" selected="0">
            <x v="32"/>
          </reference>
          <reference field="1" count="1" selected="0">
            <x v="46"/>
          </reference>
          <reference field="2" count="1" selected="0">
            <x v="35"/>
          </reference>
        </references>
      </pivotArea>
    </format>
    <format dxfId="133">
      <pivotArea dataOnly="0" labelOnly="1" outline="0" fieldPosition="0">
        <references count="1">
          <reference field="0" count="1">
            <x v="32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32"/>
          </reference>
          <reference field="1" count="1">
            <x v="46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46"/>
          </reference>
          <reference field="2" count="1">
            <x v="35"/>
          </reference>
        </references>
      </pivotArea>
    </format>
    <format dxfId="130">
      <pivotArea outline="0" fieldPosition="0">
        <references count="3">
          <reference field="0" count="1" selected="0">
            <x v="38"/>
          </reference>
          <reference field="1" count="1" selected="0">
            <x v="14"/>
          </reference>
          <reference field="2" count="1" selected="0">
            <x v="14"/>
          </reference>
        </references>
      </pivotArea>
    </format>
    <format dxfId="129">
      <pivotArea dataOnly="0" labelOnly="1" outline="0" fieldPosition="0">
        <references count="1">
          <reference field="0" count="1">
            <x v="38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38"/>
          </reference>
          <reference field="1" count="1">
            <x v="14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126">
      <pivotArea outline="0" fieldPosition="0">
        <references count="3">
          <reference field="0" count="1" selected="0">
            <x v="47"/>
          </reference>
          <reference field="1" count="1" selected="0">
            <x v="27"/>
          </reference>
          <reference field="2" count="1" selected="0">
            <x v="23"/>
          </reference>
        </references>
      </pivotArea>
    </format>
    <format dxfId="125">
      <pivotArea dataOnly="0" labelOnly="1" outline="0" fieldPosition="0">
        <references count="1">
          <reference field="0" count="1">
            <x v="47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47"/>
          </reference>
          <reference field="1" count="1">
            <x v="27"/>
          </reference>
        </references>
      </pivotArea>
    </format>
    <format dxfId="123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7"/>
          </reference>
          <reference field="2" count="1"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71BD6B-79F6-49C5-AF0F-A571AFBD105D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3:AJ50" firstHeaderRow="1" firstDataRow="3" firstDataCol="3" rowPageCount="1" colPageCount="1"/>
  <pivotFields count="23">
    <pivotField compact="0" outline="0" showAll="0" defaultSubtotal="0"/>
    <pivotField axis="axisRow" compact="0" outline="0" showAll="0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</pivotField>
    <pivotField compact="0" numFmtId="4" outline="0" showAll="0" defaultSubtotal="0"/>
    <pivotField dataField="1" compact="0" numFmtId="4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x="0"/>
        <item h="1" x="1"/>
        <item x="5"/>
        <item h="1" x="9"/>
        <item x="3"/>
        <item x="4"/>
        <item x="6"/>
        <item x="7"/>
        <item x="2"/>
        <item x="8"/>
      </items>
    </pivotField>
    <pivotField compact="0" outline="0" showAll="0" defaultSubtotal="0"/>
    <pivotField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03"/>
        <item x="151"/>
        <item x="99"/>
        <item x="152"/>
        <item x="206"/>
        <item x="153"/>
        <item x="100"/>
        <item x="154"/>
        <item x="236"/>
        <item x="207"/>
        <item x="204"/>
        <item x="155"/>
        <item x="101"/>
        <item x="211"/>
        <item x="208"/>
        <item x="59"/>
        <item x="60"/>
        <item x="61"/>
        <item x="62"/>
        <item x="63"/>
        <item x="64"/>
        <item x="65"/>
        <item x="205"/>
        <item x="66"/>
        <item x="67"/>
        <item x="68"/>
        <item x="212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237"/>
        <item x="82"/>
        <item x="83"/>
        <item x="84"/>
        <item x="85"/>
        <item x="86"/>
        <item x="87"/>
        <item x="88"/>
        <item x="89"/>
        <item x="156"/>
        <item x="90"/>
        <item x="91"/>
        <item x="92"/>
        <item x="93"/>
        <item x="94"/>
        <item x="95"/>
        <item x="96"/>
        <item x="97"/>
        <item x="157"/>
        <item x="102"/>
        <item x="158"/>
        <item x="159"/>
        <item x="160"/>
        <item x="103"/>
        <item x="104"/>
        <item x="105"/>
        <item x="232"/>
        <item x="161"/>
        <item x="162"/>
        <item x="58"/>
        <item x="163"/>
        <item x="106"/>
        <item x="107"/>
        <item x="134"/>
        <item x="108"/>
        <item x="180"/>
        <item x="109"/>
        <item x="135"/>
        <item x="136"/>
        <item x="164"/>
        <item x="181"/>
        <item x="110"/>
        <item x="111"/>
        <item x="233"/>
        <item x="182"/>
        <item x="183"/>
        <item x="137"/>
        <item x="213"/>
        <item x="214"/>
        <item x="215"/>
        <item x="216"/>
        <item x="217"/>
        <item x="218"/>
        <item x="219"/>
        <item x="220"/>
        <item x="221"/>
        <item x="234"/>
        <item x="235"/>
        <item x="222"/>
        <item x="223"/>
        <item x="224"/>
        <item x="184"/>
        <item x="138"/>
        <item x="112"/>
        <item x="165"/>
        <item x="166"/>
        <item x="167"/>
        <item x="168"/>
        <item x="185"/>
        <item x="186"/>
        <item x="139"/>
        <item x="187"/>
        <item x="225"/>
        <item x="188"/>
        <item x="140"/>
        <item x="248"/>
        <item x="249"/>
        <item x="250"/>
        <item x="141"/>
        <item x="189"/>
        <item x="190"/>
        <item x="142"/>
        <item x="143"/>
        <item x="191"/>
        <item x="113"/>
        <item x="114"/>
        <item x="209"/>
        <item x="192"/>
        <item x="144"/>
        <item x="145"/>
        <item x="115"/>
        <item x="193"/>
        <item x="116"/>
        <item x="117"/>
        <item x="118"/>
        <item x="119"/>
        <item x="120"/>
        <item x="121"/>
        <item x="194"/>
        <item x="195"/>
        <item x="122"/>
        <item x="169"/>
        <item x="123"/>
        <item x="170"/>
        <item x="196"/>
        <item x="124"/>
        <item x="125"/>
        <item x="126"/>
        <item x="146"/>
        <item x="127"/>
        <item x="128"/>
        <item x="226"/>
        <item x="147"/>
        <item x="227"/>
        <item x="228"/>
        <item x="229"/>
        <item x="247"/>
        <item x="197"/>
        <item x="171"/>
        <item x="172"/>
        <item x="230"/>
        <item x="231"/>
        <item x="198"/>
        <item x="199"/>
        <item x="200"/>
        <item x="173"/>
        <item x="174"/>
        <item x="129"/>
        <item x="175"/>
        <item x="130"/>
        <item x="176"/>
        <item x="148"/>
        <item x="177"/>
        <item x="201"/>
        <item x="149"/>
        <item x="238"/>
        <item x="239"/>
        <item x="202"/>
        <item x="178"/>
        <item x="150"/>
        <item x="210"/>
        <item x="131"/>
        <item x="132"/>
        <item x="133"/>
        <item x="240"/>
        <item x="241"/>
        <item x="242"/>
        <item x="243"/>
        <item x="24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axis="axisCol"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Col" compact="0" outline="0" showAll="0" defaultSubtotal="0">
      <items count="14">
        <item sd="0"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3"/>
    <field x="1"/>
    <field x="2"/>
  </rowFields>
  <rowItems count="45">
    <i>
      <x/>
      <x v="22"/>
      <x v="35"/>
    </i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7"/>
      <x v="6"/>
      <x v="4"/>
    </i>
    <i>
      <x v="8"/>
      <x v="19"/>
      <x v="25"/>
    </i>
    <i>
      <x v="9"/>
      <x v="23"/>
      <x v="7"/>
    </i>
    <i>
      <x v="10"/>
      <x v="37"/>
      <x v="9"/>
    </i>
    <i>
      <x v="11"/>
      <x v="33"/>
      <x v="30"/>
    </i>
    <i>
      <x v="12"/>
      <x v="5"/>
      <x v="5"/>
    </i>
    <i>
      <x v="13"/>
      <x v="13"/>
      <x v="31"/>
    </i>
    <i>
      <x v="14"/>
      <x v="28"/>
      <x v="3"/>
    </i>
    <i>
      <x v="15"/>
      <x v="34"/>
      <x v="22"/>
    </i>
    <i>
      <x v="16"/>
      <x v="42"/>
      <x v="34"/>
    </i>
    <i>
      <x v="17"/>
      <x v="12"/>
      <x v="29"/>
    </i>
    <i>
      <x v="18"/>
      <x v="18"/>
      <x v="23"/>
    </i>
    <i>
      <x v="19"/>
      <x v="25"/>
      <x v="5"/>
    </i>
    <i>
      <x v="20"/>
      <x v="9"/>
      <x v="24"/>
    </i>
    <i>
      <x v="21"/>
      <x v="29"/>
      <x v="28"/>
    </i>
    <i>
      <x v="22"/>
      <x v="40"/>
      <x v="34"/>
    </i>
    <i>
      <x v="23"/>
      <x v="31"/>
      <x v="10"/>
    </i>
    <i>
      <x v="24"/>
      <x v="15"/>
      <x v="40"/>
    </i>
    <i>
      <x v="25"/>
      <x v="21"/>
      <x/>
    </i>
    <i>
      <x v="26"/>
      <x v="38"/>
      <x v="27"/>
    </i>
    <i>
      <x v="27"/>
      <x v="10"/>
      <x v="1"/>
    </i>
    <i>
      <x v="28"/>
      <x v="4"/>
      <x v="20"/>
    </i>
    <i>
      <x v="29"/>
      <x v="41"/>
      <x v="17"/>
    </i>
    <i>
      <x v="30"/>
      <x v="3"/>
      <x v="39"/>
    </i>
    <i>
      <x v="31"/>
      <x v="11"/>
      <x v="13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6"/>
      <x v="27"/>
      <x v="2"/>
    </i>
    <i>
      <x v="37"/>
      <x v="20"/>
      <x v="4"/>
    </i>
    <i>
      <x v="38"/>
      <x v="39"/>
      <x v="14"/>
    </i>
    <i>
      <x v="39"/>
      <x v="32"/>
      <x v="18"/>
    </i>
    <i>
      <x v="40"/>
      <x v="40"/>
      <x v="32"/>
    </i>
    <i>
      <x v="41"/>
      <x/>
      <x v="16"/>
    </i>
    <i>
      <x v="42"/>
      <x v="14"/>
      <x v="37"/>
    </i>
    <i>
      <x v="43"/>
      <x v="30"/>
      <x v="8"/>
    </i>
    <i t="grand">
      <x/>
    </i>
  </rowItems>
  <colFields count="2">
    <field x="22"/>
    <field x="21"/>
  </colFields>
  <colItems count="32">
    <i>
      <x v="1"/>
    </i>
    <i>
      <x v="2"/>
      <x v="34"/>
    </i>
    <i r="1">
      <x v="35"/>
    </i>
    <i r="1">
      <x v="36"/>
    </i>
    <i r="1">
      <x v="37"/>
    </i>
    <i r="1">
      <x v="38"/>
    </i>
    <i r="1">
      <x v="41"/>
    </i>
    <i r="1">
      <x v="42"/>
    </i>
    <i r="1">
      <x v="43"/>
    </i>
    <i r="1">
      <x v="44"/>
    </i>
    <i r="1">
      <x v="45"/>
    </i>
    <i r="1">
      <x v="48"/>
    </i>
    <i r="1">
      <x v="49"/>
    </i>
    <i r="1">
      <x v="50"/>
    </i>
    <i r="1">
      <x v="51"/>
    </i>
    <i r="1">
      <x v="52"/>
    </i>
    <i r="1">
      <x v="55"/>
    </i>
    <i r="1">
      <x v="56"/>
    </i>
    <i r="1">
      <x v="57"/>
    </i>
    <i r="1">
      <x v="58"/>
    </i>
    <i r="1">
      <x v="59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7" hier="-1"/>
  </pageFields>
  <dataFields count="1">
    <dataField name="Somme de NbHeures" fld="5" baseField="0" baseItem="0" numFmtId="4"/>
  </dataFields>
  <formats count="8">
    <format dxfId="63">
      <pivotArea outline="0" fieldPosition="0">
        <references count="3">
          <reference field="1" count="1" selected="0">
            <x v="35"/>
          </reference>
          <reference field="2" count="1" selected="0">
            <x v="33"/>
          </reference>
          <reference field="3" count="1" selected="0">
            <x v="33"/>
          </reference>
        </references>
      </pivotArea>
    </format>
    <format dxfId="62">
      <pivotArea dataOnly="0" labelOnly="1" outline="0" fieldPosition="0">
        <references count="1">
          <reference field="3" count="1">
            <x v="33"/>
          </reference>
        </references>
      </pivotArea>
    </format>
    <format dxfId="61">
      <pivotArea dataOnly="0" labelOnly="1" outline="0" fieldPosition="0">
        <references count="2">
          <reference field="1" count="1">
            <x v="35"/>
          </reference>
          <reference field="3" count="1" selected="0">
            <x v="33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35"/>
          </reference>
          <reference field="2" count="1">
            <x v="33"/>
          </reference>
          <reference field="3" count="1" selected="0">
            <x v="33"/>
          </reference>
        </references>
      </pivotArea>
    </format>
    <format dxfId="59">
      <pivotArea outline="0" fieldPosition="0">
        <references count="3">
          <reference field="1" count="1" selected="0">
            <x v="8"/>
          </reference>
          <reference field="2" count="1" selected="0">
            <x v="15"/>
          </reference>
          <reference field="3" count="1" selected="0">
            <x v="3"/>
          </reference>
        </references>
      </pivotArea>
    </format>
    <format dxfId="58">
      <pivotArea dataOnly="0" labelOnly="1" outline="0" fieldPosition="0">
        <references count="1">
          <reference field="3" count="1">
            <x v="3"/>
          </reference>
        </references>
      </pivotArea>
    </format>
    <format dxfId="57">
      <pivotArea dataOnly="0" labelOnly="1" outline="0" fieldPosition="0">
        <references count="2">
          <reference field="1" count="1">
            <x v="8"/>
          </reference>
          <reference field="3" count="1" selected="0">
            <x v="3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8"/>
          </reference>
          <reference field="2" count="1">
            <x v="15"/>
          </reference>
          <reference field="3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1-05T15:14:43.87" personId="{8A14008D-280F-4885-A0E1-5DCECC99CC53}" id="{A0A06C9E-AE6B-4859-8AC2-9339FD2BAB14}">
    <text>Responsable technique</text>
  </threadedComment>
  <threadedComment ref="D7" dT="2025-01-05T15:14:55.15" personId="{8A14008D-280F-4885-A0E1-5DCECC99CC53}" id="{5433DF04-9B24-4BF3-8819-37A5B6A26972}">
    <text>Responsable Financier</text>
  </threadedComment>
  <threadedComment ref="E7" dT="2025-01-05T15:15:09.09" personId="{8A14008D-280F-4885-A0E1-5DCECC99CC53}" id="{982D5CEF-7F6C-40D8-A14B-2C13BDD9F464}">
    <text>Chargé de valo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581FB7E1-1222-4BF7-A827-8376BC7F5834}">
    <text>À mettre en négatif</text>
  </threadedComment>
  <threadedComment ref="B23" dT="2025-01-28T09:49:15.30" personId="{8A14008D-280F-4885-A0E1-5DCECC99CC53}" id="{523E7389-523E-4912-9704-7F3605D0E065}">
    <text xml:space="preserve">À mettre en négatif
</text>
  </threadedComment>
  <threadedComment ref="B39" dT="2025-01-28T09:48:36.92" personId="{8A14008D-280F-4885-A0E1-5DCECC99CC53}" id="{CA02F8D9-7C8D-435C-AE5D-92CBD4C71355}">
    <text>À mettre en négatif</text>
  </threadedComment>
  <threadedComment ref="B40" dT="2025-01-28T09:51:03.07" personId="{8A14008D-280F-4885-A0E1-5DCECC99CC53}" id="{997435A3-C05A-4592-A1BD-A4F31487A7F1}">
    <text>À mettre en négatif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78FE1F9A-0F11-4BDE-B2FC-FA1B76193E29}">
    <text>À mettre en négatif</text>
  </threadedComment>
  <threadedComment ref="B23" dT="2025-01-28T09:49:15.30" personId="{8A14008D-280F-4885-A0E1-5DCECC99CC53}" id="{5698FB2C-C254-4FE7-B970-EFE366DEC3BC}">
    <text xml:space="preserve">À mettre en négatif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4" dT="2025-01-05T11:41:22.64" personId="{8A14008D-280F-4885-A0E1-5DCECC99CC53}" id="{8AEE1F03-4037-48A3-8825-7BEE5F72A40F}">
    <text>BDS = bulletin de salaire</text>
  </threadedComment>
  <threadedComment ref="F4" dT="2025-01-05T11:41:59.43" personId="{8A14008D-280F-4885-A0E1-5DCECC99CC53}" id="{4A133AFA-17B6-4693-A682-3293DD4F38F1}">
    <text>Mat = matricule</text>
  </threadedComment>
  <threadedComment ref="R4" dT="2025-01-05T11:45:23.78" personId="{8A14008D-280F-4885-A0E1-5DCECC99CC53}" id="{16E4C409-6659-4EB3-900F-B1E1B8548384}">
    <text>Total cotisations patronales</text>
  </threadedComment>
  <threadedComment ref="S4" dT="2025-01-05T11:47:41.23" personId="{8A14008D-280F-4885-A0E1-5DCECC99CC53}" id="{412DD86C-8386-4302-A79C-FD57C06329B5}">
    <text>Cotisations sociales patronales obligatoires</text>
  </threadedComment>
  <threadedComment ref="X52" dT="2025-01-05T14:53:25.66" personId="{8A14008D-280F-4885-A0E1-5DCECC99CC53}" id="{53F4684C-D403-45E9-998D-FB8FF0C7E4DF}">
    <text>JD = Jeune docteur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2" dT="2025-01-05T11:41:59.43" personId="{8A14008D-280F-4885-A0E1-5DCECC99CC53}" id="{B19365E4-335D-4C5A-BD4E-61BB662DF0F2}">
    <text>Mat = matricule</text>
  </threadedComment>
  <threadedComment ref="I2" dT="2025-01-05T11:45:23.78" personId="{8A14008D-280F-4885-A0E1-5DCECC99CC53}" id="{4F2DBC2E-BA12-44E9-8A29-2DF13C97BD6B}">
    <text>Total cotisations patronales</text>
  </threadedComment>
  <threadedComment ref="J2" dT="2025-01-05T11:47:41.23" personId="{8A14008D-280F-4885-A0E1-5DCECC99CC53}" id="{E9A0FA66-E376-432F-91A1-1DB5647133C1}">
    <text>Cotisations sociales patronales obligatoires</text>
  </threadedComment>
  <threadedComment ref="M50" dT="2025-01-05T14:53:25.66" personId="{8A14008D-280F-4885-A0E1-5DCECC99CC53}" id="{CE668B72-4A46-42FA-9136-A24679920894}">
    <text>JD = Jeune docteur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5" dT="2026-01-07T09:45:44.47" personId="{4C5E0A47-8BAB-4B48-93BF-699FDB757C57}" id="{7412BF08-4287-44AC-90D6-105CB45E6262}">
    <text>Supprimer si découpage HRECH précis (cas2)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D4EDA18-9922-4A22-845F-2F822E6D345A}">
    <text>N° compta qui apparait dans le grand livre qui est souvent différent du n°facture</text>
  </threadedComment>
  <threadedComment ref="G4" dT="2025-01-05T20:33:16.53" personId="{8A14008D-280F-4885-A0E1-5DCECC99CC53}" id="{D428C2FA-41E4-4F97-A760-D21A3F3CC432}">
    <text>Enregistré en compta et non celui de la facture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E528AF7-2EFB-4BA1-89BD-9CDA25654234}">
    <text>N° compta qui apparait dans le grand livre qui est souvent différent du n°facture</text>
  </threadedComment>
  <threadedComment ref="G4" dT="2025-01-05T20:33:16.53" personId="{8A14008D-280F-4885-A0E1-5DCECC99CC53}" id="{E19EB2BA-6E6D-47C8-B736-15C48710D42C}">
    <text>Enregistré en compta et non celui de la facture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E4" dT="2025-01-05T20:29:19.42" personId="{8A14008D-280F-4885-A0E1-5DCECC99CC53}" id="{F36165FE-3EFA-440A-A9C0-F96AB06A5FA5}">
    <text>N° compta qui apparait dans le grand livre qui est souvent différent du n°facture</text>
  </threadedComment>
  <threadedComment ref="F4" dT="2025-01-05T20:33:16.53" personId="{8A14008D-280F-4885-A0E1-5DCECC99CC53}" id="{38283587-6948-4C9C-964A-E5E40E6A5197}">
    <text>Enregistré en compta et non celui de la facture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229" dT="2024-10-30T14:42:43.79" personId="{96B9FA46-3D79-4ACB-8AFA-579B23196C89}" id="{1D929FD6-219F-460A-B725-9FC189A8A141}">
    <text>Calculé sur les heures Lées comme dans la valo</text>
  </threadedComment>
  <threadedComment ref="F277" dT="2024-10-30T14:02:20.19" personId="{96B9FA46-3D79-4ACB-8AFA-579B23196C89}" id="{E9CAE8B9-B2B8-492C-B350-A8F8179A9CCF}">
    <text>Au minimum : à préciser</text>
  </threadedComment>
  <threadedComment ref="F278" dT="2024-10-30T14:03:02.94" personId="{96B9FA46-3D79-4ACB-8AFA-579B23196C89}" id="{B30FF3A8-DC69-4A9D-AEA1-C80552269DC2}">
    <text>Ne fait pas partie de l’effectif</text>
  </threadedComment>
  <threadedComment ref="N278" dT="2024-10-30T13:33:57.39" personId="{96B9FA46-3D79-4ACB-8AFA-579B23196C89}" id="{C3798CA0-AE08-4FB5-AC95-03D45BFE798E}">
    <text>100% du temps qu’il passe 60% sur Excelleria</text>
  </threadedComment>
  <threadedComment ref="F279" dT="2024-10-30T14:03:58.58" personId="{96B9FA46-3D79-4ACB-8AFA-579B23196C89}" id="{49279C25-C707-46C5-86F4-26AB7EAB9B17}">
    <text>Au minimum. A préciser</text>
  </threadedComment>
  <threadedComment ref="H279" dT="2024-10-30T14:04:58.08" personId="{96B9FA46-3D79-4ACB-8AFA-579B23196C89}" id="{92853BF3-894C-4C11-A2ED-D80173C4D791}">
    <text>A préciser</text>
  </threadedComment>
  <threadedComment ref="F280" dT="2024-10-30T14:06:35.01" personId="{96B9FA46-3D79-4ACB-8AFA-579B23196C89}" id="{5A429818-E65B-47A1-9BF7-B56F5B89C39F}">
    <text>A préciser</text>
  </threadedComment>
  <threadedComment ref="F281" dT="2024-10-30T14:06:40.33" personId="{96B9FA46-3D79-4ACB-8AFA-579B23196C89}" id="{4AC9597A-2746-4819-B772-9F71A42FAA05}">
    <text>A préciser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2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9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2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10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9.xml"/><Relationship Id="rId4" Type="http://schemas.openxmlformats.org/officeDocument/2006/relationships/ctrlProp" Target="../ctrlProps/ctrlProp1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DACE-6AE0-4271-B0B3-E43F3746B25F}">
  <sheetPr codeName="Feuil10"/>
  <dimension ref="A1:B10"/>
  <sheetViews>
    <sheetView workbookViewId="0"/>
  </sheetViews>
  <sheetFormatPr baseColWidth="10" defaultColWidth="11.42578125" defaultRowHeight="15" x14ac:dyDescent="0.25"/>
  <cols>
    <col min="1" max="1" width="10.85546875" bestFit="1" customWidth="1"/>
    <col min="2" max="2" width="6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72">
        <v>45690</v>
      </c>
      <c r="B2" t="s">
        <v>2</v>
      </c>
    </row>
    <row r="3" spans="1:2" x14ac:dyDescent="0.25">
      <c r="A3" s="72">
        <v>45690</v>
      </c>
      <c r="B3" t="s">
        <v>3</v>
      </c>
    </row>
    <row r="4" spans="1:2" x14ac:dyDescent="0.25">
      <c r="A4" s="72">
        <v>45690</v>
      </c>
      <c r="B4" t="s">
        <v>4</v>
      </c>
    </row>
    <row r="5" spans="1:2" x14ac:dyDescent="0.25">
      <c r="A5" s="72">
        <v>45690</v>
      </c>
      <c r="B5" t="s">
        <v>5</v>
      </c>
    </row>
    <row r="6" spans="1:2" x14ac:dyDescent="0.25">
      <c r="A6" s="72">
        <v>45690</v>
      </c>
      <c r="B6" t="s">
        <v>6</v>
      </c>
    </row>
    <row r="7" spans="1:2" x14ac:dyDescent="0.25">
      <c r="A7" s="72">
        <v>45690</v>
      </c>
      <c r="B7" t="s">
        <v>7</v>
      </c>
    </row>
    <row r="8" spans="1:2" x14ac:dyDescent="0.25">
      <c r="A8" s="72">
        <v>45690</v>
      </c>
      <c r="B8" t="s">
        <v>8</v>
      </c>
    </row>
    <row r="9" spans="1:2" x14ac:dyDescent="0.25">
      <c r="A9" s="72">
        <v>45690</v>
      </c>
      <c r="B9" t="s">
        <v>9</v>
      </c>
    </row>
    <row r="10" spans="1:2" x14ac:dyDescent="0.25">
      <c r="A10" s="72">
        <v>45691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786B-1FB6-40CD-9116-0F7CEECCE56F}">
  <sheetPr codeName="Feuil1"/>
  <dimension ref="A1:V35"/>
  <sheetViews>
    <sheetView workbookViewId="0"/>
  </sheetViews>
  <sheetFormatPr baseColWidth="10" defaultColWidth="11.42578125" defaultRowHeight="15" x14ac:dyDescent="0.25"/>
  <cols>
    <col min="1" max="1" width="12" bestFit="1" customWidth="1"/>
    <col min="9" max="9" width="13" bestFit="1" customWidth="1"/>
    <col min="13" max="13" width="27.7109375" bestFit="1" customWidth="1"/>
    <col min="16" max="16" width="31.5703125" bestFit="1" customWidth="1"/>
    <col min="18" max="18" width="15" bestFit="1" customWidth="1"/>
    <col min="19" max="19" width="25.7109375" bestFit="1" customWidth="1"/>
  </cols>
  <sheetData>
    <row r="1" spans="1:22" x14ac:dyDescent="0.25">
      <c r="A1" t="s">
        <v>11</v>
      </c>
      <c r="B1">
        <v>2</v>
      </c>
      <c r="C1">
        <v>3</v>
      </c>
      <c r="D1">
        <v>4</v>
      </c>
      <c r="E1" t="s">
        <v>12</v>
      </c>
    </row>
    <row r="2" spans="1:22" x14ac:dyDescent="0.25">
      <c r="A2" t="s">
        <v>13</v>
      </c>
      <c r="B2" t="s">
        <v>13</v>
      </c>
      <c r="C2" t="s">
        <v>14</v>
      </c>
      <c r="D2" t="s">
        <v>14</v>
      </c>
      <c r="E2" t="s">
        <v>15</v>
      </c>
      <c r="F2" t="s">
        <v>16</v>
      </c>
      <c r="G2" t="s">
        <v>17</v>
      </c>
      <c r="H2" t="s">
        <v>15</v>
      </c>
      <c r="I2" t="s">
        <v>18</v>
      </c>
      <c r="J2" t="s">
        <v>19</v>
      </c>
      <c r="K2" t="s">
        <v>15</v>
      </c>
      <c r="L2" t="s">
        <v>20</v>
      </c>
      <c r="M2" t="s">
        <v>21</v>
      </c>
      <c r="P2" t="s">
        <v>22</v>
      </c>
      <c r="Q2" s="96" t="s">
        <v>23</v>
      </c>
      <c r="S2" t="s">
        <v>24</v>
      </c>
      <c r="U2" t="s">
        <v>13</v>
      </c>
      <c r="V2" t="s">
        <v>25</v>
      </c>
    </row>
    <row r="3" spans="1:22" x14ac:dyDescent="0.25">
      <c r="A3" t="s">
        <v>26</v>
      </c>
      <c r="B3" t="s">
        <v>13</v>
      </c>
      <c r="C3" t="s">
        <v>27</v>
      </c>
      <c r="D3" t="s">
        <v>14</v>
      </c>
      <c r="E3" t="s">
        <v>28</v>
      </c>
      <c r="F3" t="s">
        <v>29</v>
      </c>
      <c r="G3" t="s">
        <v>30</v>
      </c>
      <c r="H3" t="s">
        <v>28</v>
      </c>
      <c r="I3" t="s">
        <v>31</v>
      </c>
      <c r="J3" t="s">
        <v>32</v>
      </c>
      <c r="K3" t="s">
        <v>28</v>
      </c>
      <c r="L3" t="s">
        <v>33</v>
      </c>
      <c r="M3" t="s">
        <v>34</v>
      </c>
      <c r="P3" t="s">
        <v>35</v>
      </c>
      <c r="Q3" s="96" t="s">
        <v>36</v>
      </c>
      <c r="S3" t="s">
        <v>37</v>
      </c>
      <c r="U3" t="s">
        <v>38</v>
      </c>
      <c r="V3" t="s">
        <v>39</v>
      </c>
    </row>
    <row r="4" spans="1:22" x14ac:dyDescent="0.25">
      <c r="A4" t="s">
        <v>40</v>
      </c>
      <c r="B4" t="s">
        <v>13</v>
      </c>
      <c r="C4" t="s">
        <v>27</v>
      </c>
      <c r="D4" t="s">
        <v>41</v>
      </c>
      <c r="G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P4" t="s">
        <v>48</v>
      </c>
      <c r="Q4" s="96" t="s">
        <v>49</v>
      </c>
      <c r="S4" t="s">
        <v>50</v>
      </c>
      <c r="U4" t="s">
        <v>27</v>
      </c>
    </row>
    <row r="5" spans="1:22" x14ac:dyDescent="0.25">
      <c r="A5" t="s">
        <v>27</v>
      </c>
      <c r="B5" t="s">
        <v>27</v>
      </c>
      <c r="C5" t="s">
        <v>14</v>
      </c>
      <c r="D5" t="s">
        <v>14</v>
      </c>
      <c r="J5" t="s">
        <v>51</v>
      </c>
      <c r="L5" t="s">
        <v>52</v>
      </c>
      <c r="M5" t="s">
        <v>53</v>
      </c>
      <c r="P5" t="s">
        <v>54</v>
      </c>
      <c r="U5" t="s">
        <v>41</v>
      </c>
    </row>
    <row r="6" spans="1:22" x14ac:dyDescent="0.25">
      <c r="A6" t="s">
        <v>55</v>
      </c>
      <c r="B6" t="s">
        <v>13</v>
      </c>
      <c r="C6" t="s">
        <v>38</v>
      </c>
      <c r="D6" t="s">
        <v>14</v>
      </c>
      <c r="J6" t="s">
        <v>56</v>
      </c>
      <c r="M6" t="s">
        <v>57</v>
      </c>
      <c r="P6" t="s">
        <v>58</v>
      </c>
    </row>
    <row r="7" spans="1:22" x14ac:dyDescent="0.25">
      <c r="A7" t="s">
        <v>59</v>
      </c>
      <c r="B7" t="s">
        <v>13</v>
      </c>
      <c r="C7" t="s">
        <v>27</v>
      </c>
      <c r="D7" t="s">
        <v>38</v>
      </c>
      <c r="M7" t="s">
        <v>60</v>
      </c>
      <c r="P7" t="s">
        <v>61</v>
      </c>
    </row>
    <row r="8" spans="1:22" x14ac:dyDescent="0.25">
      <c r="A8" t="s">
        <v>62</v>
      </c>
      <c r="B8" t="s">
        <v>13</v>
      </c>
      <c r="C8" t="s">
        <v>41</v>
      </c>
      <c r="D8" t="s">
        <v>14</v>
      </c>
      <c r="P8" t="s">
        <v>63</v>
      </c>
    </row>
    <row r="9" spans="1:22" x14ac:dyDescent="0.25">
      <c r="A9" t="s">
        <v>38</v>
      </c>
      <c r="B9" t="s">
        <v>38</v>
      </c>
      <c r="C9" t="s">
        <v>14</v>
      </c>
      <c r="D9" t="s">
        <v>14</v>
      </c>
      <c r="P9" t="s">
        <v>64</v>
      </c>
    </row>
    <row r="10" spans="1:22" x14ac:dyDescent="0.25">
      <c r="B10" t="s">
        <v>14</v>
      </c>
      <c r="C10" t="s">
        <v>14</v>
      </c>
      <c r="D10" t="s">
        <v>14</v>
      </c>
      <c r="P10" t="s">
        <v>65</v>
      </c>
    </row>
    <row r="11" spans="1:22" x14ac:dyDescent="0.25">
      <c r="P11" t="s">
        <v>60</v>
      </c>
    </row>
    <row r="13" spans="1:22" x14ac:dyDescent="0.25">
      <c r="A13" s="72">
        <v>45658</v>
      </c>
      <c r="I13" t="s">
        <v>66</v>
      </c>
      <c r="K13" t="s">
        <v>15</v>
      </c>
    </row>
    <row r="14" spans="1:22" x14ac:dyDescent="0.25">
      <c r="A14" s="72">
        <v>46022</v>
      </c>
      <c r="I14" t="s">
        <v>67</v>
      </c>
      <c r="K14" t="s">
        <v>28</v>
      </c>
    </row>
    <row r="15" spans="1:22" x14ac:dyDescent="0.25">
      <c r="I15" t="s">
        <v>68</v>
      </c>
      <c r="K15" t="s">
        <v>69</v>
      </c>
    </row>
    <row r="16" spans="1:22" x14ac:dyDescent="0.25">
      <c r="B16" t="s">
        <v>791</v>
      </c>
    </row>
    <row r="17" spans="1:3" x14ac:dyDescent="0.25">
      <c r="A17" t="s">
        <v>792</v>
      </c>
      <c r="B17" t="str">
        <f>'REP cout'!B4</f>
        <v>CHIC</v>
      </c>
    </row>
    <row r="18" spans="1:3" x14ac:dyDescent="0.25">
      <c r="A18" t="s">
        <v>793</v>
      </c>
    </row>
    <row r="19" spans="1:3" x14ac:dyDescent="0.25">
      <c r="A19" t="s">
        <v>794</v>
      </c>
    </row>
    <row r="20" spans="1:3" x14ac:dyDescent="0.25">
      <c r="A20" t="s">
        <v>795</v>
      </c>
    </row>
    <row r="21" spans="1:3" x14ac:dyDescent="0.25">
      <c r="A21" t="s">
        <v>796</v>
      </c>
    </row>
    <row r="22" spans="1:3" x14ac:dyDescent="0.25">
      <c r="A22" t="s">
        <v>797</v>
      </c>
    </row>
    <row r="23" spans="1:3" x14ac:dyDescent="0.25">
      <c r="A23" t="s">
        <v>798</v>
      </c>
    </row>
    <row r="24" spans="1:3" x14ac:dyDescent="0.25">
      <c r="A24" t="s">
        <v>799</v>
      </c>
    </row>
    <row r="25" spans="1:3" x14ac:dyDescent="0.25">
      <c r="A25" t="s">
        <v>800</v>
      </c>
    </row>
    <row r="26" spans="1:3" x14ac:dyDescent="0.25">
      <c r="A26" t="s">
        <v>801</v>
      </c>
    </row>
    <row r="28" spans="1:3" x14ac:dyDescent="0.25">
      <c r="A28" t="s">
        <v>13</v>
      </c>
      <c r="C28">
        <v>2023</v>
      </c>
    </row>
    <row r="29" spans="1:3" x14ac:dyDescent="0.25">
      <c r="A29" t="s">
        <v>27</v>
      </c>
      <c r="C29">
        <v>2024</v>
      </c>
    </row>
    <row r="30" spans="1:3" x14ac:dyDescent="0.25">
      <c r="A30" t="s">
        <v>38</v>
      </c>
      <c r="C30">
        <v>2025</v>
      </c>
    </row>
    <row r="31" spans="1:3" x14ac:dyDescent="0.25">
      <c r="A31" t="s">
        <v>41</v>
      </c>
      <c r="C31">
        <v>2026</v>
      </c>
    </row>
    <row r="32" spans="1:3" x14ac:dyDescent="0.25">
      <c r="A32" t="s">
        <v>815</v>
      </c>
      <c r="C32">
        <v>2027</v>
      </c>
    </row>
    <row r="33" spans="1:3" x14ac:dyDescent="0.25">
      <c r="A33" t="s">
        <v>816</v>
      </c>
      <c r="C33">
        <v>2028</v>
      </c>
    </row>
    <row r="34" spans="1:3" x14ac:dyDescent="0.25">
      <c r="C34">
        <v>2029</v>
      </c>
    </row>
    <row r="35" spans="1:3" x14ac:dyDescent="0.25">
      <c r="C35">
        <v>2030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7769-2E43-4B74-B384-46ACB7BF7733}">
  <sheetPr codeName="Feuil8">
    <tabColor theme="1" tint="0.499984740745262"/>
  </sheetPr>
  <dimension ref="B1:G170"/>
  <sheetViews>
    <sheetView workbookViewId="0">
      <selection activeCell="F26" sqref="F26"/>
    </sheetView>
  </sheetViews>
  <sheetFormatPr baseColWidth="10" defaultColWidth="11.42578125" defaultRowHeight="15" x14ac:dyDescent="0.25"/>
  <cols>
    <col min="2" max="2" width="99" style="100" customWidth="1"/>
    <col min="3" max="3" width="38.140625" style="100" customWidth="1"/>
    <col min="4" max="4" width="26.7109375" style="100" bestFit="1" customWidth="1"/>
    <col min="5" max="5" width="11.5703125" style="41"/>
    <col min="6" max="6" width="14.85546875" style="41" customWidth="1"/>
  </cols>
  <sheetData>
    <row r="1" spans="2:4" x14ac:dyDescent="0.25">
      <c r="D1" s="101"/>
    </row>
    <row r="2" spans="2:4" ht="15.6" customHeight="1" x14ac:dyDescent="0.25">
      <c r="B2" s="539" t="s">
        <v>828</v>
      </c>
      <c r="C2" s="539" t="s">
        <v>70</v>
      </c>
      <c r="D2" s="539" t="s">
        <v>71</v>
      </c>
    </row>
    <row r="3" spans="2:4" x14ac:dyDescent="0.25">
      <c r="B3" s="540"/>
      <c r="C3" s="540"/>
      <c r="D3" s="540"/>
    </row>
    <row r="4" spans="2:4" ht="15.75" thickBot="1" x14ac:dyDescent="0.3">
      <c r="B4" s="541"/>
      <c r="C4" s="541"/>
      <c r="D4" s="541"/>
    </row>
    <row r="5" spans="2:4" ht="16.5" thickBot="1" x14ac:dyDescent="0.35">
      <c r="B5" s="159" t="s">
        <v>72</v>
      </c>
      <c r="C5" s="101" t="str">
        <f>IF('parametres chiffrage'!B2="non","01/01/2025",'parametres chiffrage'!C2)</f>
        <v>01/01/2025</v>
      </c>
      <c r="D5" s="101" t="str">
        <f>IF('parametres chiffrage'!B2="non","31/12/2025",'parametres chiffrage'!D2)</f>
        <v>31/12/2025</v>
      </c>
    </row>
    <row r="6" spans="2:4" ht="16.5" thickBot="1" x14ac:dyDescent="0.35">
      <c r="B6" s="159" t="s">
        <v>73</v>
      </c>
      <c r="C6" s="102" t="s">
        <v>866</v>
      </c>
    </row>
    <row r="7" spans="2:4" ht="16.5" thickBot="1" x14ac:dyDescent="0.35">
      <c r="B7" s="159" t="s">
        <v>74</v>
      </c>
      <c r="C7" s="103">
        <v>811524545</v>
      </c>
    </row>
    <row r="8" spans="2:4" ht="16.5" thickBot="1" x14ac:dyDescent="0.35">
      <c r="B8" s="159" t="s">
        <v>75</v>
      </c>
      <c r="C8" s="104" t="s">
        <v>867</v>
      </c>
    </row>
    <row r="9" spans="2:4" ht="16.5" thickBot="1" x14ac:dyDescent="0.35">
      <c r="B9" s="159" t="s">
        <v>76</v>
      </c>
      <c r="C9" s="105" t="s">
        <v>868</v>
      </c>
    </row>
    <row r="10" spans="2:4" ht="16.5" thickBot="1" x14ac:dyDescent="0.35">
      <c r="B10" s="159" t="s">
        <v>77</v>
      </c>
      <c r="C10" s="106" t="s">
        <v>869</v>
      </c>
    </row>
    <row r="11" spans="2:4" ht="16.5" thickBot="1" x14ac:dyDescent="0.35">
      <c r="B11" s="159" t="s">
        <v>78</v>
      </c>
      <c r="C11" s="106"/>
    </row>
    <row r="12" spans="2:4" ht="16.5" thickBot="1" x14ac:dyDescent="0.35">
      <c r="B12" s="159" t="s">
        <v>79</v>
      </c>
      <c r="C12" s="107"/>
    </row>
    <row r="13" spans="2:4" ht="16.5" thickBot="1" x14ac:dyDescent="0.35">
      <c r="B13" s="159" t="s">
        <v>80</v>
      </c>
      <c r="C13" s="107"/>
    </row>
    <row r="14" spans="2:4" ht="16.5" thickBot="1" x14ac:dyDescent="0.35">
      <c r="B14" s="159" t="s">
        <v>81</v>
      </c>
      <c r="C14" s="107"/>
    </row>
    <row r="15" spans="2:4" ht="16.5" thickBot="1" x14ac:dyDescent="0.35">
      <c r="B15" s="159" t="s">
        <v>82</v>
      </c>
      <c r="C15" s="228"/>
    </row>
    <row r="16" spans="2:4" ht="16.5" thickBot="1" x14ac:dyDescent="0.35">
      <c r="B16" s="159" t="s">
        <v>83</v>
      </c>
      <c r="C16" s="229"/>
    </row>
    <row r="17" spans="2:6" ht="16.5" thickBot="1" x14ac:dyDescent="0.35">
      <c r="B17" s="159" t="s">
        <v>84</v>
      </c>
      <c r="C17" s="229"/>
    </row>
    <row r="18" spans="2:6" ht="16.5" thickBot="1" x14ac:dyDescent="0.35">
      <c r="B18" s="159" t="s">
        <v>85</v>
      </c>
      <c r="C18" s="229" t="s">
        <v>703</v>
      </c>
    </row>
    <row r="19" spans="2:6" ht="16.5" thickBot="1" x14ac:dyDescent="0.35">
      <c r="B19" s="159" t="s">
        <v>86</v>
      </c>
      <c r="C19" s="229"/>
    </row>
    <row r="20" spans="2:6" ht="16.5" thickBot="1" x14ac:dyDescent="0.35">
      <c r="B20" s="159" t="s">
        <v>87</v>
      </c>
      <c r="C20" s="229"/>
    </row>
    <row r="21" spans="2:6" ht="16.5" thickBot="1" x14ac:dyDescent="0.35">
      <c r="B21" s="159" t="s">
        <v>88</v>
      </c>
      <c r="C21" s="229">
        <v>45</v>
      </c>
    </row>
    <row r="22" spans="2:6" ht="16.5" thickBot="1" x14ac:dyDescent="0.35">
      <c r="B22" s="159" t="s">
        <v>89</v>
      </c>
      <c r="C22" s="229">
        <v>0</v>
      </c>
    </row>
    <row r="23" spans="2:6" s="111" customFormat="1" x14ac:dyDescent="0.25">
      <c r="B23" s="108"/>
      <c r="C23" s="109"/>
      <c r="D23" s="110"/>
      <c r="E23" s="173"/>
      <c r="F23" s="173"/>
    </row>
    <row r="24" spans="2:6" x14ac:dyDescent="0.25">
      <c r="B24" s="112" t="s">
        <v>90</v>
      </c>
      <c r="C24" s="112"/>
      <c r="D24" s="112"/>
    </row>
    <row r="25" spans="2:6" x14ac:dyDescent="0.25">
      <c r="B25" s="112" t="s">
        <v>91</v>
      </c>
      <c r="C25" s="532" t="s">
        <v>829</v>
      </c>
      <c r="D25" s="532"/>
    </row>
    <row r="26" spans="2:6" ht="27.95" customHeight="1" x14ac:dyDescent="0.25">
      <c r="B26" s="535" t="s">
        <v>92</v>
      </c>
      <c r="C26" s="535"/>
      <c r="D26" s="535"/>
    </row>
    <row r="27" spans="2:6" ht="27.95" customHeight="1" x14ac:dyDescent="0.25">
      <c r="B27" s="114" t="s">
        <v>93</v>
      </c>
      <c r="C27" s="115" t="s">
        <v>94</v>
      </c>
      <c r="D27" s="116">
        <f>SYNTHESE!C5</f>
        <v>203475.58764846023</v>
      </c>
    </row>
    <row r="28" spans="2:6" ht="27.95" customHeight="1" x14ac:dyDescent="0.25">
      <c r="B28" s="117" t="s">
        <v>95</v>
      </c>
      <c r="C28" s="115" t="s">
        <v>96</v>
      </c>
      <c r="D28" s="118"/>
      <c r="F28" s="41" t="s">
        <v>97</v>
      </c>
    </row>
    <row r="29" spans="2:6" ht="27.95" customHeight="1" x14ac:dyDescent="0.25">
      <c r="B29" s="119" t="s">
        <v>98</v>
      </c>
      <c r="C29" s="115" t="s">
        <v>855</v>
      </c>
      <c r="D29" s="116">
        <f>SYNTHESE!C6</f>
        <v>2048200.6980022709</v>
      </c>
    </row>
    <row r="30" spans="2:6" ht="27.95" customHeight="1" x14ac:dyDescent="0.25">
      <c r="B30" s="119" t="s">
        <v>852</v>
      </c>
      <c r="C30" s="115" t="s">
        <v>856</v>
      </c>
      <c r="D30" s="118"/>
      <c r="F30" s="41" t="s">
        <v>97</v>
      </c>
    </row>
    <row r="31" spans="2:6" ht="27.95" customHeight="1" x14ac:dyDescent="0.25">
      <c r="B31" s="117" t="s">
        <v>99</v>
      </c>
      <c r="C31" s="115" t="s">
        <v>100</v>
      </c>
      <c r="D31" s="118"/>
      <c r="F31" s="41" t="s">
        <v>97</v>
      </c>
    </row>
    <row r="32" spans="2:6" ht="27.95" customHeight="1" x14ac:dyDescent="0.25">
      <c r="B32" s="119" t="s">
        <v>101</v>
      </c>
      <c r="C32" s="115" t="s">
        <v>102</v>
      </c>
      <c r="D32" s="116">
        <f>SYNTHESE!C7</f>
        <v>0</v>
      </c>
    </row>
    <row r="33" spans="2:7" ht="90" x14ac:dyDescent="0.25">
      <c r="B33" s="461" t="s">
        <v>853</v>
      </c>
      <c r="C33" s="115" t="s">
        <v>103</v>
      </c>
      <c r="D33" s="116">
        <f>SYNTHESE!C8</f>
        <v>981584.29037042777</v>
      </c>
      <c r="E33" s="41" t="b">
        <f>D33='REP cout'!I8</f>
        <v>1</v>
      </c>
    </row>
    <row r="34" spans="2:7" ht="27.95" customHeight="1" x14ac:dyDescent="0.25">
      <c r="B34" s="119" t="s">
        <v>854</v>
      </c>
      <c r="C34" s="115" t="s">
        <v>104</v>
      </c>
      <c r="D34" s="121">
        <f>SYNTHESE!C5+SYNTHESE!C6+SYNTHESE!C7+SYNTHESE!C8</f>
        <v>3233260.5760211591</v>
      </c>
      <c r="E34" s="41" t="b">
        <f>D34=SUM('REP cout'!I5:I8)</f>
        <v>1</v>
      </c>
    </row>
    <row r="35" spans="2:7" ht="27.95" customHeight="1" x14ac:dyDescent="0.25">
      <c r="B35" s="119" t="s">
        <v>857</v>
      </c>
      <c r="C35" s="115" t="s">
        <v>105</v>
      </c>
      <c r="D35" s="116">
        <f>SYNTHESE!C9</f>
        <v>1118.3</v>
      </c>
    </row>
    <row r="36" spans="2:7" ht="33" customHeight="1" x14ac:dyDescent="0.25">
      <c r="B36" s="119" t="s">
        <v>858</v>
      </c>
      <c r="C36" s="115" t="s">
        <v>106</v>
      </c>
      <c r="D36" s="118">
        <f>SYNTHESE!C10</f>
        <v>0</v>
      </c>
    </row>
    <row r="37" spans="2:7" ht="27.95" customHeight="1" x14ac:dyDescent="0.25">
      <c r="B37" s="119" t="s">
        <v>859</v>
      </c>
      <c r="C37" s="115" t="s">
        <v>107</v>
      </c>
      <c r="D37" s="118">
        <f>SYNTHESE!C11</f>
        <v>0</v>
      </c>
    </row>
    <row r="38" spans="2:7" ht="27.95" customHeight="1" x14ac:dyDescent="0.25">
      <c r="B38" s="117" t="s">
        <v>108</v>
      </c>
      <c r="C38" s="115" t="s">
        <v>109</v>
      </c>
      <c r="D38" s="118">
        <f>SYNTHESE!C12</f>
        <v>0</v>
      </c>
    </row>
    <row r="39" spans="2:7" ht="60" x14ac:dyDescent="0.25">
      <c r="B39" s="119" t="s">
        <v>860</v>
      </c>
      <c r="C39" s="115" t="s">
        <v>110</v>
      </c>
      <c r="D39" s="116">
        <f>SYNTHESE!C13</f>
        <v>0</v>
      </c>
    </row>
    <row r="40" spans="2:7" ht="27.95" customHeight="1" x14ac:dyDescent="0.25">
      <c r="B40" s="119" t="s">
        <v>861</v>
      </c>
      <c r="C40" s="115" t="s">
        <v>111</v>
      </c>
      <c r="D40" s="116">
        <f>SYNTHESE!C14</f>
        <v>1864</v>
      </c>
    </row>
    <row r="41" spans="2:7" ht="27.95" customHeight="1" x14ac:dyDescent="0.25">
      <c r="B41" s="119" t="s">
        <v>112</v>
      </c>
      <c r="C41" s="160" t="s">
        <v>113</v>
      </c>
      <c r="D41" s="122">
        <f>SUM(SYNTHESE!C5:C14)</f>
        <v>3236242.8760211589</v>
      </c>
      <c r="E41" s="41" t="b">
        <f>D41=SUM(D34:D40)</f>
        <v>1</v>
      </c>
      <c r="G41" s="174"/>
    </row>
    <row r="42" spans="2:7" ht="27.95" customHeight="1" x14ac:dyDescent="0.25">
      <c r="B42" s="123"/>
      <c r="C42" s="124"/>
      <c r="D42" s="125"/>
    </row>
    <row r="43" spans="2:7" ht="27.95" customHeight="1" x14ac:dyDescent="0.25">
      <c r="B43" s="536" t="s">
        <v>114</v>
      </c>
      <c r="C43" s="536"/>
      <c r="D43" s="536"/>
    </row>
    <row r="44" spans="2:7" ht="27.95" customHeight="1" x14ac:dyDescent="0.25">
      <c r="B44" s="126" t="s">
        <v>115</v>
      </c>
      <c r="C44" s="115" t="s">
        <v>116</v>
      </c>
      <c r="D44" s="118">
        <f>SYNTHESE!C17</f>
        <v>0</v>
      </c>
    </row>
    <row r="45" spans="2:7" ht="27.95" customHeight="1" x14ac:dyDescent="0.25">
      <c r="B45" s="126" t="s">
        <v>117</v>
      </c>
      <c r="C45" s="115" t="s">
        <v>118</v>
      </c>
      <c r="D45" s="118">
        <f>SYNTHESE!C18</f>
        <v>0</v>
      </c>
    </row>
    <row r="46" spans="2:7" ht="27.95" customHeight="1" x14ac:dyDescent="0.25">
      <c r="B46" s="126" t="s">
        <v>119</v>
      </c>
      <c r="C46" s="115" t="s">
        <v>120</v>
      </c>
      <c r="D46" s="118">
        <f>SYNTHESE!C15</f>
        <v>170877.26</v>
      </c>
    </row>
    <row r="47" spans="2:7" ht="27.95" customHeight="1" x14ac:dyDescent="0.25">
      <c r="B47" s="126" t="s">
        <v>121</v>
      </c>
      <c r="C47" s="115" t="s">
        <v>122</v>
      </c>
      <c r="D47" s="118">
        <f>SYNTHESE!C16</f>
        <v>66109</v>
      </c>
    </row>
    <row r="48" spans="2:7" ht="27.95" customHeight="1" x14ac:dyDescent="0.25">
      <c r="B48" s="127" t="s">
        <v>123</v>
      </c>
      <c r="C48" s="115" t="s">
        <v>124</v>
      </c>
      <c r="D48" s="128">
        <f>SUM(D44:D47)</f>
        <v>236986.26</v>
      </c>
    </row>
    <row r="49" spans="2:6" ht="60" x14ac:dyDescent="0.25">
      <c r="B49" s="129" t="s">
        <v>125</v>
      </c>
      <c r="C49" s="115" t="s">
        <v>126</v>
      </c>
      <c r="D49" s="128">
        <f>IF(SYNTHESE!Q18="non",SYNTHESE!R18,'2069 A'!D48)</f>
        <v>236986.26</v>
      </c>
    </row>
    <row r="50" spans="2:6" ht="63.6" customHeight="1" x14ac:dyDescent="0.25">
      <c r="B50" s="119" t="s">
        <v>127</v>
      </c>
      <c r="C50" s="115" t="s">
        <v>128</v>
      </c>
      <c r="D50" s="128">
        <f>IF(D44+D45&gt;2000000,2000000,D44+D45)</f>
        <v>0</v>
      </c>
    </row>
    <row r="51" spans="2:6" ht="90.6" customHeight="1" x14ac:dyDescent="0.25">
      <c r="B51" s="119" t="s">
        <v>129</v>
      </c>
      <c r="C51" s="115" t="s">
        <v>130</v>
      </c>
      <c r="D51" s="128">
        <f>IF(SUM(D44:D47)&gt;10000000,10000000-D50,D46+D47)</f>
        <v>236986.26</v>
      </c>
    </row>
    <row r="52" spans="2:6" ht="27.95" customHeight="1" x14ac:dyDescent="0.25">
      <c r="B52" s="119" t="s">
        <v>131</v>
      </c>
      <c r="C52" s="160" t="s">
        <v>132</v>
      </c>
      <c r="D52" s="161">
        <f>IF(D50+D51&gt;D49,D49,D50+D51)</f>
        <v>236986.26</v>
      </c>
      <c r="E52" s="41" t="b">
        <f>D52/3&lt;D41+1</f>
        <v>1</v>
      </c>
    </row>
    <row r="53" spans="2:6" ht="27.95" customHeight="1" x14ac:dyDescent="0.25">
      <c r="B53" s="130"/>
      <c r="C53" s="131"/>
      <c r="D53" s="132"/>
    </row>
    <row r="54" spans="2:6" ht="27.95" customHeight="1" x14ac:dyDescent="0.25">
      <c r="B54" s="113" t="s">
        <v>133</v>
      </c>
      <c r="C54" s="532" t="s">
        <v>830</v>
      </c>
      <c r="D54" s="532"/>
    </row>
    <row r="55" spans="2:6" ht="27.95" customHeight="1" x14ac:dyDescent="0.25">
      <c r="B55" s="129" t="s">
        <v>134</v>
      </c>
      <c r="C55" s="160" t="s">
        <v>135</v>
      </c>
      <c r="D55" s="161">
        <f>D41+D52</f>
        <v>3473229.1360211587</v>
      </c>
      <c r="E55" s="41" t="b">
        <f>D55=SYNTHESE!C19</f>
        <v>1</v>
      </c>
    </row>
    <row r="56" spans="2:6" ht="27.95" customHeight="1" x14ac:dyDescent="0.25">
      <c r="B56" s="117" t="s">
        <v>136</v>
      </c>
      <c r="C56" s="162" t="s">
        <v>137</v>
      </c>
      <c r="D56" s="163">
        <f>SYNTHESE!C21*-1</f>
        <v>1187753.4755660628</v>
      </c>
    </row>
    <row r="57" spans="2:6" ht="27.95" customHeight="1" x14ac:dyDescent="0.25">
      <c r="B57" s="119" t="s">
        <v>138</v>
      </c>
      <c r="C57" s="162" t="s">
        <v>139</v>
      </c>
      <c r="D57" s="163">
        <f>SYNTHESE!C23*-1</f>
        <v>0</v>
      </c>
    </row>
    <row r="58" spans="2:6" ht="27.95" customHeight="1" x14ac:dyDescent="0.25">
      <c r="B58" s="119" t="s">
        <v>140</v>
      </c>
      <c r="C58" s="162" t="s">
        <v>141</v>
      </c>
      <c r="D58" s="163">
        <f>SYNTHESE!C24*-1</f>
        <v>0</v>
      </c>
    </row>
    <row r="59" spans="2:6" ht="27.95" customHeight="1" x14ac:dyDescent="0.25">
      <c r="B59" s="117" t="s">
        <v>142</v>
      </c>
      <c r="C59" s="162" t="s">
        <v>143</v>
      </c>
      <c r="D59" s="163">
        <f>SYNTHESE!C22</f>
        <v>272334.25</v>
      </c>
    </row>
    <row r="60" spans="2:6" ht="27.95" customHeight="1" x14ac:dyDescent="0.25">
      <c r="B60" s="119" t="s">
        <v>144</v>
      </c>
      <c r="C60" s="160" t="s">
        <v>145</v>
      </c>
      <c r="D60" s="161">
        <f>D55-D56-D57-D58+D59</f>
        <v>2557809.9104550956</v>
      </c>
      <c r="E60" s="41" t="b">
        <f>D60=SYNTHESE!C25</f>
        <v>1</v>
      </c>
    </row>
    <row r="61" spans="2:6" ht="27.95" customHeight="1" x14ac:dyDescent="0.25">
      <c r="B61" s="133" t="s">
        <v>146</v>
      </c>
      <c r="C61" s="164" t="s">
        <v>147</v>
      </c>
      <c r="D61" s="165"/>
      <c r="F61" s="41" t="s">
        <v>97</v>
      </c>
    </row>
    <row r="62" spans="2:6" ht="27.95" customHeight="1" x14ac:dyDescent="0.25">
      <c r="C62" s="124"/>
    </row>
    <row r="63" spans="2:6" ht="27.95" customHeight="1" x14ac:dyDescent="0.25">
      <c r="B63" s="112" t="s">
        <v>148</v>
      </c>
      <c r="C63" s="532" t="s">
        <v>830</v>
      </c>
      <c r="D63" s="532"/>
    </row>
    <row r="64" spans="2:6" ht="27.95" customHeight="1" x14ac:dyDescent="0.25">
      <c r="B64" s="134" t="s">
        <v>149</v>
      </c>
      <c r="C64" s="166" t="s">
        <v>150</v>
      </c>
      <c r="D64" s="167">
        <f>SYNTHESE!G19-SYNTHESE!G10</f>
        <v>0</v>
      </c>
    </row>
    <row r="65" spans="2:6" ht="27.95" customHeight="1" x14ac:dyDescent="0.25">
      <c r="B65" s="134" t="s">
        <v>151</v>
      </c>
      <c r="C65" s="166" t="s">
        <v>152</v>
      </c>
      <c r="D65" s="167">
        <f>SYNTHESE!G10</f>
        <v>0</v>
      </c>
    </row>
    <row r="66" spans="2:6" ht="27.95" customHeight="1" x14ac:dyDescent="0.25">
      <c r="B66" s="134" t="s">
        <v>153</v>
      </c>
      <c r="C66" s="166" t="s">
        <v>154</v>
      </c>
      <c r="D66" s="167">
        <f>D64+D65</f>
        <v>0</v>
      </c>
      <c r="E66" s="41" t="b">
        <f>D66=SYNTHESE!G19</f>
        <v>1</v>
      </c>
    </row>
    <row r="67" spans="2:6" ht="27.95" customHeight="1" x14ac:dyDescent="0.25">
      <c r="B67" s="134" t="s">
        <v>136</v>
      </c>
      <c r="C67" s="166" t="s">
        <v>155</v>
      </c>
      <c r="D67" s="167">
        <f>SYNTHESE!G21*-1</f>
        <v>0</v>
      </c>
    </row>
    <row r="68" spans="2:6" ht="27.95" customHeight="1" x14ac:dyDescent="0.25">
      <c r="B68" s="134" t="s">
        <v>156</v>
      </c>
      <c r="C68" s="166" t="s">
        <v>157</v>
      </c>
      <c r="D68" s="167">
        <f>SYNTHESE!G24*-1</f>
        <v>0</v>
      </c>
    </row>
    <row r="69" spans="2:6" ht="27.95" customHeight="1" x14ac:dyDescent="0.25">
      <c r="B69" s="134" t="s">
        <v>142</v>
      </c>
      <c r="C69" s="166" t="s">
        <v>158</v>
      </c>
      <c r="D69" s="167">
        <f>SYNTHESE!G22</f>
        <v>0</v>
      </c>
    </row>
    <row r="70" spans="2:6" ht="27.95" customHeight="1" x14ac:dyDescent="0.25">
      <c r="B70" s="135" t="s">
        <v>159</v>
      </c>
      <c r="C70" s="166" t="s">
        <v>160</v>
      </c>
      <c r="D70" s="167">
        <f>D66-D67-D68+D69</f>
        <v>0</v>
      </c>
      <c r="E70" s="41" t="b">
        <f>D70=SYNTHESE!G25</f>
        <v>1</v>
      </c>
    </row>
    <row r="71" spans="2:6" ht="27.95" customHeight="1" x14ac:dyDescent="0.25">
      <c r="B71" s="136" t="s">
        <v>161</v>
      </c>
      <c r="C71" s="166" t="s">
        <v>162</v>
      </c>
      <c r="D71" s="167"/>
      <c r="F71" s="41" t="s">
        <v>97</v>
      </c>
    </row>
    <row r="72" spans="2:6" ht="27.95" customHeight="1" x14ac:dyDescent="0.25">
      <c r="C72" s="168"/>
      <c r="D72" s="110"/>
    </row>
    <row r="73" spans="2:6" ht="27.95" customHeight="1" x14ac:dyDescent="0.25">
      <c r="B73" s="133" t="s">
        <v>163</v>
      </c>
      <c r="C73" s="160" t="s">
        <v>164</v>
      </c>
      <c r="D73" s="161">
        <f>D60+D70</f>
        <v>2557809.9104550956</v>
      </c>
    </row>
    <row r="74" spans="2:6" ht="27.95" customHeight="1" x14ac:dyDescent="0.25">
      <c r="B74" s="133" t="s">
        <v>165</v>
      </c>
      <c r="C74" s="164" t="s">
        <v>166</v>
      </c>
      <c r="D74" s="165"/>
      <c r="F74" s="41" t="s">
        <v>97</v>
      </c>
    </row>
    <row r="75" spans="2:6" ht="27.95" customHeight="1" x14ac:dyDescent="0.25">
      <c r="C75" s="124"/>
    </row>
    <row r="76" spans="2:6" ht="27.95" customHeight="1" x14ac:dyDescent="0.25">
      <c r="B76" s="538" t="s">
        <v>167</v>
      </c>
      <c r="C76" s="538"/>
      <c r="D76" s="538"/>
    </row>
    <row r="77" spans="2:6" ht="27.95" customHeight="1" x14ac:dyDescent="0.25">
      <c r="B77" s="535" t="s">
        <v>168</v>
      </c>
      <c r="C77" s="535"/>
      <c r="D77" s="535"/>
    </row>
    <row r="78" spans="2:6" ht="27.95" customHeight="1" x14ac:dyDescent="0.25">
      <c r="B78" s="535" t="s">
        <v>169</v>
      </c>
      <c r="C78" s="535"/>
      <c r="D78" s="535"/>
    </row>
    <row r="79" spans="2:6" ht="27.95" customHeight="1" x14ac:dyDescent="0.25">
      <c r="B79" s="119" t="s">
        <v>170</v>
      </c>
      <c r="C79" s="160" t="s">
        <v>171</v>
      </c>
      <c r="D79" s="161">
        <f>D60</f>
        <v>2557809.9104550956</v>
      </c>
      <c r="F79" s="53"/>
    </row>
    <row r="80" spans="2:6" ht="27.95" customHeight="1" x14ac:dyDescent="0.25">
      <c r="B80" s="119" t="s">
        <v>172</v>
      </c>
      <c r="C80" s="164" t="s">
        <v>173</v>
      </c>
      <c r="D80" s="165"/>
      <c r="F80" s="53" t="s">
        <v>97</v>
      </c>
    </row>
    <row r="81" spans="2:6" ht="27.95" customHeight="1" x14ac:dyDescent="0.25">
      <c r="B81" s="119" t="s">
        <v>174</v>
      </c>
      <c r="C81" s="162" t="s">
        <v>175</v>
      </c>
      <c r="D81" s="169">
        <f>D79*0.3</f>
        <v>767342.97313652863</v>
      </c>
      <c r="F81" s="53"/>
    </row>
    <row r="82" spans="2:6" ht="45.95" customHeight="1" x14ac:dyDescent="0.25">
      <c r="B82" s="119" t="s">
        <v>176</v>
      </c>
      <c r="C82" s="162" t="s">
        <v>177</v>
      </c>
      <c r="D82" s="169"/>
      <c r="F82" s="53" t="s">
        <v>97</v>
      </c>
    </row>
    <row r="83" spans="2:6" ht="27.95" customHeight="1" x14ac:dyDescent="0.25">
      <c r="B83" s="129" t="s">
        <v>178</v>
      </c>
      <c r="C83" s="162" t="s">
        <v>179</v>
      </c>
      <c r="D83" s="169">
        <f>D81+D82</f>
        <v>767342.97313652863</v>
      </c>
      <c r="F83" s="53"/>
    </row>
    <row r="84" spans="2:6" ht="27.95" customHeight="1" x14ac:dyDescent="0.25">
      <c r="B84" s="119" t="s">
        <v>180</v>
      </c>
      <c r="C84" s="162" t="s">
        <v>181</v>
      </c>
      <c r="D84" s="169"/>
      <c r="F84" s="53" t="s">
        <v>97</v>
      </c>
    </row>
    <row r="85" spans="2:6" ht="27.95" customHeight="1" x14ac:dyDescent="0.25">
      <c r="C85" s="124"/>
    </row>
    <row r="86" spans="2:6" ht="27.95" customHeight="1" x14ac:dyDescent="0.25">
      <c r="B86" s="535" t="s">
        <v>182</v>
      </c>
      <c r="C86" s="535"/>
      <c r="D86" s="535"/>
    </row>
    <row r="87" spans="2:6" ht="27.95" customHeight="1" x14ac:dyDescent="0.25">
      <c r="B87" s="117" t="s">
        <v>183</v>
      </c>
      <c r="C87" s="162" t="s">
        <v>184</v>
      </c>
      <c r="D87" s="169">
        <f>D70</f>
        <v>0</v>
      </c>
    </row>
    <row r="88" spans="2:6" ht="27.95" customHeight="1" x14ac:dyDescent="0.25">
      <c r="B88" s="129" t="s">
        <v>185</v>
      </c>
      <c r="C88" s="162" t="s">
        <v>186</v>
      </c>
      <c r="D88" s="169"/>
      <c r="F88" s="41" t="s">
        <v>97</v>
      </c>
    </row>
    <row r="89" spans="2:6" ht="27.95" customHeight="1" x14ac:dyDescent="0.25">
      <c r="B89" s="129" t="s">
        <v>187</v>
      </c>
      <c r="C89" s="162" t="s">
        <v>188</v>
      </c>
      <c r="D89" s="169">
        <f>D87*0.3</f>
        <v>0</v>
      </c>
    </row>
    <row r="90" spans="2:6" ht="27.95" customHeight="1" x14ac:dyDescent="0.25">
      <c r="B90" s="129" t="s">
        <v>189</v>
      </c>
      <c r="C90" s="162" t="s">
        <v>190</v>
      </c>
      <c r="D90" s="169"/>
      <c r="F90" s="41" t="s">
        <v>97</v>
      </c>
    </row>
    <row r="91" spans="2:6" ht="27.95" customHeight="1" x14ac:dyDescent="0.25">
      <c r="B91" s="119" t="s">
        <v>191</v>
      </c>
      <c r="C91" s="162" t="s">
        <v>192</v>
      </c>
      <c r="D91" s="169">
        <f>D89+D90</f>
        <v>0</v>
      </c>
    </row>
    <row r="92" spans="2:6" ht="27.95" customHeight="1" x14ac:dyDescent="0.25">
      <c r="B92" s="119" t="s">
        <v>193</v>
      </c>
      <c r="C92" s="162" t="s">
        <v>194</v>
      </c>
      <c r="D92" s="169"/>
      <c r="F92" s="41" t="s">
        <v>97</v>
      </c>
    </row>
    <row r="93" spans="2:6" ht="41.45" customHeight="1" x14ac:dyDescent="0.25">
      <c r="B93" s="119" t="s">
        <v>195</v>
      </c>
      <c r="C93" s="162" t="s">
        <v>196</v>
      </c>
      <c r="D93" s="169"/>
      <c r="F93" s="175" t="s">
        <v>197</v>
      </c>
    </row>
    <row r="94" spans="2:6" ht="30" x14ac:dyDescent="0.25">
      <c r="B94" s="119" t="s">
        <v>198</v>
      </c>
      <c r="C94" s="162" t="s">
        <v>199</v>
      </c>
      <c r="D94" s="169">
        <f>D92+D93</f>
        <v>0</v>
      </c>
    </row>
    <row r="95" spans="2:6" ht="62.1" customHeight="1" x14ac:dyDescent="0.25">
      <c r="B95" s="119" t="s">
        <v>200</v>
      </c>
      <c r="C95" s="162" t="s">
        <v>201</v>
      </c>
      <c r="D95" s="169"/>
      <c r="F95" s="175" t="s">
        <v>197</v>
      </c>
    </row>
    <row r="96" spans="2:6" ht="27.95" customHeight="1" x14ac:dyDescent="0.25">
      <c r="B96" s="129" t="s">
        <v>202</v>
      </c>
      <c r="C96" s="162" t="s">
        <v>203</v>
      </c>
      <c r="D96" s="169"/>
      <c r="F96" s="41" t="s">
        <v>97</v>
      </c>
    </row>
    <row r="97" spans="2:6" ht="27.95" customHeight="1" x14ac:dyDescent="0.25">
      <c r="B97" s="114"/>
      <c r="C97" s="162"/>
      <c r="D97" s="170"/>
    </row>
    <row r="98" spans="2:6" ht="27.95" customHeight="1" x14ac:dyDescent="0.25">
      <c r="B98" s="138" t="s">
        <v>204</v>
      </c>
      <c r="C98" s="160" t="s">
        <v>205</v>
      </c>
      <c r="D98" s="161">
        <f>D83+D95</f>
        <v>767342.97313652863</v>
      </c>
    </row>
    <row r="99" spans="2:6" ht="27.95" customHeight="1" x14ac:dyDescent="0.25">
      <c r="B99" s="133" t="s">
        <v>206</v>
      </c>
      <c r="C99" s="164" t="s">
        <v>207</v>
      </c>
      <c r="D99" s="165"/>
      <c r="F99" s="41" t="s">
        <v>97</v>
      </c>
    </row>
    <row r="100" spans="2:6" ht="27.95" customHeight="1" x14ac:dyDescent="0.25">
      <c r="B100" s="139"/>
      <c r="C100" s="140"/>
      <c r="D100" s="139"/>
    </row>
    <row r="101" spans="2:6" ht="27.95" customHeight="1" x14ac:dyDescent="0.25">
      <c r="B101" s="536" t="s">
        <v>208</v>
      </c>
      <c r="C101" s="536"/>
      <c r="D101" s="536"/>
    </row>
    <row r="102" spans="2:6" ht="27.95" customHeight="1" x14ac:dyDescent="0.25">
      <c r="B102" s="537" t="s">
        <v>209</v>
      </c>
      <c r="C102" s="537"/>
      <c r="D102" s="537"/>
    </row>
    <row r="103" spans="2:6" ht="27.95" customHeight="1" x14ac:dyDescent="0.25">
      <c r="B103" s="129" t="s">
        <v>210</v>
      </c>
      <c r="C103" s="115" t="s">
        <v>211</v>
      </c>
      <c r="D103" s="137"/>
      <c r="F103" s="534" t="s">
        <v>212</v>
      </c>
    </row>
    <row r="104" spans="2:6" ht="27.95" customHeight="1" x14ac:dyDescent="0.25">
      <c r="B104" s="119" t="s">
        <v>213</v>
      </c>
      <c r="C104" s="115" t="s">
        <v>214</v>
      </c>
      <c r="D104" s="137"/>
      <c r="F104" s="534"/>
    </row>
    <row r="105" spans="2:6" ht="27.95" customHeight="1" x14ac:dyDescent="0.25">
      <c r="B105" s="119" t="s">
        <v>215</v>
      </c>
      <c r="C105" s="115" t="s">
        <v>216</v>
      </c>
      <c r="D105" s="137"/>
      <c r="F105" s="534"/>
    </row>
    <row r="106" spans="2:6" ht="27.95" customHeight="1" x14ac:dyDescent="0.25">
      <c r="B106" s="129" t="s">
        <v>217</v>
      </c>
      <c r="C106" s="115" t="s">
        <v>218</v>
      </c>
      <c r="D106" s="137"/>
      <c r="F106" s="534"/>
    </row>
    <row r="107" spans="2:6" ht="27.95" customHeight="1" x14ac:dyDescent="0.25">
      <c r="B107" s="129" t="s">
        <v>219</v>
      </c>
      <c r="C107" s="115" t="s">
        <v>220</v>
      </c>
      <c r="D107" s="137"/>
      <c r="F107" s="534"/>
    </row>
    <row r="108" spans="2:6" ht="27.95" customHeight="1" x14ac:dyDescent="0.25">
      <c r="B108" s="129" t="s">
        <v>221</v>
      </c>
      <c r="C108" s="115" t="s">
        <v>222</v>
      </c>
      <c r="D108" s="137"/>
      <c r="F108" s="534"/>
    </row>
    <row r="109" spans="2:6" ht="45.6" customHeight="1" x14ac:dyDescent="0.25">
      <c r="B109" s="119" t="s">
        <v>223</v>
      </c>
      <c r="C109" s="115" t="s">
        <v>224</v>
      </c>
      <c r="D109" s="137"/>
      <c r="F109" s="534"/>
    </row>
    <row r="110" spans="2:6" ht="27.95" customHeight="1" x14ac:dyDescent="0.25">
      <c r="B110" s="129" t="s">
        <v>225</v>
      </c>
      <c r="C110" s="115" t="s">
        <v>226</v>
      </c>
      <c r="D110" s="137"/>
      <c r="F110" s="534"/>
    </row>
    <row r="111" spans="2:6" ht="27.95" customHeight="1" x14ac:dyDescent="0.25">
      <c r="B111" s="119" t="s">
        <v>180</v>
      </c>
      <c r="C111" s="115" t="s">
        <v>227</v>
      </c>
      <c r="D111" s="137"/>
      <c r="F111" s="534"/>
    </row>
    <row r="112" spans="2:6" ht="27.95" customHeight="1" x14ac:dyDescent="0.25">
      <c r="B112" s="139"/>
      <c r="C112" s="140"/>
      <c r="D112" s="139"/>
      <c r="F112" s="534"/>
    </row>
    <row r="113" spans="2:6" ht="27.95" customHeight="1" x14ac:dyDescent="0.25">
      <c r="B113" s="535" t="s">
        <v>228</v>
      </c>
      <c r="C113" s="535"/>
      <c r="D113" s="535"/>
      <c r="F113" s="534"/>
    </row>
    <row r="114" spans="2:6" ht="27.95" customHeight="1" x14ac:dyDescent="0.25">
      <c r="B114" s="117" t="s">
        <v>183</v>
      </c>
      <c r="C114" s="115" t="s">
        <v>229</v>
      </c>
      <c r="D114" s="137"/>
      <c r="F114" s="534"/>
    </row>
    <row r="115" spans="2:6" ht="27.95" customHeight="1" x14ac:dyDescent="0.25">
      <c r="B115" s="129" t="s">
        <v>230</v>
      </c>
      <c r="C115" s="115" t="s">
        <v>231</v>
      </c>
      <c r="D115" s="137"/>
      <c r="F115" s="534"/>
    </row>
    <row r="116" spans="2:6" ht="27.95" customHeight="1" x14ac:dyDescent="0.25">
      <c r="B116" s="129" t="s">
        <v>232</v>
      </c>
      <c r="C116" s="115" t="s">
        <v>233</v>
      </c>
      <c r="D116" s="137"/>
      <c r="F116" s="534"/>
    </row>
    <row r="117" spans="2:6" ht="44.1" customHeight="1" x14ac:dyDescent="0.25">
      <c r="B117" s="119" t="s">
        <v>234</v>
      </c>
      <c r="C117" s="115" t="s">
        <v>235</v>
      </c>
      <c r="D117" s="137"/>
      <c r="F117" s="534"/>
    </row>
    <row r="118" spans="2:6" ht="27.95" customHeight="1" x14ac:dyDescent="0.25">
      <c r="B118" s="119" t="s">
        <v>236</v>
      </c>
      <c r="C118" s="115" t="s">
        <v>237</v>
      </c>
      <c r="D118" s="137"/>
      <c r="F118" s="534"/>
    </row>
    <row r="119" spans="2:6" ht="27.95" customHeight="1" x14ac:dyDescent="0.25">
      <c r="B119" s="117" t="s">
        <v>238</v>
      </c>
      <c r="C119" s="115" t="s">
        <v>239</v>
      </c>
      <c r="D119" s="137"/>
      <c r="F119" s="534"/>
    </row>
    <row r="120" spans="2:6" ht="41.45" customHeight="1" x14ac:dyDescent="0.25">
      <c r="B120" s="119" t="s">
        <v>240</v>
      </c>
      <c r="C120" s="115" t="s">
        <v>241</v>
      </c>
      <c r="D120" s="137"/>
      <c r="F120" s="534"/>
    </row>
    <row r="121" spans="2:6" ht="27.95" customHeight="1" x14ac:dyDescent="0.25">
      <c r="B121" s="129" t="s">
        <v>242</v>
      </c>
      <c r="C121" s="115" t="s">
        <v>243</v>
      </c>
      <c r="D121" s="137"/>
      <c r="F121" s="534"/>
    </row>
    <row r="122" spans="2:6" ht="47.45" customHeight="1" x14ac:dyDescent="0.25">
      <c r="B122" s="119" t="s">
        <v>244</v>
      </c>
      <c r="C122" s="115" t="s">
        <v>245</v>
      </c>
      <c r="D122" s="137"/>
      <c r="F122" s="534"/>
    </row>
    <row r="123" spans="2:6" ht="27.95" customHeight="1" x14ac:dyDescent="0.25">
      <c r="B123" s="129" t="s">
        <v>246</v>
      </c>
      <c r="C123" s="115" t="s">
        <v>247</v>
      </c>
      <c r="D123" s="137"/>
      <c r="F123" s="534"/>
    </row>
    <row r="124" spans="2:6" ht="60" x14ac:dyDescent="0.25">
      <c r="B124" s="119" t="s">
        <v>248</v>
      </c>
      <c r="C124" s="115" t="s">
        <v>249</v>
      </c>
      <c r="D124" s="137"/>
      <c r="F124" s="534"/>
    </row>
    <row r="125" spans="2:6" ht="27.95" customHeight="1" x14ac:dyDescent="0.25">
      <c r="B125" s="119" t="s">
        <v>250</v>
      </c>
      <c r="C125" s="115" t="s">
        <v>251</v>
      </c>
      <c r="D125" s="137"/>
      <c r="F125" s="534"/>
    </row>
    <row r="126" spans="2:6" ht="27.95" customHeight="1" x14ac:dyDescent="0.25">
      <c r="B126" s="133" t="s">
        <v>252</v>
      </c>
      <c r="C126" s="115" t="s">
        <v>253</v>
      </c>
      <c r="D126" s="137"/>
      <c r="F126" s="534"/>
    </row>
    <row r="127" spans="2:6" ht="42.95" customHeight="1" x14ac:dyDescent="0.25">
      <c r="B127" s="133" t="s">
        <v>254</v>
      </c>
      <c r="C127" s="115" t="s">
        <v>255</v>
      </c>
      <c r="D127" s="137"/>
      <c r="F127" s="534"/>
    </row>
    <row r="128" spans="2:6" ht="27.95" customHeight="1" x14ac:dyDescent="0.25">
      <c r="B128" s="139"/>
      <c r="C128" s="140"/>
      <c r="D128" s="139"/>
    </row>
    <row r="129" spans="2:6" ht="27.95" customHeight="1" x14ac:dyDescent="0.25">
      <c r="B129" s="141" t="s">
        <v>256</v>
      </c>
      <c r="C129" s="533" t="s">
        <v>829</v>
      </c>
      <c r="D129" s="533"/>
    </row>
    <row r="130" spans="2:6" ht="27.95" customHeight="1" x14ac:dyDescent="0.25">
      <c r="B130" s="530" t="s">
        <v>257</v>
      </c>
      <c r="C130" s="530"/>
      <c r="D130" s="530"/>
    </row>
    <row r="131" spans="2:6" ht="27.95" customHeight="1" x14ac:dyDescent="0.25">
      <c r="B131" s="129" t="s">
        <v>258</v>
      </c>
      <c r="C131" s="162" t="s">
        <v>259</v>
      </c>
      <c r="D131" s="169">
        <f>SYNTHESE!D5</f>
        <v>0</v>
      </c>
    </row>
    <row r="132" spans="2:6" ht="27.95" customHeight="1" x14ac:dyDescent="0.25">
      <c r="B132" s="119" t="s">
        <v>260</v>
      </c>
      <c r="C132" s="162" t="s">
        <v>261</v>
      </c>
      <c r="D132" s="169">
        <f>SYNTHESE!D6</f>
        <v>0</v>
      </c>
    </row>
    <row r="133" spans="2:6" ht="27.95" customHeight="1" x14ac:dyDescent="0.25">
      <c r="B133" s="129" t="s">
        <v>262</v>
      </c>
      <c r="C133" s="162" t="s">
        <v>263</v>
      </c>
      <c r="D133" s="169">
        <f>SYNTHESE!D9</f>
        <v>0</v>
      </c>
    </row>
    <row r="134" spans="2:6" ht="27.95" customHeight="1" x14ac:dyDescent="0.25">
      <c r="B134" s="117" t="s">
        <v>264</v>
      </c>
      <c r="C134" s="162" t="s">
        <v>265</v>
      </c>
      <c r="D134" s="169">
        <f>SYNTHESE!D10</f>
        <v>0</v>
      </c>
    </row>
    <row r="135" spans="2:6" ht="27.95" customHeight="1" x14ac:dyDescent="0.25">
      <c r="B135" s="117" t="s">
        <v>266</v>
      </c>
      <c r="C135" s="162" t="s">
        <v>267</v>
      </c>
      <c r="D135" s="169">
        <f>SYNTHESE!D15</f>
        <v>0</v>
      </c>
    </row>
    <row r="136" spans="2:6" ht="27.95" customHeight="1" x14ac:dyDescent="0.25">
      <c r="B136" s="119" t="s">
        <v>268</v>
      </c>
      <c r="C136" s="160" t="s">
        <v>269</v>
      </c>
      <c r="D136" s="161">
        <f>SUM(D131:D135)</f>
        <v>0</v>
      </c>
      <c r="E136" s="41" t="b">
        <f>D136=SYNTHESE!D19</f>
        <v>1</v>
      </c>
    </row>
    <row r="137" spans="2:6" ht="27.95" customHeight="1" x14ac:dyDescent="0.25">
      <c r="B137" s="129" t="s">
        <v>270</v>
      </c>
      <c r="C137" s="160" t="s">
        <v>271</v>
      </c>
      <c r="D137" s="161">
        <f>IF(D136&gt;400000,400000,D136)</f>
        <v>0</v>
      </c>
    </row>
    <row r="138" spans="2:6" ht="27.95" customHeight="1" x14ac:dyDescent="0.25">
      <c r="B138" s="117" t="s">
        <v>136</v>
      </c>
      <c r="C138" s="162" t="s">
        <v>272</v>
      </c>
      <c r="D138" s="169">
        <f>SYNTHESE!D21*-1</f>
        <v>0</v>
      </c>
    </row>
    <row r="139" spans="2:6" ht="27.95" customHeight="1" x14ac:dyDescent="0.25">
      <c r="B139" s="117" t="s">
        <v>273</v>
      </c>
      <c r="C139" s="162" t="s">
        <v>274</v>
      </c>
      <c r="D139" s="169">
        <f>SYNTHESE!D23*-1</f>
        <v>0</v>
      </c>
    </row>
    <row r="140" spans="2:6" ht="27.95" customHeight="1" x14ac:dyDescent="0.25">
      <c r="B140" s="119" t="s">
        <v>275</v>
      </c>
      <c r="C140" s="162" t="s">
        <v>276</v>
      </c>
      <c r="D140" s="169">
        <f>SYNTHESE!D24*-1</f>
        <v>0</v>
      </c>
    </row>
    <row r="141" spans="2:6" ht="27.95" customHeight="1" x14ac:dyDescent="0.25">
      <c r="B141" s="117" t="s">
        <v>142</v>
      </c>
      <c r="C141" s="162" t="s">
        <v>277</v>
      </c>
      <c r="D141" s="169">
        <f>SYNTHESE!D22</f>
        <v>0</v>
      </c>
    </row>
    <row r="142" spans="2:6" ht="27.95" customHeight="1" x14ac:dyDescent="0.25">
      <c r="B142" s="129" t="s">
        <v>278</v>
      </c>
      <c r="C142" s="162" t="s">
        <v>279</v>
      </c>
      <c r="D142" s="169">
        <f>D137-D138-D139-D140+D141</f>
        <v>0</v>
      </c>
      <c r="E142" s="41" t="b">
        <f>D142=SYNTHESE!D25</f>
        <v>1</v>
      </c>
    </row>
    <row r="143" spans="2:6" ht="27.95" customHeight="1" x14ac:dyDescent="0.25">
      <c r="B143" s="120" t="s">
        <v>280</v>
      </c>
      <c r="C143" s="162" t="s">
        <v>281</v>
      </c>
      <c r="D143" s="169"/>
      <c r="F143" s="41" t="s">
        <v>97</v>
      </c>
    </row>
    <row r="144" spans="2:6" ht="27.95" customHeight="1" x14ac:dyDescent="0.25">
      <c r="B144" s="129" t="s">
        <v>282</v>
      </c>
      <c r="C144" s="162" t="s">
        <v>283</v>
      </c>
      <c r="D144" s="169"/>
      <c r="F144" s="41" t="s">
        <v>97</v>
      </c>
    </row>
    <row r="145" spans="2:6" ht="27.95" customHeight="1" x14ac:dyDescent="0.25">
      <c r="B145" s="129" t="s">
        <v>284</v>
      </c>
      <c r="C145" s="162" t="s">
        <v>285</v>
      </c>
      <c r="D145" s="169"/>
      <c r="F145" s="41" t="s">
        <v>97</v>
      </c>
    </row>
    <row r="146" spans="2:6" ht="45" x14ac:dyDescent="0.25">
      <c r="B146" s="129" t="s">
        <v>862</v>
      </c>
      <c r="C146" s="162" t="s">
        <v>286</v>
      </c>
      <c r="D146" s="462">
        <f>D142*0.2</f>
        <v>0</v>
      </c>
      <c r="E146" s="41" t="b">
        <f>D146=SYNTHESE!D28</f>
        <v>1</v>
      </c>
    </row>
    <row r="147" spans="2:6" ht="44.1" customHeight="1" x14ac:dyDescent="0.25">
      <c r="B147" s="129" t="s">
        <v>287</v>
      </c>
      <c r="C147" s="162" t="s">
        <v>288</v>
      </c>
      <c r="D147" s="169"/>
      <c r="F147" s="41" t="s">
        <v>97</v>
      </c>
    </row>
    <row r="148" spans="2:6" ht="44.1" customHeight="1" x14ac:dyDescent="0.25">
      <c r="B148" s="119" t="s">
        <v>289</v>
      </c>
      <c r="C148" s="162" t="s">
        <v>290</v>
      </c>
      <c r="D148" s="169">
        <f>D146+D147</f>
        <v>0</v>
      </c>
    </row>
    <row r="149" spans="2:6" ht="44.1" customHeight="1" x14ac:dyDescent="0.25">
      <c r="B149" s="119" t="s">
        <v>291</v>
      </c>
      <c r="C149" s="162" t="s">
        <v>292</v>
      </c>
      <c r="D149" s="169"/>
      <c r="F149" s="41" t="s">
        <v>97</v>
      </c>
    </row>
    <row r="150" spans="2:6" ht="44.1" customHeight="1" x14ac:dyDescent="0.25">
      <c r="B150" s="119" t="s">
        <v>293</v>
      </c>
      <c r="C150" s="162" t="s">
        <v>294</v>
      </c>
      <c r="D150" s="169"/>
      <c r="F150" s="41" t="s">
        <v>97</v>
      </c>
    </row>
    <row r="151" spans="2:6" ht="27.95" customHeight="1" x14ac:dyDescent="0.25">
      <c r="B151" s="138" t="s">
        <v>295</v>
      </c>
      <c r="C151" s="160" t="s">
        <v>296</v>
      </c>
      <c r="D151" s="161">
        <f>D98+D148</f>
        <v>767342.97313652863</v>
      </c>
    </row>
    <row r="152" spans="2:6" ht="48.6" customHeight="1" x14ac:dyDescent="0.25">
      <c r="B152" s="138" t="s">
        <v>297</v>
      </c>
      <c r="C152" s="162" t="s">
        <v>298</v>
      </c>
      <c r="D152" s="165"/>
      <c r="F152" s="41" t="s">
        <v>97</v>
      </c>
    </row>
    <row r="153" spans="2:6" ht="27.95" customHeight="1" x14ac:dyDescent="0.25">
      <c r="C153" s="124"/>
    </row>
    <row r="154" spans="2:6" ht="27.95" customHeight="1" x14ac:dyDescent="0.25">
      <c r="B154" s="531" t="s">
        <v>299</v>
      </c>
      <c r="C154" s="532"/>
      <c r="D154" s="532"/>
    </row>
    <row r="155" spans="2:6" ht="27.95" customHeight="1" x14ac:dyDescent="0.25">
      <c r="B155" s="141" t="s">
        <v>300</v>
      </c>
      <c r="C155" s="533" t="s">
        <v>829</v>
      </c>
      <c r="D155" s="533"/>
    </row>
    <row r="156" spans="2:6" ht="50.1" customHeight="1" x14ac:dyDescent="0.25">
      <c r="B156" s="129" t="s">
        <v>301</v>
      </c>
      <c r="C156" s="115" t="s">
        <v>302</v>
      </c>
      <c r="D156" s="137">
        <f>SYNTHESE!C35+SYNTHESE!C36</f>
        <v>544634</v>
      </c>
    </row>
    <row r="157" spans="2:6" ht="27.95" customHeight="1" x14ac:dyDescent="0.25">
      <c r="B157" s="142" t="s">
        <v>303</v>
      </c>
      <c r="C157" s="115" t="s">
        <v>304</v>
      </c>
      <c r="D157" s="137">
        <f>SYNTHESE!C35</f>
        <v>544634</v>
      </c>
    </row>
    <row r="158" spans="2:6" ht="27.95" customHeight="1" x14ac:dyDescent="0.25">
      <c r="B158" s="142" t="s">
        <v>305</v>
      </c>
      <c r="C158" s="115" t="s">
        <v>306</v>
      </c>
      <c r="D158" s="137">
        <f>SYNTHESE!C36</f>
        <v>0</v>
      </c>
    </row>
    <row r="159" spans="2:6" ht="45" x14ac:dyDescent="0.25">
      <c r="B159" s="129" t="s">
        <v>307</v>
      </c>
      <c r="C159" s="115" t="s">
        <v>308</v>
      </c>
      <c r="D159" s="137">
        <f>SYNTHESE!C37</f>
        <v>544634</v>
      </c>
    </row>
    <row r="160" spans="2:6" ht="27.95" customHeight="1" x14ac:dyDescent="0.25">
      <c r="B160" s="114" t="s">
        <v>309</v>
      </c>
      <c r="C160" s="115" t="s">
        <v>310</v>
      </c>
      <c r="D160" s="137">
        <f>SYNTHESE!C39*-1</f>
        <v>544634</v>
      </c>
    </row>
    <row r="161" spans="2:6" ht="27.95" customHeight="1" x14ac:dyDescent="0.25">
      <c r="B161" s="114" t="s">
        <v>311</v>
      </c>
      <c r="C161" s="115" t="s">
        <v>312</v>
      </c>
      <c r="D161" s="137">
        <f>SYNTHESE!C40</f>
        <v>0</v>
      </c>
    </row>
    <row r="162" spans="2:6" ht="27.95" customHeight="1" x14ac:dyDescent="0.25">
      <c r="B162" s="129" t="s">
        <v>313</v>
      </c>
      <c r="C162" s="115" t="s">
        <v>314</v>
      </c>
      <c r="D162" s="137">
        <f>D159-D160+D161</f>
        <v>0</v>
      </c>
    </row>
    <row r="163" spans="2:6" ht="27.95" customHeight="1" x14ac:dyDescent="0.25">
      <c r="B163" s="114" t="s">
        <v>315</v>
      </c>
      <c r="C163" s="115" t="s">
        <v>316</v>
      </c>
      <c r="D163" s="137">
        <f>IF('parametres chiffrage'!B3="Oui",'2069 A'!D162,"")</f>
        <v>0</v>
      </c>
    </row>
    <row r="164" spans="2:6" ht="27.95" customHeight="1" x14ac:dyDescent="0.25">
      <c r="B164" s="129" t="s">
        <v>317</v>
      </c>
      <c r="C164" s="115" t="s">
        <v>318</v>
      </c>
      <c r="D164" s="137">
        <f>IF('parametres chiffrage'!B3="Oui",'2069 A'!D163*0.5,'2069 A'!D162*0.4)</f>
        <v>0</v>
      </c>
      <c r="E164" s="41" t="b">
        <f>D164=SYNTHESE!C45</f>
        <v>1</v>
      </c>
    </row>
    <row r="165" spans="2:6" ht="50.1" customHeight="1" x14ac:dyDescent="0.25">
      <c r="B165" s="129" t="s">
        <v>319</v>
      </c>
      <c r="C165" s="115" t="s">
        <v>320</v>
      </c>
      <c r="D165" s="137"/>
      <c r="F165" s="41" t="s">
        <v>97</v>
      </c>
    </row>
    <row r="166" spans="2:6" ht="27.95" customHeight="1" x14ac:dyDescent="0.25">
      <c r="B166" s="129" t="s">
        <v>321</v>
      </c>
      <c r="C166" s="143" t="s">
        <v>322</v>
      </c>
      <c r="D166" s="144">
        <f>D164+D165</f>
        <v>0</v>
      </c>
    </row>
    <row r="169" spans="2:6" x14ac:dyDescent="0.25">
      <c r="D169" s="145" t="s">
        <v>323</v>
      </c>
    </row>
    <row r="170" spans="2:6" x14ac:dyDescent="0.25">
      <c r="D170" s="146" t="s">
        <v>324</v>
      </c>
    </row>
  </sheetData>
  <mergeCells count="20">
    <mergeCell ref="B43:D43"/>
    <mergeCell ref="B2:B4"/>
    <mergeCell ref="C2:C4"/>
    <mergeCell ref="D2:D4"/>
    <mergeCell ref="C25:D25"/>
    <mergeCell ref="B26:D26"/>
    <mergeCell ref="C54:D54"/>
    <mergeCell ref="C63:D63"/>
    <mergeCell ref="B76:D76"/>
    <mergeCell ref="B77:D77"/>
    <mergeCell ref="B78:D78"/>
    <mergeCell ref="B130:D130"/>
    <mergeCell ref="B154:D154"/>
    <mergeCell ref="C155:D155"/>
    <mergeCell ref="F103:F127"/>
    <mergeCell ref="B86:D86"/>
    <mergeCell ref="B101:D101"/>
    <mergeCell ref="B102:D102"/>
    <mergeCell ref="B113:D113"/>
    <mergeCell ref="C129:D129"/>
  </mergeCells>
  <conditionalFormatting sqref="C7">
    <cfRule type="containsText" dxfId="377" priority="46" operator="containsText" text="GRANDS COMPTES">
      <formula>NOT(ISERROR(SEARCH("GRANDS COMPTES",C7)))</formula>
    </cfRule>
    <cfRule type="containsText" dxfId="376" priority="47" operator="containsText" text="STANDARD">
      <formula>NOT(ISERROR(SEARCH("STANDARD",C7)))</formula>
    </cfRule>
    <cfRule type="containsText" dxfId="375" priority="48" operator="containsText" text="PREMIUM">
      <formula>NOT(ISERROR(SEARCH("PREMIUM",C7)))</formula>
    </cfRule>
    <cfRule type="containsText" dxfId="374" priority="49" operator="containsText" text="CIRANO">
      <formula>NOT(ISERROR(SEARCH("CIRANO",C7)))</formula>
    </cfRule>
    <cfRule type="cellIs" dxfId="373" priority="50" operator="equal">
      <formula>"""CIRANO"""</formula>
    </cfRule>
  </conditionalFormatting>
  <conditionalFormatting sqref="C9">
    <cfRule type="cellIs" dxfId="372" priority="40" operator="equal">
      <formula>"Industrie"</formula>
    </cfRule>
    <cfRule type="cellIs" dxfId="371" priority="41" operator="equal">
      <formula>"Énergie"</formula>
    </cfRule>
    <cfRule type="cellIs" dxfId="370" priority="42" operator="equal">
      <formula>"Digital"</formula>
    </cfRule>
    <cfRule type="cellIs" dxfId="369" priority="43" operator="equal">
      <formula>"Biotech"</formula>
    </cfRule>
  </conditionalFormatting>
  <conditionalFormatting sqref="C18:C20">
    <cfRule type="containsText" dxfId="368" priority="28" operator="containsText" text="GRANDS COMPTES">
      <formula>NOT(ISERROR(SEARCH("GRANDS COMPTES",C18)))</formula>
    </cfRule>
    <cfRule type="containsText" dxfId="367" priority="29" operator="containsText" text="STANDARD">
      <formula>NOT(ISERROR(SEARCH("STANDARD",C18)))</formula>
    </cfRule>
    <cfRule type="containsText" dxfId="366" priority="30" operator="containsText" text="PREMIUM">
      <formula>NOT(ISERROR(SEARCH("PREMIUM",C18)))</formula>
    </cfRule>
    <cfRule type="containsText" dxfId="365" priority="31" operator="containsText" text="CIRANO">
      <formula>NOT(ISERROR(SEARCH("CIRANO",C18)))</formula>
    </cfRule>
    <cfRule type="cellIs" dxfId="364" priority="32" operator="equal">
      <formula>"""CIRANO"""</formula>
    </cfRule>
  </conditionalFormatting>
  <conditionalFormatting sqref="C21">
    <cfRule type="containsText" dxfId="363" priority="21" operator="containsText" text="GRANDS COMPTES">
      <formula>NOT(ISERROR(SEARCH("GRANDS COMPTES",C21)))</formula>
    </cfRule>
    <cfRule type="containsText" dxfId="362" priority="22" operator="containsText" text="STANDARD">
      <formula>NOT(ISERROR(SEARCH("STANDARD",C21)))</formula>
    </cfRule>
    <cfRule type="containsText" dxfId="361" priority="23" operator="containsText" text="PREMIUM">
      <formula>NOT(ISERROR(SEARCH("PREMIUM",C21)))</formula>
    </cfRule>
    <cfRule type="containsText" dxfId="360" priority="24" operator="containsText" text="CIRANO">
      <formula>NOT(ISERROR(SEARCH("CIRANO",C21)))</formula>
    </cfRule>
    <cfRule type="cellIs" dxfId="359" priority="25" operator="equal">
      <formula>"""CIRANO"""</formula>
    </cfRule>
  </conditionalFormatting>
  <conditionalFormatting sqref="C22:C23">
    <cfRule type="containsText" dxfId="358" priority="14" operator="containsText" text="GRANDS COMPTES">
      <formula>NOT(ISERROR(SEARCH("GRANDS COMPTES",C22)))</formula>
    </cfRule>
    <cfRule type="containsText" dxfId="357" priority="15" operator="containsText" text="STANDARD">
      <formula>NOT(ISERROR(SEARCH("STANDARD",C22)))</formula>
    </cfRule>
    <cfRule type="containsText" dxfId="356" priority="16" operator="containsText" text="PREMIUM">
      <formula>NOT(ISERROR(SEARCH("PREMIUM",C22)))</formula>
    </cfRule>
    <cfRule type="containsText" dxfId="355" priority="17" operator="containsText" text="CIRANO">
      <formula>NOT(ISERROR(SEARCH("CIRANO",C22)))</formula>
    </cfRule>
    <cfRule type="cellIs" dxfId="354" priority="18" operator="equal">
      <formula>"""CIRANO"""</formula>
    </cfRule>
  </conditionalFormatting>
  <conditionalFormatting sqref="C6">
    <cfRule type="containsText" dxfId="353" priority="4" operator="containsText" text="GRANDS COMPTES">
      <formula>NOT(ISERROR(SEARCH("GRANDS COMPTES",C6)))</formula>
    </cfRule>
    <cfRule type="containsText" dxfId="352" priority="5" operator="containsText" text="STANDARD">
      <formula>NOT(ISERROR(SEARCH("STANDARD",C6)))</formula>
    </cfRule>
    <cfRule type="containsText" dxfId="351" priority="6" operator="containsText" text="PREMIUM">
      <formula>NOT(ISERROR(SEARCH("PREMIUM",C6)))</formula>
    </cfRule>
    <cfRule type="containsText" dxfId="350" priority="7" operator="containsText" text="CIRANO">
      <formula>NOT(ISERROR(SEARCH("CIRANO",C6)))</formula>
    </cfRule>
    <cfRule type="cellIs" dxfId="349" priority="8" operator="equal">
      <formula>"""CIRANO"""</formula>
    </cfRule>
  </conditionalFormatting>
  <conditionalFormatting sqref="C166:D166 C55:D55 C79:D79 C98:D98 D169:D170 C151:D151 C136:D137 C73:D73 C60:D60 C52:D52 C41:D41 B2:D2">
    <cfRule type="expression" dxfId="348" priority="73">
      <formula>#REF!="CII"</formula>
    </cfRule>
  </conditionalFormatting>
  <conditionalFormatting sqref="C8 B5:B23">
    <cfRule type="expression" dxfId="347" priority="96">
      <formula>#REF!="CIR"</formula>
    </cfRule>
    <cfRule type="expression" dxfId="346" priority="97">
      <formula>#REF!="CII"</formula>
    </cfRule>
  </conditionalFormatting>
  <conditionalFormatting sqref="C10:C14 C16:C22">
    <cfRule type="expression" dxfId="345" priority="102">
      <formula>#REF!="CII"</formula>
    </cfRule>
  </conditionalFormatting>
  <conditionalFormatting sqref="E1:E1048576">
    <cfRule type="containsText" dxfId="344" priority="1" operator="containsText" text="VRAI">
      <formula>NOT(ISERROR(SEARCH("VRAI",E1)))</formula>
    </cfRule>
    <cfRule type="containsText" dxfId="343" priority="2" operator="containsText" text="FAUX">
      <formula>NOT(ISERROR(SEARCH("FAUX",E1)))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E86E-62ED-4814-9BBC-6F87B2FCD299}">
  <sheetPr codeName="Feuil11">
    <tabColor theme="1" tint="0.499984740745262"/>
  </sheetPr>
  <dimension ref="B2:G20"/>
  <sheetViews>
    <sheetView workbookViewId="0">
      <selection activeCell="J14" sqref="J14"/>
    </sheetView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27" bestFit="1" customWidth="1"/>
    <col min="4" max="4" width="60.7109375" customWidth="1"/>
    <col min="5" max="5" width="11.7109375" customWidth="1"/>
    <col min="6" max="6" width="22.85546875" bestFit="1" customWidth="1"/>
    <col min="7" max="7" width="22.140625" bestFit="1" customWidth="1"/>
  </cols>
  <sheetData>
    <row r="2" spans="2:7" ht="16.5" thickBot="1" x14ac:dyDescent="0.35">
      <c r="B2" s="159" t="s">
        <v>325</v>
      </c>
      <c r="C2" s="176" t="str">
        <f>'2069 A'!C5</f>
        <v>01/01/2025</v>
      </c>
      <c r="D2" s="176" t="str">
        <f>'2069 A'!D5</f>
        <v>31/12/2025</v>
      </c>
    </row>
    <row r="3" spans="2:7" ht="16.5" thickBot="1" x14ac:dyDescent="0.35">
      <c r="B3" s="159" t="s">
        <v>73</v>
      </c>
      <c r="C3" s="542" t="str">
        <f>'2069 A'!C6</f>
        <v>PILI</v>
      </c>
      <c r="D3" s="542"/>
      <c r="G3" s="177"/>
    </row>
    <row r="4" spans="2:7" ht="16.5" thickBot="1" x14ac:dyDescent="0.35">
      <c r="B4" s="159" t="s">
        <v>74</v>
      </c>
      <c r="C4" s="543">
        <f>'2069 A'!C7</f>
        <v>811524545</v>
      </c>
      <c r="D4" s="542"/>
      <c r="G4" s="178"/>
    </row>
    <row r="5" spans="2:7" ht="16.5" thickBot="1" x14ac:dyDescent="0.35">
      <c r="B5" s="159" t="s">
        <v>75</v>
      </c>
      <c r="C5" s="542" t="str">
        <f>'2069 A'!C8</f>
        <v>4789Z</v>
      </c>
      <c r="D5" s="542"/>
      <c r="G5" s="179"/>
    </row>
    <row r="6" spans="2:7" ht="16.5" thickBot="1" x14ac:dyDescent="0.35">
      <c r="B6" s="159" t="s">
        <v>76</v>
      </c>
      <c r="C6" s="542" t="str">
        <f>'2069 A'!C9</f>
        <v>B1</v>
      </c>
      <c r="D6" s="542"/>
      <c r="G6" s="180"/>
    </row>
    <row r="7" spans="2:7" ht="16.5" thickBot="1" x14ac:dyDescent="0.35">
      <c r="B7" s="159" t="s">
        <v>77</v>
      </c>
      <c r="C7" s="544" t="str">
        <f>'2069 A'!C10</f>
        <v>3 RUE Ariane 31520 RAMONVILLE-SAINT-AGNE</v>
      </c>
      <c r="D7" s="542"/>
    </row>
    <row r="10" spans="2:7" ht="16.5" thickBot="1" x14ac:dyDescent="0.35">
      <c r="B10" s="182" t="s">
        <v>326</v>
      </c>
      <c r="C10" s="182"/>
      <c r="D10" s="183"/>
      <c r="E10" s="182" t="s">
        <v>327</v>
      </c>
      <c r="F10" s="184"/>
      <c r="G10" s="182"/>
    </row>
    <row r="11" spans="2:7" ht="16.5" thickBot="1" x14ac:dyDescent="0.35">
      <c r="B11" s="526" t="s">
        <v>328</v>
      </c>
      <c r="C11" s="526" t="s">
        <v>329</v>
      </c>
      <c r="D11" s="526" t="s">
        <v>330</v>
      </c>
      <c r="E11" s="526" t="s">
        <v>331</v>
      </c>
      <c r="F11" s="526" t="s">
        <v>332</v>
      </c>
      <c r="G11" s="526" t="s">
        <v>333</v>
      </c>
    </row>
    <row r="12" spans="2:7" x14ac:dyDescent="0.25">
      <c r="B12" t="s">
        <v>334</v>
      </c>
      <c r="C12" t="s">
        <v>1320</v>
      </c>
      <c r="D12" t="s">
        <v>1322</v>
      </c>
      <c r="E12" t="s">
        <v>13</v>
      </c>
      <c r="F12" t="s">
        <v>1402</v>
      </c>
      <c r="G12" s="148">
        <v>66109</v>
      </c>
    </row>
    <row r="13" spans="2:7" x14ac:dyDescent="0.25">
      <c r="B13">
        <v>451416747</v>
      </c>
      <c r="C13" t="s">
        <v>1290</v>
      </c>
      <c r="D13" t="s">
        <v>1292</v>
      </c>
      <c r="E13" t="s">
        <v>13</v>
      </c>
      <c r="F13" t="s">
        <v>1403</v>
      </c>
      <c r="G13" s="148">
        <v>99480</v>
      </c>
    </row>
    <row r="14" spans="2:7" x14ac:dyDescent="0.25">
      <c r="B14">
        <v>197534712</v>
      </c>
      <c r="C14" t="s">
        <v>1159</v>
      </c>
      <c r="D14" t="s">
        <v>1296</v>
      </c>
      <c r="E14" t="s">
        <v>13</v>
      </c>
      <c r="F14" t="s">
        <v>1403</v>
      </c>
      <c r="G14" s="148">
        <v>37600</v>
      </c>
    </row>
    <row r="15" spans="2:7" x14ac:dyDescent="0.25">
      <c r="B15">
        <v>197601651</v>
      </c>
      <c r="C15" t="s">
        <v>1307</v>
      </c>
      <c r="D15" t="s">
        <v>1309</v>
      </c>
      <c r="E15" t="s">
        <v>13</v>
      </c>
      <c r="F15" t="s">
        <v>1403</v>
      </c>
      <c r="G15" s="148">
        <v>8220</v>
      </c>
    </row>
    <row r="16" spans="2:7" x14ac:dyDescent="0.25">
      <c r="B16">
        <v>784262644</v>
      </c>
      <c r="C16" t="s">
        <v>1165</v>
      </c>
      <c r="D16" t="s">
        <v>1315</v>
      </c>
      <c r="E16" t="s">
        <v>13</v>
      </c>
      <c r="F16" t="s">
        <v>1403</v>
      </c>
      <c r="G16" s="148">
        <v>2668.26</v>
      </c>
    </row>
    <row r="17" spans="2:7" x14ac:dyDescent="0.25">
      <c r="B17">
        <v>424864668</v>
      </c>
      <c r="C17" t="s">
        <v>1318</v>
      </c>
      <c r="D17" t="s">
        <v>1317</v>
      </c>
      <c r="E17" t="s">
        <v>13</v>
      </c>
      <c r="F17" t="s">
        <v>1403</v>
      </c>
      <c r="G17" s="148">
        <v>3400</v>
      </c>
    </row>
    <row r="18" spans="2:7" x14ac:dyDescent="0.25">
      <c r="B18">
        <v>938271392</v>
      </c>
      <c r="C18" t="s">
        <v>1332</v>
      </c>
      <c r="D18" t="s">
        <v>1333</v>
      </c>
      <c r="E18" t="s">
        <v>13</v>
      </c>
      <c r="F18" t="s">
        <v>1403</v>
      </c>
      <c r="G18" s="148">
        <v>249</v>
      </c>
    </row>
    <row r="19" spans="2:7" x14ac:dyDescent="0.25">
      <c r="B19">
        <v>810453332</v>
      </c>
      <c r="C19" t="s">
        <v>1336</v>
      </c>
      <c r="D19" t="s">
        <v>1338</v>
      </c>
      <c r="E19" t="s">
        <v>13</v>
      </c>
      <c r="F19" t="s">
        <v>1403</v>
      </c>
      <c r="G19" s="148">
        <v>19260</v>
      </c>
    </row>
    <row r="20" spans="2:7" x14ac:dyDescent="0.25">
      <c r="B20" s="193" t="s">
        <v>335</v>
      </c>
      <c r="C20" s="193"/>
      <c r="D20" s="193"/>
      <c r="E20" s="193"/>
      <c r="F20" s="193"/>
      <c r="G20" s="194">
        <v>236986.26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342" priority="7" operator="containsText" text="GRANDS COMPTES">
      <formula>NOT(ISERROR(SEARCH("GRANDS COMPTES",G3)))</formula>
    </cfRule>
    <cfRule type="containsText" dxfId="341" priority="8" operator="containsText" text="STANDARD">
      <formula>NOT(ISERROR(SEARCH("STANDARD",G3)))</formula>
    </cfRule>
    <cfRule type="containsText" dxfId="340" priority="9" operator="containsText" text="PREMIUM">
      <formula>NOT(ISERROR(SEARCH("PREMIUM",G3)))</formula>
    </cfRule>
    <cfRule type="containsText" dxfId="339" priority="10" operator="containsText" text="CIRANO">
      <formula>NOT(ISERROR(SEARCH("CIRANO",G3)))</formula>
    </cfRule>
    <cfRule type="cellIs" dxfId="338" priority="11" operator="equal">
      <formula>"""CIRANO"""</formula>
    </cfRule>
  </conditionalFormatting>
  <conditionalFormatting sqref="G5">
    <cfRule type="expression" dxfId="337" priority="16">
      <formula>$P$3="CIR"</formula>
    </cfRule>
    <cfRule type="expression" dxfId="336" priority="17">
      <formula>$P$3="CII"</formula>
    </cfRule>
  </conditionalFormatting>
  <conditionalFormatting sqref="G6">
    <cfRule type="cellIs" dxfId="335" priority="12" operator="equal">
      <formula>"Industrie"</formula>
    </cfRule>
    <cfRule type="cellIs" dxfId="334" priority="13" operator="equal">
      <formula>"Énergie"</formula>
    </cfRule>
    <cfRule type="cellIs" dxfId="333" priority="14" operator="equal">
      <formula>"Digital"</formula>
    </cfRule>
    <cfRule type="cellIs" dxfId="332" priority="15" operator="equal">
      <formula>"Biotech"</formula>
    </cfRule>
  </conditionalFormatting>
  <conditionalFormatting sqref="B2:B7">
    <cfRule type="expression" dxfId="331" priority="5">
      <formula>#REF!="CIR"</formula>
    </cfRule>
    <cfRule type="expression" dxfId="330" priority="6">
      <formula>#REF!="CII"</formula>
    </cfRule>
  </conditionalFormatting>
  <conditionalFormatting sqref="B10:G10">
    <cfRule type="expression" dxfId="329" priority="3">
      <formula>#REF!="CIR"</formula>
    </cfRule>
    <cfRule type="expression" dxfId="328" priority="4">
      <formula>#REF!="CII"</formula>
    </cfRule>
  </conditionalFormatting>
  <conditionalFormatting sqref="B11:G11">
    <cfRule type="expression" dxfId="327" priority="1">
      <formula>#REF!="CIR"</formula>
    </cfRule>
    <cfRule type="expression" dxfId="326" priority="2">
      <formula>#REF!="CII"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60F6D-EB41-4756-87E5-2E218AD02067}">
  <sheetPr codeName="Feuil30">
    <tabColor theme="1" tint="0.499984740745262"/>
  </sheetPr>
  <dimension ref="B2:G13"/>
  <sheetViews>
    <sheetView workbookViewId="0">
      <selection activeCell="B10" sqref="B10:G13"/>
    </sheetView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27" bestFit="1" customWidth="1"/>
    <col min="4" max="4" width="60.7109375" customWidth="1"/>
    <col min="5" max="5" width="11.7109375" customWidth="1"/>
    <col min="6" max="6" width="22.85546875" bestFit="1" customWidth="1"/>
    <col min="7" max="7" width="22.140625" bestFit="1" customWidth="1"/>
  </cols>
  <sheetData>
    <row r="2" spans="2:7" ht="16.5" thickBot="1" x14ac:dyDescent="0.35">
      <c r="B2" s="159" t="s">
        <v>325</v>
      </c>
      <c r="C2" s="176" t="str">
        <f>'2069 A'!C5</f>
        <v>01/01/2025</v>
      </c>
      <c r="D2" s="176" t="str">
        <f>'2069 A'!D5</f>
        <v>31/12/2025</v>
      </c>
    </row>
    <row r="3" spans="2:7" ht="16.5" thickBot="1" x14ac:dyDescent="0.35">
      <c r="B3" s="159" t="s">
        <v>73</v>
      </c>
      <c r="C3" s="542" t="str">
        <f>'2069 A'!C6</f>
        <v>PILI</v>
      </c>
      <c r="D3" s="542"/>
      <c r="G3" s="177"/>
    </row>
    <row r="4" spans="2:7" ht="16.5" thickBot="1" x14ac:dyDescent="0.35">
      <c r="B4" s="159" t="s">
        <v>74</v>
      </c>
      <c r="C4" s="543">
        <f>'2069 A'!C7</f>
        <v>811524545</v>
      </c>
      <c r="D4" s="542"/>
      <c r="G4" s="178"/>
    </row>
    <row r="5" spans="2:7" ht="16.5" thickBot="1" x14ac:dyDescent="0.35">
      <c r="B5" s="159" t="s">
        <v>75</v>
      </c>
      <c r="C5" s="542" t="str">
        <f>'2069 A'!C8</f>
        <v>4789Z</v>
      </c>
      <c r="D5" s="542"/>
      <c r="G5" s="179"/>
    </row>
    <row r="6" spans="2:7" ht="16.5" thickBot="1" x14ac:dyDescent="0.35">
      <c r="B6" s="159" t="s">
        <v>76</v>
      </c>
      <c r="C6" s="542" t="str">
        <f>'2069 A'!C9</f>
        <v>B1</v>
      </c>
      <c r="D6" s="542"/>
      <c r="G6" s="180"/>
    </row>
    <row r="7" spans="2:7" ht="16.5" thickBot="1" x14ac:dyDescent="0.35">
      <c r="B7" s="159" t="s">
        <v>77</v>
      </c>
      <c r="C7" s="544" t="str">
        <f>'2069 A'!C10</f>
        <v>3 RUE Ariane 31520 RAMONVILLE-SAINT-AGNE</v>
      </c>
      <c r="D7" s="542"/>
    </row>
    <row r="10" spans="2:7" ht="16.5" thickBot="1" x14ac:dyDescent="0.35">
      <c r="B10" s="182" t="s">
        <v>326</v>
      </c>
      <c r="C10" s="182"/>
      <c r="D10" s="183"/>
      <c r="E10" s="182" t="s">
        <v>327</v>
      </c>
      <c r="F10" s="184"/>
      <c r="G10" s="182"/>
    </row>
    <row r="11" spans="2:7" ht="15.75" x14ac:dyDescent="0.3">
      <c r="B11" s="526" t="s">
        <v>328</v>
      </c>
      <c r="C11" s="526" t="s">
        <v>329</v>
      </c>
      <c r="D11" s="526" t="s">
        <v>330</v>
      </c>
      <c r="E11" s="526" t="s">
        <v>331</v>
      </c>
      <c r="F11" s="526" t="s">
        <v>332</v>
      </c>
      <c r="G11" s="526" t="s">
        <v>333</v>
      </c>
    </row>
    <row r="12" spans="2:7" x14ac:dyDescent="0.25">
      <c r="B12">
        <v>180070039</v>
      </c>
      <c r="C12" t="s">
        <v>1163</v>
      </c>
      <c r="D12" t="s">
        <v>1304</v>
      </c>
      <c r="E12" t="s">
        <v>41</v>
      </c>
      <c r="F12" t="s">
        <v>1404</v>
      </c>
      <c r="G12" s="148">
        <v>0</v>
      </c>
    </row>
    <row r="13" spans="2:7" x14ac:dyDescent="0.25">
      <c r="B13" s="193" t="s">
        <v>335</v>
      </c>
      <c r="C13" s="193"/>
      <c r="D13" s="193"/>
      <c r="E13" s="193"/>
      <c r="F13" s="193"/>
      <c r="G13" s="194">
        <v>0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315" priority="7" operator="containsText" text="GRANDS COMPTES">
      <formula>NOT(ISERROR(SEARCH("GRANDS COMPTES",G3)))</formula>
    </cfRule>
    <cfRule type="containsText" dxfId="314" priority="8" operator="containsText" text="STANDARD">
      <formula>NOT(ISERROR(SEARCH("STANDARD",G3)))</formula>
    </cfRule>
    <cfRule type="containsText" dxfId="313" priority="9" operator="containsText" text="PREMIUM">
      <formula>NOT(ISERROR(SEARCH("PREMIUM",G3)))</formula>
    </cfRule>
    <cfRule type="containsText" dxfId="312" priority="10" operator="containsText" text="CIRANO">
      <formula>NOT(ISERROR(SEARCH("CIRANO",G3)))</formula>
    </cfRule>
    <cfRule type="cellIs" dxfId="311" priority="11" operator="equal">
      <formula>"""CIRANO"""</formula>
    </cfRule>
  </conditionalFormatting>
  <conditionalFormatting sqref="G5">
    <cfRule type="expression" dxfId="310" priority="16">
      <formula>$P$3="CIR"</formula>
    </cfRule>
    <cfRule type="expression" dxfId="309" priority="17">
      <formula>$P$3="CII"</formula>
    </cfRule>
  </conditionalFormatting>
  <conditionalFormatting sqref="G6">
    <cfRule type="cellIs" dxfId="308" priority="12" operator="equal">
      <formula>"Industrie"</formula>
    </cfRule>
    <cfRule type="cellIs" dxfId="307" priority="13" operator="equal">
      <formula>"Énergie"</formula>
    </cfRule>
    <cfRule type="cellIs" dxfId="306" priority="14" operator="equal">
      <formula>"Digital"</formula>
    </cfRule>
    <cfRule type="cellIs" dxfId="305" priority="15" operator="equal">
      <formula>"Biotech"</formula>
    </cfRule>
  </conditionalFormatting>
  <conditionalFormatting sqref="B2:B7">
    <cfRule type="expression" dxfId="304" priority="5">
      <formula>#REF!="CIR"</formula>
    </cfRule>
    <cfRule type="expression" dxfId="303" priority="6">
      <formula>#REF!="CII"</formula>
    </cfRule>
  </conditionalFormatting>
  <conditionalFormatting sqref="B10:G10">
    <cfRule type="expression" dxfId="302" priority="3">
      <formula>#REF!="CIR"</formula>
    </cfRule>
    <cfRule type="expression" dxfId="301" priority="4">
      <formula>#REF!="CII"</formula>
    </cfRule>
  </conditionalFormatting>
  <conditionalFormatting sqref="B11:G11">
    <cfRule type="expression" dxfId="300" priority="1">
      <formula>#REF!="CIR"</formula>
    </cfRule>
    <cfRule type="expression" dxfId="299" priority="2">
      <formula>#REF!="CII"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7846-B320-432C-A1C5-EC40C1374784}">
  <sheetPr codeName="Feuil2">
    <tabColor theme="6"/>
  </sheetPr>
  <dimension ref="A1:P29"/>
  <sheetViews>
    <sheetView tabSelected="1" topLeftCell="A5" workbookViewId="0">
      <selection activeCell="B21" sqref="B21"/>
    </sheetView>
  </sheetViews>
  <sheetFormatPr baseColWidth="10" defaultColWidth="11.42578125" defaultRowHeight="15" x14ac:dyDescent="0.25"/>
  <cols>
    <col min="1" max="1" width="36" bestFit="1" customWidth="1"/>
    <col min="2" max="2" width="12.5703125" bestFit="1" customWidth="1"/>
    <col min="3" max="3" width="23.28515625" customWidth="1"/>
    <col min="4" max="5" width="21.140625" customWidth="1"/>
    <col min="6" max="6" width="22.7109375" customWidth="1"/>
    <col min="7" max="7" width="14.5703125" customWidth="1"/>
  </cols>
  <sheetData>
    <row r="1" spans="1:16" ht="18" x14ac:dyDescent="0.25">
      <c r="A1" s="546" t="s">
        <v>336</v>
      </c>
      <c r="B1" s="546"/>
      <c r="C1" s="24" t="str">
        <f>IF(B2="oui","Date début d'exercice","")</f>
        <v/>
      </c>
      <c r="D1" s="24" t="str">
        <f>IF(B2="oui","Date fin d'exercice","")</f>
        <v/>
      </c>
    </row>
    <row r="2" spans="1:16" ht="36" x14ac:dyDescent="0.55000000000000004">
      <c r="A2" s="3" t="s">
        <v>337</v>
      </c>
      <c r="B2" s="1" t="s">
        <v>28</v>
      </c>
      <c r="C2" s="2"/>
      <c r="D2" s="2"/>
      <c r="G2" s="211" t="str">
        <f>IF(OR(ISBLANK(B2),ISBLANK(B3),ISBLANK(B4),ISBLANK(B5),ISBLANK(B6),ISBLANK(B7),ISBLANK(B8),ISBLANK(B9),ISBLANK(B10),ISBLANK(B13)),"Saisie du formulaire non finalisée","")</f>
        <v/>
      </c>
      <c r="P2" s="297"/>
    </row>
    <row r="3" spans="1:16" ht="16.5" x14ac:dyDescent="0.3">
      <c r="A3" s="3" t="s">
        <v>85</v>
      </c>
      <c r="B3" s="1" t="s">
        <v>15</v>
      </c>
      <c r="C3" s="2"/>
      <c r="D3" s="2"/>
      <c r="P3" s="297"/>
    </row>
    <row r="4" spans="1:16" ht="16.5" x14ac:dyDescent="0.3">
      <c r="A4" s="3" t="s">
        <v>12</v>
      </c>
      <c r="B4" s="1" t="s">
        <v>28</v>
      </c>
      <c r="C4" s="2"/>
      <c r="D4" s="2"/>
      <c r="P4" s="297"/>
    </row>
    <row r="5" spans="1:16" ht="16.5" x14ac:dyDescent="0.3">
      <c r="A5" s="3" t="s">
        <v>338</v>
      </c>
      <c r="B5" s="1" t="s">
        <v>28</v>
      </c>
      <c r="C5" s="2"/>
      <c r="D5" s="2"/>
      <c r="P5" s="297"/>
    </row>
    <row r="6" spans="1:16" ht="16.5" x14ac:dyDescent="0.3">
      <c r="A6" s="3" t="s">
        <v>339</v>
      </c>
      <c r="B6" s="1" t="s">
        <v>31</v>
      </c>
      <c r="C6" s="2"/>
      <c r="D6" s="2"/>
      <c r="P6" s="297"/>
    </row>
    <row r="7" spans="1:16" ht="16.5" x14ac:dyDescent="0.3">
      <c r="A7" s="3" t="s">
        <v>340</v>
      </c>
      <c r="B7" s="1" t="s">
        <v>62</v>
      </c>
      <c r="C7" s="27" t="s">
        <v>341</v>
      </c>
      <c r="D7" s="27" t="s">
        <v>342</v>
      </c>
      <c r="E7" s="27" t="s">
        <v>343</v>
      </c>
      <c r="P7" s="297"/>
    </row>
    <row r="8" spans="1:16" ht="16.5" x14ac:dyDescent="0.3">
      <c r="A8" s="3" t="s">
        <v>344</v>
      </c>
      <c r="B8" s="1" t="s">
        <v>56</v>
      </c>
      <c r="C8" s="1" t="s">
        <v>870</v>
      </c>
      <c r="D8" s="1" t="s">
        <v>871</v>
      </c>
      <c r="E8" s="1" t="s">
        <v>872</v>
      </c>
      <c r="P8" s="297"/>
    </row>
    <row r="9" spans="1:16" s="53" customFormat="1" ht="81" customHeight="1" x14ac:dyDescent="0.25">
      <c r="A9" s="50" t="s">
        <v>345</v>
      </c>
      <c r="B9" s="51" t="s">
        <v>15</v>
      </c>
      <c r="C9" s="54" t="str">
        <f>IF(B9="oui","est ce que le CR est classé ?",IF(B9="non","La préparation de la matrice peut être initiée mais le chiffrage ne doit pas être fait",IF(B9="en cours","Se rapprocher du RTE pour faire valider le périmètre","")))</f>
        <v>est ce que le CR est classé ?</v>
      </c>
      <c r="D9" s="52"/>
      <c r="P9" s="298"/>
    </row>
    <row r="10" spans="1:16" ht="16.5" x14ac:dyDescent="0.25">
      <c r="A10" s="50" t="s">
        <v>346</v>
      </c>
      <c r="B10" s="51">
        <v>2025</v>
      </c>
      <c r="C10" s="155" t="str">
        <f>IF(ISBLANK(B10),"",IF(B10&lt;2023,"le Cerfa de cette matrice n'est pas compatible, les regles de calcul ne sont pas les mêmes",""))</f>
        <v/>
      </c>
      <c r="P10" s="297"/>
    </row>
    <row r="11" spans="1:16" ht="18" x14ac:dyDescent="0.35">
      <c r="D11" s="433" t="s">
        <v>825</v>
      </c>
      <c r="E11" s="433"/>
      <c r="F11" s="433"/>
      <c r="H11" s="433" t="s">
        <v>347</v>
      </c>
      <c r="I11" s="433"/>
      <c r="J11" s="433"/>
      <c r="P11" s="297"/>
    </row>
    <row r="12" spans="1:16" ht="18" x14ac:dyDescent="0.25">
      <c r="C12" s="434" t="s">
        <v>826</v>
      </c>
      <c r="D12" s="434" t="s">
        <v>13</v>
      </c>
      <c r="E12" s="434" t="s">
        <v>27</v>
      </c>
      <c r="F12" s="434" t="s">
        <v>38</v>
      </c>
      <c r="G12" s="434" t="s">
        <v>348</v>
      </c>
      <c r="H12" s="434" t="s">
        <v>13</v>
      </c>
      <c r="I12" s="434" t="s">
        <v>27</v>
      </c>
      <c r="J12" s="434" t="s">
        <v>38</v>
      </c>
      <c r="P12" s="297"/>
    </row>
    <row r="13" spans="1:16" ht="18" x14ac:dyDescent="0.25">
      <c r="A13" s="50" t="s">
        <v>349</v>
      </c>
      <c r="B13" s="431" t="s">
        <v>67</v>
      </c>
      <c r="C13" s="609">
        <v>12500</v>
      </c>
      <c r="D13" s="435">
        <f>IFERROR(C13*SYNTHESE!C28/(SYNTHESE!C28+SYNTHESE!D28+SYNTHESE!G28),0)</f>
        <v>12500</v>
      </c>
      <c r="E13" s="435">
        <f>IFERROR(C13*SYNTHESE!D28/(SYNTHESE!C28+SYNTHESE!D28+SYNTHESE!G28),0)</f>
        <v>0</v>
      </c>
      <c r="F13" s="435">
        <f>IFERROR(C13*SYNTHESE!G28/(SYNTHESE!C28+SYNTHESE!D28+SYNTHESE!G28),0)</f>
        <v>0</v>
      </c>
      <c r="G13" s="436">
        <v>12500</v>
      </c>
      <c r="H13" s="435">
        <f>IFERROR((G13-B15)*SYNTHESE!J28/(SYNTHESE!J28+SYNTHESE!K28+SYNTHESE!L28),0)</f>
        <v>12500</v>
      </c>
      <c r="I13" s="435">
        <f>IFERROR((G13-B15)*SYNTHESE!K28/(SYNTHESE!J28+SYNTHESE!K28+SYNTHESE!L28),0)</f>
        <v>0</v>
      </c>
      <c r="J13" s="435">
        <f>IFERROR((G13-B15)*SYNTHESE!L28/(SYNTHESE!J28+SYNTHESE!K28+SYNTHESE!L28),0)</f>
        <v>0</v>
      </c>
      <c r="L13" t="b">
        <f>C13=SUM(D13:F13)</f>
        <v>1</v>
      </c>
      <c r="M13" t="b">
        <f>G13-B15=SUM(H13:J13)</f>
        <v>1</v>
      </c>
      <c r="P13" s="297"/>
    </row>
    <row r="14" spans="1:16" ht="29.45" customHeight="1" x14ac:dyDescent="0.25">
      <c r="A14" s="223" t="s">
        <v>350</v>
      </c>
      <c r="B14" s="432"/>
      <c r="C14" s="435"/>
      <c r="D14" s="435"/>
      <c r="E14" s="435"/>
      <c r="F14" s="435"/>
      <c r="G14" s="435"/>
      <c r="H14" s="435">
        <f>IFERROR((G13-B14)*H13/G13,0)</f>
        <v>12500</v>
      </c>
      <c r="I14" s="435">
        <f>IFERROR((G13-B14)*I13/G13,0)</f>
        <v>0</v>
      </c>
      <c r="J14" s="435">
        <f>IFERROR((G13-B14)*J13/G13,0)</f>
        <v>0</v>
      </c>
      <c r="P14" s="297"/>
    </row>
    <row r="15" spans="1:16" ht="31.15" customHeight="1" x14ac:dyDescent="0.25">
      <c r="A15" s="223" t="s">
        <v>351</v>
      </c>
      <c r="B15" s="200"/>
      <c r="P15" s="297"/>
    </row>
    <row r="16" spans="1:16" x14ac:dyDescent="0.25">
      <c r="P16" s="297"/>
    </row>
    <row r="17" spans="1:16" ht="88.15" customHeight="1" x14ac:dyDescent="0.25">
      <c r="A17" s="224" t="s">
        <v>352</v>
      </c>
      <c r="B17" s="225"/>
      <c r="P17" s="297"/>
    </row>
    <row r="20" spans="1:16" ht="16.5" x14ac:dyDescent="0.25">
      <c r="A20" s="50" t="s">
        <v>353</v>
      </c>
      <c r="B20" s="207" t="b">
        <v>0</v>
      </c>
    </row>
    <row r="21" spans="1:16" ht="16.5" x14ac:dyDescent="0.25">
      <c r="A21" s="50" t="s">
        <v>354</v>
      </c>
      <c r="B21" s="207" t="b">
        <v>1</v>
      </c>
    </row>
    <row r="24" spans="1:16" s="55" customFormat="1" ht="49.5" x14ac:dyDescent="0.25">
      <c r="C24" s="212" t="s">
        <v>355</v>
      </c>
      <c r="D24" s="212" t="s">
        <v>356</v>
      </c>
      <c r="E24" s="212" t="s">
        <v>357</v>
      </c>
      <c r="F24" s="212" t="s">
        <v>358</v>
      </c>
    </row>
    <row r="25" spans="1:16" x14ac:dyDescent="0.25">
      <c r="A25" s="545" t="s">
        <v>359</v>
      </c>
      <c r="B25" s="545"/>
      <c r="C25" s="41" t="str">
        <f>IF(SUM(VALO_AMO!B:C)&gt;0,"FAUX","VRAI")</f>
        <v>VRAI</v>
      </c>
      <c r="D25" t="b">
        <f>SYNTHESE!C5='REP cout'!I5</f>
        <v>1</v>
      </c>
      <c r="E25" t="b">
        <f>SYNTHESE!D5='REP cout'!O33</f>
        <v>1</v>
      </c>
      <c r="F25" t="b">
        <f>SYNTHESE!G5='REP cout'!U33</f>
        <v>1</v>
      </c>
    </row>
    <row r="26" spans="1:16" x14ac:dyDescent="0.25">
      <c r="A26" s="545" t="s">
        <v>360</v>
      </c>
      <c r="B26" s="545"/>
      <c r="C26" s="41" t="str">
        <f>IF(SUM(VALO_PERSO!B:C)&gt;0,"FAUX","VRAI")</f>
        <v>VRAI</v>
      </c>
      <c r="D26" t="b">
        <f>SYNTHESE!C6+SYNTHESE!C7='REP cout'!I6+'REP cout'!I7</f>
        <v>1</v>
      </c>
      <c r="E26" t="b">
        <f>SYNTHESE!D6='REP cout'!O34</f>
        <v>1</v>
      </c>
      <c r="F26" t="b">
        <f>SYNTHESE!G6='REP cout'!U34</f>
        <v>1</v>
      </c>
    </row>
    <row r="27" spans="1:16" x14ac:dyDescent="0.25">
      <c r="A27" s="545" t="s">
        <v>361</v>
      </c>
      <c r="B27" s="545"/>
      <c r="C27" t="s">
        <v>362</v>
      </c>
      <c r="D27" t="b">
        <f>SYNTHESE!C8='REP cout'!I8</f>
        <v>1</v>
      </c>
      <c r="E27" t="s">
        <v>362</v>
      </c>
      <c r="F27" t="b">
        <f>SYNTHESE!G8='REP cout'!U35</f>
        <v>1</v>
      </c>
    </row>
    <row r="28" spans="1:16" x14ac:dyDescent="0.25">
      <c r="A28" s="545" t="s">
        <v>363</v>
      </c>
      <c r="B28" s="545"/>
      <c r="C28" s="41" t="str">
        <f>IF(SUM(VALO_BREVET!B:B)&gt;0,"FAUX","VRAI")</f>
        <v>VRAI</v>
      </c>
      <c r="D28" s="41" t="b">
        <f>SYNTHESE!C9+SYNTHESE!C10+SYNTHESE!C13='REP cout'!I9+'REP cout'!I10+'REP cout'!I13</f>
        <v>1</v>
      </c>
      <c r="E28" s="41" t="b">
        <f>SYNTHESE!D9+SYNTHESE!D10='REP cout'!O35+'REP cout'!O36</f>
        <v>1</v>
      </c>
      <c r="F28" s="41" t="b">
        <f>SYNTHESE!G9+SYNTHESE!G10='REP cout'!U36+'REP cout'!U37</f>
        <v>1</v>
      </c>
    </row>
    <row r="29" spans="1:16" x14ac:dyDescent="0.25">
      <c r="A29" s="545" t="s">
        <v>364</v>
      </c>
      <c r="B29" s="545"/>
      <c r="C29" t="str">
        <f>IF(SUM(VALO_ST!B:B)&gt;0,"FAUX","VRAI")</f>
        <v>VRAI</v>
      </c>
      <c r="D29" t="b">
        <f>SYNTHESE!C15+SYNTHESE!C16+SYNTHESE!C17+SYNTHESE!C18='REP cout'!I15+'REP cout'!I16+'REP cout'!I17+'REP cout'!I18</f>
        <v>1</v>
      </c>
      <c r="E29" t="b">
        <f>SYNTHESE!D15='REP cout'!O37</f>
        <v>1</v>
      </c>
      <c r="F29" t="b">
        <f>SYNTHESE!G15='REP cout'!U38</f>
        <v>1</v>
      </c>
    </row>
  </sheetData>
  <mergeCells count="6">
    <mergeCell ref="A29:B29"/>
    <mergeCell ref="A1:B1"/>
    <mergeCell ref="A25:B25"/>
    <mergeCell ref="A26:B26"/>
    <mergeCell ref="A27:B27"/>
    <mergeCell ref="A28:B28"/>
  </mergeCells>
  <conditionalFormatting sqref="C1:D2">
    <cfRule type="expression" dxfId="288" priority="6">
      <formula>$B$2="oui"</formula>
    </cfRule>
  </conditionalFormatting>
  <conditionalFormatting sqref="D9">
    <cfRule type="expression" dxfId="287" priority="5">
      <formula>$B$9="oui"</formula>
    </cfRule>
  </conditionalFormatting>
  <conditionalFormatting sqref="C25:F29">
    <cfRule type="containsText" dxfId="286" priority="3" operator="containsText" text="FAUX">
      <formula>NOT(ISERROR(SEARCH("FAUX",C25)))</formula>
    </cfRule>
    <cfRule type="containsText" dxfId="285" priority="4" operator="containsText" text="VRAI">
      <formula>NOT(ISERROR(SEARCH("VRAI",C25)))</formula>
    </cfRule>
  </conditionalFormatting>
  <conditionalFormatting sqref="L1:M1048576">
    <cfRule type="containsText" dxfId="284" priority="1" operator="containsText" text="VRAI">
      <formula>NOT(ISERROR(SEARCH("VRAI",L1)))</formula>
    </cfRule>
    <cfRule type="containsText" dxfId="283" priority="2" operator="containsText" text="FAUX">
      <formula>NOT(ISERROR(SEARCH("FAUX",L1)))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2DE4A32-0504-4CBA-9BAD-58BA74C3E38A}">
          <x14:formula1>
            <xm:f>parametrage!$H$2:$H$3</xm:f>
          </x14:formula1>
          <xm:sqref>B2:B5</xm:sqref>
        </x14:dataValidation>
        <x14:dataValidation type="list" allowBlank="1" showInputMessage="1" showErrorMessage="1" xr:uid="{FA4DBA87-9CCD-4738-BB8B-B286F9D60F20}">
          <x14:formula1>
            <xm:f>parametrage!$I$2:$I$4</xm:f>
          </x14:formula1>
          <xm:sqref>B6</xm:sqref>
        </x14:dataValidation>
        <x14:dataValidation type="list" allowBlank="1" showInputMessage="1" showErrorMessage="1" xr:uid="{91467261-5BF6-494B-8C00-A87C4E6FF316}">
          <x14:formula1>
            <xm:f>parametrage!$A$2:$A$10</xm:f>
          </x14:formula1>
          <xm:sqref>B7</xm:sqref>
        </x14:dataValidation>
        <x14:dataValidation type="list" allowBlank="1" showInputMessage="1" showErrorMessage="1" xr:uid="{FE498E99-C13E-43EF-91D4-D8ECA50CCEB7}">
          <x14:formula1>
            <xm:f>parametrage!$J$2:$J$6</xm:f>
          </x14:formula1>
          <xm:sqref>B8</xm:sqref>
        </x14:dataValidation>
        <x14:dataValidation type="list" allowBlank="1" showInputMessage="1" showErrorMessage="1" xr:uid="{594232BD-649B-4B8A-B9C8-C2548C88BEAF}">
          <x14:formula1>
            <xm:f>parametrage!$K$2:$K$4</xm:f>
          </x14:formula1>
          <xm:sqref>B9</xm:sqref>
        </x14:dataValidation>
        <x14:dataValidation type="list" allowBlank="1" showInputMessage="1" showErrorMessage="1" xr:uid="{0302201D-ED84-4659-969B-7F176D89A1A1}">
          <x14:formula1>
            <xm:f>parametrage!$I$13:$I$15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8D2-3EFB-483B-A634-5ABE2A964801}">
  <sheetPr codeName="Feuil9"/>
  <dimension ref="A1:W184"/>
  <sheetViews>
    <sheetView workbookViewId="0">
      <selection activeCell="H21" sqref="B21:H21"/>
    </sheetView>
  </sheetViews>
  <sheetFormatPr baseColWidth="10" defaultColWidth="11.42578125" defaultRowHeight="15" x14ac:dyDescent="0.25"/>
  <cols>
    <col min="1" max="1" width="45.5703125" customWidth="1"/>
    <col min="2" max="2" width="37" customWidth="1"/>
    <col min="3" max="7" width="12.140625" customWidth="1"/>
    <col min="8" max="8" width="16.85546875" customWidth="1"/>
    <col min="9" max="10" width="12.42578125" customWidth="1"/>
  </cols>
  <sheetData>
    <row r="1" spans="1:23" x14ac:dyDescent="0.25">
      <c r="A1" t="s">
        <v>365</v>
      </c>
    </row>
    <row r="2" spans="1:23" ht="24" x14ac:dyDescent="0.4">
      <c r="A2" s="195"/>
    </row>
    <row r="3" spans="1:23" x14ac:dyDescent="0.25">
      <c r="A3" t="s">
        <v>366</v>
      </c>
    </row>
    <row r="4" spans="1:23" ht="25.5" x14ac:dyDescent="0.25">
      <c r="A4" t="s">
        <v>366</v>
      </c>
      <c r="B4" s="197" t="s">
        <v>367</v>
      </c>
      <c r="C4" s="197" t="s">
        <v>368</v>
      </c>
      <c r="D4" s="197" t="s">
        <v>369</v>
      </c>
      <c r="E4" s="197" t="s">
        <v>802</v>
      </c>
      <c r="F4" s="197" t="s">
        <v>803</v>
      </c>
      <c r="G4" s="197" t="s">
        <v>804</v>
      </c>
      <c r="H4" s="197" t="s">
        <v>48</v>
      </c>
      <c r="I4" s="197" t="s">
        <v>370</v>
      </c>
      <c r="J4" s="198" t="s">
        <v>371</v>
      </c>
      <c r="K4" s="199" t="s">
        <v>372</v>
      </c>
      <c r="L4" s="197" t="s">
        <v>373</v>
      </c>
      <c r="M4" s="198" t="s">
        <v>374</v>
      </c>
      <c r="N4" s="199" t="s">
        <v>372</v>
      </c>
      <c r="O4" s="197" t="s">
        <v>375</v>
      </c>
      <c r="P4" s="198" t="s">
        <v>376</v>
      </c>
      <c r="Q4" s="199" t="s">
        <v>372</v>
      </c>
      <c r="R4" s="197" t="s">
        <v>377</v>
      </c>
      <c r="S4" s="198" t="s">
        <v>378</v>
      </c>
      <c r="T4" s="199" t="s">
        <v>372</v>
      </c>
      <c r="U4" s="197" t="s">
        <v>379</v>
      </c>
      <c r="V4" s="198" t="s">
        <v>380</v>
      </c>
      <c r="W4" s="199" t="s">
        <v>372</v>
      </c>
    </row>
    <row r="5" spans="1:23" x14ac:dyDescent="0.25">
      <c r="A5" s="197">
        <v>1</v>
      </c>
      <c r="B5" s="200" t="s">
        <v>874</v>
      </c>
      <c r="C5" s="200" t="s">
        <v>875</v>
      </c>
      <c r="D5" s="200" t="s">
        <v>876</v>
      </c>
      <c r="E5" s="200" t="s">
        <v>877</v>
      </c>
      <c r="F5" s="200">
        <v>2013</v>
      </c>
      <c r="G5" s="464">
        <v>42461</v>
      </c>
      <c r="H5" s="200" t="s">
        <v>22</v>
      </c>
      <c r="I5" s="200"/>
      <c r="J5" s="465">
        <v>87261.37</v>
      </c>
      <c r="K5" s="200">
        <f>IFERROR((I5-J5)/J5,0)</f>
        <v>-1</v>
      </c>
      <c r="L5" s="200"/>
      <c r="M5" s="465">
        <v>1672.04</v>
      </c>
      <c r="N5" s="200">
        <f>IFERROR((L5-M5)/M5,0)</f>
        <v>-1</v>
      </c>
      <c r="O5" s="200"/>
      <c r="P5" s="465">
        <v>52.188566063012843</v>
      </c>
      <c r="Q5" s="200">
        <f>IFERROR((O5-P5)/P5,0)</f>
        <v>-1</v>
      </c>
      <c r="R5" s="200"/>
      <c r="S5" s="465">
        <v>1408.5500000000006</v>
      </c>
      <c r="T5" s="200">
        <f>IFERROR((R5-S5)/S5,0)</f>
        <v>-1</v>
      </c>
      <c r="V5">
        <f>S5/M5</f>
        <v>0.84241405707997452</v>
      </c>
    </row>
    <row r="6" spans="1:23" x14ac:dyDescent="0.25">
      <c r="A6" s="200">
        <v>4</v>
      </c>
      <c r="B6" s="200" t="s">
        <v>879</v>
      </c>
      <c r="C6" s="200" t="s">
        <v>880</v>
      </c>
      <c r="D6" s="200" t="s">
        <v>876</v>
      </c>
      <c r="E6" s="200" t="s">
        <v>881</v>
      </c>
      <c r="F6" s="200">
        <v>2013</v>
      </c>
      <c r="G6" s="464">
        <v>42552</v>
      </c>
      <c r="H6" s="200" t="s">
        <v>22</v>
      </c>
      <c r="I6" s="200"/>
      <c r="J6" s="465">
        <v>93712.680000000008</v>
      </c>
      <c r="K6" s="200"/>
      <c r="L6" s="200"/>
      <c r="M6" s="465">
        <v>1706.2399999999998</v>
      </c>
      <c r="N6" s="200"/>
      <c r="O6" s="200"/>
      <c r="P6" s="465">
        <v>54.923504313578405</v>
      </c>
      <c r="Q6" s="200"/>
      <c r="R6" s="200"/>
      <c r="S6" s="465">
        <v>1352.9999999999998</v>
      </c>
      <c r="T6" s="200"/>
      <c r="V6">
        <f t="shared" ref="V6:V44" si="0">S6/M6</f>
        <v>0.79297168042010502</v>
      </c>
    </row>
    <row r="7" spans="1:23" x14ac:dyDescent="0.25">
      <c r="A7" s="200">
        <v>5</v>
      </c>
      <c r="B7" s="200" t="s">
        <v>883</v>
      </c>
      <c r="C7" s="200" t="s">
        <v>884</v>
      </c>
      <c r="D7" s="200" t="s">
        <v>885</v>
      </c>
      <c r="E7" s="200" t="s">
        <v>886</v>
      </c>
      <c r="F7" s="200">
        <v>2016</v>
      </c>
      <c r="G7" s="464">
        <v>42678</v>
      </c>
      <c r="H7" s="200" t="s">
        <v>22</v>
      </c>
      <c r="I7" s="200"/>
      <c r="J7" s="465">
        <v>215861.93</v>
      </c>
      <c r="K7" s="200"/>
      <c r="L7" s="200"/>
      <c r="M7" s="465">
        <v>1702.44</v>
      </c>
      <c r="N7" s="200"/>
      <c r="O7" s="200"/>
      <c r="P7" s="465">
        <v>126.79561687930264</v>
      </c>
      <c r="Q7" s="200"/>
      <c r="R7" s="200"/>
      <c r="S7" s="465">
        <v>1106.586</v>
      </c>
      <c r="T7" s="200"/>
      <c r="V7">
        <f t="shared" si="0"/>
        <v>0.65</v>
      </c>
    </row>
    <row r="8" spans="1:23" x14ac:dyDescent="0.25">
      <c r="A8" s="200">
        <v>6</v>
      </c>
      <c r="B8" s="200" t="s">
        <v>888</v>
      </c>
      <c r="C8" s="200" t="s">
        <v>889</v>
      </c>
      <c r="D8" s="200" t="s">
        <v>876</v>
      </c>
      <c r="E8" s="200" t="s">
        <v>890</v>
      </c>
      <c r="F8" s="200">
        <v>2015</v>
      </c>
      <c r="G8" s="464">
        <v>42979</v>
      </c>
      <c r="H8" s="200" t="s">
        <v>22</v>
      </c>
      <c r="I8" s="200"/>
      <c r="J8" s="465">
        <v>95734.69</v>
      </c>
      <c r="K8" s="200"/>
      <c r="L8" s="200"/>
      <c r="M8" s="465">
        <v>1687.24</v>
      </c>
      <c r="N8" s="200"/>
      <c r="O8" s="200"/>
      <c r="P8" s="465">
        <v>56.740410374339156</v>
      </c>
      <c r="Q8" s="200"/>
      <c r="R8" s="200"/>
      <c r="S8" s="465">
        <v>810.79999999999984</v>
      </c>
      <c r="T8" s="200"/>
      <c r="V8">
        <f t="shared" si="0"/>
        <v>0.48054811407979886</v>
      </c>
    </row>
    <row r="9" spans="1:23" x14ac:dyDescent="0.25">
      <c r="A9" s="200">
        <v>7</v>
      </c>
      <c r="B9" s="200" t="s">
        <v>892</v>
      </c>
      <c r="C9" s="200" t="s">
        <v>893</v>
      </c>
      <c r="D9" s="200" t="s">
        <v>885</v>
      </c>
      <c r="E9" s="200" t="s">
        <v>894</v>
      </c>
      <c r="F9" s="200">
        <v>2016</v>
      </c>
      <c r="G9" s="464">
        <v>43480</v>
      </c>
      <c r="H9" s="200" t="s">
        <v>22</v>
      </c>
      <c r="I9" s="200"/>
      <c r="J9" s="465">
        <v>88139.61</v>
      </c>
      <c r="K9" s="200"/>
      <c r="L9" s="200"/>
      <c r="M9" s="465">
        <v>1687.24</v>
      </c>
      <c r="N9" s="200"/>
      <c r="O9" s="200"/>
      <c r="P9" s="465">
        <v>52.238928664564611</v>
      </c>
      <c r="Q9" s="200"/>
      <c r="R9" s="200"/>
      <c r="S9" s="465">
        <v>945.39999999999986</v>
      </c>
      <c r="T9" s="200"/>
      <c r="V9">
        <f t="shared" si="0"/>
        <v>0.56032336834119623</v>
      </c>
    </row>
    <row r="10" spans="1:23" x14ac:dyDescent="0.25">
      <c r="A10" s="200">
        <v>8</v>
      </c>
      <c r="B10" s="200" t="s">
        <v>896</v>
      </c>
      <c r="C10" s="200" t="s">
        <v>897</v>
      </c>
      <c r="D10" s="200" t="s">
        <v>885</v>
      </c>
      <c r="E10" s="200" t="s">
        <v>898</v>
      </c>
      <c r="F10" s="200">
        <v>2016</v>
      </c>
      <c r="G10" s="464">
        <v>43480</v>
      </c>
      <c r="H10" s="200" t="s">
        <v>22</v>
      </c>
      <c r="I10" s="200"/>
      <c r="J10" s="465">
        <v>85123.420000000013</v>
      </c>
      <c r="K10" s="200"/>
      <c r="L10" s="200"/>
      <c r="M10" s="465">
        <v>1653.04</v>
      </c>
      <c r="N10" s="200"/>
      <c r="O10" s="200"/>
      <c r="P10" s="465">
        <v>51.495075739244065</v>
      </c>
      <c r="Q10" s="200"/>
      <c r="R10" s="200"/>
      <c r="S10" s="465">
        <v>1456.1999999999994</v>
      </c>
      <c r="T10" s="200"/>
      <c r="V10">
        <f t="shared" si="0"/>
        <v>0.88092242171998225</v>
      </c>
    </row>
    <row r="11" spans="1:23" x14ac:dyDescent="0.25">
      <c r="A11" s="200">
        <v>11</v>
      </c>
      <c r="B11" s="200" t="s">
        <v>900</v>
      </c>
      <c r="C11" s="200" t="s">
        <v>901</v>
      </c>
      <c r="D11" s="200" t="s">
        <v>902</v>
      </c>
      <c r="E11" s="200" t="s">
        <v>903</v>
      </c>
      <c r="F11" s="200">
        <v>2007</v>
      </c>
      <c r="G11" s="464">
        <v>43831</v>
      </c>
      <c r="H11" s="200" t="s">
        <v>22</v>
      </c>
      <c r="I11" s="200"/>
      <c r="J11" s="465">
        <v>50374.080000000002</v>
      </c>
      <c r="K11" s="200"/>
      <c r="L11" s="200"/>
      <c r="M11" s="465">
        <v>770.15000000000009</v>
      </c>
      <c r="N11" s="200"/>
      <c r="O11" s="200"/>
      <c r="P11" s="465">
        <v>65.408141271180938</v>
      </c>
      <c r="Q11" s="200"/>
      <c r="R11" s="200"/>
      <c r="S11" s="465">
        <v>652.80000000000018</v>
      </c>
      <c r="T11" s="200"/>
      <c r="V11">
        <f t="shared" si="0"/>
        <v>0.84762708563266909</v>
      </c>
    </row>
    <row r="12" spans="1:23" x14ac:dyDescent="0.25">
      <c r="A12" s="200">
        <v>12</v>
      </c>
      <c r="B12" s="200" t="s">
        <v>905</v>
      </c>
      <c r="C12" s="200" t="s">
        <v>906</v>
      </c>
      <c r="D12" s="200" t="s">
        <v>907</v>
      </c>
      <c r="E12" s="200" t="s">
        <v>908</v>
      </c>
      <c r="F12" s="200">
        <v>2015</v>
      </c>
      <c r="G12" s="464">
        <v>43983</v>
      </c>
      <c r="H12" s="200" t="s">
        <v>35</v>
      </c>
      <c r="I12" s="200"/>
      <c r="J12" s="465">
        <v>51399.549999999996</v>
      </c>
      <c r="K12" s="200"/>
      <c r="L12" s="200"/>
      <c r="M12" s="465">
        <v>1539.04</v>
      </c>
      <c r="N12" s="200"/>
      <c r="O12" s="200"/>
      <c r="P12" s="465">
        <v>33.3971501715355</v>
      </c>
      <c r="Q12" s="200"/>
      <c r="R12" s="200"/>
      <c r="S12" s="465">
        <v>1278.7999999999993</v>
      </c>
      <c r="T12" s="200"/>
      <c r="V12">
        <f t="shared" si="0"/>
        <v>0.83090757875038945</v>
      </c>
    </row>
    <row r="13" spans="1:23" x14ac:dyDescent="0.25">
      <c r="A13" s="200">
        <v>13</v>
      </c>
      <c r="B13" s="200" t="s">
        <v>910</v>
      </c>
      <c r="C13" s="200" t="s">
        <v>911</v>
      </c>
      <c r="D13" s="200" t="s">
        <v>912</v>
      </c>
      <c r="E13" s="200" t="s">
        <v>913</v>
      </c>
      <c r="F13" s="200">
        <v>2014</v>
      </c>
      <c r="G13" s="464">
        <v>43831</v>
      </c>
      <c r="H13" s="200" t="s">
        <v>22</v>
      </c>
      <c r="I13" s="200"/>
      <c r="J13" s="465">
        <v>84259.76</v>
      </c>
      <c r="K13" s="200"/>
      <c r="L13" s="200"/>
      <c r="M13" s="465">
        <v>1596.04</v>
      </c>
      <c r="N13" s="200"/>
      <c r="O13" s="200"/>
      <c r="P13" s="465">
        <v>52.793012706448458</v>
      </c>
      <c r="Q13" s="200"/>
      <c r="R13" s="200"/>
      <c r="S13" s="465">
        <v>1161.5199999999991</v>
      </c>
      <c r="T13" s="200"/>
      <c r="V13">
        <f t="shared" si="0"/>
        <v>0.72775118418084705</v>
      </c>
    </row>
    <row r="14" spans="1:23" x14ac:dyDescent="0.25">
      <c r="A14" s="200">
        <v>14</v>
      </c>
      <c r="B14" s="200" t="s">
        <v>915</v>
      </c>
      <c r="C14" s="200" t="s">
        <v>916</v>
      </c>
      <c r="D14" s="200" t="s">
        <v>912</v>
      </c>
      <c r="E14" s="200" t="s">
        <v>917</v>
      </c>
      <c r="F14" s="200">
        <v>2010</v>
      </c>
      <c r="G14" s="464">
        <v>43709</v>
      </c>
      <c r="H14" s="200" t="s">
        <v>22</v>
      </c>
      <c r="I14" s="200"/>
      <c r="J14" s="465">
        <v>81642.16</v>
      </c>
      <c r="K14" s="200"/>
      <c r="L14" s="200"/>
      <c r="M14" s="465">
        <v>1706.24</v>
      </c>
      <c r="N14" s="200"/>
      <c r="O14" s="200"/>
      <c r="P14" s="465">
        <v>47.84916541635409</v>
      </c>
      <c r="Q14" s="200"/>
      <c r="R14" s="200"/>
      <c r="S14" s="465">
        <v>1466.999999999997</v>
      </c>
      <c r="T14" s="200"/>
      <c r="V14">
        <f t="shared" si="0"/>
        <v>0.85978525881470191</v>
      </c>
    </row>
    <row r="15" spans="1:23" x14ac:dyDescent="0.25">
      <c r="A15" s="200">
        <v>16</v>
      </c>
      <c r="B15" s="200" t="s">
        <v>919</v>
      </c>
      <c r="C15" s="200" t="s">
        <v>920</v>
      </c>
      <c r="D15" s="200" t="s">
        <v>921</v>
      </c>
      <c r="E15" s="200" t="s">
        <v>922</v>
      </c>
      <c r="F15" s="200">
        <v>2016</v>
      </c>
      <c r="G15" s="464">
        <v>44197</v>
      </c>
      <c r="H15" s="200" t="s">
        <v>22</v>
      </c>
      <c r="I15" s="200"/>
      <c r="J15" s="465">
        <v>74583.42</v>
      </c>
      <c r="K15" s="200"/>
      <c r="L15" s="200"/>
      <c r="M15" s="465">
        <v>1664.4399999999998</v>
      </c>
      <c r="N15" s="200"/>
      <c r="O15" s="200"/>
      <c r="P15" s="465">
        <v>44.809918050515492</v>
      </c>
      <c r="Q15" s="200"/>
      <c r="R15" s="200"/>
      <c r="S15" s="465">
        <v>1450.2699999999975</v>
      </c>
      <c r="T15" s="200"/>
      <c r="V15">
        <f t="shared" si="0"/>
        <v>0.87132609165845432</v>
      </c>
    </row>
    <row r="16" spans="1:23" x14ac:dyDescent="0.25">
      <c r="A16" s="200">
        <v>18</v>
      </c>
      <c r="B16" s="200" t="s">
        <v>924</v>
      </c>
      <c r="C16" s="200" t="s">
        <v>925</v>
      </c>
      <c r="D16" s="200" t="s">
        <v>921</v>
      </c>
      <c r="E16" s="200" t="s">
        <v>926</v>
      </c>
      <c r="F16" s="200">
        <v>2019</v>
      </c>
      <c r="G16" s="464">
        <v>44197</v>
      </c>
      <c r="H16" s="200" t="s">
        <v>22</v>
      </c>
      <c r="I16" s="200"/>
      <c r="J16" s="465">
        <v>80477.41</v>
      </c>
      <c r="K16" s="200"/>
      <c r="L16" s="200"/>
      <c r="M16" s="465">
        <v>1691.04</v>
      </c>
      <c r="N16" s="200"/>
      <c r="O16" s="200"/>
      <c r="P16" s="465">
        <v>47.590482779827802</v>
      </c>
      <c r="Q16" s="200"/>
      <c r="R16" s="200"/>
      <c r="S16" s="465">
        <v>1542.4000000000012</v>
      </c>
      <c r="T16" s="200"/>
      <c r="V16">
        <f t="shared" si="0"/>
        <v>0.9121014287065955</v>
      </c>
    </row>
    <row r="17" spans="1:22" x14ac:dyDescent="0.25">
      <c r="A17" s="200">
        <v>19</v>
      </c>
      <c r="B17" s="200" t="s">
        <v>928</v>
      </c>
      <c r="C17" s="200" t="s">
        <v>929</v>
      </c>
      <c r="D17" s="200" t="s">
        <v>930</v>
      </c>
      <c r="E17" s="200" t="s">
        <v>931</v>
      </c>
      <c r="F17" s="200">
        <v>2016</v>
      </c>
      <c r="G17" s="464">
        <v>44564</v>
      </c>
      <c r="H17" s="200" t="s">
        <v>35</v>
      </c>
      <c r="I17" s="200"/>
      <c r="J17" s="465">
        <v>46188.649999999994</v>
      </c>
      <c r="K17" s="200"/>
      <c r="L17" s="200"/>
      <c r="M17" s="465">
        <v>1588.4399999999998</v>
      </c>
      <c r="N17" s="200"/>
      <c r="O17" s="200"/>
      <c r="P17" s="465">
        <v>29.077994762156582</v>
      </c>
      <c r="Q17" s="200"/>
      <c r="R17" s="200"/>
      <c r="S17" s="465">
        <v>1421.8000000000006</v>
      </c>
      <c r="T17" s="200"/>
      <c r="V17">
        <f t="shared" si="0"/>
        <v>0.8950920399889204</v>
      </c>
    </row>
    <row r="18" spans="1:22" x14ac:dyDescent="0.25">
      <c r="A18" s="200">
        <v>21</v>
      </c>
      <c r="B18" s="200" t="s">
        <v>933</v>
      </c>
      <c r="C18" s="200" t="s">
        <v>934</v>
      </c>
      <c r="D18" s="200" t="s">
        <v>907</v>
      </c>
      <c r="E18" s="200" t="s">
        <v>935</v>
      </c>
      <c r="F18" s="200">
        <v>2018</v>
      </c>
      <c r="G18" s="464">
        <v>44287</v>
      </c>
      <c r="H18" s="200" t="s">
        <v>35</v>
      </c>
      <c r="I18" s="200"/>
      <c r="J18" s="465">
        <v>58696.760000000009</v>
      </c>
      <c r="K18" s="200"/>
      <c r="L18" s="200"/>
      <c r="M18" s="465">
        <v>1721.4399999999998</v>
      </c>
      <c r="N18" s="200"/>
      <c r="O18" s="200"/>
      <c r="P18" s="465">
        <v>34.097476531276151</v>
      </c>
      <c r="Q18" s="200"/>
      <c r="R18" s="200"/>
      <c r="S18" s="465">
        <v>970.6000000000015</v>
      </c>
      <c r="T18" s="200"/>
      <c r="V18">
        <f t="shared" si="0"/>
        <v>0.56383028162468729</v>
      </c>
    </row>
    <row r="19" spans="1:22" x14ac:dyDescent="0.25">
      <c r="A19" s="200">
        <v>22</v>
      </c>
      <c r="B19" s="200" t="s">
        <v>937</v>
      </c>
      <c r="C19" s="200" t="s">
        <v>938</v>
      </c>
      <c r="D19" s="200" t="s">
        <v>939</v>
      </c>
      <c r="E19" s="200" t="s">
        <v>940</v>
      </c>
      <c r="F19" s="200">
        <v>2017</v>
      </c>
      <c r="G19" s="464">
        <v>44713</v>
      </c>
      <c r="H19" s="200" t="s">
        <v>22</v>
      </c>
      <c r="I19" s="200"/>
      <c r="J19" s="465">
        <v>83160.100000000006</v>
      </c>
      <c r="K19" s="200"/>
      <c r="L19" s="200"/>
      <c r="M19" s="465">
        <v>1687.24</v>
      </c>
      <c r="N19" s="200"/>
      <c r="O19" s="200"/>
      <c r="P19" s="465">
        <v>49.287653208790694</v>
      </c>
      <c r="Q19" s="200"/>
      <c r="R19" s="200"/>
      <c r="S19" s="465">
        <v>43.2</v>
      </c>
      <c r="T19" s="200"/>
      <c r="V19">
        <f t="shared" si="0"/>
        <v>2.5603944904103743E-2</v>
      </c>
    </row>
    <row r="20" spans="1:22" x14ac:dyDescent="0.25">
      <c r="A20" s="200">
        <v>23</v>
      </c>
      <c r="B20" s="200" t="s">
        <v>942</v>
      </c>
      <c r="C20" s="200" t="s">
        <v>943</v>
      </c>
      <c r="D20" s="200" t="s">
        <v>944</v>
      </c>
      <c r="E20" s="200" t="s">
        <v>945</v>
      </c>
      <c r="F20" s="200">
        <v>2021</v>
      </c>
      <c r="G20" s="464">
        <v>44621</v>
      </c>
      <c r="H20" s="200" t="s">
        <v>61</v>
      </c>
      <c r="I20" s="200"/>
      <c r="J20" s="465">
        <v>32426.44</v>
      </c>
      <c r="K20" s="200"/>
      <c r="L20" s="200"/>
      <c r="M20" s="465">
        <v>1713.84</v>
      </c>
      <c r="N20" s="200"/>
      <c r="O20" s="200"/>
      <c r="P20" s="465">
        <v>18.920342622415163</v>
      </c>
      <c r="Q20" s="200"/>
      <c r="R20" s="200"/>
      <c r="S20" s="465">
        <v>1628.1479999999999</v>
      </c>
      <c r="T20" s="200"/>
      <c r="V20">
        <f t="shared" si="0"/>
        <v>0.95</v>
      </c>
    </row>
    <row r="21" spans="1:22" x14ac:dyDescent="0.25">
      <c r="A21" s="200">
        <v>24</v>
      </c>
      <c r="B21" s="200" t="s">
        <v>947</v>
      </c>
      <c r="C21" s="200" t="s">
        <v>948</v>
      </c>
      <c r="D21" s="200" t="s">
        <v>885</v>
      </c>
      <c r="E21" s="200" t="s">
        <v>949</v>
      </c>
      <c r="F21" s="200">
        <v>2020</v>
      </c>
      <c r="G21" s="464">
        <v>44564</v>
      </c>
      <c r="H21" s="200" t="s">
        <v>48</v>
      </c>
      <c r="I21" s="200"/>
      <c r="J21" s="465">
        <v>78853.709999999992</v>
      </c>
      <c r="K21" s="200"/>
      <c r="L21" s="200"/>
      <c r="M21" s="465">
        <v>1575.77</v>
      </c>
      <c r="N21" s="200"/>
      <c r="O21" s="200"/>
      <c r="P21" s="465">
        <v>50.041382942942178</v>
      </c>
      <c r="Q21" s="200"/>
      <c r="R21" s="200"/>
      <c r="S21" s="465">
        <v>1271.1999999999989</v>
      </c>
      <c r="T21" s="200"/>
      <c r="V21">
        <f t="shared" si="0"/>
        <v>0.80671671627204411</v>
      </c>
    </row>
    <row r="22" spans="1:22" x14ac:dyDescent="0.25">
      <c r="A22" s="200">
        <v>26</v>
      </c>
      <c r="B22" s="200" t="s">
        <v>951</v>
      </c>
      <c r="C22" s="200" t="s">
        <v>952</v>
      </c>
      <c r="D22" s="200" t="s">
        <v>907</v>
      </c>
      <c r="E22" s="200" t="s">
        <v>953</v>
      </c>
      <c r="F22" s="200">
        <v>2017</v>
      </c>
      <c r="G22" s="464">
        <v>44621</v>
      </c>
      <c r="H22" s="200" t="s">
        <v>35</v>
      </c>
      <c r="I22" s="200"/>
      <c r="J22" s="465">
        <v>52549</v>
      </c>
      <c r="K22" s="200"/>
      <c r="L22" s="200"/>
      <c r="M22" s="465">
        <v>1694.84</v>
      </c>
      <c r="N22" s="200"/>
      <c r="O22" s="200"/>
      <c r="P22" s="465">
        <v>31.005286634726584</v>
      </c>
      <c r="Q22" s="200"/>
      <c r="R22" s="200"/>
      <c r="S22" s="465">
        <v>1547.9499999999991</v>
      </c>
      <c r="T22" s="200"/>
      <c r="V22">
        <f t="shared" si="0"/>
        <v>0.91333105189870378</v>
      </c>
    </row>
    <row r="23" spans="1:22" x14ac:dyDescent="0.25">
      <c r="A23" s="200">
        <v>31</v>
      </c>
      <c r="B23" s="200" t="s">
        <v>955</v>
      </c>
      <c r="C23" s="200" t="s">
        <v>925</v>
      </c>
      <c r="D23" s="200" t="s">
        <v>907</v>
      </c>
      <c r="E23" s="200" t="s">
        <v>956</v>
      </c>
      <c r="F23" s="200">
        <v>2012</v>
      </c>
      <c r="G23" s="464">
        <v>44713</v>
      </c>
      <c r="H23" s="200" t="s">
        <v>35</v>
      </c>
      <c r="I23" s="200"/>
      <c r="J23" s="465">
        <v>52560.160000000003</v>
      </c>
      <c r="K23" s="200"/>
      <c r="L23" s="200"/>
      <c r="M23" s="465">
        <v>1683.44</v>
      </c>
      <c r="N23" s="200"/>
      <c r="O23" s="200"/>
      <c r="P23" s="465">
        <v>31.221879009646916</v>
      </c>
      <c r="Q23" s="200"/>
      <c r="R23" s="200"/>
      <c r="S23" s="465">
        <v>1356.92</v>
      </c>
      <c r="T23" s="200"/>
      <c r="V23">
        <f t="shared" si="0"/>
        <v>0.80604001330608754</v>
      </c>
    </row>
    <row r="24" spans="1:22" x14ac:dyDescent="0.25">
      <c r="A24" s="200">
        <v>32</v>
      </c>
      <c r="B24" s="200" t="s">
        <v>958</v>
      </c>
      <c r="C24" s="200" t="s">
        <v>959</v>
      </c>
      <c r="D24" s="200" t="s">
        <v>921</v>
      </c>
      <c r="E24" s="200" t="s">
        <v>960</v>
      </c>
      <c r="F24" s="200">
        <v>2017</v>
      </c>
      <c r="G24" s="464">
        <v>45097</v>
      </c>
      <c r="H24" s="200" t="s">
        <v>22</v>
      </c>
      <c r="I24" s="200"/>
      <c r="J24" s="465">
        <v>69135.540000000008</v>
      </c>
      <c r="K24" s="200"/>
      <c r="L24" s="200"/>
      <c r="M24" s="465">
        <v>1717.6399999999999</v>
      </c>
      <c r="N24" s="200"/>
      <c r="O24" s="200"/>
      <c r="P24" s="465">
        <v>40.250308562911911</v>
      </c>
      <c r="Q24" s="200"/>
      <c r="R24" s="200"/>
      <c r="S24" s="465">
        <v>1471.9300000000017</v>
      </c>
      <c r="T24" s="200"/>
      <c r="V24">
        <f t="shared" si="0"/>
        <v>0.85694906965371198</v>
      </c>
    </row>
    <row r="25" spans="1:22" x14ac:dyDescent="0.25">
      <c r="A25" s="200">
        <v>33</v>
      </c>
      <c r="B25" s="200" t="s">
        <v>962</v>
      </c>
      <c r="C25" s="200" t="s">
        <v>963</v>
      </c>
      <c r="D25" s="200" t="s">
        <v>907</v>
      </c>
      <c r="E25" s="200" t="s">
        <v>964</v>
      </c>
      <c r="F25" s="200">
        <v>2014</v>
      </c>
      <c r="G25" s="464">
        <v>45170</v>
      </c>
      <c r="H25" s="200" t="s">
        <v>35</v>
      </c>
      <c r="I25" s="200"/>
      <c r="J25" s="465">
        <v>49595.259999999995</v>
      </c>
      <c r="K25" s="200"/>
      <c r="L25" s="200"/>
      <c r="M25" s="465">
        <v>1725.24</v>
      </c>
      <c r="N25" s="200"/>
      <c r="O25" s="200"/>
      <c r="P25" s="465">
        <v>28.746875796990562</v>
      </c>
      <c r="Q25" s="200"/>
      <c r="R25" s="200"/>
      <c r="S25" s="465">
        <v>1603.4500000000007</v>
      </c>
      <c r="T25" s="200"/>
      <c r="V25">
        <f t="shared" si="0"/>
        <v>0.92940692309475825</v>
      </c>
    </row>
    <row r="26" spans="1:22" x14ac:dyDescent="0.25">
      <c r="A26" s="200">
        <v>34</v>
      </c>
      <c r="B26" s="200" t="s">
        <v>966</v>
      </c>
      <c r="C26" s="200" t="s">
        <v>943</v>
      </c>
      <c r="D26" s="200" t="s">
        <v>967</v>
      </c>
      <c r="E26" s="200" t="s">
        <v>968</v>
      </c>
      <c r="F26" s="200">
        <v>2022</v>
      </c>
      <c r="G26" s="464">
        <v>45200</v>
      </c>
      <c r="H26" s="200" t="s">
        <v>35</v>
      </c>
      <c r="I26" s="200"/>
      <c r="J26" s="465">
        <v>46118.29</v>
      </c>
      <c r="K26" s="200"/>
      <c r="L26" s="200"/>
      <c r="M26" s="465">
        <v>1755.6399999999999</v>
      </c>
      <c r="N26" s="200"/>
      <c r="O26" s="200"/>
      <c r="P26" s="465">
        <v>26.268648470073593</v>
      </c>
      <c r="Q26" s="200"/>
      <c r="R26" s="200"/>
      <c r="S26" s="465">
        <v>1531.2700000000002</v>
      </c>
      <c r="T26" s="200"/>
      <c r="V26">
        <f t="shared" si="0"/>
        <v>0.87220045111754141</v>
      </c>
    </row>
    <row r="27" spans="1:22" x14ac:dyDescent="0.25">
      <c r="A27" s="200">
        <v>35</v>
      </c>
      <c r="B27" s="200" t="s">
        <v>970</v>
      </c>
      <c r="C27" s="200" t="s">
        <v>971</v>
      </c>
      <c r="D27" s="200" t="s">
        <v>967</v>
      </c>
      <c r="E27" s="200" t="s">
        <v>972</v>
      </c>
      <c r="F27" s="200">
        <v>2007</v>
      </c>
      <c r="G27" s="464">
        <v>45200</v>
      </c>
      <c r="H27" s="200" t="s">
        <v>35</v>
      </c>
      <c r="I27" s="200"/>
      <c r="J27" s="465">
        <v>52641.3</v>
      </c>
      <c r="K27" s="200"/>
      <c r="L27" s="200"/>
      <c r="M27" s="465">
        <v>1743.64</v>
      </c>
      <c r="N27" s="200"/>
      <c r="O27" s="200"/>
      <c r="P27" s="465">
        <v>30.190463627813081</v>
      </c>
      <c r="Q27" s="200"/>
      <c r="R27" s="200"/>
      <c r="S27" s="465">
        <v>1538.4500000000003</v>
      </c>
      <c r="T27" s="200"/>
      <c r="V27">
        <f t="shared" si="0"/>
        <v>0.88232089192723284</v>
      </c>
    </row>
    <row r="28" spans="1:22" x14ac:dyDescent="0.25">
      <c r="A28" s="200">
        <v>36</v>
      </c>
      <c r="B28" s="200" t="s">
        <v>973</v>
      </c>
      <c r="C28" s="200" t="s">
        <v>974</v>
      </c>
      <c r="D28" s="200" t="s">
        <v>975</v>
      </c>
      <c r="E28" s="200" t="s">
        <v>976</v>
      </c>
      <c r="F28" s="200">
        <v>2000</v>
      </c>
      <c r="G28" s="464">
        <v>45019</v>
      </c>
      <c r="H28" s="200" t="s">
        <v>22</v>
      </c>
      <c r="I28" s="200"/>
      <c r="J28" s="465">
        <v>196675.86</v>
      </c>
      <c r="K28" s="200"/>
      <c r="L28" s="200"/>
      <c r="M28" s="465">
        <v>1780.24</v>
      </c>
      <c r="N28" s="200"/>
      <c r="O28" s="200"/>
      <c r="P28" s="465">
        <v>110.47716038286971</v>
      </c>
      <c r="Q28" s="200"/>
      <c r="R28" s="200"/>
      <c r="S28" s="465">
        <v>1584</v>
      </c>
      <c r="T28" s="200"/>
      <c r="V28">
        <f t="shared" si="0"/>
        <v>0.88976767177459215</v>
      </c>
    </row>
    <row r="29" spans="1:22" x14ac:dyDescent="0.25">
      <c r="A29" s="200">
        <v>37</v>
      </c>
      <c r="B29" s="200" t="s">
        <v>978</v>
      </c>
      <c r="C29" s="200" t="s">
        <v>979</v>
      </c>
      <c r="D29" s="200" t="s">
        <v>980</v>
      </c>
      <c r="E29" s="200" t="s">
        <v>981</v>
      </c>
      <c r="F29" s="200">
        <v>1992</v>
      </c>
      <c r="G29" s="464">
        <v>44928</v>
      </c>
      <c r="H29" s="200" t="s">
        <v>22</v>
      </c>
      <c r="I29" s="200"/>
      <c r="J29" s="465">
        <v>143601.97</v>
      </c>
      <c r="K29" s="200"/>
      <c r="L29" s="200"/>
      <c r="M29" s="465">
        <v>1791.6399999999999</v>
      </c>
      <c r="N29" s="200"/>
      <c r="O29" s="200"/>
      <c r="P29" s="465">
        <v>80.151129691232626</v>
      </c>
      <c r="Q29" s="200"/>
      <c r="R29" s="200"/>
      <c r="S29" s="465">
        <v>1333.5999999999995</v>
      </c>
      <c r="T29" s="200"/>
      <c r="V29">
        <f t="shared" si="0"/>
        <v>0.74434596235850925</v>
      </c>
    </row>
    <row r="30" spans="1:22" x14ac:dyDescent="0.25">
      <c r="A30" s="200">
        <v>38</v>
      </c>
      <c r="B30" s="200" t="s">
        <v>983</v>
      </c>
      <c r="C30" s="200" t="s">
        <v>984</v>
      </c>
      <c r="D30" s="200" t="s">
        <v>930</v>
      </c>
      <c r="E30" s="200" t="s">
        <v>985</v>
      </c>
      <c r="F30" s="200">
        <v>2020</v>
      </c>
      <c r="G30" s="464">
        <v>45385</v>
      </c>
      <c r="H30" s="200" t="s">
        <v>35</v>
      </c>
      <c r="I30" s="200"/>
      <c r="J30" s="465">
        <v>51434.14</v>
      </c>
      <c r="K30" s="200"/>
      <c r="L30" s="200"/>
      <c r="M30" s="465">
        <v>1793.64</v>
      </c>
      <c r="N30" s="200"/>
      <c r="O30" s="200"/>
      <c r="P30" s="465">
        <v>28.675843536049594</v>
      </c>
      <c r="Q30" s="200"/>
      <c r="R30" s="200"/>
      <c r="S30" s="465">
        <v>1570.1999999999998</v>
      </c>
      <c r="T30" s="200"/>
      <c r="V30">
        <f t="shared" si="0"/>
        <v>0.87542650699136937</v>
      </c>
    </row>
    <row r="31" spans="1:22" x14ac:dyDescent="0.25">
      <c r="A31" s="200">
        <v>40</v>
      </c>
      <c r="B31" s="200" t="s">
        <v>987</v>
      </c>
      <c r="C31" s="200" t="s">
        <v>988</v>
      </c>
      <c r="D31" s="200" t="s">
        <v>989</v>
      </c>
      <c r="E31" s="200" t="s">
        <v>990</v>
      </c>
      <c r="F31" s="200">
        <v>2023</v>
      </c>
      <c r="G31" s="464">
        <v>45187</v>
      </c>
      <c r="H31" s="200" t="s">
        <v>1047</v>
      </c>
      <c r="I31" s="200"/>
      <c r="J31" s="465">
        <v>11366.79</v>
      </c>
      <c r="K31" s="200"/>
      <c r="L31" s="200"/>
      <c r="M31" s="465">
        <v>1463.04</v>
      </c>
      <c r="N31" s="200"/>
      <c r="O31" s="200"/>
      <c r="P31" s="465">
        <v>7.7692954396325469</v>
      </c>
      <c r="Q31" s="200"/>
      <c r="R31" s="200"/>
      <c r="S31" s="465">
        <v>717.5</v>
      </c>
      <c r="T31" s="200"/>
      <c r="V31">
        <f t="shared" si="0"/>
        <v>0.49041721347331585</v>
      </c>
    </row>
    <row r="32" spans="1:22" x14ac:dyDescent="0.25">
      <c r="A32" s="200">
        <v>41</v>
      </c>
      <c r="B32" s="200" t="s">
        <v>992</v>
      </c>
      <c r="C32" s="200" t="s">
        <v>993</v>
      </c>
      <c r="D32" s="200" t="s">
        <v>35</v>
      </c>
      <c r="E32" s="200" t="s">
        <v>994</v>
      </c>
      <c r="F32" s="200">
        <v>2022</v>
      </c>
      <c r="G32" s="464">
        <v>45222</v>
      </c>
      <c r="H32" s="200" t="s">
        <v>35</v>
      </c>
      <c r="I32" s="200"/>
      <c r="J32" s="465">
        <v>44300.7</v>
      </c>
      <c r="K32" s="200"/>
      <c r="L32" s="200"/>
      <c r="M32" s="465">
        <v>1634.04</v>
      </c>
      <c r="N32" s="200"/>
      <c r="O32" s="200"/>
      <c r="P32" s="465">
        <v>27.111147829918483</v>
      </c>
      <c r="Q32" s="200"/>
      <c r="R32" s="200"/>
      <c r="S32" s="465">
        <v>1552.338</v>
      </c>
      <c r="T32" s="200"/>
      <c r="V32">
        <f t="shared" si="0"/>
        <v>0.95</v>
      </c>
    </row>
    <row r="33" spans="1:22" x14ac:dyDescent="0.25">
      <c r="A33" s="200">
        <v>42</v>
      </c>
      <c r="B33" s="200" t="s">
        <v>996</v>
      </c>
      <c r="C33" s="200" t="s">
        <v>997</v>
      </c>
      <c r="D33" s="200" t="s">
        <v>902</v>
      </c>
      <c r="E33" s="200" t="s">
        <v>998</v>
      </c>
      <c r="F33" s="200">
        <v>2022</v>
      </c>
      <c r="G33" s="464">
        <v>45222</v>
      </c>
      <c r="H33" s="200" t="s">
        <v>22</v>
      </c>
      <c r="I33" s="200"/>
      <c r="J33" s="465">
        <v>57329.789999999994</v>
      </c>
      <c r="K33" s="200"/>
      <c r="L33" s="200"/>
      <c r="M33" s="465">
        <v>1740.4399999999998</v>
      </c>
      <c r="N33" s="200"/>
      <c r="O33" s="200"/>
      <c r="P33" s="465">
        <v>32.939825561352301</v>
      </c>
      <c r="Q33" s="200"/>
      <c r="R33" s="200"/>
      <c r="S33" s="465">
        <v>1653.4179999999997</v>
      </c>
      <c r="T33" s="200"/>
      <c r="V33">
        <f t="shared" si="0"/>
        <v>0.95</v>
      </c>
    </row>
    <row r="34" spans="1:22" x14ac:dyDescent="0.25">
      <c r="A34" s="200">
        <v>43</v>
      </c>
      <c r="B34" s="200" t="s">
        <v>1000</v>
      </c>
      <c r="C34" s="200" t="s">
        <v>1001</v>
      </c>
      <c r="D34" s="200" t="s">
        <v>1002</v>
      </c>
      <c r="E34" s="200" t="s">
        <v>1003</v>
      </c>
      <c r="F34" s="200">
        <v>2019</v>
      </c>
      <c r="G34" s="464">
        <v>45306</v>
      </c>
      <c r="H34" s="200" t="s">
        <v>35</v>
      </c>
      <c r="I34" s="200"/>
      <c r="J34" s="465">
        <v>46290.53</v>
      </c>
      <c r="K34" s="200"/>
      <c r="L34" s="200"/>
      <c r="M34" s="465">
        <v>1679.17</v>
      </c>
      <c r="N34" s="200"/>
      <c r="O34" s="200"/>
      <c r="P34" s="465">
        <v>27.567506565743788</v>
      </c>
      <c r="Q34" s="200"/>
      <c r="R34" s="200"/>
      <c r="S34" s="465">
        <v>1595.2114999999999</v>
      </c>
      <c r="T34" s="200"/>
      <c r="V34">
        <f t="shared" si="0"/>
        <v>0.94999999999999984</v>
      </c>
    </row>
    <row r="35" spans="1:22" x14ac:dyDescent="0.25">
      <c r="A35" s="200">
        <v>44</v>
      </c>
      <c r="B35" s="200" t="s">
        <v>1005</v>
      </c>
      <c r="C35" s="200" t="s">
        <v>1006</v>
      </c>
      <c r="D35" s="200" t="s">
        <v>1007</v>
      </c>
      <c r="E35" s="200" t="s">
        <v>1008</v>
      </c>
      <c r="F35" s="200">
        <v>2022</v>
      </c>
      <c r="G35" s="464">
        <v>45306</v>
      </c>
      <c r="H35" s="200" t="s">
        <v>35</v>
      </c>
      <c r="I35" s="200"/>
      <c r="J35" s="465">
        <v>45922.359999999993</v>
      </c>
      <c r="K35" s="200"/>
      <c r="L35" s="200"/>
      <c r="M35" s="465">
        <v>1697.37</v>
      </c>
      <c r="N35" s="200"/>
      <c r="O35" s="200"/>
      <c r="P35" s="465">
        <v>27.055008630999723</v>
      </c>
      <c r="Q35" s="200"/>
      <c r="R35" s="200"/>
      <c r="S35" s="465">
        <v>1486.599999999999</v>
      </c>
      <c r="T35" s="200"/>
      <c r="V35">
        <f t="shared" si="0"/>
        <v>0.87582554186771244</v>
      </c>
    </row>
    <row r="36" spans="1:22" x14ac:dyDescent="0.25">
      <c r="A36" s="200">
        <v>46</v>
      </c>
      <c r="B36" s="200" t="s">
        <v>1010</v>
      </c>
      <c r="C36" s="200" t="s">
        <v>1011</v>
      </c>
      <c r="D36" s="200" t="s">
        <v>1012</v>
      </c>
      <c r="E36" s="200" t="s">
        <v>1013</v>
      </c>
      <c r="F36" s="200">
        <v>2018</v>
      </c>
      <c r="G36" s="464">
        <v>45320</v>
      </c>
      <c r="H36" s="200" t="s">
        <v>22</v>
      </c>
      <c r="I36" s="200"/>
      <c r="J36" s="465">
        <v>39996.75</v>
      </c>
      <c r="K36" s="200"/>
      <c r="L36" s="200"/>
      <c r="M36" s="465">
        <v>989.09</v>
      </c>
      <c r="N36" s="200"/>
      <c r="O36" s="200"/>
      <c r="P36" s="465">
        <v>40.437927792213046</v>
      </c>
      <c r="Q36" s="200"/>
      <c r="R36" s="200"/>
      <c r="S36" s="465">
        <v>688.5999999999998</v>
      </c>
      <c r="T36" s="200"/>
      <c r="V36">
        <f t="shared" si="0"/>
        <v>0.69619549282673954</v>
      </c>
    </row>
    <row r="37" spans="1:22" x14ac:dyDescent="0.25">
      <c r="A37" s="200">
        <v>47</v>
      </c>
      <c r="B37" s="200" t="s">
        <v>1014</v>
      </c>
      <c r="C37" s="200" t="s">
        <v>1015</v>
      </c>
      <c r="D37" s="200" t="s">
        <v>1016</v>
      </c>
      <c r="E37" s="200" t="s">
        <v>1017</v>
      </c>
      <c r="F37" s="200">
        <v>2024</v>
      </c>
      <c r="G37" s="464">
        <v>45327</v>
      </c>
      <c r="H37" s="200" t="s">
        <v>1047</v>
      </c>
      <c r="I37" s="200"/>
      <c r="J37" s="465">
        <v>3770.49</v>
      </c>
      <c r="K37" s="200"/>
      <c r="L37" s="200"/>
      <c r="M37" s="465">
        <v>816.68</v>
      </c>
      <c r="N37" s="200"/>
      <c r="O37" s="200"/>
      <c r="P37" s="465">
        <v>4.6168511534505559</v>
      </c>
      <c r="Q37" s="200"/>
      <c r="R37" s="200"/>
      <c r="S37" s="465">
        <v>734.96999999999991</v>
      </c>
      <c r="T37" s="200"/>
      <c r="V37">
        <f t="shared" si="0"/>
        <v>0.89994857226820779</v>
      </c>
    </row>
    <row r="38" spans="1:22" x14ac:dyDescent="0.25">
      <c r="A38" s="200">
        <v>48</v>
      </c>
      <c r="B38" s="200" t="s">
        <v>1019</v>
      </c>
      <c r="C38" s="200" t="s">
        <v>1020</v>
      </c>
      <c r="D38" s="200" t="s">
        <v>1021</v>
      </c>
      <c r="E38" s="200" t="s">
        <v>1022</v>
      </c>
      <c r="F38" s="200">
        <v>2023</v>
      </c>
      <c r="G38" s="464">
        <v>45366</v>
      </c>
      <c r="H38" s="200" t="s">
        <v>22</v>
      </c>
      <c r="I38" s="200"/>
      <c r="J38" s="465">
        <v>45172.619999999995</v>
      </c>
      <c r="K38" s="200"/>
      <c r="L38" s="200"/>
      <c r="M38" s="465">
        <v>1337.63</v>
      </c>
      <c r="N38" s="200"/>
      <c r="O38" s="200"/>
      <c r="P38" s="465">
        <v>33.770639115450457</v>
      </c>
      <c r="Q38" s="200"/>
      <c r="R38" s="200"/>
      <c r="S38" s="465">
        <v>1185.5999999999997</v>
      </c>
      <c r="T38" s="200"/>
      <c r="V38">
        <f t="shared" si="0"/>
        <v>0.88634375724228642</v>
      </c>
    </row>
    <row r="39" spans="1:22" x14ac:dyDescent="0.25">
      <c r="A39" s="200">
        <v>49</v>
      </c>
      <c r="B39" s="200" t="s">
        <v>1024</v>
      </c>
      <c r="C39" s="200" t="s">
        <v>1025</v>
      </c>
      <c r="D39" s="200" t="s">
        <v>1026</v>
      </c>
      <c r="E39" s="200" t="s">
        <v>1027</v>
      </c>
      <c r="F39" s="200">
        <v>2014</v>
      </c>
      <c r="G39" s="464">
        <v>45404</v>
      </c>
      <c r="H39" s="200" t="s">
        <v>22</v>
      </c>
      <c r="I39" s="200"/>
      <c r="J39" s="465">
        <v>69037.64</v>
      </c>
      <c r="K39" s="200"/>
      <c r="L39" s="200"/>
      <c r="M39" s="465">
        <v>1077.22</v>
      </c>
      <c r="N39" s="200"/>
      <c r="O39" s="200"/>
      <c r="P39" s="465">
        <v>64.088709827147653</v>
      </c>
      <c r="Q39" s="200"/>
      <c r="R39" s="200"/>
      <c r="S39" s="465">
        <v>646.09999999999991</v>
      </c>
      <c r="T39" s="200"/>
      <c r="V39">
        <f t="shared" si="0"/>
        <v>0.59978463080893396</v>
      </c>
    </row>
    <row r="40" spans="1:22" x14ac:dyDescent="0.25">
      <c r="A40" s="200">
        <v>50</v>
      </c>
      <c r="B40" s="200" t="s">
        <v>1029</v>
      </c>
      <c r="C40" s="200" t="s">
        <v>1030</v>
      </c>
      <c r="D40" s="200" t="s">
        <v>1031</v>
      </c>
      <c r="E40" s="200" t="s">
        <v>1032</v>
      </c>
      <c r="F40" s="200">
        <v>2017</v>
      </c>
      <c r="G40" s="464">
        <v>45425</v>
      </c>
      <c r="H40" s="200" t="s">
        <v>22</v>
      </c>
      <c r="I40" s="200"/>
      <c r="J40" s="465">
        <v>52340.04</v>
      </c>
      <c r="K40" s="200"/>
      <c r="L40" s="200"/>
      <c r="M40" s="465">
        <v>1175.49</v>
      </c>
      <c r="N40" s="200"/>
      <c r="O40" s="200"/>
      <c r="P40" s="465">
        <v>44.52614654314371</v>
      </c>
      <c r="Q40" s="200"/>
      <c r="R40" s="200"/>
      <c r="S40" s="465">
        <v>936.4000000000018</v>
      </c>
      <c r="T40" s="200"/>
      <c r="V40">
        <f t="shared" si="0"/>
        <v>0.79660396940850353</v>
      </c>
    </row>
    <row r="41" spans="1:22" x14ac:dyDescent="0.25">
      <c r="A41" s="200">
        <v>51</v>
      </c>
      <c r="B41" s="200" t="s">
        <v>1034</v>
      </c>
      <c r="C41" s="200" t="s">
        <v>1035</v>
      </c>
      <c r="D41" s="200" t="s">
        <v>1021</v>
      </c>
      <c r="E41" s="200" t="s">
        <v>1036</v>
      </c>
      <c r="F41" s="200">
        <v>2021</v>
      </c>
      <c r="G41" s="464">
        <v>45418</v>
      </c>
      <c r="H41" s="200" t="s">
        <v>22</v>
      </c>
      <c r="I41" s="200"/>
      <c r="J41" s="465">
        <v>43697.61</v>
      </c>
      <c r="K41" s="200"/>
      <c r="L41" s="200"/>
      <c r="M41" s="465">
        <v>1137.49</v>
      </c>
      <c r="N41" s="200"/>
      <c r="O41" s="200"/>
      <c r="P41" s="465">
        <v>38.415819040167385</v>
      </c>
      <c r="Q41" s="200"/>
      <c r="R41" s="200"/>
      <c r="S41" s="465">
        <v>1056.3999999999994</v>
      </c>
      <c r="T41" s="200"/>
      <c r="V41">
        <f t="shared" si="0"/>
        <v>0.92871146119965842</v>
      </c>
    </row>
    <row r="42" spans="1:22" x14ac:dyDescent="0.25">
      <c r="A42" s="200">
        <v>54</v>
      </c>
      <c r="B42" s="200" t="s">
        <v>1038</v>
      </c>
      <c r="C42" s="200" t="s">
        <v>901</v>
      </c>
      <c r="D42" s="200" t="s">
        <v>989</v>
      </c>
      <c r="E42" s="200" t="s">
        <v>1039</v>
      </c>
      <c r="F42" s="200">
        <v>2022</v>
      </c>
      <c r="G42" s="464">
        <v>45536</v>
      </c>
      <c r="H42" s="200" t="s">
        <v>1047</v>
      </c>
      <c r="I42" s="200"/>
      <c r="J42" s="465">
        <v>4184.08</v>
      </c>
      <c r="K42" s="200"/>
      <c r="L42" s="200"/>
      <c r="M42" s="465">
        <v>561.07999999999993</v>
      </c>
      <c r="N42" s="200"/>
      <c r="O42" s="200"/>
      <c r="P42" s="465">
        <v>7.457189705567834</v>
      </c>
      <c r="Q42" s="200"/>
      <c r="R42" s="200"/>
      <c r="S42" s="465">
        <v>308.5</v>
      </c>
      <c r="T42" s="200"/>
      <c r="V42">
        <f t="shared" si="0"/>
        <v>0.54983246595850865</v>
      </c>
    </row>
    <row r="43" spans="1:22" x14ac:dyDescent="0.25">
      <c r="A43" s="200">
        <v>55</v>
      </c>
      <c r="B43" s="200" t="s">
        <v>1041</v>
      </c>
      <c r="C43" s="200" t="s">
        <v>1042</v>
      </c>
      <c r="D43" s="200" t="s">
        <v>989</v>
      </c>
      <c r="E43" s="200" t="s">
        <v>1039</v>
      </c>
      <c r="F43" s="200">
        <v>2021</v>
      </c>
      <c r="G43" s="464">
        <v>45536</v>
      </c>
      <c r="H43" s="200" t="s">
        <v>1047</v>
      </c>
      <c r="I43" s="200"/>
      <c r="J43" s="465">
        <v>4026.66</v>
      </c>
      <c r="K43" s="200"/>
      <c r="L43" s="200"/>
      <c r="M43" s="465">
        <v>561.07999999999993</v>
      </c>
      <c r="N43" s="200"/>
      <c r="O43" s="200"/>
      <c r="P43" s="465">
        <v>7.1766236543808377</v>
      </c>
      <c r="Q43" s="200"/>
      <c r="R43" s="200"/>
      <c r="S43" s="465">
        <v>308</v>
      </c>
      <c r="T43" s="200"/>
      <c r="V43">
        <f t="shared" si="0"/>
        <v>0.54894132743993729</v>
      </c>
    </row>
    <row r="44" spans="1:22" x14ac:dyDescent="0.25">
      <c r="A44" s="200">
        <v>29</v>
      </c>
      <c r="B44" s="200" t="s">
        <v>1043</v>
      </c>
      <c r="C44" s="200" t="s">
        <v>1044</v>
      </c>
      <c r="D44" s="200" t="s">
        <v>1045</v>
      </c>
      <c r="E44" s="200" t="s">
        <v>1046</v>
      </c>
      <c r="F44" s="200">
        <v>2014</v>
      </c>
      <c r="G44" s="464">
        <v>44683</v>
      </c>
      <c r="H44" s="200" t="s">
        <v>22</v>
      </c>
      <c r="I44" s="200"/>
      <c r="J44" s="465">
        <v>90423.55</v>
      </c>
      <c r="K44" s="200"/>
      <c r="L44" s="200"/>
      <c r="M44" s="465">
        <v>1611.2400000000002</v>
      </c>
      <c r="N44" s="200"/>
      <c r="O44" s="200"/>
      <c r="P44" s="465">
        <v>56.120472431171017</v>
      </c>
      <c r="Q44" s="200"/>
      <c r="R44" s="200"/>
      <c r="S44" s="200"/>
      <c r="T44" s="200"/>
      <c r="V44">
        <f t="shared" si="0"/>
        <v>0</v>
      </c>
    </row>
    <row r="47" spans="1:22" x14ac:dyDescent="0.25">
      <c r="A47" t="s">
        <v>381</v>
      </c>
    </row>
    <row r="48" spans="1:22" ht="24" x14ac:dyDescent="0.4">
      <c r="A48" s="195"/>
    </row>
    <row r="49" spans="1:7" x14ac:dyDescent="0.25">
      <c r="A49" t="s">
        <v>382</v>
      </c>
    </row>
    <row r="50" spans="1:7" ht="38.25" x14ac:dyDescent="0.25">
      <c r="A50" s="197">
        <v>32</v>
      </c>
      <c r="B50" s="197" t="s">
        <v>383</v>
      </c>
      <c r="C50" s="197" t="s">
        <v>384</v>
      </c>
      <c r="D50" s="197" t="s">
        <v>385</v>
      </c>
      <c r="E50" s="197" t="s">
        <v>386</v>
      </c>
      <c r="F50" s="197" t="s">
        <v>387</v>
      </c>
      <c r="G50" s="201" t="s">
        <v>388</v>
      </c>
    </row>
    <row r="51" spans="1:7" x14ac:dyDescent="0.25">
      <c r="A51" s="200">
        <v>8</v>
      </c>
      <c r="B51" s="200" t="s">
        <v>1048</v>
      </c>
      <c r="C51" s="200" t="s">
        <v>1049</v>
      </c>
      <c r="D51" s="200">
        <v>9698.5</v>
      </c>
      <c r="E51" s="200" t="s">
        <v>1050</v>
      </c>
      <c r="F51" s="466">
        <v>1</v>
      </c>
      <c r="G51" s="200"/>
    </row>
    <row r="52" spans="1:7" x14ac:dyDescent="0.25">
      <c r="A52" s="200">
        <v>9</v>
      </c>
      <c r="B52" s="200" t="s">
        <v>1051</v>
      </c>
      <c r="C52" s="200" t="s">
        <v>1052</v>
      </c>
      <c r="D52" s="200">
        <v>8100.4</v>
      </c>
      <c r="E52" s="200" t="s">
        <v>1053</v>
      </c>
      <c r="F52" s="466">
        <v>0.78712647472661024</v>
      </c>
      <c r="G52" s="200"/>
    </row>
    <row r="53" spans="1:7" x14ac:dyDescent="0.25">
      <c r="A53" s="200">
        <v>10</v>
      </c>
      <c r="B53" s="200" t="s">
        <v>1054</v>
      </c>
      <c r="C53" s="200" t="s">
        <v>1055</v>
      </c>
      <c r="D53" s="200">
        <v>9908.3700000000008</v>
      </c>
      <c r="E53" s="200" t="s">
        <v>1053</v>
      </c>
      <c r="F53" s="466">
        <v>1</v>
      </c>
      <c r="G53" s="200"/>
    </row>
    <row r="54" spans="1:7" x14ac:dyDescent="0.25">
      <c r="A54" s="200">
        <v>33</v>
      </c>
      <c r="B54" s="200" t="s">
        <v>1056</v>
      </c>
      <c r="C54" s="200" t="s">
        <v>1057</v>
      </c>
      <c r="D54" s="200">
        <v>569271.62</v>
      </c>
      <c r="E54" s="200" t="s">
        <v>1053</v>
      </c>
      <c r="F54" s="466">
        <v>1</v>
      </c>
      <c r="G54" s="200"/>
    </row>
    <row r="55" spans="1:7" x14ac:dyDescent="0.25">
      <c r="A55" s="200">
        <v>44</v>
      </c>
      <c r="B55" s="200" t="s">
        <v>1058</v>
      </c>
      <c r="C55" s="200" t="s">
        <v>1059</v>
      </c>
      <c r="D55" s="200">
        <v>2503</v>
      </c>
      <c r="E55" s="200" t="s">
        <v>1060</v>
      </c>
      <c r="F55" s="466">
        <v>1</v>
      </c>
      <c r="G55" s="200"/>
    </row>
    <row r="56" spans="1:7" x14ac:dyDescent="0.25">
      <c r="A56" s="200">
        <v>45</v>
      </c>
      <c r="B56" s="200" t="s">
        <v>1061</v>
      </c>
      <c r="C56" s="200" t="s">
        <v>1062</v>
      </c>
      <c r="D56" s="200">
        <v>580763</v>
      </c>
      <c r="E56" s="200" t="s">
        <v>1053</v>
      </c>
      <c r="F56" s="466">
        <v>1</v>
      </c>
      <c r="G56" s="200"/>
    </row>
    <row r="57" spans="1:7" x14ac:dyDescent="0.25">
      <c r="A57" s="200">
        <v>53</v>
      </c>
      <c r="B57" s="200" t="s">
        <v>1063</v>
      </c>
      <c r="C57" s="200" t="s">
        <v>1062</v>
      </c>
      <c r="D57" s="200">
        <v>33218</v>
      </c>
      <c r="E57" s="200" t="s">
        <v>1053</v>
      </c>
      <c r="F57" s="466">
        <v>1</v>
      </c>
      <c r="G57" s="200"/>
    </row>
    <row r="58" spans="1:7" x14ac:dyDescent="0.25">
      <c r="A58" s="200">
        <v>58</v>
      </c>
      <c r="B58" s="200" t="s">
        <v>1064</v>
      </c>
      <c r="C58" s="200" t="s">
        <v>1065</v>
      </c>
      <c r="D58" s="200">
        <v>569.25</v>
      </c>
      <c r="E58" s="200" t="s">
        <v>1066</v>
      </c>
      <c r="F58" s="466">
        <v>1</v>
      </c>
      <c r="G58" s="200"/>
    </row>
    <row r="59" spans="1:7" x14ac:dyDescent="0.25">
      <c r="A59" s="200">
        <v>59</v>
      </c>
      <c r="B59" s="200" t="s">
        <v>1067</v>
      </c>
      <c r="C59" s="200" t="s">
        <v>1068</v>
      </c>
      <c r="D59" s="200">
        <v>3016.7</v>
      </c>
      <c r="E59" s="200" t="s">
        <v>1066</v>
      </c>
      <c r="F59" s="466">
        <v>1</v>
      </c>
      <c r="G59" s="200"/>
    </row>
    <row r="60" spans="1:7" x14ac:dyDescent="0.25">
      <c r="A60" s="200">
        <v>60</v>
      </c>
      <c r="B60" s="200" t="s">
        <v>1069</v>
      </c>
      <c r="C60" s="200" t="s">
        <v>1070</v>
      </c>
      <c r="D60" s="200">
        <v>1160</v>
      </c>
      <c r="E60" s="200" t="s">
        <v>1066</v>
      </c>
      <c r="F60" s="466">
        <v>1</v>
      </c>
      <c r="G60" s="200"/>
    </row>
    <row r="61" spans="1:7" x14ac:dyDescent="0.25">
      <c r="A61" s="200">
        <v>66</v>
      </c>
      <c r="B61" s="200" t="s">
        <v>1071</v>
      </c>
      <c r="C61" s="200" t="s">
        <v>1072</v>
      </c>
      <c r="D61" s="200">
        <v>1774.6</v>
      </c>
      <c r="E61" s="200" t="s">
        <v>1066</v>
      </c>
      <c r="F61" s="466">
        <v>1</v>
      </c>
      <c r="G61" s="200"/>
    </row>
    <row r="62" spans="1:7" x14ac:dyDescent="0.25">
      <c r="A62" s="200">
        <v>67</v>
      </c>
      <c r="B62" s="200" t="s">
        <v>1073</v>
      </c>
      <c r="C62" s="200" t="s">
        <v>1072</v>
      </c>
      <c r="D62" s="200">
        <v>1075.54</v>
      </c>
      <c r="E62" s="200" t="s">
        <v>1066</v>
      </c>
      <c r="F62" s="466">
        <v>1</v>
      </c>
      <c r="G62" s="200"/>
    </row>
    <row r="63" spans="1:7" x14ac:dyDescent="0.25">
      <c r="A63" s="200">
        <v>69</v>
      </c>
      <c r="B63" s="200" t="s">
        <v>1074</v>
      </c>
      <c r="C63" s="200" t="s">
        <v>1075</v>
      </c>
      <c r="D63" s="200">
        <v>48900</v>
      </c>
      <c r="E63" s="200" t="s">
        <v>1066</v>
      </c>
      <c r="F63" s="466">
        <v>1</v>
      </c>
      <c r="G63" s="200"/>
    </row>
    <row r="64" spans="1:7" x14ac:dyDescent="0.25">
      <c r="A64" s="200">
        <v>70</v>
      </c>
      <c r="B64" s="200" t="s">
        <v>1076</v>
      </c>
      <c r="C64" s="200" t="s">
        <v>1077</v>
      </c>
      <c r="D64" s="200">
        <v>1827.78</v>
      </c>
      <c r="E64" s="200" t="s">
        <v>1066</v>
      </c>
      <c r="F64" s="466">
        <v>1</v>
      </c>
      <c r="G64" s="200"/>
    </row>
    <row r="65" spans="1:7" x14ac:dyDescent="0.25">
      <c r="A65" s="200">
        <v>71</v>
      </c>
      <c r="B65" s="200" t="s">
        <v>1078</v>
      </c>
      <c r="C65" s="200" t="s">
        <v>1079</v>
      </c>
      <c r="D65" s="200">
        <v>6333</v>
      </c>
      <c r="E65" s="200" t="s">
        <v>1066</v>
      </c>
      <c r="F65" s="466">
        <v>1</v>
      </c>
      <c r="G65" s="200"/>
    </row>
    <row r="66" spans="1:7" x14ac:dyDescent="0.25">
      <c r="A66" s="200">
        <v>72</v>
      </c>
      <c r="B66" s="200" t="s">
        <v>1080</v>
      </c>
      <c r="C66" s="200" t="s">
        <v>1081</v>
      </c>
      <c r="D66" s="200">
        <v>2370.5</v>
      </c>
      <c r="E66" s="200" t="s">
        <v>1066</v>
      </c>
      <c r="F66" s="466">
        <v>1</v>
      </c>
      <c r="G66" s="200"/>
    </row>
    <row r="67" spans="1:7" x14ac:dyDescent="0.25">
      <c r="A67" s="200">
        <v>73</v>
      </c>
      <c r="B67" s="200" t="s">
        <v>1082</v>
      </c>
      <c r="C67" s="200" t="s">
        <v>1083</v>
      </c>
      <c r="D67" s="200">
        <v>2065</v>
      </c>
      <c r="E67" s="200" t="s">
        <v>1066</v>
      </c>
      <c r="F67" s="466">
        <v>1</v>
      </c>
      <c r="G67" s="200"/>
    </row>
    <row r="68" spans="1:7" x14ac:dyDescent="0.25">
      <c r="A68" s="200">
        <v>74</v>
      </c>
      <c r="B68" s="200" t="s">
        <v>1084</v>
      </c>
      <c r="C68" s="200" t="s">
        <v>1085</v>
      </c>
      <c r="D68" s="200">
        <v>2263.5</v>
      </c>
      <c r="E68" s="200" t="s">
        <v>1066</v>
      </c>
      <c r="F68" s="466">
        <v>1</v>
      </c>
      <c r="G68" s="200"/>
    </row>
    <row r="69" spans="1:7" x14ac:dyDescent="0.25">
      <c r="A69" s="200">
        <v>75</v>
      </c>
      <c r="B69" s="200" t="s">
        <v>1084</v>
      </c>
      <c r="C69" s="200" t="s">
        <v>1085</v>
      </c>
      <c r="D69" s="200">
        <v>2970</v>
      </c>
      <c r="E69" s="200" t="s">
        <v>1066</v>
      </c>
      <c r="F69" s="466">
        <v>1</v>
      </c>
      <c r="G69" s="200"/>
    </row>
    <row r="70" spans="1:7" x14ac:dyDescent="0.25">
      <c r="A70" s="200">
        <v>102</v>
      </c>
      <c r="B70" s="200" t="s">
        <v>1086</v>
      </c>
      <c r="C70" s="200" t="s">
        <v>1087</v>
      </c>
      <c r="D70" s="200">
        <v>1187</v>
      </c>
      <c r="E70" s="200" t="s">
        <v>1066</v>
      </c>
      <c r="F70" s="466">
        <v>1</v>
      </c>
      <c r="G70" s="200"/>
    </row>
    <row r="71" spans="1:7" x14ac:dyDescent="0.25">
      <c r="A71" s="200">
        <v>103</v>
      </c>
      <c r="B71" s="200" t="s">
        <v>1088</v>
      </c>
      <c r="C71" s="200" t="s">
        <v>1089</v>
      </c>
      <c r="D71" s="200">
        <v>1588.5</v>
      </c>
      <c r="E71" s="200" t="s">
        <v>1066</v>
      </c>
      <c r="F71" s="466">
        <v>1</v>
      </c>
      <c r="G71" s="200"/>
    </row>
    <row r="72" spans="1:7" x14ac:dyDescent="0.25">
      <c r="A72" s="200">
        <v>104</v>
      </c>
      <c r="B72" s="200" t="s">
        <v>1090</v>
      </c>
      <c r="C72" s="200" t="s">
        <v>1091</v>
      </c>
      <c r="D72" s="200">
        <v>4763</v>
      </c>
      <c r="E72" s="200" t="s">
        <v>1066</v>
      </c>
      <c r="F72" s="466">
        <v>1</v>
      </c>
      <c r="G72" s="200"/>
    </row>
    <row r="73" spans="1:7" x14ac:dyDescent="0.25">
      <c r="A73" s="200">
        <v>105</v>
      </c>
      <c r="B73" s="200" t="s">
        <v>1092</v>
      </c>
      <c r="C73" s="200" t="s">
        <v>1093</v>
      </c>
      <c r="D73" s="200">
        <v>1273</v>
      </c>
      <c r="E73" s="200" t="s">
        <v>1066</v>
      </c>
      <c r="F73" s="466">
        <v>1</v>
      </c>
      <c r="G73" s="200"/>
    </row>
    <row r="74" spans="1:7" x14ac:dyDescent="0.25">
      <c r="A74" s="200">
        <v>106</v>
      </c>
      <c r="B74" s="200" t="s">
        <v>1094</v>
      </c>
      <c r="C74" s="200" t="s">
        <v>1095</v>
      </c>
      <c r="D74" s="200">
        <v>1019</v>
      </c>
      <c r="E74" s="200" t="s">
        <v>1066</v>
      </c>
      <c r="F74" s="466">
        <v>1</v>
      </c>
      <c r="G74" s="200"/>
    </row>
    <row r="75" spans="1:7" x14ac:dyDescent="0.25">
      <c r="A75" s="200">
        <v>13</v>
      </c>
      <c r="B75" s="200" t="s">
        <v>1096</v>
      </c>
      <c r="C75" s="200" t="s">
        <v>1097</v>
      </c>
      <c r="D75" s="200">
        <v>2447</v>
      </c>
      <c r="E75" s="200" t="s">
        <v>1066</v>
      </c>
      <c r="F75" s="466">
        <v>1</v>
      </c>
      <c r="G75" s="200"/>
    </row>
    <row r="76" spans="1:7" x14ac:dyDescent="0.25">
      <c r="A76" s="200">
        <v>14</v>
      </c>
      <c r="B76" s="200" t="s">
        <v>1098</v>
      </c>
      <c r="C76" s="200" t="s">
        <v>1099</v>
      </c>
      <c r="D76" s="200">
        <v>565.83000000000004</v>
      </c>
      <c r="E76" s="200" t="s">
        <v>1050</v>
      </c>
      <c r="F76" s="466">
        <v>0.78712647472661024</v>
      </c>
      <c r="G76" s="200"/>
    </row>
    <row r="77" spans="1:7" x14ac:dyDescent="0.25">
      <c r="A77" s="200">
        <v>15</v>
      </c>
      <c r="B77" s="200" t="s">
        <v>1098</v>
      </c>
      <c r="C77" s="200" t="s">
        <v>1099</v>
      </c>
      <c r="D77" s="200">
        <v>565.83000000000004</v>
      </c>
      <c r="E77" s="200" t="s">
        <v>1050</v>
      </c>
      <c r="F77" s="466">
        <v>0.78712647472661024</v>
      </c>
      <c r="G77" s="200"/>
    </row>
    <row r="78" spans="1:7" x14ac:dyDescent="0.25">
      <c r="A78" s="200">
        <v>16</v>
      </c>
      <c r="B78" s="200" t="s">
        <v>1098</v>
      </c>
      <c r="C78" s="200" t="s">
        <v>1099</v>
      </c>
      <c r="D78" s="200">
        <v>565.83000000000004</v>
      </c>
      <c r="E78" s="200" t="s">
        <v>1050</v>
      </c>
      <c r="F78" s="466">
        <v>0.78712647472661024</v>
      </c>
      <c r="G78" s="200"/>
    </row>
    <row r="79" spans="1:7" x14ac:dyDescent="0.25">
      <c r="A79" s="200">
        <v>17</v>
      </c>
      <c r="B79" s="200" t="s">
        <v>1100</v>
      </c>
      <c r="C79" s="200" t="s">
        <v>1101</v>
      </c>
      <c r="D79" s="200">
        <v>2349.17</v>
      </c>
      <c r="E79" s="200" t="s">
        <v>1050</v>
      </c>
      <c r="F79" s="466">
        <v>0.78712647472661024</v>
      </c>
      <c r="G79" s="200"/>
    </row>
    <row r="80" spans="1:7" x14ac:dyDescent="0.25">
      <c r="A80" s="200">
        <v>18</v>
      </c>
      <c r="B80" s="200" t="s">
        <v>1102</v>
      </c>
      <c r="C80" s="200" t="s">
        <v>1103</v>
      </c>
      <c r="D80" s="200">
        <v>725.69</v>
      </c>
      <c r="E80" s="200" t="s">
        <v>1050</v>
      </c>
      <c r="F80" s="466">
        <v>0.78712647472661024</v>
      </c>
      <c r="G80" s="200"/>
    </row>
    <row r="81" spans="1:7" x14ac:dyDescent="0.25">
      <c r="A81" s="200">
        <v>20</v>
      </c>
      <c r="B81" s="200" t="s">
        <v>1104</v>
      </c>
      <c r="C81" s="200" t="s">
        <v>1105</v>
      </c>
      <c r="D81" s="200">
        <v>902.99</v>
      </c>
      <c r="E81" s="200" t="s">
        <v>1050</v>
      </c>
      <c r="F81" s="466">
        <v>0.78712647472661024</v>
      </c>
      <c r="G81" s="200"/>
    </row>
    <row r="82" spans="1:7" x14ac:dyDescent="0.25">
      <c r="A82" s="200">
        <v>22</v>
      </c>
      <c r="B82" s="200" t="s">
        <v>1106</v>
      </c>
      <c r="C82" s="200" t="s">
        <v>1107</v>
      </c>
      <c r="D82" s="200">
        <v>574.16999999999996</v>
      </c>
      <c r="E82" s="200" t="s">
        <v>1050</v>
      </c>
      <c r="F82" s="466">
        <v>0.78712647472661024</v>
      </c>
      <c r="G82" s="200"/>
    </row>
    <row r="83" spans="1:7" x14ac:dyDescent="0.25">
      <c r="A83" s="200">
        <v>23</v>
      </c>
      <c r="B83" s="200" t="s">
        <v>1108</v>
      </c>
      <c r="C83" s="200" t="s">
        <v>1109</v>
      </c>
      <c r="D83" s="200">
        <v>1295.45</v>
      </c>
      <c r="E83" s="200" t="s">
        <v>1050</v>
      </c>
      <c r="F83" s="466">
        <v>0.78712647472661024</v>
      </c>
      <c r="G83" s="200"/>
    </row>
    <row r="84" spans="1:7" x14ac:dyDescent="0.25">
      <c r="A84" s="200">
        <v>34</v>
      </c>
      <c r="B84" s="200" t="s">
        <v>1110</v>
      </c>
      <c r="C84" s="200" t="s">
        <v>1111</v>
      </c>
      <c r="D84" s="200">
        <v>1805.99</v>
      </c>
      <c r="E84" s="200" t="s">
        <v>1050</v>
      </c>
      <c r="F84" s="466">
        <v>0.78712647472661024</v>
      </c>
      <c r="G84" s="200"/>
    </row>
    <row r="85" spans="1:7" x14ac:dyDescent="0.25">
      <c r="A85" s="200">
        <v>35</v>
      </c>
      <c r="B85" s="200" t="s">
        <v>1112</v>
      </c>
      <c r="C85" s="200" t="s">
        <v>1113</v>
      </c>
      <c r="D85" s="200">
        <v>449.23</v>
      </c>
      <c r="E85" s="200" t="s">
        <v>1050</v>
      </c>
      <c r="F85" s="466">
        <v>0.78712647472661024</v>
      </c>
      <c r="G85" s="200"/>
    </row>
    <row r="86" spans="1:7" x14ac:dyDescent="0.25">
      <c r="A86" s="200">
        <v>36</v>
      </c>
      <c r="B86" s="200" t="s">
        <v>1112</v>
      </c>
      <c r="C86" s="200" t="s">
        <v>1113</v>
      </c>
      <c r="D86" s="200">
        <v>449.23</v>
      </c>
      <c r="E86" s="200" t="s">
        <v>1050</v>
      </c>
      <c r="F86" s="466">
        <v>0.78712647472661024</v>
      </c>
      <c r="G86" s="200"/>
    </row>
    <row r="87" spans="1:7" x14ac:dyDescent="0.25">
      <c r="A87" s="200">
        <v>47</v>
      </c>
      <c r="B87" s="200" t="s">
        <v>1112</v>
      </c>
      <c r="C87" s="200" t="s">
        <v>1113</v>
      </c>
      <c r="D87" s="200">
        <v>449.24</v>
      </c>
      <c r="E87" s="200" t="s">
        <v>1050</v>
      </c>
      <c r="F87" s="466">
        <v>0.78712647472661024</v>
      </c>
      <c r="G87" s="200"/>
    </row>
    <row r="88" spans="1:7" x14ac:dyDescent="0.25">
      <c r="A88" s="200">
        <v>54</v>
      </c>
      <c r="B88" s="200" t="s">
        <v>1114</v>
      </c>
      <c r="C88" s="200" t="s">
        <v>1115</v>
      </c>
      <c r="D88" s="200">
        <v>1338.13</v>
      </c>
      <c r="E88" s="200" t="s">
        <v>1066</v>
      </c>
      <c r="F88" s="466">
        <v>0.78712647472661024</v>
      </c>
      <c r="G88" s="200"/>
    </row>
    <row r="89" spans="1:7" x14ac:dyDescent="0.25">
      <c r="A89" s="200">
        <v>48</v>
      </c>
      <c r="B89" s="200" t="s">
        <v>1116</v>
      </c>
      <c r="C89" s="200" t="s">
        <v>1117</v>
      </c>
      <c r="D89" s="200">
        <v>665.84</v>
      </c>
      <c r="E89" s="200" t="s">
        <v>1066</v>
      </c>
      <c r="F89" s="466">
        <v>0.78712647472661024</v>
      </c>
      <c r="G89" s="200"/>
    </row>
    <row r="90" spans="1:7" x14ac:dyDescent="0.25">
      <c r="A90" s="200">
        <v>49</v>
      </c>
      <c r="B90" s="200" t="s">
        <v>1118</v>
      </c>
      <c r="C90" s="200" t="s">
        <v>1119</v>
      </c>
      <c r="D90" s="200">
        <v>3775.05</v>
      </c>
      <c r="E90" s="200" t="s">
        <v>1053</v>
      </c>
      <c r="F90" s="466">
        <v>1</v>
      </c>
      <c r="G90" s="200"/>
    </row>
    <row r="91" spans="1:7" x14ac:dyDescent="0.25">
      <c r="A91" s="200">
        <v>50</v>
      </c>
      <c r="B91" s="200" t="s">
        <v>1120</v>
      </c>
      <c r="C91" s="200" t="s">
        <v>1119</v>
      </c>
      <c r="D91" s="200">
        <v>1745</v>
      </c>
      <c r="E91" s="200" t="s">
        <v>1053</v>
      </c>
      <c r="F91" s="466">
        <v>1</v>
      </c>
      <c r="G91" s="200"/>
    </row>
    <row r="92" spans="1:7" x14ac:dyDescent="0.25">
      <c r="A92" s="200">
        <v>51</v>
      </c>
      <c r="B92" s="200" t="s">
        <v>1121</v>
      </c>
      <c r="C92" s="200" t="s">
        <v>1119</v>
      </c>
      <c r="D92" s="200">
        <v>9325.5400000000009</v>
      </c>
      <c r="E92" s="200" t="s">
        <v>1053</v>
      </c>
      <c r="F92" s="466">
        <v>1</v>
      </c>
      <c r="G92" s="200"/>
    </row>
    <row r="93" spans="1:7" x14ac:dyDescent="0.25">
      <c r="A93" s="200">
        <v>76</v>
      </c>
      <c r="B93" s="200" t="s">
        <v>1122</v>
      </c>
      <c r="C93" s="200" t="s">
        <v>1119</v>
      </c>
      <c r="D93" s="200">
        <v>38582.97</v>
      </c>
      <c r="E93" s="200" t="s">
        <v>1053</v>
      </c>
      <c r="F93" s="466">
        <v>1</v>
      </c>
      <c r="G93" s="200"/>
    </row>
    <row r="94" spans="1:7" x14ac:dyDescent="0.25">
      <c r="A94" s="200">
        <v>77</v>
      </c>
      <c r="B94" s="200" t="s">
        <v>1123</v>
      </c>
      <c r="C94" s="200" t="s">
        <v>1124</v>
      </c>
      <c r="D94" s="200">
        <v>1730</v>
      </c>
      <c r="E94" s="200" t="s">
        <v>1053</v>
      </c>
      <c r="F94" s="466">
        <v>1</v>
      </c>
      <c r="G94" s="200"/>
    </row>
    <row r="95" spans="1:7" x14ac:dyDescent="0.25">
      <c r="A95" s="200">
        <v>78</v>
      </c>
      <c r="B95" s="200" t="s">
        <v>1125</v>
      </c>
      <c r="C95" s="200" t="s">
        <v>1124</v>
      </c>
      <c r="D95" s="200">
        <v>121.8</v>
      </c>
      <c r="E95" s="200" t="s">
        <v>1053</v>
      </c>
      <c r="F95" s="466">
        <v>1</v>
      </c>
      <c r="G95" s="200"/>
    </row>
    <row r="96" spans="1:7" x14ac:dyDescent="0.25">
      <c r="A96" s="200">
        <v>81</v>
      </c>
      <c r="B96" s="200" t="s">
        <v>1126</v>
      </c>
      <c r="C96" s="200" t="s">
        <v>1124</v>
      </c>
      <c r="D96" s="200">
        <v>2468</v>
      </c>
      <c r="E96" s="200" t="s">
        <v>1053</v>
      </c>
      <c r="F96" s="466">
        <v>1</v>
      </c>
      <c r="G96" s="200"/>
    </row>
    <row r="97" spans="1:7" x14ac:dyDescent="0.25">
      <c r="A97" s="200">
        <v>84</v>
      </c>
      <c r="B97" s="200" t="s">
        <v>1127</v>
      </c>
      <c r="C97" s="200" t="s">
        <v>1128</v>
      </c>
      <c r="D97" s="200">
        <v>685.2</v>
      </c>
      <c r="E97" s="200" t="s">
        <v>1053</v>
      </c>
      <c r="F97" s="466">
        <v>1</v>
      </c>
      <c r="G97" s="200"/>
    </row>
    <row r="98" spans="1:7" x14ac:dyDescent="0.25">
      <c r="A98" s="200">
        <v>85</v>
      </c>
      <c r="B98" s="200" t="s">
        <v>1129</v>
      </c>
      <c r="C98" s="200" t="s">
        <v>1119</v>
      </c>
      <c r="D98" s="200">
        <v>17475</v>
      </c>
      <c r="E98" s="200" t="s">
        <v>1053</v>
      </c>
      <c r="F98" s="466">
        <v>1</v>
      </c>
      <c r="G98" s="200"/>
    </row>
    <row r="99" spans="1:7" x14ac:dyDescent="0.25">
      <c r="A99" s="200">
        <v>86</v>
      </c>
      <c r="B99" s="200" t="s">
        <v>1130</v>
      </c>
      <c r="C99" s="200" t="s">
        <v>1119</v>
      </c>
      <c r="D99" s="200">
        <v>499317</v>
      </c>
      <c r="E99" s="200" t="s">
        <v>1053</v>
      </c>
      <c r="F99" s="466">
        <v>1</v>
      </c>
      <c r="G99" s="200"/>
    </row>
    <row r="100" spans="1:7" x14ac:dyDescent="0.25">
      <c r="A100" s="200">
        <v>87</v>
      </c>
      <c r="B100" s="200" t="s">
        <v>1131</v>
      </c>
      <c r="C100" s="200" t="s">
        <v>1065</v>
      </c>
      <c r="D100" s="200">
        <v>1117.5</v>
      </c>
      <c r="E100" s="200" t="s">
        <v>1053</v>
      </c>
      <c r="F100" s="466">
        <v>1</v>
      </c>
      <c r="G100" s="200"/>
    </row>
    <row r="101" spans="1:7" x14ac:dyDescent="0.25">
      <c r="A101" s="200">
        <v>88</v>
      </c>
      <c r="B101" s="200" t="s">
        <v>1132</v>
      </c>
      <c r="C101" s="200" t="s">
        <v>1065</v>
      </c>
      <c r="D101" s="200">
        <v>769.5</v>
      </c>
      <c r="E101" s="200" t="s">
        <v>1053</v>
      </c>
      <c r="F101" s="466">
        <v>1</v>
      </c>
      <c r="G101" s="200"/>
    </row>
    <row r="102" spans="1:7" x14ac:dyDescent="0.25">
      <c r="A102" s="200">
        <v>89</v>
      </c>
      <c r="B102" s="200" t="s">
        <v>1133</v>
      </c>
      <c r="C102" s="200" t="s">
        <v>1065</v>
      </c>
      <c r="D102" s="200">
        <v>525.29999999999995</v>
      </c>
      <c r="E102" s="200" t="s">
        <v>1053</v>
      </c>
      <c r="F102" s="466">
        <v>1</v>
      </c>
      <c r="G102" s="200"/>
    </row>
    <row r="103" spans="1:7" x14ac:dyDescent="0.25">
      <c r="A103" s="200">
        <v>92</v>
      </c>
      <c r="B103" s="200" t="s">
        <v>1134</v>
      </c>
      <c r="C103" s="200" t="s">
        <v>1135</v>
      </c>
      <c r="D103" s="200">
        <v>401.7</v>
      </c>
      <c r="E103" s="200" t="s">
        <v>1053</v>
      </c>
      <c r="F103" s="466">
        <v>1</v>
      </c>
      <c r="G103" s="200"/>
    </row>
    <row r="104" spans="1:7" x14ac:dyDescent="0.25">
      <c r="A104" s="200">
        <v>93</v>
      </c>
      <c r="B104" s="200" t="s">
        <v>1136</v>
      </c>
      <c r="C104" s="200" t="s">
        <v>1137</v>
      </c>
      <c r="D104" s="200">
        <v>488.2</v>
      </c>
      <c r="E104" s="200" t="s">
        <v>1053</v>
      </c>
      <c r="F104" s="466">
        <v>1</v>
      </c>
      <c r="G104" s="200"/>
    </row>
    <row r="105" spans="1:7" x14ac:dyDescent="0.25">
      <c r="A105" s="200">
        <v>94</v>
      </c>
      <c r="B105" s="200" t="s">
        <v>1138</v>
      </c>
      <c r="C105" s="200" t="s">
        <v>1139</v>
      </c>
      <c r="D105" s="200">
        <v>336.5</v>
      </c>
      <c r="E105" s="200" t="s">
        <v>1053</v>
      </c>
      <c r="F105" s="466">
        <v>1</v>
      </c>
      <c r="G105" s="200"/>
    </row>
    <row r="106" spans="1:7" x14ac:dyDescent="0.25">
      <c r="A106" s="200">
        <v>95</v>
      </c>
      <c r="B106" s="200" t="s">
        <v>1140</v>
      </c>
      <c r="C106" s="200" t="s">
        <v>1079</v>
      </c>
      <c r="D106" s="200">
        <v>588.5</v>
      </c>
      <c r="E106" s="200" t="s">
        <v>1053</v>
      </c>
      <c r="F106" s="466">
        <v>1</v>
      </c>
      <c r="G106" s="200"/>
    </row>
    <row r="107" spans="1:7" x14ac:dyDescent="0.25">
      <c r="A107" s="200">
        <v>96</v>
      </c>
      <c r="B107" s="200" t="s">
        <v>1141</v>
      </c>
      <c r="C107" s="200" t="s">
        <v>1142</v>
      </c>
      <c r="D107" s="200">
        <v>4283</v>
      </c>
      <c r="E107" s="200" t="s">
        <v>1053</v>
      </c>
      <c r="F107" s="466">
        <v>1</v>
      </c>
      <c r="G107" s="200"/>
    </row>
    <row r="108" spans="1:7" x14ac:dyDescent="0.25">
      <c r="A108" s="200">
        <v>97</v>
      </c>
      <c r="B108" s="200" t="s">
        <v>1143</v>
      </c>
      <c r="C108" s="200" t="s">
        <v>1124</v>
      </c>
      <c r="D108" s="200">
        <v>1874</v>
      </c>
      <c r="E108" s="200" t="s">
        <v>1053</v>
      </c>
      <c r="F108" s="466">
        <v>1</v>
      </c>
      <c r="G108" s="200"/>
    </row>
    <row r="109" spans="1:7" x14ac:dyDescent="0.25">
      <c r="A109" s="200">
        <v>98</v>
      </c>
      <c r="B109" s="200" t="s">
        <v>1144</v>
      </c>
      <c r="C109" s="200" t="s">
        <v>1145</v>
      </c>
      <c r="D109" s="200">
        <v>3985.8</v>
      </c>
      <c r="E109" s="200" t="s">
        <v>1053</v>
      </c>
      <c r="F109" s="466">
        <v>1</v>
      </c>
      <c r="G109" s="200"/>
    </row>
    <row r="110" spans="1:7" x14ac:dyDescent="0.25">
      <c r="A110" s="200">
        <v>99</v>
      </c>
      <c r="B110" s="200" t="s">
        <v>1146</v>
      </c>
      <c r="C110" s="200" t="s">
        <v>1147</v>
      </c>
      <c r="D110" s="200">
        <v>1860.11</v>
      </c>
      <c r="E110" s="200" t="s">
        <v>1053</v>
      </c>
      <c r="F110" s="466">
        <v>1</v>
      </c>
      <c r="G110" s="200"/>
    </row>
    <row r="111" spans="1:7" x14ac:dyDescent="0.25">
      <c r="A111" s="200">
        <v>91</v>
      </c>
      <c r="B111" s="200" t="s">
        <v>1148</v>
      </c>
      <c r="C111" s="200" t="s">
        <v>1149</v>
      </c>
      <c r="D111" s="200">
        <v>1210</v>
      </c>
      <c r="E111" s="200" t="s">
        <v>1053</v>
      </c>
      <c r="F111" s="466">
        <v>1</v>
      </c>
      <c r="G111" s="200"/>
    </row>
    <row r="112" spans="1:7" x14ac:dyDescent="0.25">
      <c r="A112" s="200" t="s">
        <v>817</v>
      </c>
      <c r="B112" s="200" t="s">
        <v>1150</v>
      </c>
      <c r="C112" s="200" t="s">
        <v>1075</v>
      </c>
      <c r="D112" s="200">
        <v>7920</v>
      </c>
      <c r="E112" s="200" t="s">
        <v>1053</v>
      </c>
      <c r="F112" s="466">
        <v>1</v>
      </c>
      <c r="G112" s="200"/>
    </row>
    <row r="115" spans="1:3" x14ac:dyDescent="0.25">
      <c r="A115" t="s">
        <v>1374</v>
      </c>
    </row>
    <row r="116" spans="1:3" ht="32.25" x14ac:dyDescent="0.4">
      <c r="A116" s="195" t="s">
        <v>390</v>
      </c>
      <c r="B116" s="55" t="s">
        <v>819</v>
      </c>
      <c r="C116" s="196" t="s">
        <v>389</v>
      </c>
    </row>
    <row r="117" spans="1:3" ht="16.899999999999999" customHeight="1" x14ac:dyDescent="0.25">
      <c r="A117" t="s">
        <v>391</v>
      </c>
    </row>
    <row r="118" spans="1:3" x14ac:dyDescent="0.25">
      <c r="A118" s="197" t="s">
        <v>1151</v>
      </c>
      <c r="B118" s="197" t="s">
        <v>392</v>
      </c>
    </row>
    <row r="119" spans="1:3" x14ac:dyDescent="0.25">
      <c r="A119" s="200" t="s">
        <v>1151</v>
      </c>
      <c r="B119" s="465">
        <v>2975.4</v>
      </c>
    </row>
    <row r="120" spans="1:3" x14ac:dyDescent="0.25">
      <c r="A120" s="200" t="s">
        <v>1151</v>
      </c>
      <c r="B120" s="465">
        <v>1978.45</v>
      </c>
    </row>
    <row r="121" spans="1:3" x14ac:dyDescent="0.25">
      <c r="A121" s="200" t="s">
        <v>1151</v>
      </c>
      <c r="B121" s="465">
        <v>9010.2000000000007</v>
      </c>
    </row>
    <row r="122" spans="1:3" x14ac:dyDescent="0.25">
      <c r="A122" s="200" t="s">
        <v>1151</v>
      </c>
      <c r="B122" s="465">
        <v>9429.5</v>
      </c>
    </row>
    <row r="123" spans="1:3" x14ac:dyDescent="0.25">
      <c r="A123" s="200" t="s">
        <v>1151</v>
      </c>
      <c r="B123" s="465">
        <v>1821</v>
      </c>
    </row>
    <row r="124" spans="1:3" x14ac:dyDescent="0.25">
      <c r="A124" s="200" t="s">
        <v>1151</v>
      </c>
      <c r="B124" s="465">
        <v>3154.82</v>
      </c>
    </row>
    <row r="125" spans="1:3" x14ac:dyDescent="0.25">
      <c r="A125" s="200" t="s">
        <v>1151</v>
      </c>
      <c r="B125" s="465">
        <v>160</v>
      </c>
    </row>
    <row r="126" spans="1:3" x14ac:dyDescent="0.25">
      <c r="A126" s="200" t="s">
        <v>1151</v>
      </c>
      <c r="B126" s="465">
        <v>1684</v>
      </c>
    </row>
    <row r="127" spans="1:3" x14ac:dyDescent="0.25">
      <c r="A127" s="200" t="s">
        <v>1151</v>
      </c>
      <c r="B127" s="465">
        <v>1943.43</v>
      </c>
    </row>
    <row r="128" spans="1:3" x14ac:dyDescent="0.25">
      <c r="A128" s="200" t="s">
        <v>1151</v>
      </c>
      <c r="B128" s="465">
        <v>1462.73</v>
      </c>
    </row>
    <row r="129" spans="1:3" x14ac:dyDescent="0.25">
      <c r="A129" s="200" t="s">
        <v>1151</v>
      </c>
      <c r="B129" s="465">
        <v>1433.52</v>
      </c>
    </row>
    <row r="130" spans="1:3" x14ac:dyDescent="0.25">
      <c r="A130" s="200" t="s">
        <v>1151</v>
      </c>
      <c r="B130" s="465">
        <v>4616.32</v>
      </c>
    </row>
    <row r="131" spans="1:3" x14ac:dyDescent="0.25">
      <c r="A131" s="200" t="s">
        <v>1151</v>
      </c>
      <c r="B131" s="465">
        <v>5444.35</v>
      </c>
    </row>
    <row r="132" spans="1:3" x14ac:dyDescent="0.25">
      <c r="A132" s="200" t="s">
        <v>1151</v>
      </c>
      <c r="B132" s="465">
        <v>1685.09</v>
      </c>
    </row>
    <row r="133" spans="1:3" x14ac:dyDescent="0.25">
      <c r="A133" s="200" t="s">
        <v>1151</v>
      </c>
      <c r="B133" s="465">
        <v>2824.42</v>
      </c>
    </row>
    <row r="134" spans="1:3" x14ac:dyDescent="0.25">
      <c r="A134" s="200" t="s">
        <v>1151</v>
      </c>
      <c r="B134" s="465">
        <v>9332.5</v>
      </c>
    </row>
    <row r="135" spans="1:3" x14ac:dyDescent="0.25">
      <c r="A135" s="200" t="s">
        <v>1151</v>
      </c>
      <c r="B135" s="465">
        <v>3591.46</v>
      </c>
    </row>
    <row r="136" spans="1:3" x14ac:dyDescent="0.25">
      <c r="A136" s="200" t="s">
        <v>1151</v>
      </c>
      <c r="B136" s="465">
        <v>3541.14</v>
      </c>
    </row>
    <row r="137" spans="1:3" x14ac:dyDescent="0.25">
      <c r="A137" s="200" t="s">
        <v>1151</v>
      </c>
      <c r="B137" s="465">
        <v>3873.5</v>
      </c>
    </row>
    <row r="138" spans="1:3" x14ac:dyDescent="0.25">
      <c r="A138" s="200" t="s">
        <v>1151</v>
      </c>
      <c r="B138" s="465">
        <v>4075</v>
      </c>
    </row>
    <row r="139" spans="1:3" x14ac:dyDescent="0.25">
      <c r="A139" s="200" t="s">
        <v>1152</v>
      </c>
      <c r="B139" s="465">
        <v>4000.92</v>
      </c>
    </row>
    <row r="140" spans="1:3" x14ac:dyDescent="0.25">
      <c r="A140" s="200" t="s">
        <v>1152</v>
      </c>
      <c r="B140" s="465">
        <v>91.91</v>
      </c>
    </row>
    <row r="141" spans="1:3" x14ac:dyDescent="0.25">
      <c r="A141" s="200" t="s">
        <v>818</v>
      </c>
      <c r="B141" s="465">
        <v>392</v>
      </c>
    </row>
    <row r="143" spans="1:3" x14ac:dyDescent="0.25">
      <c r="A143" t="s">
        <v>393</v>
      </c>
    </row>
    <row r="144" spans="1:3" ht="32.25" x14ac:dyDescent="0.4">
      <c r="A144" s="195" t="s">
        <v>390</v>
      </c>
      <c r="B144" s="55" t="s">
        <v>819</v>
      </c>
      <c r="C144" s="196" t="s">
        <v>389</v>
      </c>
    </row>
    <row r="145" spans="1:3" x14ac:dyDescent="0.25">
      <c r="A145" t="s">
        <v>391</v>
      </c>
    </row>
    <row r="146" spans="1:3" x14ac:dyDescent="0.25">
      <c r="A146" s="197" t="s">
        <v>1153</v>
      </c>
      <c r="B146" s="197" t="s">
        <v>392</v>
      </c>
    </row>
    <row r="147" spans="1:3" x14ac:dyDescent="0.25">
      <c r="A147" s="200" t="s">
        <v>1154</v>
      </c>
      <c r="B147" s="465">
        <v>28057.63</v>
      </c>
    </row>
    <row r="148" spans="1:3" x14ac:dyDescent="0.25">
      <c r="A148" s="200" t="s">
        <v>1155</v>
      </c>
      <c r="B148" s="465">
        <v>567.09</v>
      </c>
    </row>
    <row r="149" spans="1:3" x14ac:dyDescent="0.25">
      <c r="A149" s="200" t="s">
        <v>1156</v>
      </c>
      <c r="B149" s="465">
        <v>869.4</v>
      </c>
    </row>
    <row r="150" spans="1:3" x14ac:dyDescent="0.25">
      <c r="A150" s="200" t="s">
        <v>1157</v>
      </c>
      <c r="B150" s="465">
        <v>300</v>
      </c>
    </row>
    <row r="151" spans="1:3" x14ac:dyDescent="0.25">
      <c r="A151" s="200" t="s">
        <v>1158</v>
      </c>
      <c r="B151" s="465">
        <v>560</v>
      </c>
    </row>
    <row r="152" spans="1:3" x14ac:dyDescent="0.25">
      <c r="A152" s="200" t="s">
        <v>818</v>
      </c>
      <c r="B152" s="465">
        <v>900</v>
      </c>
    </row>
    <row r="154" spans="1:3" x14ac:dyDescent="0.25">
      <c r="A154" t="s">
        <v>394</v>
      </c>
    </row>
    <row r="155" spans="1:3" ht="32.25" x14ac:dyDescent="0.4">
      <c r="A155" s="195" t="s">
        <v>390</v>
      </c>
      <c r="B155" s="55" t="s">
        <v>819</v>
      </c>
      <c r="C155" s="196" t="s">
        <v>389</v>
      </c>
    </row>
    <row r="156" spans="1:3" x14ac:dyDescent="0.25">
      <c r="A156" t="s">
        <v>391</v>
      </c>
    </row>
    <row r="157" spans="1:3" x14ac:dyDescent="0.25">
      <c r="A157" s="197" t="s">
        <v>1159</v>
      </c>
      <c r="B157" s="197" t="s">
        <v>392</v>
      </c>
    </row>
    <row r="158" spans="1:3" x14ac:dyDescent="0.25">
      <c r="A158" s="200" t="s">
        <v>1160</v>
      </c>
      <c r="B158" s="200">
        <v>82500</v>
      </c>
    </row>
    <row r="159" spans="1:3" x14ac:dyDescent="0.25">
      <c r="A159" s="200" t="s">
        <v>1161</v>
      </c>
      <c r="B159" s="200"/>
    </row>
    <row r="160" spans="1:3" x14ac:dyDescent="0.25">
      <c r="A160" s="200" t="s">
        <v>1161</v>
      </c>
      <c r="B160" s="200">
        <v>3500.86</v>
      </c>
    </row>
    <row r="161" spans="1:3" x14ac:dyDescent="0.25">
      <c r="A161" s="200" t="s">
        <v>1161</v>
      </c>
      <c r="B161" s="200">
        <v>5740</v>
      </c>
    </row>
    <row r="162" spans="1:3" x14ac:dyDescent="0.25">
      <c r="A162" s="200" t="s">
        <v>1161</v>
      </c>
      <c r="B162" s="200">
        <v>3489.16</v>
      </c>
    </row>
    <row r="163" spans="1:3" x14ac:dyDescent="0.25">
      <c r="A163" s="200" t="s">
        <v>1161</v>
      </c>
      <c r="B163" s="200">
        <v>4660.01</v>
      </c>
    </row>
    <row r="164" spans="1:3" x14ac:dyDescent="0.25">
      <c r="A164" s="200" t="s">
        <v>1161</v>
      </c>
      <c r="B164" s="200">
        <v>4305</v>
      </c>
    </row>
    <row r="165" spans="1:3" x14ac:dyDescent="0.25">
      <c r="A165" s="200" t="s">
        <v>1162</v>
      </c>
      <c r="B165" s="200">
        <v>5805</v>
      </c>
    </row>
    <row r="166" spans="1:3" x14ac:dyDescent="0.25">
      <c r="A166" s="200" t="s">
        <v>1163</v>
      </c>
      <c r="B166" s="200">
        <v>1200</v>
      </c>
    </row>
    <row r="167" spans="1:3" x14ac:dyDescent="0.25">
      <c r="A167" s="200" t="s">
        <v>1163</v>
      </c>
      <c r="B167" s="200"/>
      <c r="C167">
        <v>296301</v>
      </c>
    </row>
    <row r="168" spans="1:3" x14ac:dyDescent="0.25">
      <c r="A168" s="200" t="s">
        <v>1163</v>
      </c>
      <c r="B168" s="200"/>
      <c r="C168">
        <v>197534</v>
      </c>
    </row>
    <row r="169" spans="1:3" x14ac:dyDescent="0.25">
      <c r="A169" s="200" t="s">
        <v>1164</v>
      </c>
      <c r="B169" s="200">
        <v>2665</v>
      </c>
    </row>
    <row r="170" spans="1:3" x14ac:dyDescent="0.25">
      <c r="A170" s="200" t="s">
        <v>1164</v>
      </c>
      <c r="B170" s="200">
        <v>12450</v>
      </c>
    </row>
    <row r="171" spans="1:3" x14ac:dyDescent="0.25">
      <c r="A171" s="200" t="s">
        <v>1165</v>
      </c>
      <c r="B171" s="200">
        <v>8300</v>
      </c>
    </row>
    <row r="172" spans="1:3" x14ac:dyDescent="0.25">
      <c r="A172" s="200" t="s">
        <v>1165</v>
      </c>
      <c r="B172" s="200">
        <v>630</v>
      </c>
    </row>
    <row r="173" spans="1:3" x14ac:dyDescent="0.25">
      <c r="A173" s="200" t="s">
        <v>1165</v>
      </c>
      <c r="B173" s="200">
        <v>630</v>
      </c>
    </row>
    <row r="174" spans="1:3" x14ac:dyDescent="0.25">
      <c r="A174" s="200" t="s">
        <v>1166</v>
      </c>
      <c r="B174" s="200">
        <v>555</v>
      </c>
    </row>
    <row r="175" spans="1:3" x14ac:dyDescent="0.25">
      <c r="A175" s="200" t="s">
        <v>1167</v>
      </c>
      <c r="B175" s="200">
        <v>1012</v>
      </c>
    </row>
    <row r="176" spans="1:3" x14ac:dyDescent="0.25">
      <c r="A176" s="200" t="s">
        <v>818</v>
      </c>
      <c r="B176" s="200">
        <v>386.15</v>
      </c>
    </row>
    <row r="178" spans="1:5" x14ac:dyDescent="0.25">
      <c r="A178" t="s">
        <v>395</v>
      </c>
    </row>
    <row r="179" spans="1:5" ht="24" x14ac:dyDescent="0.4">
      <c r="A179" s="195"/>
      <c r="B179" s="55" t="s">
        <v>822</v>
      </c>
      <c r="C179" s="196" t="s">
        <v>389</v>
      </c>
    </row>
    <row r="180" spans="1:5" x14ac:dyDescent="0.25">
      <c r="A180" t="s">
        <v>1375</v>
      </c>
    </row>
    <row r="181" spans="1:5" ht="38.25" x14ac:dyDescent="0.25">
      <c r="A181" s="197"/>
      <c r="B181" s="197" t="s">
        <v>820</v>
      </c>
      <c r="C181" s="197" t="s">
        <v>821</v>
      </c>
      <c r="D181" s="197" t="s">
        <v>396</v>
      </c>
      <c r="E181" s="197"/>
    </row>
    <row r="182" spans="1:5" x14ac:dyDescent="0.25">
      <c r="A182" s="200"/>
      <c r="B182" s="200"/>
      <c r="C182" s="200"/>
      <c r="D182" s="200"/>
      <c r="E182" s="200"/>
    </row>
    <row r="183" spans="1:5" x14ac:dyDescent="0.25">
      <c r="A183" s="200"/>
      <c r="B183" s="200"/>
      <c r="C183" s="200"/>
      <c r="D183" s="200"/>
      <c r="E183" s="200"/>
    </row>
    <row r="184" spans="1:5" x14ac:dyDescent="0.25">
      <c r="A184" s="200"/>
      <c r="B184" s="200"/>
      <c r="C184" s="200"/>
      <c r="D184" s="200"/>
      <c r="E184" s="200"/>
    </row>
  </sheetData>
  <autoFilter ref="A4:W45" xr:uid="{13C1A8D2-3EFB-483B-A634-5ABE2A964801}"/>
  <conditionalFormatting sqref="G50">
    <cfRule type="expression" dxfId="282" priority="103">
      <formula>$R$4="CIR"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InsererLigneMultiple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0</xdr:col>
                    <xdr:colOff>2571750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E34-6EB7-4C4E-AFAC-4EAF27D51A09}">
  <sheetPr codeName="Feuil3">
    <tabColor theme="6" tint="0.79998168889431442"/>
  </sheetPr>
  <dimension ref="B1:R54"/>
  <sheetViews>
    <sheetView showGridLines="0" topLeftCell="A27" workbookViewId="0">
      <selection activeCell="C53" sqref="C53"/>
    </sheetView>
  </sheetViews>
  <sheetFormatPr baseColWidth="10" defaultColWidth="10.85546875" defaultRowHeight="15" outlineLevelRow="2" outlineLevelCol="2" x14ac:dyDescent="0.3"/>
  <cols>
    <col min="1" max="1" width="10.85546875" style="4"/>
    <col min="2" max="2" width="76.42578125" style="4" bestFit="1" customWidth="1"/>
    <col min="3" max="3" width="16.42578125" style="4" customWidth="1" outlineLevel="1"/>
    <col min="4" max="4" width="10.85546875" style="4" hidden="1" customWidth="1" outlineLevel="1"/>
    <col min="5" max="5" width="0.28515625" style="4" hidden="1" customWidth="1" outlineLevel="1"/>
    <col min="6" max="6" width="0.140625" style="4" hidden="1" customWidth="1"/>
    <col min="7" max="7" width="10.85546875" style="4" hidden="1" customWidth="1" outlineLevel="1"/>
    <col min="8" max="8" width="0.28515625" style="4" customWidth="1" outlineLevel="1"/>
    <col min="9" max="9" width="0.7109375" style="4" customWidth="1"/>
    <col min="10" max="10" width="12.5703125" style="4" bestFit="1" customWidth="1"/>
    <col min="11" max="11" width="10.85546875" style="4" hidden="1" customWidth="1" outlineLevel="1"/>
    <col min="12" max="12" width="10.85546875" style="4" hidden="1" customWidth="1" outlineLevel="2"/>
    <col min="13" max="13" width="30.140625" style="4" bestFit="1" customWidth="1" collapsed="1"/>
    <col min="14" max="14" width="12.42578125" style="4" customWidth="1"/>
    <col min="15" max="15" width="33.140625" style="4" bestFit="1" customWidth="1"/>
    <col min="16" max="16" width="33" style="4" bestFit="1" customWidth="1"/>
    <col min="17" max="17" width="14.5703125" style="4" bestFit="1" customWidth="1"/>
    <col min="18" max="18" width="22.5703125" style="4" bestFit="1" customWidth="1"/>
    <col min="19" max="16384" width="10.85546875" style="4"/>
  </cols>
  <sheetData>
    <row r="1" spans="2:18" ht="8.4499999999999993" customHeight="1" x14ac:dyDescent="0.3"/>
    <row r="2" spans="2:18" x14ac:dyDescent="0.3">
      <c r="C2" s="9">
        <f>'parametres chiffrage'!B10</f>
        <v>2025</v>
      </c>
      <c r="D2" s="9">
        <f>'parametres chiffrage'!B10</f>
        <v>2025</v>
      </c>
      <c r="E2" s="23"/>
      <c r="F2" s="23"/>
      <c r="G2" s="9">
        <f>'parametres chiffrage'!B10</f>
        <v>2025</v>
      </c>
      <c r="H2" s="23"/>
      <c r="J2" s="209">
        <f>'parametres chiffrage'!B10-1</f>
        <v>2024</v>
      </c>
      <c r="K2" s="209"/>
      <c r="L2" s="209"/>
    </row>
    <row r="3" spans="2:18" ht="6.95" customHeight="1" thickBot="1" x14ac:dyDescent="0.35"/>
    <row r="4" spans="2:18" x14ac:dyDescent="0.3">
      <c r="B4" s="10" t="s">
        <v>397</v>
      </c>
      <c r="C4" s="20" t="s">
        <v>13</v>
      </c>
      <c r="D4" s="20" t="s">
        <v>27</v>
      </c>
      <c r="E4" s="33"/>
      <c r="F4" s="33"/>
      <c r="G4" s="20" t="s">
        <v>38</v>
      </c>
      <c r="H4" s="33"/>
      <c r="I4" s="31"/>
      <c r="J4" s="37" t="s">
        <v>13</v>
      </c>
      <c r="K4" s="38" t="s">
        <v>27</v>
      </c>
      <c r="L4" s="39" t="s">
        <v>38</v>
      </c>
      <c r="P4" s="156"/>
      <c r="Q4" s="156" t="s">
        <v>833</v>
      </c>
      <c r="R4" s="156" t="s">
        <v>602</v>
      </c>
    </row>
    <row r="5" spans="2:18" x14ac:dyDescent="0.3">
      <c r="B5" s="6" t="s">
        <v>359</v>
      </c>
      <c r="C5" s="11">
        <f>VALO_AMO!W74</f>
        <v>203475.58764846023</v>
      </c>
      <c r="D5" s="11">
        <f>VALO_AMO!AB70</f>
        <v>0</v>
      </c>
      <c r="E5" s="34"/>
      <c r="F5" s="34"/>
      <c r="G5" s="11">
        <f>VALO_AMO!AG4</f>
        <v>0</v>
      </c>
      <c r="H5" s="34"/>
      <c r="I5" s="31"/>
      <c r="J5" s="216">
        <v>196709.81825609773</v>
      </c>
      <c r="K5" s="11"/>
      <c r="L5" s="217"/>
      <c r="P5" s="157" t="s">
        <v>831</v>
      </c>
      <c r="Q5" s="157">
        <v>251</v>
      </c>
      <c r="R5" s="430">
        <v>1</v>
      </c>
    </row>
    <row r="6" spans="2:18" x14ac:dyDescent="0.3">
      <c r="B6" s="6" t="s">
        <v>360</v>
      </c>
      <c r="C6" s="11">
        <f>VALO_PERSO!AZ50-'Calcul FF'!O15/2</f>
        <v>2048200.6980022709</v>
      </c>
      <c r="D6" s="11">
        <f>VALO_PERSO!BD50</f>
        <v>0</v>
      </c>
      <c r="E6" s="34"/>
      <c r="F6" s="34"/>
      <c r="G6" s="11">
        <f>VALO_PERSO!BH50</f>
        <v>0</v>
      </c>
      <c r="H6" s="34"/>
      <c r="I6" s="31"/>
      <c r="J6" s="216">
        <v>1916270.1946017805</v>
      </c>
      <c r="K6" s="11"/>
      <c r="L6" s="217"/>
      <c r="P6" s="157" t="s">
        <v>832</v>
      </c>
      <c r="Q6" s="157">
        <v>32</v>
      </c>
      <c r="R6" s="430">
        <f>Q6/Q5</f>
        <v>0.12749003984063745</v>
      </c>
    </row>
    <row r="7" spans="2:18" x14ac:dyDescent="0.3">
      <c r="B7" s="6" t="s">
        <v>398</v>
      </c>
      <c r="C7" s="11">
        <f>'Calcul FF'!O15</f>
        <v>0</v>
      </c>
      <c r="D7" s="40"/>
      <c r="E7" s="34"/>
      <c r="F7" s="34"/>
      <c r="G7" s="40"/>
      <c r="H7" s="34"/>
      <c r="I7" s="31"/>
      <c r="J7" s="216">
        <v>127225.21199413609</v>
      </c>
      <c r="K7" s="11"/>
      <c r="L7" s="217"/>
      <c r="P7" s="157" t="s">
        <v>834</v>
      </c>
      <c r="Q7" s="157">
        <v>219</v>
      </c>
      <c r="R7" s="430">
        <f>Q7/Q5</f>
        <v>0.87250996015936255</v>
      </c>
    </row>
    <row r="8" spans="2:18" x14ac:dyDescent="0.3">
      <c r="B8" s="6" t="s">
        <v>399</v>
      </c>
      <c r="C8" s="11">
        <f>'Calcul FF'!K8+'Calcul FF'!L8+'Calcul FF'!K75+'Calcul FF'!L75+(C5*0.75)</f>
        <v>981584.29037042777</v>
      </c>
      <c r="D8" s="40"/>
      <c r="E8" s="34"/>
      <c r="F8" s="34"/>
      <c r="G8" s="11">
        <f>G6*0.75</f>
        <v>0</v>
      </c>
      <c r="H8" s="34"/>
      <c r="I8" s="31"/>
      <c r="J8" s="216">
        <v>1098753.7593649749</v>
      </c>
      <c r="K8" s="11"/>
      <c r="L8" s="217"/>
    </row>
    <row r="9" spans="2:18" outlineLevel="2" x14ac:dyDescent="0.3">
      <c r="B9" s="6" t="s">
        <v>400</v>
      </c>
      <c r="C9" s="11">
        <f>VALO_BREVET!P28</f>
        <v>1118.3</v>
      </c>
      <c r="D9" s="11">
        <f>VALO_BREVET!R28</f>
        <v>0</v>
      </c>
      <c r="E9" s="34"/>
      <c r="F9" s="34"/>
      <c r="G9" s="11">
        <f>VALO_BREVET!T28</f>
        <v>0</v>
      </c>
      <c r="H9" s="34"/>
      <c r="I9" s="31"/>
      <c r="J9" s="216">
        <v>78521.66</v>
      </c>
      <c r="K9" s="11"/>
      <c r="L9" s="217"/>
    </row>
    <row r="10" spans="2:18" outlineLevel="2" x14ac:dyDescent="0.3">
      <c r="B10" s="6" t="s">
        <v>401</v>
      </c>
      <c r="C10" s="11">
        <f>VALO_BREVET!P29+'VALO-autres dépenses CIR'!J39</f>
        <v>0</v>
      </c>
      <c r="D10" s="11">
        <f>VALO_BREVET!R29</f>
        <v>0</v>
      </c>
      <c r="E10" s="34"/>
      <c r="F10" s="34"/>
      <c r="G10" s="11">
        <f>VALO_BREVET!T29</f>
        <v>0</v>
      </c>
      <c r="H10" s="34"/>
      <c r="I10" s="31"/>
      <c r="J10" s="216">
        <v>0</v>
      </c>
      <c r="K10" s="11"/>
      <c r="L10" s="217"/>
    </row>
    <row r="11" spans="2:18" outlineLevel="2" x14ac:dyDescent="0.3">
      <c r="B11" s="6" t="s">
        <v>402</v>
      </c>
      <c r="C11" s="11">
        <f>VALO_AMO!W72</f>
        <v>0</v>
      </c>
      <c r="D11" s="40"/>
      <c r="E11" s="34"/>
      <c r="F11" s="34"/>
      <c r="G11" s="40"/>
      <c r="H11" s="34"/>
      <c r="I11" s="31"/>
      <c r="J11" s="216">
        <v>0</v>
      </c>
      <c r="K11" s="11"/>
      <c r="L11" s="217"/>
    </row>
    <row r="12" spans="2:18" outlineLevel="2" x14ac:dyDescent="0.3">
      <c r="B12" s="6" t="s">
        <v>403</v>
      </c>
      <c r="C12" s="11">
        <f>'VALO-autres dépenses CIR'!J38</f>
        <v>0</v>
      </c>
      <c r="D12" s="40"/>
      <c r="E12" s="34"/>
      <c r="F12" s="34"/>
      <c r="G12" s="40"/>
      <c r="H12" s="34"/>
      <c r="I12" s="31"/>
      <c r="J12" s="216">
        <v>0</v>
      </c>
      <c r="K12" s="11"/>
      <c r="L12" s="217"/>
    </row>
    <row r="13" spans="2:18" outlineLevel="2" x14ac:dyDescent="0.3">
      <c r="B13" s="6" t="s">
        <v>404</v>
      </c>
      <c r="C13" s="11">
        <f>VALO_BREVET!P30</f>
        <v>0</v>
      </c>
      <c r="D13" s="40"/>
      <c r="E13" s="34"/>
      <c r="F13" s="34"/>
      <c r="G13" s="40"/>
      <c r="H13" s="34"/>
      <c r="I13" s="31"/>
      <c r="J13" s="216">
        <v>0</v>
      </c>
      <c r="K13" s="11"/>
      <c r="L13" s="217"/>
    </row>
    <row r="14" spans="2:18" outlineLevel="2" x14ac:dyDescent="0.3">
      <c r="B14" s="6" t="s">
        <v>405</v>
      </c>
      <c r="C14" s="11">
        <f>'VALO-autres dépenses CIR'!J41</f>
        <v>1864</v>
      </c>
      <c r="D14" s="40"/>
      <c r="E14" s="34"/>
      <c r="F14" s="34"/>
      <c r="G14" s="40"/>
      <c r="H14" s="34"/>
      <c r="I14" s="31"/>
      <c r="J14" s="216">
        <v>32107.151180953802</v>
      </c>
      <c r="K14" s="11"/>
      <c r="L14" s="217"/>
    </row>
    <row r="15" spans="2:18" outlineLevel="1" x14ac:dyDescent="0.3">
      <c r="B15" s="6" t="s">
        <v>406</v>
      </c>
      <c r="C15" s="11">
        <f>VALO_ST!V42</f>
        <v>170877.26</v>
      </c>
      <c r="D15" s="11">
        <f>VALO_ST!X40</f>
        <v>0</v>
      </c>
      <c r="E15" s="34"/>
      <c r="F15" s="34"/>
      <c r="G15" s="11">
        <f>VALO_ST!Z40</f>
        <v>0</v>
      </c>
      <c r="H15" s="34"/>
      <c r="I15" s="31"/>
      <c r="J15" s="216">
        <v>137828.18</v>
      </c>
      <c r="K15" s="11"/>
      <c r="L15" s="217"/>
      <c r="P15" s="156" t="s">
        <v>407</v>
      </c>
      <c r="Q15" s="156" t="s">
        <v>408</v>
      </c>
      <c r="R15" s="156" t="s">
        <v>409</v>
      </c>
    </row>
    <row r="16" spans="2:18" outlineLevel="1" x14ac:dyDescent="0.3">
      <c r="B16" s="6" t="s">
        <v>410</v>
      </c>
      <c r="C16" s="11">
        <f>VALO_ST!V44</f>
        <v>66109</v>
      </c>
      <c r="D16" s="40"/>
      <c r="E16" s="34"/>
      <c r="F16" s="34"/>
      <c r="G16" s="40"/>
      <c r="H16" s="34"/>
      <c r="I16" s="31"/>
      <c r="J16" s="216"/>
      <c r="K16" s="11"/>
      <c r="L16" s="217"/>
      <c r="P16" s="157" t="s">
        <v>411</v>
      </c>
      <c r="Q16" s="157" t="str">
        <f>IF((C17+C18)&gt;2000000,"Non","Ok")</f>
        <v>Ok</v>
      </c>
      <c r="R16" s="158" t="str">
        <f>IF(Q16="Non",2000000,"")</f>
        <v/>
      </c>
    </row>
    <row r="17" spans="2:18" outlineLevel="1" x14ac:dyDescent="0.3">
      <c r="B17" s="6" t="s">
        <v>412</v>
      </c>
      <c r="C17" s="11">
        <f>VALO_ST!V43</f>
        <v>0</v>
      </c>
      <c r="D17" s="40"/>
      <c r="E17" s="34"/>
      <c r="F17" s="34"/>
      <c r="G17" s="40"/>
      <c r="H17" s="34"/>
      <c r="I17" s="31"/>
      <c r="J17" s="216"/>
      <c r="K17" s="11"/>
      <c r="L17" s="217"/>
      <c r="P17" s="157" t="s">
        <v>413</v>
      </c>
      <c r="Q17" s="157" t="str">
        <f>IF(SUM(C15:C18)&gt;10000000,"Non","Ok")</f>
        <v>Ok</v>
      </c>
      <c r="R17" s="158" t="str">
        <f>IF(Q17="Non",10000000,"")</f>
        <v/>
      </c>
    </row>
    <row r="18" spans="2:18" outlineLevel="1" x14ac:dyDescent="0.3">
      <c r="B18" s="6" t="s">
        <v>414</v>
      </c>
      <c r="C18" s="11">
        <f>VALO_ST!V45</f>
        <v>0</v>
      </c>
      <c r="D18" s="40"/>
      <c r="E18" s="34"/>
      <c r="F18" s="34"/>
      <c r="G18" s="40"/>
      <c r="H18" s="34"/>
      <c r="I18" s="31"/>
      <c r="J18" s="216"/>
      <c r="K18" s="11"/>
      <c r="L18" s="217"/>
      <c r="P18" s="157" t="s">
        <v>415</v>
      </c>
      <c r="Q18" s="157" t="str">
        <f>IF(SUM(C5:C14)*3&lt;SUM(C15:C18),"non","Ok")</f>
        <v>Ok</v>
      </c>
      <c r="R18" s="158" t="str">
        <f>IF(Q18="Non",SUM(C5:C14)*3,"")</f>
        <v/>
      </c>
    </row>
    <row r="19" spans="2:18" ht="15.75" thickBot="1" x14ac:dyDescent="0.35">
      <c r="B19" s="7" t="s">
        <v>416</v>
      </c>
      <c r="C19" s="13">
        <f>IF(Q18="Non",R18+SUM(C5:C14),IF(Q17="Non",R17+SUM(C5:C14),IF(Q16="Non",R16+SUM(C5:C16),SUM(C5:C18))))</f>
        <v>3473229.1360211587</v>
      </c>
      <c r="D19" s="13">
        <f>SUM(D5:D18)</f>
        <v>0</v>
      </c>
      <c r="E19" s="35"/>
      <c r="F19" s="35"/>
      <c r="G19" s="13">
        <f>SUM(G5:G18)</f>
        <v>0</v>
      </c>
      <c r="H19" s="35"/>
      <c r="I19" s="31"/>
      <c r="J19" s="14">
        <f>SUM(J5:J18)</f>
        <v>3587415.9753979431</v>
      </c>
      <c r="K19" s="14">
        <f t="shared" ref="K19:L19" si="0">SUM(K5:K18)</f>
        <v>0</v>
      </c>
      <c r="L19" s="14">
        <f t="shared" si="0"/>
        <v>0</v>
      </c>
    </row>
    <row r="20" spans="2:18" ht="15.75" thickBot="1" x14ac:dyDescent="0.35">
      <c r="G20" s="29"/>
    </row>
    <row r="21" spans="2:18" outlineLevel="2" x14ac:dyDescent="0.3">
      <c r="B21" s="8" t="s">
        <v>417</v>
      </c>
      <c r="C21" s="210">
        <f>'REP cout'!I21</f>
        <v>-1187753.4755660628</v>
      </c>
      <c r="D21" s="210"/>
      <c r="E21" s="192"/>
      <c r="F21" s="192"/>
      <c r="G21" s="210"/>
      <c r="J21" s="218">
        <v>-1105846</v>
      </c>
      <c r="K21" s="210"/>
      <c r="L21" s="219"/>
    </row>
    <row r="22" spans="2:18" outlineLevel="2" x14ac:dyDescent="0.3">
      <c r="B22" s="6" t="s">
        <v>418</v>
      </c>
      <c r="C22" s="11">
        <f>-O24</f>
        <v>272334.25</v>
      </c>
      <c r="D22" s="11"/>
      <c r="E22" s="192"/>
      <c r="F22" s="192"/>
      <c r="G22" s="11"/>
      <c r="J22" s="216">
        <v>240000</v>
      </c>
      <c r="K22" s="11"/>
      <c r="L22" s="217"/>
    </row>
    <row r="23" spans="2:18" ht="15.75" hidden="1" outlineLevel="1" x14ac:dyDescent="0.3">
      <c r="B23" s="6" t="s">
        <v>419</v>
      </c>
      <c r="C23" s="11"/>
      <c r="D23" s="11"/>
      <c r="E23" s="192"/>
      <c r="F23" s="192"/>
      <c r="G23" s="11"/>
      <c r="J23" s="216"/>
      <c r="K23" s="11"/>
      <c r="L23" s="217"/>
      <c r="N23" s="481" t="s">
        <v>1284</v>
      </c>
      <c r="O23" t="s">
        <v>1285</v>
      </c>
      <c r="Q23" s="4" t="s">
        <v>396</v>
      </c>
    </row>
    <row r="24" spans="2:18" ht="15.75" hidden="1" outlineLevel="1" x14ac:dyDescent="0.3">
      <c r="B24" s="6" t="s">
        <v>420</v>
      </c>
      <c r="C24" s="11">
        <f>IFERROR(-IF('parametres chiffrage'!$B$13=parametrage!$I$14,0,IF('parametres chiffrage'!$B$13=parametrage!$I$13,'parametres chiffrage'!H13,IF('parametres chiffrage'!$B$13=parametrage!$I$15,'parametres chiffrage'!H14,""))),0)</f>
        <v>0</v>
      </c>
      <c r="D24" s="11">
        <f>IFERROR(-IF('parametres chiffrage'!$B$13=parametrage!$I$14,0,IF('parametres chiffrage'!$B$13=parametrage!$I$13,'parametres chiffrage'!I13,IF('parametres chiffrage'!$B$13=parametrage!$I$15,'parametres chiffrage'!I14,""))),0)</f>
        <v>0</v>
      </c>
      <c r="E24" s="192"/>
      <c r="F24" s="192"/>
      <c r="G24" s="11">
        <f>IFERROR(-IF('parametres chiffrage'!$B$13=parametrage!$I$14,0,IF('parametres chiffrage'!$B$13=parametrage!$I$13,'parametres chiffrage'!J13,IF('parametres chiffrage'!$B$13=parametrage!$I$15,'parametres chiffrage'!J14,""))),0)</f>
        <v>0</v>
      </c>
      <c r="J24" s="216"/>
      <c r="K24" s="11"/>
      <c r="L24" s="217"/>
      <c r="N24" s="486" t="s">
        <v>1286</v>
      </c>
      <c r="O24" s="148">
        <v>-272334.25</v>
      </c>
      <c r="P24" s="192"/>
      <c r="Q24" s="192"/>
    </row>
    <row r="25" spans="2:18" ht="16.5" thickBot="1" x14ac:dyDescent="0.35">
      <c r="B25" s="7" t="s">
        <v>421</v>
      </c>
      <c r="C25" s="13">
        <f>C19+SUM(C21:C24)</f>
        <v>2557809.9104550956</v>
      </c>
      <c r="D25" s="13">
        <f>IF(D19&gt;400000,400000+SUM(D21:D24),SUM(D19:D24))</f>
        <v>0</v>
      </c>
      <c r="E25" s="35"/>
      <c r="F25" s="35"/>
      <c r="G25" s="13">
        <f>G19+SUM(G21:G24)</f>
        <v>0</v>
      </c>
      <c r="H25" s="35"/>
      <c r="J25" s="14">
        <f>J19+J21+J22+J23+J24</f>
        <v>2721569.9753979431</v>
      </c>
      <c r="K25" s="14">
        <f t="shared" ref="K25:L25" si="1">K19+K21+K22+K23+K24</f>
        <v>0</v>
      </c>
      <c r="L25" s="14">
        <f t="shared" si="1"/>
        <v>0</v>
      </c>
      <c r="N25" s="486" t="s">
        <v>1287</v>
      </c>
      <c r="O25" s="148">
        <v>5833.33</v>
      </c>
      <c r="P25" s="491"/>
      <c r="Q25" s="192"/>
    </row>
    <row r="26" spans="2:18" ht="15" customHeight="1" thickBot="1" x14ac:dyDescent="0.35">
      <c r="B26" s="487"/>
      <c r="C26" s="487"/>
      <c r="G26" s="29"/>
      <c r="N26" s="486" t="s">
        <v>1288</v>
      </c>
      <c r="O26" s="148">
        <v>186407.67</v>
      </c>
      <c r="P26" s="491"/>
      <c r="Q26" s="192"/>
    </row>
    <row r="27" spans="2:18" ht="15.75" x14ac:dyDescent="0.3">
      <c r="B27" s="8" t="s">
        <v>422</v>
      </c>
      <c r="C27" s="15" cm="1">
        <f t="array" ref="C27">_xlfn.IFS(C2=2025,30%,C2=2024,30%,C2=2023,30%)</f>
        <v>0.3</v>
      </c>
      <c r="D27" s="32" cm="1">
        <f t="array" ref="D27">_xlfn.IFS(D2=2025,20%,D2=2024,30%,D2=2023,30%)</f>
        <v>0.2</v>
      </c>
      <c r="E27" s="36"/>
      <c r="F27" s="36"/>
      <c r="G27" s="30" cm="1">
        <f t="array" ref="G27">_xlfn.IFS(G2=2025,30%,G2=2024,30%,G2=2023,30%)</f>
        <v>0.3</v>
      </c>
      <c r="H27" s="36"/>
      <c r="J27" s="15">
        <v>0.3</v>
      </c>
      <c r="K27" s="15">
        <v>0.3</v>
      </c>
      <c r="L27" s="15">
        <v>0.3</v>
      </c>
      <c r="N27" s="486" t="s">
        <v>1227</v>
      </c>
      <c r="O27" s="148">
        <v>997506.30999999994</v>
      </c>
      <c r="P27" s="491">
        <f>'REP cout'!G21</f>
        <v>0</v>
      </c>
      <c r="Q27" s="192">
        <f>O27+P27</f>
        <v>997506.30999999994</v>
      </c>
    </row>
    <row r="28" spans="2:18" ht="16.5" thickBot="1" x14ac:dyDescent="0.35">
      <c r="B28" s="7" t="s">
        <v>423</v>
      </c>
      <c r="C28" s="13">
        <f>C27*C25</f>
        <v>767342.97313652863</v>
      </c>
      <c r="D28" s="13">
        <f>D27*D25</f>
        <v>0</v>
      </c>
      <c r="E28" s="35"/>
      <c r="F28" s="35"/>
      <c r="G28" s="13">
        <f>G27*G25</f>
        <v>0</v>
      </c>
      <c r="H28" s="35"/>
      <c r="J28" s="14">
        <f>J25*J27</f>
        <v>816470.99261938292</v>
      </c>
      <c r="K28" s="14">
        <f t="shared" ref="K28:L28" si="2">K25*K27</f>
        <v>0</v>
      </c>
      <c r="L28" s="14">
        <f t="shared" si="2"/>
        <v>0</v>
      </c>
      <c r="N28" s="486" t="s">
        <v>1372</v>
      </c>
      <c r="O28" s="148">
        <v>1465788.2000000002</v>
      </c>
      <c r="P28" s="491"/>
      <c r="Q28" s="192"/>
    </row>
    <row r="29" spans="2:18" ht="15.75" x14ac:dyDescent="0.3">
      <c r="N29" s="486" t="s">
        <v>1373</v>
      </c>
      <c r="O29" s="148">
        <v>1352644</v>
      </c>
    </row>
    <row r="30" spans="2:18" ht="16.5" customHeight="1" thickBot="1" x14ac:dyDescent="0.35">
      <c r="B30" s="7" t="s">
        <v>424</v>
      </c>
      <c r="C30" s="220">
        <f>C28+D28+G28+C45</f>
        <v>767342.97313652863</v>
      </c>
      <c r="D30" s="220"/>
      <c r="E30" s="220"/>
      <c r="F30" s="220"/>
      <c r="G30" s="220"/>
      <c r="J30" s="527">
        <f>J28+K28+L28</f>
        <v>816470.99261938292</v>
      </c>
      <c r="K30" s="528"/>
      <c r="L30" s="529"/>
      <c r="M30" s="428">
        <f>(C30-J30)/J30</f>
        <v>-6.0171175616714735E-2</v>
      </c>
      <c r="N30" s="486" t="s">
        <v>335</v>
      </c>
      <c r="O30" s="148">
        <v>3735845.2600000002</v>
      </c>
    </row>
    <row r="32" spans="2:18" outlineLevel="1" x14ac:dyDescent="0.3">
      <c r="C32" s="9">
        <f>'parametres chiffrage'!B10</f>
        <v>2025</v>
      </c>
      <c r="J32" s="9">
        <v>2024</v>
      </c>
    </row>
    <row r="33" spans="2:15" ht="7.15" customHeight="1" outlineLevel="1" thickBot="1" x14ac:dyDescent="0.35"/>
    <row r="34" spans="2:15" ht="15.75" outlineLevel="1" thickBot="1" x14ac:dyDescent="0.35">
      <c r="B34" s="10" t="s">
        <v>397</v>
      </c>
      <c r="C34" s="159" t="s">
        <v>41</v>
      </c>
      <c r="J34" s="159" t="s">
        <v>41</v>
      </c>
    </row>
    <row r="35" spans="2:15" outlineLevel="1" x14ac:dyDescent="0.3">
      <c r="B35" s="6" t="s">
        <v>425</v>
      </c>
      <c r="C35" s="28">
        <f>VALO_ST!AB42</f>
        <v>544634</v>
      </c>
      <c r="J35" s="28">
        <v>493835</v>
      </c>
    </row>
    <row r="36" spans="2:15" hidden="1" outlineLevel="1" x14ac:dyDescent="0.3">
      <c r="B36" s="6" t="s">
        <v>426</v>
      </c>
      <c r="C36" s="28">
        <f>VALO_ST!AB44</f>
        <v>0</v>
      </c>
      <c r="J36" s="28"/>
    </row>
    <row r="37" spans="2:15" ht="15.75" outlineLevel="1" thickBot="1" x14ac:dyDescent="0.35">
      <c r="B37" s="7" t="s">
        <v>416</v>
      </c>
      <c r="C37" s="13">
        <f>IF(SUM(C35:C36)&gt;6000000,6000000,SUM(C35:C36))</f>
        <v>544634</v>
      </c>
      <c r="J37" s="13">
        <f>J35</f>
        <v>493835</v>
      </c>
    </row>
    <row r="38" spans="2:15" ht="15.75" outlineLevel="1" thickBot="1" x14ac:dyDescent="0.35"/>
    <row r="39" spans="2:15" outlineLevel="1" x14ac:dyDescent="0.3">
      <c r="B39" s="8" t="s">
        <v>417</v>
      </c>
      <c r="C39" s="11">
        <f>-('[2]ERDA EC1'!$P$297+O42)</f>
        <v>-544634</v>
      </c>
      <c r="J39" s="11"/>
    </row>
    <row r="40" spans="2:15" hidden="1" outlineLevel="1" x14ac:dyDescent="0.3">
      <c r="B40" s="6" t="s">
        <v>418</v>
      </c>
      <c r="C40" s="12"/>
      <c r="J40" s="12"/>
    </row>
    <row r="41" spans="2:15" hidden="1" outlineLevel="1" x14ac:dyDescent="0.3">
      <c r="B41" s="6" t="s">
        <v>420</v>
      </c>
      <c r="C41" s="12"/>
      <c r="J41" s="12"/>
    </row>
    <row r="42" spans="2:15" ht="15.75" outlineLevel="1" thickBot="1" x14ac:dyDescent="0.35">
      <c r="B42" s="7" t="s">
        <v>421</v>
      </c>
      <c r="C42" s="13">
        <f>C37+C39+C40+C41</f>
        <v>0</v>
      </c>
      <c r="J42" s="13">
        <f>J37</f>
        <v>493835</v>
      </c>
      <c r="N42" s="487">
        <f>C37+C39</f>
        <v>0</v>
      </c>
      <c r="O42" s="487">
        <v>285086.90853767935</v>
      </c>
    </row>
    <row r="43" spans="2:15" ht="15.75" outlineLevel="1" thickBot="1" x14ac:dyDescent="0.35"/>
    <row r="44" spans="2:15" outlineLevel="1" x14ac:dyDescent="0.3">
      <c r="B44" s="8" t="s">
        <v>422</v>
      </c>
      <c r="C44" s="15">
        <f>IF(ISBLANK('parametres chiffrage'!B3),0,IF('parametres chiffrage'!B3="oui",50%,40%))</f>
        <v>0.5</v>
      </c>
      <c r="J44" s="15">
        <f>C44</f>
        <v>0.5</v>
      </c>
    </row>
    <row r="45" spans="2:15" ht="15.75" outlineLevel="1" thickBot="1" x14ac:dyDescent="0.35">
      <c r="B45" s="7" t="s">
        <v>423</v>
      </c>
      <c r="C45" s="13">
        <f>C42*C44</f>
        <v>0</v>
      </c>
      <c r="J45" s="13">
        <f>J42*J44</f>
        <v>246917.5</v>
      </c>
    </row>
    <row r="47" spans="2:15" x14ac:dyDescent="0.3">
      <c r="C47" s="487"/>
    </row>
    <row r="48" spans="2:15" ht="16.5" x14ac:dyDescent="0.3">
      <c r="B48" s="504" t="s">
        <v>1388</v>
      </c>
      <c r="C48" s="504" t="s">
        <v>13</v>
      </c>
      <c r="D48" s="504"/>
      <c r="E48" s="504"/>
      <c r="F48" s="504"/>
      <c r="G48" s="504"/>
      <c r="H48" s="504"/>
      <c r="I48" s="504"/>
      <c r="J48" s="504" t="s">
        <v>41</v>
      </c>
      <c r="K48" s="504"/>
      <c r="L48" s="504"/>
      <c r="M48" s="504" t="s">
        <v>1387</v>
      </c>
      <c r="N48" s="504" t="s">
        <v>396</v>
      </c>
    </row>
    <row r="49" spans="2:14" x14ac:dyDescent="0.3">
      <c r="B49" s="4" t="s">
        <v>1382</v>
      </c>
      <c r="C49" s="503">
        <f>'REP cout'!C21</f>
        <v>-589158.51840390055</v>
      </c>
      <c r="D49" s="503"/>
      <c r="E49" s="503"/>
      <c r="F49" s="503"/>
      <c r="G49" s="503"/>
      <c r="H49" s="503"/>
      <c r="I49" s="503"/>
      <c r="J49" s="503">
        <f>-'[2]ERDA EC1'!$P$297</f>
        <v>-259547.09146232062</v>
      </c>
      <c r="M49" s="4" t="s">
        <v>1386</v>
      </c>
      <c r="N49" s="503">
        <v>0</v>
      </c>
    </row>
    <row r="50" spans="2:14" x14ac:dyDescent="0.3">
      <c r="B50" s="4" t="s">
        <v>1383</v>
      </c>
      <c r="C50" s="503">
        <f>'REP cout'!B21</f>
        <v>-186407.67</v>
      </c>
      <c r="D50" s="503"/>
      <c r="E50" s="503"/>
      <c r="F50" s="503"/>
      <c r="G50" s="503"/>
      <c r="H50" s="503"/>
      <c r="I50" s="503"/>
      <c r="J50" s="503"/>
      <c r="M50" s="4" t="s">
        <v>1385</v>
      </c>
      <c r="N50" s="503">
        <v>0</v>
      </c>
    </row>
    <row r="51" spans="2:14" x14ac:dyDescent="0.3">
      <c r="B51" s="4" t="s">
        <v>1384</v>
      </c>
      <c r="C51" s="503">
        <f>-'[3]ERDA EC1'!$P$214</f>
        <v>-406353.95716216229</v>
      </c>
      <c r="D51" s="503"/>
      <c r="E51" s="503"/>
      <c r="F51" s="503"/>
      <c r="G51" s="503"/>
      <c r="H51" s="503"/>
      <c r="I51" s="503"/>
      <c r="J51" s="503">
        <f>-('[3]ERDA EC1'!$P$213)</f>
        <v>-285086.90853767935</v>
      </c>
      <c r="M51" s="4" t="s">
        <v>1401</v>
      </c>
      <c r="N51" s="503">
        <v>25864</v>
      </c>
    </row>
    <row r="52" spans="2:14" x14ac:dyDescent="0.3">
      <c r="B52" s="4" t="s">
        <v>1287</v>
      </c>
      <c r="C52" s="503">
        <f>-O25</f>
        <v>-5833.33</v>
      </c>
      <c r="D52" s="503"/>
      <c r="E52" s="503"/>
      <c r="F52" s="503"/>
      <c r="G52" s="503"/>
      <c r="H52" s="503"/>
      <c r="I52" s="503"/>
      <c r="J52" s="503"/>
      <c r="M52" s="4" t="s">
        <v>1385</v>
      </c>
      <c r="N52" s="503">
        <v>0</v>
      </c>
    </row>
    <row r="53" spans="2:14" x14ac:dyDescent="0.3">
      <c r="B53" s="4" t="s">
        <v>1286</v>
      </c>
      <c r="C53" s="503">
        <f>C22</f>
        <v>272334.25</v>
      </c>
      <c r="D53" s="503"/>
      <c r="E53" s="503"/>
      <c r="F53" s="503"/>
      <c r="G53" s="503"/>
      <c r="H53" s="503"/>
      <c r="I53" s="503"/>
      <c r="J53" s="503"/>
      <c r="M53" s="4" t="s">
        <v>1385</v>
      </c>
      <c r="N53" s="503">
        <v>0</v>
      </c>
    </row>
    <row r="54" spans="2:14" x14ac:dyDescent="0.3">
      <c r="B54" s="505" t="s">
        <v>555</v>
      </c>
      <c r="C54" s="506">
        <f>SUM(C49:C53)</f>
        <v>-915419.22556606308</v>
      </c>
      <c r="D54" s="506">
        <f t="shared" ref="D54:J54" si="3">SUM(D49:D53)</f>
        <v>0</v>
      </c>
      <c r="E54" s="506">
        <f t="shared" si="3"/>
        <v>0</v>
      </c>
      <c r="F54" s="506">
        <f t="shared" si="3"/>
        <v>0</v>
      </c>
      <c r="G54" s="506">
        <f t="shared" si="3"/>
        <v>0</v>
      </c>
      <c r="H54" s="506">
        <f t="shared" si="3"/>
        <v>0</v>
      </c>
      <c r="I54" s="506">
        <f t="shared" si="3"/>
        <v>0</v>
      </c>
      <c r="J54" s="506">
        <f t="shared" si="3"/>
        <v>-544634</v>
      </c>
      <c r="K54" s="505"/>
      <c r="L54" s="505"/>
      <c r="M54" s="505"/>
      <c r="N54" s="505"/>
    </row>
  </sheetData>
  <mergeCells count="1">
    <mergeCell ref="J30:L30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Macro1">
                <anchor moveWithCells="1" sizeWithCells="1">
                  <from>
                    <xdr:col>13</xdr:col>
                    <xdr:colOff>47625</xdr:colOff>
                    <xdr:row>1</xdr:row>
                    <xdr:rowOff>161925</xdr:rowOff>
                  </from>
                  <to>
                    <xdr:col>14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Macro2">
                <anchor moveWithCells="1" sizeWithCells="1">
                  <from>
                    <xdr:col>13</xdr:col>
                    <xdr:colOff>66675</xdr:colOff>
                    <xdr:row>5</xdr:row>
                    <xdr:rowOff>104775</xdr:rowOff>
                  </from>
                  <to>
                    <xdr:col>14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7" name="Button 8">
              <controlPr defaultSize="0" print="0" autoFill="0" autoPict="0" macro="[0]!TS_Valeur">
                <anchor moveWithCells="1" sizeWithCells="1">
                  <from>
                    <xdr:col>13</xdr:col>
                    <xdr:colOff>57150</xdr:colOff>
                    <xdr:row>8</xdr:row>
                    <xdr:rowOff>180975</xdr:rowOff>
                  </from>
                  <to>
                    <xdr:col>14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8" name="Button 10">
              <controlPr defaultSize="0" print="0" autoFill="0" autoPict="0" macro="[0]!masquer_les_TS">
                <anchor moveWithCells="1" sizeWithCells="1">
                  <from>
                    <xdr:col>13</xdr:col>
                    <xdr:colOff>76200</xdr:colOff>
                    <xdr:row>12</xdr:row>
                    <xdr:rowOff>76200</xdr:rowOff>
                  </from>
                  <to>
                    <xdr:col>14</xdr:col>
                    <xdr:colOff>504825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9" name="Button 11">
              <controlPr defaultSize="0" print="0" autoFill="0" autoPict="0" macro="[0]!afficher_les_ts">
                <anchor moveWithCells="1" sizeWithCells="1">
                  <from>
                    <xdr:col>13</xdr:col>
                    <xdr:colOff>85725</xdr:colOff>
                    <xdr:row>15</xdr:row>
                    <xdr:rowOff>76200</xdr:rowOff>
                  </from>
                  <to>
                    <xdr:col>14</xdr:col>
                    <xdr:colOff>457200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CC30-0504-4733-B75E-B07FC33A742C}">
  <sheetPr codeName="Feuil28">
    <tabColor theme="6" tint="0.79998168889431442"/>
  </sheetPr>
  <dimension ref="B1:O30"/>
  <sheetViews>
    <sheetView workbookViewId="0"/>
  </sheetViews>
  <sheetFormatPr baseColWidth="10" defaultColWidth="10.85546875" defaultRowHeight="15" outlineLevelRow="2" outlineLevelCol="1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customWidth="1" outlineLevel="1"/>
    <col min="6" max="6" width="0.7109375" style="4" customWidth="1"/>
    <col min="7" max="7" width="0.28515625" style="4" customWidth="1" outlineLevel="1"/>
    <col min="8" max="8" width="0.7109375" style="4" customWidth="1"/>
    <col min="9" max="9" width="10.85546875" style="4"/>
    <col min="10" max="10" width="10.85546875" style="4" customWidth="1" outlineLevel="1"/>
    <col min="11" max="12" width="10.85546875" style="4"/>
    <col min="13" max="13" width="24.42578125" style="4" bestFit="1" customWidth="1"/>
    <col min="14" max="14" width="10.85546875" style="4"/>
    <col min="15" max="15" width="21.42578125" style="4" bestFit="1" customWidth="1"/>
    <col min="16" max="16384" width="10.85546875" style="4"/>
  </cols>
  <sheetData>
    <row r="1" spans="2:15" ht="8.4499999999999993" customHeight="1" x14ac:dyDescent="0.3"/>
    <row r="2" spans="2:15" x14ac:dyDescent="0.3">
      <c r="C2" s="9">
        <v>2025</v>
      </c>
      <c r="D2" s="9">
        <v>2023</v>
      </c>
      <c r="E2" s="23"/>
      <c r="F2" s="23"/>
      <c r="G2" s="23"/>
      <c r="I2" s="9">
        <v>2023</v>
      </c>
      <c r="J2" s="9">
        <v>2023</v>
      </c>
    </row>
    <row r="3" spans="2:15" ht="6.95" customHeight="1" thickBot="1" x14ac:dyDescent="0.35"/>
    <row r="4" spans="2:15" x14ac:dyDescent="0.3">
      <c r="B4" s="10" t="s">
        <v>397</v>
      </c>
      <c r="C4" s="20" t="s">
        <v>27</v>
      </c>
      <c r="D4" s="20" t="s">
        <v>13</v>
      </c>
      <c r="E4" s="33"/>
      <c r="F4" s="33"/>
      <c r="G4" s="33"/>
      <c r="H4" s="31"/>
      <c r="I4" s="20" t="s">
        <v>27</v>
      </c>
      <c r="J4" s="20" t="s">
        <v>27</v>
      </c>
    </row>
    <row r="5" spans="2:15" x14ac:dyDescent="0.3">
      <c r="B5" s="6" t="s">
        <v>359</v>
      </c>
      <c r="C5" s="11">
        <f>VALO_AMO!W74</f>
        <v>203475.58764846023</v>
      </c>
      <c r="D5" s="11"/>
      <c r="E5" s="34"/>
      <c r="F5" s="34"/>
      <c r="G5" s="34"/>
      <c r="H5" s="31"/>
      <c r="I5" s="216"/>
      <c r="J5" s="11"/>
    </row>
    <row r="6" spans="2:15" x14ac:dyDescent="0.3">
      <c r="B6" s="6" t="s">
        <v>360</v>
      </c>
      <c r="C6" s="11">
        <f>VALO_PERSO!AZ54</f>
        <v>2048200.6980022721</v>
      </c>
      <c r="D6" s="11"/>
      <c r="E6" s="34"/>
      <c r="F6" s="34"/>
      <c r="G6" s="34"/>
      <c r="H6" s="31"/>
      <c r="I6" s="216"/>
      <c r="J6" s="11"/>
    </row>
    <row r="7" spans="2:15" x14ac:dyDescent="0.3">
      <c r="B7" s="6" t="s">
        <v>398</v>
      </c>
      <c r="C7" s="11">
        <f>VALO_PERSO!AZ52</f>
        <v>0</v>
      </c>
      <c r="D7" s="40"/>
      <c r="E7" s="34"/>
      <c r="F7" s="34"/>
      <c r="G7" s="34"/>
      <c r="H7" s="31"/>
      <c r="I7" s="216"/>
      <c r="J7" s="11"/>
    </row>
    <row r="8" spans="2:15" x14ac:dyDescent="0.3">
      <c r="B8" s="6" t="s">
        <v>399</v>
      </c>
      <c r="C8" s="11" t="b">
        <f>IF(AND(C2&gt;=2023,C2&lt;=2024,C4="CIR"),C6*0.43+C5*0.75,
IF(AND(C2=2025,C4="CIR"),C6*0.4+C5*0.75,IF(C4="CIC",C6*0.75+C5*0.75)))</f>
        <v>0</v>
      </c>
      <c r="D8" s="11">
        <f>IF(AND(D2&gt;=2023,D2&lt;=2024,D4="CIR"),D6*0.43+D5*0.75,
IF(AND(D2=2025,D4="CIR"),D6*0.4+D5*0.75,IF(D4="CIC",D6*0.75+D5*0.75)))</f>
        <v>0</v>
      </c>
      <c r="E8" s="34"/>
      <c r="F8" s="34"/>
      <c r="G8" s="34"/>
      <c r="H8" s="31"/>
      <c r="I8" s="216"/>
      <c r="J8" s="11"/>
    </row>
    <row r="9" spans="2:15" outlineLevel="2" x14ac:dyDescent="0.3">
      <c r="B9" s="6" t="s">
        <v>400</v>
      </c>
      <c r="E9" s="34"/>
      <c r="F9" s="34"/>
      <c r="G9" s="34"/>
      <c r="H9" s="31"/>
      <c r="I9" s="216"/>
      <c r="J9" s="11"/>
    </row>
    <row r="10" spans="2:15" outlineLevel="2" x14ac:dyDescent="0.3">
      <c r="B10" s="6" t="s">
        <v>401</v>
      </c>
      <c r="C10" s="11">
        <f>VALO_BREVET!P29+'VALO-autres dépenses CIR'!J39</f>
        <v>0</v>
      </c>
      <c r="D10" s="11">
        <f>VALO_BREVET!R29</f>
        <v>0</v>
      </c>
      <c r="E10" s="34"/>
      <c r="F10" s="34"/>
      <c r="G10" s="34"/>
      <c r="H10" s="31"/>
      <c r="I10" s="216"/>
      <c r="J10" s="11"/>
    </row>
    <row r="11" spans="2:15" outlineLevel="2" x14ac:dyDescent="0.3">
      <c r="B11" s="6" t="s">
        <v>402</v>
      </c>
      <c r="C11" s="11">
        <f>VALO_AMO!W72</f>
        <v>0</v>
      </c>
      <c r="D11" s="40"/>
      <c r="E11" s="34"/>
      <c r="F11" s="34"/>
      <c r="G11" s="34"/>
      <c r="H11" s="31"/>
      <c r="I11" s="216"/>
      <c r="J11" s="11"/>
    </row>
    <row r="12" spans="2:15" outlineLevel="2" x14ac:dyDescent="0.3">
      <c r="B12" s="6" t="s">
        <v>403</v>
      </c>
      <c r="C12" s="11">
        <f>'VALO-autres dépenses CIR'!J38</f>
        <v>0</v>
      </c>
      <c r="D12" s="40"/>
      <c r="E12" s="34"/>
      <c r="F12" s="34"/>
      <c r="G12" s="34"/>
      <c r="H12" s="31"/>
      <c r="I12" s="216"/>
      <c r="J12" s="11"/>
    </row>
    <row r="13" spans="2:15" outlineLevel="2" x14ac:dyDescent="0.3">
      <c r="B13" s="6" t="s">
        <v>404</v>
      </c>
      <c r="C13" s="11">
        <f>VALO_BREVET!P30</f>
        <v>0</v>
      </c>
      <c r="D13" s="40"/>
      <c r="E13" s="34"/>
      <c r="F13" s="34"/>
      <c r="G13" s="34"/>
      <c r="H13" s="31"/>
      <c r="I13" s="216"/>
      <c r="J13" s="11"/>
    </row>
    <row r="14" spans="2:15" outlineLevel="2" x14ac:dyDescent="0.3">
      <c r="B14" s="6" t="s">
        <v>405</v>
      </c>
      <c r="C14" s="11">
        <f>'VALO-autres dépenses CIR'!J41</f>
        <v>1864</v>
      </c>
      <c r="D14" s="40"/>
      <c r="E14" s="34"/>
      <c r="F14" s="34"/>
      <c r="G14" s="34"/>
      <c r="H14" s="31"/>
      <c r="I14" s="216"/>
      <c r="J14" s="11"/>
    </row>
    <row r="15" spans="2:15" outlineLevel="1" x14ac:dyDescent="0.3">
      <c r="B15" s="6" t="s">
        <v>406</v>
      </c>
      <c r="C15" s="11">
        <f>VALO_ST!V42</f>
        <v>170877.26</v>
      </c>
      <c r="D15" s="11">
        <f>VALO_ST!X40</f>
        <v>0</v>
      </c>
      <c r="E15" s="34"/>
      <c r="F15" s="34"/>
      <c r="G15" s="34"/>
      <c r="H15" s="31"/>
      <c r="I15" s="216"/>
      <c r="J15" s="11"/>
      <c r="M15" s="156" t="s">
        <v>407</v>
      </c>
      <c r="N15" s="156" t="s">
        <v>408</v>
      </c>
      <c r="O15" s="156" t="s">
        <v>409</v>
      </c>
    </row>
    <row r="16" spans="2:15" outlineLevel="1" x14ac:dyDescent="0.3">
      <c r="B16" s="6" t="s">
        <v>410</v>
      </c>
      <c r="C16" s="11">
        <f>VALO_ST!V44</f>
        <v>66109</v>
      </c>
      <c r="D16" s="40"/>
      <c r="E16" s="34"/>
      <c r="F16" s="34"/>
      <c r="G16" s="34"/>
      <c r="H16" s="31"/>
      <c r="I16" s="216"/>
      <c r="J16" s="11"/>
      <c r="M16" s="157" t="s">
        <v>411</v>
      </c>
      <c r="N16" s="157" t="str">
        <f>IF((C17+C18)&gt;2000000,"Non","Ok")</f>
        <v>Ok</v>
      </c>
      <c r="O16" s="158" t="str">
        <f>IF(N16="Non",2000000,"")</f>
        <v/>
      </c>
    </row>
    <row r="17" spans="2:15" outlineLevel="1" x14ac:dyDescent="0.3">
      <c r="B17" s="6" t="s">
        <v>412</v>
      </c>
      <c r="C17" s="11">
        <f>VALO_ST!V43</f>
        <v>0</v>
      </c>
      <c r="D17" s="40"/>
      <c r="E17" s="34"/>
      <c r="F17" s="34"/>
      <c r="G17" s="34"/>
      <c r="H17" s="31"/>
      <c r="I17" s="216"/>
      <c r="J17" s="11"/>
      <c r="M17" s="157" t="s">
        <v>413</v>
      </c>
      <c r="N17" s="157" t="str">
        <f>IF(SUM(C15:C18)&gt;10000000,"Non","Ok")</f>
        <v>Ok</v>
      </c>
      <c r="O17" s="158" t="str">
        <f>IF(N17="Non",10000000,"")</f>
        <v/>
      </c>
    </row>
    <row r="18" spans="2:15" outlineLevel="1" x14ac:dyDescent="0.3">
      <c r="B18" s="6" t="s">
        <v>414</v>
      </c>
      <c r="C18" s="11">
        <f>VALO_ST!V45</f>
        <v>0</v>
      </c>
      <c r="D18" s="40"/>
      <c r="E18" s="34"/>
      <c r="F18" s="34"/>
      <c r="G18" s="34"/>
      <c r="H18" s="31"/>
      <c r="I18" s="216"/>
      <c r="J18" s="11"/>
      <c r="M18" s="157" t="s">
        <v>415</v>
      </c>
      <c r="N18" s="157" t="str">
        <f>IF(SUM(C5:C14)*3&lt;SUM(C15:C18),"non","Ok")</f>
        <v>Ok</v>
      </c>
      <c r="O18" s="158" t="str">
        <f>IF(N18="Non",SUM(C5:C14)*3,"")</f>
        <v/>
      </c>
    </row>
    <row r="19" spans="2:15" ht="15.75" thickBot="1" x14ac:dyDescent="0.35">
      <c r="B19" s="7" t="s">
        <v>416</v>
      </c>
      <c r="C19" s="13">
        <f>IF(N18="Non",O18+SUM(C5:C14),IF(N17="Non",O17+SUM(C5:C14),IF(N16="Non",O16+SUM(C5:C16),SUM(C5:C18))))</f>
        <v>2490526.5456507327</v>
      </c>
      <c r="D19" s="13">
        <f>SUM(D5:D18)</f>
        <v>0</v>
      </c>
      <c r="E19" s="35"/>
      <c r="F19" s="35"/>
      <c r="G19" s="35"/>
      <c r="H19" s="31"/>
      <c r="I19" s="14"/>
      <c r="J19" s="13"/>
    </row>
    <row r="20" spans="2:15" ht="7.5" customHeight="1" thickBot="1" x14ac:dyDescent="0.35"/>
    <row r="21" spans="2:15" outlineLevel="2" x14ac:dyDescent="0.3">
      <c r="B21" s="8" t="s">
        <v>417</v>
      </c>
      <c r="C21" s="210"/>
      <c r="D21" s="210"/>
      <c r="E21" s="192"/>
      <c r="F21" s="192"/>
      <c r="I21" s="218"/>
      <c r="J21" s="210"/>
    </row>
    <row r="22" spans="2:15" outlineLevel="2" x14ac:dyDescent="0.3">
      <c r="B22" s="6" t="s">
        <v>418</v>
      </c>
      <c r="C22" s="11"/>
      <c r="D22" s="11"/>
      <c r="E22" s="192"/>
      <c r="F22" s="192"/>
      <c r="I22" s="216"/>
      <c r="J22" s="11"/>
    </row>
    <row r="23" spans="2:15" outlineLevel="1" x14ac:dyDescent="0.3">
      <c r="B23" s="6" t="s">
        <v>419</v>
      </c>
      <c r="C23" s="11"/>
      <c r="D23" s="11"/>
      <c r="E23" s="192"/>
      <c r="F23" s="192"/>
      <c r="I23" s="216"/>
      <c r="J23" s="11"/>
    </row>
    <row r="24" spans="2:15" outlineLevel="1" x14ac:dyDescent="0.3">
      <c r="B24" s="6" t="s">
        <v>420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0</v>
      </c>
      <c r="E24" s="192"/>
      <c r="F24" s="192"/>
      <c r="I24" s="216"/>
      <c r="J24" s="11"/>
    </row>
    <row r="25" spans="2:15" ht="15.75" thickBot="1" x14ac:dyDescent="0.35">
      <c r="B25" s="7" t="s">
        <v>421</v>
      </c>
      <c r="C25" s="13">
        <f>C19+SUM(C21:C24)</f>
        <v>2490526.5456507327</v>
      </c>
      <c r="D25" s="13">
        <f>IF(D19&gt;400000,400000+SUM(D21:D24),SUM(D19:D24))</f>
        <v>0</v>
      </c>
      <c r="E25" s="35"/>
      <c r="F25" s="35"/>
      <c r="G25" s="35"/>
      <c r="I25" s="14"/>
      <c r="J25" s="13"/>
    </row>
    <row r="26" spans="2:15" ht="15" customHeight="1" thickBot="1" x14ac:dyDescent="0.35"/>
    <row r="27" spans="2:15" x14ac:dyDescent="0.3">
      <c r="B27" s="8" t="s">
        <v>422</v>
      </c>
      <c r="C27" s="428" cm="1">
        <f t="array" ref="C27">_xlfn.IFS(C4="CIR",30%,(C4="CII")*((C2=2025)),20%,C4="CIC",30%,C4="CIMA",10%,C4="CIMA EPV",15%,C4="CICO",50%,(C4="CII")*((C2=2024)+(C2=2023)),30%)</f>
        <v>0.2</v>
      </c>
      <c r="D27" s="428" t="s">
        <v>827</v>
      </c>
      <c r="E27" s="36"/>
      <c r="F27" s="36"/>
      <c r="G27" s="36"/>
      <c r="I27" s="428" cm="1">
        <f t="array" ref="I27">_xlfn.IFS(I4="CIR",30%,(I4="CII")*((I2=2025)),20%,I4="CIC",30%,I4="CIMA",10%,I4="CIMA EPV",15%,I4="CICO",50%,(I4="CII")*((I2=2024)+(I2=2023)),30%)</f>
        <v>0.3</v>
      </c>
      <c r="J27" s="428" cm="1">
        <f t="array" ref="J27">_xlfn.IFS(J4="CIR",30%,(J4="CII")*((J2=2025)),20%,J4="CIC",30%,J4="CIMA",10%,J4="CIMA EPV",15%,J4="CICO",50%,(J4="CII")*((J2=2024)+(J2=2023)),30%)</f>
        <v>0.3</v>
      </c>
    </row>
    <row r="28" spans="2:15" ht="15.75" thickBot="1" x14ac:dyDescent="0.35">
      <c r="B28" s="7" t="s">
        <v>423</v>
      </c>
      <c r="C28" s="427">
        <f>C27*C25</f>
        <v>498105.30913014658</v>
      </c>
      <c r="D28" s="13" t="e">
        <f>D27*D25</f>
        <v>#VALUE!</v>
      </c>
      <c r="E28" s="35"/>
      <c r="F28" s="35"/>
      <c r="G28" s="35"/>
      <c r="I28" s="14"/>
      <c r="J28" s="13"/>
    </row>
    <row r="30" spans="2:15" ht="15.75" thickBot="1" x14ac:dyDescent="0.35">
      <c r="B30" s="7" t="s">
        <v>424</v>
      </c>
      <c r="C30" s="220" t="e">
        <f>C28+D28+#REF!+#REF!</f>
        <v>#VALUE!</v>
      </c>
      <c r="D30" s="220"/>
      <c r="E30" s="220"/>
      <c r="F30" s="220"/>
      <c r="I30" s="221" t="e">
        <f>I28+J28+#REF!</f>
        <v>#REF!</v>
      </c>
      <c r="J30" s="2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47625</xdr:colOff>
                    <xdr:row>1</xdr:row>
                    <xdr:rowOff>161925</xdr:rowOff>
                  </from>
                  <to>
                    <xdr:col>12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Macro2">
                <anchor moveWithCells="1" sizeWithCells="1">
                  <from>
                    <xdr:col>11</xdr:col>
                    <xdr:colOff>66675</xdr:colOff>
                    <xdr:row>5</xdr:row>
                    <xdr:rowOff>104775</xdr:rowOff>
                  </from>
                  <to>
                    <xdr:col>12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TS_Valeur">
                <anchor moveWithCells="1" sizeWithCells="1">
                  <from>
                    <xdr:col>11</xdr:col>
                    <xdr:colOff>57150</xdr:colOff>
                    <xdr:row>8</xdr:row>
                    <xdr:rowOff>180975</xdr:rowOff>
                  </from>
                  <to>
                    <xdr:col>12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D40FDE-2A36-4664-9953-97A136A0BDCA}">
          <x14:formula1>
            <xm:f>parametrage!$C$28:$C$35</xm:f>
          </x14:formula1>
          <xm:sqref>C2:D2 I2:J2</xm:sqref>
        </x14:dataValidation>
        <x14:dataValidation type="list" allowBlank="1" showInputMessage="1" showErrorMessage="1" xr:uid="{82331E11-C560-4FCF-8FE2-14000D8E2465}">
          <x14:formula1>
            <xm:f>parametrage!$A$28:$A$33</xm:f>
          </x14:formula1>
          <xm:sqref>C4:D4 I4:J4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C452-8231-4553-A178-1EE1CC88279C}">
  <sheetPr codeName="Feuil20">
    <tabColor rgb="FF2D44EA"/>
  </sheetPr>
  <dimension ref="B2:F29"/>
  <sheetViews>
    <sheetView workbookViewId="0">
      <selection activeCell="F29" sqref="F29"/>
    </sheetView>
  </sheetViews>
  <sheetFormatPr baseColWidth="10" defaultColWidth="11.42578125" defaultRowHeight="15" x14ac:dyDescent="0.25"/>
  <cols>
    <col min="2" max="2" width="46.28515625" customWidth="1"/>
    <col min="3" max="3" width="49.28515625" customWidth="1"/>
    <col min="4" max="4" width="18.7109375" hidden="1" customWidth="1"/>
    <col min="5" max="5" width="16.5703125" hidden="1" customWidth="1"/>
    <col min="6" max="6" width="11.85546875" bestFit="1" customWidth="1"/>
  </cols>
  <sheetData>
    <row r="2" spans="2:6" x14ac:dyDescent="0.25">
      <c r="B2" s="547" t="s">
        <v>823</v>
      </c>
      <c r="C2" s="548"/>
      <c r="D2" s="548"/>
      <c r="E2" s="548"/>
    </row>
    <row r="3" spans="2:6" x14ac:dyDescent="0.25">
      <c r="B3" s="256"/>
      <c r="C3" s="257"/>
    </row>
    <row r="4" spans="2:6" x14ac:dyDescent="0.25">
      <c r="B4" s="256"/>
      <c r="C4" s="256"/>
    </row>
    <row r="5" spans="2:6" x14ac:dyDescent="0.25">
      <c r="B5" s="262" t="s">
        <v>427</v>
      </c>
      <c r="C5" s="262" t="s">
        <v>13</v>
      </c>
      <c r="D5" s="262" t="s">
        <v>27</v>
      </c>
      <c r="E5" s="262" t="s">
        <v>38</v>
      </c>
      <c r="F5" s="262" t="s">
        <v>41</v>
      </c>
    </row>
    <row r="6" spans="2:6" x14ac:dyDescent="0.25">
      <c r="B6" s="258" t="s">
        <v>359</v>
      </c>
      <c r="C6" s="259">
        <f>SYNTHESE!C5</f>
        <v>203475.58764846023</v>
      </c>
      <c r="D6" s="259">
        <f>SYNTHESE!D5</f>
        <v>0</v>
      </c>
      <c r="E6" s="259">
        <f>SYNTHESE!G5</f>
        <v>0</v>
      </c>
      <c r="F6" s="259"/>
    </row>
    <row r="7" spans="2:6" x14ac:dyDescent="0.25">
      <c r="B7" s="258" t="s">
        <v>360</v>
      </c>
      <c r="C7" s="259">
        <f>SYNTHESE!C6</f>
        <v>2048200.6980022709</v>
      </c>
      <c r="D7" s="259">
        <f>SYNTHESE!D6</f>
        <v>0</v>
      </c>
      <c r="E7" s="259">
        <f>SYNTHESE!G6</f>
        <v>0</v>
      </c>
      <c r="F7" s="259"/>
    </row>
    <row r="8" spans="2:6" hidden="1" x14ac:dyDescent="0.25">
      <c r="B8" s="258" t="s">
        <v>398</v>
      </c>
      <c r="C8" s="259">
        <f>SYNTHESE!C7</f>
        <v>0</v>
      </c>
      <c r="D8" s="259">
        <f>SYNTHESE!D7</f>
        <v>0</v>
      </c>
      <c r="E8" s="259">
        <f>SYNTHESE!G7</f>
        <v>0</v>
      </c>
      <c r="F8" s="259"/>
    </row>
    <row r="9" spans="2:6" x14ac:dyDescent="0.25">
      <c r="B9" s="258" t="s">
        <v>399</v>
      </c>
      <c r="C9" s="259">
        <f>SYNTHESE!C8</f>
        <v>981584.29037042777</v>
      </c>
      <c r="D9" s="259">
        <f>SYNTHESE!D8</f>
        <v>0</v>
      </c>
      <c r="E9" s="259">
        <f>SYNTHESE!G8</f>
        <v>0</v>
      </c>
      <c r="F9" s="259"/>
    </row>
    <row r="10" spans="2:6" x14ac:dyDescent="0.25">
      <c r="B10" s="258" t="s">
        <v>400</v>
      </c>
      <c r="C10" s="259">
        <f>SYNTHESE!C9</f>
        <v>1118.3</v>
      </c>
      <c r="D10" s="259">
        <f>SYNTHESE!D9</f>
        <v>0</v>
      </c>
      <c r="E10" s="259">
        <f>SYNTHESE!G9</f>
        <v>0</v>
      </c>
      <c r="F10" s="259"/>
    </row>
    <row r="11" spans="2:6" hidden="1" x14ac:dyDescent="0.25">
      <c r="B11" s="258" t="s">
        <v>401</v>
      </c>
      <c r="C11" s="259">
        <f>SYNTHESE!C10</f>
        <v>0</v>
      </c>
      <c r="D11" s="259">
        <f>SYNTHESE!D10</f>
        <v>0</v>
      </c>
      <c r="E11" s="259">
        <f>SYNTHESE!G10</f>
        <v>0</v>
      </c>
      <c r="F11" s="259"/>
    </row>
    <row r="12" spans="2:6" hidden="1" x14ac:dyDescent="0.25">
      <c r="B12" s="258" t="s">
        <v>402</v>
      </c>
      <c r="C12" s="259">
        <f>SYNTHESE!C11</f>
        <v>0</v>
      </c>
      <c r="D12" s="259">
        <f>SYNTHESE!D11</f>
        <v>0</v>
      </c>
      <c r="E12" s="259">
        <f>SYNTHESE!G11</f>
        <v>0</v>
      </c>
      <c r="F12" s="259"/>
    </row>
    <row r="13" spans="2:6" hidden="1" x14ac:dyDescent="0.25">
      <c r="B13" s="258" t="s">
        <v>403</v>
      </c>
      <c r="C13" s="259">
        <f>SYNTHESE!C12</f>
        <v>0</v>
      </c>
      <c r="D13" s="259">
        <f>SYNTHESE!D12</f>
        <v>0</v>
      </c>
      <c r="E13" s="259">
        <f>SYNTHESE!G12</f>
        <v>0</v>
      </c>
      <c r="F13" s="259"/>
    </row>
    <row r="14" spans="2:6" hidden="1" x14ac:dyDescent="0.25">
      <c r="B14" s="258" t="s">
        <v>404</v>
      </c>
      <c r="C14" s="259">
        <f>SYNTHESE!C13</f>
        <v>0</v>
      </c>
      <c r="D14" s="259">
        <f>SYNTHESE!D13</f>
        <v>0</v>
      </c>
      <c r="E14" s="259">
        <f>SYNTHESE!G13</f>
        <v>0</v>
      </c>
      <c r="F14" s="259"/>
    </row>
    <row r="15" spans="2:6" x14ac:dyDescent="0.25">
      <c r="B15" s="258" t="s">
        <v>405</v>
      </c>
      <c r="C15" s="259">
        <f>SYNTHESE!C14</f>
        <v>1864</v>
      </c>
      <c r="D15" s="259">
        <f>SYNTHESE!D14</f>
        <v>0</v>
      </c>
      <c r="E15" s="259">
        <f>SYNTHESE!G14</f>
        <v>0</v>
      </c>
      <c r="F15" s="259"/>
    </row>
    <row r="16" spans="2:6" x14ac:dyDescent="0.25">
      <c r="B16" s="258" t="s">
        <v>428</v>
      </c>
      <c r="C16" s="259">
        <f>SYNTHESE!C15</f>
        <v>170877.26</v>
      </c>
      <c r="D16" s="259">
        <f>SYNTHESE!D15</f>
        <v>0</v>
      </c>
      <c r="E16" s="259">
        <f>SYNTHESE!G15</f>
        <v>0</v>
      </c>
      <c r="F16" s="259">
        <f>SYNTHESE!C35</f>
        <v>544634</v>
      </c>
    </row>
    <row r="17" spans="2:6" x14ac:dyDescent="0.25">
      <c r="B17" s="258" t="s">
        <v>429</v>
      </c>
      <c r="C17" s="259">
        <f>SYNTHESE!C16</f>
        <v>66109</v>
      </c>
      <c r="D17" s="259">
        <f>SYNTHESE!D16</f>
        <v>0</v>
      </c>
      <c r="E17" s="259">
        <f>SYNTHESE!G16</f>
        <v>0</v>
      </c>
      <c r="F17" s="259"/>
    </row>
    <row r="18" spans="2:6" hidden="1" x14ac:dyDescent="0.25">
      <c r="B18" s="258" t="s">
        <v>412</v>
      </c>
      <c r="C18" s="259">
        <f>SYNTHESE!C17</f>
        <v>0</v>
      </c>
      <c r="D18" s="259">
        <f>SYNTHESE!D17</f>
        <v>0</v>
      </c>
      <c r="E18" s="259">
        <f>SYNTHESE!G17</f>
        <v>0</v>
      </c>
      <c r="F18" s="259"/>
    </row>
    <row r="19" spans="2:6" hidden="1" x14ac:dyDescent="0.25">
      <c r="B19" s="258" t="s">
        <v>414</v>
      </c>
      <c r="C19" s="259">
        <f>SYNTHESE!C18</f>
        <v>0</v>
      </c>
      <c r="D19" s="259">
        <f>SYNTHESE!D18</f>
        <v>0</v>
      </c>
      <c r="E19" s="259">
        <f>SYNTHESE!G18</f>
        <v>0</v>
      </c>
      <c r="F19" s="259"/>
    </row>
    <row r="20" spans="2:6" x14ac:dyDescent="0.25">
      <c r="B20" s="262" t="s">
        <v>430</v>
      </c>
      <c r="C20" s="263">
        <f>+SUM(C6:C19)</f>
        <v>3473229.1360211587</v>
      </c>
      <c r="D20" s="263">
        <f t="shared" ref="D20:E20" si="0">+SUM(D6:D19)</f>
        <v>0</v>
      </c>
      <c r="E20" s="263">
        <f t="shared" si="0"/>
        <v>0</v>
      </c>
      <c r="F20" s="263">
        <f>F16</f>
        <v>544634</v>
      </c>
    </row>
    <row r="21" spans="2:6" x14ac:dyDescent="0.25">
      <c r="B21" s="256"/>
      <c r="C21" s="256"/>
      <c r="D21" s="256"/>
      <c r="E21" s="256"/>
      <c r="F21" s="256"/>
    </row>
    <row r="22" spans="2:6" x14ac:dyDescent="0.25">
      <c r="B22" s="258" t="s">
        <v>417</v>
      </c>
      <c r="C22" s="259">
        <f>SYNTHESE!C21</f>
        <v>-1187753.4755660628</v>
      </c>
      <c r="D22" s="259">
        <f>SYNTHESE!D21</f>
        <v>0</v>
      </c>
      <c r="E22" s="259">
        <f>SYNTHESE!G21</f>
        <v>0</v>
      </c>
      <c r="F22" s="259">
        <v>-544634</v>
      </c>
    </row>
    <row r="23" spans="2:6" x14ac:dyDescent="0.25">
      <c r="B23" s="258" t="s">
        <v>418</v>
      </c>
      <c r="C23" s="259">
        <f>SYNTHESE!C22</f>
        <v>272334.25</v>
      </c>
      <c r="D23" s="259">
        <f>SYNTHESE!D22</f>
        <v>0</v>
      </c>
      <c r="E23" s="259">
        <f>SYNTHESE!G22</f>
        <v>0</v>
      </c>
      <c r="F23" s="259"/>
    </row>
    <row r="24" spans="2:6" hidden="1" x14ac:dyDescent="0.25">
      <c r="B24" s="258" t="s">
        <v>419</v>
      </c>
      <c r="C24" s="259">
        <f>SYNTHESE!C23</f>
        <v>0</v>
      </c>
      <c r="D24" s="259">
        <f>SYNTHESE!D23</f>
        <v>0</v>
      </c>
      <c r="E24" s="259">
        <f>SYNTHESE!G23</f>
        <v>0</v>
      </c>
      <c r="F24" s="259"/>
    </row>
    <row r="25" spans="2:6" hidden="1" x14ac:dyDescent="0.25">
      <c r="B25" s="258" t="s">
        <v>420</v>
      </c>
      <c r="C25" s="259">
        <f>SYNTHESE!C24</f>
        <v>0</v>
      </c>
      <c r="D25" s="259">
        <f>SYNTHESE!D24</f>
        <v>0</v>
      </c>
      <c r="E25" s="259">
        <f>SYNTHESE!G24</f>
        <v>0</v>
      </c>
      <c r="F25" s="259"/>
    </row>
    <row r="26" spans="2:6" x14ac:dyDescent="0.25">
      <c r="B26" s="262" t="s">
        <v>431</v>
      </c>
      <c r="C26" s="263">
        <f>+SUM(C20:C25)</f>
        <v>2557809.9104550956</v>
      </c>
      <c r="D26" s="263">
        <f t="shared" ref="D26:E26" si="1">+SUM(D20:D25)</f>
        <v>0</v>
      </c>
      <c r="E26" s="263">
        <f t="shared" si="1"/>
        <v>0</v>
      </c>
      <c r="F26" s="263">
        <f>F20+F22</f>
        <v>0</v>
      </c>
    </row>
    <row r="27" spans="2:6" x14ac:dyDescent="0.25">
      <c r="B27" s="256"/>
      <c r="C27" s="256"/>
      <c r="D27" s="256"/>
      <c r="E27" s="256"/>
      <c r="F27" s="256"/>
    </row>
    <row r="28" spans="2:6" x14ac:dyDescent="0.25">
      <c r="B28" s="260" t="s">
        <v>422</v>
      </c>
      <c r="C28" s="261">
        <f>SYNTHESE!C27</f>
        <v>0.3</v>
      </c>
      <c r="D28" s="261">
        <f>SYNTHESE!D27</f>
        <v>0.2</v>
      </c>
      <c r="E28" s="261">
        <f>SYNTHESE!G27</f>
        <v>0.3</v>
      </c>
      <c r="F28" s="261">
        <v>0.5</v>
      </c>
    </row>
    <row r="29" spans="2:6" x14ac:dyDescent="0.25">
      <c r="B29" s="262" t="s">
        <v>432</v>
      </c>
      <c r="C29" s="264">
        <f>+C26*C28</f>
        <v>767342.97313652863</v>
      </c>
      <c r="D29" s="264">
        <f t="shared" ref="D29" si="2">+D26*D28</f>
        <v>0</v>
      </c>
      <c r="E29" s="264">
        <f>+E26*E28</f>
        <v>0</v>
      </c>
      <c r="F29" s="264">
        <f>F26*F28</f>
        <v>0</v>
      </c>
    </row>
  </sheetData>
  <mergeCells count="1">
    <mergeCell ref="B2:E2"/>
  </mergeCells>
  <phoneticPr fontId="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4B7A-63BB-4970-AF1C-903DB204F1DA}">
  <sheetPr codeName="Feuil4">
    <tabColor theme="6" tint="0.79998168889431442"/>
  </sheetPr>
  <dimension ref="A1:U90"/>
  <sheetViews>
    <sheetView topLeftCell="A7" workbookViewId="0">
      <selection activeCell="C21" sqref="C21"/>
    </sheetView>
  </sheetViews>
  <sheetFormatPr baseColWidth="10" defaultColWidth="10.85546875" defaultRowHeight="15" outlineLevelRow="1" outlineLevelCol="1" x14ac:dyDescent="0.3"/>
  <cols>
    <col min="1" max="1" width="55.5703125" style="4" customWidth="1" outlineLevel="1"/>
    <col min="2" max="2" width="33.140625" style="4" bestFit="1" customWidth="1" outlineLevel="1"/>
    <col min="3" max="7" width="13.42578125" style="4" bestFit="1" customWidth="1" outlineLevel="1"/>
    <col min="8" max="8" width="23.42578125" style="4" customWidth="1" outlineLevel="1"/>
    <col min="9" max="9" width="14.7109375" style="4" customWidth="1" outlineLevel="1"/>
    <col min="10" max="10" width="4.42578125" style="4" customWidth="1"/>
    <col min="11" max="11" width="12" style="4" customWidth="1"/>
    <col min="12" max="12" width="83" style="4" customWidth="1" outlineLevel="1"/>
    <col min="13" max="13" width="13.42578125" style="4" customWidth="1" outlineLevel="1"/>
    <col min="14" max="14" width="23.42578125" style="4" customWidth="1" outlineLevel="1"/>
    <col min="15" max="15" width="10.85546875" style="4" customWidth="1" outlineLevel="1"/>
    <col min="16" max="16" width="4.42578125" style="4" customWidth="1"/>
    <col min="17" max="17" width="4" style="4" customWidth="1"/>
    <col min="18" max="18" width="83" style="4" customWidth="1" outlineLevel="1"/>
    <col min="19" max="19" width="13.42578125" style="4" customWidth="1" outlineLevel="1"/>
    <col min="20" max="20" width="23.42578125" style="4" customWidth="1" outlineLevel="1"/>
    <col min="21" max="21" width="10.85546875" style="4" customWidth="1" outlineLevel="1"/>
    <col min="22" max="22" width="3.42578125" style="4" customWidth="1"/>
    <col min="23" max="23" width="4.140625" style="4" customWidth="1"/>
    <col min="24" max="16384" width="10.85546875" style="4"/>
  </cols>
  <sheetData>
    <row r="1" spans="1:19" ht="15.75" thickBot="1" x14ac:dyDescent="0.35">
      <c r="B1" s="4" t="s">
        <v>13</v>
      </c>
      <c r="C1" s="4" t="s">
        <v>13</v>
      </c>
      <c r="D1" s="4" t="s">
        <v>13</v>
      </c>
      <c r="E1" s="4" t="s">
        <v>13</v>
      </c>
      <c r="F1" s="4" t="s">
        <v>13</v>
      </c>
      <c r="G1" s="4" t="s">
        <v>13</v>
      </c>
      <c r="N1" s="4" t="s">
        <v>27</v>
      </c>
      <c r="S1" s="4" t="s">
        <v>38</v>
      </c>
    </row>
    <row r="2" spans="1:19" ht="22.5" x14ac:dyDescent="0.3">
      <c r="A2" s="21" t="s">
        <v>13</v>
      </c>
    </row>
    <row r="3" spans="1:19" ht="8.4499999999999993" customHeight="1" thickBot="1" x14ac:dyDescent="0.35"/>
    <row r="4" spans="1:19" ht="49.5" customHeight="1" x14ac:dyDescent="0.3">
      <c r="A4" s="5" t="s">
        <v>433</v>
      </c>
      <c r="B4" s="5" t="s">
        <v>1218</v>
      </c>
      <c r="C4" s="5" t="s">
        <v>1219</v>
      </c>
      <c r="D4" s="5" t="s">
        <v>1220</v>
      </c>
      <c r="E4" s="5" t="s">
        <v>1221</v>
      </c>
      <c r="F4" s="5" t="s">
        <v>1222</v>
      </c>
      <c r="G4" s="5" t="s">
        <v>1223</v>
      </c>
      <c r="H4" s="5" t="s">
        <v>434</v>
      </c>
      <c r="I4" s="5" t="s">
        <v>435</v>
      </c>
    </row>
    <row r="5" spans="1:19" x14ac:dyDescent="0.3">
      <c r="A5" s="16" t="s">
        <v>359</v>
      </c>
      <c r="B5" s="185">
        <f>VALO_AMO!P74</f>
        <v>26216.90635079686</v>
      </c>
      <c r="C5" s="185">
        <f>VALO_AMO!Q74</f>
        <v>100417.56782046289</v>
      </c>
      <c r="D5" s="185">
        <f>VALO_AMO!R74</f>
        <v>51571.708469689569</v>
      </c>
      <c r="E5" s="185">
        <f>VALO_AMO!S74</f>
        <v>9229.7418150953254</v>
      </c>
      <c r="F5" s="185">
        <f>VALO_AMO!T74</f>
        <v>12827.867565678886</v>
      </c>
      <c r="G5" s="185">
        <f>VALO_AMO!U74</f>
        <v>3211.7956267366912</v>
      </c>
      <c r="H5" s="185"/>
      <c r="I5" s="186">
        <f>SUM(B5:H5)</f>
        <v>203475.58764846023</v>
      </c>
    </row>
    <row r="6" spans="1:19" x14ac:dyDescent="0.3">
      <c r="A6" s="17" t="s">
        <v>360</v>
      </c>
      <c r="B6" s="187">
        <f>VALO_PERSO!AS54</f>
        <v>265179.57388605969</v>
      </c>
      <c r="C6" s="187">
        <f>VALO_PERSO!AT54</f>
        <v>1010469.3655903434</v>
      </c>
      <c r="D6" s="187">
        <f>VALO_PERSO!AU54</f>
        <v>489463.51341966179</v>
      </c>
      <c r="E6" s="187">
        <f>VALO_PERSO!AV54</f>
        <v>110422.64993353636</v>
      </c>
      <c r="F6" s="187">
        <f>VALO_PERSO!AW54</f>
        <v>136662.03178787552</v>
      </c>
      <c r="G6" s="187">
        <f>VALO_PERSO!AX54</f>
        <v>36003.563384795474</v>
      </c>
      <c r="H6" s="187"/>
      <c r="I6" s="186">
        <f>SUM(B6:H6)</f>
        <v>2048200.6980022721</v>
      </c>
    </row>
    <row r="7" spans="1:19" x14ac:dyDescent="0.3">
      <c r="A7" s="17" t="s">
        <v>398</v>
      </c>
      <c r="B7" s="187">
        <f>VALO_PERSO!AS52</f>
        <v>0</v>
      </c>
      <c r="C7" s="187">
        <f>VALO_PERSO!AT52</f>
        <v>0</v>
      </c>
      <c r="D7" s="187">
        <f>VALO_PERSO!AU52</f>
        <v>0</v>
      </c>
      <c r="E7" s="187">
        <f>VALO_PERSO!AV52</f>
        <v>0</v>
      </c>
      <c r="F7" s="187">
        <f>VALO_PERSO!AW52</f>
        <v>0</v>
      </c>
      <c r="G7" s="187">
        <f>VALO_PERSO!AX52</f>
        <v>0</v>
      </c>
      <c r="H7" s="187"/>
      <c r="I7" s="186">
        <f>SUM(B7:H7)</f>
        <v>0</v>
      </c>
    </row>
    <row r="8" spans="1:19" x14ac:dyDescent="0.3">
      <c r="A8" s="17" t="s">
        <v>399</v>
      </c>
      <c r="B8" s="187">
        <f t="shared" ref="B8:G8" si="0">(B6+B7)/($I$6+$I$7)*($I$8-$I$5*0.75)+B5*0.75</f>
        <v>126990.0167991925</v>
      </c>
      <c r="C8" s="187">
        <f t="shared" si="0"/>
        <v>484285.04566691082</v>
      </c>
      <c r="D8" s="187">
        <f t="shared" si="0"/>
        <v>236781.57902187604</v>
      </c>
      <c r="E8" s="187">
        <f t="shared" si="0"/>
        <v>51614.168529135291</v>
      </c>
      <c r="F8" s="187">
        <f t="shared" si="0"/>
        <v>64932.747400572531</v>
      </c>
      <c r="G8" s="187">
        <f t="shared" si="0"/>
        <v>16980.732952740535</v>
      </c>
      <c r="H8" s="187"/>
      <c r="I8" s="186">
        <f>SYNTHESE!C8</f>
        <v>981584.29037042777</v>
      </c>
    </row>
    <row r="9" spans="1:19" outlineLevel="1" x14ac:dyDescent="0.3">
      <c r="A9" s="17" t="s">
        <v>400</v>
      </c>
      <c r="B9" s="187"/>
      <c r="C9" s="187"/>
      <c r="D9" s="187"/>
      <c r="E9" s="187"/>
      <c r="F9" s="187"/>
      <c r="G9" s="187"/>
      <c r="H9" s="187">
        <f>VALO_BREVET!P28</f>
        <v>1118.3</v>
      </c>
      <c r="I9" s="186">
        <f t="shared" ref="I9:I18" si="1">SUM(B9:H9)</f>
        <v>1118.3</v>
      </c>
    </row>
    <row r="10" spans="1:19" outlineLevel="1" x14ac:dyDescent="0.3">
      <c r="A10" s="17" t="s">
        <v>401</v>
      </c>
      <c r="B10" s="187"/>
      <c r="C10" s="187"/>
      <c r="D10" s="187"/>
      <c r="E10" s="187"/>
      <c r="F10" s="187"/>
      <c r="G10" s="187"/>
      <c r="H10" s="187">
        <f>VALO_BREVET!P29</f>
        <v>0</v>
      </c>
      <c r="I10" s="186">
        <f t="shared" si="1"/>
        <v>0</v>
      </c>
    </row>
    <row r="11" spans="1:19" outlineLevel="1" x14ac:dyDescent="0.3">
      <c r="A11" s="17" t="s">
        <v>402</v>
      </c>
      <c r="B11" s="187"/>
      <c r="C11" s="187"/>
      <c r="D11" s="187"/>
      <c r="E11" s="187"/>
      <c r="F11" s="187"/>
      <c r="G11" s="187"/>
      <c r="H11" s="187"/>
      <c r="I11" s="186">
        <f t="shared" si="1"/>
        <v>0</v>
      </c>
    </row>
    <row r="12" spans="1:19" outlineLevel="1" x14ac:dyDescent="0.3">
      <c r="A12" s="17" t="s">
        <v>403</v>
      </c>
      <c r="B12" s="187"/>
      <c r="C12" s="187"/>
      <c r="D12" s="187"/>
      <c r="E12" s="187"/>
      <c r="F12" s="187"/>
      <c r="G12" s="187"/>
      <c r="H12" s="187">
        <f>'VALO-autres dépenses CIR'!J38</f>
        <v>0</v>
      </c>
      <c r="I12" s="186">
        <f t="shared" si="1"/>
        <v>0</v>
      </c>
    </row>
    <row r="13" spans="1:19" outlineLevel="1" x14ac:dyDescent="0.3">
      <c r="A13" s="17" t="s">
        <v>404</v>
      </c>
      <c r="B13" s="187"/>
      <c r="C13" s="187"/>
      <c r="D13" s="187"/>
      <c r="E13" s="187"/>
      <c r="F13" s="187"/>
      <c r="G13" s="187"/>
      <c r="H13" s="187">
        <f>VALO_BREVET!P30</f>
        <v>0</v>
      </c>
      <c r="I13" s="186">
        <f t="shared" si="1"/>
        <v>0</v>
      </c>
    </row>
    <row r="14" spans="1:19" x14ac:dyDescent="0.3">
      <c r="A14" s="17" t="s">
        <v>405</v>
      </c>
      <c r="B14" s="187"/>
      <c r="C14" s="187"/>
      <c r="D14" s="187"/>
      <c r="E14" s="187"/>
      <c r="F14" s="187"/>
      <c r="G14" s="187"/>
      <c r="H14" s="187">
        <f>'VALO-autres dépenses CIR'!J41</f>
        <v>1864</v>
      </c>
      <c r="I14" s="186">
        <f t="shared" si="1"/>
        <v>1864</v>
      </c>
    </row>
    <row r="15" spans="1:19" outlineLevel="1" x14ac:dyDescent="0.3">
      <c r="A15" s="17" t="s">
        <v>406</v>
      </c>
      <c r="B15" s="187">
        <f>SUMIFS(VALO_ST!$V:$V,VALO_ST!$AD:$AD,"16a",VALO_ST!$K:$K,'REP cout'!B4)</f>
        <v>99480</v>
      </c>
      <c r="C15" s="187">
        <f>SUMIFS(VALO_ST!$V:$V,VALO_ST!$AD:$AD,"16a",VALO_ST!$K:$K,'REP cout'!C4)</f>
        <v>0</v>
      </c>
      <c r="D15" s="187">
        <f>SUMIFS(VALO_ST!$V:$V,VALO_ST!$AD:$AD,"16a",VALO_ST!$K:$K,'REP cout'!D4)</f>
        <v>0</v>
      </c>
      <c r="E15" s="187">
        <f>SUMIFS(VALO_ST!$V:$V,VALO_ST!$AD:$AD,"16a",VALO_ST!$K:$K,'REP cout'!E4)</f>
        <v>0</v>
      </c>
      <c r="F15" s="187">
        <f>SUMIFS(VALO_ST!$V:$V,VALO_ST!$AD:$AD,"16a",VALO_ST!$K:$K,'REP cout'!F4)</f>
        <v>0</v>
      </c>
      <c r="G15" s="187">
        <f>SUMIFS(VALO_ST!$V:$V,VALO_ST!$AD:$AD,"16a",VALO_ST!$K:$K,'REP cout'!G4)</f>
        <v>0</v>
      </c>
      <c r="H15" s="187">
        <f>VALO_ST!V42-'REP cout'!B15</f>
        <v>71397.260000000009</v>
      </c>
      <c r="I15" s="186">
        <f>SUM(B15:H15)</f>
        <v>170877.26</v>
      </c>
    </row>
    <row r="16" spans="1:19" outlineLevel="1" x14ac:dyDescent="0.3">
      <c r="A16" s="17" t="s">
        <v>410</v>
      </c>
      <c r="B16" s="187">
        <f>SUMIFS(VALO_ST!$V:$V,VALO_ST!$AD:$AD,"16b",VALO_ST!$K:$K,'REP cout'!B4)</f>
        <v>0</v>
      </c>
      <c r="C16" s="187">
        <f>SUMIFS(VALO_ST!$V:$V,VALO_ST!$AD:$AD,"16b",VALO_ST!$K:$K,'REP cout'!C4)</f>
        <v>0</v>
      </c>
      <c r="D16" s="187">
        <f>SUMIFS(VALO_ST!$V:$V,VALO_ST!$AD:$AD,"16b",VALO_ST!$K:$K,'REP cout'!D4)</f>
        <v>66109</v>
      </c>
      <c r="E16" s="187">
        <f>SUMIFS(VALO_ST!$V:$V,VALO_ST!$AD:$AD,"16b",VALO_ST!$K:$K,'REP cout'!E4)</f>
        <v>0</v>
      </c>
      <c r="F16" s="187">
        <f>SUMIFS(VALO_ST!$V:$V,VALO_ST!$AD:$AD,"16b",VALO_ST!$K:$K,'REP cout'!F4)</f>
        <v>0</v>
      </c>
      <c r="G16" s="187">
        <f>SUMIFS(VALO_ST!$V:$V,VALO_ST!$AD:$AD,"16b",VALO_ST!$K:$K,'REP cout'!G4)</f>
        <v>0</v>
      </c>
      <c r="H16" s="187"/>
      <c r="I16" s="186">
        <f t="shared" si="1"/>
        <v>66109</v>
      </c>
    </row>
    <row r="17" spans="1:21" outlineLevel="1" x14ac:dyDescent="0.3">
      <c r="A17" s="17" t="s">
        <v>412</v>
      </c>
      <c r="B17" s="187">
        <f>SUMIFS(VALO_ST!$V:$V,VALO_ST!$AD:$AD,"15a",VALO_ST!$K:$K,'REP cout'!B4)</f>
        <v>0</v>
      </c>
      <c r="C17" s="187">
        <f>SUMIFS(VALO_ST!$V:$V,VALO_ST!$AD:$AD,"15a",VALO_ST!$K:$K,'REP cout'!C4)</f>
        <v>0</v>
      </c>
      <c r="D17" s="187">
        <f>SUMIFS(VALO_ST!$V:$V,VALO_ST!$AD:$AD,"15a",VALO_ST!$K:$K,'REP cout'!D4)</f>
        <v>0</v>
      </c>
      <c r="E17" s="187">
        <f>SUMIFS(VALO_ST!$V:$V,VALO_ST!$AD:$AD,"15a",VALO_ST!$K:$K,'REP cout'!E4)</f>
        <v>0</v>
      </c>
      <c r="F17" s="187">
        <f>SUMIFS(VALO_ST!$V:$V,VALO_ST!$AD:$AD,"15a",VALO_ST!$K:$K,'REP cout'!F4)</f>
        <v>0</v>
      </c>
      <c r="G17" s="187">
        <f>SUMIFS(VALO_ST!$V:$V,VALO_ST!$AD:$AD,"15a",VALO_ST!$K:$K,'REP cout'!G4)</f>
        <v>0</v>
      </c>
      <c r="H17" s="187"/>
      <c r="I17" s="186">
        <f t="shared" si="1"/>
        <v>0</v>
      </c>
    </row>
    <row r="18" spans="1:21" outlineLevel="1" x14ac:dyDescent="0.3">
      <c r="A18" s="18" t="s">
        <v>414</v>
      </c>
      <c r="B18" s="187">
        <f>SUMIFS(VALO_ST!$V:$V,VALO_ST!$AD:$AD,"15b",VALO_ST!$K:$K,'REP cout'!B4)</f>
        <v>0</v>
      </c>
      <c r="C18" s="187">
        <f>SUMIFS(VALO_ST!$V:$V,VALO_ST!$AD:$AD,"15b",VALO_ST!$K:$K,'REP cout'!C4)</f>
        <v>0</v>
      </c>
      <c r="D18" s="187">
        <f>SUMIFS(VALO_ST!$V:$V,VALO_ST!$AD:$AD,"15b",VALO_ST!$K:$K,'REP cout'!D4)</f>
        <v>0</v>
      </c>
      <c r="E18" s="187">
        <f>SUMIFS(VALO_ST!$V:$V,VALO_ST!$AD:$AD,"15b",VALO_ST!$K:$K,'REP cout'!E4)</f>
        <v>0</v>
      </c>
      <c r="F18" s="187">
        <f>SUMIFS(VALO_ST!$V:$V,VALO_ST!$AD:$AD,"15b",VALO_ST!$K:$K,'REP cout'!F4)</f>
        <v>0</v>
      </c>
      <c r="G18" s="187">
        <f>SUMIFS(VALO_ST!$V:$V,VALO_ST!$AD:$AD,"15b",VALO_ST!$K:$K,'REP cout'!G4)</f>
        <v>0</v>
      </c>
      <c r="H18" s="188"/>
      <c r="I18" s="186">
        <f t="shared" si="1"/>
        <v>0</v>
      </c>
    </row>
    <row r="19" spans="1:21" ht="18.75" thickBot="1" x14ac:dyDescent="0.4">
      <c r="A19" s="153" t="s">
        <v>436</v>
      </c>
      <c r="B19" s="13">
        <f>SUM(B5:B18)</f>
        <v>517866.49703604903</v>
      </c>
      <c r="C19" s="13">
        <f t="shared" ref="C19:G19" si="2">SUM(C5:C18)</f>
        <v>1595171.9790777173</v>
      </c>
      <c r="D19" s="13">
        <f t="shared" si="2"/>
        <v>843925.80091122747</v>
      </c>
      <c r="E19" s="13">
        <f t="shared" si="2"/>
        <v>171266.56027776698</v>
      </c>
      <c r="F19" s="13">
        <f t="shared" si="2"/>
        <v>214422.64675412694</v>
      </c>
      <c r="G19" s="13">
        <f t="shared" si="2"/>
        <v>56196.091964272695</v>
      </c>
      <c r="H19" s="13">
        <f>SUM(H5:H18)</f>
        <v>74379.560000000012</v>
      </c>
      <c r="I19" s="13">
        <f>SUM(I5:I18)</f>
        <v>3473229.1360211596</v>
      </c>
    </row>
    <row r="20" spans="1:21" ht="15.6" customHeight="1" thickBot="1" x14ac:dyDescent="0.35"/>
    <row r="21" spans="1:21" outlineLevel="1" x14ac:dyDescent="0.3">
      <c r="A21" s="149" t="s">
        <v>417</v>
      </c>
      <c r="B21" s="189">
        <f>-SYNTHESE!O26</f>
        <v>-186407.67</v>
      </c>
      <c r="C21" s="189">
        <f>-('[2]ERDA EC2'!$C$186+'[2]ERDA EC1'!$P$298)</f>
        <v>-589158.51840390055</v>
      </c>
      <c r="D21" s="189">
        <f>-SYNTHESE!O25-'[3]ERDA EC1'!$P$214</f>
        <v>-412187.28716216231</v>
      </c>
      <c r="E21" s="189"/>
      <c r="F21" s="189"/>
      <c r="G21" s="189"/>
      <c r="H21" s="189"/>
      <c r="I21" s="150">
        <f>SUM(B21:H21)</f>
        <v>-1187753.4755660628</v>
      </c>
    </row>
    <row r="22" spans="1:21" outlineLevel="1" x14ac:dyDescent="0.3">
      <c r="A22" s="17" t="s">
        <v>418</v>
      </c>
      <c r="B22" s="187"/>
      <c r="C22" s="187"/>
      <c r="D22" s="187"/>
      <c r="E22" s="187"/>
      <c r="F22" s="187"/>
      <c r="G22" s="187"/>
      <c r="H22" s="187">
        <f>-B32</f>
        <v>272334.25</v>
      </c>
      <c r="I22" s="190">
        <f>SUM(B22:H22)</f>
        <v>272334.25</v>
      </c>
    </row>
    <row r="23" spans="1:21" outlineLevel="1" x14ac:dyDescent="0.3">
      <c r="A23" s="17" t="s">
        <v>419</v>
      </c>
      <c r="B23" s="187"/>
      <c r="C23" s="187"/>
      <c r="D23" s="187"/>
      <c r="E23" s="187"/>
      <c r="F23" s="187"/>
      <c r="G23" s="187"/>
      <c r="H23" s="187"/>
      <c r="I23" s="190">
        <f>SUM(B23:H23)</f>
        <v>0</v>
      </c>
    </row>
    <row r="24" spans="1:21" outlineLevel="1" x14ac:dyDescent="0.3">
      <c r="A24" s="18" t="s">
        <v>420</v>
      </c>
      <c r="B24" s="188"/>
      <c r="C24" s="188"/>
      <c r="D24" s="188"/>
      <c r="E24" s="188"/>
      <c r="F24" s="188"/>
      <c r="G24" s="188"/>
      <c r="H24" s="188">
        <f>SYNTHESE!C24</f>
        <v>0</v>
      </c>
      <c r="I24" s="190">
        <f>SUM(B24:H24)</f>
        <v>0</v>
      </c>
    </row>
    <row r="25" spans="1:21" ht="18.75" thickBot="1" x14ac:dyDescent="0.4">
      <c r="A25" s="153" t="s">
        <v>437</v>
      </c>
      <c r="B25" s="13">
        <f t="shared" ref="B25:I25" si="3">B19+SUM(B21:B24)</f>
        <v>331458.82703604898</v>
      </c>
      <c r="C25" s="13">
        <f t="shared" ref="C25:G25" si="4">C19+SUM(C21:C24)</f>
        <v>1006013.4606738167</v>
      </c>
      <c r="D25" s="13">
        <f t="shared" si="4"/>
        <v>431738.51374906517</v>
      </c>
      <c r="E25" s="13">
        <f t="shared" si="4"/>
        <v>171266.56027776698</v>
      </c>
      <c r="F25" s="13">
        <f t="shared" si="4"/>
        <v>214422.64675412694</v>
      </c>
      <c r="G25" s="13">
        <f t="shared" si="4"/>
        <v>56196.091964272695</v>
      </c>
      <c r="H25" s="13">
        <f t="shared" si="3"/>
        <v>346713.81</v>
      </c>
      <c r="I25" s="13">
        <f t="shared" si="3"/>
        <v>2557809.9104550965</v>
      </c>
    </row>
    <row r="26" spans="1:21" ht="6" customHeight="1" thickBot="1" x14ac:dyDescent="0.35"/>
    <row r="27" spans="1:21" x14ac:dyDescent="0.3">
      <c r="A27" s="19" t="s">
        <v>422</v>
      </c>
      <c r="B27" s="151">
        <f>SYNTHESE!$C$27</f>
        <v>0.3</v>
      </c>
      <c r="C27" s="151">
        <f>SYNTHESE!$C$27</f>
        <v>0.3</v>
      </c>
      <c r="D27" s="151">
        <f>SYNTHESE!$C$27</f>
        <v>0.3</v>
      </c>
      <c r="E27" s="151">
        <f>SYNTHESE!$C$27</f>
        <v>0.3</v>
      </c>
      <c r="F27" s="151">
        <f>SYNTHESE!$C$27</f>
        <v>0.3</v>
      </c>
      <c r="G27" s="151">
        <f>SYNTHESE!$C$27</f>
        <v>0.3</v>
      </c>
      <c r="H27" s="151">
        <f>SYNTHESE!$C$27</f>
        <v>0.3</v>
      </c>
      <c r="I27" s="151">
        <f>SYNTHESE!$C$27</f>
        <v>0.3</v>
      </c>
    </row>
    <row r="28" spans="1:21" ht="18.75" thickBot="1" x14ac:dyDescent="0.4">
      <c r="A28" s="153" t="s">
        <v>438</v>
      </c>
      <c r="B28" s="13">
        <f>B25*B27</f>
        <v>99437.648110814698</v>
      </c>
      <c r="C28" s="13">
        <f t="shared" ref="C28:G28" si="5">C25*C27</f>
        <v>301804.03820214502</v>
      </c>
      <c r="D28" s="13">
        <f t="shared" si="5"/>
        <v>129521.55412471955</v>
      </c>
      <c r="E28" s="13">
        <f t="shared" si="5"/>
        <v>51379.968083330095</v>
      </c>
      <c r="F28" s="13">
        <f t="shared" si="5"/>
        <v>64326.79402623808</v>
      </c>
      <c r="G28" s="13">
        <f t="shared" si="5"/>
        <v>16858.827589281809</v>
      </c>
      <c r="H28" s="13">
        <f t="shared" ref="H28:I28" si="6">H25*H27</f>
        <v>104014.143</v>
      </c>
      <c r="I28" s="13">
        <f t="shared" si="6"/>
        <v>767342.97313652898</v>
      </c>
    </row>
    <row r="29" spans="1:21" ht="15.75" thickBot="1" x14ac:dyDescent="0.35"/>
    <row r="30" spans="1:21" ht="22.5" x14ac:dyDescent="0.3">
      <c r="L30" s="22" t="s">
        <v>27</v>
      </c>
      <c r="R30" s="22" t="s">
        <v>38</v>
      </c>
    </row>
    <row r="31" spans="1:21" ht="13.9" customHeight="1" thickBot="1" x14ac:dyDescent="0.35">
      <c r="A31" s="481" t="s">
        <v>1284</v>
      </c>
      <c r="B31" t="s">
        <v>1285</v>
      </c>
      <c r="C31" s="4" t="s">
        <v>1289</v>
      </c>
    </row>
    <row r="32" spans="1:21" ht="30" x14ac:dyDescent="0.3">
      <c r="A32" s="486" t="s">
        <v>1286</v>
      </c>
      <c r="B32" s="148">
        <v>-272334.25</v>
      </c>
      <c r="C32" s="487"/>
      <c r="L32" s="10" t="s">
        <v>439</v>
      </c>
      <c r="M32" s="5" t="s">
        <v>824</v>
      </c>
      <c r="N32" s="5" t="s">
        <v>434</v>
      </c>
      <c r="O32" s="5" t="s">
        <v>435</v>
      </c>
      <c r="R32" s="10" t="s">
        <v>441</v>
      </c>
      <c r="S32" s="5" t="s">
        <v>440</v>
      </c>
      <c r="T32" s="5" t="s">
        <v>434</v>
      </c>
      <c r="U32" s="5" t="s">
        <v>435</v>
      </c>
    </row>
    <row r="33" spans="1:21" ht="15.75" x14ac:dyDescent="0.3">
      <c r="A33" s="486" t="s">
        <v>1287</v>
      </c>
      <c r="B33" s="148">
        <v>5833.33</v>
      </c>
      <c r="C33" s="24">
        <v>0</v>
      </c>
      <c r="D33" s="24"/>
      <c r="E33" s="24"/>
      <c r="F33" s="24" t="s">
        <v>14</v>
      </c>
      <c r="G33" s="24"/>
      <c r="H33" s="24"/>
      <c r="I33" s="24"/>
      <c r="L33" s="6" t="s">
        <v>359</v>
      </c>
      <c r="M33" s="62">
        <f>VALO_AMO!AB70</f>
        <v>0</v>
      </c>
      <c r="N33" s="62"/>
      <c r="O33" s="191">
        <f>SUM(M33:N33)</f>
        <v>0</v>
      </c>
      <c r="R33" s="6" t="s">
        <v>359</v>
      </c>
      <c r="S33" s="62">
        <f>VALO_AMO!AG70</f>
        <v>0</v>
      </c>
      <c r="T33" s="62"/>
      <c r="U33" s="191">
        <f t="shared" ref="U33:U38" si="7">SUM(S33:T33)</f>
        <v>0</v>
      </c>
    </row>
    <row r="34" spans="1:21" ht="15.75" x14ac:dyDescent="0.3">
      <c r="A34" s="486" t="s">
        <v>1288</v>
      </c>
      <c r="B34" s="148">
        <v>186407.67</v>
      </c>
      <c r="L34" s="6" t="s">
        <v>360</v>
      </c>
      <c r="M34" s="11">
        <f>VALO_PERSO!BB50</f>
        <v>0</v>
      </c>
      <c r="N34" s="11"/>
      <c r="O34" s="191">
        <f>SUM(M34:N34)</f>
        <v>0</v>
      </c>
      <c r="R34" s="6" t="s">
        <v>360</v>
      </c>
      <c r="S34" s="11">
        <f>VALO_PERSO!BF50</f>
        <v>0</v>
      </c>
      <c r="T34" s="11"/>
      <c r="U34" s="191">
        <f t="shared" si="7"/>
        <v>0</v>
      </c>
    </row>
    <row r="35" spans="1:21" ht="15.75" x14ac:dyDescent="0.3">
      <c r="A35" s="486" t="s">
        <v>1227</v>
      </c>
      <c r="B35" s="148">
        <v>997506.30999999994</v>
      </c>
      <c r="L35" s="6" t="s">
        <v>400</v>
      </c>
      <c r="M35" s="11"/>
      <c r="N35" s="11">
        <f>VALO_BREVET!R28</f>
        <v>0</v>
      </c>
      <c r="O35" s="191">
        <f>SUM(M35:N35)</f>
        <v>0</v>
      </c>
      <c r="R35" s="6" t="s">
        <v>399</v>
      </c>
      <c r="S35" s="11"/>
      <c r="T35" s="11"/>
      <c r="U35" s="191">
        <f t="shared" si="7"/>
        <v>0</v>
      </c>
    </row>
    <row r="36" spans="1:21" ht="15.75" x14ac:dyDescent="0.3">
      <c r="A36" s="486" t="s">
        <v>1372</v>
      </c>
      <c r="B36" s="148">
        <v>1465788.2000000002</v>
      </c>
      <c r="C36" s="487" t="s">
        <v>1369</v>
      </c>
      <c r="L36" s="6" t="s">
        <v>401</v>
      </c>
      <c r="M36" s="11"/>
      <c r="N36" s="11">
        <f>VALO_BREVET!R29</f>
        <v>0</v>
      </c>
      <c r="O36" s="191">
        <f>SUM(M36:N36)</f>
        <v>0</v>
      </c>
      <c r="R36" s="6" t="s">
        <v>400</v>
      </c>
      <c r="S36" s="11"/>
      <c r="T36" s="11">
        <f>VALO_BREVET!T28</f>
        <v>0</v>
      </c>
      <c r="U36" s="191">
        <f t="shared" si="7"/>
        <v>0</v>
      </c>
    </row>
    <row r="37" spans="1:21" ht="15.75" x14ac:dyDescent="0.3">
      <c r="A37" s="486" t="s">
        <v>1373</v>
      </c>
      <c r="B37" s="148">
        <v>1352644</v>
      </c>
      <c r="L37" s="6" t="s">
        <v>406</v>
      </c>
      <c r="M37" s="11">
        <f>SUMIFS(VALO_ST!$X:$X,VALO_ST!$AD:$AD,"69",VALO_ST!$K:$K,'REP cout'!M32)</f>
        <v>0</v>
      </c>
      <c r="N37" s="11"/>
      <c r="O37" s="191">
        <f>SUM(M37:N37)</f>
        <v>0</v>
      </c>
      <c r="R37" s="6" t="s">
        <v>401</v>
      </c>
      <c r="S37" s="11"/>
      <c r="T37" s="11">
        <f>VALO_BREVET!T29</f>
        <v>0</v>
      </c>
      <c r="U37" s="191">
        <f t="shared" si="7"/>
        <v>0</v>
      </c>
    </row>
    <row r="38" spans="1:21" ht="16.5" thickBot="1" x14ac:dyDescent="0.35">
      <c r="A38" s="486" t="s">
        <v>335</v>
      </c>
      <c r="B38" s="148">
        <v>3735845.2600000002</v>
      </c>
      <c r="L38" s="7" t="s">
        <v>436</v>
      </c>
      <c r="M38" s="13">
        <f>SUM(M33:M37)</f>
        <v>0</v>
      </c>
      <c r="N38" s="13">
        <f>SUM(N33:N37)</f>
        <v>0</v>
      </c>
      <c r="O38" s="13">
        <f>SUM(O33:O37)</f>
        <v>0</v>
      </c>
      <c r="R38" s="6" t="s">
        <v>406</v>
      </c>
      <c r="S38" s="11">
        <f>SUMIFS(VALO_ST!$Z:$Z,VALO_ST!$Q:$Q,"CIC",VALO_ST!$K:$K,'REP cout'!S32)</f>
        <v>0</v>
      </c>
      <c r="T38" s="11"/>
      <c r="U38" s="191">
        <f t="shared" si="7"/>
        <v>0</v>
      </c>
    </row>
    <row r="39" spans="1:21" ht="15.75" thickBot="1" x14ac:dyDescent="0.35">
      <c r="M39" s="192"/>
      <c r="N39" s="192"/>
      <c r="O39" s="62"/>
      <c r="R39" s="7" t="s">
        <v>436</v>
      </c>
      <c r="S39" s="13">
        <f>SUM(S33:S38)</f>
        <v>0</v>
      </c>
      <c r="T39" s="13">
        <f>SUM(T33:T38)</f>
        <v>0</v>
      </c>
      <c r="U39" s="13">
        <f>SUM(U33:U38)</f>
        <v>0</v>
      </c>
    </row>
    <row r="40" spans="1:21" ht="15.75" thickBot="1" x14ac:dyDescent="0.35">
      <c r="L40" s="149" t="s">
        <v>417</v>
      </c>
      <c r="M40" s="189"/>
      <c r="N40" s="189"/>
      <c r="O40" s="150">
        <f>SUM(M40:N40)</f>
        <v>0</v>
      </c>
    </row>
    <row r="41" spans="1:21" x14ac:dyDescent="0.3">
      <c r="L41" s="17" t="s">
        <v>418</v>
      </c>
      <c r="M41" s="187"/>
      <c r="N41" s="187"/>
      <c r="O41" s="190">
        <f>SUM(M41:N41)</f>
        <v>0</v>
      </c>
      <c r="R41" s="149" t="s">
        <v>417</v>
      </c>
      <c r="S41" s="189"/>
      <c r="T41" s="189"/>
      <c r="U41" s="150">
        <f>SUM(S41:T41)</f>
        <v>0</v>
      </c>
    </row>
    <row r="42" spans="1:21" x14ac:dyDescent="0.3">
      <c r="L42" s="17" t="s">
        <v>419</v>
      </c>
      <c r="M42" s="187"/>
      <c r="N42" s="187"/>
      <c r="O42" s="190">
        <f>SUM(M42:N42)</f>
        <v>0</v>
      </c>
      <c r="R42" s="17" t="s">
        <v>418</v>
      </c>
      <c r="S42" s="187"/>
      <c r="T42" s="187"/>
      <c r="U42" s="190">
        <f>SUM(S42:T42)</f>
        <v>0</v>
      </c>
    </row>
    <row r="43" spans="1:21" x14ac:dyDescent="0.3">
      <c r="L43" s="18" t="s">
        <v>420</v>
      </c>
      <c r="M43" s="188"/>
      <c r="N43" s="188">
        <f>SYNTHESE!D24</f>
        <v>0</v>
      </c>
      <c r="O43" s="190">
        <f>SUM(M43:N43)</f>
        <v>0</v>
      </c>
      <c r="R43" s="17" t="s">
        <v>419</v>
      </c>
      <c r="S43" s="187"/>
      <c r="T43" s="187"/>
      <c r="U43" s="190">
        <f>SUM(S43:T43)</f>
        <v>0</v>
      </c>
    </row>
    <row r="44" spans="1:21" ht="18.75" thickBot="1" x14ac:dyDescent="0.4">
      <c r="L44" s="153" t="s">
        <v>437</v>
      </c>
      <c r="M44" s="13">
        <f>M38+SUM(M40:M43)</f>
        <v>0</v>
      </c>
      <c r="N44" s="13">
        <f>N38+SUM(N40:N43)</f>
        <v>0</v>
      </c>
      <c r="O44" s="13">
        <f>O38+SUM(O40:O43)</f>
        <v>0</v>
      </c>
      <c r="R44" s="18" t="s">
        <v>420</v>
      </c>
      <c r="S44" s="188"/>
      <c r="T44" s="188">
        <f>SYNTHESE!G24</f>
        <v>0</v>
      </c>
      <c r="U44" s="190">
        <f>SUM(S44:T44)</f>
        <v>0</v>
      </c>
    </row>
    <row r="45" spans="1:21" ht="18.75" thickBot="1" x14ac:dyDescent="0.4">
      <c r="R45" s="153" t="s">
        <v>437</v>
      </c>
      <c r="S45" s="13">
        <f>S39+SUM(S41:S44)</f>
        <v>0</v>
      </c>
      <c r="T45" s="13">
        <f>T39+SUM(T41:T44)</f>
        <v>0</v>
      </c>
      <c r="U45" s="13">
        <f>U39+SUM(U41:U44)</f>
        <v>0</v>
      </c>
    </row>
    <row r="46" spans="1:21" ht="15.75" thickBot="1" x14ac:dyDescent="0.35">
      <c r="L46" s="19" t="s">
        <v>422</v>
      </c>
      <c r="M46" s="151">
        <f>SYNTHESE!$D$27</f>
        <v>0.2</v>
      </c>
      <c r="N46" s="151">
        <f>SYNTHESE!$D$27</f>
        <v>0.2</v>
      </c>
      <c r="O46" s="151">
        <f>SYNTHESE!$D$27</f>
        <v>0.2</v>
      </c>
    </row>
    <row r="47" spans="1:21" ht="18.75" thickBot="1" x14ac:dyDescent="0.4">
      <c r="L47" s="153" t="s">
        <v>442</v>
      </c>
      <c r="M47" s="13">
        <f>M44*M46</f>
        <v>0</v>
      </c>
      <c r="N47" s="13">
        <f>N44*N46</f>
        <v>0</v>
      </c>
      <c r="O47" s="13">
        <f>O44*O46</f>
        <v>0</v>
      </c>
      <c r="R47" s="19" t="s">
        <v>422</v>
      </c>
      <c r="S47" s="151">
        <v>0.3</v>
      </c>
      <c r="T47" s="151">
        <v>0.3</v>
      </c>
      <c r="U47" s="152">
        <v>0.3</v>
      </c>
    </row>
    <row r="48" spans="1:21" ht="18.75" thickBot="1" x14ac:dyDescent="0.4">
      <c r="R48" s="153" t="s">
        <v>443</v>
      </c>
      <c r="S48" s="13">
        <f>S45*S47</f>
        <v>0</v>
      </c>
      <c r="T48" s="13">
        <f>T45*T47</f>
        <v>0</v>
      </c>
      <c r="U48" s="13">
        <f>U45*U47</f>
        <v>0</v>
      </c>
    </row>
    <row r="49" spans="1:9" x14ac:dyDescent="0.3">
      <c r="A49" s="23"/>
      <c r="B49" s="25"/>
      <c r="C49" s="25"/>
      <c r="D49" s="25"/>
      <c r="E49" s="25"/>
      <c r="F49" s="25"/>
      <c r="G49" s="25"/>
      <c r="H49" s="25"/>
      <c r="I49" s="25"/>
    </row>
    <row r="55" spans="1:9" x14ac:dyDescent="0.3">
      <c r="A55" s="23"/>
      <c r="B55" s="25"/>
      <c r="C55" s="25"/>
      <c r="D55" s="25"/>
      <c r="E55" s="25"/>
      <c r="F55" s="25"/>
      <c r="G55" s="25"/>
      <c r="H55" s="25"/>
      <c r="I55" s="25"/>
    </row>
    <row r="58" spans="1:9" x14ac:dyDescent="0.3">
      <c r="A58" s="23"/>
      <c r="B58" s="25"/>
      <c r="C58" s="25"/>
      <c r="D58" s="25"/>
      <c r="E58" s="25"/>
      <c r="F58" s="25"/>
      <c r="G58" s="25"/>
      <c r="H58" s="25"/>
      <c r="I58" s="25"/>
    </row>
    <row r="62" spans="1:9" ht="22.5" x14ac:dyDescent="0.3">
      <c r="A62" s="26"/>
    </row>
    <row r="64" spans="1:9" x14ac:dyDescent="0.3">
      <c r="A64" s="23"/>
      <c r="B64" s="24"/>
      <c r="C64" s="24"/>
      <c r="D64" s="24"/>
      <c r="E64" s="24"/>
      <c r="F64" s="24"/>
      <c r="G64" s="24"/>
      <c r="H64" s="24"/>
      <c r="I64" s="24"/>
    </row>
    <row r="81" spans="1:9" x14ac:dyDescent="0.3">
      <c r="A81" s="23"/>
      <c r="B81" s="25"/>
      <c r="C81" s="25"/>
      <c r="D81" s="25"/>
      <c r="E81" s="25"/>
      <c r="F81" s="25"/>
      <c r="G81" s="25"/>
      <c r="H81" s="25"/>
      <c r="I81" s="25"/>
    </row>
    <row r="87" spans="1:9" x14ac:dyDescent="0.3">
      <c r="A87" s="23"/>
      <c r="B87" s="25"/>
      <c r="C87" s="25"/>
      <c r="D87" s="25"/>
      <c r="E87" s="25"/>
      <c r="F87" s="25"/>
      <c r="G87" s="25"/>
      <c r="H87" s="25"/>
      <c r="I87" s="25"/>
    </row>
    <row r="90" spans="1:9" x14ac:dyDescent="0.3">
      <c r="A90" s="23"/>
      <c r="B90" s="25"/>
      <c r="C90" s="25"/>
      <c r="D90" s="25"/>
      <c r="E90" s="25"/>
      <c r="F90" s="25"/>
      <c r="G90" s="25"/>
      <c r="H90" s="25"/>
      <c r="I90" s="25"/>
    </row>
  </sheetData>
  <phoneticPr fontId="8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DupliquerProjetColonneEtire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EtirerColonnesVersDroite_PleinBloc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781050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C221-09B7-41A6-A8DF-16B2BABCB615}">
  <sheetPr codeName="Feuil21">
    <tabColor rgb="FF2D44EA"/>
  </sheetPr>
  <dimension ref="B1:W47"/>
  <sheetViews>
    <sheetView workbookViewId="0">
      <selection activeCell="F33" sqref="F33"/>
    </sheetView>
  </sheetViews>
  <sheetFormatPr baseColWidth="10" defaultColWidth="11.42578125" defaultRowHeight="15" x14ac:dyDescent="0.25"/>
  <cols>
    <col min="2" max="2" width="72.140625" bestFit="1" customWidth="1"/>
    <col min="3" max="8" width="17.28515625" customWidth="1"/>
    <col min="9" max="9" width="16.5703125" customWidth="1"/>
    <col min="10" max="10" width="23.7109375" customWidth="1"/>
    <col min="12" max="12" width="70" bestFit="1" customWidth="1"/>
    <col min="17" max="18" width="18" customWidth="1"/>
    <col min="20" max="20" width="70" bestFit="1" customWidth="1"/>
    <col min="21" max="21" width="14.28515625" customWidth="1"/>
    <col min="22" max="22" width="16.42578125" customWidth="1"/>
  </cols>
  <sheetData>
    <row r="1" spans="2:21" x14ac:dyDescent="0.25">
      <c r="C1" t="s">
        <v>13</v>
      </c>
      <c r="D1" t="s">
        <v>13</v>
      </c>
      <c r="E1" t="s">
        <v>13</v>
      </c>
      <c r="F1" t="s">
        <v>13</v>
      </c>
      <c r="G1" t="s">
        <v>13</v>
      </c>
      <c r="H1" t="s">
        <v>13</v>
      </c>
      <c r="M1" t="s">
        <v>27</v>
      </c>
      <c r="N1" t="s">
        <v>27</v>
      </c>
      <c r="O1" t="s">
        <v>27</v>
      </c>
      <c r="P1" t="s">
        <v>27</v>
      </c>
      <c r="U1" t="s">
        <v>38</v>
      </c>
    </row>
    <row r="2" spans="2:21" x14ac:dyDescent="0.25">
      <c r="B2" s="285" t="s">
        <v>444</v>
      </c>
      <c r="C2" s="285"/>
      <c r="D2" s="285"/>
      <c r="E2" s="285"/>
      <c r="F2" s="285"/>
      <c r="G2" s="285"/>
      <c r="H2" s="285"/>
      <c r="I2" s="285"/>
      <c r="J2" s="285"/>
    </row>
    <row r="3" spans="2:21" x14ac:dyDescent="0.25">
      <c r="B3" s="265"/>
      <c r="C3" s="266"/>
      <c r="D3" s="266"/>
      <c r="E3" s="266"/>
      <c r="F3" s="266"/>
      <c r="G3" s="266"/>
      <c r="H3" s="266"/>
      <c r="I3" s="266"/>
      <c r="J3" s="266"/>
    </row>
    <row r="4" spans="2:21" ht="25.5" x14ac:dyDescent="0.25">
      <c r="B4" s="273" t="s">
        <v>427</v>
      </c>
      <c r="C4" s="274" t="str">
        <f>'REP cout'!B4</f>
        <v>CHIC</v>
      </c>
      <c r="D4" s="274" t="str">
        <f>'REP cout'!C4</f>
        <v>PHOENIX</v>
      </c>
      <c r="E4" s="274" t="str">
        <f>'REP cout'!D4</f>
        <v>BIOPPIGMENT</v>
      </c>
      <c r="F4" s="274" t="str">
        <f>'REP cout'!E4</f>
        <v>PALOMA</v>
      </c>
      <c r="G4" s="274" t="str">
        <f>'REP cout'!F4</f>
        <v>LISA</v>
      </c>
      <c r="H4" s="274" t="str">
        <f>'REP cout'!G4</f>
        <v>OASIS</v>
      </c>
      <c r="I4" s="275" t="s">
        <v>445</v>
      </c>
      <c r="J4" s="274" t="s">
        <v>446</v>
      </c>
    </row>
    <row r="5" spans="2:21" x14ac:dyDescent="0.25">
      <c r="B5" s="267" t="s">
        <v>359</v>
      </c>
      <c r="C5" s="268">
        <f>'REP cout'!B5</f>
        <v>26216.90635079686</v>
      </c>
      <c r="D5" s="268">
        <f>'REP cout'!C5</f>
        <v>100417.56782046289</v>
      </c>
      <c r="E5" s="268">
        <f>'REP cout'!D5</f>
        <v>51571.708469689569</v>
      </c>
      <c r="F5" s="268">
        <f>'REP cout'!E5</f>
        <v>9229.7418150953254</v>
      </c>
      <c r="G5" s="268">
        <f>'REP cout'!F5</f>
        <v>12827.867565678886</v>
      </c>
      <c r="H5" s="268">
        <f>'REP cout'!G5</f>
        <v>3211.7956267366912</v>
      </c>
      <c r="I5" s="268">
        <f>'REP cout'!H5</f>
        <v>0</v>
      </c>
      <c r="J5" s="268">
        <f t="shared" ref="J5:J18" si="0">+SUM(C5:I5)</f>
        <v>203475.58764846023</v>
      </c>
    </row>
    <row r="6" spans="2:21" x14ac:dyDescent="0.25">
      <c r="B6" s="267" t="s">
        <v>360</v>
      </c>
      <c r="C6" s="268">
        <f>'REP cout'!B6</f>
        <v>265179.57388605969</v>
      </c>
      <c r="D6" s="268">
        <f>'REP cout'!C6</f>
        <v>1010469.3655903434</v>
      </c>
      <c r="E6" s="268">
        <f>'REP cout'!D6</f>
        <v>489463.51341966179</v>
      </c>
      <c r="F6" s="268">
        <f>'REP cout'!E6</f>
        <v>110422.64993353636</v>
      </c>
      <c r="G6" s="268">
        <f>'REP cout'!F6</f>
        <v>136662.03178787552</v>
      </c>
      <c r="H6" s="268">
        <f>'REP cout'!G6</f>
        <v>36003.563384795474</v>
      </c>
      <c r="I6" s="268">
        <f>'REP cout'!H6</f>
        <v>0</v>
      </c>
      <c r="J6" s="268">
        <f t="shared" si="0"/>
        <v>2048200.6980022721</v>
      </c>
    </row>
    <row r="7" spans="2:21" x14ac:dyDescent="0.25">
      <c r="B7" s="267" t="s">
        <v>398</v>
      </c>
      <c r="C7" s="268">
        <f>'REP cout'!B7</f>
        <v>0</v>
      </c>
      <c r="D7" s="268">
        <f>'REP cout'!C7</f>
        <v>0</v>
      </c>
      <c r="E7" s="268">
        <f>'REP cout'!D7</f>
        <v>0</v>
      </c>
      <c r="F7" s="268">
        <f>'REP cout'!E7</f>
        <v>0</v>
      </c>
      <c r="G7" s="268">
        <f>'REP cout'!F7</f>
        <v>0</v>
      </c>
      <c r="H7" s="268">
        <f>'REP cout'!G7</f>
        <v>0</v>
      </c>
      <c r="I7" s="268">
        <f>'REP cout'!H7</f>
        <v>0</v>
      </c>
      <c r="J7" s="268">
        <f t="shared" si="0"/>
        <v>0</v>
      </c>
    </row>
    <row r="8" spans="2:21" x14ac:dyDescent="0.25">
      <c r="B8" s="267" t="s">
        <v>399</v>
      </c>
      <c r="C8" s="268">
        <f>'REP cout'!B8</f>
        <v>126990.0167991925</v>
      </c>
      <c r="D8" s="268">
        <f>'REP cout'!C8</f>
        <v>484285.04566691082</v>
      </c>
      <c r="E8" s="268">
        <f>'REP cout'!D8</f>
        <v>236781.57902187604</v>
      </c>
      <c r="F8" s="268">
        <f>'REP cout'!E8</f>
        <v>51614.168529135291</v>
      </c>
      <c r="G8" s="268">
        <f>'REP cout'!F8</f>
        <v>64932.747400572531</v>
      </c>
      <c r="H8" s="268">
        <f>'REP cout'!G8</f>
        <v>16980.732952740535</v>
      </c>
      <c r="I8" s="268">
        <f>'REP cout'!H8</f>
        <v>0</v>
      </c>
      <c r="J8" s="268">
        <f t="shared" si="0"/>
        <v>981584.29037042765</v>
      </c>
    </row>
    <row r="9" spans="2:21" x14ac:dyDescent="0.25">
      <c r="B9" s="267" t="s">
        <v>400</v>
      </c>
      <c r="C9" s="268">
        <f>'REP cout'!B9</f>
        <v>0</v>
      </c>
      <c r="D9" s="268">
        <f>'REP cout'!C9</f>
        <v>0</v>
      </c>
      <c r="E9" s="268">
        <f>'REP cout'!D9</f>
        <v>0</v>
      </c>
      <c r="F9" s="268">
        <f>'REP cout'!E9</f>
        <v>0</v>
      </c>
      <c r="G9" s="268">
        <f>'REP cout'!F9</f>
        <v>0</v>
      </c>
      <c r="H9" s="268">
        <f>'REP cout'!G9</f>
        <v>0</v>
      </c>
      <c r="I9" s="268">
        <f>'REP cout'!H9</f>
        <v>1118.3</v>
      </c>
      <c r="J9" s="268">
        <f t="shared" si="0"/>
        <v>1118.3</v>
      </c>
    </row>
    <row r="10" spans="2:21" hidden="1" x14ac:dyDescent="0.25">
      <c r="B10" s="267" t="s">
        <v>401</v>
      </c>
      <c r="C10" s="268">
        <f>'REP cout'!B10</f>
        <v>0</v>
      </c>
      <c r="D10" s="268">
        <f>'REP cout'!C10</f>
        <v>0</v>
      </c>
      <c r="E10" s="268">
        <f>'REP cout'!D10</f>
        <v>0</v>
      </c>
      <c r="F10" s="268">
        <f>'REP cout'!E10</f>
        <v>0</v>
      </c>
      <c r="G10" s="268">
        <f>'REP cout'!F10</f>
        <v>0</v>
      </c>
      <c r="H10" s="268">
        <f>'REP cout'!G10</f>
        <v>0</v>
      </c>
      <c r="I10" s="268">
        <f>'REP cout'!H10</f>
        <v>0</v>
      </c>
      <c r="J10" s="268">
        <f t="shared" si="0"/>
        <v>0</v>
      </c>
    </row>
    <row r="11" spans="2:21" hidden="1" x14ac:dyDescent="0.25">
      <c r="B11" s="267" t="s">
        <v>402</v>
      </c>
      <c r="C11" s="268">
        <f>'REP cout'!B11</f>
        <v>0</v>
      </c>
      <c r="D11" s="268">
        <f>'REP cout'!C11</f>
        <v>0</v>
      </c>
      <c r="E11" s="268">
        <f>'REP cout'!D11</f>
        <v>0</v>
      </c>
      <c r="F11" s="268">
        <f>'REP cout'!E11</f>
        <v>0</v>
      </c>
      <c r="G11" s="268">
        <f>'REP cout'!F11</f>
        <v>0</v>
      </c>
      <c r="H11" s="268">
        <f>'REP cout'!G11</f>
        <v>0</v>
      </c>
      <c r="I11" s="268">
        <f>'REP cout'!H11</f>
        <v>0</v>
      </c>
      <c r="J11" s="268">
        <f t="shared" si="0"/>
        <v>0</v>
      </c>
    </row>
    <row r="12" spans="2:21" hidden="1" x14ac:dyDescent="0.25">
      <c r="B12" s="267" t="s">
        <v>403</v>
      </c>
      <c r="C12" s="268">
        <f>'REP cout'!B12</f>
        <v>0</v>
      </c>
      <c r="D12" s="268">
        <f>'REP cout'!C12</f>
        <v>0</v>
      </c>
      <c r="E12" s="268">
        <f>'REP cout'!D12</f>
        <v>0</v>
      </c>
      <c r="F12" s="268">
        <f>'REP cout'!E12</f>
        <v>0</v>
      </c>
      <c r="G12" s="268">
        <f>'REP cout'!F12</f>
        <v>0</v>
      </c>
      <c r="H12" s="268">
        <f>'REP cout'!G12</f>
        <v>0</v>
      </c>
      <c r="I12" s="268">
        <f>'REP cout'!H12</f>
        <v>0</v>
      </c>
      <c r="J12" s="268">
        <f t="shared" si="0"/>
        <v>0</v>
      </c>
    </row>
    <row r="13" spans="2:21" hidden="1" x14ac:dyDescent="0.25">
      <c r="B13" s="267" t="s">
        <v>404</v>
      </c>
      <c r="C13" s="268">
        <f>'REP cout'!B13</f>
        <v>0</v>
      </c>
      <c r="D13" s="268">
        <f>'REP cout'!C13</f>
        <v>0</v>
      </c>
      <c r="E13" s="268">
        <f>'REP cout'!D13</f>
        <v>0</v>
      </c>
      <c r="F13" s="268">
        <f>'REP cout'!E13</f>
        <v>0</v>
      </c>
      <c r="G13" s="268">
        <f>'REP cout'!F13</f>
        <v>0</v>
      </c>
      <c r="H13" s="268">
        <f>'REP cout'!G13</f>
        <v>0</v>
      </c>
      <c r="I13" s="268">
        <f>'REP cout'!H13</f>
        <v>0</v>
      </c>
      <c r="J13" s="268">
        <f t="shared" si="0"/>
        <v>0</v>
      </c>
    </row>
    <row r="14" spans="2:21" x14ac:dyDescent="0.25">
      <c r="B14" s="267" t="s">
        <v>405</v>
      </c>
      <c r="C14" s="268">
        <f>'REP cout'!B14</f>
        <v>0</v>
      </c>
      <c r="D14" s="268">
        <f>'REP cout'!C14</f>
        <v>0</v>
      </c>
      <c r="E14" s="268">
        <f>'REP cout'!D14</f>
        <v>0</v>
      </c>
      <c r="F14" s="268">
        <f>'REP cout'!E14</f>
        <v>0</v>
      </c>
      <c r="G14" s="268">
        <f>'REP cout'!F14</f>
        <v>0</v>
      </c>
      <c r="H14" s="268">
        <f>'REP cout'!G14</f>
        <v>0</v>
      </c>
      <c r="I14" s="268">
        <f>'REP cout'!H14</f>
        <v>1864</v>
      </c>
      <c r="J14" s="268">
        <f t="shared" si="0"/>
        <v>1864</v>
      </c>
    </row>
    <row r="15" spans="2:21" x14ac:dyDescent="0.25">
      <c r="B15" s="267" t="s">
        <v>428</v>
      </c>
      <c r="C15" s="268">
        <f>'REP cout'!B15</f>
        <v>99480</v>
      </c>
      <c r="D15" s="268">
        <f>'REP cout'!C15</f>
        <v>0</v>
      </c>
      <c r="E15" s="268">
        <f>'REP cout'!D15</f>
        <v>0</v>
      </c>
      <c r="F15" s="268">
        <f>'REP cout'!E15</f>
        <v>0</v>
      </c>
      <c r="G15" s="268">
        <f>'REP cout'!F15</f>
        <v>0</v>
      </c>
      <c r="H15" s="268">
        <f>'REP cout'!G15</f>
        <v>0</v>
      </c>
      <c r="I15" s="268">
        <f>'REP cout'!H15</f>
        <v>71397.260000000009</v>
      </c>
      <c r="J15" s="268">
        <f t="shared" si="0"/>
        <v>170877.26</v>
      </c>
    </row>
    <row r="16" spans="2:21" x14ac:dyDescent="0.25">
      <c r="B16" s="267" t="s">
        <v>429</v>
      </c>
      <c r="C16" s="268">
        <f>'REP cout'!B16</f>
        <v>0</v>
      </c>
      <c r="D16" s="268">
        <f>'REP cout'!C16</f>
        <v>0</v>
      </c>
      <c r="E16" s="268">
        <f>'REP cout'!D16</f>
        <v>66109</v>
      </c>
      <c r="F16" s="268">
        <f>'REP cout'!E16</f>
        <v>0</v>
      </c>
      <c r="G16" s="268">
        <f>'REP cout'!F16</f>
        <v>0</v>
      </c>
      <c r="H16" s="268">
        <f>'REP cout'!G16</f>
        <v>0</v>
      </c>
      <c r="I16" s="268">
        <f>'REP cout'!H16</f>
        <v>0</v>
      </c>
      <c r="J16" s="268">
        <f t="shared" si="0"/>
        <v>66109</v>
      </c>
    </row>
    <row r="17" spans="2:23" hidden="1" x14ac:dyDescent="0.25">
      <c r="B17" s="269" t="s">
        <v>412</v>
      </c>
      <c r="C17" s="268">
        <f>'REP cout'!B17</f>
        <v>0</v>
      </c>
      <c r="D17" s="268">
        <f>'REP cout'!C17</f>
        <v>0</v>
      </c>
      <c r="E17" s="268">
        <f>'REP cout'!D17</f>
        <v>0</v>
      </c>
      <c r="F17" s="268">
        <f>'REP cout'!E17</f>
        <v>0</v>
      </c>
      <c r="G17" s="268">
        <f>'REP cout'!F17</f>
        <v>0</v>
      </c>
      <c r="H17" s="268">
        <f>'REP cout'!G17</f>
        <v>0</v>
      </c>
      <c r="I17" s="268">
        <f>'REP cout'!H17</f>
        <v>0</v>
      </c>
      <c r="J17" s="268">
        <f t="shared" si="0"/>
        <v>0</v>
      </c>
    </row>
    <row r="18" spans="2:23" hidden="1" x14ac:dyDescent="0.25">
      <c r="B18" s="269" t="s">
        <v>414</v>
      </c>
      <c r="C18" s="268">
        <f>'REP cout'!B18</f>
        <v>0</v>
      </c>
      <c r="D18" s="268">
        <f>'REP cout'!C18</f>
        <v>0</v>
      </c>
      <c r="E18" s="268">
        <f>'REP cout'!D18</f>
        <v>0</v>
      </c>
      <c r="F18" s="268">
        <f>'REP cout'!E18</f>
        <v>0</v>
      </c>
      <c r="G18" s="268">
        <f>'REP cout'!F18</f>
        <v>0</v>
      </c>
      <c r="H18" s="268">
        <f>'REP cout'!G18</f>
        <v>0</v>
      </c>
      <c r="I18" s="268">
        <f>'REP cout'!H18</f>
        <v>0</v>
      </c>
      <c r="J18" s="268">
        <f t="shared" si="0"/>
        <v>0</v>
      </c>
    </row>
    <row r="19" spans="2:23" x14ac:dyDescent="0.25">
      <c r="B19" s="274" t="s">
        <v>430</v>
      </c>
      <c r="C19" s="276">
        <f t="shared" ref="C19:J19" si="1">+SUM(C5:C18)</f>
        <v>517866.49703604903</v>
      </c>
      <c r="D19" s="276">
        <f t="shared" ref="D19:H19" si="2">+SUM(D5:D18)</f>
        <v>1595171.9790777173</v>
      </c>
      <c r="E19" s="276">
        <f t="shared" si="2"/>
        <v>843925.80091122747</v>
      </c>
      <c r="F19" s="276">
        <f t="shared" si="2"/>
        <v>171266.56027776698</v>
      </c>
      <c r="G19" s="276">
        <f t="shared" si="2"/>
        <v>214422.64675412694</v>
      </c>
      <c r="H19" s="276">
        <f t="shared" si="2"/>
        <v>56196.091964272695</v>
      </c>
      <c r="I19" s="276">
        <f t="shared" si="1"/>
        <v>74379.560000000012</v>
      </c>
      <c r="J19" s="277">
        <f t="shared" si="1"/>
        <v>3473229.1360211596</v>
      </c>
    </row>
    <row r="20" spans="2:23" x14ac:dyDescent="0.25">
      <c r="B20" s="270"/>
      <c r="C20" s="271"/>
      <c r="D20" s="271"/>
      <c r="E20" s="271"/>
      <c r="F20" s="271"/>
      <c r="G20" s="271"/>
      <c r="H20" s="271"/>
      <c r="I20" s="271"/>
      <c r="J20" s="271"/>
    </row>
    <row r="21" spans="2:23" x14ac:dyDescent="0.25">
      <c r="B21" s="269" t="s">
        <v>417</v>
      </c>
      <c r="C21" s="268">
        <f>'REP cout'!B21</f>
        <v>-186407.67</v>
      </c>
      <c r="D21" s="268">
        <f>'REP cout'!C21</f>
        <v>-589158.51840390055</v>
      </c>
      <c r="E21" s="268">
        <f>'REP cout'!D21</f>
        <v>-412187.28716216231</v>
      </c>
      <c r="F21" s="268">
        <f>'REP cout'!E21</f>
        <v>0</v>
      </c>
      <c r="G21" s="268">
        <f>'REP cout'!F21</f>
        <v>0</v>
      </c>
      <c r="H21" s="268">
        <f>'REP cout'!G21</f>
        <v>0</v>
      </c>
      <c r="I21" s="268">
        <f>'REP cout'!H21</f>
        <v>0</v>
      </c>
      <c r="J21" s="268">
        <f>+SUM(C21:I21)</f>
        <v>-1187753.4755660628</v>
      </c>
    </row>
    <row r="22" spans="2:23" x14ac:dyDescent="0.25">
      <c r="B22" s="269" t="s">
        <v>418</v>
      </c>
      <c r="C22" s="268">
        <f>'REP cout'!B22</f>
        <v>0</v>
      </c>
      <c r="D22" s="268">
        <f>'REP cout'!C22</f>
        <v>0</v>
      </c>
      <c r="E22" s="268">
        <f>'REP cout'!D22</f>
        <v>0</v>
      </c>
      <c r="F22" s="268">
        <f>'REP cout'!E22</f>
        <v>0</v>
      </c>
      <c r="G22" s="268">
        <f>'REP cout'!F22</f>
        <v>0</v>
      </c>
      <c r="H22" s="268">
        <f>'REP cout'!G22</f>
        <v>0</v>
      </c>
      <c r="I22" s="268">
        <f>'REP cout'!H22</f>
        <v>272334.25</v>
      </c>
      <c r="J22" s="268">
        <f>+SUM(C22:I22)</f>
        <v>272334.25</v>
      </c>
    </row>
    <row r="23" spans="2:23" hidden="1" x14ac:dyDescent="0.25">
      <c r="B23" s="269" t="s">
        <v>419</v>
      </c>
      <c r="C23" s="268">
        <f>'REP cout'!B23</f>
        <v>0</v>
      </c>
      <c r="D23" s="268">
        <f>'REP cout'!C23</f>
        <v>0</v>
      </c>
      <c r="E23" s="268">
        <f>'REP cout'!D23</f>
        <v>0</v>
      </c>
      <c r="F23" s="268">
        <f>'REP cout'!E23</f>
        <v>0</v>
      </c>
      <c r="G23" s="268">
        <f>'REP cout'!F23</f>
        <v>0</v>
      </c>
      <c r="H23" s="268">
        <f>'REP cout'!G23</f>
        <v>0</v>
      </c>
      <c r="I23" s="268">
        <f>'REP cout'!H23</f>
        <v>0</v>
      </c>
      <c r="J23" s="268">
        <f>+SUM(C23:I23)</f>
        <v>0</v>
      </c>
    </row>
    <row r="24" spans="2:23" hidden="1" x14ac:dyDescent="0.25">
      <c r="B24" s="258" t="s">
        <v>420</v>
      </c>
      <c r="C24" s="268">
        <f>'REP cout'!B24</f>
        <v>0</v>
      </c>
      <c r="D24" s="268">
        <f>'REP cout'!C24</f>
        <v>0</v>
      </c>
      <c r="E24" s="268">
        <f>'REP cout'!D24</f>
        <v>0</v>
      </c>
      <c r="F24" s="268">
        <f>'REP cout'!E24</f>
        <v>0</v>
      </c>
      <c r="G24" s="268">
        <f>'REP cout'!F24</f>
        <v>0</v>
      </c>
      <c r="H24" s="268">
        <f>'REP cout'!G24</f>
        <v>0</v>
      </c>
      <c r="I24" s="268">
        <f>'REP cout'!H24</f>
        <v>0</v>
      </c>
      <c r="J24" s="268">
        <f>+SUM(C24:I24)</f>
        <v>0</v>
      </c>
    </row>
    <row r="25" spans="2:23" x14ac:dyDescent="0.25">
      <c r="B25" s="274" t="s">
        <v>431</v>
      </c>
      <c r="C25" s="276">
        <f t="shared" ref="C25:H25" si="3">SUM(C19:C24)</f>
        <v>331458.82703604898</v>
      </c>
      <c r="D25" s="276">
        <f t="shared" si="3"/>
        <v>1006013.4606738167</v>
      </c>
      <c r="E25" s="276">
        <f t="shared" si="3"/>
        <v>431738.51374906517</v>
      </c>
      <c r="F25" s="276">
        <f t="shared" si="3"/>
        <v>171266.56027776698</v>
      </c>
      <c r="G25" s="276">
        <f t="shared" si="3"/>
        <v>214422.64675412694</v>
      </c>
      <c r="H25" s="276">
        <f t="shared" si="3"/>
        <v>56196.091964272695</v>
      </c>
      <c r="I25" s="276">
        <f>I19+SUM(I21:I24)</f>
        <v>346713.81</v>
      </c>
      <c r="J25" s="277">
        <f>SUM(J19:J24)</f>
        <v>2557809.9104550965</v>
      </c>
    </row>
    <row r="26" spans="2:23" x14ac:dyDescent="0.25">
      <c r="B26" s="272"/>
      <c r="C26" s="271"/>
      <c r="D26" s="271"/>
      <c r="E26" s="271"/>
      <c r="F26" s="271"/>
      <c r="G26" s="271"/>
      <c r="H26" s="271"/>
      <c r="I26" s="271"/>
      <c r="J26" s="271"/>
    </row>
    <row r="27" spans="2:23" x14ac:dyDescent="0.25">
      <c r="B27" s="274" t="s">
        <v>432</v>
      </c>
      <c r="C27" s="276">
        <f t="shared" ref="C27:H27" si="4">C25*0.3</f>
        <v>99437.648110814698</v>
      </c>
      <c r="D27" s="276">
        <f t="shared" si="4"/>
        <v>301804.03820214502</v>
      </c>
      <c r="E27" s="276">
        <f t="shared" si="4"/>
        <v>129521.55412471955</v>
      </c>
      <c r="F27" s="276">
        <f t="shared" si="4"/>
        <v>51379.968083330095</v>
      </c>
      <c r="G27" s="276">
        <f t="shared" si="4"/>
        <v>64326.79402623808</v>
      </c>
      <c r="H27" s="276">
        <f t="shared" si="4"/>
        <v>16858.827589281809</v>
      </c>
      <c r="I27" s="276">
        <f t="shared" ref="I27:J27" si="5">I25*0.3</f>
        <v>104014.143</v>
      </c>
      <c r="J27" s="276">
        <f t="shared" si="5"/>
        <v>767342.97313652898</v>
      </c>
    </row>
    <row r="28" spans="2:23" ht="15.75" thickBot="1" x14ac:dyDescent="0.3"/>
    <row r="29" spans="2:23" ht="22.5" x14ac:dyDescent="0.3">
      <c r="L29" s="22" t="s">
        <v>27</v>
      </c>
      <c r="M29" s="4"/>
      <c r="N29" s="4"/>
      <c r="O29" s="4"/>
      <c r="P29" s="4"/>
      <c r="Q29" s="4"/>
      <c r="R29" s="4"/>
      <c r="T29" s="22" t="s">
        <v>38</v>
      </c>
      <c r="U29" s="4"/>
      <c r="V29" s="4"/>
      <c r="W29" s="4"/>
    </row>
    <row r="30" spans="2:23" ht="16.5" thickBot="1" x14ac:dyDescent="0.35">
      <c r="L30" s="4"/>
      <c r="M30" s="4"/>
      <c r="N30" s="4"/>
      <c r="O30" s="4"/>
      <c r="P30" s="4"/>
      <c r="Q30" s="4"/>
      <c r="R30" s="4"/>
      <c r="T30" s="4"/>
      <c r="U30" s="4"/>
      <c r="V30" s="4"/>
      <c r="W30" s="4"/>
    </row>
    <row r="31" spans="2:23" ht="45" x14ac:dyDescent="0.3">
      <c r="L31" s="10" t="s">
        <v>439</v>
      </c>
      <c r="M31" s="5" t="str">
        <f>'REP cout'!M32</f>
        <v>Projet 1</v>
      </c>
      <c r="N31" s="5" t="e">
        <f>'REP cout'!#REF!</f>
        <v>#REF!</v>
      </c>
      <c r="O31" s="5" t="e">
        <f>'REP cout'!#REF!</f>
        <v>#REF!</v>
      </c>
      <c r="P31" s="5" t="e">
        <f>'REP cout'!#REF!</f>
        <v>#REF!</v>
      </c>
      <c r="Q31" s="5" t="s">
        <v>434</v>
      </c>
      <c r="R31" s="5" t="s">
        <v>435</v>
      </c>
      <c r="T31" s="10" t="s">
        <v>441</v>
      </c>
      <c r="U31" s="5" t="s">
        <v>440</v>
      </c>
      <c r="V31" s="5" t="s">
        <v>434</v>
      </c>
      <c r="W31" s="5" t="s">
        <v>435</v>
      </c>
    </row>
    <row r="32" spans="2:23" ht="15.75" x14ac:dyDescent="0.3">
      <c r="L32" s="6" t="s">
        <v>359</v>
      </c>
      <c r="M32" s="62">
        <f>'REP cout'!M33</f>
        <v>0</v>
      </c>
      <c r="N32" s="62" t="e">
        <f>'REP cout'!#REF!</f>
        <v>#REF!</v>
      </c>
      <c r="O32" s="62" t="e">
        <f>'REP cout'!#REF!</f>
        <v>#REF!</v>
      </c>
      <c r="P32" s="62" t="e">
        <f>'REP cout'!#REF!</f>
        <v>#REF!</v>
      </c>
      <c r="Q32" s="62">
        <f>'REP cout'!N33</f>
        <v>0</v>
      </c>
      <c r="R32" s="62">
        <f>'REP cout'!O33</f>
        <v>0</v>
      </c>
      <c r="T32" s="6" t="s">
        <v>359</v>
      </c>
      <c r="U32" s="62">
        <f>'REP cout'!S33</f>
        <v>0</v>
      </c>
      <c r="V32" s="62">
        <f>'REP cout'!T33</f>
        <v>0</v>
      </c>
      <c r="W32" s="62">
        <f>'REP cout'!U33</f>
        <v>0</v>
      </c>
    </row>
    <row r="33" spans="12:23" ht="15.75" x14ac:dyDescent="0.3">
      <c r="L33" s="6" t="s">
        <v>360</v>
      </c>
      <c r="M33" s="62">
        <f>'REP cout'!M34</f>
        <v>0</v>
      </c>
      <c r="N33" s="62" t="e">
        <f>'REP cout'!#REF!</f>
        <v>#REF!</v>
      </c>
      <c r="O33" s="62" t="e">
        <f>'REP cout'!#REF!</f>
        <v>#REF!</v>
      </c>
      <c r="P33" s="62" t="e">
        <f>'REP cout'!#REF!</f>
        <v>#REF!</v>
      </c>
      <c r="Q33" s="62">
        <f>'REP cout'!N34</f>
        <v>0</v>
      </c>
      <c r="R33" s="62">
        <f>'REP cout'!O34</f>
        <v>0</v>
      </c>
      <c r="T33" s="6" t="s">
        <v>360</v>
      </c>
      <c r="U33" s="62">
        <f>'REP cout'!S34</f>
        <v>0</v>
      </c>
      <c r="V33" s="62">
        <f>'REP cout'!T34</f>
        <v>0</v>
      </c>
      <c r="W33" s="62">
        <f>'REP cout'!U34</f>
        <v>0</v>
      </c>
    </row>
    <row r="34" spans="12:23" ht="15.75" x14ac:dyDescent="0.3">
      <c r="L34" s="6" t="s">
        <v>400</v>
      </c>
      <c r="M34" s="62">
        <f>'REP cout'!M35</f>
        <v>0</v>
      </c>
      <c r="N34" s="62" t="e">
        <f>'REP cout'!#REF!</f>
        <v>#REF!</v>
      </c>
      <c r="O34" s="62" t="e">
        <f>'REP cout'!#REF!</f>
        <v>#REF!</v>
      </c>
      <c r="P34" s="62" t="e">
        <f>'REP cout'!#REF!</f>
        <v>#REF!</v>
      </c>
      <c r="Q34" s="62">
        <f>'REP cout'!N35</f>
        <v>0</v>
      </c>
      <c r="R34" s="62">
        <f>'REP cout'!O35</f>
        <v>0</v>
      </c>
      <c r="T34" s="6" t="s">
        <v>399</v>
      </c>
      <c r="U34" s="62">
        <f>'REP cout'!S35</f>
        <v>0</v>
      </c>
      <c r="V34" s="62">
        <f>'REP cout'!T35</f>
        <v>0</v>
      </c>
      <c r="W34" s="62">
        <f>'REP cout'!U35</f>
        <v>0</v>
      </c>
    </row>
    <row r="35" spans="12:23" ht="15.75" x14ac:dyDescent="0.3">
      <c r="L35" s="6" t="s">
        <v>401</v>
      </c>
      <c r="M35" s="62">
        <f>'REP cout'!M36</f>
        <v>0</v>
      </c>
      <c r="N35" s="62" t="e">
        <f>'REP cout'!#REF!</f>
        <v>#REF!</v>
      </c>
      <c r="O35" s="62" t="e">
        <f>'REP cout'!#REF!</f>
        <v>#REF!</v>
      </c>
      <c r="P35" s="62" t="e">
        <f>'REP cout'!#REF!</f>
        <v>#REF!</v>
      </c>
      <c r="Q35" s="62">
        <f>'REP cout'!N36</f>
        <v>0</v>
      </c>
      <c r="R35" s="62">
        <f>'REP cout'!O36</f>
        <v>0</v>
      </c>
      <c r="T35" s="6" t="s">
        <v>400</v>
      </c>
      <c r="U35" s="62">
        <f>'REP cout'!S36</f>
        <v>0</v>
      </c>
      <c r="V35" s="62">
        <f>'REP cout'!T36</f>
        <v>0</v>
      </c>
      <c r="W35" s="62">
        <f>'REP cout'!U36</f>
        <v>0</v>
      </c>
    </row>
    <row r="36" spans="12:23" ht="15.75" x14ac:dyDescent="0.3">
      <c r="L36" s="6" t="s">
        <v>406</v>
      </c>
      <c r="M36" s="62">
        <f>'REP cout'!M37</f>
        <v>0</v>
      </c>
      <c r="N36" s="62" t="e">
        <f>'REP cout'!#REF!</f>
        <v>#REF!</v>
      </c>
      <c r="O36" s="62" t="e">
        <f>'REP cout'!#REF!</f>
        <v>#REF!</v>
      </c>
      <c r="P36" s="62" t="e">
        <f>'REP cout'!#REF!</f>
        <v>#REF!</v>
      </c>
      <c r="Q36" s="62">
        <f>'REP cout'!N37</f>
        <v>0</v>
      </c>
      <c r="R36" s="62">
        <f>'REP cout'!O37</f>
        <v>0</v>
      </c>
      <c r="T36" s="6" t="s">
        <v>401</v>
      </c>
      <c r="U36" s="62">
        <f>'REP cout'!S37</f>
        <v>0</v>
      </c>
      <c r="V36" s="62">
        <f>'REP cout'!T37</f>
        <v>0</v>
      </c>
      <c r="W36" s="62">
        <f>'REP cout'!U37</f>
        <v>0</v>
      </c>
    </row>
    <row r="37" spans="12:23" ht="16.5" thickBot="1" x14ac:dyDescent="0.35">
      <c r="L37" s="7" t="s">
        <v>436</v>
      </c>
      <c r="M37" s="13">
        <f t="shared" ref="M37:R37" si="6">SUM(M32:M36)</f>
        <v>0</v>
      </c>
      <c r="N37" s="13" t="e">
        <f t="shared" si="6"/>
        <v>#REF!</v>
      </c>
      <c r="O37" s="13" t="e">
        <f t="shared" si="6"/>
        <v>#REF!</v>
      </c>
      <c r="P37" s="13" t="e">
        <f t="shared" si="6"/>
        <v>#REF!</v>
      </c>
      <c r="Q37" s="13">
        <f t="shared" si="6"/>
        <v>0</v>
      </c>
      <c r="R37" s="13">
        <f t="shared" si="6"/>
        <v>0</v>
      </c>
      <c r="T37" s="6" t="s">
        <v>406</v>
      </c>
      <c r="U37" s="62">
        <f>'REP cout'!S38</f>
        <v>0</v>
      </c>
      <c r="V37" s="62">
        <f>'REP cout'!T38</f>
        <v>0</v>
      </c>
      <c r="W37" s="62">
        <f>'REP cout'!U38</f>
        <v>0</v>
      </c>
    </row>
    <row r="38" spans="12:23" ht="16.5" thickBot="1" x14ac:dyDescent="0.35">
      <c r="L38" s="4"/>
      <c r="M38" s="192"/>
      <c r="N38" s="192"/>
      <c r="O38" s="192"/>
      <c r="P38" s="192"/>
      <c r="Q38" s="192"/>
      <c r="R38" s="62"/>
      <c r="T38" s="7" t="s">
        <v>436</v>
      </c>
      <c r="U38" s="7">
        <f>'REP cout'!S39</f>
        <v>0</v>
      </c>
      <c r="V38" s="7">
        <f>'REP cout'!T39</f>
        <v>0</v>
      </c>
      <c r="W38" s="7">
        <f>'REP cout'!U39</f>
        <v>0</v>
      </c>
    </row>
    <row r="39" spans="12:23" ht="16.5" thickBot="1" x14ac:dyDescent="0.35">
      <c r="L39" s="149" t="s">
        <v>417</v>
      </c>
      <c r="M39" s="62">
        <f>'REP cout'!M40</f>
        <v>0</v>
      </c>
      <c r="N39" s="62" t="e">
        <f>'REP cout'!#REF!</f>
        <v>#REF!</v>
      </c>
      <c r="O39" s="62" t="e">
        <f>'REP cout'!#REF!</f>
        <v>#REF!</v>
      </c>
      <c r="P39" s="62" t="e">
        <f>'REP cout'!#REF!</f>
        <v>#REF!</v>
      </c>
      <c r="Q39" s="62">
        <f>'REP cout'!N40</f>
        <v>0</v>
      </c>
      <c r="R39" s="62">
        <f>'REP cout'!O40</f>
        <v>0</v>
      </c>
      <c r="T39" s="4"/>
      <c r="U39" s="4"/>
      <c r="V39" s="4"/>
      <c r="W39" s="4"/>
    </row>
    <row r="40" spans="12:23" ht="16.5" thickBot="1" x14ac:dyDescent="0.35">
      <c r="L40" s="17" t="s">
        <v>418</v>
      </c>
      <c r="M40" s="62">
        <f>'REP cout'!M41</f>
        <v>0</v>
      </c>
      <c r="N40" s="62" t="e">
        <f>'REP cout'!#REF!</f>
        <v>#REF!</v>
      </c>
      <c r="O40" s="62" t="e">
        <f>'REP cout'!#REF!</f>
        <v>#REF!</v>
      </c>
      <c r="P40" s="62" t="e">
        <f>'REP cout'!#REF!</f>
        <v>#REF!</v>
      </c>
      <c r="Q40" s="62">
        <f>'REP cout'!N41</f>
        <v>0</v>
      </c>
      <c r="R40" s="62">
        <f>'REP cout'!O41</f>
        <v>0</v>
      </c>
      <c r="T40" s="149" t="s">
        <v>417</v>
      </c>
      <c r="U40" s="189">
        <f>'REP cout'!S41</f>
        <v>0</v>
      </c>
      <c r="V40" s="189">
        <f>'REP cout'!T41</f>
        <v>0</v>
      </c>
      <c r="W40" s="189">
        <f>'REP cout'!U41</f>
        <v>0</v>
      </c>
    </row>
    <row r="41" spans="12:23" ht="16.5" thickBot="1" x14ac:dyDescent="0.35">
      <c r="L41" s="17" t="s">
        <v>419</v>
      </c>
      <c r="M41" s="62">
        <f>'REP cout'!M42</f>
        <v>0</v>
      </c>
      <c r="N41" s="62" t="e">
        <f>'REP cout'!#REF!</f>
        <v>#REF!</v>
      </c>
      <c r="O41" s="62" t="e">
        <f>'REP cout'!#REF!</f>
        <v>#REF!</v>
      </c>
      <c r="P41" s="62" t="e">
        <f>'REP cout'!#REF!</f>
        <v>#REF!</v>
      </c>
      <c r="Q41" s="62">
        <f>'REP cout'!N42</f>
        <v>0</v>
      </c>
      <c r="R41" s="62">
        <f>'REP cout'!O42</f>
        <v>0</v>
      </c>
      <c r="T41" s="17" t="s">
        <v>418</v>
      </c>
      <c r="U41" s="189">
        <f>'REP cout'!S42</f>
        <v>0</v>
      </c>
      <c r="V41" s="189">
        <f>'REP cout'!T42</f>
        <v>0</v>
      </c>
      <c r="W41" s="189">
        <f>'REP cout'!U42</f>
        <v>0</v>
      </c>
    </row>
    <row r="42" spans="12:23" ht="16.5" thickBot="1" x14ac:dyDescent="0.35">
      <c r="L42" s="18" t="s">
        <v>420</v>
      </c>
      <c r="M42" s="62">
        <f>'REP cout'!M43</f>
        <v>0</v>
      </c>
      <c r="N42" s="62" t="e">
        <f>'REP cout'!#REF!</f>
        <v>#REF!</v>
      </c>
      <c r="O42" s="62" t="e">
        <f>'REP cout'!#REF!</f>
        <v>#REF!</v>
      </c>
      <c r="P42" s="62" t="e">
        <f>'REP cout'!#REF!</f>
        <v>#REF!</v>
      </c>
      <c r="Q42" s="62">
        <f>'REP cout'!N43</f>
        <v>0</v>
      </c>
      <c r="R42" s="62">
        <f>'REP cout'!O43</f>
        <v>0</v>
      </c>
      <c r="T42" s="17" t="s">
        <v>419</v>
      </c>
      <c r="U42" s="189">
        <f>'REP cout'!S43</f>
        <v>0</v>
      </c>
      <c r="V42" s="189">
        <f>'REP cout'!T43</f>
        <v>0</v>
      </c>
      <c r="W42" s="189">
        <f>'REP cout'!U43</f>
        <v>0</v>
      </c>
    </row>
    <row r="43" spans="12:23" ht="18.75" thickBot="1" x14ac:dyDescent="0.4">
      <c r="L43" s="153" t="s">
        <v>437</v>
      </c>
      <c r="M43" s="153">
        <f>'REP cout'!M44</f>
        <v>0</v>
      </c>
      <c r="N43" s="153" t="e">
        <f>'REP cout'!#REF!</f>
        <v>#REF!</v>
      </c>
      <c r="O43" s="153" t="e">
        <f>'REP cout'!#REF!</f>
        <v>#REF!</v>
      </c>
      <c r="P43" s="153" t="e">
        <f>'REP cout'!#REF!</f>
        <v>#REF!</v>
      </c>
      <c r="Q43" s="153">
        <f>'REP cout'!N44</f>
        <v>0</v>
      </c>
      <c r="R43" s="153">
        <f>'REP cout'!O44</f>
        <v>0</v>
      </c>
      <c r="T43" s="18" t="s">
        <v>420</v>
      </c>
      <c r="U43" s="189">
        <f>'REP cout'!S44</f>
        <v>0</v>
      </c>
      <c r="V43" s="189">
        <f>'REP cout'!T44</f>
        <v>0</v>
      </c>
      <c r="W43" s="189">
        <f>'REP cout'!U44</f>
        <v>0</v>
      </c>
    </row>
    <row r="44" spans="12:23" ht="18.75" thickBot="1" x14ac:dyDescent="0.4">
      <c r="L44" s="4"/>
      <c r="M44" s="4"/>
      <c r="N44" s="4"/>
      <c r="O44" s="4"/>
      <c r="P44" s="4"/>
      <c r="Q44" s="4"/>
      <c r="R44" s="4"/>
      <c r="T44" s="153" t="s">
        <v>437</v>
      </c>
      <c r="U44" s="13">
        <f>'REP cout'!S45</f>
        <v>0</v>
      </c>
      <c r="V44" s="13">
        <f>'REP cout'!T45</f>
        <v>0</v>
      </c>
      <c r="W44" s="13">
        <f>'REP cout'!U45</f>
        <v>0</v>
      </c>
    </row>
    <row r="45" spans="12:23" ht="16.5" thickBot="1" x14ac:dyDescent="0.35">
      <c r="L45" s="19" t="s">
        <v>422</v>
      </c>
      <c r="M45" s="151">
        <v>0.2</v>
      </c>
      <c r="N45" s="151">
        <v>0.2</v>
      </c>
      <c r="O45" s="151">
        <v>0.2</v>
      </c>
      <c r="P45" s="151">
        <v>0.2</v>
      </c>
      <c r="Q45" s="151">
        <v>0.2</v>
      </c>
      <c r="R45" s="151">
        <v>0.2</v>
      </c>
      <c r="T45" s="4"/>
      <c r="U45" s="4"/>
      <c r="V45" s="4"/>
      <c r="W45" s="4"/>
    </row>
    <row r="46" spans="12:23" ht="18.75" thickBot="1" x14ac:dyDescent="0.4">
      <c r="L46" s="153" t="s">
        <v>442</v>
      </c>
      <c r="M46" s="13">
        <f t="shared" ref="M46:R46" si="7">M43*M45</f>
        <v>0</v>
      </c>
      <c r="N46" s="13" t="e">
        <f t="shared" si="7"/>
        <v>#REF!</v>
      </c>
      <c r="O46" s="13" t="e">
        <f t="shared" si="7"/>
        <v>#REF!</v>
      </c>
      <c r="P46" s="13" t="e">
        <f t="shared" si="7"/>
        <v>#REF!</v>
      </c>
      <c r="Q46" s="13">
        <f t="shared" si="7"/>
        <v>0</v>
      </c>
      <c r="R46" s="13">
        <f t="shared" si="7"/>
        <v>0</v>
      </c>
      <c r="T46" s="19" t="s">
        <v>422</v>
      </c>
      <c r="U46" s="151">
        <v>0.3</v>
      </c>
      <c r="V46" s="151">
        <v>0.3</v>
      </c>
      <c r="W46" s="152">
        <v>0.3</v>
      </c>
    </row>
    <row r="47" spans="12:23" ht="18.75" thickBot="1" x14ac:dyDescent="0.4">
      <c r="T47" s="153" t="s">
        <v>443</v>
      </c>
      <c r="U47" s="13">
        <f>'REP cout'!S48</f>
        <v>0</v>
      </c>
      <c r="V47" s="13">
        <f>'REP cout'!T48</f>
        <v>0</v>
      </c>
      <c r="W47" s="13">
        <f>'REP cout'!U48</f>
        <v>0</v>
      </c>
    </row>
  </sheetData>
  <conditionalFormatting sqref="B4">
    <cfRule type="expression" dxfId="280" priority="12">
      <formula>#REF!="CII"</formula>
    </cfRule>
  </conditionalFormatting>
  <conditionalFormatting sqref="B4:B16">
    <cfRule type="containsText" dxfId="279" priority="13" operator="containsText" text="Rien">
      <formula>NOT(ISERROR(SEARCH("Rien",B4)))</formula>
    </cfRule>
  </conditionalFormatting>
  <conditionalFormatting sqref="B17:B18">
    <cfRule type="containsText" dxfId="278" priority="10" operator="containsText" text="Rien">
      <formula>NOT(ISERROR(SEARCH("Rien",B17)))</formula>
    </cfRule>
  </conditionalFormatting>
  <conditionalFormatting sqref="B21:B24">
    <cfRule type="containsText" dxfId="277" priority="7" operator="containsText" text="Rien">
      <formula>NOT(ISERROR(SEARCH("Rien",B21)))</formula>
    </cfRule>
  </conditionalFormatting>
  <conditionalFormatting sqref="J5:J18">
    <cfRule type="containsText" dxfId="276" priority="16" operator="containsText" text="erreur">
      <formula>NOT(ISERROR(SEARCH("erreur",J5)))</formula>
    </cfRule>
  </conditionalFormatting>
  <conditionalFormatting sqref="C19:I19 C25:I25 C27:J27">
    <cfRule type="containsText" dxfId="275" priority="3" operator="containsText" text="erreur">
      <formula>NOT(ISERROR(SEARCH("erreur",C19)))</formula>
    </cfRule>
    <cfRule type="containsText" dxfId="274" priority="4" operator="containsText" text="diff de">
      <formula>NOT(ISERROR(SEARCH("diff de",C19)))</formula>
    </cfRule>
  </conditionalFormatting>
  <conditionalFormatting sqref="J5:J18 J21:J24">
    <cfRule type="containsText" dxfId="273" priority="14" operator="containsText" text="diff de">
      <formula>NOT(ISERROR(SEARCH("diff de",J5)))</formula>
    </cfRule>
  </conditionalFormatting>
  <conditionalFormatting sqref="J19">
    <cfRule type="expression" dxfId="272" priority="1">
      <formula>$K$3="CII"</formula>
    </cfRule>
    <cfRule type="expression" priority="2">
      <formula>$K$3="CII"</formula>
    </cfRule>
  </conditionalFormatting>
  <conditionalFormatting sqref="J21:J24">
    <cfRule type="containsText" dxfId="271" priority="15" operator="containsText" text="erreur">
      <formula>NOT(ISERROR(SEARCH("erreur",J21)))</formula>
    </cfRule>
  </conditionalFormatting>
  <conditionalFormatting sqref="J25">
    <cfRule type="expression" dxfId="270" priority="8">
      <formula>$K$3="CII"</formula>
    </cfRule>
    <cfRule type="expression" priority="9">
      <formula>$K$3="CII"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C8CA-19D0-42BF-B6FA-2D829B5B71AE}">
  <sheetPr codeName="Feuil6">
    <tabColor theme="7" tint="0.79998168889431442"/>
  </sheetPr>
  <dimension ref="A1:AV84"/>
  <sheetViews>
    <sheetView showGridLines="0" topLeftCell="A37" zoomScale="89" zoomScaleNormal="89" workbookViewId="0">
      <selection activeCell="I12" sqref="I12"/>
    </sheetView>
  </sheetViews>
  <sheetFormatPr baseColWidth="10" defaultColWidth="11.42578125" defaultRowHeight="15" outlineLevelCol="1" x14ac:dyDescent="0.25"/>
  <cols>
    <col min="1" max="1" width="7.7109375" style="42" customWidth="1"/>
    <col min="2" max="3" width="2" style="49" bestFit="1" customWidth="1"/>
    <col min="4" max="4" width="8.140625" style="42" bestFit="1" customWidth="1"/>
    <col min="5" max="5" width="10.140625" style="42" bestFit="1" customWidth="1"/>
    <col min="6" max="6" width="15.5703125" style="42" customWidth="1"/>
    <col min="7" max="8" width="15.7109375" style="42" customWidth="1"/>
    <col min="9" max="9" width="13.140625" style="42" customWidth="1"/>
    <col min="10" max="10" width="21.42578125" style="42" customWidth="1"/>
    <col min="11" max="11" width="21.42578125" style="42" bestFit="1" customWidth="1"/>
    <col min="12" max="12" width="17.140625" style="42" bestFit="1" customWidth="1"/>
    <col min="13" max="13" width="12.7109375" style="42" customWidth="1"/>
    <col min="14" max="14" width="12.7109375" style="42" hidden="1" customWidth="1"/>
    <col min="15" max="15" width="19" style="42" customWidth="1" outlineLevel="1"/>
    <col min="16" max="21" width="13.28515625" style="42" customWidth="1" outlineLevel="1"/>
    <col min="22" max="22" width="11.28515625" style="68" hidden="1" customWidth="1" outlineLevel="1"/>
    <col min="23" max="23" width="10.7109375" style="42" bestFit="1" customWidth="1" outlineLevel="1"/>
    <col min="24" max="24" width="2.140625" style="42" bestFit="1" customWidth="1" outlineLevel="1"/>
    <col min="25" max="25" width="15.140625" style="42" customWidth="1" outlineLevel="1"/>
    <col min="26" max="26" width="11.140625" style="42" customWidth="1" outlineLevel="1"/>
    <col min="27" max="27" width="11.140625" style="68" hidden="1" customWidth="1" outlineLevel="1"/>
    <col min="28" max="28" width="11.42578125" style="42" outlineLevel="1"/>
    <col min="29" max="29" width="11.42578125" style="42"/>
    <col min="30" max="30" width="0" style="42" hidden="1" customWidth="1" outlineLevel="1"/>
    <col min="31" max="31" width="6.7109375" style="42" hidden="1" customWidth="1" outlineLevel="1"/>
    <col min="32" max="32" width="11.140625" style="68" hidden="1" customWidth="1" outlineLevel="1"/>
    <col min="33" max="33" width="0" style="42" hidden="1" customWidth="1" outlineLevel="1"/>
    <col min="34" max="34" width="11.42578125" style="42" collapsed="1"/>
    <col min="35" max="37" width="11.42578125" style="42"/>
    <col min="38" max="38" width="10.7109375" style="42" bestFit="1" customWidth="1"/>
    <col min="39" max="39" width="28.28515625" style="42" bestFit="1" customWidth="1"/>
    <col min="40" max="40" width="4.85546875" style="85" bestFit="1" customWidth="1"/>
    <col min="41" max="41" width="3.7109375" style="88" bestFit="1" customWidth="1"/>
    <col min="42" max="43" width="11.42578125" style="42"/>
    <col min="44" max="44" width="4" style="42" bestFit="1" customWidth="1"/>
    <col min="45" max="45" width="20.5703125" style="42" bestFit="1" customWidth="1"/>
    <col min="46" max="46" width="4.85546875" style="85" bestFit="1" customWidth="1"/>
    <col min="47" max="47" width="3.7109375" style="88" bestFit="1" customWidth="1"/>
    <col min="48" max="16384" width="11.42578125" style="42"/>
  </cols>
  <sheetData>
    <row r="1" spans="2:48" ht="31.15" customHeight="1" thickBot="1" x14ac:dyDescent="0.3">
      <c r="P1" s="42" t="s">
        <v>13</v>
      </c>
      <c r="Q1" s="42" t="s">
        <v>13</v>
      </c>
      <c r="R1" s="42" t="s">
        <v>13</v>
      </c>
      <c r="S1" s="42" t="s">
        <v>13</v>
      </c>
      <c r="T1" s="42" t="s">
        <v>13</v>
      </c>
      <c r="U1" s="42" t="s">
        <v>13</v>
      </c>
      <c r="V1" s="70" t="s">
        <v>447</v>
      </c>
      <c r="Z1" s="42" t="s">
        <v>27</v>
      </c>
      <c r="AA1" s="70" t="s">
        <v>447</v>
      </c>
      <c r="AF1" s="70" t="s">
        <v>447</v>
      </c>
    </row>
    <row r="2" spans="2:48" ht="16.5" customHeight="1" thickBot="1" x14ac:dyDescent="0.3">
      <c r="D2" s="98"/>
      <c r="E2" s="99"/>
      <c r="F2" s="99"/>
      <c r="G2" s="99"/>
      <c r="H2" s="99"/>
      <c r="I2" s="99"/>
      <c r="J2" s="99"/>
      <c r="K2" s="99"/>
      <c r="L2" s="99"/>
      <c r="M2" s="99"/>
      <c r="N2" s="98"/>
      <c r="O2" s="43" t="s">
        <v>13</v>
      </c>
      <c r="P2" s="44"/>
      <c r="Q2" s="44"/>
      <c r="R2" s="44"/>
      <c r="S2" s="44"/>
      <c r="T2" s="44"/>
      <c r="U2" s="44"/>
      <c r="V2" s="69"/>
      <c r="W2" s="45"/>
      <c r="X2" s="231">
        <v>1</v>
      </c>
      <c r="Y2" s="43" t="s">
        <v>448</v>
      </c>
      <c r="Z2" s="44"/>
      <c r="AA2" s="69"/>
      <c r="AB2" s="45"/>
      <c r="AD2" s="43" t="s">
        <v>38</v>
      </c>
      <c r="AE2" s="44"/>
      <c r="AF2" s="69"/>
      <c r="AG2" s="45"/>
    </row>
    <row r="3" spans="2:48" ht="60.75" thickBot="1" x14ac:dyDescent="0.3">
      <c r="D3" s="63" t="s">
        <v>449</v>
      </c>
      <c r="E3" s="63" t="s">
        <v>450</v>
      </c>
      <c r="F3" s="63" t="s">
        <v>451</v>
      </c>
      <c r="G3" s="63" t="s">
        <v>452</v>
      </c>
      <c r="H3" s="63" t="s">
        <v>450</v>
      </c>
      <c r="I3" s="63" t="s">
        <v>383</v>
      </c>
      <c r="J3" s="63" t="s">
        <v>384</v>
      </c>
      <c r="K3" s="63" t="s">
        <v>385</v>
      </c>
      <c r="L3" s="213" t="s">
        <v>386</v>
      </c>
      <c r="M3" s="63" t="s">
        <v>453</v>
      </c>
      <c r="N3" s="47" t="s">
        <v>454</v>
      </c>
      <c r="O3" s="47" t="s">
        <v>455</v>
      </c>
      <c r="P3" s="48" t="str">
        <f>'REP cout'!B4</f>
        <v>CHIC</v>
      </c>
      <c r="Q3" s="48" t="str">
        <f>'REP cout'!C4</f>
        <v>PHOENIX</v>
      </c>
      <c r="R3" s="48" t="str">
        <f>'REP cout'!D4</f>
        <v>BIOPPIGMENT</v>
      </c>
      <c r="S3" s="48" t="str">
        <f>'REP cout'!E4</f>
        <v>PALOMA</v>
      </c>
      <c r="T3" s="48" t="str">
        <f>'REP cout'!F4</f>
        <v>LISA</v>
      </c>
      <c r="U3" s="48" t="str">
        <f>'REP cout'!G4</f>
        <v>OASIS</v>
      </c>
      <c r="V3" s="66" t="s">
        <v>456</v>
      </c>
      <c r="W3" s="80" t="s">
        <v>457</v>
      </c>
      <c r="X3" s="232">
        <v>1</v>
      </c>
      <c r="Y3" s="47" t="s">
        <v>458</v>
      </c>
      <c r="Z3" s="46" t="str">
        <f>'REP cout'!M32</f>
        <v>Projet 1</v>
      </c>
      <c r="AA3" s="66" t="s">
        <v>456</v>
      </c>
      <c r="AB3" s="46" t="s">
        <v>459</v>
      </c>
      <c r="AD3" s="47" t="s">
        <v>460</v>
      </c>
      <c r="AE3" s="46" t="str">
        <f>'REP cout'!S32</f>
        <v>Nom projet</v>
      </c>
      <c r="AF3" s="66" t="s">
        <v>456</v>
      </c>
      <c r="AG3" s="46" t="s">
        <v>461</v>
      </c>
    </row>
    <row r="4" spans="2:48" ht="14.45" customHeight="1" x14ac:dyDescent="0.3">
      <c r="B4" s="49">
        <f t="shared" ref="B4:B20" si="0">IFERROR(IF((O4+Y4+AD4)&gt;1,1,0),0)</f>
        <v>0</v>
      </c>
      <c r="C4" s="59">
        <f t="shared" ref="C4:C20" si="1">IFERROR(IF((W4+AB4+AG4)&gt;M4,1,0),0)</f>
        <v>0</v>
      </c>
      <c r="D4" s="71" t="b">
        <v>0</v>
      </c>
      <c r="E4" s="62"/>
      <c r="F4" s="62"/>
      <c r="G4" s="62">
        <v>18</v>
      </c>
      <c r="H4" s="62" t="str">
        <f>VLOOKUP(G4,'[4]Synthèse Amortissements 2025'!$B:$O,14,0)</f>
        <v>CO</v>
      </c>
      <c r="I4" s="62" t="s">
        <v>1104</v>
      </c>
      <c r="J4" s="286" t="s">
        <v>1105</v>
      </c>
      <c r="K4" s="62">
        <v>902.99</v>
      </c>
      <c r="L4" s="62" t="s">
        <v>1050</v>
      </c>
      <c r="M4" s="62">
        <v>96.15</v>
      </c>
      <c r="N4" s="62" t="s">
        <v>21</v>
      </c>
      <c r="O4" s="92">
        <f>$AO$4</f>
        <v>0.78676026857458303</v>
      </c>
      <c r="P4" s="40">
        <f>VALO_AMO!$O4*VALO_AMO!$M4*VALO_PERSO!Y$50/VALO_PERSO!$AF$50</f>
        <v>9.7467727357859442</v>
      </c>
      <c r="Q4" s="40">
        <f>VALO_AMO!$O4*VALO_AMO!$M4*VALO_PERSO!Z$50/VALO_PERSO!$AF$50</f>
        <v>37.332673776617206</v>
      </c>
      <c r="R4" s="40">
        <f>VALO_AMO!$O4*VALO_AMO!$M4*VALO_PERSO!AA$50/VALO_PERSO!$AF$50</f>
        <v>19.173037250254854</v>
      </c>
      <c r="S4" s="40">
        <f>VALO_AMO!$O4*VALO_AMO!$M4*VALO_PERSO!AB$50/VALO_PERSO!$AF$50</f>
        <v>3.4313810591530856</v>
      </c>
      <c r="T4" s="40">
        <f>VALO_AMO!$O4*VALO_AMO!$M4*VALO_PERSO!AC$50/VALO_PERSO!$AF$50</f>
        <v>4.7690718414467499</v>
      </c>
      <c r="U4" s="40">
        <f>VALO_AMO!$O4*VALO_AMO!$M4*VALO_PERSO!AD$50/VALO_PERSO!$AF$50</f>
        <v>1.1940631601883196</v>
      </c>
      <c r="V4" s="40"/>
      <c r="W4" s="79">
        <f t="shared" ref="W4" si="2">SUM(P4:V4)</f>
        <v>75.646999823446151</v>
      </c>
      <c r="X4" s="233"/>
      <c r="Y4" s="92">
        <f>IF(N4=parametrage!$M$2,VALO_AMO!$AO$7,IF(N4=parametrage!$M$3,VALO_AMO!$AU$7,"à définir"))</f>
        <v>0</v>
      </c>
      <c r="Z4" s="40">
        <f>IFERROR(IF(OR($N4=parametrage!$M$2,$N4=parametrage!$M$3),VALO_AMO!$Y4*VALO_AMO!$M4*VALO_PERSO!AI$16/VALO_PERSO!$AK$16,0),0)</f>
        <v>0</v>
      </c>
      <c r="AA4" s="40"/>
      <c r="AB4" s="79">
        <f t="shared" ref="AB4" si="3">SUM(Z4:AA4)</f>
        <v>0</v>
      </c>
      <c r="AC4" s="42">
        <f>VLOOKUP(G4,'Verif VS 24'!$A$51:$F$112,6,0)</f>
        <v>0.78712647472661024</v>
      </c>
      <c r="AD4" s="92">
        <f>IF(N4=parametrage!$M$2,VALO_AMO!$AO$10,IF(N4=parametrage!$M$3,VALO_AMO!$AU$10,"à définir"))</f>
        <v>0</v>
      </c>
      <c r="AE4" s="40">
        <f>IFERROR(IF(OR($N4=parametrage!$M$2,$N4=parametrage!$M$3),VALO_AMO!$AD4*VALO_AMO!$M4*VALO_PERSO!AN$50/VALO_PERSO!$AP$50,0),0)</f>
        <v>0</v>
      </c>
      <c r="AF4" s="40"/>
      <c r="AG4" s="79">
        <f>SUM(AE4:AF4)</f>
        <v>0</v>
      </c>
      <c r="AK4" s="552" t="s">
        <v>21</v>
      </c>
      <c r="AL4" s="553" t="s">
        <v>13</v>
      </c>
      <c r="AM4" s="56" t="s">
        <v>462</v>
      </c>
      <c r="AN4" s="86">
        <f>VALO_PERSO!AF50</f>
        <v>44383.806000000011</v>
      </c>
      <c r="AO4" s="551">
        <f>IFERROR(AN4/AN5,0)</f>
        <v>0.78676026857458303</v>
      </c>
      <c r="AP4" s="57"/>
      <c r="AQ4" s="552" t="s">
        <v>463</v>
      </c>
      <c r="AR4" s="553" t="s">
        <v>13</v>
      </c>
      <c r="AS4" s="56" t="s">
        <v>462</v>
      </c>
      <c r="AT4" s="86">
        <f>VALO_PERSO!AF50</f>
        <v>44383.806000000011</v>
      </c>
      <c r="AU4" s="551">
        <f>IFERROR(AT4/AT5,0)</f>
        <v>0</v>
      </c>
      <c r="AV4" s="57"/>
    </row>
    <row r="5" spans="2:48" ht="15.75" x14ac:dyDescent="0.3">
      <c r="B5" s="49">
        <f t="shared" si="0"/>
        <v>0</v>
      </c>
      <c r="C5" s="59">
        <f t="shared" si="1"/>
        <v>0</v>
      </c>
      <c r="D5" s="71" t="b">
        <v>0</v>
      </c>
      <c r="E5" s="62"/>
      <c r="F5" s="62"/>
      <c r="G5" s="62">
        <v>20</v>
      </c>
      <c r="H5" s="62" t="str">
        <f>VLOOKUP(G5,'[4]Synthèse Amortissements 2025'!$B:$O,14,0)</f>
        <v>CO</v>
      </c>
      <c r="I5" s="62" t="s">
        <v>1106</v>
      </c>
      <c r="J5" s="286" t="s">
        <v>1107</v>
      </c>
      <c r="K5" s="62">
        <v>574.16999999999996</v>
      </c>
      <c r="L5" s="62" t="s">
        <v>1050</v>
      </c>
      <c r="M5" s="62">
        <v>191.37086099999996</v>
      </c>
      <c r="N5" s="62" t="s">
        <v>21</v>
      </c>
      <c r="O5" s="92">
        <f t="shared" ref="O5:O12" si="4">$AO$4</f>
        <v>0.78676026857458303</v>
      </c>
      <c r="P5" s="40">
        <f>VALO_AMO!$O5*VALO_AMO!$M5*VALO_PERSO!Y$50/VALO_PERSO!$AF$50</f>
        <v>19.399358194682069</v>
      </c>
      <c r="Q5" s="40">
        <f>VALO_AMO!$O5*VALO_AMO!$M5*VALO_PERSO!Z$50/VALO_PERSO!$AF$50</f>
        <v>74.304585793690634</v>
      </c>
      <c r="R5" s="40">
        <f>VALO_AMO!$O5*VALO_AMO!$M5*VALO_PERSO!AA$50/VALO_PERSO!$AF$50</f>
        <v>38.160797156176216</v>
      </c>
      <c r="S5" s="40">
        <f>VALO_AMO!$O5*VALO_AMO!$M5*VALO_PERSO!AB$50/VALO_PERSO!$AF$50</f>
        <v>6.8296032003038771</v>
      </c>
      <c r="T5" s="40">
        <f>VALO_AMO!$O5*VALO_AMO!$M5*VALO_PERSO!AC$50/VALO_PERSO!$AF$50</f>
        <v>9.4920580807958359</v>
      </c>
      <c r="U5" s="40">
        <f>VALO_AMO!$O5*VALO_AMO!$M5*VALO_PERSO!AD$50/VALO_PERSO!$AF$50</f>
        <v>2.3765875720605263</v>
      </c>
      <c r="V5" s="40"/>
      <c r="W5" s="79">
        <f t="shared" ref="W5:W50" si="5">SUM(P5:V5)</f>
        <v>150.56298999770914</v>
      </c>
      <c r="X5" s="233"/>
      <c r="Y5" s="92">
        <f>IF(N5=parametrage!$M$2,VALO_AMO!$AO$7,IF(N5=parametrage!$M$3,VALO_AMO!$AU$7,"à définir"))</f>
        <v>0</v>
      </c>
      <c r="Z5" s="40">
        <f>IFERROR(IF(OR($N5=parametrage!$M$2,$N5=parametrage!$M$3),VALO_AMO!$Y5*VALO_AMO!$M5*VALO_PERSO!AI$16/VALO_PERSO!$AK$16,0),0)</f>
        <v>0</v>
      </c>
      <c r="AA5" s="40"/>
      <c r="AB5" s="79">
        <f t="shared" ref="AB5:AB51" si="6">SUM(Z5:AA5)</f>
        <v>0</v>
      </c>
      <c r="AC5" s="42">
        <f>VLOOKUP(G5,'Verif VS 24'!$A$51:$F$112,6,0)</f>
        <v>0.78712647472661024</v>
      </c>
      <c r="AD5" s="92">
        <f>IF(N5=parametrage!$M$2,VALO_AMO!$AO$10,IF(N5=parametrage!$M$3,VALO_AMO!$AU$10,"à définir"))</f>
        <v>0</v>
      </c>
      <c r="AE5" s="40">
        <f>IFERROR(IF(OR($N5=parametrage!$M$2,$N5=parametrage!$M$3),VALO_AMO!$AD5*VALO_AMO!$M5*VALO_PERSO!AN$50/VALO_PERSO!$AP$50,0),0)</f>
        <v>0</v>
      </c>
      <c r="AF5" s="40"/>
      <c r="AG5" s="79">
        <f t="shared" ref="AG5:AG20" si="7">SUM(AE5:AF5)</f>
        <v>0</v>
      </c>
      <c r="AK5" s="552"/>
      <c r="AL5" s="553"/>
      <c r="AM5" s="56" t="s">
        <v>464</v>
      </c>
      <c r="AN5" s="86">
        <f>VALO_PERSO!BK50</f>
        <v>56413.38</v>
      </c>
      <c r="AO5" s="551"/>
      <c r="AP5" s="57"/>
      <c r="AQ5" s="552"/>
      <c r="AR5" s="553"/>
      <c r="AS5" s="56" t="s">
        <v>465</v>
      </c>
      <c r="AT5" s="90"/>
      <c r="AU5" s="551"/>
      <c r="AV5" s="57"/>
    </row>
    <row r="6" spans="2:48" ht="15.75" x14ac:dyDescent="0.3">
      <c r="B6" s="49">
        <f t="shared" si="0"/>
        <v>0</v>
      </c>
      <c r="C6" s="59">
        <f t="shared" si="1"/>
        <v>0</v>
      </c>
      <c r="D6" s="71" t="b">
        <v>0</v>
      </c>
      <c r="E6" s="62"/>
      <c r="F6" s="62"/>
      <c r="G6" s="62">
        <v>22</v>
      </c>
      <c r="H6" s="62" t="str">
        <f>VLOOKUP(G6,'[4]Synthèse Amortissements 2025'!$B:$O,14,0)</f>
        <v>CO</v>
      </c>
      <c r="I6" s="62" t="s">
        <v>1108</v>
      </c>
      <c r="J6" s="286" t="s">
        <v>1109</v>
      </c>
      <c r="K6" s="62">
        <v>1295.45</v>
      </c>
      <c r="L6" s="62" t="s">
        <v>1050</v>
      </c>
      <c r="M6" s="62">
        <v>431.77348499999999</v>
      </c>
      <c r="N6" s="62" t="s">
        <v>21</v>
      </c>
      <c r="O6" s="92">
        <f t="shared" si="4"/>
        <v>0.78676026857458303</v>
      </c>
      <c r="P6" s="40">
        <f>VALO_AMO!$O6*VALO_AMO!$M6*VALO_PERSO!Y$50/VALO_PERSO!$AF$50</f>
        <v>43.769090292597824</v>
      </c>
      <c r="Q6" s="40">
        <f>VALO_AMO!$O6*VALO_AMO!$M6*VALO_PERSO!Z$50/VALO_PERSO!$AF$50</f>
        <v>167.64699595317859</v>
      </c>
      <c r="R6" s="40">
        <f>VALO_AMO!$O6*VALO_AMO!$M6*VALO_PERSO!AA$50/VALO_PERSO!$AF$50</f>
        <v>86.098898716353148</v>
      </c>
      <c r="S6" s="40">
        <f>VALO_AMO!$O6*VALO_AMO!$M6*VALO_PERSO!AB$50/VALO_PERSO!$AF$50</f>
        <v>15.409041687712103</v>
      </c>
      <c r="T6" s="40">
        <f>VALO_AMO!$O6*VALO_AMO!$M6*VALO_PERSO!AC$50/VALO_PERSO!$AF$50</f>
        <v>21.416107843960791</v>
      </c>
      <c r="U6" s="40">
        <f>VALO_AMO!$O6*VALO_AMO!$M6*VALO_PERSO!AD$50/VALO_PERSO!$AF$50</f>
        <v>5.362088528181217</v>
      </c>
      <c r="V6" s="40"/>
      <c r="W6" s="79">
        <f t="shared" si="5"/>
        <v>339.70222302198368</v>
      </c>
      <c r="X6" s="233"/>
      <c r="Y6" s="92">
        <f>IF(N6=parametrage!$M$2,VALO_AMO!$AO$7,IF(N6=parametrage!$M$3,VALO_AMO!$AU$7,"à définir"))</f>
        <v>0</v>
      </c>
      <c r="Z6" s="40">
        <f>IFERROR(IF(OR($N6=parametrage!$M$2,$N6=parametrage!$M$3),VALO_AMO!$Y6*VALO_AMO!$M6*VALO_PERSO!AI$16/VALO_PERSO!$AK$16,0),0)</f>
        <v>0</v>
      </c>
      <c r="AA6" s="40"/>
      <c r="AB6" s="79">
        <f t="shared" si="6"/>
        <v>0</v>
      </c>
      <c r="AC6" s="42">
        <f>VLOOKUP(G6,'Verif VS 24'!$A$51:$F$112,6,0)</f>
        <v>0.78712647472661024</v>
      </c>
      <c r="AD6" s="92">
        <f>IF(N6=parametrage!$M$2,VALO_AMO!$AO$10,IF(N6=parametrage!$M$3,VALO_AMO!$AU$10,"à définir"))</f>
        <v>0</v>
      </c>
      <c r="AE6" s="40">
        <f>IFERROR(IF(OR($N6=parametrage!$M$2,$N6=parametrage!$M$3),VALO_AMO!$AD6*VALO_AMO!$M6*VALO_PERSO!AN$50/VALO_PERSO!$AP$50,0),0)</f>
        <v>0</v>
      </c>
      <c r="AF6" s="40"/>
      <c r="AG6" s="79">
        <f t="shared" si="7"/>
        <v>0</v>
      </c>
      <c r="AK6" s="57"/>
      <c r="AL6" s="57"/>
      <c r="AM6" s="57"/>
      <c r="AN6" s="87"/>
      <c r="AO6" s="89"/>
      <c r="AP6" s="57"/>
      <c r="AQ6" s="57"/>
      <c r="AR6" s="57"/>
      <c r="AS6" s="57"/>
      <c r="AT6" s="87"/>
      <c r="AU6" s="89"/>
      <c r="AV6" s="57"/>
    </row>
    <row r="7" spans="2:48" ht="14.45" customHeight="1" x14ac:dyDescent="0.3">
      <c r="B7" s="49">
        <f t="shared" si="0"/>
        <v>0</v>
      </c>
      <c r="C7" s="59">
        <f t="shared" si="1"/>
        <v>0</v>
      </c>
      <c r="D7" s="71" t="b">
        <v>0</v>
      </c>
      <c r="E7" s="62"/>
      <c r="F7" s="62"/>
      <c r="G7" s="62">
        <v>23</v>
      </c>
      <c r="H7" s="62" t="str">
        <f>VLOOKUP(G7,'[4]Synthèse Amortissements 2025'!$B:$O,14,0)</f>
        <v>CO</v>
      </c>
      <c r="I7" s="62" t="s">
        <v>1110</v>
      </c>
      <c r="J7" s="286" t="s">
        <v>1111</v>
      </c>
      <c r="K7" s="62">
        <v>1805.99</v>
      </c>
      <c r="L7" s="62" t="s">
        <v>1050</v>
      </c>
      <c r="M7" s="62">
        <v>601.93646699999999</v>
      </c>
      <c r="N7" s="62" t="s">
        <v>21</v>
      </c>
      <c r="O7" s="92">
        <f t="shared" si="4"/>
        <v>0.78676026857458303</v>
      </c>
      <c r="P7" s="40">
        <f>VALO_AMO!$O7*VALO_AMO!$M7*VALO_PERSO!Y$50/VALO_PERSO!$AF$50</f>
        <v>61.018595374216488</v>
      </c>
      <c r="Q7" s="40">
        <f>VALO_AMO!$O7*VALO_AMO!$M7*VALO_PERSO!Z$50/VALO_PERSO!$AF$50</f>
        <v>233.71708535372343</v>
      </c>
      <c r="R7" s="40">
        <f>VALO_AMO!$O7*VALO_AMO!$M7*VALO_PERSO!AA$50/VALO_PERSO!$AF$50</f>
        <v>120.03068438978472</v>
      </c>
      <c r="S7" s="40">
        <f>VALO_AMO!$O7*VALO_AMO!$M7*VALO_PERSO!AB$50/VALO_PERSO!$AF$50</f>
        <v>21.481782544745982</v>
      </c>
      <c r="T7" s="40">
        <f>VALO_AMO!$O7*VALO_AMO!$M7*VALO_PERSO!AC$50/VALO_PERSO!$AF$50</f>
        <v>29.856248103064381</v>
      </c>
      <c r="U7" s="40">
        <f>VALO_AMO!$O7*VALO_AMO!$M7*VALO_PERSO!AD$50/VALO_PERSO!$AF$50</f>
        <v>7.4753006762206144</v>
      </c>
      <c r="V7" s="40"/>
      <c r="W7" s="79">
        <f t="shared" si="5"/>
        <v>473.57969644175563</v>
      </c>
      <c r="X7" s="233"/>
      <c r="Y7" s="92">
        <f>IF(N7=parametrage!$M$2,VALO_AMO!$AO$7,IF(N7=parametrage!$M$3,VALO_AMO!$AU$7,"à définir"))</f>
        <v>0</v>
      </c>
      <c r="Z7" s="40">
        <f>IFERROR(IF(OR($N7=parametrage!$M$2,$N7=parametrage!$M$3),VALO_AMO!$Y7*VALO_AMO!$M7*VALO_PERSO!AI$16/VALO_PERSO!$AK$16,0),0)</f>
        <v>0</v>
      </c>
      <c r="AA7" s="40"/>
      <c r="AB7" s="79">
        <f t="shared" si="6"/>
        <v>0</v>
      </c>
      <c r="AC7" s="42">
        <f>VLOOKUP(G7,'Verif VS 24'!$A$51:$F$112,6,0)</f>
        <v>0.78712647472661024</v>
      </c>
      <c r="AD7" s="92">
        <f>IF(N7=parametrage!$M$2,VALO_AMO!$AO$10,IF(N7=parametrage!$M$3,VALO_AMO!$AU$10,"à définir"))</f>
        <v>0</v>
      </c>
      <c r="AE7" s="40">
        <f>IFERROR(IF(OR($N7=parametrage!$M$2,$N7=parametrage!$M$3),VALO_AMO!$AD7*VALO_AMO!$M7*VALO_PERSO!AN$50/VALO_PERSO!$AP$50,0),0)</f>
        <v>0</v>
      </c>
      <c r="AF7" s="40"/>
      <c r="AG7" s="79">
        <f t="shared" si="7"/>
        <v>0</v>
      </c>
      <c r="AK7" s="552" t="s">
        <v>21</v>
      </c>
      <c r="AL7" s="553" t="s">
        <v>27</v>
      </c>
      <c r="AM7" s="56" t="s">
        <v>462</v>
      </c>
      <c r="AN7" s="86">
        <f>VALO_PERSO!AK50</f>
        <v>0</v>
      </c>
      <c r="AO7" s="551">
        <f>IFERROR(AN7/AN8,0)</f>
        <v>0</v>
      </c>
      <c r="AP7" s="57"/>
      <c r="AQ7" s="552" t="s">
        <v>463</v>
      </c>
      <c r="AR7" s="553" t="s">
        <v>27</v>
      </c>
      <c r="AS7" s="56" t="s">
        <v>462</v>
      </c>
      <c r="AT7" s="86">
        <f>VALO_PERSO!AK50</f>
        <v>0</v>
      </c>
      <c r="AU7" s="551">
        <f>IFERROR(AT7/AT8,0)</f>
        <v>0</v>
      </c>
      <c r="AV7" s="57"/>
    </row>
    <row r="8" spans="2:48" ht="15.75" x14ac:dyDescent="0.3">
      <c r="B8" s="49">
        <f t="shared" si="0"/>
        <v>0</v>
      </c>
      <c r="C8" s="59">
        <f t="shared" si="1"/>
        <v>0</v>
      </c>
      <c r="D8" s="71" t="b">
        <v>0</v>
      </c>
      <c r="E8" s="62"/>
      <c r="F8" s="62"/>
      <c r="G8" s="62">
        <v>34</v>
      </c>
      <c r="H8" s="62" t="str">
        <f>VLOOKUP(G8,'[4]Synthèse Amortissements 2025'!$B:$O,14,0)</f>
        <v>CO</v>
      </c>
      <c r="I8" s="62" t="s">
        <v>1112</v>
      </c>
      <c r="J8" s="286" t="s">
        <v>1113</v>
      </c>
      <c r="K8" s="62">
        <v>449.23</v>
      </c>
      <c r="L8" s="62" t="s">
        <v>1050</v>
      </c>
      <c r="M8" s="62">
        <v>149.72835900000001</v>
      </c>
      <c r="N8" s="62" t="s">
        <v>21</v>
      </c>
      <c r="O8" s="92">
        <f t="shared" si="4"/>
        <v>0.78676026857458303</v>
      </c>
      <c r="P8" s="40">
        <f>VALO_AMO!$O8*VALO_AMO!$M8*VALO_PERSO!Y$50/VALO_PERSO!$AF$50</f>
        <v>15.178037309154133</v>
      </c>
      <c r="Q8" s="40">
        <f>VALO_AMO!$O8*VALO_AMO!$M8*VALO_PERSO!Z$50/VALO_PERSO!$AF$50</f>
        <v>58.135829242384048</v>
      </c>
      <c r="R8" s="40">
        <f>VALO_AMO!$O8*VALO_AMO!$M8*VALO_PERSO!AA$50/VALO_PERSO!$AF$50</f>
        <v>29.856967285767361</v>
      </c>
      <c r="S8" s="40">
        <f>VALO_AMO!$O8*VALO_AMO!$M8*VALO_PERSO!AB$50/VALO_PERSO!$AF$50</f>
        <v>5.3434743119154797</v>
      </c>
      <c r="T8" s="40">
        <f>VALO_AMO!$O8*VALO_AMO!$M8*VALO_PERSO!AC$50/VALO_PERSO!$AF$50</f>
        <v>7.4265761910861157</v>
      </c>
      <c r="U8" s="40">
        <f>VALO_AMO!$O8*VALO_AMO!$M8*VALO_PERSO!AD$50/VALO_PERSO!$AF$50</f>
        <v>1.8594395997644435</v>
      </c>
      <c r="V8" s="40"/>
      <c r="W8" s="79">
        <f t="shared" si="5"/>
        <v>117.80032394007158</v>
      </c>
      <c r="X8" s="233"/>
      <c r="Y8" s="92">
        <f>IF(N8=parametrage!$M$2,VALO_AMO!$AO$7,IF(N8=parametrage!$M$3,VALO_AMO!$AU$7,"à définir"))</f>
        <v>0</v>
      </c>
      <c r="Z8" s="40">
        <f>IFERROR(IF(OR($N8=parametrage!$M$2,$N8=parametrage!$M$3),VALO_AMO!$Y8*VALO_AMO!$M8*VALO_PERSO!AI$16/VALO_PERSO!$AK$16,0),0)</f>
        <v>0</v>
      </c>
      <c r="AA8" s="40"/>
      <c r="AB8" s="79">
        <f t="shared" si="6"/>
        <v>0</v>
      </c>
      <c r="AC8" s="42">
        <f>VLOOKUP(G8,'Verif VS 24'!$A$51:$F$112,6,0)</f>
        <v>0.78712647472661024</v>
      </c>
      <c r="AD8" s="92">
        <f>IF(N8=parametrage!$M$2,VALO_AMO!$AO$10,IF(N8=parametrage!$M$3,VALO_AMO!$AU$10,"à définir"))</f>
        <v>0</v>
      </c>
      <c r="AE8" s="40">
        <f>IFERROR(IF(OR($N8=parametrage!$M$2,$N8=parametrage!$M$3),VALO_AMO!$AD8*VALO_AMO!$M8*VALO_PERSO!AN$50/VALO_PERSO!$AP$50,0),0)</f>
        <v>0</v>
      </c>
      <c r="AF8" s="40"/>
      <c r="AG8" s="79">
        <f t="shared" si="7"/>
        <v>0</v>
      </c>
      <c r="AK8" s="552"/>
      <c r="AL8" s="553"/>
      <c r="AM8" s="56" t="s">
        <v>464</v>
      </c>
      <c r="AN8" s="86">
        <f>VALO_PERSO!BL50</f>
        <v>0</v>
      </c>
      <c r="AO8" s="551"/>
      <c r="AP8" s="57"/>
      <c r="AQ8" s="552"/>
      <c r="AR8" s="553"/>
      <c r="AS8" s="56" t="s">
        <v>465</v>
      </c>
      <c r="AT8" s="90"/>
      <c r="AU8" s="551"/>
      <c r="AV8" s="57"/>
    </row>
    <row r="9" spans="2:48" ht="15.75" x14ac:dyDescent="0.3">
      <c r="B9" s="49">
        <f t="shared" si="0"/>
        <v>0</v>
      </c>
      <c r="C9" s="59">
        <f t="shared" si="1"/>
        <v>0</v>
      </c>
      <c r="D9" s="71" t="b">
        <v>0</v>
      </c>
      <c r="E9" s="62"/>
      <c r="F9" s="62"/>
      <c r="G9" s="62">
        <v>35</v>
      </c>
      <c r="H9" s="62" t="str">
        <f>VLOOKUP(G9,'[4]Synthèse Amortissements 2025'!$B:$O,14,0)</f>
        <v>CO</v>
      </c>
      <c r="I9" s="62" t="s">
        <v>1112</v>
      </c>
      <c r="J9" s="286" t="s">
        <v>1113</v>
      </c>
      <c r="K9" s="62">
        <v>449.23</v>
      </c>
      <c r="L9" s="62" t="s">
        <v>1050</v>
      </c>
      <c r="M9" s="62">
        <v>149.72835900000001</v>
      </c>
      <c r="N9" s="62" t="s">
        <v>21</v>
      </c>
      <c r="O9" s="92">
        <f t="shared" si="4"/>
        <v>0.78676026857458303</v>
      </c>
      <c r="P9" s="40">
        <f>VALO_AMO!$O9*VALO_AMO!$M9*VALO_PERSO!Y$50/VALO_PERSO!$AF$50</f>
        <v>15.178037309154133</v>
      </c>
      <c r="Q9" s="40">
        <f>VALO_AMO!$O9*VALO_AMO!$M9*VALO_PERSO!Z$50/VALO_PERSO!$AF$50</f>
        <v>58.135829242384048</v>
      </c>
      <c r="R9" s="40">
        <f>VALO_AMO!$O9*VALO_AMO!$M9*VALO_PERSO!AA$50/VALO_PERSO!$AF$50</f>
        <v>29.856967285767361</v>
      </c>
      <c r="S9" s="40">
        <f>VALO_AMO!$O9*VALO_AMO!$M9*VALO_PERSO!AB$50/VALO_PERSO!$AF$50</f>
        <v>5.3434743119154797</v>
      </c>
      <c r="T9" s="40">
        <f>VALO_AMO!$O9*VALO_AMO!$M9*VALO_PERSO!AC$50/VALO_PERSO!$AF$50</f>
        <v>7.4265761910861157</v>
      </c>
      <c r="U9" s="40">
        <f>VALO_AMO!$O9*VALO_AMO!$M9*VALO_PERSO!AD$50/VALO_PERSO!$AF$50</f>
        <v>1.8594395997644435</v>
      </c>
      <c r="V9" s="40"/>
      <c r="W9" s="79">
        <f t="shared" si="5"/>
        <v>117.80032394007158</v>
      </c>
      <c r="X9" s="233"/>
      <c r="Y9" s="92">
        <f>IF(N9=parametrage!$M$2,VALO_AMO!$AO$7,IF(N9=parametrage!$M$3,VALO_AMO!$AU$7,"à définir"))</f>
        <v>0</v>
      </c>
      <c r="Z9" s="40">
        <f>IFERROR(IF(OR($N9=parametrage!$M$2,$N9=parametrage!$M$3),VALO_AMO!$Y9*VALO_AMO!$M9*VALO_PERSO!AI$16/VALO_PERSO!$AK$16,0),0)</f>
        <v>0</v>
      </c>
      <c r="AA9" s="40"/>
      <c r="AB9" s="79">
        <f t="shared" si="6"/>
        <v>0</v>
      </c>
      <c r="AC9" s="42">
        <f>VLOOKUP(G9,'Verif VS 24'!$A$51:$F$112,6,0)</f>
        <v>0.78712647472661024</v>
      </c>
      <c r="AD9" s="92">
        <f>IF(N9=parametrage!$M$2,VALO_AMO!$AO$10,IF(N9=parametrage!$M$3,VALO_AMO!$AU$10,"à définir"))</f>
        <v>0</v>
      </c>
      <c r="AE9" s="40">
        <f>IFERROR(IF(OR($N9=parametrage!$M$2,$N9=parametrage!$M$3),VALO_AMO!$AD9*VALO_AMO!$M9*VALO_PERSO!AN$50/VALO_PERSO!$AP$50,0),0)</f>
        <v>0</v>
      </c>
      <c r="AF9" s="40"/>
      <c r="AG9" s="79">
        <f t="shared" si="7"/>
        <v>0</v>
      </c>
      <c r="AK9" s="57"/>
      <c r="AL9" s="57"/>
      <c r="AM9" s="57"/>
      <c r="AN9" s="87"/>
      <c r="AO9" s="89"/>
      <c r="AP9" s="57"/>
      <c r="AQ9" s="57"/>
      <c r="AR9" s="57"/>
      <c r="AS9" s="57"/>
      <c r="AT9" s="87"/>
      <c r="AU9" s="89"/>
      <c r="AV9" s="57"/>
    </row>
    <row r="10" spans="2:48" ht="14.45" customHeight="1" x14ac:dyDescent="0.3">
      <c r="B10" s="49">
        <f t="shared" si="0"/>
        <v>0</v>
      </c>
      <c r="C10" s="59">
        <f t="shared" si="1"/>
        <v>0</v>
      </c>
      <c r="D10" s="71" t="b">
        <v>0</v>
      </c>
      <c r="E10" s="62"/>
      <c r="F10" s="62"/>
      <c r="G10" s="62">
        <v>36</v>
      </c>
      <c r="H10" s="62" t="str">
        <f>VLOOKUP(G10,'[4]Synthèse Amortissements 2025'!$B:$O,14,0)</f>
        <v>CO</v>
      </c>
      <c r="I10" s="62" t="s">
        <v>1112</v>
      </c>
      <c r="J10" s="286" t="s">
        <v>1113</v>
      </c>
      <c r="K10" s="62">
        <v>449.24</v>
      </c>
      <c r="L10" s="62" t="s">
        <v>1050</v>
      </c>
      <c r="M10" s="62">
        <v>149.73169200000001</v>
      </c>
      <c r="N10" s="62" t="s">
        <v>21</v>
      </c>
      <c r="O10" s="92">
        <f t="shared" si="4"/>
        <v>0.78676026857458303</v>
      </c>
      <c r="P10" s="40">
        <f>VALO_AMO!$O10*VALO_AMO!$M10*VALO_PERSO!Y$50/VALO_PERSO!$AF$50</f>
        <v>15.178375177001541</v>
      </c>
      <c r="Q10" s="40">
        <f>VALO_AMO!$O10*VALO_AMO!$M10*VALO_PERSO!Z$50/VALO_PERSO!$AF$50</f>
        <v>58.137123364086577</v>
      </c>
      <c r="R10" s="40">
        <f>VALO_AMO!$O10*VALO_AMO!$M10*VALO_PERSO!AA$50/VALO_PERSO!$AF$50</f>
        <v>29.85763191117719</v>
      </c>
      <c r="S10" s="40">
        <f>VALO_AMO!$O10*VALO_AMO!$M10*VALO_PERSO!AB$50/VALO_PERSO!$AF$50</f>
        <v>5.3435932593213051</v>
      </c>
      <c r="T10" s="40">
        <f>VALO_AMO!$O10*VALO_AMO!$M10*VALO_PERSO!AC$50/VALO_PERSO!$AF$50</f>
        <v>7.4267415089898847</v>
      </c>
      <c r="U10" s="40">
        <f>VALO_AMO!$O10*VALO_AMO!$M10*VALO_PERSO!AD$50/VALO_PERSO!$AF$50</f>
        <v>1.8594809914702459</v>
      </c>
      <c r="V10" s="40"/>
      <c r="W10" s="79">
        <f t="shared" si="5"/>
        <v>117.80294621204676</v>
      </c>
      <c r="X10" s="233"/>
      <c r="Y10" s="92">
        <f>IF(N10=parametrage!$M$2,VALO_AMO!$AO$7,IF(N10=parametrage!$M$3,VALO_AMO!$AU$7,"à définir"))</f>
        <v>0</v>
      </c>
      <c r="Z10" s="40">
        <f>IFERROR(IF(OR($N10=parametrage!$M$2,$N10=parametrage!$M$3),VALO_AMO!$Y10*VALO_AMO!$M10*VALO_PERSO!AI$16/VALO_PERSO!$AK$16,0),0)</f>
        <v>0</v>
      </c>
      <c r="AA10" s="40"/>
      <c r="AB10" s="79">
        <f t="shared" si="6"/>
        <v>0</v>
      </c>
      <c r="AC10" s="42">
        <f>VLOOKUP(G10,'Verif VS 24'!$A$51:$F$112,6,0)</f>
        <v>0.78712647472661024</v>
      </c>
      <c r="AD10" s="92">
        <f>IF(N10=parametrage!$M$2,VALO_AMO!$AO$10,IF(N10=parametrage!$M$3,VALO_AMO!$AU$10,"à définir"))</f>
        <v>0</v>
      </c>
      <c r="AE10" s="40">
        <f>IFERROR(IF(OR($N10=parametrage!$M$2,$N10=parametrage!$M$3),VALO_AMO!$AD10*VALO_AMO!$M10*VALO_PERSO!AN$50/VALO_PERSO!$AP$50,0),0)</f>
        <v>0</v>
      </c>
      <c r="AF10" s="40"/>
      <c r="AG10" s="79">
        <f t="shared" si="7"/>
        <v>0</v>
      </c>
      <c r="AK10" s="552" t="s">
        <v>21</v>
      </c>
      <c r="AL10" s="553" t="s">
        <v>38</v>
      </c>
      <c r="AM10" s="56" t="s">
        <v>462</v>
      </c>
      <c r="AN10" s="86">
        <f>VALO_PERSO!AP50</f>
        <v>0</v>
      </c>
      <c r="AO10" s="551">
        <f>IFERROR(AN10/AN11,0)</f>
        <v>0</v>
      </c>
      <c r="AP10" s="57"/>
      <c r="AQ10" s="552" t="s">
        <v>463</v>
      </c>
      <c r="AR10" s="553" t="s">
        <v>38</v>
      </c>
      <c r="AS10" s="56" t="s">
        <v>462</v>
      </c>
      <c r="AT10" s="86">
        <f>VALO_PERSO!AP50</f>
        <v>0</v>
      </c>
      <c r="AU10" s="551">
        <f>IFERROR(AT10/AT11,0)</f>
        <v>0</v>
      </c>
      <c r="AV10" s="57"/>
    </row>
    <row r="11" spans="2:48" ht="15.75" x14ac:dyDescent="0.3">
      <c r="B11" s="49">
        <f t="shared" si="0"/>
        <v>0</v>
      </c>
      <c r="C11" s="59">
        <f t="shared" si="1"/>
        <v>0</v>
      </c>
      <c r="D11" s="71" t="b">
        <v>0</v>
      </c>
      <c r="E11" s="62"/>
      <c r="F11" s="62"/>
      <c r="G11" s="62">
        <v>47</v>
      </c>
      <c r="H11" s="62" t="str">
        <f>VLOOKUP(G11,'[4]Synthèse Amortissements 2025'!$B:$O,14,0)</f>
        <v>CO</v>
      </c>
      <c r="I11" s="62" t="s">
        <v>1114</v>
      </c>
      <c r="J11" s="286" t="s">
        <v>1115</v>
      </c>
      <c r="K11" s="62">
        <v>1338.13</v>
      </c>
      <c r="L11" s="62" t="s">
        <v>1066</v>
      </c>
      <c r="M11" s="62">
        <v>267.62600000000003</v>
      </c>
      <c r="N11" s="62" t="s">
        <v>21</v>
      </c>
      <c r="O11" s="92">
        <f t="shared" si="4"/>
        <v>0.78676026857458303</v>
      </c>
      <c r="P11" s="40">
        <f>VALO_AMO!$O11*VALO_AMO!$M11*VALO_PERSO!Y$50/VALO_PERSO!$AF$50</f>
        <v>27.129379097113357</v>
      </c>
      <c r="Q11" s="40">
        <f>VALO_AMO!$O11*VALO_AMO!$M11*VALO_PERSO!Z$50/VALO_PERSO!$AF$50</f>
        <v>103.91257568529336</v>
      </c>
      <c r="R11" s="40">
        <f>VALO_AMO!$O11*VALO_AMO!$M11*VALO_PERSO!AA$50/VALO_PERSO!$AF$50</f>
        <v>53.366648644167512</v>
      </c>
      <c r="S11" s="40">
        <f>VALO_AMO!$O11*VALO_AMO!$M11*VALO_PERSO!AB$50/VALO_PERSO!$AF$50</f>
        <v>9.5509806275288991</v>
      </c>
      <c r="T11" s="40">
        <f>VALO_AMO!$O11*VALO_AMO!$M11*VALO_PERSO!AC$50/VALO_PERSO!$AF$50</f>
        <v>13.274338228175017</v>
      </c>
      <c r="U11" s="40">
        <f>VALO_AMO!$O11*VALO_AMO!$M11*VALO_PERSO!AD$50/VALO_PERSO!$AF$50</f>
        <v>3.3235813552632263</v>
      </c>
      <c r="V11" s="40"/>
      <c r="W11" s="79">
        <f t="shared" si="5"/>
        <v>210.5575036375414</v>
      </c>
      <c r="X11" s="233"/>
      <c r="Y11" s="92">
        <f>IF(N11=parametrage!$M$2,VALO_AMO!$AO$7,IF(N11=parametrage!$M$3,VALO_AMO!$AU$7,"à définir"))</f>
        <v>0</v>
      </c>
      <c r="Z11" s="40">
        <f>IFERROR(IF(OR($N11=parametrage!$M$2,$N11=parametrage!$M$3),VALO_AMO!$Y11*VALO_AMO!$M11*VALO_PERSO!AI$16/VALO_PERSO!$AK$16,0),0)</f>
        <v>0</v>
      </c>
      <c r="AA11" s="40"/>
      <c r="AB11" s="79">
        <f t="shared" si="6"/>
        <v>0</v>
      </c>
      <c r="AC11" s="42">
        <f>VLOOKUP(G11,'Verif VS 24'!$A$51:$F$112,6,0)</f>
        <v>0.78712647472661024</v>
      </c>
      <c r="AD11" s="92">
        <f>IF(N11=parametrage!$M$2,VALO_AMO!$AO$10,IF(N11=parametrage!$M$3,VALO_AMO!$AU$10,"à définir"))</f>
        <v>0</v>
      </c>
      <c r="AE11" s="40">
        <f>IFERROR(IF(OR($N11=parametrage!$M$2,$N11=parametrage!$M$3),VALO_AMO!$AD11*VALO_AMO!$M11*VALO_PERSO!AN$50/VALO_PERSO!$AP$50,0),0)</f>
        <v>0</v>
      </c>
      <c r="AF11" s="40"/>
      <c r="AG11" s="79">
        <f t="shared" si="7"/>
        <v>0</v>
      </c>
      <c r="AK11" s="552"/>
      <c r="AL11" s="553"/>
      <c r="AM11" s="56" t="s">
        <v>464</v>
      </c>
      <c r="AN11" s="86">
        <f>VALO_PERSO!BM50</f>
        <v>0</v>
      </c>
      <c r="AO11" s="551"/>
      <c r="AP11" s="57"/>
      <c r="AQ11" s="552"/>
      <c r="AR11" s="553"/>
      <c r="AS11" s="56" t="s">
        <v>465</v>
      </c>
      <c r="AT11" s="90"/>
      <c r="AU11" s="551"/>
      <c r="AV11" s="57"/>
    </row>
    <row r="12" spans="2:48" ht="15.75" x14ac:dyDescent="0.3">
      <c r="B12" s="49">
        <f t="shared" si="0"/>
        <v>0</v>
      </c>
      <c r="C12" s="59">
        <f t="shared" si="1"/>
        <v>0</v>
      </c>
      <c r="D12" s="71" t="b">
        <v>0</v>
      </c>
      <c r="E12" s="62"/>
      <c r="F12" s="62"/>
      <c r="G12" s="62">
        <v>54</v>
      </c>
      <c r="H12" s="62" t="str">
        <f>VLOOKUP(G12,'[4]Synthèse Amortissements 2025'!$B:$O,14,0)</f>
        <v>RI</v>
      </c>
      <c r="I12" s="62" t="s">
        <v>1116</v>
      </c>
      <c r="J12" s="286" t="s">
        <v>1117</v>
      </c>
      <c r="K12" s="62">
        <v>665.84</v>
      </c>
      <c r="L12" s="62" t="s">
        <v>1066</v>
      </c>
      <c r="M12" s="62">
        <v>133.16800000000001</v>
      </c>
      <c r="N12" s="62" t="s">
        <v>21</v>
      </c>
      <c r="O12" s="92">
        <f t="shared" si="4"/>
        <v>0.78676026857458303</v>
      </c>
      <c r="P12" s="40">
        <f>VALO_AMO!$O12*VALO_AMO!$M12*VALO_PERSO!Y$50/VALO_PERSO!$AF$50</f>
        <v>13.499305581686349</v>
      </c>
      <c r="Q12" s="40">
        <f>VALO_AMO!$O12*VALO_AMO!$M12*VALO_PERSO!Z$50/VALO_PERSO!$AF$50</f>
        <v>51.705850249449405</v>
      </c>
      <c r="R12" s="40">
        <f>VALO_AMO!$O12*VALO_AMO!$M12*VALO_PERSO!AA$50/VALO_PERSO!$AF$50</f>
        <v>26.554706443493899</v>
      </c>
      <c r="S12" s="40">
        <f>VALO_AMO!$O12*VALO_AMO!$M12*VALO_PERSO!AB$50/VALO_PERSO!$AF$50</f>
        <v>4.752471688874655</v>
      </c>
      <c r="T12" s="40">
        <f>VALO_AMO!$O12*VALO_AMO!$M12*VALO_PERSO!AC$50/VALO_PERSO!$AF$50</f>
        <v>6.6051769004865388</v>
      </c>
      <c r="U12" s="40">
        <f>VALO_AMO!$O12*VALO_AMO!$M12*VALO_PERSO!AD$50/VALO_PERSO!$AF$50</f>
        <v>1.6537805815492266</v>
      </c>
      <c r="V12" s="40"/>
      <c r="W12" s="79">
        <f t="shared" si="5"/>
        <v>104.77129144554007</v>
      </c>
      <c r="X12" s="233"/>
      <c r="Y12" s="92">
        <f>IF(N12=parametrage!$M$2,VALO_AMO!$AO$7,IF(N12=parametrage!$M$3,VALO_AMO!$AU$7,"à définir"))</f>
        <v>0</v>
      </c>
      <c r="Z12" s="40">
        <f>IFERROR(IF(OR($N12=parametrage!$M$2,$N12=parametrage!$M$3),VALO_AMO!$Y12*VALO_AMO!$M12*VALO_PERSO!AI$16/VALO_PERSO!$AK$16,0),0)</f>
        <v>0</v>
      </c>
      <c r="AA12" s="40"/>
      <c r="AB12" s="79">
        <f t="shared" si="6"/>
        <v>0</v>
      </c>
      <c r="AC12" s="42">
        <f>VLOOKUP(G12,'Verif VS 24'!$A$51:$F$112,6,0)</f>
        <v>0.78712647472661024</v>
      </c>
      <c r="AD12" s="92">
        <f>IF(N12=parametrage!$M$2,VALO_AMO!$AO$10,IF(N12=parametrage!$M$3,VALO_AMO!$AU$10,"à définir"))</f>
        <v>0</v>
      </c>
      <c r="AE12" s="40">
        <f>IFERROR(IF(OR($N12=parametrage!$M$2,$N12=parametrage!$M$3),VALO_AMO!$AD12*VALO_AMO!$M12*VALO_PERSO!AN$50/VALO_PERSO!$AP$50,0),0)</f>
        <v>0</v>
      </c>
      <c r="AF12" s="40"/>
      <c r="AG12" s="79">
        <f t="shared" si="7"/>
        <v>0</v>
      </c>
      <c r="AK12" s="57"/>
      <c r="AL12" s="57"/>
      <c r="AM12" s="57"/>
      <c r="AN12" s="87"/>
      <c r="AO12" s="89"/>
      <c r="AP12" s="57"/>
      <c r="AQ12" s="57"/>
      <c r="AR12" s="57"/>
      <c r="AS12" s="57"/>
      <c r="AT12" s="87"/>
      <c r="AU12" s="89"/>
      <c r="AV12" s="57"/>
    </row>
    <row r="13" spans="2:48" ht="15.75" x14ac:dyDescent="0.3">
      <c r="B13" s="49">
        <f t="shared" si="0"/>
        <v>0</v>
      </c>
      <c r="C13" s="59">
        <f t="shared" si="1"/>
        <v>0</v>
      </c>
      <c r="D13" s="71" t="b">
        <v>0</v>
      </c>
      <c r="E13" s="62"/>
      <c r="F13" s="62"/>
      <c r="G13" s="62">
        <v>8</v>
      </c>
      <c r="H13" s="62" t="str">
        <f>VLOOKUP(G13,'[4]Synthèse Amortissements 2025'!$B:$O,14,0)</f>
        <v>DE</v>
      </c>
      <c r="I13" s="62" t="s">
        <v>1051</v>
      </c>
      <c r="J13" s="286" t="s">
        <v>1052</v>
      </c>
      <c r="K13" s="62">
        <v>8100.4</v>
      </c>
      <c r="L13" s="62" t="s">
        <v>1053</v>
      </c>
      <c r="M13" s="62">
        <v>810.04</v>
      </c>
      <c r="N13" s="62" t="s">
        <v>47</v>
      </c>
      <c r="O13" s="92">
        <v>1</v>
      </c>
      <c r="P13" s="40">
        <f>VALO_AMO!$O13*VALO_AMO!$M13*VALO_PERSO!Y$50/VALO_PERSO!$AF$50</f>
        <v>104.369979051687</v>
      </c>
      <c r="Q13" s="40">
        <f>VALO_AMO!$O13*VALO_AMO!$M13*VALO_PERSO!Z$50/VALO_PERSO!$AF$50</f>
        <v>399.7641563656311</v>
      </c>
      <c r="R13" s="40">
        <f>VALO_AMO!$O13*VALO_AMO!$M13*VALO_PERSO!AA$50/VALO_PERSO!$AF$50</f>
        <v>205.30790554079266</v>
      </c>
      <c r="S13" s="40">
        <f>VALO_AMO!$O13*VALO_AMO!$M13*VALO_PERSO!AB$50/VALO_PERSO!$AF$50</f>
        <v>36.743769345031772</v>
      </c>
      <c r="T13" s="40">
        <f>VALO_AMO!$O13*VALO_AMO!$M13*VALO_PERSO!AC$50/VALO_PERSO!$AF$50</f>
        <v>51.067973131277789</v>
      </c>
      <c r="U13" s="40">
        <f>VALO_AMO!$O13*VALO_AMO!$M13*VALO_PERSO!AD$50/VALO_PERSO!$AF$50</f>
        <v>12.786216565579627</v>
      </c>
      <c r="V13" s="40"/>
      <c r="W13" s="79">
        <f t="shared" si="5"/>
        <v>810.03999999999985</v>
      </c>
      <c r="X13" s="233"/>
      <c r="Y13" s="92" t="str">
        <f>IF(N13=parametrage!$M$2,VALO_AMO!$AO$7,IF(N13=parametrage!$M$3,VALO_AMO!$AU$7,"à définir"))</f>
        <v>à définir</v>
      </c>
      <c r="Z13" s="40">
        <f>IFERROR(IF(OR($N13=parametrage!$M$2,$N13=parametrage!$M$3),VALO_AMO!$Y13*VALO_AMO!$M13*VALO_PERSO!AI$16/VALO_PERSO!$AK$16,0),0)</f>
        <v>0</v>
      </c>
      <c r="AA13" s="40"/>
      <c r="AB13" s="79">
        <f t="shared" si="6"/>
        <v>0</v>
      </c>
      <c r="AC13" s="42">
        <f>VLOOKUP(G13,'Verif VS 24'!$A$51:$F$112,6,0)</f>
        <v>1</v>
      </c>
      <c r="AD13" s="92" t="str">
        <f>IF(N13=parametrage!$M$2,VALO_AMO!$AO$10,IF(N13=parametrage!$M$3,VALO_AMO!$AU$10,"à définir"))</f>
        <v>à définir</v>
      </c>
      <c r="AE13" s="40">
        <f>IFERROR(IF(OR($N13=parametrage!$M$2,$N13=parametrage!$M$3),VALO_AMO!$AD13*VALO_AMO!$M13*VALO_PERSO!AN$50/VALO_PERSO!$AP$50,0),0)</f>
        <v>0</v>
      </c>
      <c r="AF13" s="40"/>
      <c r="AG13" s="79">
        <f t="shared" si="7"/>
        <v>0</v>
      </c>
      <c r="AK13" s="57"/>
      <c r="AL13" s="57"/>
      <c r="AM13" s="57"/>
      <c r="AN13" s="87"/>
      <c r="AO13" s="89"/>
      <c r="AP13" s="57"/>
      <c r="AQ13" s="57"/>
      <c r="AR13" s="57"/>
      <c r="AS13" s="57"/>
      <c r="AT13" s="87"/>
      <c r="AU13" s="89"/>
      <c r="AV13" s="57"/>
    </row>
    <row r="14" spans="2:48" ht="15.75" x14ac:dyDescent="0.3">
      <c r="B14" s="49">
        <f t="shared" si="0"/>
        <v>0</v>
      </c>
      <c r="C14" s="59">
        <f t="shared" si="1"/>
        <v>0</v>
      </c>
      <c r="D14" s="71" t="b">
        <v>0</v>
      </c>
      <c r="E14" s="62"/>
      <c r="F14" s="62"/>
      <c r="G14" s="62">
        <v>9</v>
      </c>
      <c r="H14" s="62" t="str">
        <f>VLOOKUP(G14,'[4]Synthèse Amortissements 2025'!$B:$O,14,0)</f>
        <v>DE</v>
      </c>
      <c r="I14" s="62" t="s">
        <v>1054</v>
      </c>
      <c r="J14" s="286" t="s">
        <v>1055</v>
      </c>
      <c r="K14" s="62">
        <v>9908.3700000000008</v>
      </c>
      <c r="L14" s="62" t="s">
        <v>1053</v>
      </c>
      <c r="M14" s="62">
        <v>990.8370000000001</v>
      </c>
      <c r="N14" s="62" t="s">
        <v>47</v>
      </c>
      <c r="O14" s="492">
        <v>1</v>
      </c>
      <c r="P14" s="40">
        <f>VALO_AMO!$O14*VALO_AMO!$M14*VALO_PERSO!Y$50/VALO_PERSO!$AF$50</f>
        <v>127.6648522710439</v>
      </c>
      <c r="Q14" s="40">
        <f>VALO_AMO!$O14*VALO_AMO!$M14*VALO_PERSO!Z$50/VALO_PERSO!$AF$50</f>
        <v>488.98957755277871</v>
      </c>
      <c r="R14" s="40">
        <f>VALO_AMO!$O14*VALO_AMO!$M14*VALO_PERSO!AA$50/VALO_PERSO!$AF$50</f>
        <v>251.13163449005285</v>
      </c>
      <c r="S14" s="40">
        <f>VALO_AMO!$O14*VALO_AMO!$M14*VALO_PERSO!AB$50/VALO_PERSO!$AF$50</f>
        <v>44.944800487041697</v>
      </c>
      <c r="T14" s="40">
        <f>VALO_AMO!$O14*VALO_AMO!$M14*VALO_PERSO!AC$50/VALO_PERSO!$AF$50</f>
        <v>62.466097098261692</v>
      </c>
      <c r="U14" s="40">
        <f>VALO_AMO!$O14*VALO_AMO!$M14*VALO_PERSO!AD$50/VALO_PERSO!$AF$50</f>
        <v>15.64003810082122</v>
      </c>
      <c r="V14" s="40"/>
      <c r="W14" s="79">
        <f t="shared" si="5"/>
        <v>990.8370000000001</v>
      </c>
      <c r="X14" s="233"/>
      <c r="Y14" s="92" t="str">
        <f>IF(N14=parametrage!$M$2,VALO_AMO!$AO$7,IF(N14=parametrage!$M$3,VALO_AMO!$AU$7,"à définir"))</f>
        <v>à définir</v>
      </c>
      <c r="Z14" s="40">
        <f>IFERROR(IF(OR($N14=parametrage!$M$2,$N14=parametrage!$M$3),VALO_AMO!$Y14*VALO_AMO!$M14*VALO_PERSO!AI$16/VALO_PERSO!$AK$16,0),0)</f>
        <v>0</v>
      </c>
      <c r="AA14" s="40"/>
      <c r="AB14" s="79">
        <f t="shared" si="6"/>
        <v>0</v>
      </c>
      <c r="AC14" s="42">
        <f>VLOOKUP(G14,'Verif VS 24'!$A$51:$F$112,6,0)</f>
        <v>0.78712647472661024</v>
      </c>
      <c r="AD14" s="92" t="str">
        <f>IF(N14=parametrage!$M$2,VALO_AMO!$AO$10,IF(N14=parametrage!$M$3,VALO_AMO!$AU$10,"à définir"))</f>
        <v>à définir</v>
      </c>
      <c r="AE14" s="40">
        <f>IFERROR(IF(OR($N14=parametrage!$M$2,$N14=parametrage!$M$3),VALO_AMO!$AD14*VALO_AMO!$M14*VALO_PERSO!AN$50/VALO_PERSO!$AP$50,0),0)</f>
        <v>0</v>
      </c>
      <c r="AF14" s="40"/>
      <c r="AG14" s="79">
        <f t="shared" si="7"/>
        <v>0</v>
      </c>
      <c r="AK14" s="549" t="s">
        <v>53</v>
      </c>
      <c r="AL14" s="550" t="s">
        <v>59</v>
      </c>
      <c r="AM14" s="58" t="s">
        <v>60</v>
      </c>
      <c r="AN14" s="86">
        <v>0</v>
      </c>
      <c r="AO14" s="551">
        <f>IFERROR(AN14/AN15,0)</f>
        <v>0</v>
      </c>
      <c r="AP14" s="57"/>
      <c r="AQ14" s="57"/>
      <c r="AR14" s="57"/>
      <c r="AS14" s="57"/>
      <c r="AT14" s="87"/>
      <c r="AU14" s="89"/>
      <c r="AV14" s="57"/>
    </row>
    <row r="15" spans="2:48" ht="15.75" x14ac:dyDescent="0.3">
      <c r="B15" s="49">
        <f t="shared" si="0"/>
        <v>0</v>
      </c>
      <c r="C15" s="59">
        <f t="shared" si="1"/>
        <v>0</v>
      </c>
      <c r="D15" s="71" t="b">
        <v>0</v>
      </c>
      <c r="E15" s="62"/>
      <c r="F15" s="62"/>
      <c r="G15" s="62">
        <v>10</v>
      </c>
      <c r="H15" s="62" t="str">
        <f>VLOOKUP(G15,'[4]Synthèse Amortissements 2025'!$B:$O,14,0)</f>
        <v>DE</v>
      </c>
      <c r="I15" s="62" t="s">
        <v>1056</v>
      </c>
      <c r="J15" s="286" t="s">
        <v>1057</v>
      </c>
      <c r="K15" s="62">
        <v>569271.62</v>
      </c>
      <c r="L15" s="62" t="s">
        <v>1053</v>
      </c>
      <c r="M15" s="62">
        <v>56927.162000000004</v>
      </c>
      <c r="N15" s="62" t="s">
        <v>47</v>
      </c>
      <c r="O15" s="92">
        <v>1</v>
      </c>
      <c r="P15" s="40">
        <f>VALO_AMO!$O15*VALO_AMO!$M15*VALO_PERSO!Y$50/VALO_PERSO!$AF$50</f>
        <v>7334.8065594439677</v>
      </c>
      <c r="Q15" s="40">
        <f>VALO_AMO!$O15*VALO_AMO!$M15*VALO_PERSO!Z$50/VALO_PERSO!$AF$50</f>
        <v>28094.216200705661</v>
      </c>
      <c r="R15" s="40">
        <f>VALO_AMO!$O15*VALO_AMO!$M15*VALO_PERSO!AA$50/VALO_PERSO!$AF$50</f>
        <v>14428.418841787321</v>
      </c>
      <c r="S15" s="40">
        <f>VALO_AMO!$O15*VALO_AMO!$M15*VALO_PERSO!AB$50/VALO_PERSO!$AF$50</f>
        <v>2582.2410127836379</v>
      </c>
      <c r="T15" s="40">
        <f>VALO_AMO!$O15*VALO_AMO!$M15*VALO_PERSO!AC$50/VALO_PERSO!$AF$50</f>
        <v>3588.9027448717329</v>
      </c>
      <c r="U15" s="40">
        <f>VALO_AMO!$O15*VALO_AMO!$M15*VALO_PERSO!AD$50/VALO_PERSO!$AF$50</f>
        <v>898.57664040767747</v>
      </c>
      <c r="V15" s="40"/>
      <c r="W15" s="79">
        <f t="shared" si="5"/>
        <v>56927.162000000004</v>
      </c>
      <c r="X15" s="233"/>
      <c r="Y15" s="92" t="str">
        <f>IF(N15=parametrage!$M$2,VALO_AMO!$AO$7,IF(N15=parametrage!$M$3,VALO_AMO!$AU$7,"à définir"))</f>
        <v>à définir</v>
      </c>
      <c r="Z15" s="40">
        <f>IFERROR(IF(OR($N15=parametrage!$M$2,$N15=parametrage!$M$3),VALO_AMO!$Y15*VALO_AMO!$M15*VALO_PERSO!AI$16/VALO_PERSO!$AK$16,0),0)</f>
        <v>0</v>
      </c>
      <c r="AA15" s="40"/>
      <c r="AB15" s="79">
        <f t="shared" si="6"/>
        <v>0</v>
      </c>
      <c r="AC15" s="42">
        <f>VLOOKUP(G15,'Verif VS 24'!$A$51:$F$112,6,0)</f>
        <v>1</v>
      </c>
      <c r="AD15" s="92" t="str">
        <f>IF(N15=parametrage!$M$2,VALO_AMO!$AO$10,IF(N15=parametrage!$M$3,VALO_AMO!$AU$10,"à définir"))</f>
        <v>à définir</v>
      </c>
      <c r="AE15" s="40">
        <f>IFERROR(IF(OR($N15=parametrage!$M$2,$N15=parametrage!$M$3),VALO_AMO!$AD15*VALO_AMO!$M15*VALO_PERSO!AN$50/VALO_PERSO!$AP$50,0),0)</f>
        <v>0</v>
      </c>
      <c r="AF15" s="40"/>
      <c r="AG15" s="79">
        <f t="shared" si="7"/>
        <v>0</v>
      </c>
      <c r="AK15" s="549"/>
      <c r="AL15" s="550"/>
      <c r="AM15" s="58" t="s">
        <v>60</v>
      </c>
      <c r="AN15" s="86">
        <v>0</v>
      </c>
      <c r="AO15" s="551"/>
      <c r="AP15" s="57"/>
      <c r="AQ15" s="57"/>
      <c r="AR15" s="57"/>
      <c r="AS15" s="57"/>
      <c r="AT15" s="87"/>
      <c r="AU15" s="89"/>
      <c r="AV15" s="57"/>
    </row>
    <row r="16" spans="2:48" ht="15.75" x14ac:dyDescent="0.3">
      <c r="B16" s="49">
        <f t="shared" si="0"/>
        <v>0</v>
      </c>
      <c r="C16" s="59">
        <f t="shared" si="1"/>
        <v>0</v>
      </c>
      <c r="D16" s="71" t="b">
        <v>0</v>
      </c>
      <c r="E16" s="62"/>
      <c r="F16" s="62"/>
      <c r="G16" s="62">
        <v>32</v>
      </c>
      <c r="H16" s="62" t="str">
        <f>VLOOKUP(G16,'[4]Synthèse Amortissements 2025'!$B:$O,14,0)</f>
        <v>DE</v>
      </c>
      <c r="I16" s="62" t="s">
        <v>1048</v>
      </c>
      <c r="J16" s="286" t="s">
        <v>1049</v>
      </c>
      <c r="K16" s="62">
        <v>9698.5</v>
      </c>
      <c r="L16" s="62" t="s">
        <v>1050</v>
      </c>
      <c r="M16" s="62">
        <v>3232.5100499999999</v>
      </c>
      <c r="N16" s="62" t="s">
        <v>47</v>
      </c>
      <c r="O16" s="92">
        <v>1</v>
      </c>
      <c r="P16" s="40">
        <f>VALO_AMO!$O16*VALO_AMO!$M16*VALO_PERSO!Y$50/VALO_PERSO!$AF$50</f>
        <v>416.49425485515246</v>
      </c>
      <c r="Q16" s="40">
        <f>VALO_AMO!$O16*VALO_AMO!$M16*VALO_PERSO!Z$50/VALO_PERSO!$AF$50</f>
        <v>1595.281286210155</v>
      </c>
      <c r="R16" s="40">
        <f>VALO_AMO!$O16*VALO_AMO!$M16*VALO_PERSO!AA$50/VALO_PERSO!$AF$50</f>
        <v>819.29271147728855</v>
      </c>
      <c r="S16" s="40">
        <f>VALO_AMO!$O16*VALO_AMO!$M16*VALO_PERSO!AB$50/VALO_PERSO!$AF$50</f>
        <v>146.6280722960559</v>
      </c>
      <c r="T16" s="40">
        <f>VALO_AMO!$O16*VALO_AMO!$M16*VALO_PERSO!AC$50/VALO_PERSO!$AF$50</f>
        <v>203.78961085870506</v>
      </c>
      <c r="U16" s="40">
        <f>VALO_AMO!$O16*VALO_AMO!$M16*VALO_PERSO!AD$50/VALO_PERSO!$AF$50</f>
        <v>51.024114302642616</v>
      </c>
      <c r="V16" s="40"/>
      <c r="W16" s="79">
        <f t="shared" si="5"/>
        <v>3232.5100500000003</v>
      </c>
      <c r="X16" s="233"/>
      <c r="Y16" s="92" t="str">
        <f>IF(N16=parametrage!$M$2,VALO_AMO!$AO$7,IF(N16=parametrage!$M$3,VALO_AMO!$AU$7,"à définir"))</f>
        <v>à définir</v>
      </c>
      <c r="Z16" s="40">
        <f>IFERROR(IF(OR($N16=parametrage!$M$2,$N16=parametrage!$M$3),VALO_AMO!$Y16*VALO_AMO!$M16*VALO_PERSO!AI$16/VALO_PERSO!$AK$16,0),0)</f>
        <v>0</v>
      </c>
      <c r="AA16" s="40"/>
      <c r="AB16" s="79">
        <f t="shared" si="6"/>
        <v>0</v>
      </c>
      <c r="AC16" s="42" t="e">
        <f>VLOOKUP(G16,'Verif VS 24'!$A$51:$F$112,6,0)</f>
        <v>#N/A</v>
      </c>
      <c r="AD16" s="92" t="str">
        <f>IF(N16=parametrage!$M$2,VALO_AMO!$AO$10,IF(N16=parametrage!$M$3,VALO_AMO!$AU$10,"à définir"))</f>
        <v>à définir</v>
      </c>
      <c r="AE16" s="40">
        <f>IFERROR(IF(OR($N16=parametrage!$M$2,$N16=parametrage!$M$3),VALO_AMO!$AD16*VALO_AMO!$M16*VALO_PERSO!AN$50/VALO_PERSO!$AP$50,0),0)</f>
        <v>0</v>
      </c>
      <c r="AF16" s="40"/>
      <c r="AG16" s="79">
        <f t="shared" si="7"/>
        <v>0</v>
      </c>
    </row>
    <row r="17" spans="1:33" ht="15.75" x14ac:dyDescent="0.3">
      <c r="B17" s="49">
        <f t="shared" si="0"/>
        <v>0</v>
      </c>
      <c r="C17" s="59">
        <f t="shared" si="1"/>
        <v>0</v>
      </c>
      <c r="D17" s="71" t="b">
        <v>0</v>
      </c>
      <c r="E17" s="62"/>
      <c r="F17" s="62"/>
      <c r="G17" s="62">
        <v>33</v>
      </c>
      <c r="H17" s="62" t="str">
        <f>VLOOKUP(G17,'[4]Synthèse Amortissements 2025'!$B:$O,14,0)</f>
        <v>DE</v>
      </c>
      <c r="I17" s="62" t="s">
        <v>1058</v>
      </c>
      <c r="J17" s="286" t="s">
        <v>1059</v>
      </c>
      <c r="K17" s="62">
        <v>2503</v>
      </c>
      <c r="L17" s="62" t="s">
        <v>1060</v>
      </c>
      <c r="M17" s="62">
        <v>278.08330000000001</v>
      </c>
      <c r="N17" s="62" t="s">
        <v>47</v>
      </c>
      <c r="O17" s="92">
        <v>1</v>
      </c>
      <c r="P17" s="40">
        <f>VALO_AMO!$O17*VALO_AMO!$M17*VALO_PERSO!Y$50/VALO_PERSO!$AF$50</f>
        <v>35.829771610814269</v>
      </c>
      <c r="Q17" s="40">
        <f>VALO_AMO!$O17*VALO_AMO!$M17*VALO_PERSO!Z$50/VALO_PERSO!$AF$50</f>
        <v>137.23734114842566</v>
      </c>
      <c r="R17" s="40">
        <f>VALO_AMO!$O17*VALO_AMO!$M17*VALO_PERSO!AA$50/VALO_PERSO!$AF$50</f>
        <v>70.481334117910123</v>
      </c>
      <c r="S17" s="40">
        <f>VALO_AMO!$O17*VALO_AMO!$M17*VALO_PERSO!AB$50/VALO_PERSO!$AF$50</f>
        <v>12.613980339125568</v>
      </c>
      <c r="T17" s="40">
        <f>VALO_AMO!$O17*VALO_AMO!$M17*VALO_PERSO!AC$50/VALO_PERSO!$AF$50</f>
        <v>17.531418809758858</v>
      </c>
      <c r="U17" s="40">
        <f>VALO_AMO!$O17*VALO_AMO!$M17*VALO_PERSO!AD$50/VALO_PERSO!$AF$50</f>
        <v>4.3894539739655443</v>
      </c>
      <c r="V17" s="40"/>
      <c r="W17" s="79">
        <f t="shared" si="5"/>
        <v>278.08330000000007</v>
      </c>
      <c r="X17" s="233"/>
      <c r="Y17" s="92" t="str">
        <f>IF(N17=parametrage!$M$2,VALO_AMO!$AO$7,IF(N17=parametrage!$M$3,VALO_AMO!$AU$7,"à définir"))</f>
        <v>à définir</v>
      </c>
      <c r="Z17" s="40">
        <f>IFERROR(IF(OR($N17=parametrage!$M$2,$N17=parametrage!$M$3),VALO_AMO!$Y17*VALO_AMO!$M17*VALO_PERSO!AI$16/VALO_PERSO!$AK$16,0),0)</f>
        <v>0</v>
      </c>
      <c r="AA17" s="40"/>
      <c r="AB17" s="79">
        <f t="shared" si="6"/>
        <v>0</v>
      </c>
      <c r="AC17" s="42">
        <f>VLOOKUP(G17,'Verif VS 24'!$A$51:$F$112,6,0)</f>
        <v>1</v>
      </c>
      <c r="AD17" s="92" t="str">
        <f>IF(N17=parametrage!$M$2,VALO_AMO!$AO$10,IF(N17=parametrage!$M$3,VALO_AMO!$AU$10,"à définir"))</f>
        <v>à définir</v>
      </c>
      <c r="AE17" s="40">
        <f>IFERROR(IF(OR($N17=parametrage!$M$2,$N17=parametrage!$M$3),VALO_AMO!$AD17*VALO_AMO!$M17*VALO_PERSO!AN$50/VALO_PERSO!$AP$50,0),0)</f>
        <v>0</v>
      </c>
      <c r="AF17" s="40"/>
      <c r="AG17" s="79">
        <f t="shared" si="7"/>
        <v>0</v>
      </c>
    </row>
    <row r="18" spans="1:33" ht="15.75" x14ac:dyDescent="0.3">
      <c r="B18" s="49">
        <f t="shared" si="0"/>
        <v>0</v>
      </c>
      <c r="C18" s="59">
        <f t="shared" si="1"/>
        <v>0</v>
      </c>
      <c r="D18" s="71" t="b">
        <v>0</v>
      </c>
      <c r="E18" s="62"/>
      <c r="F18" s="62"/>
      <c r="G18" s="62">
        <v>44</v>
      </c>
      <c r="H18" s="62" t="str">
        <f>VLOOKUP(G18,'[4]Synthèse Amortissements 2025'!$B:$O,14,0)</f>
        <v>DE</v>
      </c>
      <c r="I18" s="62" t="s">
        <v>1061</v>
      </c>
      <c r="J18" s="286" t="s">
        <v>1062</v>
      </c>
      <c r="K18" s="62">
        <v>580763</v>
      </c>
      <c r="L18" s="62" t="s">
        <v>1053</v>
      </c>
      <c r="M18" s="62">
        <v>58076.3</v>
      </c>
      <c r="N18" s="62" t="s">
        <v>47</v>
      </c>
      <c r="O18" s="92">
        <v>1</v>
      </c>
      <c r="P18" s="40">
        <f>VALO_AMO!$O18*VALO_AMO!$M18*VALO_PERSO!Y$50/VALO_PERSO!$AF$50</f>
        <v>7482.8677773930785</v>
      </c>
      <c r="Q18" s="40">
        <f>VALO_AMO!$O18*VALO_AMO!$M18*VALO_PERSO!Z$50/VALO_PERSO!$AF$50</f>
        <v>28661.329161939295</v>
      </c>
      <c r="R18" s="40">
        <f>VALO_AMO!$O18*VALO_AMO!$M18*VALO_PERSO!AA$50/VALO_PERSO!$AF$50</f>
        <v>14719.672503282229</v>
      </c>
      <c r="S18" s="40">
        <f>VALO_AMO!$O18*VALO_AMO!$M18*VALO_PERSO!AB$50/VALO_PERSO!$AF$50</f>
        <v>2634.3664159953446</v>
      </c>
      <c r="T18" s="40">
        <f>VALO_AMO!$O18*VALO_AMO!$M18*VALO_PERSO!AC$50/VALO_PERSO!$AF$50</f>
        <v>3661.3487333514749</v>
      </c>
      <c r="U18" s="40">
        <f>VALO_AMO!$O18*VALO_AMO!$M18*VALO_PERSO!AD$50/VALO_PERSO!$AF$50</f>
        <v>916.7154080385809</v>
      </c>
      <c r="V18" s="40"/>
      <c r="W18" s="79">
        <f t="shared" si="5"/>
        <v>58076.3</v>
      </c>
      <c r="X18" s="233"/>
      <c r="Y18" s="92" t="str">
        <f>IF(N18=parametrage!$M$2,VALO_AMO!$AO$7,IF(N18=parametrage!$M$3,VALO_AMO!$AU$7,"à définir"))</f>
        <v>à définir</v>
      </c>
      <c r="Z18" s="40">
        <f>IFERROR(IF(OR($N18=parametrage!$M$2,$N18=parametrage!$M$3),VALO_AMO!$Y18*VALO_AMO!$M18*VALO_PERSO!AI$16/VALO_PERSO!$AK$16,0),0)</f>
        <v>0</v>
      </c>
      <c r="AA18" s="40"/>
      <c r="AB18" s="79">
        <f t="shared" si="6"/>
        <v>0</v>
      </c>
      <c r="AC18" s="42">
        <f>VLOOKUP(G18,'Verif VS 24'!$A$51:$F$112,6,0)</f>
        <v>1</v>
      </c>
      <c r="AD18" s="92" t="str">
        <f>IF(N18=parametrage!$M$2,VALO_AMO!$AO$10,IF(N18=parametrage!$M$3,VALO_AMO!$AU$10,"à définir"))</f>
        <v>à définir</v>
      </c>
      <c r="AE18" s="40">
        <f>IFERROR(IF(OR($N18=parametrage!$M$2,$N18=parametrage!$M$3),VALO_AMO!$AD18*VALO_AMO!$M18*VALO_PERSO!AN$50/VALO_PERSO!$AP$50,0),0)</f>
        <v>0</v>
      </c>
      <c r="AF18" s="40"/>
      <c r="AG18" s="79">
        <f t="shared" si="7"/>
        <v>0</v>
      </c>
    </row>
    <row r="19" spans="1:33" ht="15.75" x14ac:dyDescent="0.3">
      <c r="B19" s="49">
        <f t="shared" si="0"/>
        <v>0</v>
      </c>
      <c r="C19" s="59">
        <f t="shared" si="1"/>
        <v>0</v>
      </c>
      <c r="D19" s="71" t="b">
        <v>0</v>
      </c>
      <c r="E19" s="62"/>
      <c r="F19" s="62"/>
      <c r="G19" s="62">
        <v>45</v>
      </c>
      <c r="H19" s="62" t="str">
        <f>VLOOKUP(G19,'[4]Synthèse Amortissements 2025'!$B:$O,14,0)</f>
        <v>DE</v>
      </c>
      <c r="I19" s="62" t="s">
        <v>1063</v>
      </c>
      <c r="J19" s="286" t="s">
        <v>1062</v>
      </c>
      <c r="K19" s="62">
        <v>33218</v>
      </c>
      <c r="L19" s="62" t="s">
        <v>1053</v>
      </c>
      <c r="M19" s="62">
        <v>3321.8</v>
      </c>
      <c r="N19" s="62" t="s">
        <v>47</v>
      </c>
      <c r="O19" s="92">
        <v>1</v>
      </c>
      <c r="P19" s="40">
        <f>VALO_AMO!$O19*VALO_AMO!$M19*VALO_PERSO!Y$50/VALO_PERSO!$AF$50</f>
        <v>427.99885982654422</v>
      </c>
      <c r="Q19" s="40">
        <f>VALO_AMO!$O19*VALO_AMO!$M19*VALO_PERSO!Z$50/VALO_PERSO!$AF$50</f>
        <v>1639.3469144923133</v>
      </c>
      <c r="R19" s="40">
        <f>VALO_AMO!$O19*VALO_AMO!$M19*VALO_PERSO!AA$50/VALO_PERSO!$AF$50</f>
        <v>841.92360948274779</v>
      </c>
      <c r="S19" s="40">
        <f>VALO_AMO!$O19*VALO_AMO!$M19*VALO_PERSO!AB$50/VALO_PERSO!$AF$50</f>
        <v>150.67830355331412</v>
      </c>
      <c r="T19" s="40">
        <f>VALO_AMO!$O19*VALO_AMO!$M19*VALO_PERSO!AC$50/VALO_PERSO!$AF$50</f>
        <v>209.41878567413784</v>
      </c>
      <c r="U19" s="40">
        <f>VALO_AMO!$O19*VALO_AMO!$M19*VALO_PERSO!AD$50/VALO_PERSO!$AF$50</f>
        <v>52.433526970942687</v>
      </c>
      <c r="V19" s="40"/>
      <c r="W19" s="79">
        <f t="shared" si="5"/>
        <v>3321.7999999999997</v>
      </c>
      <c r="X19" s="233"/>
      <c r="Y19" s="92" t="str">
        <f>IF(N19=parametrage!$M$2,VALO_AMO!$AO$7,IF(N19=parametrage!$M$3,VALO_AMO!$AU$7,"à définir"))</f>
        <v>à définir</v>
      </c>
      <c r="Z19" s="40">
        <f>IFERROR(IF(OR($N19=parametrage!$M$2,$N19=parametrage!$M$3),VALO_AMO!$Y19*VALO_AMO!$M19*VALO_PERSO!AI$16/VALO_PERSO!$AK$16,0),0)</f>
        <v>0</v>
      </c>
      <c r="AA19" s="40"/>
      <c r="AB19" s="79">
        <f t="shared" si="6"/>
        <v>0</v>
      </c>
      <c r="AC19" s="42">
        <f>VLOOKUP(G19,'Verif VS 24'!$A$51:$F$112,6,0)</f>
        <v>1</v>
      </c>
      <c r="AD19" s="92" t="str">
        <f>IF(N19=parametrage!$M$2,VALO_AMO!$AO$10,IF(N19=parametrage!$M$3,VALO_AMO!$AU$10,"à définir"))</f>
        <v>à définir</v>
      </c>
      <c r="AE19" s="40">
        <f>IFERROR(IF(OR($N19=parametrage!$M$2,$N19=parametrage!$M$3),VALO_AMO!$AD19*VALO_AMO!$M19*VALO_PERSO!AN$50/VALO_PERSO!$AP$50,0),0)</f>
        <v>0</v>
      </c>
      <c r="AF19" s="40"/>
      <c r="AG19" s="79">
        <f t="shared" si="7"/>
        <v>0</v>
      </c>
    </row>
    <row r="20" spans="1:33" ht="15.75" x14ac:dyDescent="0.3">
      <c r="A20" s="42" t="s">
        <v>863</v>
      </c>
      <c r="B20" s="49">
        <f t="shared" si="0"/>
        <v>0</v>
      </c>
      <c r="C20" s="59">
        <f t="shared" si="1"/>
        <v>0</v>
      </c>
      <c r="D20" s="71" t="b">
        <v>0</v>
      </c>
      <c r="E20" s="62"/>
      <c r="F20" s="62"/>
      <c r="G20" s="62">
        <v>48</v>
      </c>
      <c r="H20" s="62" t="str">
        <f>VLOOKUP(G20,'[4]Synthèse Amortissements 2025'!$B:$O,14,0)</f>
        <v>RI</v>
      </c>
      <c r="I20" s="62" t="s">
        <v>1118</v>
      </c>
      <c r="J20" s="286" t="s">
        <v>1119</v>
      </c>
      <c r="K20" s="62">
        <v>3775.05</v>
      </c>
      <c r="L20" s="62" t="s">
        <v>1053</v>
      </c>
      <c r="M20" s="62">
        <v>377.505</v>
      </c>
      <c r="N20" s="62" t="s">
        <v>47</v>
      </c>
      <c r="O20" s="492">
        <v>1</v>
      </c>
      <c r="P20" s="40">
        <f>VALO_AMO!$O20*VALO_AMO!$M20*VALO_PERSO!Y$50/VALO_PERSO!$AF$50</f>
        <v>48.639806604497437</v>
      </c>
      <c r="Q20" s="40">
        <f>VALO_AMO!$O20*VALO_AMO!$M20*VALO_PERSO!Z$50/VALO_PERSO!$AF$50</f>
        <v>186.30310583280772</v>
      </c>
      <c r="R20" s="40">
        <f>VALO_AMO!$O20*VALO_AMO!$M20*VALO_PERSO!AA$50/VALO_PERSO!$AF$50</f>
        <v>95.680165030340376</v>
      </c>
      <c r="S20" s="40">
        <f>VALO_AMO!$O20*VALO_AMO!$M20*VALO_PERSO!AB$50/VALO_PERSO!$AF$50</f>
        <v>17.123792215935289</v>
      </c>
      <c r="T20" s="40">
        <f>VALO_AMO!$O20*VALO_AMO!$M20*VALO_PERSO!AC$50/VALO_PERSO!$AF$50</f>
        <v>23.799337312877171</v>
      </c>
      <c r="U20" s="40">
        <f>VALO_AMO!$O20*VALO_AMO!$M20*VALO_PERSO!AD$50/VALO_PERSO!$AF$50</f>
        <v>5.9587930035419694</v>
      </c>
      <c r="V20" s="40"/>
      <c r="W20" s="79">
        <f t="shared" si="5"/>
        <v>377.505</v>
      </c>
      <c r="X20" s="233"/>
      <c r="Y20" s="92" t="str">
        <f>IF(N20=parametrage!$M$2,VALO_AMO!$AO$7,IF(N20=parametrage!$M$3,VALO_AMO!$AU$7,"à définir"))</f>
        <v>à définir</v>
      </c>
      <c r="Z20" s="40">
        <f>IFERROR(IF(OR($N20=parametrage!$M$2,$N20=parametrage!$M$3),VALO_AMO!$Y20*VALO_AMO!$M20*VALO_PERSO!AI$16/VALO_PERSO!$AK$16,0),0)</f>
        <v>0</v>
      </c>
      <c r="AA20" s="40"/>
      <c r="AB20" s="79">
        <f t="shared" si="6"/>
        <v>0</v>
      </c>
      <c r="AC20" s="42">
        <f>VLOOKUP(G20,'Verif VS 24'!$A$51:$F$112,6,0)</f>
        <v>0.78712647472661024</v>
      </c>
      <c r="AD20" s="92" t="str">
        <f>IF(N20=parametrage!$M$2,VALO_AMO!$AO$10,IF(N20=parametrage!$M$3,VALO_AMO!$AU$10,"à définir"))</f>
        <v>à définir</v>
      </c>
      <c r="AE20" s="40">
        <f>IFERROR(IF(OR($N20=parametrage!$M$2,$N20=parametrage!$M$3),VALO_AMO!$AD20*VALO_AMO!$M20*VALO_PERSO!AN$50/VALO_PERSO!$AP$50,0),0)</f>
        <v>0</v>
      </c>
      <c r="AF20" s="40"/>
      <c r="AG20" s="79">
        <f t="shared" si="7"/>
        <v>0</v>
      </c>
    </row>
    <row r="21" spans="1:33" ht="15.75" x14ac:dyDescent="0.3">
      <c r="C21" s="59"/>
      <c r="D21" s="71" t="b">
        <v>0</v>
      </c>
      <c r="E21" s="62"/>
      <c r="F21" s="62"/>
      <c r="G21" s="62">
        <v>49</v>
      </c>
      <c r="H21" s="62" t="str">
        <f>VLOOKUP(G21,'[4]Synthèse Amortissements 2025'!$B:$O,14,0)</f>
        <v>DE</v>
      </c>
      <c r="I21" s="62" t="s">
        <v>1120</v>
      </c>
      <c r="J21" s="286" t="s">
        <v>1119</v>
      </c>
      <c r="K21" s="62">
        <v>1745</v>
      </c>
      <c r="L21" s="62" t="s">
        <v>1053</v>
      </c>
      <c r="M21" s="62">
        <v>174.5</v>
      </c>
      <c r="N21" s="62" t="s">
        <v>47</v>
      </c>
      <c r="O21" s="92">
        <v>1</v>
      </c>
      <c r="P21" s="40">
        <f>VALO_AMO!$O21*VALO_AMO!$M21*VALO_PERSO!Y$50/VALO_PERSO!$AF$50</f>
        <v>22.483533337266529</v>
      </c>
      <c r="Q21" s="40">
        <f>VALO_AMO!$O21*VALO_AMO!$M21*VALO_PERSO!Z$50/VALO_PERSO!$AF$50</f>
        <v>86.117778487238439</v>
      </c>
      <c r="R21" s="40">
        <f>VALO_AMO!$O21*VALO_AMO!$M21*VALO_PERSO!AA$50/VALO_PERSO!$AF$50</f>
        <v>44.227728898410348</v>
      </c>
      <c r="S21" s="40">
        <f>VALO_AMO!$O21*VALO_AMO!$M21*VALO_PERSO!AB$50/VALO_PERSO!$AF$50</f>
        <v>7.9153964627772027</v>
      </c>
      <c r="T21" s="40">
        <f>VALO_AMO!$O21*VALO_AMO!$M21*VALO_PERSO!AC$50/VALO_PERSO!$AF$50</f>
        <v>11.001137365325139</v>
      </c>
      <c r="U21" s="40">
        <f>VALO_AMO!$O21*VALO_AMO!$M21*VALO_PERSO!AD$50/VALO_PERSO!$AF$50</f>
        <v>2.7544254489823277</v>
      </c>
      <c r="V21" s="40"/>
      <c r="W21" s="79">
        <f t="shared" si="5"/>
        <v>174.49999999999997</v>
      </c>
      <c r="X21" s="233"/>
      <c r="Y21" s="92" t="str">
        <f>IF(N21=parametrage!$M$2,VALO_AMO!$AO$7,IF(N21=parametrage!$M$3,VALO_AMO!$AU$7,"à définir"))</f>
        <v>à définir</v>
      </c>
      <c r="Z21" s="40">
        <f>IFERROR(IF(OR($N21=parametrage!$M$2,$N21=parametrage!$M$3),VALO_AMO!$Y21*VALO_AMO!$M21*VALO_PERSO!AI$16/VALO_PERSO!$AK$16,0),0)</f>
        <v>0</v>
      </c>
      <c r="AA21" s="40"/>
      <c r="AB21" s="79">
        <f t="shared" si="6"/>
        <v>0</v>
      </c>
      <c r="AC21" s="42">
        <f>VLOOKUP(G21,'Verif VS 24'!$A$51:$F$112,6,0)</f>
        <v>1</v>
      </c>
      <c r="AD21" s="92"/>
      <c r="AE21" s="40"/>
      <c r="AF21" s="40"/>
      <c r="AG21" s="79"/>
    </row>
    <row r="22" spans="1:33" ht="15.75" x14ac:dyDescent="0.3">
      <c r="C22" s="59"/>
      <c r="D22" s="71" t="b">
        <v>0</v>
      </c>
      <c r="E22" s="62"/>
      <c r="F22" s="62"/>
      <c r="G22" s="62">
        <v>50</v>
      </c>
      <c r="H22" s="62" t="str">
        <f>VLOOKUP(G22,'[4]Synthèse Amortissements 2025'!$B:$O,14,0)</f>
        <v>RI</v>
      </c>
      <c r="I22" s="62" t="s">
        <v>1121</v>
      </c>
      <c r="J22" s="286" t="s">
        <v>1119</v>
      </c>
      <c r="K22" s="62">
        <v>9325.5400000000009</v>
      </c>
      <c r="L22" s="62" t="s">
        <v>1053</v>
      </c>
      <c r="M22" s="62">
        <v>932.55400000000009</v>
      </c>
      <c r="N22" s="62" t="s">
        <v>47</v>
      </c>
      <c r="O22" s="92">
        <v>1</v>
      </c>
      <c r="P22" s="40">
        <f>VALO_AMO!$O22*VALO_AMO!$M22*VALO_PERSO!Y$50/VALO_PERSO!$AF$50</f>
        <v>120.15535213639687</v>
      </c>
      <c r="Q22" s="40">
        <f>VALO_AMO!$O22*VALO_AMO!$M22*VALO_PERSO!Z$50/VALO_PERSO!$AF$50</f>
        <v>460.22623953804111</v>
      </c>
      <c r="R22" s="40">
        <f>VALO_AMO!$O22*VALO_AMO!$M22*VALO_PERSO!AA$50/VALO_PERSO!$AF$50</f>
        <v>236.35957303798375</v>
      </c>
      <c r="S22" s="40">
        <f>VALO_AMO!$O22*VALO_AMO!$M22*VALO_PERSO!AB$50/VALO_PERSO!$AF$50</f>
        <v>42.301058068474106</v>
      </c>
      <c r="T22" s="40">
        <f>VALO_AMO!$O22*VALO_AMO!$M22*VALO_PERSO!AC$50/VALO_PERSO!$AF$50</f>
        <v>58.7917172182431</v>
      </c>
      <c r="U22" s="40">
        <f>VALO_AMO!$O22*VALO_AMO!$M22*VALO_PERSO!AD$50/VALO_PERSO!$AF$50</f>
        <v>14.720060000861125</v>
      </c>
      <c r="V22" s="40"/>
      <c r="W22" s="79">
        <f t="shared" si="5"/>
        <v>932.55400000000009</v>
      </c>
      <c r="X22" s="233"/>
      <c r="Y22" s="92" t="str">
        <f>IF(N22=parametrage!$M$2,VALO_AMO!$AO$7,IF(N22=parametrage!$M$3,VALO_AMO!$AU$7,"à définir"))</f>
        <v>à définir</v>
      </c>
      <c r="Z22" s="40">
        <f>IFERROR(IF(OR($N22=parametrage!$M$2,$N22=parametrage!$M$3),VALO_AMO!$Y22*VALO_AMO!$M22*VALO_PERSO!AI$16/VALO_PERSO!$AK$16,0),0)</f>
        <v>0</v>
      </c>
      <c r="AA22" s="40"/>
      <c r="AB22" s="79">
        <f t="shared" si="6"/>
        <v>0</v>
      </c>
      <c r="AC22" s="42">
        <f>VLOOKUP(G22,'Verif VS 24'!$A$51:$F$112,6,0)</f>
        <v>1</v>
      </c>
      <c r="AD22" s="92"/>
      <c r="AE22" s="40"/>
      <c r="AF22" s="40"/>
      <c r="AG22" s="79"/>
    </row>
    <row r="23" spans="1:33" ht="15.75" x14ac:dyDescent="0.3">
      <c r="C23" s="59"/>
      <c r="D23" s="71" t="b">
        <v>0</v>
      </c>
      <c r="E23" s="62"/>
      <c r="F23" s="62"/>
      <c r="G23" s="62">
        <v>51</v>
      </c>
      <c r="H23" s="62" t="str">
        <f>VLOOKUP(G23,'[4]Synthèse Amortissements 2025'!$B:$O,14,0)</f>
        <v>RI</v>
      </c>
      <c r="I23" s="62" t="s">
        <v>1122</v>
      </c>
      <c r="J23" s="286" t="s">
        <v>1119</v>
      </c>
      <c r="K23" s="62">
        <v>38582.97</v>
      </c>
      <c r="L23" s="62" t="s">
        <v>1053</v>
      </c>
      <c r="M23" s="62">
        <v>3858.297</v>
      </c>
      <c r="N23" s="62" t="s">
        <v>47</v>
      </c>
      <c r="O23" s="92">
        <v>1</v>
      </c>
      <c r="P23" s="40">
        <f>VALO_AMO!$O23*VALO_AMO!$M23*VALO_PERSO!Y$50/VALO_PERSO!$AF$50</f>
        <v>497.1240643242146</v>
      </c>
      <c r="Q23" s="40">
        <f>VALO_AMO!$O23*VALO_AMO!$M23*VALO_PERSO!Z$50/VALO_PERSO!$AF$50</f>
        <v>1904.1144205385478</v>
      </c>
      <c r="R23" s="40">
        <f>VALO_AMO!$O23*VALO_AMO!$M23*VALO_PERSO!AA$50/VALO_PERSO!$AF$50</f>
        <v>977.90093825530062</v>
      </c>
      <c r="S23" s="40">
        <f>VALO_AMO!$O23*VALO_AMO!$M23*VALO_PERSO!AB$50/VALO_PERSO!$AF$50</f>
        <v>175.01404255669851</v>
      </c>
      <c r="T23" s="40">
        <f>VALO_AMO!$O23*VALO_AMO!$M23*VALO_PERSO!AC$50/VALO_PERSO!$AF$50</f>
        <v>243.24157761158673</v>
      </c>
      <c r="U23" s="40">
        <f>VALO_AMO!$O23*VALO_AMO!$M23*VALO_PERSO!AD$50/VALO_PERSO!$AF$50</f>
        <v>60.901956713651394</v>
      </c>
      <c r="V23" s="40"/>
      <c r="W23" s="79">
        <f t="shared" si="5"/>
        <v>3858.2969999999996</v>
      </c>
      <c r="X23" s="233"/>
      <c r="Y23" s="92" t="str">
        <f>IF(N23=parametrage!$M$2,VALO_AMO!$AO$7,IF(N23=parametrage!$M$3,VALO_AMO!$AU$7,"à définir"))</f>
        <v>à définir</v>
      </c>
      <c r="Z23" s="40">
        <f>IFERROR(IF(OR($N23=parametrage!$M$2,$N23=parametrage!$M$3),VALO_AMO!$Y23*VALO_AMO!$M23*VALO_PERSO!AI$16/VALO_PERSO!$AK$16,0),0)</f>
        <v>0</v>
      </c>
      <c r="AA23" s="40"/>
      <c r="AB23" s="79">
        <f t="shared" si="6"/>
        <v>0</v>
      </c>
      <c r="AC23" s="42">
        <f>VLOOKUP(G23,'Verif VS 24'!$A$51:$F$112,6,0)</f>
        <v>1</v>
      </c>
      <c r="AD23" s="92"/>
      <c r="AE23" s="40"/>
      <c r="AF23" s="40"/>
      <c r="AG23" s="79"/>
    </row>
    <row r="24" spans="1:33" ht="15.75" x14ac:dyDescent="0.3">
      <c r="C24" s="59"/>
      <c r="D24" s="71" t="b">
        <v>0</v>
      </c>
      <c r="E24" s="62"/>
      <c r="F24" s="62"/>
      <c r="G24" s="62">
        <v>53</v>
      </c>
      <c r="H24" s="62" t="str">
        <f>VLOOKUP(G24,'[4]Synthèse Amortissements 2025'!$B:$O,14,0)</f>
        <v>DE</v>
      </c>
      <c r="I24" s="62" t="s">
        <v>1064</v>
      </c>
      <c r="J24" s="286" t="s">
        <v>1065</v>
      </c>
      <c r="K24" s="62">
        <v>569.25</v>
      </c>
      <c r="L24" s="62" t="s">
        <v>1066</v>
      </c>
      <c r="M24" s="62">
        <v>113.85</v>
      </c>
      <c r="N24" s="62" t="s">
        <v>47</v>
      </c>
      <c r="O24" s="92">
        <v>1</v>
      </c>
      <c r="P24" s="40">
        <f>VALO_AMO!$O24*VALO_AMO!$M24*VALO_PERSO!Y$50/VALO_PERSO!$AF$50</f>
        <v>14.669055991104837</v>
      </c>
      <c r="Q24" s="40">
        <f>VALO_AMO!$O24*VALO_AMO!$M24*VALO_PERSO!Z$50/VALO_PERSO!$AF$50</f>
        <v>56.186298457146684</v>
      </c>
      <c r="R24" s="40">
        <f>VALO_AMO!$O24*VALO_AMO!$M24*VALO_PERSO!AA$50/VALO_PERSO!$AF$50</f>
        <v>28.855741748332477</v>
      </c>
      <c r="S24" s="40">
        <f>VALO_AMO!$O24*VALO_AMO!$M24*VALO_PERSO!AB$50/VALO_PERSO!$AF$50</f>
        <v>5.1642858870325759</v>
      </c>
      <c r="T24" s="40">
        <f>VALO_AMO!$O24*VALO_AMO!$M24*VALO_PERSO!AC$50/VALO_PERSO!$AF$50</f>
        <v>7.1775328884943663</v>
      </c>
      <c r="U24" s="40">
        <f>VALO_AMO!$O24*VALO_AMO!$M24*VALO_PERSO!AD$50/VALO_PERSO!$AF$50</f>
        <v>1.7970850278890431</v>
      </c>
      <c r="V24" s="40"/>
      <c r="W24" s="79">
        <f t="shared" si="5"/>
        <v>113.84999999999998</v>
      </c>
      <c r="X24" s="233"/>
      <c r="Y24" s="92" t="str">
        <f>IF(N24=parametrage!$M$2,VALO_AMO!$AO$7,IF(N24=parametrage!$M$3,VALO_AMO!$AU$7,"à définir"))</f>
        <v>à définir</v>
      </c>
      <c r="Z24" s="40">
        <f>IFERROR(IF(OR($N24=parametrage!$M$2,$N24=parametrage!$M$3),VALO_AMO!$Y24*VALO_AMO!$M24*VALO_PERSO!AI$16/VALO_PERSO!$AK$16,0),0)</f>
        <v>0</v>
      </c>
      <c r="AA24" s="40"/>
      <c r="AB24" s="79">
        <f t="shared" si="6"/>
        <v>0</v>
      </c>
      <c r="AC24" s="42">
        <f>VLOOKUP(G24,'Verif VS 24'!$A$51:$F$112,6,0)</f>
        <v>1</v>
      </c>
      <c r="AD24" s="92"/>
      <c r="AE24" s="40"/>
      <c r="AF24" s="40"/>
      <c r="AG24" s="79"/>
    </row>
    <row r="25" spans="1:33" ht="15.75" x14ac:dyDescent="0.3">
      <c r="C25" s="59"/>
      <c r="D25" s="71" t="b">
        <v>0</v>
      </c>
      <c r="E25" s="62"/>
      <c r="F25" s="62"/>
      <c r="G25" s="62">
        <v>58</v>
      </c>
      <c r="H25" s="62" t="str">
        <f>VLOOKUP(G25,'[4]Synthèse Amortissements 2025'!$B:$O,14,0)</f>
        <v>DE</v>
      </c>
      <c r="I25" s="62" t="s">
        <v>1067</v>
      </c>
      <c r="J25" s="286" t="s">
        <v>1068</v>
      </c>
      <c r="K25" s="62">
        <v>3016.7</v>
      </c>
      <c r="L25" s="62" t="s">
        <v>1066</v>
      </c>
      <c r="M25" s="62">
        <v>603.34</v>
      </c>
      <c r="N25" s="62" t="s">
        <v>47</v>
      </c>
      <c r="O25" s="92">
        <v>1</v>
      </c>
      <c r="P25" s="40">
        <f>VALO_AMO!$O25*VALO_AMO!$M25*VALO_PERSO!Y$50/VALO_PERSO!$AF$50</f>
        <v>77.737621797744353</v>
      </c>
      <c r="Q25" s="40">
        <f>VALO_AMO!$O25*VALO_AMO!$M25*VALO_PERSO!Z$50/VALO_PERSO!$AF$50</f>
        <v>297.75530356728052</v>
      </c>
      <c r="R25" s="40">
        <f>VALO_AMO!$O25*VALO_AMO!$M25*VALO_PERSO!AA$50/VALO_PERSO!$AF$50</f>
        <v>152.91895675396506</v>
      </c>
      <c r="S25" s="40">
        <f>VALO_AMO!$O25*VALO_AMO!$M25*VALO_PERSO!AB$50/VALO_PERSO!$AF$50</f>
        <v>27.367766772790819</v>
      </c>
      <c r="T25" s="40">
        <f>VALO_AMO!$O25*VALO_AMO!$M25*VALO_PERSO!AC$50/VALO_PERSO!$AF$50</f>
        <v>38.036826464156277</v>
      </c>
      <c r="U25" s="40">
        <f>VALO_AMO!$O25*VALO_AMO!$M25*VALO_PERSO!AD$50/VALO_PERSO!$AF$50</f>
        <v>9.5235246440630252</v>
      </c>
      <c r="V25" s="40"/>
      <c r="W25" s="79">
        <f t="shared" si="5"/>
        <v>603.34000000000015</v>
      </c>
      <c r="X25" s="233"/>
      <c r="Y25" s="92" t="str">
        <f>IF(N25=parametrage!$M$2,VALO_AMO!$AO$7,IF(N25=parametrage!$M$3,VALO_AMO!$AU$7,"à définir"))</f>
        <v>à définir</v>
      </c>
      <c r="Z25" s="40">
        <f>IFERROR(IF(OR($N25=parametrage!$M$2,$N25=parametrage!$M$3),VALO_AMO!$Y25*VALO_AMO!$M25*VALO_PERSO!AI$16/VALO_PERSO!$AK$16,0),0)</f>
        <v>0</v>
      </c>
      <c r="AA25" s="40"/>
      <c r="AB25" s="79">
        <f t="shared" si="6"/>
        <v>0</v>
      </c>
      <c r="AC25" s="42">
        <f>VLOOKUP(G25,'Verif VS 24'!$A$51:$F$112,6,0)</f>
        <v>1</v>
      </c>
      <c r="AD25" s="92"/>
      <c r="AE25" s="40"/>
      <c r="AF25" s="40"/>
      <c r="AG25" s="79"/>
    </row>
    <row r="26" spans="1:33" ht="15.75" x14ac:dyDescent="0.3">
      <c r="C26" s="59"/>
      <c r="D26" s="71" t="b">
        <v>0</v>
      </c>
      <c r="E26" s="62"/>
      <c r="F26" s="62"/>
      <c r="G26" s="62">
        <v>59</v>
      </c>
      <c r="H26" s="62" t="str">
        <f>VLOOKUP(G26,'[4]Synthèse Amortissements 2025'!$B:$O,14,0)</f>
        <v>DE</v>
      </c>
      <c r="I26" s="62" t="s">
        <v>1069</v>
      </c>
      <c r="J26" s="286" t="s">
        <v>1070</v>
      </c>
      <c r="K26" s="62">
        <v>1160</v>
      </c>
      <c r="L26" s="62" t="s">
        <v>1066</v>
      </c>
      <c r="M26" s="62">
        <v>232</v>
      </c>
      <c r="N26" s="62" t="s">
        <v>47</v>
      </c>
      <c r="O26" s="92">
        <v>1</v>
      </c>
      <c r="P26" s="40">
        <f>VALO_AMO!$O26*VALO_AMO!$M26*VALO_PERSO!Y$50/VALO_PERSO!$AF$50</f>
        <v>29.892147474188167</v>
      </c>
      <c r="Q26" s="40">
        <f>VALO_AMO!$O26*VALO_AMO!$M26*VALO_PERSO!Z$50/VALO_PERSO!$AF$50</f>
        <v>114.49469689993879</v>
      </c>
      <c r="R26" s="40">
        <f>VALO_AMO!$O26*VALO_AMO!$M26*VALO_PERSO!AA$50/VALO_PERSO!$AF$50</f>
        <v>58.801335842012612</v>
      </c>
      <c r="S26" s="40">
        <f>VALO_AMO!$O26*VALO_AMO!$M26*VALO_PERSO!AB$50/VALO_PERSO!$AF$50</f>
        <v>10.523621658248199</v>
      </c>
      <c r="T26" s="40">
        <f>VALO_AMO!$O26*VALO_AMO!$M26*VALO_PERSO!AC$50/VALO_PERSO!$AF$50</f>
        <v>14.62615397567583</v>
      </c>
      <c r="U26" s="40">
        <f>VALO_AMO!$O26*VALO_AMO!$M26*VALO_PERSO!AD$50/VALO_PERSO!$AF$50</f>
        <v>3.6620441499363903</v>
      </c>
      <c r="V26" s="40"/>
      <c r="W26" s="79">
        <f t="shared" si="5"/>
        <v>231.99999999999997</v>
      </c>
      <c r="X26" s="233"/>
      <c r="Y26" s="92" t="str">
        <f>IF(N26=parametrage!$M$2,VALO_AMO!$AO$7,IF(N26=parametrage!$M$3,VALO_AMO!$AU$7,"à définir"))</f>
        <v>à définir</v>
      </c>
      <c r="Z26" s="40">
        <f>IFERROR(IF(OR($N26=parametrage!$M$2,$N26=parametrage!$M$3),VALO_AMO!$Y26*VALO_AMO!$M26*VALO_PERSO!AI$16/VALO_PERSO!$AK$16,0),0)</f>
        <v>0</v>
      </c>
      <c r="AA26" s="40"/>
      <c r="AB26" s="79">
        <f t="shared" si="6"/>
        <v>0</v>
      </c>
      <c r="AC26" s="42">
        <f>VLOOKUP(G26,'Verif VS 24'!$A$51:$F$112,6,0)</f>
        <v>1</v>
      </c>
      <c r="AD26" s="92"/>
      <c r="AE26" s="40"/>
      <c r="AF26" s="40"/>
      <c r="AG26" s="79"/>
    </row>
    <row r="27" spans="1:33" ht="15.75" x14ac:dyDescent="0.3">
      <c r="C27" s="59"/>
      <c r="D27" s="71" t="b">
        <v>0</v>
      </c>
      <c r="E27" s="62"/>
      <c r="F27" s="62"/>
      <c r="G27" s="62">
        <v>60</v>
      </c>
      <c r="H27" s="62" t="str">
        <f>VLOOKUP(G27,'[4]Synthèse Amortissements 2025'!$B:$O,14,0)</f>
        <v>DE</v>
      </c>
      <c r="I27" s="62" t="s">
        <v>1071</v>
      </c>
      <c r="J27" s="286" t="s">
        <v>1072</v>
      </c>
      <c r="K27" s="62">
        <v>1774.6</v>
      </c>
      <c r="L27" s="62" t="s">
        <v>1066</v>
      </c>
      <c r="M27" s="62">
        <v>354.92</v>
      </c>
      <c r="N27" s="62" t="s">
        <v>47</v>
      </c>
      <c r="O27" s="92">
        <v>1</v>
      </c>
      <c r="P27" s="40">
        <f>VALO_AMO!$O27*VALO_AMO!$M27*VALO_PERSO!Y$50/VALO_PERSO!$AF$50</f>
        <v>45.729831816977864</v>
      </c>
      <c r="Q27" s="40">
        <f>VALO_AMO!$O27*VALO_AMO!$M27*VALO_PERSO!Z$50/VALO_PERSO!$AF$50</f>
        <v>175.1571457919236</v>
      </c>
      <c r="R27" s="40">
        <f>VALO_AMO!$O27*VALO_AMO!$M27*VALO_PERSO!AA$50/VALO_PERSO!$AF$50</f>
        <v>89.95590567692723</v>
      </c>
      <c r="S27" s="40">
        <f>VALO_AMO!$O27*VALO_AMO!$M27*VALO_PERSO!AB$50/VALO_PERSO!$AF$50</f>
        <v>16.099326719592462</v>
      </c>
      <c r="T27" s="40">
        <f>VALO_AMO!$O27*VALO_AMO!$M27*VALO_PERSO!AC$50/VALO_PERSO!$AF$50</f>
        <v>22.375493832098559</v>
      </c>
      <c r="U27" s="40">
        <f>VALO_AMO!$O27*VALO_AMO!$M27*VALO_PERSO!AD$50/VALO_PERSO!$AF$50</f>
        <v>5.6022961624802745</v>
      </c>
      <c r="V27" s="40"/>
      <c r="W27" s="79">
        <f t="shared" si="5"/>
        <v>354.92</v>
      </c>
      <c r="X27" s="233"/>
      <c r="Y27" s="92" t="str">
        <f>IF(N27=parametrage!$M$2,VALO_AMO!$AO$7,IF(N27=parametrage!$M$3,VALO_AMO!$AU$7,"à définir"))</f>
        <v>à définir</v>
      </c>
      <c r="Z27" s="40">
        <f>IFERROR(IF(OR($N27=parametrage!$M$2,$N27=parametrage!$M$3),VALO_AMO!$Y27*VALO_AMO!$M27*VALO_PERSO!AI$16/VALO_PERSO!$AK$16,0),0)</f>
        <v>0</v>
      </c>
      <c r="AA27" s="40"/>
      <c r="AB27" s="79">
        <f t="shared" si="6"/>
        <v>0</v>
      </c>
      <c r="AC27" s="42">
        <f>VLOOKUP(G27,'Verif VS 24'!$A$51:$F$112,6,0)</f>
        <v>1</v>
      </c>
      <c r="AD27" s="92"/>
      <c r="AE27" s="40"/>
      <c r="AF27" s="40"/>
      <c r="AG27" s="79"/>
    </row>
    <row r="28" spans="1:33" ht="15.75" x14ac:dyDescent="0.3">
      <c r="C28" s="59"/>
      <c r="D28" s="71" t="b">
        <v>0</v>
      </c>
      <c r="E28" s="62"/>
      <c r="F28" s="62"/>
      <c r="G28" s="62">
        <v>66</v>
      </c>
      <c r="H28" s="62" t="str">
        <f>VLOOKUP(G28,'[4]Synthèse Amortissements 2025'!$B:$O,14,0)</f>
        <v>DE</v>
      </c>
      <c r="I28" s="62" t="s">
        <v>1073</v>
      </c>
      <c r="J28" s="286" t="s">
        <v>1072</v>
      </c>
      <c r="K28" s="62">
        <v>1075.54</v>
      </c>
      <c r="L28" s="62" t="s">
        <v>1066</v>
      </c>
      <c r="M28" s="62">
        <v>215.108</v>
      </c>
      <c r="N28" s="62" t="s">
        <v>47</v>
      </c>
      <c r="O28" s="92">
        <v>1</v>
      </c>
      <c r="P28" s="40">
        <f>VALO_AMO!$O28*VALO_AMO!$M28*VALO_PERSO!Y$50/VALO_PERSO!$AF$50</f>
        <v>27.715689908955465</v>
      </c>
      <c r="Q28" s="40">
        <f>VALO_AMO!$O28*VALO_AMO!$M28*VALO_PERSO!Z$50/VALO_PERSO!$AF$50</f>
        <v>106.15829853772429</v>
      </c>
      <c r="R28" s="40">
        <f>VALO_AMO!$O28*VALO_AMO!$M28*VALO_PERSO!AA$50/VALO_PERSO!$AF$50</f>
        <v>54.519990303032969</v>
      </c>
      <c r="S28" s="40">
        <f>VALO_AMO!$O28*VALO_AMO!$M28*VALO_PERSO!AB$50/VALO_PERSO!$AF$50</f>
        <v>9.7573931364760949</v>
      </c>
      <c r="T28" s="40">
        <f>VALO_AMO!$O28*VALO_AMO!$M28*VALO_PERSO!AC$50/VALO_PERSO!$AF$50</f>
        <v>13.561218661205501</v>
      </c>
      <c r="U28" s="40">
        <f>VALO_AMO!$O28*VALO_AMO!$M28*VALO_PERSO!AD$50/VALO_PERSO!$AF$50</f>
        <v>3.3954094526056768</v>
      </c>
      <c r="V28" s="40"/>
      <c r="W28" s="79">
        <f t="shared" si="5"/>
        <v>215.108</v>
      </c>
      <c r="X28" s="233"/>
      <c r="Y28" s="92" t="str">
        <f>IF(N28=parametrage!$M$2,VALO_AMO!$AO$7,IF(N28=parametrage!$M$3,VALO_AMO!$AU$7,"à définir"))</f>
        <v>à définir</v>
      </c>
      <c r="Z28" s="40">
        <f>IFERROR(IF(OR($N28=parametrage!$M$2,$N28=parametrage!$M$3),VALO_AMO!$Y28*VALO_AMO!$M28*VALO_PERSO!AI$16/VALO_PERSO!$AK$16,0),0)</f>
        <v>0</v>
      </c>
      <c r="AA28" s="40"/>
      <c r="AB28" s="79">
        <f t="shared" si="6"/>
        <v>0</v>
      </c>
      <c r="AC28" s="42">
        <f>VLOOKUP(G28,'Verif VS 24'!$A$51:$F$112,6,0)</f>
        <v>1</v>
      </c>
      <c r="AD28" s="92"/>
      <c r="AE28" s="40"/>
      <c r="AF28" s="40"/>
      <c r="AG28" s="79"/>
    </row>
    <row r="29" spans="1:33" ht="15.75" x14ac:dyDescent="0.3">
      <c r="C29" s="59"/>
      <c r="D29" s="71" t="b">
        <v>0</v>
      </c>
      <c r="E29" s="62"/>
      <c r="F29" s="62"/>
      <c r="G29" s="62">
        <v>67</v>
      </c>
      <c r="H29" s="62" t="str">
        <f>VLOOKUP(G29,'[4]Synthèse Amortissements 2025'!$B:$O,14,0)</f>
        <v>RI</v>
      </c>
      <c r="I29" s="62" t="s">
        <v>1074</v>
      </c>
      <c r="J29" s="286" t="s">
        <v>1075</v>
      </c>
      <c r="K29" s="62">
        <v>48900</v>
      </c>
      <c r="L29" s="62" t="s">
        <v>1066</v>
      </c>
      <c r="M29" s="62">
        <v>9780</v>
      </c>
      <c r="N29" s="62" t="s">
        <v>47</v>
      </c>
      <c r="O29" s="92">
        <v>1</v>
      </c>
      <c r="P29" s="40">
        <f>VALO_AMO!$O29*VALO_AMO!$M29*VALO_PERSO!Y$50/VALO_PERSO!$AF$50</f>
        <v>1260.1086305929323</v>
      </c>
      <c r="Q29" s="40">
        <f>VALO_AMO!$O29*VALO_AMO!$M29*VALO_PERSO!Z$50/VALO_PERSO!$AF$50</f>
        <v>4826.5436882819022</v>
      </c>
      <c r="R29" s="40">
        <f>VALO_AMO!$O29*VALO_AMO!$M29*VALO_PERSO!AA$50/VALO_PERSO!$AF$50</f>
        <v>2478.7804505813938</v>
      </c>
      <c r="S29" s="40">
        <f>VALO_AMO!$O29*VALO_AMO!$M29*VALO_PERSO!AB$50/VALO_PERSO!$AF$50</f>
        <v>443.6250854209801</v>
      </c>
      <c r="T29" s="40">
        <f>VALO_AMO!$O29*VALO_AMO!$M29*VALO_PERSO!AC$50/VALO_PERSO!$AF$50</f>
        <v>616.56804259530008</v>
      </c>
      <c r="U29" s="40">
        <f>VALO_AMO!$O29*VALO_AMO!$M29*VALO_PERSO!AD$50/VALO_PERSO!$AF$50</f>
        <v>154.37410252749092</v>
      </c>
      <c r="V29" s="40"/>
      <c r="W29" s="79">
        <f t="shared" si="5"/>
        <v>9779.9999999999964</v>
      </c>
      <c r="X29" s="233"/>
      <c r="Y29" s="92" t="str">
        <f>IF(N29=parametrage!$M$2,VALO_AMO!$AO$7,IF(N29=parametrage!$M$3,VALO_AMO!$AU$7,"à définir"))</f>
        <v>à définir</v>
      </c>
      <c r="Z29" s="40">
        <f>IFERROR(IF(OR($N29=parametrage!$M$2,$N29=parametrage!$M$3),VALO_AMO!$Y29*VALO_AMO!$M29*VALO_PERSO!AI$16/VALO_PERSO!$AK$16,0),0)</f>
        <v>0</v>
      </c>
      <c r="AA29" s="40"/>
      <c r="AB29" s="79">
        <f t="shared" si="6"/>
        <v>0</v>
      </c>
      <c r="AC29" s="42">
        <f>VLOOKUP(G29,'Verif VS 24'!$A$51:$F$112,6,0)</f>
        <v>1</v>
      </c>
      <c r="AD29" s="92"/>
      <c r="AE29" s="40"/>
      <c r="AF29" s="40"/>
      <c r="AG29" s="79"/>
    </row>
    <row r="30" spans="1:33" ht="15.75" x14ac:dyDescent="0.3">
      <c r="A30" s="42" t="s">
        <v>863</v>
      </c>
      <c r="B30" s="49">
        <f t="shared" ref="B30" si="8">IFERROR(IF((O30+Y30+AD30)&gt;1,1,0),0)</f>
        <v>0</v>
      </c>
      <c r="C30" s="59">
        <f t="shared" ref="C30" si="9">IFERROR(IF((W30+AB30+AG30)&gt;M30,1,0),0)</f>
        <v>0</v>
      </c>
      <c r="D30" s="71" t="b">
        <v>0</v>
      </c>
      <c r="E30" s="62"/>
      <c r="F30" s="62"/>
      <c r="G30" s="62">
        <v>69</v>
      </c>
      <c r="H30" s="62" t="str">
        <f>VLOOKUP(G30,'[4]Synthèse Amortissements 2025'!$B:$O,14,0)</f>
        <v>DE</v>
      </c>
      <c r="I30" s="62" t="s">
        <v>1076</v>
      </c>
      <c r="J30" s="286" t="s">
        <v>1077</v>
      </c>
      <c r="K30" s="62">
        <v>1827.78</v>
      </c>
      <c r="L30" s="62" t="s">
        <v>1066</v>
      </c>
      <c r="M30" s="62">
        <v>365.55599999999998</v>
      </c>
      <c r="N30" s="62" t="s">
        <v>47</v>
      </c>
      <c r="O30" s="92">
        <v>1</v>
      </c>
      <c r="P30" s="40">
        <f>VALO_AMO!$O30*VALO_AMO!$M30*VALO_PERSO!Y$50/VALO_PERSO!$AF$50</f>
        <v>47.100232164113486</v>
      </c>
      <c r="Q30" s="40">
        <f>VALO_AMO!$O30*VALO_AMO!$M30*VALO_PERSO!Z$50/VALO_PERSO!$AF$50</f>
        <v>180.40613543083631</v>
      </c>
      <c r="R30" s="40">
        <f>VALO_AMO!$O30*VALO_AMO!$M30*VALO_PERSO!AA$50/VALO_PERSO!$AF$50</f>
        <v>92.651642780442941</v>
      </c>
      <c r="S30" s="40">
        <f>VALO_AMO!$O30*VALO_AMO!$M30*VALO_PERSO!AB$50/VALO_PERSO!$AF$50</f>
        <v>16.581780340097321</v>
      </c>
      <c r="T30" s="40">
        <f>VALO_AMO!$O30*VALO_AMO!$M30*VALO_PERSO!AC$50/VALO_PERSO!$AF$50</f>
        <v>23.046027339362727</v>
      </c>
      <c r="U30" s="40">
        <f>VALO_AMO!$O30*VALO_AMO!$M30*VALO_PERSO!AD$50/VALO_PERSO!$AF$50</f>
        <v>5.7701819451471854</v>
      </c>
      <c r="V30" s="40"/>
      <c r="W30" s="79">
        <f t="shared" si="5"/>
        <v>365.55599999999998</v>
      </c>
      <c r="X30" s="233"/>
      <c r="Y30" s="92" t="str">
        <f>IF(N30=parametrage!$M$2,VALO_AMO!$AO$7,IF(N30=parametrage!$M$3,VALO_AMO!$AU$7,"à définir"))</f>
        <v>à définir</v>
      </c>
      <c r="Z30" s="40">
        <f>IFERROR(IF(OR($N30=parametrage!$M$2,$N30=parametrage!$M$3),VALO_AMO!$Y30*VALO_AMO!$M30*VALO_PERSO!AI$16/VALO_PERSO!$AK$16,0),0)</f>
        <v>0</v>
      </c>
      <c r="AA30" s="40"/>
      <c r="AB30" s="79">
        <f t="shared" si="6"/>
        <v>0</v>
      </c>
      <c r="AC30" s="42">
        <f>VLOOKUP(G30,'Verif VS 24'!$A$51:$F$112,6,0)</f>
        <v>1</v>
      </c>
      <c r="AD30" s="92" t="str">
        <f>IF(N30=parametrage!$M$2,VALO_AMO!$AO$10,IF(N30=parametrage!$M$3,VALO_AMO!$AU$10,"à définir"))</f>
        <v>à définir</v>
      </c>
      <c r="AE30" s="40">
        <f>IFERROR(IF(OR($N30=parametrage!$M$2,$N30=parametrage!$M$3),VALO_AMO!$AD30*VALO_AMO!$M30*VALO_PERSO!AN$50/VALO_PERSO!$AP$50,0),0)</f>
        <v>0</v>
      </c>
      <c r="AF30" s="40"/>
      <c r="AG30" s="79">
        <f t="shared" ref="AG30" si="10">SUM(AE30:AF30)</f>
        <v>0</v>
      </c>
    </row>
    <row r="31" spans="1:33" ht="15.75" x14ac:dyDescent="0.3">
      <c r="A31" s="42" t="s">
        <v>863</v>
      </c>
      <c r="B31" s="49">
        <f t="shared" ref="B31" si="11">IFERROR(IF((O31+Y31+AD31)&gt;1,1,0),0)</f>
        <v>0</v>
      </c>
      <c r="C31" s="59">
        <f t="shared" ref="C31" si="12">IFERROR(IF((W31+AB31+AG31)&gt;M31,1,0),0)</f>
        <v>0</v>
      </c>
      <c r="D31" s="71" t="b">
        <v>0</v>
      </c>
      <c r="E31" s="62"/>
      <c r="F31" s="62"/>
      <c r="G31" s="62">
        <v>70</v>
      </c>
      <c r="H31" s="62" t="str">
        <f>VLOOKUP(G31,'[4]Synthèse Amortissements 2025'!$B:$O,14,0)</f>
        <v>RI</v>
      </c>
      <c r="I31" s="62" t="s">
        <v>1078</v>
      </c>
      <c r="J31" s="286" t="s">
        <v>1079</v>
      </c>
      <c r="K31" s="62">
        <v>6333</v>
      </c>
      <c r="L31" s="62" t="s">
        <v>1066</v>
      </c>
      <c r="M31" s="62">
        <v>1266.5999999999999</v>
      </c>
      <c r="N31" s="62" t="s">
        <v>47</v>
      </c>
      <c r="O31" s="92">
        <v>1</v>
      </c>
      <c r="P31" s="40">
        <f>VALO_AMO!$O31*VALO_AMO!$M31*VALO_PERSO!Y$50/VALO_PERSO!$AF$50</f>
        <v>163.19566375347728</v>
      </c>
      <c r="Q31" s="40">
        <f>VALO_AMO!$O31*VALO_AMO!$M31*VALO_PERSO!Z$50/VALO_PERSO!$AF$50</f>
        <v>625.08182367871757</v>
      </c>
      <c r="R31" s="40">
        <f>VALO_AMO!$O31*VALO_AMO!$M31*VALO_PERSO!AA$50/VALO_PERSO!$AF$50</f>
        <v>321.02487921333261</v>
      </c>
      <c r="S31" s="40">
        <f>VALO_AMO!$O31*VALO_AMO!$M31*VALO_PERSO!AB$50/VALO_PERSO!$AF$50</f>
        <v>57.453531001453314</v>
      </c>
      <c r="T31" s="40">
        <f>VALO_AMO!$O31*VALO_AMO!$M31*VALO_PERSO!AC$50/VALO_PERSO!$AF$50</f>
        <v>79.851235455133633</v>
      </c>
      <c r="U31" s="40">
        <f>VALO_AMO!$O31*VALO_AMO!$M31*VALO_PERSO!AD$50/VALO_PERSO!$AF$50</f>
        <v>19.992866897885481</v>
      </c>
      <c r="V31" s="40"/>
      <c r="W31" s="79">
        <f t="shared" si="5"/>
        <v>1266.5999999999999</v>
      </c>
      <c r="X31" s="233"/>
      <c r="Y31" s="92" t="str">
        <f>IF(N31=parametrage!$M$2,VALO_AMO!$AO$7,IF(N31=parametrage!$M$3,VALO_AMO!$AU$7,"à définir"))</f>
        <v>à définir</v>
      </c>
      <c r="Z31" s="40">
        <f>IFERROR(IF(OR($N31=parametrage!$M$2,$N31=parametrage!$M$3),VALO_AMO!$Y31*VALO_AMO!$M31*VALO_PERSO!AI$16/VALO_PERSO!$AK$16,0),0)</f>
        <v>0</v>
      </c>
      <c r="AA31" s="40"/>
      <c r="AB31" s="79">
        <f t="shared" si="6"/>
        <v>0</v>
      </c>
      <c r="AC31" s="42">
        <f>VLOOKUP(G31,'Verif VS 24'!$A$51:$F$112,6,0)</f>
        <v>1</v>
      </c>
      <c r="AD31" s="92" t="str">
        <f>IF(N31=parametrage!$M$2,VALO_AMO!$AO$10,IF(N31=parametrage!$M$3,VALO_AMO!$AU$10,"à définir"))</f>
        <v>à définir</v>
      </c>
      <c r="AE31" s="40">
        <f>IFERROR(IF(OR($N31=parametrage!$M$2,$N31=parametrage!$M$3),VALO_AMO!$AD31*VALO_AMO!$M31*VALO_PERSO!AN$50/VALO_PERSO!$AP$50,0),0)</f>
        <v>0</v>
      </c>
      <c r="AF31" s="40"/>
      <c r="AG31" s="79">
        <f t="shared" ref="AG31" si="13">SUM(AE31:AF31)</f>
        <v>0</v>
      </c>
    </row>
    <row r="32" spans="1:33" ht="15.75" x14ac:dyDescent="0.3">
      <c r="A32" s="42" t="s">
        <v>863</v>
      </c>
      <c r="B32" s="49">
        <f t="shared" ref="B32" si="14">IFERROR(IF((O32+Y32+AD32)&gt;1,1,0),0)</f>
        <v>0</v>
      </c>
      <c r="C32" s="59">
        <f t="shared" ref="C32" si="15">IFERROR(IF((W32+AB32+AG32)&gt;M32,1,0),0)</f>
        <v>0</v>
      </c>
      <c r="D32" s="71" t="b">
        <v>0</v>
      </c>
      <c r="E32" s="62"/>
      <c r="F32" s="62"/>
      <c r="G32" s="62">
        <v>71</v>
      </c>
      <c r="H32" s="62" t="str">
        <f>VLOOKUP(G32,'[4]Synthèse Amortissements 2025'!$B:$O,14,0)</f>
        <v>DE</v>
      </c>
      <c r="I32" s="62" t="s">
        <v>1080</v>
      </c>
      <c r="J32" s="286" t="s">
        <v>1081</v>
      </c>
      <c r="K32" s="62">
        <v>2370.5</v>
      </c>
      <c r="L32" s="62" t="s">
        <v>1066</v>
      </c>
      <c r="M32" s="62">
        <v>474.1</v>
      </c>
      <c r="N32" s="62" t="s">
        <v>47</v>
      </c>
      <c r="O32" s="92">
        <v>1</v>
      </c>
      <c r="P32" s="40">
        <f>VALO_AMO!$O32*VALO_AMO!$M32*VALO_PERSO!Y$50/VALO_PERSO!$AF$50</f>
        <v>61.085634127209524</v>
      </c>
      <c r="Q32" s="40">
        <f>VALO_AMO!$O32*VALO_AMO!$M32*VALO_PERSO!Z$50/VALO_PERSO!$AF$50</f>
        <v>233.97386120802148</v>
      </c>
      <c r="R32" s="40">
        <f>VALO_AMO!$O32*VALO_AMO!$M32*VALO_PERSO!AA$50/VALO_PERSO!$AF$50</f>
        <v>120.1625574254232</v>
      </c>
      <c r="S32" s="40">
        <f>VALO_AMO!$O32*VALO_AMO!$M32*VALO_PERSO!AB$50/VALO_PERSO!$AF$50</f>
        <v>21.505383742135653</v>
      </c>
      <c r="T32" s="40">
        <f>VALO_AMO!$O32*VALO_AMO!$M32*VALO_PERSO!AC$50/VALO_PERSO!$AF$50</f>
        <v>29.889049999430654</v>
      </c>
      <c r="U32" s="40">
        <f>VALO_AMO!$O32*VALO_AMO!$M32*VALO_PERSO!AD$50/VALO_PERSO!$AF$50</f>
        <v>7.4835134977794944</v>
      </c>
      <c r="V32" s="40"/>
      <c r="W32" s="79">
        <f t="shared" si="5"/>
        <v>474.1</v>
      </c>
      <c r="X32" s="233"/>
      <c r="Y32" s="92" t="str">
        <f>IF(N32=parametrage!$M$2,VALO_AMO!$AO$7,IF(N32=parametrage!$M$3,VALO_AMO!$AU$7,"à définir"))</f>
        <v>à définir</v>
      </c>
      <c r="Z32" s="40">
        <f>IFERROR(IF(OR($N32=parametrage!$M$2,$N32=parametrage!$M$3),VALO_AMO!$Y32*VALO_AMO!$M32*VALO_PERSO!AI$16/VALO_PERSO!$AK$16,0),0)</f>
        <v>0</v>
      </c>
      <c r="AA32" s="40"/>
      <c r="AB32" s="79">
        <f t="shared" si="6"/>
        <v>0</v>
      </c>
      <c r="AC32" s="42">
        <f>VLOOKUP(G32,'Verif VS 24'!$A$51:$F$112,6,0)</f>
        <v>1</v>
      </c>
      <c r="AD32" s="92" t="str">
        <f>IF(N32=parametrage!$M$2,VALO_AMO!$AO$10,IF(N32=parametrage!$M$3,VALO_AMO!$AU$10,"à définir"))</f>
        <v>à définir</v>
      </c>
      <c r="AE32" s="40">
        <f>IFERROR(IF(OR($N32=parametrage!$M$2,$N32=parametrage!$M$3),VALO_AMO!$AD32*VALO_AMO!$M32*VALO_PERSO!AN$50/VALO_PERSO!$AP$50,0),0)</f>
        <v>0</v>
      </c>
      <c r="AF32" s="40"/>
      <c r="AG32" s="79">
        <f t="shared" ref="AG32" si="16">SUM(AE32:AF32)</f>
        <v>0</v>
      </c>
    </row>
    <row r="33" spans="1:33" ht="15.75" x14ac:dyDescent="0.3">
      <c r="A33" s="42" t="s">
        <v>863</v>
      </c>
      <c r="B33" s="49">
        <f t="shared" ref="B33" si="17">IFERROR(IF((O33+Y33+AD33)&gt;1,1,0),0)</f>
        <v>0</v>
      </c>
      <c r="C33" s="59">
        <f t="shared" ref="C33" si="18">IFERROR(IF((W33+AB33+AG33)&gt;M33,1,0),0)</f>
        <v>0</v>
      </c>
      <c r="D33" s="71" t="b">
        <v>0</v>
      </c>
      <c r="E33" s="62"/>
      <c r="F33" s="62"/>
      <c r="G33" s="62">
        <v>72</v>
      </c>
      <c r="H33" s="62" t="str">
        <f>VLOOKUP(G33,'[4]Synthèse Amortissements 2025'!$B:$O,14,0)</f>
        <v>DE</v>
      </c>
      <c r="I33" s="62" t="s">
        <v>1082</v>
      </c>
      <c r="J33" s="286" t="s">
        <v>1083</v>
      </c>
      <c r="K33" s="62">
        <v>2065</v>
      </c>
      <c r="L33" s="62" t="s">
        <v>1066</v>
      </c>
      <c r="M33" s="62">
        <v>413</v>
      </c>
      <c r="N33" s="62" t="s">
        <v>47</v>
      </c>
      <c r="O33" s="92">
        <v>1</v>
      </c>
      <c r="P33" s="40">
        <f>VALO_AMO!$O33*VALO_AMO!$M33*VALO_PERSO!Y$50/VALO_PERSO!$AF$50</f>
        <v>53.213176322584964</v>
      </c>
      <c r="Q33" s="40">
        <f>VALO_AMO!$O33*VALO_AMO!$M33*VALO_PERSO!Z$50/VALO_PERSO!$AF$50</f>
        <v>203.8203009468738</v>
      </c>
      <c r="R33" s="40">
        <f>VALO_AMO!$O33*VALO_AMO!$M33*VALO_PERSO!AA$50/VALO_PERSO!$AF$50</f>
        <v>104.67651596013452</v>
      </c>
      <c r="S33" s="40">
        <f>VALO_AMO!$O33*VALO_AMO!$M33*VALO_PERSO!AB$50/VALO_PERSO!$AF$50</f>
        <v>18.733860969209079</v>
      </c>
      <c r="T33" s="40">
        <f>VALO_AMO!$O33*VALO_AMO!$M33*VALO_PERSO!AC$50/VALO_PERSO!$AF$50</f>
        <v>26.037075827388435</v>
      </c>
      <c r="U33" s="40">
        <f>VALO_AMO!$O33*VALO_AMO!$M33*VALO_PERSO!AD$50/VALO_PERSO!$AF$50</f>
        <v>6.5190699738091773</v>
      </c>
      <c r="V33" s="40"/>
      <c r="W33" s="79">
        <f t="shared" si="5"/>
        <v>413</v>
      </c>
      <c r="X33" s="233"/>
      <c r="Y33" s="92" t="str">
        <f>IF(N33=parametrage!$M$2,VALO_AMO!$AO$7,IF(N33=parametrage!$M$3,VALO_AMO!$AU$7,"à définir"))</f>
        <v>à définir</v>
      </c>
      <c r="Z33" s="40">
        <f>IFERROR(IF(OR($N33=parametrage!$M$2,$N33=parametrage!$M$3),VALO_AMO!$Y33*VALO_AMO!$M33*VALO_PERSO!AI$16/VALO_PERSO!$AK$16,0),0)</f>
        <v>0</v>
      </c>
      <c r="AA33" s="40"/>
      <c r="AB33" s="79">
        <f t="shared" si="6"/>
        <v>0</v>
      </c>
      <c r="AC33" s="42">
        <f>VLOOKUP(G33,'Verif VS 24'!$A$51:$F$112,6,0)</f>
        <v>1</v>
      </c>
      <c r="AD33" s="92" t="str">
        <f>IF(N33=parametrage!$M$2,VALO_AMO!$AO$10,IF(N33=parametrage!$M$3,VALO_AMO!$AU$10,"à définir"))</f>
        <v>à définir</v>
      </c>
      <c r="AE33" s="40">
        <f>IFERROR(IF(OR($N33=parametrage!$M$2,$N33=parametrage!$M$3),VALO_AMO!$AD33*VALO_AMO!$M33*VALO_PERSO!AN$50/VALO_PERSO!$AP$50,0),0)</f>
        <v>0</v>
      </c>
      <c r="AF33" s="40"/>
      <c r="AG33" s="79">
        <f t="shared" ref="AG33" si="19">SUM(AE33:AF33)</f>
        <v>0</v>
      </c>
    </row>
    <row r="34" spans="1:33" ht="15.75" x14ac:dyDescent="0.3">
      <c r="A34" s="42" t="s">
        <v>863</v>
      </c>
      <c r="B34" s="49">
        <f t="shared" ref="B34" si="20">IFERROR(IF((O34+Y34+AD34)&gt;1,1,0),0)</f>
        <v>0</v>
      </c>
      <c r="C34" s="59">
        <f t="shared" ref="C34" si="21">IFERROR(IF((W34+AB34+AG34)&gt;M34,1,0),0)</f>
        <v>0</v>
      </c>
      <c r="D34" s="71" t="b">
        <v>0</v>
      </c>
      <c r="E34" s="62"/>
      <c r="F34" s="62"/>
      <c r="G34" s="62">
        <v>73</v>
      </c>
      <c r="H34" s="62" t="str">
        <f>VLOOKUP(G34,'[4]Synthèse Amortissements 2025'!$B:$O,14,0)</f>
        <v>DE</v>
      </c>
      <c r="I34" s="62" t="s">
        <v>1084</v>
      </c>
      <c r="J34" s="286" t="s">
        <v>1085</v>
      </c>
      <c r="K34" s="62">
        <v>2263.5</v>
      </c>
      <c r="L34" s="62" t="s">
        <v>1066</v>
      </c>
      <c r="M34" s="62">
        <v>452.7</v>
      </c>
      <c r="N34" s="62" t="s">
        <v>47</v>
      </c>
      <c r="O34" s="92">
        <v>1</v>
      </c>
      <c r="P34" s="40">
        <f>VALO_AMO!$O34*VALO_AMO!$M34*VALO_PERSO!Y$50/VALO_PERSO!$AF$50</f>
        <v>58.328341213642162</v>
      </c>
      <c r="Q34" s="40">
        <f>VALO_AMO!$O34*VALO_AMO!$M34*VALO_PERSO!Z$50/VALO_PERSO!$AF$50</f>
        <v>223.41271244225126</v>
      </c>
      <c r="R34" s="40">
        <f>VALO_AMO!$O34*VALO_AMO!$M34*VALO_PERSO!AA$50/VALO_PERSO!$AF$50</f>
        <v>114.73864110206513</v>
      </c>
      <c r="S34" s="40">
        <f>VALO_AMO!$O34*VALO_AMO!$M34*VALO_PERSO!AB$50/VALO_PERSO!$AF$50</f>
        <v>20.534670365038618</v>
      </c>
      <c r="T34" s="40">
        <f>VALO_AMO!$O34*VALO_AMO!$M34*VALO_PERSO!AC$50/VALO_PERSO!$AF$50</f>
        <v>28.539913382708828</v>
      </c>
      <c r="U34" s="40">
        <f>VALO_AMO!$O34*VALO_AMO!$M34*VALO_PERSO!AD$50/VALO_PERSO!$AF$50</f>
        <v>7.1457214942939826</v>
      </c>
      <c r="V34" s="40"/>
      <c r="W34" s="79">
        <f t="shared" si="5"/>
        <v>452.7</v>
      </c>
      <c r="X34" s="233"/>
      <c r="Y34" s="92" t="str">
        <f>IF(N34=parametrage!$M$2,VALO_AMO!$AO$7,IF(N34=parametrage!$M$3,VALO_AMO!$AU$7,"à définir"))</f>
        <v>à définir</v>
      </c>
      <c r="Z34" s="40">
        <f>IFERROR(IF(OR($N34=parametrage!$M$2,$N34=parametrage!$M$3),VALO_AMO!$Y34*VALO_AMO!$M34*VALO_PERSO!AI$16/VALO_PERSO!$AK$16,0),0)</f>
        <v>0</v>
      </c>
      <c r="AA34" s="40"/>
      <c r="AB34" s="79">
        <f t="shared" si="6"/>
        <v>0</v>
      </c>
      <c r="AC34" s="42">
        <f>VLOOKUP(G34,'Verif VS 24'!$A$51:$F$112,6,0)</f>
        <v>1</v>
      </c>
      <c r="AD34" s="92" t="str">
        <f>IF(N34=parametrage!$M$2,VALO_AMO!$AO$10,IF(N34=parametrage!$M$3,VALO_AMO!$AU$10,"à définir"))</f>
        <v>à définir</v>
      </c>
      <c r="AE34" s="40">
        <f>IFERROR(IF(OR($N34=parametrage!$M$2,$N34=parametrage!$M$3),VALO_AMO!$AD34*VALO_AMO!$M34*VALO_PERSO!AN$50/VALO_PERSO!$AP$50,0),0)</f>
        <v>0</v>
      </c>
      <c r="AF34" s="40"/>
      <c r="AG34" s="79">
        <f t="shared" ref="AG34" si="22">SUM(AE34:AF34)</f>
        <v>0</v>
      </c>
    </row>
    <row r="35" spans="1:33" ht="15.75" x14ac:dyDescent="0.3">
      <c r="A35" s="42" t="s">
        <v>863</v>
      </c>
      <c r="B35" s="49">
        <f t="shared" ref="B35" si="23">IFERROR(IF((O35+Y35+AD35)&gt;1,1,0),0)</f>
        <v>0</v>
      </c>
      <c r="C35" s="59">
        <f t="shared" ref="C35" si="24">IFERROR(IF((W35+AB35+AG35)&gt;M35,1,0),0)</f>
        <v>0</v>
      </c>
      <c r="D35" s="71" t="b">
        <v>0</v>
      </c>
      <c r="E35" s="62"/>
      <c r="F35" s="62"/>
      <c r="G35" s="62">
        <v>74</v>
      </c>
      <c r="H35" s="62" t="str">
        <f>VLOOKUP(G35,'[4]Synthèse Amortissements 2025'!$B:$O,14,0)</f>
        <v>DE</v>
      </c>
      <c r="I35" s="62" t="s">
        <v>1084</v>
      </c>
      <c r="J35" s="286" t="s">
        <v>1085</v>
      </c>
      <c r="K35" s="62">
        <v>2970</v>
      </c>
      <c r="L35" s="62" t="s">
        <v>1066</v>
      </c>
      <c r="M35" s="62">
        <v>594</v>
      </c>
      <c r="N35" s="62" t="s">
        <v>47</v>
      </c>
      <c r="O35" s="92">
        <v>1</v>
      </c>
      <c r="P35" s="40">
        <f>VALO_AMO!$O35*VALO_AMO!$M35*VALO_PERSO!Y$50/VALO_PERSO!$AF$50</f>
        <v>76.534205170981778</v>
      </c>
      <c r="Q35" s="40">
        <f>VALO_AMO!$O35*VALO_AMO!$M35*VALO_PERSO!Z$50/VALO_PERSO!$AF$50</f>
        <v>293.14590499380881</v>
      </c>
      <c r="R35" s="40">
        <f>VALO_AMO!$O35*VALO_AMO!$M35*VALO_PERSO!AA$50/VALO_PERSO!$AF$50</f>
        <v>150.55169607825641</v>
      </c>
      <c r="S35" s="40">
        <f>VALO_AMO!$O35*VALO_AMO!$M35*VALO_PERSO!AB$50/VALO_PERSO!$AF$50</f>
        <v>26.944100280169959</v>
      </c>
      <c r="T35" s="40">
        <f>VALO_AMO!$O35*VALO_AMO!$M35*VALO_PERSO!AC$50/VALO_PERSO!$AF$50</f>
        <v>37.447997679101043</v>
      </c>
      <c r="U35" s="40">
        <f>VALO_AMO!$O35*VALO_AMO!$M35*VALO_PERSO!AD$50/VALO_PERSO!$AF$50</f>
        <v>9.3760957976819643</v>
      </c>
      <c r="V35" s="40"/>
      <c r="W35" s="79">
        <f t="shared" si="5"/>
        <v>594</v>
      </c>
      <c r="X35" s="233"/>
      <c r="Y35" s="92" t="str">
        <f>IF(N35=parametrage!$M$2,VALO_AMO!$AO$7,IF(N35=parametrage!$M$3,VALO_AMO!$AU$7,"à définir"))</f>
        <v>à définir</v>
      </c>
      <c r="Z35" s="40">
        <f>IFERROR(IF(OR($N35=parametrage!$M$2,$N35=parametrage!$M$3),VALO_AMO!$Y35*VALO_AMO!$M35*VALO_PERSO!AI$16/VALO_PERSO!$AK$16,0),0)</f>
        <v>0</v>
      </c>
      <c r="AA35" s="40"/>
      <c r="AB35" s="79">
        <f t="shared" si="6"/>
        <v>0</v>
      </c>
      <c r="AC35" s="42">
        <f>VLOOKUP(G35,'Verif VS 24'!$A$51:$F$112,6,0)</f>
        <v>1</v>
      </c>
      <c r="AD35" s="92" t="str">
        <f>IF(N35=parametrage!$M$2,VALO_AMO!$AO$10,IF(N35=parametrage!$M$3,VALO_AMO!$AU$10,"à définir"))</f>
        <v>à définir</v>
      </c>
      <c r="AE35" s="40">
        <f>IFERROR(IF(OR($N35=parametrage!$M$2,$N35=parametrage!$M$3),VALO_AMO!$AD35*VALO_AMO!$M35*VALO_PERSO!AN$50/VALO_PERSO!$AP$50,0),0)</f>
        <v>0</v>
      </c>
      <c r="AF35" s="40"/>
      <c r="AG35" s="79">
        <f t="shared" ref="AG35" si="25">SUM(AE35:AF35)</f>
        <v>0</v>
      </c>
    </row>
    <row r="36" spans="1:33" ht="15.75" x14ac:dyDescent="0.3">
      <c r="A36" s="42" t="s">
        <v>863</v>
      </c>
      <c r="B36" s="49">
        <f t="shared" ref="B36" si="26">IFERROR(IF((O36+Y36+AD36)&gt;1,1,0),0)</f>
        <v>0</v>
      </c>
      <c r="C36" s="59">
        <f t="shared" ref="C36" si="27">IFERROR(IF((W36+AB36+AG36)&gt;M36,1,0),0)</f>
        <v>0</v>
      </c>
      <c r="D36" s="71" t="b">
        <v>0</v>
      </c>
      <c r="E36" s="62"/>
      <c r="F36" s="62"/>
      <c r="G36" s="62">
        <v>75</v>
      </c>
      <c r="H36" s="62" t="str">
        <f>VLOOKUP(G36,'[4]Synthèse Amortissements 2025'!$B:$O,14,0)</f>
        <v>DE</v>
      </c>
      <c r="I36" s="62" t="s">
        <v>1086</v>
      </c>
      <c r="J36" s="286" t="s">
        <v>1087</v>
      </c>
      <c r="K36" s="62">
        <v>1187</v>
      </c>
      <c r="L36" s="62" t="s">
        <v>1066</v>
      </c>
      <c r="M36" s="62">
        <v>237.4</v>
      </c>
      <c r="N36" s="62" t="s">
        <v>47</v>
      </c>
      <c r="O36" s="92">
        <v>1</v>
      </c>
      <c r="P36" s="40">
        <f>VALO_AMO!$O36*VALO_AMO!$M36*VALO_PERSO!Y$50/VALO_PERSO!$AF$50</f>
        <v>30.587912975742544</v>
      </c>
      <c r="Q36" s="40">
        <f>VALO_AMO!$O36*VALO_AMO!$M36*VALO_PERSO!Z$50/VALO_PERSO!$AF$50</f>
        <v>117.15965967260979</v>
      </c>
      <c r="R36" s="40">
        <f>VALO_AMO!$O36*VALO_AMO!$M36*VALO_PERSO!AA$50/VALO_PERSO!$AF$50</f>
        <v>60.169987624542223</v>
      </c>
      <c r="S36" s="40">
        <f>VALO_AMO!$O36*VALO_AMO!$M36*VALO_PERSO!AB$50/VALO_PERSO!$AF$50</f>
        <v>10.768568024431564</v>
      </c>
      <c r="T36" s="40">
        <f>VALO_AMO!$O36*VALO_AMO!$M36*VALO_PERSO!AC$50/VALO_PERSO!$AF$50</f>
        <v>14.966590318213111</v>
      </c>
      <c r="U36" s="40">
        <f>VALO_AMO!$O36*VALO_AMO!$M36*VALO_PERSO!AD$50/VALO_PERSO!$AF$50</f>
        <v>3.7472813844607717</v>
      </c>
      <c r="V36" s="40"/>
      <c r="W36" s="79">
        <f t="shared" si="5"/>
        <v>237.4</v>
      </c>
      <c r="X36" s="233"/>
      <c r="Y36" s="92" t="str">
        <f>IF(N36=parametrage!$M$2,VALO_AMO!$AO$7,IF(N36=parametrage!$M$3,VALO_AMO!$AU$7,"à définir"))</f>
        <v>à définir</v>
      </c>
      <c r="Z36" s="40">
        <f>IFERROR(IF(OR($N36=parametrage!$M$2,$N36=parametrage!$M$3),VALO_AMO!$Y36*VALO_AMO!$M36*VALO_PERSO!AI$16/VALO_PERSO!$AK$16,0),0)</f>
        <v>0</v>
      </c>
      <c r="AA36" s="40"/>
      <c r="AB36" s="79">
        <f t="shared" si="6"/>
        <v>0</v>
      </c>
      <c r="AC36" s="42">
        <f>VLOOKUP(G36,'Verif VS 24'!$A$51:$F$112,6,0)</f>
        <v>1</v>
      </c>
      <c r="AD36" s="92" t="str">
        <f>IF(N36=parametrage!$M$2,VALO_AMO!$AO$10,IF(N36=parametrage!$M$3,VALO_AMO!$AU$10,"à définir"))</f>
        <v>à définir</v>
      </c>
      <c r="AE36" s="40">
        <f>IFERROR(IF(OR($N36=parametrage!$M$2,$N36=parametrage!$M$3),VALO_AMO!$AD36*VALO_AMO!$M36*VALO_PERSO!AN$50/VALO_PERSO!$AP$50,0),0)</f>
        <v>0</v>
      </c>
      <c r="AF36" s="40"/>
      <c r="AG36" s="79">
        <f t="shared" ref="AG36" si="28">SUM(AE36:AF36)</f>
        <v>0</v>
      </c>
    </row>
    <row r="37" spans="1:33" ht="15.75" x14ac:dyDescent="0.3">
      <c r="A37" s="42" t="s">
        <v>863</v>
      </c>
      <c r="B37" s="49">
        <f t="shared" ref="B37" si="29">IFERROR(IF((O37+Y37+AD37)&gt;1,1,0),0)</f>
        <v>0</v>
      </c>
      <c r="C37" s="59">
        <f t="shared" ref="C37" si="30">IFERROR(IF((W37+AB37+AG37)&gt;M37,1,0),0)</f>
        <v>0</v>
      </c>
      <c r="D37" s="71" t="b">
        <v>0</v>
      </c>
      <c r="E37" s="62"/>
      <c r="F37" s="62"/>
      <c r="G37" s="62">
        <v>76</v>
      </c>
      <c r="H37" s="62" t="str">
        <f>VLOOKUP(G37,'[4]Synthèse Amortissements 2025'!$B:$O,14,0)</f>
        <v>RI</v>
      </c>
      <c r="I37" s="62" t="s">
        <v>1123</v>
      </c>
      <c r="J37" s="286" t="s">
        <v>1124</v>
      </c>
      <c r="K37" s="62">
        <v>1730</v>
      </c>
      <c r="L37" s="62" t="s">
        <v>1053</v>
      </c>
      <c r="M37" s="62">
        <v>173</v>
      </c>
      <c r="N37" s="62" t="s">
        <v>47</v>
      </c>
      <c r="O37" s="92">
        <v>1</v>
      </c>
      <c r="P37" s="40">
        <f>VALO_AMO!$O37*VALO_AMO!$M37*VALO_PERSO!Y$50/VALO_PERSO!$AF$50</f>
        <v>22.290265142390314</v>
      </c>
      <c r="Q37" s="40">
        <f>VALO_AMO!$O37*VALO_AMO!$M37*VALO_PERSO!Z$50/VALO_PERSO!$AF$50</f>
        <v>85.377511050385394</v>
      </c>
      <c r="R37" s="40">
        <f>VALO_AMO!$O37*VALO_AMO!$M37*VALO_PERSO!AA$50/VALO_PERSO!$AF$50</f>
        <v>43.847547847707681</v>
      </c>
      <c r="S37" s="40">
        <f>VALO_AMO!$O37*VALO_AMO!$M37*VALO_PERSO!AB$50/VALO_PERSO!$AF$50</f>
        <v>7.847355805504046</v>
      </c>
      <c r="T37" s="40">
        <f>VALO_AMO!$O37*VALO_AMO!$M37*VALO_PERSO!AC$50/VALO_PERSO!$AF$50</f>
        <v>10.906571714620338</v>
      </c>
      <c r="U37" s="40">
        <f>VALO_AMO!$O37*VALO_AMO!$M37*VALO_PERSO!AD$50/VALO_PERSO!$AF$50</f>
        <v>2.7307484393922219</v>
      </c>
      <c r="V37" s="40"/>
      <c r="W37" s="79">
        <f t="shared" si="5"/>
        <v>172.99999999999997</v>
      </c>
      <c r="X37" s="233"/>
      <c r="Y37" s="92" t="str">
        <f>IF(N37=parametrage!$M$2,VALO_AMO!$AO$7,IF(N37=parametrage!$M$3,VALO_AMO!$AU$7,"à définir"))</f>
        <v>à définir</v>
      </c>
      <c r="Z37" s="40">
        <f>IFERROR(IF(OR($N37=parametrage!$M$2,$N37=parametrage!$M$3),VALO_AMO!$Y37*VALO_AMO!$M37*VALO_PERSO!AI$16/VALO_PERSO!$AK$16,0),0)</f>
        <v>0</v>
      </c>
      <c r="AA37" s="40"/>
      <c r="AB37" s="79">
        <f t="shared" si="6"/>
        <v>0</v>
      </c>
      <c r="AC37" s="42">
        <f>VLOOKUP(G37,'Verif VS 24'!$A$51:$F$112,6,0)</f>
        <v>1</v>
      </c>
      <c r="AD37" s="92" t="str">
        <f>IF(N37=parametrage!$M$2,VALO_AMO!$AO$10,IF(N37=parametrage!$M$3,VALO_AMO!$AU$10,"à définir"))</f>
        <v>à définir</v>
      </c>
      <c r="AE37" s="40">
        <f>IFERROR(IF(OR($N37=parametrage!$M$2,$N37=parametrage!$M$3),VALO_AMO!$AD37*VALO_AMO!$M37*VALO_PERSO!AN$50/VALO_PERSO!$AP$50,0),0)</f>
        <v>0</v>
      </c>
      <c r="AF37" s="40"/>
      <c r="AG37" s="79">
        <f t="shared" ref="AG37" si="31">SUM(AE37:AF37)</f>
        <v>0</v>
      </c>
    </row>
    <row r="38" spans="1:33" ht="15.75" x14ac:dyDescent="0.3">
      <c r="A38" s="42" t="s">
        <v>863</v>
      </c>
      <c r="B38" s="49">
        <f t="shared" ref="B38" si="32">IFERROR(IF((O38+Y38+AD38)&gt;1,1,0),0)</f>
        <v>0</v>
      </c>
      <c r="C38" s="59">
        <f t="shared" ref="C38" si="33">IFERROR(IF((W38+AB38+AG38)&gt;M38,1,0),0)</f>
        <v>0</v>
      </c>
      <c r="D38" s="71" t="b">
        <v>0</v>
      </c>
      <c r="E38" s="62"/>
      <c r="F38" s="62"/>
      <c r="G38" s="62">
        <v>77</v>
      </c>
      <c r="H38" s="62" t="str">
        <f>VLOOKUP(G38,'[4]Synthèse Amortissements 2025'!$B:$O,14,0)</f>
        <v>DE</v>
      </c>
      <c r="I38" s="62" t="s">
        <v>1125</v>
      </c>
      <c r="J38" s="286" t="s">
        <v>1124</v>
      </c>
      <c r="K38" s="62">
        <v>121.8</v>
      </c>
      <c r="L38" s="62" t="s">
        <v>1053</v>
      </c>
      <c r="M38" s="62">
        <v>12.18</v>
      </c>
      <c r="N38" s="62" t="s">
        <v>47</v>
      </c>
      <c r="O38" s="92">
        <v>1</v>
      </c>
      <c r="P38" s="40">
        <f>VALO_AMO!$O38*VALO_AMO!$M38*VALO_PERSO!Y$50/VALO_PERSO!$AF$50</f>
        <v>1.5693377423948789</v>
      </c>
      <c r="Q38" s="40">
        <f>VALO_AMO!$O38*VALO_AMO!$M38*VALO_PERSO!Z$50/VALO_PERSO!$AF$50</f>
        <v>6.0109715872467868</v>
      </c>
      <c r="R38" s="40">
        <f>VALO_AMO!$O38*VALO_AMO!$M38*VALO_PERSO!AA$50/VALO_PERSO!$AF$50</f>
        <v>3.0870701317056617</v>
      </c>
      <c r="S38" s="40">
        <f>VALO_AMO!$O38*VALO_AMO!$M38*VALO_PERSO!AB$50/VALO_PERSO!$AF$50</f>
        <v>0.55249013705803052</v>
      </c>
      <c r="T38" s="40">
        <f>VALO_AMO!$O38*VALO_AMO!$M38*VALO_PERSO!AC$50/VALO_PERSO!$AF$50</f>
        <v>0.76787308372298102</v>
      </c>
      <c r="U38" s="40">
        <f>VALO_AMO!$O38*VALO_AMO!$M38*VALO_PERSO!AD$50/VALO_PERSO!$AF$50</f>
        <v>0.19225731787166048</v>
      </c>
      <c r="V38" s="40"/>
      <c r="W38" s="79">
        <f t="shared" si="5"/>
        <v>12.18</v>
      </c>
      <c r="X38" s="233"/>
      <c r="Y38" s="92" t="str">
        <f>IF(N38=parametrage!$M$2,VALO_AMO!$AO$7,IF(N38=parametrage!$M$3,VALO_AMO!$AU$7,"à définir"))</f>
        <v>à définir</v>
      </c>
      <c r="Z38" s="40">
        <f>IFERROR(IF(OR($N38=parametrage!$M$2,$N38=parametrage!$M$3),VALO_AMO!$Y38*VALO_AMO!$M38*VALO_PERSO!AI$16/VALO_PERSO!$AK$16,0),0)</f>
        <v>0</v>
      </c>
      <c r="AA38" s="40"/>
      <c r="AB38" s="79">
        <f t="shared" si="6"/>
        <v>0</v>
      </c>
      <c r="AC38" s="42">
        <f>VLOOKUP(G38,'Verif VS 24'!$A$51:$F$112,6,0)</f>
        <v>1</v>
      </c>
      <c r="AD38" s="92" t="str">
        <f>IF(N38=parametrage!$M$2,VALO_AMO!$AO$10,IF(N38=parametrage!$M$3,VALO_AMO!$AU$10,"à définir"))</f>
        <v>à définir</v>
      </c>
      <c r="AE38" s="40">
        <f>IFERROR(IF(OR($N38=parametrage!$M$2,$N38=parametrage!$M$3),VALO_AMO!$AD38*VALO_AMO!$M38*VALO_PERSO!AN$50/VALO_PERSO!$AP$50,0),0)</f>
        <v>0</v>
      </c>
      <c r="AF38" s="40"/>
      <c r="AG38" s="79">
        <f t="shared" ref="AG38" si="34">SUM(AE38:AF38)</f>
        <v>0</v>
      </c>
    </row>
    <row r="39" spans="1:33" ht="15.75" x14ac:dyDescent="0.3">
      <c r="A39" s="42" t="s">
        <v>863</v>
      </c>
      <c r="B39" s="49">
        <f t="shared" ref="B39" si="35">IFERROR(IF((O39+Y39+AD39)&gt;1,1,0),0)</f>
        <v>0</v>
      </c>
      <c r="C39" s="59">
        <f t="shared" ref="C39" si="36">IFERROR(IF((W39+AB39+AG39)&gt;M39,1,0),0)</f>
        <v>0</v>
      </c>
      <c r="D39" s="71" t="b">
        <v>0</v>
      </c>
      <c r="E39" s="62"/>
      <c r="F39" s="62"/>
      <c r="G39" s="62">
        <v>78</v>
      </c>
      <c r="H39" s="62" t="str">
        <f>VLOOKUP(G39,'[4]Synthèse Amortissements 2025'!$B:$O,14,0)</f>
        <v>RI</v>
      </c>
      <c r="I39" s="62" t="s">
        <v>1126</v>
      </c>
      <c r="J39" s="286" t="s">
        <v>1124</v>
      </c>
      <c r="K39" s="62">
        <v>2468</v>
      </c>
      <c r="L39" s="62" t="s">
        <v>1053</v>
      </c>
      <c r="M39" s="62">
        <v>246.8</v>
      </c>
      <c r="N39" s="62" t="s">
        <v>47</v>
      </c>
      <c r="O39" s="92">
        <v>1</v>
      </c>
      <c r="P39" s="40">
        <f>VALO_AMO!$O39*VALO_AMO!$M39*VALO_PERSO!Y$50/VALO_PERSO!$AF$50</f>
        <v>31.799060330300172</v>
      </c>
      <c r="Q39" s="40">
        <f>VALO_AMO!$O39*VALO_AMO!$M39*VALO_PERSO!Z$50/VALO_PERSO!$AF$50</f>
        <v>121.79866894355557</v>
      </c>
      <c r="R39" s="40">
        <f>VALO_AMO!$O39*VALO_AMO!$M39*VALO_PERSO!AA$50/VALO_PERSO!$AF$50</f>
        <v>62.552455542278935</v>
      </c>
      <c r="S39" s="40">
        <f>VALO_AMO!$O39*VALO_AMO!$M39*VALO_PERSO!AB$50/VALO_PERSO!$AF$50</f>
        <v>11.194956143343346</v>
      </c>
      <c r="T39" s="40">
        <f>VALO_AMO!$O39*VALO_AMO!$M39*VALO_PERSO!AC$50/VALO_PERSO!$AF$50</f>
        <v>15.559201729296531</v>
      </c>
      <c r="U39" s="40">
        <f>VALO_AMO!$O39*VALO_AMO!$M39*VALO_PERSO!AD$50/VALO_PERSO!$AF$50</f>
        <v>3.8956573112254356</v>
      </c>
      <c r="V39" s="40"/>
      <c r="W39" s="79">
        <f t="shared" si="5"/>
        <v>246.8</v>
      </c>
      <c r="X39" s="233"/>
      <c r="Y39" s="92" t="str">
        <f>IF(N39=parametrage!$M$2,VALO_AMO!$AO$7,IF(N39=parametrage!$M$3,VALO_AMO!$AU$7,"à définir"))</f>
        <v>à définir</v>
      </c>
      <c r="Z39" s="40">
        <f>IFERROR(IF(OR($N39=parametrage!$M$2,$N39=parametrage!$M$3),VALO_AMO!$Y39*VALO_AMO!$M39*VALO_PERSO!AI$16/VALO_PERSO!$AK$16,0),0)</f>
        <v>0</v>
      </c>
      <c r="AA39" s="40"/>
      <c r="AB39" s="79">
        <f t="shared" si="6"/>
        <v>0</v>
      </c>
      <c r="AC39" s="42">
        <f>VLOOKUP(G39,'Verif VS 24'!$A$51:$F$112,6,0)</f>
        <v>1</v>
      </c>
      <c r="AD39" s="92" t="str">
        <f>IF(N39=parametrage!$M$2,VALO_AMO!$AO$10,IF(N39=parametrage!$M$3,VALO_AMO!$AU$10,"à définir"))</f>
        <v>à définir</v>
      </c>
      <c r="AE39" s="40">
        <f>IFERROR(IF(OR($N39=parametrage!$M$2,$N39=parametrage!$M$3),VALO_AMO!$AD39*VALO_AMO!$M39*VALO_PERSO!AN$50/VALO_PERSO!$AP$50,0),0)</f>
        <v>0</v>
      </c>
      <c r="AF39" s="40"/>
      <c r="AG39" s="79">
        <f t="shared" ref="AG39" si="37">SUM(AE39:AF39)</f>
        <v>0</v>
      </c>
    </row>
    <row r="40" spans="1:33" ht="15.75" x14ac:dyDescent="0.3">
      <c r="A40" s="42" t="s">
        <v>863</v>
      </c>
      <c r="B40" s="49">
        <f t="shared" ref="B40" si="38">IFERROR(IF((O40+Y40+AD40)&gt;1,1,0),0)</f>
        <v>0</v>
      </c>
      <c r="C40" s="59">
        <f t="shared" ref="C40" si="39">IFERROR(IF((W40+AB40+AG40)&gt;M40,1,0),0)</f>
        <v>0</v>
      </c>
      <c r="D40" s="71" t="b">
        <v>0</v>
      </c>
      <c r="E40" s="62"/>
      <c r="F40" s="62"/>
      <c r="G40" s="62">
        <v>81</v>
      </c>
      <c r="H40" s="62" t="str">
        <f>VLOOKUP(G40,'[4]Synthèse Amortissements 2025'!$B:$O,14,0)</f>
        <v>DE</v>
      </c>
      <c r="I40" s="62" t="s">
        <v>1127</v>
      </c>
      <c r="J40" s="286" t="s">
        <v>1128</v>
      </c>
      <c r="K40" s="62">
        <v>685.2</v>
      </c>
      <c r="L40" s="62" t="s">
        <v>1053</v>
      </c>
      <c r="M40" s="62">
        <v>68.52</v>
      </c>
      <c r="N40" s="62" t="s">
        <v>47</v>
      </c>
      <c r="O40" s="92">
        <v>1</v>
      </c>
      <c r="P40" s="40">
        <f>VALO_AMO!$O40*VALO_AMO!$M40*VALO_PERSO!Y$50/VALO_PERSO!$AF$50</f>
        <v>8.8284911419455749</v>
      </c>
      <c r="Q40" s="40">
        <f>VALO_AMO!$O40*VALO_AMO!$M40*VALO_PERSO!Z$50/VALO_PERSO!$AF$50</f>
        <v>33.815416515447438</v>
      </c>
      <c r="R40" s="40">
        <f>VALO_AMO!$O40*VALO_AMO!$M40*VALO_PERSO!AA$50/VALO_PERSO!$AF$50</f>
        <v>17.366670396097859</v>
      </c>
      <c r="S40" s="40">
        <f>VALO_AMO!$O40*VALO_AMO!$M40*VALO_PERSO!AB$50/VALO_PERSO!$AF$50</f>
        <v>3.1080972242377873</v>
      </c>
      <c r="T40" s="40">
        <f>VALO_AMO!$O40*VALO_AMO!$M40*VALO_PERSO!AC$50/VALO_PERSO!$AF$50</f>
        <v>4.3197589241952921</v>
      </c>
      <c r="U40" s="40">
        <f>VALO_AMO!$O40*VALO_AMO!$M40*VALO_PERSO!AD$50/VALO_PERSO!$AF$50</f>
        <v>1.0815657980760407</v>
      </c>
      <c r="V40" s="40"/>
      <c r="W40" s="79">
        <f t="shared" si="5"/>
        <v>68.52</v>
      </c>
      <c r="X40" s="233"/>
      <c r="Y40" s="92" t="str">
        <f>IF(N40=parametrage!$M$2,VALO_AMO!$AO$7,IF(N40=parametrage!$M$3,VALO_AMO!$AU$7,"à définir"))</f>
        <v>à définir</v>
      </c>
      <c r="Z40" s="40">
        <f>IFERROR(IF(OR($N40=parametrage!$M$2,$N40=parametrage!$M$3),VALO_AMO!$Y40*VALO_AMO!$M40*VALO_PERSO!AI$16/VALO_PERSO!$AK$16,0),0)</f>
        <v>0</v>
      </c>
      <c r="AA40" s="40"/>
      <c r="AB40" s="79">
        <f t="shared" si="6"/>
        <v>0</v>
      </c>
      <c r="AC40" s="42">
        <f>VLOOKUP(G40,'Verif VS 24'!$A$51:$F$112,6,0)</f>
        <v>1</v>
      </c>
      <c r="AD40" s="92" t="str">
        <f>IF(N40=parametrage!$M$2,VALO_AMO!$AO$10,IF(N40=parametrage!$M$3,VALO_AMO!$AU$10,"à définir"))</f>
        <v>à définir</v>
      </c>
      <c r="AE40" s="40">
        <f>IFERROR(IF(OR($N40=parametrage!$M$2,$N40=parametrage!$M$3),VALO_AMO!$AD40*VALO_AMO!$M40*VALO_PERSO!AN$50/VALO_PERSO!$AP$50,0),0)</f>
        <v>0</v>
      </c>
      <c r="AF40" s="40"/>
      <c r="AG40" s="79">
        <f t="shared" ref="AG40" si="40">SUM(AE40:AF40)</f>
        <v>0</v>
      </c>
    </row>
    <row r="41" spans="1:33" ht="15.75" x14ac:dyDescent="0.3">
      <c r="A41" s="42" t="s">
        <v>863</v>
      </c>
      <c r="B41" s="49">
        <f t="shared" ref="B41" si="41">IFERROR(IF((O41+Y41+AD41)&gt;1,1,0),0)</f>
        <v>0</v>
      </c>
      <c r="C41" s="59">
        <f t="shared" ref="C41" si="42">IFERROR(IF((W41+AB41+AG41)&gt;M41,1,0),0)</f>
        <v>0</v>
      </c>
      <c r="D41" s="71" t="b">
        <v>0</v>
      </c>
      <c r="E41" s="62"/>
      <c r="F41" s="62"/>
      <c r="G41" s="62">
        <v>84</v>
      </c>
      <c r="H41" s="62" t="str">
        <f>VLOOKUP(G41,'[4]Synthèse Amortissements 2025'!$B:$O,14,0)</f>
        <v>DE</v>
      </c>
      <c r="I41" s="62" t="s">
        <v>1129</v>
      </c>
      <c r="J41" s="286" t="s">
        <v>1119</v>
      </c>
      <c r="K41" s="62">
        <v>17475</v>
      </c>
      <c r="L41" s="62" t="s">
        <v>1053</v>
      </c>
      <c r="M41" s="62">
        <v>1747.5</v>
      </c>
      <c r="N41" s="62" t="s">
        <v>47</v>
      </c>
      <c r="O41" s="92">
        <v>1</v>
      </c>
      <c r="P41" s="40">
        <f>VALO_AMO!$O41*VALO_AMO!$M41*VALO_PERSO!Y$50/VALO_PERSO!$AF$50</f>
        <v>225.15744703079233</v>
      </c>
      <c r="Q41" s="40">
        <f>VALO_AMO!$O41*VALO_AMO!$M41*VALO_PERSO!Z$50/VALO_PERSO!$AF$50</f>
        <v>862.41156393380618</v>
      </c>
      <c r="R41" s="40">
        <f>VALO_AMO!$O41*VALO_AMO!$M41*VALO_PERSO!AA$50/VALO_PERSO!$AF$50</f>
        <v>442.91092406860787</v>
      </c>
      <c r="S41" s="40">
        <f>VALO_AMO!$O41*VALO_AMO!$M41*VALO_PERSO!AB$50/VALO_PERSO!$AF$50</f>
        <v>79.267365723227272</v>
      </c>
      <c r="T41" s="40">
        <f>VALO_AMO!$O41*VALO_AMO!$M41*VALO_PERSO!AC$50/VALO_PERSO!$AF$50</f>
        <v>110.16898307109271</v>
      </c>
      <c r="U41" s="40">
        <f>VALO_AMO!$O41*VALO_AMO!$M41*VALO_PERSO!AD$50/VALO_PERSO!$AF$50</f>
        <v>27.583716172473455</v>
      </c>
      <c r="V41" s="40"/>
      <c r="W41" s="79">
        <f t="shared" si="5"/>
        <v>1747.4999999999998</v>
      </c>
      <c r="X41" s="233"/>
      <c r="Y41" s="92" t="str">
        <f>IF(N41=parametrage!$M$2,VALO_AMO!$AO$7,IF(N41=parametrage!$M$3,VALO_AMO!$AU$7,"à définir"))</f>
        <v>à définir</v>
      </c>
      <c r="Z41" s="40">
        <f>IFERROR(IF(OR($N41=parametrage!$M$2,$N41=parametrage!$M$3),VALO_AMO!$Y41*VALO_AMO!$M41*VALO_PERSO!AI$16/VALO_PERSO!$AK$16,0),0)</f>
        <v>0</v>
      </c>
      <c r="AA41" s="40"/>
      <c r="AB41" s="79">
        <f t="shared" si="6"/>
        <v>0</v>
      </c>
      <c r="AC41" s="42">
        <f>VLOOKUP(G41,'Verif VS 24'!$A$51:$F$112,6,0)</f>
        <v>1</v>
      </c>
      <c r="AD41" s="92" t="str">
        <f>IF(N41=parametrage!$M$2,VALO_AMO!$AO$10,IF(N41=parametrage!$M$3,VALO_AMO!$AU$10,"à définir"))</f>
        <v>à définir</v>
      </c>
      <c r="AE41" s="40">
        <f>IFERROR(IF(OR($N41=parametrage!$M$2,$N41=parametrage!$M$3),VALO_AMO!$AD41*VALO_AMO!$M41*VALO_PERSO!AN$50/VALO_PERSO!$AP$50,0),0)</f>
        <v>0</v>
      </c>
      <c r="AF41" s="40"/>
      <c r="AG41" s="79">
        <f t="shared" ref="AG41" si="43">SUM(AE41:AF41)</f>
        <v>0</v>
      </c>
    </row>
    <row r="42" spans="1:33" ht="15.75" x14ac:dyDescent="0.3">
      <c r="A42" s="42" t="s">
        <v>863</v>
      </c>
      <c r="B42" s="49">
        <f t="shared" ref="B42" si="44">IFERROR(IF((O42+Y42+AD42)&gt;1,1,0),0)</f>
        <v>0</v>
      </c>
      <c r="C42" s="59">
        <f t="shared" ref="C42" si="45">IFERROR(IF((W42+AB42+AG42)&gt;M42,1,0),0)</f>
        <v>0</v>
      </c>
      <c r="D42" s="71" t="b">
        <v>0</v>
      </c>
      <c r="E42" s="62"/>
      <c r="F42" s="62"/>
      <c r="G42" s="62">
        <v>85</v>
      </c>
      <c r="H42" s="62" t="str">
        <f>VLOOKUP(G42,'[4]Synthèse Amortissements 2025'!$B:$O,14,0)</f>
        <v>RI</v>
      </c>
      <c r="I42" s="62" t="s">
        <v>1130</v>
      </c>
      <c r="J42" s="286" t="s">
        <v>1119</v>
      </c>
      <c r="K42" s="62">
        <v>499317</v>
      </c>
      <c r="L42" s="62" t="s">
        <v>1053</v>
      </c>
      <c r="M42" s="62">
        <v>49931.7</v>
      </c>
      <c r="N42" s="62" t="s">
        <v>47</v>
      </c>
      <c r="O42" s="92">
        <v>1</v>
      </c>
      <c r="P42" s="40">
        <f>VALO_AMO!$O42*VALO_AMO!$M42*VALO_PERSO!Y$50/VALO_PERSO!$AF$50</f>
        <v>6433.4730174005226</v>
      </c>
      <c r="Q42" s="40">
        <f>VALO_AMO!$O42*VALO_AMO!$M42*VALO_PERSO!Z$50/VALO_PERSO!$AF$50</f>
        <v>24641.87438447704</v>
      </c>
      <c r="R42" s="40">
        <f>VALO_AMO!$O42*VALO_AMO!$M42*VALO_PERSO!AA$50/VALO_PERSO!$AF$50</f>
        <v>12655.390779580262</v>
      </c>
      <c r="S42" s="40">
        <f>VALO_AMO!$O42*VALO_AMO!$M42*VALO_PERSO!AB$50/VALO_PERSO!$AF$50</f>
        <v>2264.9237911773776</v>
      </c>
      <c r="T42" s="40">
        <f>VALO_AMO!$O42*VALO_AMO!$M42*VALO_PERSO!AC$50/VALO_PERSO!$AF$50</f>
        <v>3147.8824675312617</v>
      </c>
      <c r="U42" s="40">
        <f>VALO_AMO!$O42*VALO_AMO!$M42*VALO_PERSO!AD$50/VALO_PERSO!$AF$50</f>
        <v>788.15555983352942</v>
      </c>
      <c r="V42" s="40"/>
      <c r="W42" s="79">
        <f t="shared" si="5"/>
        <v>49931.7</v>
      </c>
      <c r="X42" s="233"/>
      <c r="Y42" s="92" t="str">
        <f>IF(N42=parametrage!$M$2,VALO_AMO!$AO$7,IF(N42=parametrage!$M$3,VALO_AMO!$AU$7,"à définir"))</f>
        <v>à définir</v>
      </c>
      <c r="Z42" s="40">
        <f>IFERROR(IF(OR($N42=parametrage!$M$2,$N42=parametrage!$M$3),VALO_AMO!$Y42*VALO_AMO!$M42*VALO_PERSO!AI$16/VALO_PERSO!$AK$16,0),0)</f>
        <v>0</v>
      </c>
      <c r="AA42" s="40"/>
      <c r="AB42" s="79">
        <f t="shared" si="6"/>
        <v>0</v>
      </c>
      <c r="AC42" s="42">
        <f>VLOOKUP(G42,'Verif VS 24'!$A$51:$F$112,6,0)</f>
        <v>1</v>
      </c>
      <c r="AD42" s="92" t="str">
        <f>IF(N42=parametrage!$M$2,VALO_AMO!$AO$10,IF(N42=parametrage!$M$3,VALO_AMO!$AU$10,"à définir"))</f>
        <v>à définir</v>
      </c>
      <c r="AE42" s="40">
        <f>IFERROR(IF(OR($N42=parametrage!$M$2,$N42=parametrage!$M$3),VALO_AMO!$AD42*VALO_AMO!$M42*VALO_PERSO!AN$50/VALO_PERSO!$AP$50,0),0)</f>
        <v>0</v>
      </c>
      <c r="AF42" s="40"/>
      <c r="AG42" s="79">
        <f t="shared" ref="AG42" si="46">SUM(AE42:AF42)</f>
        <v>0</v>
      </c>
    </row>
    <row r="43" spans="1:33" ht="15.75" x14ac:dyDescent="0.3">
      <c r="A43" s="42" t="s">
        <v>863</v>
      </c>
      <c r="B43" s="49">
        <f t="shared" ref="B43" si="47">IFERROR(IF((O43+Y43+AD43)&gt;1,1,0),0)</f>
        <v>0</v>
      </c>
      <c r="C43" s="59">
        <f t="shared" ref="C43" si="48">IFERROR(IF((W43+AB43+AG43)&gt;M43,1,0),0)</f>
        <v>0</v>
      </c>
      <c r="D43" s="71" t="b">
        <v>0</v>
      </c>
      <c r="E43" s="62"/>
      <c r="F43" s="62"/>
      <c r="G43" s="62">
        <v>86</v>
      </c>
      <c r="H43" s="62" t="str">
        <f>VLOOKUP(G43,'[4]Synthèse Amortissements 2025'!$B:$O,14,0)</f>
        <v>DE</v>
      </c>
      <c r="I43" s="62" t="s">
        <v>1131</v>
      </c>
      <c r="J43" s="286" t="s">
        <v>1065</v>
      </c>
      <c r="K43" s="62">
        <v>1117.5</v>
      </c>
      <c r="L43" s="62" t="s">
        <v>1053</v>
      </c>
      <c r="M43" s="62">
        <v>111.75</v>
      </c>
      <c r="N43" s="62" t="s">
        <v>47</v>
      </c>
      <c r="O43" s="92">
        <v>1</v>
      </c>
      <c r="P43" s="40">
        <f>VALO_AMO!$O43*VALO_AMO!$M43*VALO_PERSO!Y$50/VALO_PERSO!$AF$50</f>
        <v>14.398480518278136</v>
      </c>
      <c r="Q43" s="40">
        <f>VALO_AMO!$O43*VALO_AMO!$M43*VALO_PERSO!Z$50/VALO_PERSO!$AF$50</f>
        <v>55.149924045552417</v>
      </c>
      <c r="R43" s="40">
        <f>VALO_AMO!$O43*VALO_AMO!$M43*VALO_PERSO!AA$50/VALO_PERSO!$AF$50</f>
        <v>28.323488277348748</v>
      </c>
      <c r="S43" s="40">
        <f>VALO_AMO!$O43*VALO_AMO!$M43*VALO_PERSO!AB$50/VALO_PERSO!$AF$50</f>
        <v>5.0690289668501567</v>
      </c>
      <c r="T43" s="40">
        <f>VALO_AMO!$O43*VALO_AMO!$M43*VALO_PERSO!AC$50/VALO_PERSO!$AF$50</f>
        <v>7.0451409775076455</v>
      </c>
      <c r="U43" s="40">
        <f>VALO_AMO!$O43*VALO_AMO!$M43*VALO_PERSO!AD$50/VALO_PERSO!$AF$50</f>
        <v>1.7639372144628949</v>
      </c>
      <c r="V43" s="40"/>
      <c r="W43" s="79">
        <f t="shared" si="5"/>
        <v>111.75</v>
      </c>
      <c r="X43" s="233"/>
      <c r="Y43" s="92" t="str">
        <f>IF(N43=parametrage!$M$2,VALO_AMO!$AO$7,IF(N43=parametrage!$M$3,VALO_AMO!$AU$7,"à définir"))</f>
        <v>à définir</v>
      </c>
      <c r="Z43" s="40">
        <f>IFERROR(IF(OR($N43=parametrage!$M$2,$N43=parametrage!$M$3),VALO_AMO!$Y43*VALO_AMO!$M43*VALO_PERSO!AI$16/VALO_PERSO!$AK$16,0),0)</f>
        <v>0</v>
      </c>
      <c r="AA43" s="40"/>
      <c r="AB43" s="79">
        <f t="shared" si="6"/>
        <v>0</v>
      </c>
      <c r="AC43" s="42">
        <f>VLOOKUP(G43,'Verif VS 24'!$A$51:$F$112,6,0)</f>
        <v>1</v>
      </c>
      <c r="AD43" s="92" t="str">
        <f>IF(N43=parametrage!$M$2,VALO_AMO!$AO$10,IF(N43=parametrage!$M$3,VALO_AMO!$AU$10,"à définir"))</f>
        <v>à définir</v>
      </c>
      <c r="AE43" s="40">
        <f>IFERROR(IF(OR($N43=parametrage!$M$2,$N43=parametrage!$M$3),VALO_AMO!$AD43*VALO_AMO!$M43*VALO_PERSO!AN$50/VALO_PERSO!$AP$50,0),0)</f>
        <v>0</v>
      </c>
      <c r="AF43" s="40"/>
      <c r="AG43" s="79">
        <f t="shared" ref="AG43" si="49">SUM(AE43:AF43)</f>
        <v>0</v>
      </c>
    </row>
    <row r="44" spans="1:33" ht="15.75" x14ac:dyDescent="0.3">
      <c r="A44" s="42" t="s">
        <v>863</v>
      </c>
      <c r="B44" s="49">
        <f t="shared" ref="B44" si="50">IFERROR(IF((O44+Y44+AD44)&gt;1,1,0),0)</f>
        <v>0</v>
      </c>
      <c r="C44" s="59">
        <f t="shared" ref="C44" si="51">IFERROR(IF((W44+AB44+AG44)&gt;M44,1,0),0)</f>
        <v>0</v>
      </c>
      <c r="D44" s="71" t="b">
        <v>0</v>
      </c>
      <c r="E44" s="62"/>
      <c r="F44" s="62"/>
      <c r="G44" s="62">
        <v>87</v>
      </c>
      <c r="H44" s="62" t="str">
        <f>VLOOKUP(G44,'[4]Synthèse Amortissements 2025'!$B:$O,14,0)</f>
        <v>RI</v>
      </c>
      <c r="I44" s="62" t="s">
        <v>1132</v>
      </c>
      <c r="J44" s="286" t="s">
        <v>1065</v>
      </c>
      <c r="K44" s="62">
        <v>769.5</v>
      </c>
      <c r="L44" s="62" t="s">
        <v>1053</v>
      </c>
      <c r="M44" s="62">
        <v>76.95</v>
      </c>
      <c r="N44" s="62" t="s">
        <v>47</v>
      </c>
      <c r="O44" s="92">
        <v>1</v>
      </c>
      <c r="P44" s="40">
        <f>VALO_AMO!$O44*VALO_AMO!$M44*VALO_PERSO!Y$50/VALO_PERSO!$AF$50</f>
        <v>9.9146583971499105</v>
      </c>
      <c r="Q44" s="40">
        <f>VALO_AMO!$O44*VALO_AMO!$M44*VALO_PERSO!Z$50/VALO_PERSO!$AF$50</f>
        <v>37.975719510561596</v>
      </c>
      <c r="R44" s="40">
        <f>VALO_AMO!$O44*VALO_AMO!$M44*VALO_PERSO!AA$50/VALO_PERSO!$AF$50</f>
        <v>19.503287901046857</v>
      </c>
      <c r="S44" s="40">
        <f>VALO_AMO!$O44*VALO_AMO!$M44*VALO_PERSO!AB$50/VALO_PERSO!$AF$50</f>
        <v>3.490485718112927</v>
      </c>
      <c r="T44" s="40">
        <f>VALO_AMO!$O44*VALO_AMO!$M44*VALO_PERSO!AC$50/VALO_PERSO!$AF$50</f>
        <v>4.8512178811562725</v>
      </c>
      <c r="U44" s="40">
        <f>VALO_AMO!$O44*VALO_AMO!$M44*VALO_PERSO!AD$50/VALO_PERSO!$AF$50</f>
        <v>1.2146305919724363</v>
      </c>
      <c r="V44" s="40"/>
      <c r="W44" s="79">
        <f t="shared" si="5"/>
        <v>76.95</v>
      </c>
      <c r="X44" s="233"/>
      <c r="Y44" s="92" t="str">
        <f>IF(N44=parametrage!$M$2,VALO_AMO!$AO$7,IF(N44=parametrage!$M$3,VALO_AMO!$AU$7,"à définir"))</f>
        <v>à définir</v>
      </c>
      <c r="Z44" s="40">
        <f>IFERROR(IF(OR($N44=parametrage!$M$2,$N44=parametrage!$M$3),VALO_AMO!$Y44*VALO_AMO!$M44*VALO_PERSO!AI$16/VALO_PERSO!$AK$16,0),0)</f>
        <v>0</v>
      </c>
      <c r="AA44" s="40"/>
      <c r="AB44" s="79">
        <f t="shared" si="6"/>
        <v>0</v>
      </c>
      <c r="AC44" s="42">
        <f>VLOOKUP(G44,'Verif VS 24'!$A$51:$F$112,6,0)</f>
        <v>1</v>
      </c>
      <c r="AD44" s="92" t="str">
        <f>IF(N44=parametrage!$M$2,VALO_AMO!$AO$10,IF(N44=parametrage!$M$3,VALO_AMO!$AU$10,"à définir"))</f>
        <v>à définir</v>
      </c>
      <c r="AE44" s="40">
        <f>IFERROR(IF(OR($N44=parametrage!$M$2,$N44=parametrage!$M$3),VALO_AMO!$AD44*VALO_AMO!$M44*VALO_PERSO!AN$50/VALO_PERSO!$AP$50,0),0)</f>
        <v>0</v>
      </c>
      <c r="AF44" s="40"/>
      <c r="AG44" s="79">
        <f t="shared" ref="AG44" si="52">SUM(AE44:AF44)</f>
        <v>0</v>
      </c>
    </row>
    <row r="45" spans="1:33" ht="15.75" x14ac:dyDescent="0.3">
      <c r="A45" s="42" t="s">
        <v>863</v>
      </c>
      <c r="B45" s="49">
        <f t="shared" ref="B45" si="53">IFERROR(IF((O45+Y45+AD45)&gt;1,1,0),0)</f>
        <v>0</v>
      </c>
      <c r="C45" s="59">
        <f t="shared" ref="C45" si="54">IFERROR(IF((W45+AB45+AG45)&gt;M45,1,0),0)</f>
        <v>0</v>
      </c>
      <c r="D45" s="71" t="b">
        <v>0</v>
      </c>
      <c r="E45" s="62"/>
      <c r="F45" s="62"/>
      <c r="G45" s="62">
        <v>88</v>
      </c>
      <c r="H45" s="62" t="str">
        <f>VLOOKUP(G45,'[4]Synthèse Amortissements 2025'!$B:$O,14,0)</f>
        <v>RI</v>
      </c>
      <c r="I45" s="62" t="s">
        <v>1133</v>
      </c>
      <c r="J45" s="286" t="s">
        <v>1065</v>
      </c>
      <c r="K45" s="62">
        <v>525.29999999999995</v>
      </c>
      <c r="L45" s="62" t="s">
        <v>1053</v>
      </c>
      <c r="M45" s="62">
        <v>52.53</v>
      </c>
      <c r="N45" s="62" t="s">
        <v>47</v>
      </c>
      <c r="O45" s="92">
        <v>1</v>
      </c>
      <c r="P45" s="40">
        <f>VALO_AMO!$O45*VALO_AMO!$M45*VALO_PERSO!Y$50/VALO_PERSO!$AF$50</f>
        <v>6.7682521845651049</v>
      </c>
      <c r="Q45" s="40">
        <f>VALO_AMO!$O45*VALO_AMO!$M45*VALO_PERSO!Z$50/VALO_PERSO!$AF$50</f>
        <v>25.924165638593902</v>
      </c>
      <c r="R45" s="40">
        <f>VALO_AMO!$O45*VALO_AMO!$M45*VALO_PERSO!AA$50/VALO_PERSO!$AF$50</f>
        <v>13.313940395607425</v>
      </c>
      <c r="S45" s="40">
        <f>VALO_AMO!$O45*VALO_AMO!$M45*VALO_PERSO!AB$50/VALO_PERSO!$AF$50</f>
        <v>2.3827838177059393</v>
      </c>
      <c r="T45" s="40">
        <f>VALO_AMO!$O45*VALO_AMO!$M45*VALO_PERSO!AC$50/VALO_PERSO!$AF$50</f>
        <v>3.3116890876821179</v>
      </c>
      <c r="U45" s="40">
        <f>VALO_AMO!$O45*VALO_AMO!$M45*VALO_PERSO!AD$50/VALO_PERSO!$AF$50</f>
        <v>0.82916887584551102</v>
      </c>
      <c r="V45" s="40"/>
      <c r="W45" s="79">
        <f t="shared" si="5"/>
        <v>52.53</v>
      </c>
      <c r="X45" s="233"/>
      <c r="Y45" s="92" t="str">
        <f>IF(N45=parametrage!$M$2,VALO_AMO!$AO$7,IF(N45=parametrage!$M$3,VALO_AMO!$AU$7,"à définir"))</f>
        <v>à définir</v>
      </c>
      <c r="Z45" s="40">
        <f>IFERROR(IF(OR($N45=parametrage!$M$2,$N45=parametrage!$M$3),VALO_AMO!$Y45*VALO_AMO!$M45*VALO_PERSO!AI$16/VALO_PERSO!$AK$16,0),0)</f>
        <v>0</v>
      </c>
      <c r="AA45" s="40"/>
      <c r="AB45" s="79">
        <f t="shared" si="6"/>
        <v>0</v>
      </c>
      <c r="AC45" s="42">
        <f>VLOOKUP(G45,'Verif VS 24'!$A$51:$F$112,6,0)</f>
        <v>1</v>
      </c>
      <c r="AD45" s="92" t="str">
        <f>IF(N45=parametrage!$M$2,VALO_AMO!$AO$10,IF(N45=parametrage!$M$3,VALO_AMO!$AU$10,"à définir"))</f>
        <v>à définir</v>
      </c>
      <c r="AE45" s="40">
        <f>IFERROR(IF(OR($N45=parametrage!$M$2,$N45=parametrage!$M$3),VALO_AMO!$AD45*VALO_AMO!$M45*VALO_PERSO!AN$50/VALO_PERSO!$AP$50,0),0)</f>
        <v>0</v>
      </c>
      <c r="AF45" s="40"/>
      <c r="AG45" s="79">
        <f t="shared" ref="AG45" si="55">SUM(AE45:AF45)</f>
        <v>0</v>
      </c>
    </row>
    <row r="46" spans="1:33" ht="15.75" x14ac:dyDescent="0.3">
      <c r="A46" s="42" t="s">
        <v>863</v>
      </c>
      <c r="B46" s="49">
        <f t="shared" ref="B46" si="56">IFERROR(IF((O46+Y46+AD46)&gt;1,1,0),0)</f>
        <v>0</v>
      </c>
      <c r="C46" s="59">
        <f t="shared" ref="C46" si="57">IFERROR(IF((W46+AB46+AG46)&gt;M46,1,0),0)</f>
        <v>0</v>
      </c>
      <c r="D46" s="71" t="b">
        <v>0</v>
      </c>
      <c r="E46" s="62"/>
      <c r="F46" s="62"/>
      <c r="G46" s="62">
        <v>89</v>
      </c>
      <c r="H46" s="62" t="str">
        <f>VLOOKUP(G46,'[4]Synthèse Amortissements 2025'!$B:$O,14,0)</f>
        <v>DE</v>
      </c>
      <c r="I46" s="62" t="s">
        <v>1134</v>
      </c>
      <c r="J46" s="286" t="s">
        <v>1135</v>
      </c>
      <c r="K46" s="62">
        <v>401.7</v>
      </c>
      <c r="L46" s="62" t="s">
        <v>1053</v>
      </c>
      <c r="M46" s="62">
        <v>40.17</v>
      </c>
      <c r="N46" s="62" t="s">
        <v>47</v>
      </c>
      <c r="O46" s="92">
        <v>1</v>
      </c>
      <c r="P46" s="40">
        <f>VALO_AMO!$O46*VALO_AMO!$M46*VALO_PERSO!Y$50/VALO_PERSO!$AF$50</f>
        <v>5.1757222587850809</v>
      </c>
      <c r="Q46" s="40">
        <f>VALO_AMO!$O46*VALO_AMO!$M46*VALO_PERSO!Z$50/VALO_PERSO!$AF$50</f>
        <v>19.824361958924747</v>
      </c>
      <c r="R46" s="40">
        <f>VALO_AMO!$O46*VALO_AMO!$M46*VALO_PERSO!AA$50/VALO_PERSO!$AF$50</f>
        <v>10.181248537817444</v>
      </c>
      <c r="S46" s="40">
        <f>VALO_AMO!$O46*VALO_AMO!$M46*VALO_PERSO!AB$50/VALO_PERSO!$AF$50</f>
        <v>1.8221288017751303</v>
      </c>
      <c r="T46" s="40">
        <f>VALO_AMO!$O46*VALO_AMO!$M46*VALO_PERSO!AC$50/VALO_PERSO!$AF$50</f>
        <v>2.5324681258745607</v>
      </c>
      <c r="U46" s="40">
        <f>VALO_AMO!$O46*VALO_AMO!$M46*VALO_PERSO!AD$50/VALO_PERSO!$AF$50</f>
        <v>0.63407031682303794</v>
      </c>
      <c r="V46" s="40"/>
      <c r="W46" s="79">
        <f t="shared" si="5"/>
        <v>40.169999999999995</v>
      </c>
      <c r="X46" s="233"/>
      <c r="Y46" s="92" t="str">
        <f>IF(N46=parametrage!$M$2,VALO_AMO!$AO$7,IF(N46=parametrage!$M$3,VALO_AMO!$AU$7,"à définir"))</f>
        <v>à définir</v>
      </c>
      <c r="Z46" s="40">
        <f>IFERROR(IF(OR($N46=parametrage!$M$2,$N46=parametrage!$M$3),VALO_AMO!$Y46*VALO_AMO!$M46*VALO_PERSO!AI$16/VALO_PERSO!$AK$16,0),0)</f>
        <v>0</v>
      </c>
      <c r="AA46" s="40"/>
      <c r="AB46" s="79">
        <f t="shared" si="6"/>
        <v>0</v>
      </c>
      <c r="AC46" s="42">
        <f>VLOOKUP(G46,'Verif VS 24'!$A$51:$F$112,6,0)</f>
        <v>1</v>
      </c>
      <c r="AD46" s="92" t="str">
        <f>IF(N46=parametrage!$M$2,VALO_AMO!$AO$10,IF(N46=parametrage!$M$3,VALO_AMO!$AU$10,"à définir"))</f>
        <v>à définir</v>
      </c>
      <c r="AE46" s="40">
        <f>IFERROR(IF(OR($N46=parametrage!$M$2,$N46=parametrage!$M$3),VALO_AMO!$AD46*VALO_AMO!$M46*VALO_PERSO!AN$50/VALO_PERSO!$AP$50,0),0)</f>
        <v>0</v>
      </c>
      <c r="AF46" s="40"/>
      <c r="AG46" s="79">
        <f t="shared" ref="AG46" si="58">SUM(AE46:AF46)</f>
        <v>0</v>
      </c>
    </row>
    <row r="47" spans="1:33" ht="15.75" x14ac:dyDescent="0.3">
      <c r="A47" s="42" t="s">
        <v>863</v>
      </c>
      <c r="B47" s="49">
        <f t="shared" ref="B47" si="59">IFERROR(IF((O47+Y47+AD47)&gt;1,1,0),0)</f>
        <v>0</v>
      </c>
      <c r="C47" s="59">
        <f t="shared" ref="C47" si="60">IFERROR(IF((W47+AB47+AG47)&gt;M47,1,0),0)</f>
        <v>0</v>
      </c>
      <c r="D47" s="71" t="b">
        <v>0</v>
      </c>
      <c r="E47" s="62"/>
      <c r="F47" s="62"/>
      <c r="G47" s="62">
        <v>91</v>
      </c>
      <c r="H47" s="62" t="str">
        <f>VLOOKUP(G47,'[4]Synthèse Amortissements 2025'!$B:$O,14,0)</f>
        <v>DE</v>
      </c>
      <c r="I47" s="62" t="s">
        <v>1150</v>
      </c>
      <c r="J47" s="286" t="s">
        <v>1075</v>
      </c>
      <c r="K47" s="62">
        <v>7920</v>
      </c>
      <c r="L47" s="62" t="s">
        <v>1053</v>
      </c>
      <c r="M47" s="62">
        <v>792</v>
      </c>
      <c r="N47" s="62" t="s">
        <v>47</v>
      </c>
      <c r="O47" s="92">
        <v>1</v>
      </c>
      <c r="P47" s="40">
        <f>VALO_AMO!$O47*VALO_AMO!$M47*VALO_PERSO!Y$50/VALO_PERSO!$AF$50</f>
        <v>102.04560689464236</v>
      </c>
      <c r="Q47" s="40">
        <f>VALO_AMO!$O47*VALO_AMO!$M47*VALO_PERSO!Z$50/VALO_PERSO!$AF$50</f>
        <v>390.86120665841173</v>
      </c>
      <c r="R47" s="40">
        <f>VALO_AMO!$O47*VALO_AMO!$M47*VALO_PERSO!AA$50/VALO_PERSO!$AF$50</f>
        <v>200.73559477100858</v>
      </c>
      <c r="S47" s="40">
        <f>VALO_AMO!$O47*VALO_AMO!$M47*VALO_PERSO!AB$50/VALO_PERSO!$AF$50</f>
        <v>35.925467040226614</v>
      </c>
      <c r="T47" s="40">
        <f>VALO_AMO!$O47*VALO_AMO!$M47*VALO_PERSO!AC$50/VALO_PERSO!$AF$50</f>
        <v>49.930663572134726</v>
      </c>
      <c r="U47" s="40">
        <f>VALO_AMO!$O47*VALO_AMO!$M47*VALO_PERSO!AD$50/VALO_PERSO!$AF$50</f>
        <v>12.501461063575951</v>
      </c>
      <c r="V47" s="40"/>
      <c r="W47" s="79">
        <f t="shared" si="5"/>
        <v>791.99999999999989</v>
      </c>
      <c r="X47" s="233"/>
      <c r="Y47" s="92" t="str">
        <f>IF(N47=parametrage!$M$2,VALO_AMO!$AO$7,IF(N47=parametrage!$M$3,VALO_AMO!$AU$7,"à définir"))</f>
        <v>à définir</v>
      </c>
      <c r="Z47" s="40">
        <f>IFERROR(IF(OR($N47=parametrage!$M$2,$N47=parametrage!$M$3),VALO_AMO!$Y47*VALO_AMO!$M47*VALO_PERSO!AI$16/VALO_PERSO!$AK$16,0),0)</f>
        <v>0</v>
      </c>
      <c r="AA47" s="40"/>
      <c r="AB47" s="79">
        <f t="shared" si="6"/>
        <v>0</v>
      </c>
      <c r="AC47" s="42">
        <f>VLOOKUP(G47,'Verif VS 24'!$A$51:$F$112,6,0)</f>
        <v>1</v>
      </c>
      <c r="AD47" s="92" t="str">
        <f>IF(N47=parametrage!$M$2,VALO_AMO!$AO$10,IF(N47=parametrage!$M$3,VALO_AMO!$AU$10,"à définir"))</f>
        <v>à définir</v>
      </c>
      <c r="AE47" s="40">
        <f>IFERROR(IF(OR($N47=parametrage!$M$2,$N47=parametrage!$M$3),VALO_AMO!$AD47*VALO_AMO!$M47*VALO_PERSO!AN$50/VALO_PERSO!$AP$50,0),0)</f>
        <v>0</v>
      </c>
      <c r="AF47" s="40"/>
      <c r="AG47" s="79">
        <f t="shared" ref="AG47" si="61">SUM(AE47:AF47)</f>
        <v>0</v>
      </c>
    </row>
    <row r="48" spans="1:33" ht="15.75" x14ac:dyDescent="0.3">
      <c r="A48" s="42" t="s">
        <v>863</v>
      </c>
      <c r="B48" s="49">
        <f t="shared" ref="B48" si="62">IFERROR(IF((O48+Y48+AD48)&gt;1,1,0),0)</f>
        <v>0</v>
      </c>
      <c r="C48" s="59">
        <f t="shared" ref="C48" si="63">IFERROR(IF((W48+AB48+AG48)&gt;M48,1,0),0)</f>
        <v>0</v>
      </c>
      <c r="D48" s="71" t="b">
        <v>0</v>
      </c>
      <c r="E48" s="62"/>
      <c r="F48" s="62"/>
      <c r="G48" s="62">
        <v>92</v>
      </c>
      <c r="H48" s="62" t="str">
        <f>VLOOKUP(G48,'[4]Synthèse Amortissements 2025'!$B:$O,14,0)</f>
        <v>DE</v>
      </c>
      <c r="I48" s="62" t="s">
        <v>1136</v>
      </c>
      <c r="J48" s="286" t="s">
        <v>1137</v>
      </c>
      <c r="K48" s="62">
        <v>488.2</v>
      </c>
      <c r="L48" s="62" t="s">
        <v>1053</v>
      </c>
      <c r="M48" s="62">
        <v>48.82</v>
      </c>
      <c r="N48" s="62" t="s">
        <v>47</v>
      </c>
      <c r="O48" s="92">
        <v>1</v>
      </c>
      <c r="P48" s="40">
        <f>VALO_AMO!$O48*VALO_AMO!$M48*VALO_PERSO!Y$50/VALO_PERSO!$AF$50</f>
        <v>6.2902355159045955</v>
      </c>
      <c r="Q48" s="40">
        <f>VALO_AMO!$O48*VALO_AMO!$M48*VALO_PERSO!Z$50/VALO_PERSO!$AF$50</f>
        <v>24.093237511444016</v>
      </c>
      <c r="R48" s="40">
        <f>VALO_AMO!$O48*VALO_AMO!$M48*VALO_PERSO!AA$50/VALO_PERSO!$AF$50</f>
        <v>12.373625930202826</v>
      </c>
      <c r="S48" s="40">
        <f>VALO_AMO!$O48*VALO_AMO!$M48*VALO_PERSO!AB$50/VALO_PERSO!$AF$50</f>
        <v>2.2144965920503328</v>
      </c>
      <c r="T48" s="40">
        <f>VALO_AMO!$O48*VALO_AMO!$M48*VALO_PERSO!AC$50/VALO_PERSO!$AF$50</f>
        <v>3.0777967116055778</v>
      </c>
      <c r="U48" s="40">
        <f>VALO_AMO!$O48*VALO_AMO!$M48*VALO_PERSO!AD$50/VALO_PERSO!$AF$50</f>
        <v>0.7706077387926491</v>
      </c>
      <c r="V48" s="40"/>
      <c r="W48" s="79">
        <f t="shared" si="5"/>
        <v>48.819999999999993</v>
      </c>
      <c r="X48" s="233"/>
      <c r="Y48" s="92" t="str">
        <f>IF(N48=parametrage!$M$2,VALO_AMO!$AO$7,IF(N48=parametrage!$M$3,VALO_AMO!$AU$7,"à définir"))</f>
        <v>à définir</v>
      </c>
      <c r="Z48" s="40">
        <f>IFERROR(IF(OR($N48=parametrage!$M$2,$N48=parametrage!$M$3),VALO_AMO!$Y48*VALO_AMO!$M48*VALO_PERSO!AI$16/VALO_PERSO!$AK$16,0),0)</f>
        <v>0</v>
      </c>
      <c r="AA48" s="40"/>
      <c r="AB48" s="79">
        <f t="shared" si="6"/>
        <v>0</v>
      </c>
      <c r="AC48" s="42">
        <f>VLOOKUP(G48,'Verif VS 24'!$A$51:$F$112,6,0)</f>
        <v>1</v>
      </c>
      <c r="AD48" s="92" t="str">
        <f>IF(N48=parametrage!$M$2,VALO_AMO!$AO$10,IF(N48=parametrage!$M$3,VALO_AMO!$AU$10,"à définir"))</f>
        <v>à définir</v>
      </c>
      <c r="AE48" s="40">
        <f>IFERROR(IF(OR($N48=parametrage!$M$2,$N48=parametrage!$M$3),VALO_AMO!$AD48*VALO_AMO!$M48*VALO_PERSO!AN$50/VALO_PERSO!$AP$50,0),0)</f>
        <v>0</v>
      </c>
      <c r="AF48" s="40"/>
      <c r="AG48" s="79">
        <f t="shared" ref="AG48" si="64">SUM(AE48:AF48)</f>
        <v>0</v>
      </c>
    </row>
    <row r="49" spans="1:33" ht="15.75" x14ac:dyDescent="0.3">
      <c r="A49" s="42" t="s">
        <v>863</v>
      </c>
      <c r="B49" s="49">
        <f t="shared" ref="B49" si="65">IFERROR(IF((O49+Y49+AD49)&gt;1,1,0),0)</f>
        <v>0</v>
      </c>
      <c r="C49" s="59">
        <f t="shared" ref="C49" si="66">IFERROR(IF((W49+AB49+AG49)&gt;M49,1,0),0)</f>
        <v>0</v>
      </c>
      <c r="D49" s="71" t="b">
        <v>0</v>
      </c>
      <c r="E49" s="62"/>
      <c r="F49" s="62"/>
      <c r="G49" s="62">
        <v>93</v>
      </c>
      <c r="H49" s="62" t="str">
        <f>VLOOKUP(G49,'[4]Synthèse Amortissements 2025'!$B:$O,14,0)</f>
        <v>DE</v>
      </c>
      <c r="I49" s="62" t="s">
        <v>1138</v>
      </c>
      <c r="J49" s="286" t="s">
        <v>1139</v>
      </c>
      <c r="K49" s="62">
        <v>336.5</v>
      </c>
      <c r="L49" s="62" t="s">
        <v>1053</v>
      </c>
      <c r="M49" s="62">
        <v>33.65</v>
      </c>
      <c r="N49" s="62" t="s">
        <v>47</v>
      </c>
      <c r="O49" s="92">
        <v>1</v>
      </c>
      <c r="P49" s="40">
        <f>VALO_AMO!$O49*VALO_AMO!$M49*VALO_PERSO!Y$50/VALO_PERSO!$AF$50</f>
        <v>4.3356498383897923</v>
      </c>
      <c r="Q49" s="40">
        <f>VALO_AMO!$O49*VALO_AMO!$M49*VALO_PERSO!Z$50/VALO_PERSO!$AF$50</f>
        <v>16.606666166736812</v>
      </c>
      <c r="R49" s="40">
        <f>VALO_AMO!$O49*VALO_AMO!$M49*VALO_PERSO!AA$50/VALO_PERSO!$AF$50</f>
        <v>8.5287282374298474</v>
      </c>
      <c r="S49" s="40">
        <f>VALO_AMO!$O49*VALO_AMO!$M49*VALO_PERSO!AB$50/VALO_PERSO!$AF$50</f>
        <v>1.5263787448278101</v>
      </c>
      <c r="T49" s="40">
        <f>VALO_AMO!$O49*VALO_AMO!$M49*VALO_PERSO!AC$50/VALO_PERSO!$AF$50</f>
        <v>2.1214227641443606</v>
      </c>
      <c r="U49" s="40">
        <f>VALO_AMO!$O49*VALO_AMO!$M49*VALO_PERSO!AD$50/VALO_PERSO!$AF$50</f>
        <v>0.53115424847137727</v>
      </c>
      <c r="V49" s="40"/>
      <c r="W49" s="79">
        <f t="shared" si="5"/>
        <v>33.65</v>
      </c>
      <c r="X49" s="233"/>
      <c r="Y49" s="92" t="str">
        <f>IF(N49=parametrage!$M$2,VALO_AMO!$AO$7,IF(N49=parametrage!$M$3,VALO_AMO!$AU$7,"à définir"))</f>
        <v>à définir</v>
      </c>
      <c r="Z49" s="40">
        <f>IFERROR(IF(OR($N49=parametrage!$M$2,$N49=parametrage!$M$3),VALO_AMO!$Y49*VALO_AMO!$M49*VALO_PERSO!AI$16/VALO_PERSO!$AK$16,0),0)</f>
        <v>0</v>
      </c>
      <c r="AA49" s="40"/>
      <c r="AB49" s="79">
        <f t="shared" si="6"/>
        <v>0</v>
      </c>
      <c r="AC49" s="42">
        <f>VLOOKUP(G49,'Verif VS 24'!$A$51:$F$112,6,0)</f>
        <v>1</v>
      </c>
      <c r="AD49" s="92" t="str">
        <f>IF(N49=parametrage!$M$2,VALO_AMO!$AO$10,IF(N49=parametrage!$M$3,VALO_AMO!$AU$10,"à définir"))</f>
        <v>à définir</v>
      </c>
      <c r="AE49" s="40">
        <f>IFERROR(IF(OR($N49=parametrage!$M$2,$N49=parametrage!$M$3),VALO_AMO!$AD49*VALO_AMO!$M49*VALO_PERSO!AN$50/VALO_PERSO!$AP$50,0),0)</f>
        <v>0</v>
      </c>
      <c r="AF49" s="40"/>
      <c r="AG49" s="79">
        <f t="shared" ref="AG49" si="67">SUM(AE49:AF49)</f>
        <v>0</v>
      </c>
    </row>
    <row r="50" spans="1:33" ht="15.75" x14ac:dyDescent="0.3">
      <c r="A50" s="42" t="s">
        <v>863</v>
      </c>
      <c r="B50" s="49">
        <f t="shared" ref="B50" si="68">IFERROR(IF((O50+Y50+AD50)&gt;1,1,0),0)</f>
        <v>0</v>
      </c>
      <c r="C50" s="59">
        <f t="shared" ref="C50" si="69">IFERROR(IF((W50+AB50+AG50)&gt;M50,1,0),0)</f>
        <v>0</v>
      </c>
      <c r="D50" s="71" t="b">
        <v>0</v>
      </c>
      <c r="E50" s="62"/>
      <c r="F50" s="62"/>
      <c r="G50" s="62">
        <v>94</v>
      </c>
      <c r="H50" s="62" t="str">
        <f>VLOOKUP(G50,'[4]Synthèse Amortissements 2025'!$B:$O,14,0)</f>
        <v>DE</v>
      </c>
      <c r="I50" s="62" t="s">
        <v>1140</v>
      </c>
      <c r="J50" s="286" t="s">
        <v>1079</v>
      </c>
      <c r="K50" s="62">
        <v>588.5</v>
      </c>
      <c r="L50" s="62" t="s">
        <v>1053</v>
      </c>
      <c r="M50" s="62">
        <v>58.85</v>
      </c>
      <c r="N50" s="62" t="s">
        <v>47</v>
      </c>
      <c r="O50" s="92">
        <v>1</v>
      </c>
      <c r="P50" s="40">
        <f>VALO_AMO!$O50*VALO_AMO!$M50*VALO_PERSO!Y$50/VALO_PERSO!$AF$50</f>
        <v>7.5825555123102317</v>
      </c>
      <c r="Q50" s="40">
        <f>VALO_AMO!$O50*VALO_AMO!$M50*VALO_PERSO!Z$50/VALO_PERSO!$AF$50</f>
        <v>29.043159105868096</v>
      </c>
      <c r="R50" s="40">
        <f>VALO_AMO!$O50*VALO_AMO!$M50*VALO_PERSO!AA$50/VALO_PERSO!$AF$50</f>
        <v>14.915769889234666</v>
      </c>
      <c r="S50" s="40">
        <f>VALO_AMO!$O50*VALO_AMO!$M50*VALO_PERSO!AB$50/VALO_PERSO!$AF$50</f>
        <v>2.6694617870168389</v>
      </c>
      <c r="T50" s="40">
        <f>VALO_AMO!$O50*VALO_AMO!$M50*VALO_PERSO!AC$50/VALO_PERSO!$AF$50</f>
        <v>3.7101256959850111</v>
      </c>
      <c r="U50" s="40">
        <f>VALO_AMO!$O50*VALO_AMO!$M50*VALO_PERSO!AD$50/VALO_PERSO!$AF$50</f>
        <v>0.92892800958515753</v>
      </c>
      <c r="V50" s="40"/>
      <c r="W50" s="79">
        <f t="shared" si="5"/>
        <v>58.85</v>
      </c>
      <c r="X50" s="233"/>
      <c r="Y50" s="92" t="str">
        <f>IF(N50=parametrage!$M$2,VALO_AMO!$AO$7,IF(N50=parametrage!$M$3,VALO_AMO!$AU$7,"à définir"))</f>
        <v>à définir</v>
      </c>
      <c r="Z50" s="40">
        <f>IFERROR(IF(OR($N50=parametrage!$M$2,$N50=parametrage!$M$3),VALO_AMO!$Y50*VALO_AMO!$M50*VALO_PERSO!AI$16/VALO_PERSO!$AK$16,0),0)</f>
        <v>0</v>
      </c>
      <c r="AA50" s="40"/>
      <c r="AB50" s="79">
        <f t="shared" si="6"/>
        <v>0</v>
      </c>
      <c r="AC50" s="42">
        <f>VLOOKUP(G50,'Verif VS 24'!$A$51:$F$112,6,0)</f>
        <v>1</v>
      </c>
      <c r="AD50" s="92" t="str">
        <f>IF(N50=parametrage!$M$2,VALO_AMO!$AO$10,IF(N50=parametrage!$M$3,VALO_AMO!$AU$10,"à définir"))</f>
        <v>à définir</v>
      </c>
      <c r="AE50" s="40">
        <f>IFERROR(IF(OR($N50=parametrage!$M$2,$N50=parametrage!$M$3),VALO_AMO!$AD50*VALO_AMO!$M50*VALO_PERSO!AN$50/VALO_PERSO!$AP$50,0),0)</f>
        <v>0</v>
      </c>
      <c r="AF50" s="40"/>
      <c r="AG50" s="79">
        <f t="shared" ref="AG50" si="70">SUM(AE50:AF50)</f>
        <v>0</v>
      </c>
    </row>
    <row r="51" spans="1:33" ht="15.75" x14ac:dyDescent="0.3">
      <c r="A51" s="42" t="s">
        <v>863</v>
      </c>
      <c r="B51" s="49">
        <f t="shared" ref="B51" si="71">IFERROR(IF((O51+Y51+AD51)&gt;1,1,0),0)</f>
        <v>0</v>
      </c>
      <c r="C51" s="59">
        <f t="shared" ref="C51" si="72">IFERROR(IF((W51+AB51+AG51)&gt;M51,1,0),0)</f>
        <v>0</v>
      </c>
      <c r="D51" s="71" t="b">
        <v>0</v>
      </c>
      <c r="E51" s="62"/>
      <c r="F51" s="62"/>
      <c r="G51" s="62">
        <v>95</v>
      </c>
      <c r="H51" s="62" t="str">
        <f>VLOOKUP(G51,'[4]Synthèse Amortissements 2025'!$B:$O,14,0)</f>
        <v>DE</v>
      </c>
      <c r="I51" s="62" t="s">
        <v>1141</v>
      </c>
      <c r="J51" s="286" t="s">
        <v>1142</v>
      </c>
      <c r="K51" s="62">
        <v>4283</v>
      </c>
      <c r="L51" s="62" t="s">
        <v>1053</v>
      </c>
      <c r="M51" s="62">
        <v>428.3</v>
      </c>
      <c r="N51" s="62" t="s">
        <v>47</v>
      </c>
      <c r="O51" s="92">
        <v>1</v>
      </c>
      <c r="P51" s="40">
        <f>VALO_AMO!$O51*VALO_AMO!$M51*VALO_PERSO!Y$50/VALO_PERSO!$AF$50</f>
        <v>55.184511910322378</v>
      </c>
      <c r="Q51" s="40">
        <f>VALO_AMO!$O51*VALO_AMO!$M51*VALO_PERSO!Z$50/VALO_PERSO!$AF$50</f>
        <v>211.37102880277496</v>
      </c>
      <c r="R51" s="40">
        <f>VALO_AMO!$O51*VALO_AMO!$M51*VALO_PERSO!AA$50/VALO_PERSO!$AF$50</f>
        <v>108.55436267730174</v>
      </c>
      <c r="S51" s="40">
        <f>VALO_AMO!$O51*VALO_AMO!$M51*VALO_PERSO!AB$50/VALO_PERSO!$AF$50</f>
        <v>19.427875673395278</v>
      </c>
      <c r="T51" s="40">
        <f>VALO_AMO!$O51*VALO_AMO!$M51*VALO_PERSO!AC$50/VALO_PERSO!$AF$50</f>
        <v>27.001645464577408</v>
      </c>
      <c r="U51" s="40">
        <f>VALO_AMO!$O51*VALO_AMO!$M51*VALO_PERSO!AD$50/VALO_PERSO!$AF$50</f>
        <v>6.7605754716282584</v>
      </c>
      <c r="V51" s="40"/>
      <c r="W51" s="79">
        <f t="shared" ref="W51:W60" si="73">SUM(P51:V51)</f>
        <v>428.3</v>
      </c>
      <c r="X51" s="233"/>
      <c r="Y51" s="92" t="str">
        <f>IF(N51=parametrage!$M$2,VALO_AMO!$AO$7,IF(N51=parametrage!$M$3,VALO_AMO!$AU$7,"à définir"))</f>
        <v>à définir</v>
      </c>
      <c r="Z51" s="40">
        <f>IFERROR(IF(OR($N51=parametrage!$M$2,$N51=parametrage!$M$3),VALO_AMO!$Y51*VALO_AMO!$M51*VALO_PERSO!AI$16/VALO_PERSO!$AK$16,0),0)</f>
        <v>0</v>
      </c>
      <c r="AA51" s="40"/>
      <c r="AB51" s="79">
        <f t="shared" si="6"/>
        <v>0</v>
      </c>
      <c r="AC51" s="42">
        <f>VLOOKUP(G51,'Verif VS 24'!$A$51:$F$112,6,0)</f>
        <v>1</v>
      </c>
      <c r="AD51" s="92" t="str">
        <f>IF(N51=parametrage!$M$2,VALO_AMO!$AO$10,IF(N51=parametrage!$M$3,VALO_AMO!$AU$10,"à définir"))</f>
        <v>à définir</v>
      </c>
      <c r="AE51" s="40">
        <f>IFERROR(IF(OR($N51=parametrage!$M$2,$N51=parametrage!$M$3),VALO_AMO!$AD51*VALO_AMO!$M51*VALO_PERSO!AN$50/VALO_PERSO!$AP$50,0),0)</f>
        <v>0</v>
      </c>
      <c r="AF51" s="40"/>
      <c r="AG51" s="79">
        <f t="shared" ref="AG51" si="74">SUM(AE51:AF51)</f>
        <v>0</v>
      </c>
    </row>
    <row r="52" spans="1:33" ht="15.75" x14ac:dyDescent="0.3">
      <c r="A52" s="42" t="s">
        <v>863</v>
      </c>
      <c r="B52" s="49">
        <f t="shared" ref="B52" si="75">IFERROR(IF((O52+Y52+AD52)&gt;1,1,0),0)</f>
        <v>0</v>
      </c>
      <c r="C52" s="59">
        <f t="shared" ref="C52" si="76">IFERROR(IF((W52+AB52+AG52)&gt;M52,1,0),0)</f>
        <v>0</v>
      </c>
      <c r="D52" s="71" t="b">
        <v>0</v>
      </c>
      <c r="E52" s="62"/>
      <c r="F52" s="62"/>
      <c r="G52" s="62">
        <v>96</v>
      </c>
      <c r="H52" s="62" t="str">
        <f>VLOOKUP(G52,'[4]Synthèse Amortissements 2025'!$B:$O,14,0)</f>
        <v>DE</v>
      </c>
      <c r="I52" s="62" t="s">
        <v>1143</v>
      </c>
      <c r="J52" s="286" t="s">
        <v>1124</v>
      </c>
      <c r="K52" s="62">
        <v>1874</v>
      </c>
      <c r="L52" s="62" t="s">
        <v>1053</v>
      </c>
      <c r="M52" s="62">
        <v>187.4</v>
      </c>
      <c r="N52" s="62" t="s">
        <v>47</v>
      </c>
      <c r="O52" s="92">
        <v>1</v>
      </c>
      <c r="P52" s="40">
        <f>VALO_AMO!$O52*VALO_AMO!$M52*VALO_PERSO!Y$50/VALO_PERSO!$AF$50</f>
        <v>24.145639813201996</v>
      </c>
      <c r="Q52" s="40">
        <f>VALO_AMO!$O52*VALO_AMO!$M52*VALO_PERSO!Z$50/VALO_PERSO!$AF$50</f>
        <v>92.484078444174699</v>
      </c>
      <c r="R52" s="40">
        <f>VALO_AMO!$O52*VALO_AMO!$M52*VALO_PERSO!AA$50/VALO_PERSO!$AF$50</f>
        <v>47.497285934453288</v>
      </c>
      <c r="S52" s="40">
        <f>VALO_AMO!$O52*VALO_AMO!$M52*VALO_PERSO!AB$50/VALO_PERSO!$AF$50</f>
        <v>8.5005461153263493</v>
      </c>
      <c r="T52" s="40">
        <f>VALO_AMO!$O52*VALO_AMO!$M52*VALO_PERSO!AC$50/VALO_PERSO!$AF$50</f>
        <v>11.814401961386425</v>
      </c>
      <c r="U52" s="40">
        <f>VALO_AMO!$O52*VALO_AMO!$M52*VALO_PERSO!AD$50/VALO_PERSO!$AF$50</f>
        <v>2.9580477314572398</v>
      </c>
      <c r="V52" s="40"/>
      <c r="W52" s="79">
        <f t="shared" si="73"/>
        <v>187.40000000000003</v>
      </c>
      <c r="X52" s="233"/>
      <c r="Y52" s="92" t="str">
        <f>IF(N52=parametrage!$M$2,VALO_AMO!$AO$7,IF(N52=parametrage!$M$3,VALO_AMO!$AU$7,"à définir"))</f>
        <v>à définir</v>
      </c>
      <c r="Z52" s="40">
        <f>IFERROR(IF(OR($N52=parametrage!$M$2,$N52=parametrage!$M$3),VALO_AMO!$Y52*VALO_AMO!$M52*VALO_PERSO!AI$16/VALO_PERSO!$AK$16,0),0)</f>
        <v>0</v>
      </c>
      <c r="AA52" s="40"/>
      <c r="AB52" s="79">
        <f t="shared" ref="AB52:AB62" si="77">SUM(Z52:AA52)</f>
        <v>0</v>
      </c>
      <c r="AC52" s="42">
        <f>VLOOKUP(G52,'Verif VS 24'!$A$51:$F$112,6,0)</f>
        <v>1</v>
      </c>
      <c r="AD52" s="92" t="str">
        <f>IF(N52=parametrage!$M$2,VALO_AMO!$AO$10,IF(N52=parametrage!$M$3,VALO_AMO!$AU$10,"à définir"))</f>
        <v>à définir</v>
      </c>
      <c r="AE52" s="40">
        <f>IFERROR(IF(OR($N52=parametrage!$M$2,$N52=parametrage!$M$3),VALO_AMO!$AD52*VALO_AMO!$M52*VALO_PERSO!AN$50/VALO_PERSO!$AP$50,0),0)</f>
        <v>0</v>
      </c>
      <c r="AF52" s="40"/>
      <c r="AG52" s="79">
        <f t="shared" ref="AG52" si="78">SUM(AE52:AF52)</f>
        <v>0</v>
      </c>
    </row>
    <row r="53" spans="1:33" ht="15.75" x14ac:dyDescent="0.3">
      <c r="A53" s="42" t="s">
        <v>863</v>
      </c>
      <c r="B53" s="49">
        <f t="shared" ref="B53" si="79">IFERROR(IF((O53+Y53+AD53)&gt;1,1,0),0)</f>
        <v>0</v>
      </c>
      <c r="C53" s="59">
        <f t="shared" ref="C53" si="80">IFERROR(IF((W53+AB53+AG53)&gt;M53,1,0),0)</f>
        <v>0</v>
      </c>
      <c r="D53" s="71" t="b">
        <v>0</v>
      </c>
      <c r="E53" s="62"/>
      <c r="F53" s="62"/>
      <c r="G53" s="62">
        <v>97</v>
      </c>
      <c r="H53" s="62" t="str">
        <f>VLOOKUP(G53,'[4]Synthèse Amortissements 2025'!$B:$O,14,0)</f>
        <v>DE</v>
      </c>
      <c r="I53" s="62" t="s">
        <v>1144</v>
      </c>
      <c r="J53" s="286" t="s">
        <v>1145</v>
      </c>
      <c r="K53" s="62">
        <v>3985.8</v>
      </c>
      <c r="L53" s="62" t="s">
        <v>1053</v>
      </c>
      <c r="M53" s="62">
        <v>398.58</v>
      </c>
      <c r="N53" s="62" t="s">
        <v>47</v>
      </c>
      <c r="O53" s="92">
        <v>1</v>
      </c>
      <c r="P53" s="40">
        <f>VALO_AMO!$O53*VALO_AMO!$M53*VALO_PERSO!Y$50/VALO_PERSO!$AF$50</f>
        <v>51.35522474250827</v>
      </c>
      <c r="Q53" s="40">
        <f>VALO_AMO!$O53*VALO_AMO!$M53*VALO_PERSO!Z$50/VALO_PERSO!$AF$50</f>
        <v>196.70386332059311</v>
      </c>
      <c r="R53" s="40">
        <f>VALO_AMO!$O53*VALO_AMO!$M53*VALO_PERSO!AA$50/VALO_PERSO!$AF$50</f>
        <v>101.02170879271286</v>
      </c>
      <c r="S53" s="40">
        <f>VALO_AMO!$O53*VALO_AMO!$M53*VALO_PERSO!AB$50/VALO_PERSO!$AF$50</f>
        <v>18.079763450623137</v>
      </c>
      <c r="T53" s="40">
        <f>VALO_AMO!$O53*VALO_AMO!$M53*VALO_PERSO!AC$50/VALO_PERSO!$AF$50</f>
        <v>25.127984705279623</v>
      </c>
      <c r="U53" s="40">
        <f>VALO_AMO!$O53*VALO_AMO!$M53*VALO_PERSO!AD$50/VALO_PERSO!$AF$50</f>
        <v>6.2914549882829585</v>
      </c>
      <c r="V53" s="40"/>
      <c r="W53" s="79">
        <f t="shared" si="73"/>
        <v>398.58</v>
      </c>
      <c r="X53" s="233"/>
      <c r="Y53" s="92" t="str">
        <f>IF(N53=parametrage!$M$2,VALO_AMO!$AO$7,IF(N53=parametrage!$M$3,VALO_AMO!$AU$7,"à définir"))</f>
        <v>à définir</v>
      </c>
      <c r="Z53" s="40">
        <f>IFERROR(IF(OR($N53=parametrage!$M$2,$N53=parametrage!$M$3),VALO_AMO!$Y53*VALO_AMO!$M53*VALO_PERSO!AI$16/VALO_PERSO!$AK$16,0),0)</f>
        <v>0</v>
      </c>
      <c r="AA53" s="40"/>
      <c r="AB53" s="79">
        <f t="shared" si="77"/>
        <v>0</v>
      </c>
      <c r="AC53" s="42">
        <f>VLOOKUP(G53,'Verif VS 24'!$A$51:$F$112,6,0)</f>
        <v>1</v>
      </c>
      <c r="AD53" s="92" t="str">
        <f>IF(N53=parametrage!$M$2,VALO_AMO!$AO$10,IF(N53=parametrage!$M$3,VALO_AMO!$AU$10,"à définir"))</f>
        <v>à définir</v>
      </c>
      <c r="AE53" s="40">
        <f>IFERROR(IF(OR($N53=parametrage!$M$2,$N53=parametrage!$M$3),VALO_AMO!$AD53*VALO_AMO!$M53*VALO_PERSO!AN$50/VALO_PERSO!$AP$50,0),0)</f>
        <v>0</v>
      </c>
      <c r="AF53" s="40"/>
      <c r="AG53" s="79">
        <f t="shared" ref="AG53" si="81">SUM(AE53:AF53)</f>
        <v>0</v>
      </c>
    </row>
    <row r="54" spans="1:33" ht="15.75" x14ac:dyDescent="0.3">
      <c r="A54" s="42" t="s">
        <v>863</v>
      </c>
      <c r="B54" s="49">
        <f t="shared" ref="B54" si="82">IFERROR(IF((O54+Y54+AD54)&gt;1,1,0),0)</f>
        <v>0</v>
      </c>
      <c r="C54" s="59">
        <f t="shared" ref="C54" si="83">IFERROR(IF((W54+AB54+AG54)&gt;M54,1,0),0)</f>
        <v>0</v>
      </c>
      <c r="D54" s="71" t="b">
        <v>0</v>
      </c>
      <c r="E54" s="62"/>
      <c r="F54" s="62"/>
      <c r="G54" s="62">
        <v>98</v>
      </c>
      <c r="H54" s="62" t="str">
        <f>VLOOKUP(G54,'[4]Synthèse Amortissements 2025'!$B:$O,14,0)</f>
        <v>DE</v>
      </c>
      <c r="I54" s="62" t="s">
        <v>1146</v>
      </c>
      <c r="J54" s="286" t="s">
        <v>1147</v>
      </c>
      <c r="K54" s="62">
        <v>1860.11</v>
      </c>
      <c r="L54" s="62" t="s">
        <v>1053</v>
      </c>
      <c r="M54" s="62">
        <v>186.011</v>
      </c>
      <c r="N54" s="62" t="s">
        <v>47</v>
      </c>
      <c r="O54" s="92">
        <v>1</v>
      </c>
      <c r="P54" s="40">
        <f>VALO_AMO!$O54*VALO_AMO!$M54*VALO_PERSO!Y$50/VALO_PERSO!$AF$50</f>
        <v>23.96667346474662</v>
      </c>
      <c r="Q54" s="40">
        <f>VALO_AMO!$O54*VALO_AMO!$M54*VALO_PERSO!Z$50/VALO_PERSO!$AF$50</f>
        <v>91.798590797648771</v>
      </c>
      <c r="R54" s="40">
        <f>VALO_AMO!$O54*VALO_AMO!$M54*VALO_PERSO!AA$50/VALO_PERSO!$AF$50</f>
        <v>47.145238281502621</v>
      </c>
      <c r="S54" s="40">
        <f>VALO_AMO!$O54*VALO_AMO!$M54*VALO_PERSO!AB$50/VALO_PERSO!$AF$50</f>
        <v>8.4375404666914058</v>
      </c>
      <c r="T54" s="40">
        <f>VALO_AMO!$O54*VALO_AMO!$M54*VALO_PERSO!AC$50/VALO_PERSO!$AF$50</f>
        <v>11.726834168833779</v>
      </c>
      <c r="U54" s="40">
        <f>VALO_AMO!$O54*VALO_AMO!$M54*VALO_PERSO!AD$50/VALO_PERSO!$AF$50</f>
        <v>2.9361228205768013</v>
      </c>
      <c r="V54" s="40"/>
      <c r="W54" s="79">
        <f t="shared" si="73"/>
        <v>186.01100000000002</v>
      </c>
      <c r="X54" s="233"/>
      <c r="Y54" s="92" t="str">
        <f>IF(N54=parametrage!$M$2,VALO_AMO!$AO$7,IF(N54=parametrage!$M$3,VALO_AMO!$AU$7,"à définir"))</f>
        <v>à définir</v>
      </c>
      <c r="Z54" s="40">
        <f>IFERROR(IF(OR($N54=parametrage!$M$2,$N54=parametrage!$M$3),VALO_AMO!$Y54*VALO_AMO!$M54*VALO_PERSO!AI$16/VALO_PERSO!$AK$16,0),0)</f>
        <v>0</v>
      </c>
      <c r="AA54" s="40"/>
      <c r="AB54" s="79">
        <f t="shared" si="77"/>
        <v>0</v>
      </c>
      <c r="AC54" s="42">
        <f>VLOOKUP(G54,'Verif VS 24'!$A$51:$F$112,6,0)</f>
        <v>1</v>
      </c>
      <c r="AD54" s="92" t="str">
        <f>IF(N54=parametrage!$M$2,VALO_AMO!$AO$10,IF(N54=parametrage!$M$3,VALO_AMO!$AU$10,"à définir"))</f>
        <v>à définir</v>
      </c>
      <c r="AE54" s="40">
        <f>IFERROR(IF(OR($N54=parametrage!$M$2,$N54=parametrage!$M$3),VALO_AMO!$AD54*VALO_AMO!$M54*VALO_PERSO!AN$50/VALO_PERSO!$AP$50,0),0)</f>
        <v>0</v>
      </c>
      <c r="AF54" s="40"/>
      <c r="AG54" s="79">
        <f t="shared" ref="AG54" si="84">SUM(AE54:AF54)</f>
        <v>0</v>
      </c>
    </row>
    <row r="55" spans="1:33" ht="15.75" x14ac:dyDescent="0.3">
      <c r="A55" s="42" t="s">
        <v>863</v>
      </c>
      <c r="B55" s="49">
        <f t="shared" ref="B55" si="85">IFERROR(IF((O55+Y55+AD55)&gt;1,1,0),0)</f>
        <v>0</v>
      </c>
      <c r="C55" s="59">
        <f t="shared" ref="C55" si="86">IFERROR(IF((W55+AB55+AG55)&gt;M55,1,0),0)</f>
        <v>0</v>
      </c>
      <c r="D55" s="71" t="b">
        <v>0</v>
      </c>
      <c r="E55" s="62"/>
      <c r="F55" s="62"/>
      <c r="G55" s="62">
        <v>99</v>
      </c>
      <c r="H55" s="62" t="str">
        <f>VLOOKUP(G55,'[4]Synthèse Amortissements 2025'!$B:$O,14,0)</f>
        <v>DE</v>
      </c>
      <c r="I55" s="62" t="s">
        <v>1148</v>
      </c>
      <c r="J55" s="286" t="s">
        <v>1149</v>
      </c>
      <c r="K55" s="62">
        <v>1210</v>
      </c>
      <c r="L55" s="62" t="s">
        <v>1053</v>
      </c>
      <c r="M55" s="62">
        <v>121</v>
      </c>
      <c r="N55" s="62" t="s">
        <v>47</v>
      </c>
      <c r="O55" s="92">
        <v>1</v>
      </c>
      <c r="P55" s="40">
        <f>VALO_AMO!$O55*VALO_AMO!$M55*VALO_PERSO!Y$50/VALO_PERSO!$AF$50</f>
        <v>15.590301053348139</v>
      </c>
      <c r="Q55" s="40">
        <f>VALO_AMO!$O55*VALO_AMO!$M55*VALO_PERSO!Z$50/VALO_PERSO!$AF$50</f>
        <v>59.714906572812907</v>
      </c>
      <c r="R55" s="40">
        <f>VALO_AMO!$O55*VALO_AMO!$M55*VALO_PERSO!AA$50/VALO_PERSO!$AF$50</f>
        <v>30.667938090015198</v>
      </c>
      <c r="S55" s="40">
        <f>VALO_AMO!$O55*VALO_AMO!$M55*VALO_PERSO!AB$50/VALO_PERSO!$AF$50</f>
        <v>5.488613020034621</v>
      </c>
      <c r="T55" s="40">
        <f>VALO_AMO!$O55*VALO_AMO!$M55*VALO_PERSO!AC$50/VALO_PERSO!$AF$50</f>
        <v>7.6282958235205829</v>
      </c>
      <c r="U55" s="40">
        <f>VALO_AMO!$O55*VALO_AMO!$M55*VALO_PERSO!AD$50/VALO_PERSO!$AF$50</f>
        <v>1.9099454402685483</v>
      </c>
      <c r="V55" s="40"/>
      <c r="W55" s="79">
        <f t="shared" si="73"/>
        <v>121</v>
      </c>
      <c r="X55" s="233"/>
      <c r="Y55" s="92" t="str">
        <f>IF(N55=parametrage!$M$2,VALO_AMO!$AO$7,IF(N55=parametrage!$M$3,VALO_AMO!$AU$7,"à définir"))</f>
        <v>à définir</v>
      </c>
      <c r="Z55" s="40">
        <f>IFERROR(IF(OR($N55=parametrage!$M$2,$N55=parametrage!$M$3),VALO_AMO!$Y55*VALO_AMO!$M55*VALO_PERSO!AI$16/VALO_PERSO!$AK$16,0),0)</f>
        <v>0</v>
      </c>
      <c r="AA55" s="40"/>
      <c r="AB55" s="79">
        <f t="shared" si="77"/>
        <v>0</v>
      </c>
      <c r="AC55" s="42">
        <f>VLOOKUP(G55,'Verif VS 24'!$A$51:$F$112,6,0)</f>
        <v>1</v>
      </c>
      <c r="AD55" s="92" t="str">
        <f>IF(N55=parametrage!$M$2,VALO_AMO!$AO$10,IF(N55=parametrage!$M$3,VALO_AMO!$AU$10,"à définir"))</f>
        <v>à définir</v>
      </c>
      <c r="AE55" s="40">
        <f>IFERROR(IF(OR($N55=parametrage!$M$2,$N55=parametrage!$M$3),VALO_AMO!$AD55*VALO_AMO!$M55*VALO_PERSO!AN$50/VALO_PERSO!$AP$50,0),0)</f>
        <v>0</v>
      </c>
      <c r="AF55" s="40"/>
      <c r="AG55" s="79">
        <f t="shared" ref="AG55" si="87">SUM(AE55:AF55)</f>
        <v>0</v>
      </c>
    </row>
    <row r="56" spans="1:33" ht="15.75" x14ac:dyDescent="0.3">
      <c r="A56" s="42" t="s">
        <v>863</v>
      </c>
      <c r="B56" s="49">
        <f t="shared" ref="B56" si="88">IFERROR(IF((O56+Y56+AD56)&gt;1,1,0),0)</f>
        <v>0</v>
      </c>
      <c r="C56" s="59">
        <f t="shared" ref="C56" si="89">IFERROR(IF((W56+AB56+AG56)&gt;M56,1,0),0)</f>
        <v>0</v>
      </c>
      <c r="D56" s="71" t="b">
        <v>0</v>
      </c>
      <c r="E56" s="62"/>
      <c r="F56" s="62"/>
      <c r="G56" s="62">
        <v>102</v>
      </c>
      <c r="H56" s="62" t="str">
        <f>VLOOKUP(G56,'[4]Synthèse Amortissements 2025'!$B:$O,14,0)</f>
        <v>DE</v>
      </c>
      <c r="I56" s="62" t="s">
        <v>1088</v>
      </c>
      <c r="J56" s="286" t="s">
        <v>1089</v>
      </c>
      <c r="K56" s="62">
        <v>1588.5</v>
      </c>
      <c r="L56" s="62" t="s">
        <v>1066</v>
      </c>
      <c r="M56" s="62">
        <v>317.7</v>
      </c>
      <c r="N56" s="62" t="s">
        <v>47</v>
      </c>
      <c r="O56" s="92">
        <v>1</v>
      </c>
      <c r="P56" s="40">
        <f>VALO_AMO!$O56*VALO_AMO!$M56*VALO_PERSO!Y$50/VALO_PERSO!$AF$50</f>
        <v>40.934203674782673</v>
      </c>
      <c r="Q56" s="40">
        <f>VALO_AMO!$O56*VALO_AMO!$M56*VALO_PERSO!Z$50/VALO_PERSO!$AF$50</f>
        <v>156.78864312547651</v>
      </c>
      <c r="R56" s="40">
        <f>VALO_AMO!$O56*VALO_AMO!$M56*VALO_PERSO!AA$50/VALO_PERSO!$AF$50</f>
        <v>80.522346538825033</v>
      </c>
      <c r="S56" s="40">
        <f>VALO_AMO!$O56*VALO_AMO!$M56*VALO_PERSO!AB$50/VALO_PERSO!$AF$50</f>
        <v>14.411011210454539</v>
      </c>
      <c r="T56" s="40">
        <f>VALO_AMO!$O56*VALO_AMO!$M56*VALO_PERSO!AC$50/VALO_PERSO!$AF$50</f>
        <v>20.029004819276771</v>
      </c>
      <c r="U56" s="40">
        <f>VALO_AMO!$O56*VALO_AMO!$M56*VALO_PERSO!AD$50/VALO_PERSO!$AF$50</f>
        <v>5.0147906311844439</v>
      </c>
      <c r="V56" s="40"/>
      <c r="W56" s="79">
        <f t="shared" si="73"/>
        <v>317.7</v>
      </c>
      <c r="X56" s="233"/>
      <c r="Y56" s="92" t="str">
        <f>IF(N56=parametrage!$M$2,VALO_AMO!$AO$7,IF(N56=parametrage!$M$3,VALO_AMO!$AU$7,"à définir"))</f>
        <v>à définir</v>
      </c>
      <c r="Z56" s="40">
        <f>IFERROR(IF(OR($N56=parametrage!$M$2,$N56=parametrage!$M$3),VALO_AMO!$Y56*VALO_AMO!$M56*VALO_PERSO!AI$16/VALO_PERSO!$AK$16,0),0)</f>
        <v>0</v>
      </c>
      <c r="AA56" s="40"/>
      <c r="AB56" s="79">
        <f t="shared" si="77"/>
        <v>0</v>
      </c>
      <c r="AC56" s="42">
        <f>VLOOKUP(G56,'Verif VS 24'!$A$51:$F$112,6,0)</f>
        <v>1</v>
      </c>
      <c r="AD56" s="92" t="str">
        <f>IF(N56=parametrage!$M$2,VALO_AMO!$AO$10,IF(N56=parametrage!$M$3,VALO_AMO!$AU$10,"à définir"))</f>
        <v>à définir</v>
      </c>
      <c r="AE56" s="40">
        <f>IFERROR(IF(OR($N56=parametrage!$M$2,$N56=parametrage!$M$3),VALO_AMO!$AD56*VALO_AMO!$M56*VALO_PERSO!AN$50/VALO_PERSO!$AP$50,0),0)</f>
        <v>0</v>
      </c>
      <c r="AF56" s="40"/>
      <c r="AG56" s="79">
        <f t="shared" ref="AG56" si="90">SUM(AE56:AF56)</f>
        <v>0</v>
      </c>
    </row>
    <row r="57" spans="1:33" ht="15.75" x14ac:dyDescent="0.3">
      <c r="A57" s="42" t="s">
        <v>863</v>
      </c>
      <c r="B57" s="49">
        <f t="shared" ref="B57" si="91">IFERROR(IF((O57+Y57+AD57)&gt;1,1,0),0)</f>
        <v>0</v>
      </c>
      <c r="C57" s="59">
        <f t="shared" ref="C57" si="92">IFERROR(IF((W57+AB57+AG57)&gt;M57,1,0),0)</f>
        <v>0</v>
      </c>
      <c r="D57" s="71" t="b">
        <v>0</v>
      </c>
      <c r="E57" s="62"/>
      <c r="F57" s="62"/>
      <c r="G57" s="62">
        <v>103</v>
      </c>
      <c r="H57" s="62" t="str">
        <f>VLOOKUP(G57,'[4]Synthèse Amortissements 2025'!$B:$O,14,0)</f>
        <v>DE</v>
      </c>
      <c r="I57" s="62" t="s">
        <v>1090</v>
      </c>
      <c r="J57" s="286" t="s">
        <v>1091</v>
      </c>
      <c r="K57" s="62">
        <v>4763</v>
      </c>
      <c r="L57" s="62" t="s">
        <v>1066</v>
      </c>
      <c r="M57" s="62">
        <v>952.6</v>
      </c>
      <c r="N57" s="62" t="s">
        <v>47</v>
      </c>
      <c r="O57" s="92">
        <v>1</v>
      </c>
      <c r="P57" s="40">
        <f>VALO_AMO!$O57*VALO_AMO!$M57*VALO_PERSO!Y$50/VALO_PERSO!$AF$50</f>
        <v>122.73818829272263</v>
      </c>
      <c r="Q57" s="40">
        <f>VALO_AMO!$O57*VALO_AMO!$M57*VALO_PERSO!Z$50/VALO_PERSO!$AF$50</f>
        <v>470.11917356414523</v>
      </c>
      <c r="R57" s="40">
        <f>VALO_AMO!$O57*VALO_AMO!$M57*VALO_PERSO!AA$50/VALO_PERSO!$AF$50</f>
        <v>241.44031259957418</v>
      </c>
      <c r="S57" s="40">
        <f>VALO_AMO!$O57*VALO_AMO!$M57*VALO_PERSO!AB$50/VALO_PERSO!$AF$50</f>
        <v>43.210353412272568</v>
      </c>
      <c r="T57" s="40">
        <f>VALO_AMO!$O57*VALO_AMO!$M57*VALO_PERSO!AC$50/VALO_PERSO!$AF$50</f>
        <v>60.055492574262047</v>
      </c>
      <c r="U57" s="40">
        <f>VALO_AMO!$O57*VALO_AMO!$M57*VALO_PERSO!AD$50/VALO_PERSO!$AF$50</f>
        <v>15.0364795570233</v>
      </c>
      <c r="V57" s="40"/>
      <c r="W57" s="79">
        <f t="shared" si="73"/>
        <v>952.6</v>
      </c>
      <c r="X57" s="233"/>
      <c r="Y57" s="92" t="str">
        <f>IF(N57=parametrage!$M$2,VALO_AMO!$AO$7,IF(N57=parametrage!$M$3,VALO_AMO!$AU$7,"à définir"))</f>
        <v>à définir</v>
      </c>
      <c r="Z57" s="40">
        <f>IFERROR(IF(OR($N57=parametrage!$M$2,$N57=parametrage!$M$3),VALO_AMO!$Y57*VALO_AMO!$M57*VALO_PERSO!AI$16/VALO_PERSO!$AK$16,0),0)</f>
        <v>0</v>
      </c>
      <c r="AA57" s="40"/>
      <c r="AB57" s="79">
        <f t="shared" si="77"/>
        <v>0</v>
      </c>
      <c r="AC57" s="42">
        <f>VLOOKUP(G57,'Verif VS 24'!$A$51:$F$112,6,0)</f>
        <v>1</v>
      </c>
      <c r="AD57" s="92" t="str">
        <f>IF(N57=parametrage!$M$2,VALO_AMO!$AO$10,IF(N57=parametrage!$M$3,VALO_AMO!$AU$10,"à définir"))</f>
        <v>à définir</v>
      </c>
      <c r="AE57" s="40">
        <f>IFERROR(IF(OR($N57=parametrage!$M$2,$N57=parametrage!$M$3),VALO_AMO!$AD57*VALO_AMO!$M57*VALO_PERSO!AN$50/VALO_PERSO!$AP$50,0),0)</f>
        <v>0</v>
      </c>
      <c r="AF57" s="40"/>
      <c r="AG57" s="79">
        <f t="shared" ref="AG57" si="93">SUM(AE57:AF57)</f>
        <v>0</v>
      </c>
    </row>
    <row r="58" spans="1:33" ht="15.75" x14ac:dyDescent="0.3">
      <c r="C58" s="59"/>
      <c r="D58" s="71" t="b">
        <v>0</v>
      </c>
      <c r="E58" s="62"/>
      <c r="F58" s="62"/>
      <c r="G58" s="62">
        <v>104</v>
      </c>
      <c r="H58" s="62" t="str">
        <f>VLOOKUP(G58,'[4]Synthèse Amortissements 2025'!$B:$O,14,0)</f>
        <v>DE</v>
      </c>
      <c r="I58" s="62" t="s">
        <v>1092</v>
      </c>
      <c r="J58" s="286" t="s">
        <v>1093</v>
      </c>
      <c r="K58" s="62">
        <v>1273</v>
      </c>
      <c r="L58" s="62" t="s">
        <v>1066</v>
      </c>
      <c r="M58" s="62">
        <v>254.6</v>
      </c>
      <c r="N58" s="62" t="s">
        <v>47</v>
      </c>
      <c r="O58" s="92">
        <v>1</v>
      </c>
      <c r="P58" s="40">
        <f>VALO_AMO!$O58*VALO_AMO!$M58*VALO_PERSO!Y$50/VALO_PERSO!$AF$50</f>
        <v>32.804054943656496</v>
      </c>
      <c r="Q58" s="40">
        <f>VALO_AMO!$O58*VALO_AMO!$M58*VALO_PERSO!Z$50/VALO_PERSO!$AF$50</f>
        <v>125.64805961519144</v>
      </c>
      <c r="R58" s="40">
        <f>VALO_AMO!$O58*VALO_AMO!$M58*VALO_PERSO!AA$50/VALO_PERSO!$AF$50</f>
        <v>64.529397005932807</v>
      </c>
      <c r="S58" s="40">
        <f>VALO_AMO!$O58*VALO_AMO!$M58*VALO_PERSO!AB$50/VALO_PERSO!$AF$50</f>
        <v>11.548767561163757</v>
      </c>
      <c r="T58" s="40">
        <f>VALO_AMO!$O58*VALO_AMO!$M58*VALO_PERSO!AC$50/VALO_PERSO!$AF$50</f>
        <v>16.050943112961491</v>
      </c>
      <c r="U58" s="40">
        <f>VALO_AMO!$O58*VALO_AMO!$M58*VALO_PERSO!AD$50/VALO_PERSO!$AF$50</f>
        <v>4.018777761093987</v>
      </c>
      <c r="V58" s="40"/>
      <c r="W58" s="79">
        <f t="shared" si="73"/>
        <v>254.59999999999997</v>
      </c>
      <c r="X58" s="233"/>
      <c r="Y58" s="92" t="str">
        <f>IF(N58=parametrage!$M$2,VALO_AMO!$AO$7,IF(N58=parametrage!$M$3,VALO_AMO!$AU$7,"à définir"))</f>
        <v>à définir</v>
      </c>
      <c r="Z58" s="40">
        <f>IFERROR(IF(OR($N58=parametrage!$M$2,$N58=parametrage!$M$3),VALO_AMO!$Y58*VALO_AMO!$M58*VALO_PERSO!AI$16/VALO_PERSO!$AK$16,0),0)</f>
        <v>0</v>
      </c>
      <c r="AA58" s="40"/>
      <c r="AB58" s="79">
        <f t="shared" si="77"/>
        <v>0</v>
      </c>
      <c r="AC58" s="42">
        <f>VLOOKUP(G58,'Verif VS 24'!$A$51:$F$112,6,0)</f>
        <v>1</v>
      </c>
      <c r="AD58" s="92"/>
      <c r="AE58" s="40"/>
      <c r="AF58" s="40"/>
      <c r="AG58" s="79"/>
    </row>
    <row r="59" spans="1:33" ht="15.75" x14ac:dyDescent="0.3">
      <c r="C59" s="59"/>
      <c r="D59" s="71" t="b">
        <v>0</v>
      </c>
      <c r="E59" s="62"/>
      <c r="F59" s="62"/>
      <c r="G59" s="62">
        <v>105</v>
      </c>
      <c r="H59" s="62" t="str">
        <f>VLOOKUP(G59,'[4]Synthèse Amortissements 2025'!$B:$O,14,0)</f>
        <v>DE</v>
      </c>
      <c r="I59" s="62" t="s">
        <v>1094</v>
      </c>
      <c r="J59" s="286" t="s">
        <v>1095</v>
      </c>
      <c r="K59" s="62">
        <v>1019</v>
      </c>
      <c r="L59" s="62" t="s">
        <v>1066</v>
      </c>
      <c r="M59" s="62">
        <v>203.8</v>
      </c>
      <c r="N59" s="62" t="s">
        <v>47</v>
      </c>
      <c r="O59" s="92">
        <v>1</v>
      </c>
      <c r="P59" s="40">
        <f>VALO_AMO!$O59*VALO_AMO!$M59*VALO_PERSO!Y$50/VALO_PERSO!$AF$50</f>
        <v>26.258705410515297</v>
      </c>
      <c r="Q59" s="40">
        <f>VALO_AMO!$O59*VALO_AMO!$M59*VALO_PERSO!Z$50/VALO_PERSO!$AF$50</f>
        <v>100.57766908710141</v>
      </c>
      <c r="R59" s="40">
        <f>VALO_AMO!$O59*VALO_AMO!$M59*VALO_PERSO!AA$50/VALO_PERSO!$AF$50</f>
        <v>51.653932088802463</v>
      </c>
      <c r="S59" s="40">
        <f>VALO_AMO!$O59*VALO_AMO!$M59*VALO_PERSO!AB$50/VALO_PERSO!$AF$50</f>
        <v>9.2444573015128597</v>
      </c>
      <c r="T59" s="40">
        <f>VALO_AMO!$O59*VALO_AMO!$M59*VALO_PERSO!AC$50/VALO_PERSO!$AF$50</f>
        <v>12.848319742425577</v>
      </c>
      <c r="U59" s="40">
        <f>VALO_AMO!$O59*VALO_AMO!$M59*VALO_PERSO!AD$50/VALO_PERSO!$AF$50</f>
        <v>3.2169163696423984</v>
      </c>
      <c r="V59" s="40"/>
      <c r="W59" s="79">
        <f t="shared" si="73"/>
        <v>203.8</v>
      </c>
      <c r="X59" s="233"/>
      <c r="Y59" s="92" t="str">
        <f>IF(N59=parametrage!$M$2,VALO_AMO!$AO$7,IF(N59=parametrage!$M$3,VALO_AMO!$AU$7,"à définir"))</f>
        <v>à définir</v>
      </c>
      <c r="Z59" s="40">
        <f>IFERROR(IF(OR($N59=parametrage!$M$2,$N59=parametrage!$M$3),VALO_AMO!$Y59*VALO_AMO!$M59*VALO_PERSO!AI$16/VALO_PERSO!$AK$16,0),0)</f>
        <v>0</v>
      </c>
      <c r="AA59" s="40"/>
      <c r="AB59" s="79">
        <f t="shared" si="77"/>
        <v>0</v>
      </c>
      <c r="AC59" s="42">
        <f>VLOOKUP(G59,'Verif VS 24'!$A$51:$F$112,6,0)</f>
        <v>1</v>
      </c>
      <c r="AD59" s="92"/>
      <c r="AE59" s="40"/>
      <c r="AF59" s="40"/>
      <c r="AG59" s="79"/>
    </row>
    <row r="60" spans="1:33" ht="15.75" x14ac:dyDescent="0.3">
      <c r="C60" s="59"/>
      <c r="D60" s="71" t="b">
        <v>0</v>
      </c>
      <c r="E60" s="62"/>
      <c r="F60" s="62"/>
      <c r="G60" s="62">
        <v>106</v>
      </c>
      <c r="H60" s="62" t="str">
        <f>VLOOKUP(G60,'[4]Synthèse Amortissements 2025'!$B:$O,14,0)</f>
        <v>DE</v>
      </c>
      <c r="I60" s="62" t="s">
        <v>1096</v>
      </c>
      <c r="J60" s="286" t="s">
        <v>1097</v>
      </c>
      <c r="K60" s="62">
        <v>2447</v>
      </c>
      <c r="L60" s="62" t="s">
        <v>1066</v>
      </c>
      <c r="M60" s="62">
        <v>489.4</v>
      </c>
      <c r="N60" s="62" t="s">
        <v>47</v>
      </c>
      <c r="O60" s="92">
        <v>1</v>
      </c>
      <c r="P60" s="40">
        <f>VALO_AMO!$O60*VALO_AMO!$M60*VALO_PERSO!Y$50/VALO_PERSO!$AF$50</f>
        <v>63.056969714946931</v>
      </c>
      <c r="Q60" s="40">
        <f>VALO_AMO!$O60*VALO_AMO!$M60*VALO_PERSO!Z$50/VALO_PERSO!$AF$50</f>
        <v>241.5245890639226</v>
      </c>
      <c r="R60" s="40">
        <f>VALO_AMO!$O60*VALO_AMO!$M60*VALO_PERSO!AA$50/VALO_PERSO!$AF$50</f>
        <v>124.04040414259039</v>
      </c>
      <c r="S60" s="40">
        <f>VALO_AMO!$O60*VALO_AMO!$M60*VALO_PERSO!AB$50/VALO_PERSO!$AF$50</f>
        <v>22.199398446321847</v>
      </c>
      <c r="T60" s="40">
        <f>VALO_AMO!$O60*VALO_AMO!$M60*VALO_PERSO!AC$50/VALO_PERSO!$AF$50</f>
        <v>30.853619636619612</v>
      </c>
      <c r="U60" s="40">
        <f>VALO_AMO!$O60*VALO_AMO!$M60*VALO_PERSO!AD$50/VALO_PERSO!$AF$50</f>
        <v>7.7250189955985746</v>
      </c>
      <c r="V60" s="40"/>
      <c r="W60" s="79">
        <f t="shared" si="73"/>
        <v>489.39999999999992</v>
      </c>
      <c r="X60" s="233"/>
      <c r="Y60" s="92" t="str">
        <f>IF(N60=parametrage!$M$2,VALO_AMO!$AO$7,IF(N60=parametrage!$M$3,VALO_AMO!$AU$7,"à définir"))</f>
        <v>à définir</v>
      </c>
      <c r="Z60" s="40">
        <f>IFERROR(IF(OR($N60=parametrage!$M$2,$N60=parametrage!$M$3),VALO_AMO!$Y60*VALO_AMO!$M60*VALO_PERSO!AI$16/VALO_PERSO!$AK$16,0),0)</f>
        <v>0</v>
      </c>
      <c r="AA60" s="40"/>
      <c r="AB60" s="79">
        <f t="shared" si="77"/>
        <v>0</v>
      </c>
      <c r="AC60" s="42">
        <f>VLOOKUP(G60,'Verif VS 24'!$A$51:$F$112,6,0)</f>
        <v>1</v>
      </c>
      <c r="AD60" s="92"/>
      <c r="AE60" s="40"/>
      <c r="AF60" s="40"/>
      <c r="AG60" s="79"/>
    </row>
    <row r="61" spans="1:33" ht="15.75" x14ac:dyDescent="0.3">
      <c r="C61" s="59"/>
      <c r="D61" s="71" t="b">
        <v>0</v>
      </c>
      <c r="E61" s="62"/>
      <c r="F61" s="62"/>
      <c r="G61" s="62" t="s">
        <v>1356</v>
      </c>
      <c r="H61" s="62" t="str">
        <f>VLOOKUP(G61,'[4]Synthèse Amortissements 2025'!$B:$O,14,0)</f>
        <v>DE</v>
      </c>
      <c r="I61" s="484" t="s">
        <v>1282</v>
      </c>
      <c r="J61" s="485">
        <v>45689</v>
      </c>
      <c r="K61" s="62">
        <v>2427.5500000000002</v>
      </c>
      <c r="L61" s="62">
        <v>60</v>
      </c>
      <c r="M61" s="62">
        <v>445.05</v>
      </c>
      <c r="N61" s="62" t="s">
        <v>47</v>
      </c>
      <c r="O61" s="92">
        <v>1</v>
      </c>
      <c r="P61" s="40">
        <f>VALO_AMO!$O61*VALO_AMO!$M61*VALO_PERSO!Y$50/VALO_PERSO!$AF$50</f>
        <v>57.342673419773462</v>
      </c>
      <c r="Q61" s="40">
        <f>VALO_AMO!$O61*VALO_AMO!$M61*VALO_PERSO!Z$50/VALO_PERSO!$AF$50</f>
        <v>219.63734851430073</v>
      </c>
      <c r="R61" s="40">
        <f>VALO_AMO!$O61*VALO_AMO!$M61*VALO_PERSO!AA$50/VALO_PERSO!$AF$50</f>
        <v>112.79971774348152</v>
      </c>
      <c r="S61" s="40">
        <f>VALO_AMO!$O61*VALO_AMO!$M61*VALO_PERSO!AB$50/VALO_PERSO!$AF$50</f>
        <v>20.187663012945524</v>
      </c>
      <c r="T61" s="40">
        <f>VALO_AMO!$O61*VALO_AMO!$M61*VALO_PERSO!AC$50/VALO_PERSO!$AF$50</f>
        <v>28.057628564114346</v>
      </c>
      <c r="U61" s="40">
        <f>VALO_AMO!$O61*VALO_AMO!$M61*VALO_PERSO!AD$50/VALO_PERSO!$AF$50</f>
        <v>7.0249687453844416</v>
      </c>
      <c r="V61" s="40"/>
      <c r="W61" s="79">
        <f t="shared" ref="W61:W62" si="94">SUM(P61:V61)</f>
        <v>445.05000000000007</v>
      </c>
      <c r="X61" s="233"/>
      <c r="Y61" s="92" t="str">
        <f>IF(N61=parametrage!$M$2,VALO_AMO!$AO$7,IF(N61=parametrage!$M$3,VALO_AMO!$AU$7,"à définir"))</f>
        <v>à définir</v>
      </c>
      <c r="Z61" s="40">
        <f>IFERROR(IF(OR($N61=parametrage!$M$2,$N61=parametrage!$M$3),VALO_AMO!$Y61*VALO_AMO!$M61*VALO_PERSO!AI$16/VALO_PERSO!$AK$16,0),0)</f>
        <v>0</v>
      </c>
      <c r="AA61" s="40"/>
      <c r="AB61" s="79">
        <f t="shared" si="77"/>
        <v>0</v>
      </c>
      <c r="AC61" s="42" t="e">
        <f>VLOOKUP(G61,'Verif VS 24'!$A$51:$F$112,6,0)</f>
        <v>#N/A</v>
      </c>
      <c r="AD61" s="92"/>
      <c r="AE61" s="40"/>
      <c r="AF61" s="40"/>
      <c r="AG61" s="79"/>
    </row>
    <row r="62" spans="1:33" ht="15.75" x14ac:dyDescent="0.3">
      <c r="C62" s="59"/>
      <c r="D62" s="71" t="b">
        <v>0</v>
      </c>
      <c r="E62" s="62"/>
      <c r="F62" s="62"/>
      <c r="G62" s="62" t="s">
        <v>1357</v>
      </c>
      <c r="H62" s="62" t="str">
        <f>VLOOKUP(G62,'[4]Synthèse Amortissements 2025'!$B:$O,14,0)</f>
        <v>RI</v>
      </c>
      <c r="I62" s="484" t="s">
        <v>1283</v>
      </c>
      <c r="J62" s="485">
        <v>45748</v>
      </c>
      <c r="K62" s="62">
        <v>2042.28</v>
      </c>
      <c r="L62" s="62">
        <v>60</v>
      </c>
      <c r="M62" s="62">
        <v>306.33999999999997</v>
      </c>
      <c r="N62" s="62" t="s">
        <v>47</v>
      </c>
      <c r="O62" s="92">
        <v>1</v>
      </c>
      <c r="P62" s="40">
        <f>VALO_AMO!$O62*VALO_AMO!$M62*VALO_PERSO!Y$50/VALO_PERSO!$AF$50</f>
        <v>39.470519212253457</v>
      </c>
      <c r="Q62" s="40">
        <f>VALO_AMO!$O62*VALO_AMO!$M62*VALO_PERSO!Z$50/VALO_PERSO!$AF$50</f>
        <v>151.18235107037606</v>
      </c>
      <c r="R62" s="40">
        <f>VALO_AMO!$O62*VALO_AMO!$M62*VALO_PERSO!AA$50/VALO_PERSO!$AF$50</f>
        <v>77.643108714836814</v>
      </c>
      <c r="S62" s="40">
        <f>VALO_AMO!$O62*VALO_AMO!$M62*VALO_PERSO!AB$50/VALO_PERSO!$AF$50</f>
        <v>13.895716632705833</v>
      </c>
      <c r="T62" s="40">
        <f>VALO_AMO!$O62*VALO_AMO!$M62*VALO_PERSO!AC$50/VALO_PERSO!$AF$50</f>
        <v>19.312827624605749</v>
      </c>
      <c r="U62" s="40">
        <f>VALO_AMO!$O62*VALO_AMO!$M62*VALO_PERSO!AD$50/VALO_PERSO!$AF$50</f>
        <v>4.8354767452220413</v>
      </c>
      <c r="V62" s="40"/>
      <c r="W62" s="79">
        <f t="shared" si="94"/>
        <v>306.33999999999997</v>
      </c>
      <c r="X62" s="233"/>
      <c r="Y62" s="92" t="str">
        <f>IF(N62=parametrage!$M$2,VALO_AMO!$AO$7,IF(N62=parametrage!$M$3,VALO_AMO!$AU$7,"à définir"))</f>
        <v>à définir</v>
      </c>
      <c r="Z62" s="40">
        <f>IFERROR(IF(OR($N62=parametrage!$M$2,$N62=parametrage!$M$3),VALO_AMO!$Y62*VALO_AMO!$M62*VALO_PERSO!AI$16/VALO_PERSO!$AK$16,0),0)</f>
        <v>0</v>
      </c>
      <c r="AA62" s="40"/>
      <c r="AB62" s="79">
        <f t="shared" si="77"/>
        <v>0</v>
      </c>
      <c r="AC62" s="42" t="e">
        <f>VLOOKUP(G62,'Verif VS 24'!$A$51:$F$112,6,0)</f>
        <v>#N/A</v>
      </c>
      <c r="AD62" s="92"/>
      <c r="AE62" s="40"/>
      <c r="AF62" s="40"/>
      <c r="AG62" s="79"/>
    </row>
    <row r="63" spans="1:33" ht="15.75" x14ac:dyDescent="0.3">
      <c r="C63" s="59"/>
      <c r="D63" s="71" t="b">
        <v>0</v>
      </c>
      <c r="E63" s="62"/>
      <c r="F63" s="62"/>
      <c r="G63" s="62"/>
      <c r="H63" s="62"/>
      <c r="I63" s="484"/>
      <c r="J63" s="485"/>
      <c r="K63" s="62"/>
      <c r="L63" s="62"/>
      <c r="M63" s="62"/>
      <c r="N63" s="62"/>
      <c r="O63" s="92"/>
      <c r="P63" s="40"/>
      <c r="Q63" s="40"/>
      <c r="R63" s="40"/>
      <c r="S63" s="40"/>
      <c r="T63" s="40"/>
      <c r="U63" s="40"/>
      <c r="V63" s="40"/>
      <c r="W63" s="79"/>
      <c r="X63" s="233"/>
      <c r="Y63" s="92"/>
      <c r="Z63" s="40"/>
      <c r="AA63" s="40"/>
      <c r="AB63" s="79"/>
      <c r="AD63" s="92"/>
      <c r="AE63" s="40"/>
      <c r="AF63" s="40"/>
      <c r="AG63" s="79"/>
    </row>
    <row r="64" spans="1:33" ht="15.75" x14ac:dyDescent="0.3">
      <c r="C64" s="59"/>
      <c r="D64" s="71" t="b">
        <v>0</v>
      </c>
      <c r="E64" s="62"/>
      <c r="F64" s="62"/>
      <c r="G64" s="62"/>
      <c r="H64" s="62"/>
      <c r="I64" s="484"/>
      <c r="J64" s="485"/>
      <c r="K64" s="62"/>
      <c r="L64" s="62"/>
      <c r="M64" s="62"/>
      <c r="N64" s="62"/>
      <c r="O64" s="92"/>
      <c r="P64" s="40"/>
      <c r="Q64" s="40"/>
      <c r="R64" s="40"/>
      <c r="S64" s="40"/>
      <c r="T64" s="40"/>
      <c r="U64" s="40"/>
      <c r="V64" s="40"/>
      <c r="W64" s="79"/>
      <c r="X64" s="233"/>
      <c r="Y64" s="92"/>
      <c r="Z64" s="40"/>
      <c r="AA64" s="40"/>
      <c r="AB64" s="79"/>
      <c r="AD64" s="92"/>
      <c r="AE64" s="40"/>
      <c r="AF64" s="40"/>
      <c r="AG64" s="79"/>
    </row>
    <row r="65" spans="3:47" ht="15.75" x14ac:dyDescent="0.3">
      <c r="C65" s="59"/>
      <c r="D65" s="71" t="b">
        <v>0</v>
      </c>
      <c r="E65" s="62"/>
      <c r="F65" s="62"/>
      <c r="G65" s="62"/>
      <c r="H65" s="62"/>
      <c r="I65" s="484"/>
      <c r="J65" s="485"/>
      <c r="K65" s="62"/>
      <c r="L65" s="62"/>
      <c r="M65" s="62"/>
      <c r="N65" s="62"/>
      <c r="O65" s="92"/>
      <c r="P65" s="40"/>
      <c r="Q65" s="40"/>
      <c r="R65" s="40"/>
      <c r="S65" s="40"/>
      <c r="T65" s="40"/>
      <c r="U65" s="40"/>
      <c r="V65" s="40"/>
      <c r="W65" s="79"/>
      <c r="X65" s="233"/>
      <c r="Y65" s="92"/>
      <c r="Z65" s="40"/>
      <c r="AA65" s="40"/>
      <c r="AB65" s="79"/>
      <c r="AD65" s="92"/>
      <c r="AE65" s="40"/>
      <c r="AF65" s="40"/>
      <c r="AG65" s="79"/>
    </row>
    <row r="66" spans="3:47" ht="15.75" x14ac:dyDescent="0.3">
      <c r="C66" s="59"/>
      <c r="D66" s="71" t="b">
        <v>0</v>
      </c>
      <c r="E66" s="62"/>
      <c r="F66" s="62"/>
      <c r="G66" s="62"/>
      <c r="H66" s="62"/>
      <c r="I66" s="484"/>
      <c r="J66" s="485"/>
      <c r="K66" s="62"/>
      <c r="L66" s="62"/>
      <c r="M66" s="62"/>
      <c r="N66" s="62"/>
      <c r="O66" s="92"/>
      <c r="P66" s="40"/>
      <c r="Q66" s="40"/>
      <c r="R66" s="40"/>
      <c r="S66" s="40"/>
      <c r="T66" s="40"/>
      <c r="U66" s="40"/>
      <c r="V66" s="40"/>
      <c r="W66" s="79"/>
      <c r="X66" s="233"/>
      <c r="Y66" s="92"/>
      <c r="Z66" s="40"/>
      <c r="AA66" s="40"/>
      <c r="AB66" s="79"/>
      <c r="AD66" s="92"/>
      <c r="AE66" s="40"/>
      <c r="AF66" s="40"/>
      <c r="AG66" s="79"/>
    </row>
    <row r="67" spans="3:47" ht="15.75" x14ac:dyDescent="0.3">
      <c r="C67" s="59"/>
      <c r="D67" s="71" t="b">
        <v>0</v>
      </c>
      <c r="E67" s="62"/>
      <c r="F67" s="62"/>
      <c r="G67" s="62"/>
      <c r="H67" s="62"/>
      <c r="I67" s="484"/>
      <c r="J67" s="485"/>
      <c r="K67" s="62"/>
      <c r="L67" s="62"/>
      <c r="M67" s="62"/>
      <c r="N67" s="62"/>
      <c r="O67" s="92"/>
      <c r="P67" s="40"/>
      <c r="Q67" s="40"/>
      <c r="R67" s="40"/>
      <c r="S67" s="40"/>
      <c r="T67" s="40"/>
      <c r="U67" s="40"/>
      <c r="V67" s="40"/>
      <c r="W67" s="79"/>
      <c r="X67" s="233"/>
      <c r="Y67" s="92"/>
      <c r="Z67" s="40"/>
      <c r="AA67" s="40"/>
      <c r="AB67" s="79"/>
      <c r="AD67" s="92"/>
      <c r="AE67" s="40"/>
      <c r="AF67" s="40"/>
      <c r="AG67" s="79"/>
    </row>
    <row r="68" spans="3:47" ht="15.75" x14ac:dyDescent="0.3">
      <c r="C68" s="59"/>
      <c r="D68" s="71" t="b">
        <v>0</v>
      </c>
      <c r="E68" s="62"/>
      <c r="F68" s="62"/>
      <c r="G68" s="62"/>
      <c r="H68" s="62"/>
      <c r="I68" s="484"/>
      <c r="J68" s="485"/>
      <c r="K68" s="62"/>
      <c r="L68" s="62"/>
      <c r="M68" s="62"/>
      <c r="N68" s="62"/>
      <c r="O68" s="92"/>
      <c r="P68" s="40"/>
      <c r="Q68" s="40"/>
      <c r="R68" s="40"/>
      <c r="S68" s="40"/>
      <c r="T68" s="40"/>
      <c r="U68" s="40"/>
      <c r="V68" s="40"/>
      <c r="W68" s="79"/>
      <c r="X68" s="233"/>
      <c r="Y68" s="92"/>
      <c r="Z68" s="40"/>
      <c r="AA68" s="40"/>
      <c r="AB68" s="79"/>
      <c r="AD68" s="92"/>
      <c r="AE68" s="40"/>
      <c r="AF68" s="40"/>
      <c r="AG68" s="79"/>
    </row>
    <row r="69" spans="3:47" ht="15.75" x14ac:dyDescent="0.3">
      <c r="C69" s="59"/>
      <c r="D69" s="71" t="b">
        <v>0</v>
      </c>
      <c r="E69" s="62"/>
      <c r="F69" s="62"/>
      <c r="G69" s="62"/>
      <c r="H69" s="62"/>
      <c r="I69" s="484"/>
      <c r="J69" s="485"/>
      <c r="K69" s="62"/>
      <c r="L69" s="62"/>
      <c r="M69" s="62"/>
      <c r="N69" s="62"/>
      <c r="O69" s="92"/>
      <c r="P69" s="40"/>
      <c r="Q69" s="40"/>
      <c r="R69" s="40"/>
      <c r="S69" s="40"/>
      <c r="T69" s="40"/>
      <c r="U69" s="40"/>
      <c r="V69" s="40"/>
      <c r="W69" s="79"/>
      <c r="X69" s="233"/>
      <c r="Y69" s="92"/>
      <c r="Z69" s="40"/>
      <c r="AA69" s="40"/>
      <c r="AB69" s="79"/>
      <c r="AD69" s="92"/>
      <c r="AE69" s="40"/>
      <c r="AF69" s="40"/>
      <c r="AG69" s="79"/>
    </row>
    <row r="70" spans="3:47" ht="15.75" thickBot="1" x14ac:dyDescent="0.3">
      <c r="D70" s="60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4" t="s">
        <v>466</v>
      </c>
      <c r="P70" s="65">
        <f t="shared" ref="P70:W70" si="95">SUM(P4:P69)</f>
        <v>26216.90635079686</v>
      </c>
      <c r="Q70" s="65">
        <f t="shared" si="95"/>
        <v>100417.56782046289</v>
      </c>
      <c r="R70" s="65">
        <f t="shared" si="95"/>
        <v>51571.708469689569</v>
      </c>
      <c r="S70" s="65">
        <f t="shared" si="95"/>
        <v>9229.7418150953254</v>
      </c>
      <c r="T70" s="65">
        <f t="shared" si="95"/>
        <v>12827.867565678886</v>
      </c>
      <c r="U70" s="65">
        <f t="shared" si="95"/>
        <v>3211.7956267366912</v>
      </c>
      <c r="V70" s="67">
        <f t="shared" si="95"/>
        <v>0</v>
      </c>
      <c r="W70" s="65">
        <f t="shared" si="95"/>
        <v>203475.58764846018</v>
      </c>
      <c r="X70" s="234"/>
      <c r="Y70" s="64"/>
      <c r="Z70" s="65">
        <f>SUM(Z4:Z69)</f>
        <v>0</v>
      </c>
      <c r="AA70" s="67">
        <f>SUM(AA4:AA69)</f>
        <v>0</v>
      </c>
      <c r="AB70" s="65">
        <f>SUM(AB4:AB69)</f>
        <v>0</v>
      </c>
      <c r="AD70" s="64"/>
      <c r="AE70" s="65">
        <f>SUM(AE4:AE69)</f>
        <v>0</v>
      </c>
      <c r="AF70" s="67">
        <f>SUM(AF4:AF69)</f>
        <v>0</v>
      </c>
      <c r="AG70" s="65">
        <f>SUM(AG4:AG69)</f>
        <v>0</v>
      </c>
    </row>
    <row r="71" spans="3:47" ht="15.75" thickBot="1" x14ac:dyDescent="0.3"/>
    <row r="72" spans="3:47" ht="15.75" thickBot="1" x14ac:dyDescent="0.3">
      <c r="J72" s="43"/>
      <c r="K72" s="44"/>
      <c r="L72" s="44"/>
      <c r="M72" s="44"/>
      <c r="N72" s="44"/>
      <c r="O72" s="95" t="s">
        <v>467</v>
      </c>
      <c r="P72" s="65">
        <f>SUMIF(N:N,parametrage!$M$6,VALO_AMO!P:P)</f>
        <v>0</v>
      </c>
      <c r="Q72" s="65">
        <f>SUMIF(O:O,parametrage!$M$6,VALO_AMO!Q:Q)</f>
        <v>0</v>
      </c>
      <c r="R72" s="65">
        <f>SUMIF(P:P,parametrage!$M$6,VALO_AMO!R:R)</f>
        <v>0</v>
      </c>
      <c r="S72" s="65">
        <f>SUMIF(Q:Q,parametrage!$M$6,VALO_AMO!S:S)</f>
        <v>0</v>
      </c>
      <c r="T72" s="65">
        <f>SUMIF(R:R,parametrage!$M$6,VALO_AMO!T:T)</f>
        <v>0</v>
      </c>
      <c r="U72" s="65">
        <f>SUMIF(S:S,parametrage!$M$6,VALO_AMO!U:U)</f>
        <v>0</v>
      </c>
      <c r="W72" s="65">
        <f>SUM(P72:V72)</f>
        <v>0</v>
      </c>
      <c r="X72" s="230"/>
    </row>
    <row r="73" spans="3:47" ht="15.75" thickBot="1" x14ac:dyDescent="0.3"/>
    <row r="74" spans="3:47" ht="15.75" thickBot="1" x14ac:dyDescent="0.3">
      <c r="J74" s="43"/>
      <c r="K74" s="44"/>
      <c r="L74" s="44"/>
      <c r="M74" s="44"/>
      <c r="N74" s="44"/>
      <c r="O74" s="95" t="s">
        <v>468</v>
      </c>
      <c r="P74" s="65">
        <f t="shared" ref="P74:U74" si="96">P70-P72</f>
        <v>26216.90635079686</v>
      </c>
      <c r="Q74" s="65">
        <f t="shared" si="96"/>
        <v>100417.56782046289</v>
      </c>
      <c r="R74" s="65">
        <f t="shared" si="96"/>
        <v>51571.708469689569</v>
      </c>
      <c r="S74" s="65">
        <f t="shared" si="96"/>
        <v>9229.7418150953254</v>
      </c>
      <c r="T74" s="65">
        <f t="shared" si="96"/>
        <v>12827.867565678886</v>
      </c>
      <c r="U74" s="65">
        <f t="shared" si="96"/>
        <v>3211.7956267366912</v>
      </c>
      <c r="W74" s="65">
        <f>SUM(P74:V74)</f>
        <v>203475.58764846023</v>
      </c>
      <c r="X74" s="230"/>
    </row>
    <row r="80" spans="3:47" x14ac:dyDescent="0.25">
      <c r="H80" s="508" t="s">
        <v>450</v>
      </c>
      <c r="I80" s="508" t="s">
        <v>1392</v>
      </c>
      <c r="J80" s="508" t="s">
        <v>1393</v>
      </c>
      <c r="K80" s="508" t="s">
        <v>1394</v>
      </c>
      <c r="L80" s="508" t="s">
        <v>1395</v>
      </c>
      <c r="U80" s="68"/>
      <c r="V80" s="42"/>
      <c r="Z80" s="68"/>
      <c r="AA80" s="42"/>
      <c r="AE80" s="68"/>
      <c r="AF80" s="42"/>
      <c r="AM80" s="85"/>
      <c r="AN80" s="88"/>
      <c r="AO80" s="42"/>
      <c r="AS80" s="85"/>
      <c r="AT80" s="88"/>
      <c r="AU80" s="42"/>
    </row>
    <row r="81" spans="8:47" x14ac:dyDescent="0.25">
      <c r="H81" s="42" t="s">
        <v>1389</v>
      </c>
      <c r="I81" s="42">
        <f>COUNTIF($H$4:$H$62,H81)</f>
        <v>8</v>
      </c>
      <c r="J81" s="507">
        <f>SUMIFS($K$4:$K$62,$H$4:$H$62,H81)</f>
        <v>7264.4299999999994</v>
      </c>
      <c r="K81" s="507">
        <f>SUMIFS($M$4:$M$62,$H$4:$H$62,H81)</f>
        <v>2038.0452229999999</v>
      </c>
      <c r="L81" s="507">
        <f>SUMIFS($W$4:$W$62,$H$4:$H$62,H81)</f>
        <v>1603.4530070146259</v>
      </c>
      <c r="U81" s="68"/>
      <c r="V81" s="42"/>
      <c r="Z81" s="68"/>
      <c r="AA81" s="42"/>
      <c r="AE81" s="68"/>
      <c r="AF81" s="42"/>
      <c r="AM81" s="85"/>
      <c r="AN81" s="88"/>
      <c r="AO81" s="42"/>
      <c r="AS81" s="85"/>
      <c r="AT81" s="88"/>
      <c r="AU81" s="42"/>
    </row>
    <row r="82" spans="8:47" x14ac:dyDescent="0.25">
      <c r="H82" s="42" t="s">
        <v>1390</v>
      </c>
      <c r="I82" s="42">
        <f t="shared" ref="I82:I83" si="97">COUNTIF($H$4:$H$62,H82)</f>
        <v>12</v>
      </c>
      <c r="J82" s="507">
        <f t="shared" ref="J82:J83" si="98">SUMIFS($K$4:$K$62,$H$4:$H$62,H82)</f>
        <v>614434.4800000001</v>
      </c>
      <c r="K82" s="507">
        <f>SUMIFS($M$4:$M$62,$H$4:$H$62,H82)</f>
        <v>67135.443999999989</v>
      </c>
      <c r="L82" s="507">
        <f>SUMIFS($W$4:$W$62,$H$4:$H$62,H82)</f>
        <v>67107.047291445531</v>
      </c>
      <c r="U82" s="68"/>
      <c r="V82" s="42"/>
      <c r="Z82" s="68"/>
      <c r="AA82" s="42"/>
      <c r="AE82" s="68"/>
      <c r="AF82" s="42"/>
      <c r="AM82" s="85"/>
      <c r="AN82" s="88"/>
      <c r="AO82" s="42"/>
      <c r="AS82" s="85"/>
      <c r="AT82" s="88"/>
      <c r="AU82" s="42"/>
    </row>
    <row r="83" spans="8:47" x14ac:dyDescent="0.25">
      <c r="H83" s="42" t="s">
        <v>1391</v>
      </c>
      <c r="I83" s="42">
        <f t="shared" si="97"/>
        <v>39</v>
      </c>
      <c r="J83" s="507">
        <f t="shared" si="98"/>
        <v>1291353.1200000003</v>
      </c>
      <c r="K83" s="507">
        <f>SUMIFS($M$4:$M$62,$H$4:$H$62,H83)</f>
        <v>134765.08734999996</v>
      </c>
      <c r="L83" s="507">
        <f>SUMIFS($W$4:$W$62,$H$4:$H$62,H83)</f>
        <v>134765.08734999996</v>
      </c>
      <c r="U83" s="68"/>
      <c r="V83" s="42"/>
      <c r="Z83" s="68"/>
      <c r="AA83" s="42"/>
      <c r="AE83" s="68"/>
      <c r="AF83" s="42"/>
      <c r="AM83" s="85"/>
      <c r="AN83" s="88"/>
      <c r="AO83" s="42"/>
      <c r="AS83" s="85"/>
      <c r="AT83" s="88"/>
      <c r="AU83" s="42"/>
    </row>
    <row r="84" spans="8:47" x14ac:dyDescent="0.25">
      <c r="H84" s="509" t="s">
        <v>555</v>
      </c>
      <c r="I84" s="509">
        <f>SUM(I81:I83)</f>
        <v>59</v>
      </c>
      <c r="J84" s="510">
        <f t="shared" ref="J84:L84" si="99">SUM(J81:J83)</f>
        <v>1913052.0300000005</v>
      </c>
      <c r="K84" s="510">
        <f>SUM(K81:K83)</f>
        <v>203938.57657299994</v>
      </c>
      <c r="L84" s="510">
        <f t="shared" si="99"/>
        <v>203475.58764846012</v>
      </c>
      <c r="U84" s="68"/>
      <c r="V84" s="42"/>
      <c r="Z84" s="68"/>
      <c r="AA84" s="42"/>
      <c r="AE84" s="68"/>
      <c r="AF84" s="42"/>
      <c r="AM84" s="85"/>
      <c r="AN84" s="88"/>
      <c r="AO84" s="42"/>
      <c r="AS84" s="85"/>
      <c r="AT84" s="88"/>
      <c r="AU84" s="42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B1:C1048576" name="Plage1"/>
  </protectedRanges>
  <autoFilter ref="A3:AV70" xr:uid="{9054C8CA-19D0-42BF-B6FA-2D829B5B71AE}"/>
  <mergeCells count="21">
    <mergeCell ref="AQ10:AQ11"/>
    <mergeCell ref="AR10:AR11"/>
    <mergeCell ref="AU10:AU11"/>
    <mergeCell ref="AU4:AU5"/>
    <mergeCell ref="AK7:AK8"/>
    <mergeCell ref="AL7:AL8"/>
    <mergeCell ref="AO7:AO8"/>
    <mergeCell ref="AQ7:AQ8"/>
    <mergeCell ref="AR7:AR8"/>
    <mergeCell ref="AU7:AU8"/>
    <mergeCell ref="AL4:AL5"/>
    <mergeCell ref="AO4:AO5"/>
    <mergeCell ref="AK4:AK5"/>
    <mergeCell ref="AQ4:AQ5"/>
    <mergeCell ref="AR4:AR5"/>
    <mergeCell ref="AK14:AK15"/>
    <mergeCell ref="AL14:AL15"/>
    <mergeCell ref="AO14:AO15"/>
    <mergeCell ref="AK10:AK11"/>
    <mergeCell ref="AL10:AL11"/>
    <mergeCell ref="AO10:AO11"/>
  </mergeCells>
  <phoneticPr fontId="8" type="noConversion"/>
  <conditionalFormatting sqref="D4:H4 D5:M69">
    <cfRule type="expression" dxfId="269" priority="5">
      <formula>$B4=1</formula>
    </cfRule>
  </conditionalFormatting>
  <conditionalFormatting sqref="D4:H4 H5:H62">
    <cfRule type="expression" dxfId="268" priority="4">
      <formula>$C4=1</formula>
    </cfRule>
  </conditionalFormatting>
  <conditionalFormatting sqref="G1:H1 G3:H79 G84:H1048576 G80:G83">
    <cfRule type="duplicateValues" dxfId="267" priority="3"/>
  </conditionalFormatting>
  <conditionalFormatting sqref="I4:M4">
    <cfRule type="expression" dxfId="266" priority="2">
      <formula>$B4=1</formula>
    </cfRule>
  </conditionalFormatting>
  <conditionalFormatting sqref="I4:M4">
    <cfRule type="expression" dxfId="265" priority="1">
      <formula>$C4=1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InsererColonneMultipl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Extraire_Immo_Tableau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352425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Module14.DupliquerLignesAvecTexteDansToutesFeuilles">
                <anchor moveWithCells="1" sizeWithCells="1">
                  <from>
                    <xdr:col>3</xdr:col>
                    <xdr:colOff>38100</xdr:colOff>
                    <xdr:row>0</xdr:row>
                    <xdr:rowOff>123825</xdr:rowOff>
                  </from>
                  <to>
                    <xdr:col>5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18BFE7-4DBA-4864-8A77-B50FD5935756}">
          <x14:formula1>
            <xm:f>parametrage!$M$2:$M$7</xm:f>
          </x14:formula1>
          <xm:sqref>N4:N69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2AA-858D-414F-9E9B-11C90DB63489}">
  <sheetPr codeName="Feuil22">
    <tabColor rgb="FF2D44EA"/>
  </sheetPr>
  <dimension ref="A1:X57"/>
  <sheetViews>
    <sheetView topLeftCell="A29" workbookViewId="0">
      <selection activeCell="Z26" sqref="Z26"/>
    </sheetView>
  </sheetViews>
  <sheetFormatPr baseColWidth="10" defaultColWidth="11.42578125" defaultRowHeight="15" outlineLevelCol="1" x14ac:dyDescent="0.25"/>
  <cols>
    <col min="1" max="1" width="8.42578125" style="463" bestFit="1" customWidth="1"/>
    <col min="2" max="2" width="2" style="49" bestFit="1" customWidth="1"/>
    <col min="3" max="3" width="22.85546875" style="42" customWidth="1"/>
    <col min="4" max="4" width="15.140625" style="42" customWidth="1"/>
    <col min="5" max="5" width="25.5703125" style="42" customWidth="1"/>
    <col min="6" max="6" width="11.28515625" style="42" bestFit="1" customWidth="1"/>
    <col min="7" max="7" width="12.28515625" style="42" bestFit="1" customWidth="1"/>
    <col min="8" max="8" width="19" style="42" customWidth="1" outlineLevel="1"/>
    <col min="9" max="14" width="10.5703125" style="42" customWidth="1" outlineLevel="1"/>
    <col min="15" max="15" width="11.42578125" style="42" customWidth="1" outlineLevel="1"/>
    <col min="16" max="16" width="2.140625" style="42" customWidth="1" outlineLevel="1"/>
    <col min="17" max="17" width="11.42578125" style="42" hidden="1" customWidth="1" outlineLevel="1"/>
    <col min="18" max="18" width="11.5703125" style="42" hidden="1" customWidth="1" outlineLevel="1"/>
    <col min="19" max="19" width="11.42578125" style="42" hidden="1" customWidth="1" outlineLevel="1"/>
    <col min="20" max="20" width="4.28515625" style="42" hidden="1" customWidth="1"/>
    <col min="21" max="21" width="0" style="42" hidden="1" customWidth="1" outlineLevel="1"/>
    <col min="22" max="22" width="6.7109375" style="42" hidden="1" customWidth="1" outlineLevel="1"/>
    <col min="23" max="23" width="0" style="42" hidden="1" customWidth="1" outlineLevel="1"/>
    <col min="24" max="24" width="11.42578125" style="42" collapsed="1"/>
    <col min="25" max="16384" width="11.42578125" style="42"/>
  </cols>
  <sheetData>
    <row r="1" spans="2:23" ht="15.75" thickBot="1" x14ac:dyDescent="0.3">
      <c r="I1" s="42" t="s">
        <v>13</v>
      </c>
      <c r="J1" s="42" t="s">
        <v>13</v>
      </c>
      <c r="K1" s="42" t="s">
        <v>13</v>
      </c>
      <c r="L1" s="42" t="s">
        <v>13</v>
      </c>
      <c r="M1" s="42" t="s">
        <v>13</v>
      </c>
      <c r="N1" s="42" t="s">
        <v>13</v>
      </c>
      <c r="R1" s="42" t="s">
        <v>27</v>
      </c>
      <c r="V1" s="42" t="s">
        <v>38</v>
      </c>
    </row>
    <row r="2" spans="2:23" ht="24" customHeight="1" thickBot="1" x14ac:dyDescent="0.3">
      <c r="C2"/>
      <c r="D2"/>
      <c r="E2"/>
      <c r="F2"/>
      <c r="G2"/>
      <c r="H2" s="43" t="s">
        <v>469</v>
      </c>
      <c r="I2" s="44"/>
      <c r="J2" s="44"/>
      <c r="K2" s="44"/>
      <c r="L2" s="44"/>
      <c r="M2" s="44"/>
      <c r="N2" s="44"/>
      <c r="O2" s="45"/>
      <c r="P2" s="231">
        <v>1</v>
      </c>
      <c r="Q2" s="43" t="s">
        <v>448</v>
      </c>
      <c r="R2" s="44"/>
      <c r="S2" s="45"/>
      <c r="U2" s="43" t="s">
        <v>38</v>
      </c>
      <c r="V2" s="44"/>
      <c r="W2" s="45"/>
    </row>
    <row r="3" spans="2:23" ht="45.75" thickBot="1" x14ac:dyDescent="0.3">
      <c r="C3" s="279" t="s">
        <v>452</v>
      </c>
      <c r="D3" s="279" t="s">
        <v>383</v>
      </c>
      <c r="E3" s="279" t="s">
        <v>384</v>
      </c>
      <c r="F3" s="279" t="s">
        <v>385</v>
      </c>
      <c r="G3" s="280" t="s">
        <v>386</v>
      </c>
      <c r="H3" s="281" t="s">
        <v>460</v>
      </c>
      <c r="I3" s="282" t="str">
        <f>'REP cout'!B4</f>
        <v>CHIC</v>
      </c>
      <c r="J3" s="282" t="str">
        <f>'REP cout'!C4</f>
        <v>PHOENIX</v>
      </c>
      <c r="K3" s="282" t="str">
        <f>'REP cout'!D4</f>
        <v>BIOPPIGMENT</v>
      </c>
      <c r="L3" s="282" t="str">
        <f>'REP cout'!E4</f>
        <v>PALOMA</v>
      </c>
      <c r="M3" s="282" t="str">
        <f>'REP cout'!F4</f>
        <v>LISA</v>
      </c>
      <c r="N3" s="282" t="str">
        <f>'REP cout'!G4</f>
        <v>OASIS</v>
      </c>
      <c r="O3" s="283" t="s">
        <v>457</v>
      </c>
      <c r="P3" s="232">
        <v>1</v>
      </c>
      <c r="Q3" s="281" t="s">
        <v>460</v>
      </c>
      <c r="R3" s="284" t="str">
        <f>'REP cout'!M32</f>
        <v>Projet 1</v>
      </c>
      <c r="S3" s="284" t="s">
        <v>459</v>
      </c>
      <c r="U3" s="281" t="s">
        <v>460</v>
      </c>
      <c r="V3" s="284" t="str">
        <f>'REP cout'!S32</f>
        <v>Nom projet</v>
      </c>
      <c r="W3" s="284" t="s">
        <v>461</v>
      </c>
    </row>
    <row r="4" spans="2:23" ht="14.45" customHeight="1" x14ac:dyDescent="0.3">
      <c r="B4" s="59"/>
      <c r="C4" s="62">
        <f>VALO_AMO!G4</f>
        <v>18</v>
      </c>
      <c r="D4" s="62" t="str">
        <f>VALO_AMO!I4</f>
        <v>Dell Lattitude 3420 Core i5</v>
      </c>
      <c r="E4" s="62" t="str">
        <f>VALO_AMO!J4</f>
        <v>26/04/2022</v>
      </c>
      <c r="F4" s="62">
        <f>VALO_AMO!K4</f>
        <v>902.99</v>
      </c>
      <c r="G4" s="62" t="str">
        <f>VALO_AMO!L4</f>
        <v>36</v>
      </c>
      <c r="H4" s="92">
        <f>VALO_AMO!O4</f>
        <v>0.78676026857458303</v>
      </c>
      <c r="I4" s="40">
        <f>VALO_AMO!P4</f>
        <v>9.7467727357859442</v>
      </c>
      <c r="J4" s="40">
        <f>VALO_AMO!Q4</f>
        <v>37.332673776617206</v>
      </c>
      <c r="K4" s="40">
        <f>VALO_AMO!R4</f>
        <v>19.173037250254854</v>
      </c>
      <c r="L4" s="40">
        <f>VALO_AMO!S4</f>
        <v>3.4313810591530856</v>
      </c>
      <c r="M4" s="40">
        <f>VALO_AMO!T4</f>
        <v>4.7690718414467499</v>
      </c>
      <c r="N4" s="40">
        <f>VALO_AMO!U4</f>
        <v>1.1940631601883196</v>
      </c>
      <c r="O4" s="79">
        <f>VALO_AMO!W4</f>
        <v>75.646999823446151</v>
      </c>
      <c r="P4" s="233"/>
      <c r="Q4" s="92">
        <f>VALO_AMO!Y4</f>
        <v>0</v>
      </c>
      <c r="R4" s="40">
        <f>VALO_AMO!Z4</f>
        <v>0</v>
      </c>
      <c r="S4" s="79">
        <f>VALO_AMO!AB4</f>
        <v>0</v>
      </c>
      <c r="U4" s="92">
        <f>VALO_AMO!AD4</f>
        <v>0</v>
      </c>
      <c r="V4" s="40">
        <f>VALO_AMO!AE4</f>
        <v>0</v>
      </c>
      <c r="W4" s="79">
        <f>VALO_AMO!AG4</f>
        <v>0</v>
      </c>
    </row>
    <row r="5" spans="2:23" ht="15.75" x14ac:dyDescent="0.3">
      <c r="B5" s="59"/>
      <c r="C5" s="62">
        <f>VALO_AMO!G5</f>
        <v>20</v>
      </c>
      <c r="D5" s="62" t="str">
        <f>VALO_AMO!I5</f>
        <v>PC Portable</v>
      </c>
      <c r="E5" s="62" t="str">
        <f>VALO_AMO!J5</f>
        <v>15/01/2023</v>
      </c>
      <c r="F5" s="62">
        <f>VALO_AMO!K5</f>
        <v>574.16999999999996</v>
      </c>
      <c r="G5" s="62" t="str">
        <f>VALO_AMO!L5</f>
        <v>36</v>
      </c>
      <c r="H5" s="92">
        <f>VALO_AMO!O5</f>
        <v>0.78676026857458303</v>
      </c>
      <c r="I5" s="40">
        <f>VALO_AMO!P5</f>
        <v>19.399358194682069</v>
      </c>
      <c r="J5" s="40">
        <f>VALO_AMO!Q5</f>
        <v>74.304585793690634</v>
      </c>
      <c r="K5" s="40">
        <f>VALO_AMO!R5</f>
        <v>38.160797156176216</v>
      </c>
      <c r="L5" s="40">
        <f>VALO_AMO!S5</f>
        <v>6.8296032003038771</v>
      </c>
      <c r="M5" s="40">
        <f>VALO_AMO!T5</f>
        <v>9.4920580807958359</v>
      </c>
      <c r="N5" s="40">
        <f>VALO_AMO!U5</f>
        <v>2.3765875720605263</v>
      </c>
      <c r="O5" s="79">
        <f>VALO_AMO!W5</f>
        <v>150.56298999770914</v>
      </c>
      <c r="P5" s="233"/>
      <c r="Q5" s="92">
        <f>VALO_AMO!Y5</f>
        <v>0</v>
      </c>
      <c r="R5" s="40">
        <f>VALO_AMO!Z5</f>
        <v>0</v>
      </c>
      <c r="S5" s="79">
        <f>VALO_AMO!AB5</f>
        <v>0</v>
      </c>
      <c r="U5" s="92">
        <f>VALO_AMO!AD5</f>
        <v>0</v>
      </c>
      <c r="V5" s="40">
        <f>VALO_AMO!AE5</f>
        <v>0</v>
      </c>
      <c r="W5" s="79">
        <f>VALO_AMO!AG5</f>
        <v>0</v>
      </c>
    </row>
    <row r="6" spans="2:23" ht="15.75" x14ac:dyDescent="0.3">
      <c r="B6" s="59"/>
      <c r="C6" s="62">
        <f>VALO_AMO!G6</f>
        <v>22</v>
      </c>
      <c r="D6" s="62" t="str">
        <f>VALO_AMO!I6</f>
        <v>BACK MARKET 5 ordi pour les no</v>
      </c>
      <c r="E6" s="62" t="str">
        <f>VALO_AMO!J6</f>
        <v>27/09/2023</v>
      </c>
      <c r="F6" s="62">
        <f>VALO_AMO!K6</f>
        <v>1295.45</v>
      </c>
      <c r="G6" s="62" t="str">
        <f>VALO_AMO!L6</f>
        <v>36</v>
      </c>
      <c r="H6" s="92">
        <f>VALO_AMO!O6</f>
        <v>0.78676026857458303</v>
      </c>
      <c r="I6" s="40">
        <f>VALO_AMO!P6</f>
        <v>43.769090292597824</v>
      </c>
      <c r="J6" s="40">
        <f>VALO_AMO!Q6</f>
        <v>167.64699595317859</v>
      </c>
      <c r="K6" s="40">
        <f>VALO_AMO!R6</f>
        <v>86.098898716353148</v>
      </c>
      <c r="L6" s="40">
        <f>VALO_AMO!S6</f>
        <v>15.409041687712103</v>
      </c>
      <c r="M6" s="40">
        <f>VALO_AMO!T6</f>
        <v>21.416107843960791</v>
      </c>
      <c r="N6" s="40">
        <f>VALO_AMO!U6</f>
        <v>5.362088528181217</v>
      </c>
      <c r="O6" s="79">
        <f>VALO_AMO!W6</f>
        <v>339.70222302198368</v>
      </c>
      <c r="P6" s="233"/>
      <c r="Q6" s="92">
        <f>VALO_AMO!Y6</f>
        <v>0</v>
      </c>
      <c r="R6" s="40">
        <f>VALO_AMO!Z6</f>
        <v>0</v>
      </c>
      <c r="S6" s="79">
        <f>VALO_AMO!AB6</f>
        <v>0</v>
      </c>
      <c r="U6" s="92">
        <f>VALO_AMO!AD6</f>
        <v>0</v>
      </c>
      <c r="V6" s="40">
        <f>VALO_AMO!AE6</f>
        <v>0</v>
      </c>
      <c r="W6" s="79">
        <f>VALO_AMO!AG6</f>
        <v>0</v>
      </c>
    </row>
    <row r="7" spans="2:23" ht="14.45" customHeight="1" x14ac:dyDescent="0.3">
      <c r="B7" s="59"/>
      <c r="C7" s="62">
        <f>VALO_AMO!G7</f>
        <v>23</v>
      </c>
      <c r="D7" s="62" t="str">
        <f>VALO_AMO!I7</f>
        <v>BACK MARKET HP Envy 14-EB1030N</v>
      </c>
      <c r="E7" s="62" t="str">
        <f>VALO_AMO!J7</f>
        <v>20/04/2023</v>
      </c>
      <c r="F7" s="62">
        <f>VALO_AMO!K7</f>
        <v>1805.99</v>
      </c>
      <c r="G7" s="62" t="str">
        <f>VALO_AMO!L7</f>
        <v>36</v>
      </c>
      <c r="H7" s="92">
        <f>VALO_AMO!O7</f>
        <v>0.78676026857458303</v>
      </c>
      <c r="I7" s="40">
        <f>VALO_AMO!P7</f>
        <v>61.018595374216488</v>
      </c>
      <c r="J7" s="40">
        <f>VALO_AMO!Q7</f>
        <v>233.71708535372343</v>
      </c>
      <c r="K7" s="40">
        <f>VALO_AMO!R7</f>
        <v>120.03068438978472</v>
      </c>
      <c r="L7" s="40">
        <f>VALO_AMO!S7</f>
        <v>21.481782544745982</v>
      </c>
      <c r="M7" s="40">
        <f>VALO_AMO!T7</f>
        <v>29.856248103064381</v>
      </c>
      <c r="N7" s="40">
        <f>VALO_AMO!U7</f>
        <v>7.4753006762206144</v>
      </c>
      <c r="O7" s="79">
        <f>VALO_AMO!W7</f>
        <v>473.57969644175563</v>
      </c>
      <c r="P7" s="233"/>
      <c r="Q7" s="92">
        <f>VALO_AMO!Y7</f>
        <v>0</v>
      </c>
      <c r="R7" s="40">
        <f>VALO_AMO!Z7</f>
        <v>0</v>
      </c>
      <c r="S7" s="79">
        <f>VALO_AMO!AB7</f>
        <v>0</v>
      </c>
      <c r="U7" s="92">
        <f>VALO_AMO!AD7</f>
        <v>0</v>
      </c>
      <c r="V7" s="40">
        <f>VALO_AMO!AE7</f>
        <v>0</v>
      </c>
      <c r="W7" s="79">
        <f>VALO_AMO!AG7</f>
        <v>0</v>
      </c>
    </row>
    <row r="8" spans="2:23" ht="15.75" x14ac:dyDescent="0.3">
      <c r="B8" s="59"/>
      <c r="C8" s="62">
        <f>VALO_AMO!G8</f>
        <v>34</v>
      </c>
      <c r="D8" s="62" t="str">
        <f>VALO_AMO!I8</f>
        <v>BACK MARKET DELL LATITUDE 5490</v>
      </c>
      <c r="E8" s="62" t="str">
        <f>VALO_AMO!J8</f>
        <v>18/12/2023</v>
      </c>
      <c r="F8" s="62">
        <f>VALO_AMO!K8</f>
        <v>449.23</v>
      </c>
      <c r="G8" s="62" t="str">
        <f>VALO_AMO!L8</f>
        <v>36</v>
      </c>
      <c r="H8" s="92">
        <f>VALO_AMO!O8</f>
        <v>0.78676026857458303</v>
      </c>
      <c r="I8" s="40">
        <f>VALO_AMO!P8</f>
        <v>15.178037309154133</v>
      </c>
      <c r="J8" s="40">
        <f>VALO_AMO!Q8</f>
        <v>58.135829242384048</v>
      </c>
      <c r="K8" s="40">
        <f>VALO_AMO!R8</f>
        <v>29.856967285767361</v>
      </c>
      <c r="L8" s="40">
        <f>VALO_AMO!S8</f>
        <v>5.3434743119154797</v>
      </c>
      <c r="M8" s="40">
        <f>VALO_AMO!T8</f>
        <v>7.4265761910861157</v>
      </c>
      <c r="N8" s="40">
        <f>VALO_AMO!U8</f>
        <v>1.8594395997644435</v>
      </c>
      <c r="O8" s="79">
        <f>VALO_AMO!W8</f>
        <v>117.80032394007158</v>
      </c>
      <c r="P8" s="233"/>
      <c r="Q8" s="92">
        <f>VALO_AMO!Y8</f>
        <v>0</v>
      </c>
      <c r="R8" s="40">
        <f>VALO_AMO!Z8</f>
        <v>0</v>
      </c>
      <c r="S8" s="79">
        <f>VALO_AMO!AB8</f>
        <v>0</v>
      </c>
      <c r="U8" s="92">
        <f>VALO_AMO!AD8</f>
        <v>0</v>
      </c>
      <c r="V8" s="40">
        <f>VALO_AMO!AE8</f>
        <v>0</v>
      </c>
      <c r="W8" s="79">
        <f>VALO_AMO!AG8</f>
        <v>0</v>
      </c>
    </row>
    <row r="9" spans="2:23" ht="15.75" x14ac:dyDescent="0.3">
      <c r="B9" s="59"/>
      <c r="C9" s="62">
        <f>VALO_AMO!G9</f>
        <v>35</v>
      </c>
      <c r="D9" s="62" t="str">
        <f>VALO_AMO!I9</f>
        <v>BACK MARKET DELL LATITUDE 5490</v>
      </c>
      <c r="E9" s="62" t="str">
        <f>VALO_AMO!J9</f>
        <v>18/12/2023</v>
      </c>
      <c r="F9" s="62">
        <f>VALO_AMO!K9</f>
        <v>449.23</v>
      </c>
      <c r="G9" s="62" t="str">
        <f>VALO_AMO!L9</f>
        <v>36</v>
      </c>
      <c r="H9" s="92">
        <f>VALO_AMO!O9</f>
        <v>0.78676026857458303</v>
      </c>
      <c r="I9" s="40">
        <f>VALO_AMO!P9</f>
        <v>15.178037309154133</v>
      </c>
      <c r="J9" s="40">
        <f>VALO_AMO!Q9</f>
        <v>58.135829242384048</v>
      </c>
      <c r="K9" s="40">
        <f>VALO_AMO!R9</f>
        <v>29.856967285767361</v>
      </c>
      <c r="L9" s="40">
        <f>VALO_AMO!S9</f>
        <v>5.3434743119154797</v>
      </c>
      <c r="M9" s="40">
        <f>VALO_AMO!T9</f>
        <v>7.4265761910861157</v>
      </c>
      <c r="N9" s="40">
        <f>VALO_AMO!U9</f>
        <v>1.8594395997644435</v>
      </c>
      <c r="O9" s="79">
        <f>VALO_AMO!W9</f>
        <v>117.80032394007158</v>
      </c>
      <c r="P9" s="233"/>
      <c r="Q9" s="92">
        <f>VALO_AMO!Y9</f>
        <v>0</v>
      </c>
      <c r="R9" s="40">
        <f>VALO_AMO!Z9</f>
        <v>0</v>
      </c>
      <c r="S9" s="79">
        <f>VALO_AMO!AB9</f>
        <v>0</v>
      </c>
      <c r="U9" s="92">
        <f>VALO_AMO!AD9</f>
        <v>0</v>
      </c>
      <c r="V9" s="40">
        <f>VALO_AMO!AE9</f>
        <v>0</v>
      </c>
      <c r="W9" s="79">
        <f>VALO_AMO!AG9</f>
        <v>0</v>
      </c>
    </row>
    <row r="10" spans="2:23" ht="14.45" customHeight="1" x14ac:dyDescent="0.3">
      <c r="B10" s="59"/>
      <c r="C10" s="62">
        <f>VALO_AMO!G10</f>
        <v>36</v>
      </c>
      <c r="D10" s="62" t="str">
        <f>VALO_AMO!I10</f>
        <v>BACK MARKET DELL LATITUDE 5490</v>
      </c>
      <c r="E10" s="62" t="str">
        <f>VALO_AMO!J10</f>
        <v>18/12/2023</v>
      </c>
      <c r="F10" s="62">
        <f>VALO_AMO!K10</f>
        <v>449.24</v>
      </c>
      <c r="G10" s="62" t="str">
        <f>VALO_AMO!L10</f>
        <v>36</v>
      </c>
      <c r="H10" s="92">
        <f>VALO_AMO!O10</f>
        <v>0.78676026857458303</v>
      </c>
      <c r="I10" s="40">
        <f>VALO_AMO!P10</f>
        <v>15.178375177001541</v>
      </c>
      <c r="J10" s="40">
        <f>VALO_AMO!Q10</f>
        <v>58.137123364086577</v>
      </c>
      <c r="K10" s="40">
        <f>VALO_AMO!R10</f>
        <v>29.85763191117719</v>
      </c>
      <c r="L10" s="40">
        <f>VALO_AMO!S10</f>
        <v>5.3435932593213051</v>
      </c>
      <c r="M10" s="40">
        <f>VALO_AMO!T10</f>
        <v>7.4267415089898847</v>
      </c>
      <c r="N10" s="40">
        <f>VALO_AMO!U10</f>
        <v>1.8594809914702459</v>
      </c>
      <c r="O10" s="79">
        <f>VALO_AMO!W10</f>
        <v>117.80294621204676</v>
      </c>
      <c r="P10" s="233"/>
      <c r="Q10" s="92">
        <f>VALO_AMO!Y10</f>
        <v>0</v>
      </c>
      <c r="R10" s="40">
        <f>VALO_AMO!Z10</f>
        <v>0</v>
      </c>
      <c r="S10" s="79">
        <f>VALO_AMO!AB10</f>
        <v>0</v>
      </c>
      <c r="U10" s="92">
        <f>VALO_AMO!AD10</f>
        <v>0</v>
      </c>
      <c r="V10" s="40">
        <f>VALO_AMO!AE10</f>
        <v>0</v>
      </c>
      <c r="W10" s="79">
        <f>VALO_AMO!AG10</f>
        <v>0</v>
      </c>
    </row>
    <row r="11" spans="2:23" ht="15.75" x14ac:dyDescent="0.3">
      <c r="B11" s="59"/>
      <c r="C11" s="62">
        <f>VALO_AMO!G11</f>
        <v>47</v>
      </c>
      <c r="D11" s="62" t="str">
        <f>VALO_AMO!I11</f>
        <v>BACK MARKET Dell Latitude 5490</v>
      </c>
      <c r="E11" s="62" t="str">
        <f>VALO_AMO!J11</f>
        <v>27/03/2024</v>
      </c>
      <c r="F11" s="62">
        <f>VALO_AMO!K11</f>
        <v>1338.13</v>
      </c>
      <c r="G11" s="62" t="str">
        <f>VALO_AMO!L11</f>
        <v>60</v>
      </c>
      <c r="H11" s="92">
        <f>VALO_AMO!O11</f>
        <v>0.78676026857458303</v>
      </c>
      <c r="I11" s="40">
        <f>VALO_AMO!P11</f>
        <v>27.129379097113357</v>
      </c>
      <c r="J11" s="40">
        <f>VALO_AMO!Q11</f>
        <v>103.91257568529336</v>
      </c>
      <c r="K11" s="40">
        <f>VALO_AMO!R11</f>
        <v>53.366648644167512</v>
      </c>
      <c r="L11" s="40">
        <f>VALO_AMO!S11</f>
        <v>9.5509806275288991</v>
      </c>
      <c r="M11" s="40">
        <f>VALO_AMO!T11</f>
        <v>13.274338228175017</v>
      </c>
      <c r="N11" s="40">
        <f>VALO_AMO!U11</f>
        <v>3.3235813552632263</v>
      </c>
      <c r="O11" s="79">
        <f>VALO_AMO!W11</f>
        <v>210.5575036375414</v>
      </c>
      <c r="P11" s="233"/>
      <c r="Q11" s="92">
        <f>VALO_AMO!Y11</f>
        <v>0</v>
      </c>
      <c r="R11" s="40">
        <f>VALO_AMO!Z11</f>
        <v>0</v>
      </c>
      <c r="S11" s="79">
        <f>VALO_AMO!AB11</f>
        <v>0</v>
      </c>
      <c r="U11" s="92">
        <f>VALO_AMO!AD11</f>
        <v>0</v>
      </c>
      <c r="V11" s="40">
        <f>VALO_AMO!AE11</f>
        <v>0</v>
      </c>
      <c r="W11" s="79">
        <f>VALO_AMO!AG11</f>
        <v>0</v>
      </c>
    </row>
    <row r="12" spans="2:23" ht="15.75" x14ac:dyDescent="0.3">
      <c r="B12" s="59"/>
      <c r="C12" s="62">
        <f>VALO_AMO!G12</f>
        <v>54</v>
      </c>
      <c r="D12" s="62" t="str">
        <f>VALO_AMO!I12</f>
        <v>Lenovo  ThinkBook 16 G6 IRL</v>
      </c>
      <c r="E12" s="62" t="str">
        <f>VALO_AMO!J12</f>
        <v>29/05/2024</v>
      </c>
      <c r="F12" s="62">
        <f>VALO_AMO!K12</f>
        <v>665.84</v>
      </c>
      <c r="G12" s="62" t="str">
        <f>VALO_AMO!L12</f>
        <v>60</v>
      </c>
      <c r="H12" s="92">
        <f>VALO_AMO!O12</f>
        <v>0.78676026857458303</v>
      </c>
      <c r="I12" s="40">
        <f>VALO_AMO!P12</f>
        <v>13.499305581686349</v>
      </c>
      <c r="J12" s="40">
        <f>VALO_AMO!Q12</f>
        <v>51.705850249449405</v>
      </c>
      <c r="K12" s="40">
        <f>VALO_AMO!R12</f>
        <v>26.554706443493899</v>
      </c>
      <c r="L12" s="40">
        <f>VALO_AMO!S12</f>
        <v>4.752471688874655</v>
      </c>
      <c r="M12" s="40">
        <f>VALO_AMO!T12</f>
        <v>6.6051769004865388</v>
      </c>
      <c r="N12" s="40">
        <f>VALO_AMO!U12</f>
        <v>1.6537805815492266</v>
      </c>
      <c r="O12" s="79">
        <f>VALO_AMO!W12</f>
        <v>104.77129144554007</v>
      </c>
      <c r="P12" s="233"/>
      <c r="Q12" s="92">
        <f>VALO_AMO!Y12</f>
        <v>0</v>
      </c>
      <c r="R12" s="40">
        <f>VALO_AMO!Z12</f>
        <v>0</v>
      </c>
      <c r="S12" s="79">
        <f>VALO_AMO!AB12</f>
        <v>0</v>
      </c>
      <c r="U12" s="92">
        <f>VALO_AMO!AD12</f>
        <v>0</v>
      </c>
      <c r="V12" s="40">
        <f>VALO_AMO!AE12</f>
        <v>0</v>
      </c>
      <c r="W12" s="79">
        <f>VALO_AMO!AG12</f>
        <v>0</v>
      </c>
    </row>
    <row r="13" spans="2:23" ht="15.75" x14ac:dyDescent="0.3">
      <c r="B13" s="59"/>
      <c r="C13" s="62">
        <f>VALO_AMO!G13</f>
        <v>8</v>
      </c>
      <c r="D13" s="62" t="str">
        <f>VALO_AMO!I13</f>
        <v>Datacolor</v>
      </c>
      <c r="E13" s="62" t="str">
        <f>VALO_AMO!J13</f>
        <v>26/04/2019</v>
      </c>
      <c r="F13" s="62">
        <f>VALO_AMO!K13</f>
        <v>8100.4</v>
      </c>
      <c r="G13" s="62" t="str">
        <f>VALO_AMO!L13</f>
        <v>120</v>
      </c>
      <c r="H13" s="92">
        <f>VALO_AMO!O13</f>
        <v>1</v>
      </c>
      <c r="I13" s="40">
        <f>VALO_AMO!P13</f>
        <v>104.369979051687</v>
      </c>
      <c r="J13" s="40">
        <f>VALO_AMO!Q13</f>
        <v>399.7641563656311</v>
      </c>
      <c r="K13" s="40">
        <f>VALO_AMO!R13</f>
        <v>205.30790554079266</v>
      </c>
      <c r="L13" s="40">
        <f>VALO_AMO!S13</f>
        <v>36.743769345031772</v>
      </c>
      <c r="M13" s="40">
        <f>VALO_AMO!T13</f>
        <v>51.067973131277789</v>
      </c>
      <c r="N13" s="40">
        <f>VALO_AMO!U13</f>
        <v>12.786216565579627</v>
      </c>
      <c r="O13" s="79">
        <f>VALO_AMO!W13</f>
        <v>810.03999999999985</v>
      </c>
      <c r="P13" s="233"/>
      <c r="Q13" s="92" t="str">
        <f>VALO_AMO!Y13</f>
        <v>à définir</v>
      </c>
      <c r="R13" s="40">
        <f>VALO_AMO!Z13</f>
        <v>0</v>
      </c>
      <c r="S13" s="79">
        <f>VALO_AMO!AB13</f>
        <v>0</v>
      </c>
      <c r="U13" s="92" t="str">
        <f>VALO_AMO!AD13</f>
        <v>à définir</v>
      </c>
      <c r="V13" s="40">
        <f>VALO_AMO!AE13</f>
        <v>0</v>
      </c>
      <c r="W13" s="79">
        <f>VALO_AMO!AG13</f>
        <v>0</v>
      </c>
    </row>
    <row r="14" spans="2:23" ht="15.75" x14ac:dyDescent="0.3">
      <c r="B14" s="59"/>
      <c r="C14" s="62">
        <f>VALO_AMO!G14</f>
        <v>9</v>
      </c>
      <c r="D14" s="62" t="str">
        <f>VALO_AMO!I14</f>
        <v>PM 100 Broyeur 1218160114 N</v>
      </c>
      <c r="E14" s="62" t="str">
        <f>VALO_AMO!J14</f>
        <v>21/12/2020</v>
      </c>
      <c r="F14" s="62">
        <f>VALO_AMO!K14</f>
        <v>9908.3700000000008</v>
      </c>
      <c r="G14" s="62" t="str">
        <f>VALO_AMO!L14</f>
        <v>120</v>
      </c>
      <c r="H14" s="92">
        <f>VALO_AMO!O14</f>
        <v>1</v>
      </c>
      <c r="I14" s="40">
        <f>VALO_AMO!P14</f>
        <v>127.6648522710439</v>
      </c>
      <c r="J14" s="40">
        <f>VALO_AMO!Q14</f>
        <v>488.98957755277871</v>
      </c>
      <c r="K14" s="40">
        <f>VALO_AMO!R14</f>
        <v>251.13163449005285</v>
      </c>
      <c r="L14" s="40">
        <f>VALO_AMO!S14</f>
        <v>44.944800487041697</v>
      </c>
      <c r="M14" s="40">
        <f>VALO_AMO!T14</f>
        <v>62.466097098261692</v>
      </c>
      <c r="N14" s="40">
        <f>VALO_AMO!U14</f>
        <v>15.64003810082122</v>
      </c>
      <c r="O14" s="79">
        <f>VALO_AMO!W14</f>
        <v>990.8370000000001</v>
      </c>
      <c r="P14" s="233"/>
      <c r="Q14" s="92" t="str">
        <f>VALO_AMO!Y14</f>
        <v>à définir</v>
      </c>
      <c r="R14" s="40">
        <f>VALO_AMO!Z14</f>
        <v>0</v>
      </c>
      <c r="S14" s="79">
        <f>VALO_AMO!AB14</f>
        <v>0</v>
      </c>
      <c r="U14" s="92" t="str">
        <f>VALO_AMO!AD14</f>
        <v>à définir</v>
      </c>
      <c r="V14" s="40">
        <f>VALO_AMO!AE14</f>
        <v>0</v>
      </c>
      <c r="W14" s="79">
        <f>VALO_AMO!AG14</f>
        <v>0</v>
      </c>
    </row>
    <row r="15" spans="2:23" ht="15.75" x14ac:dyDescent="0.3">
      <c r="B15" s="59"/>
      <c r="C15" s="62">
        <f>VALO_AMO!G15</f>
        <v>10</v>
      </c>
      <c r="D15" s="62" t="str">
        <f>VALO_AMO!I15</f>
        <v>Pilote Roussillon V2020 - 2022</v>
      </c>
      <c r="E15" s="62" t="str">
        <f>VALO_AMO!J15</f>
        <v>01/11/2022</v>
      </c>
      <c r="F15" s="62">
        <f>VALO_AMO!K15</f>
        <v>569271.62</v>
      </c>
      <c r="G15" s="62" t="str">
        <f>VALO_AMO!L15</f>
        <v>120</v>
      </c>
      <c r="H15" s="92">
        <f>VALO_AMO!O15</f>
        <v>1</v>
      </c>
      <c r="I15" s="40">
        <f>VALO_AMO!P15</f>
        <v>7334.8065594439677</v>
      </c>
      <c r="J15" s="40">
        <f>VALO_AMO!Q15</f>
        <v>28094.216200705661</v>
      </c>
      <c r="K15" s="40">
        <f>VALO_AMO!R15</f>
        <v>14428.418841787321</v>
      </c>
      <c r="L15" s="40">
        <f>VALO_AMO!S15</f>
        <v>2582.2410127836379</v>
      </c>
      <c r="M15" s="40">
        <f>VALO_AMO!T15</f>
        <v>3588.9027448717329</v>
      </c>
      <c r="N15" s="40">
        <f>VALO_AMO!U15</f>
        <v>898.57664040767747</v>
      </c>
      <c r="O15" s="79">
        <f>VALO_AMO!W15</f>
        <v>56927.162000000004</v>
      </c>
      <c r="P15" s="233"/>
      <c r="Q15" s="92" t="str">
        <f>VALO_AMO!Y15</f>
        <v>à définir</v>
      </c>
      <c r="R15" s="40">
        <f>VALO_AMO!Z15</f>
        <v>0</v>
      </c>
      <c r="S15" s="79">
        <f>VALO_AMO!AB15</f>
        <v>0</v>
      </c>
      <c r="U15" s="92" t="str">
        <f>VALO_AMO!AD15</f>
        <v>à définir</v>
      </c>
      <c r="V15" s="40">
        <f>VALO_AMO!AE15</f>
        <v>0</v>
      </c>
      <c r="W15" s="79">
        <f>VALO_AMO!AG15</f>
        <v>0</v>
      </c>
    </row>
    <row r="16" spans="2:23" ht="15.75" x14ac:dyDescent="0.3">
      <c r="B16" s="59"/>
      <c r="C16" s="62">
        <f>VALO_AMO!G16</f>
        <v>32</v>
      </c>
      <c r="D16" s="62" t="str">
        <f>VALO_AMO!I16</f>
        <v>MESTRELAB RESEARCH Licence</v>
      </c>
      <c r="E16" s="62" t="str">
        <f>VALO_AMO!J16</f>
        <v>15/11/2023</v>
      </c>
      <c r="F16" s="62">
        <f>VALO_AMO!K16</f>
        <v>9698.5</v>
      </c>
      <c r="G16" s="62" t="str">
        <f>VALO_AMO!L16</f>
        <v>36</v>
      </c>
      <c r="H16" s="92">
        <f>VALO_AMO!O16</f>
        <v>1</v>
      </c>
      <c r="I16" s="40">
        <f>VALO_AMO!P16</f>
        <v>416.49425485515246</v>
      </c>
      <c r="J16" s="40">
        <f>VALO_AMO!Q16</f>
        <v>1595.281286210155</v>
      </c>
      <c r="K16" s="40">
        <f>VALO_AMO!R16</f>
        <v>819.29271147728855</v>
      </c>
      <c r="L16" s="40">
        <f>VALO_AMO!S16</f>
        <v>146.6280722960559</v>
      </c>
      <c r="M16" s="40">
        <f>VALO_AMO!T16</f>
        <v>203.78961085870506</v>
      </c>
      <c r="N16" s="40">
        <f>VALO_AMO!U16</f>
        <v>51.024114302642616</v>
      </c>
      <c r="O16" s="79">
        <f>VALO_AMO!W16</f>
        <v>3232.5100500000003</v>
      </c>
      <c r="P16" s="233"/>
      <c r="Q16" s="92" t="str">
        <f>VALO_AMO!Y16</f>
        <v>à définir</v>
      </c>
      <c r="R16" s="40">
        <f>VALO_AMO!Z16</f>
        <v>0</v>
      </c>
      <c r="S16" s="79">
        <f>VALO_AMO!AB16</f>
        <v>0</v>
      </c>
      <c r="U16" s="92" t="str">
        <f>VALO_AMO!AD16</f>
        <v>à définir</v>
      </c>
      <c r="V16" s="40">
        <f>VALO_AMO!AE16</f>
        <v>0</v>
      </c>
      <c r="W16" s="79">
        <f>VALO_AMO!AG16</f>
        <v>0</v>
      </c>
    </row>
    <row r="17" spans="1:23" ht="15.75" x14ac:dyDescent="0.3">
      <c r="B17" s="59"/>
      <c r="C17" s="62">
        <f>VALO_AMO!G17</f>
        <v>33</v>
      </c>
      <c r="D17" s="62" t="str">
        <f>VALO_AMO!I17</f>
        <v>Pilote Roussillon Ecart de DIE</v>
      </c>
      <c r="E17" s="62" t="str">
        <f>VALO_AMO!J17</f>
        <v>01/01/2023</v>
      </c>
      <c r="F17" s="62">
        <f>VALO_AMO!K17</f>
        <v>2503</v>
      </c>
      <c r="G17" s="62" t="str">
        <f>VALO_AMO!L17</f>
        <v>108</v>
      </c>
      <c r="H17" s="92">
        <f>VALO_AMO!O17</f>
        <v>1</v>
      </c>
      <c r="I17" s="40">
        <f>VALO_AMO!P17</f>
        <v>35.829771610814269</v>
      </c>
      <c r="J17" s="40">
        <f>VALO_AMO!Q17</f>
        <v>137.23734114842566</v>
      </c>
      <c r="K17" s="40">
        <f>VALO_AMO!R17</f>
        <v>70.481334117910123</v>
      </c>
      <c r="L17" s="40">
        <f>VALO_AMO!S17</f>
        <v>12.613980339125568</v>
      </c>
      <c r="M17" s="40">
        <f>VALO_AMO!T17</f>
        <v>17.531418809758858</v>
      </c>
      <c r="N17" s="40">
        <f>VALO_AMO!U17</f>
        <v>4.3894539739655443</v>
      </c>
      <c r="O17" s="79">
        <f>VALO_AMO!W17</f>
        <v>278.08330000000007</v>
      </c>
      <c r="P17" s="233"/>
      <c r="Q17" s="92" t="str">
        <f>VALO_AMO!Y17</f>
        <v>à définir</v>
      </c>
      <c r="R17" s="40">
        <f>VALO_AMO!Z17</f>
        <v>0</v>
      </c>
      <c r="S17" s="79">
        <f>VALO_AMO!AB17</f>
        <v>0</v>
      </c>
      <c r="U17" s="92" t="str">
        <f>VALO_AMO!AD17</f>
        <v>à définir</v>
      </c>
      <c r="V17" s="40">
        <f>VALO_AMO!AE17</f>
        <v>0</v>
      </c>
      <c r="W17" s="79">
        <f>VALO_AMO!AG17</f>
        <v>0</v>
      </c>
    </row>
    <row r="18" spans="1:23" ht="15.75" x14ac:dyDescent="0.3">
      <c r="B18" s="59"/>
      <c r="C18" s="62">
        <f>VALO_AMO!G18</f>
        <v>44</v>
      </c>
      <c r="D18" s="62" t="str">
        <f>VALO_AMO!I18</f>
        <v>Pilote Roussillon 2023</v>
      </c>
      <c r="E18" s="62" t="str">
        <f>VALO_AMO!J18</f>
        <v>31/12/2023</v>
      </c>
      <c r="F18" s="62">
        <f>VALO_AMO!K18</f>
        <v>580763</v>
      </c>
      <c r="G18" s="62" t="str">
        <f>VALO_AMO!L18</f>
        <v>120</v>
      </c>
      <c r="H18" s="92">
        <f>VALO_AMO!O18</f>
        <v>1</v>
      </c>
      <c r="I18" s="40">
        <f>VALO_AMO!P18</f>
        <v>7482.8677773930785</v>
      </c>
      <c r="J18" s="40">
        <f>VALO_AMO!Q18</f>
        <v>28661.329161939295</v>
      </c>
      <c r="K18" s="40">
        <f>VALO_AMO!R18</f>
        <v>14719.672503282229</v>
      </c>
      <c r="L18" s="40">
        <f>VALO_AMO!S18</f>
        <v>2634.3664159953446</v>
      </c>
      <c r="M18" s="40">
        <f>VALO_AMO!T18</f>
        <v>3661.3487333514749</v>
      </c>
      <c r="N18" s="40">
        <f>VALO_AMO!U18</f>
        <v>916.7154080385809</v>
      </c>
      <c r="O18" s="79">
        <f>VALO_AMO!W18</f>
        <v>58076.3</v>
      </c>
      <c r="P18" s="233"/>
      <c r="Q18" s="92" t="str">
        <f>VALO_AMO!Y18</f>
        <v>à définir</v>
      </c>
      <c r="R18" s="40">
        <f>VALO_AMO!Z18</f>
        <v>0</v>
      </c>
      <c r="S18" s="79">
        <f>VALO_AMO!AB18</f>
        <v>0</v>
      </c>
      <c r="U18" s="92" t="str">
        <f>VALO_AMO!AD18</f>
        <v>à définir</v>
      </c>
      <c r="V18" s="40">
        <f>VALO_AMO!AE18</f>
        <v>0</v>
      </c>
      <c r="W18" s="79">
        <f>VALO_AMO!AG18</f>
        <v>0</v>
      </c>
    </row>
    <row r="19" spans="1:23" ht="15.75" x14ac:dyDescent="0.3">
      <c r="B19" s="59"/>
      <c r="C19" s="62">
        <f>VALO_AMO!G19</f>
        <v>45</v>
      </c>
      <c r="D19" s="62" t="str">
        <f>VALO_AMO!I19</f>
        <v>Kilo Roussillon 2023</v>
      </c>
      <c r="E19" s="62" t="str">
        <f>VALO_AMO!J19</f>
        <v>31/12/2023</v>
      </c>
      <c r="F19" s="62">
        <f>VALO_AMO!K19</f>
        <v>33218</v>
      </c>
      <c r="G19" s="62" t="str">
        <f>VALO_AMO!L19</f>
        <v>120</v>
      </c>
      <c r="H19" s="92">
        <f>VALO_AMO!O19</f>
        <v>1</v>
      </c>
      <c r="I19" s="40">
        <f>VALO_AMO!P19</f>
        <v>427.99885982654422</v>
      </c>
      <c r="J19" s="40">
        <f>VALO_AMO!Q19</f>
        <v>1639.3469144923133</v>
      </c>
      <c r="K19" s="40">
        <f>VALO_AMO!R19</f>
        <v>841.92360948274779</v>
      </c>
      <c r="L19" s="40">
        <f>VALO_AMO!S19</f>
        <v>150.67830355331412</v>
      </c>
      <c r="M19" s="40">
        <f>VALO_AMO!T19</f>
        <v>209.41878567413784</v>
      </c>
      <c r="N19" s="40">
        <f>VALO_AMO!U19</f>
        <v>52.433526970942687</v>
      </c>
      <c r="O19" s="79">
        <f>VALO_AMO!W19</f>
        <v>3321.7999999999997</v>
      </c>
      <c r="P19" s="233"/>
      <c r="Q19" s="92" t="str">
        <f>VALO_AMO!Y19</f>
        <v>à définir</v>
      </c>
      <c r="R19" s="40">
        <f>VALO_AMO!Z19</f>
        <v>0</v>
      </c>
      <c r="S19" s="79">
        <f>VALO_AMO!AB19</f>
        <v>0</v>
      </c>
      <c r="U19" s="92" t="str">
        <f>VALO_AMO!AD19</f>
        <v>à définir</v>
      </c>
      <c r="V19" s="40">
        <f>VALO_AMO!AE19</f>
        <v>0</v>
      </c>
      <c r="W19" s="79">
        <f>VALO_AMO!AG19</f>
        <v>0</v>
      </c>
    </row>
    <row r="20" spans="1:23" ht="15.75" x14ac:dyDescent="0.3">
      <c r="A20" s="463" t="s">
        <v>863</v>
      </c>
      <c r="B20" s="59"/>
      <c r="C20" s="62">
        <f>VALO_AMO!G20</f>
        <v>48</v>
      </c>
      <c r="D20" s="62" t="str">
        <f>VALO_AMO!I20</f>
        <v>CIPRAL Travaux Labo KB cloison</v>
      </c>
      <c r="E20" s="62" t="str">
        <f>VALO_AMO!J20</f>
        <v>01/01/2024</v>
      </c>
      <c r="F20" s="62">
        <f>VALO_AMO!K20</f>
        <v>3775.05</v>
      </c>
      <c r="G20" s="62" t="str">
        <f>VALO_AMO!L20</f>
        <v>120</v>
      </c>
      <c r="H20" s="92">
        <f>VALO_AMO!O20</f>
        <v>1</v>
      </c>
      <c r="I20" s="40">
        <f>VALO_AMO!P20</f>
        <v>48.639806604497437</v>
      </c>
      <c r="J20" s="40">
        <f>VALO_AMO!Q20</f>
        <v>186.30310583280772</v>
      </c>
      <c r="K20" s="40">
        <f>VALO_AMO!R20</f>
        <v>95.680165030340376</v>
      </c>
      <c r="L20" s="40">
        <f>VALO_AMO!S20</f>
        <v>17.123792215935289</v>
      </c>
      <c r="M20" s="40">
        <f>VALO_AMO!T20</f>
        <v>23.799337312877171</v>
      </c>
      <c r="N20" s="40">
        <f>VALO_AMO!U20</f>
        <v>5.9587930035419694</v>
      </c>
      <c r="O20" s="79">
        <f>VALO_AMO!W20</f>
        <v>377.505</v>
      </c>
      <c r="P20" s="233"/>
      <c r="Q20" s="92" t="str">
        <f>VALO_AMO!Y20</f>
        <v>à définir</v>
      </c>
      <c r="R20" s="40">
        <f>VALO_AMO!Z20</f>
        <v>0</v>
      </c>
      <c r="S20" s="79">
        <f>VALO_AMO!AB20</f>
        <v>0</v>
      </c>
      <c r="U20" s="92" t="str">
        <f>VALO_AMO!AD20</f>
        <v>à définir</v>
      </c>
      <c r="V20" s="40">
        <f>VALO_AMO!AE20</f>
        <v>0</v>
      </c>
      <c r="W20" s="79">
        <f>VALO_AMO!AG20</f>
        <v>0</v>
      </c>
    </row>
    <row r="21" spans="1:23" ht="15.75" x14ac:dyDescent="0.3">
      <c r="A21" s="463" t="s">
        <v>863</v>
      </c>
      <c r="B21" s="59"/>
      <c r="C21" s="62">
        <f>VALO_AMO!G21</f>
        <v>49</v>
      </c>
      <c r="D21" s="62" t="str">
        <f>VALO_AMO!I21</f>
        <v>CIPRAL Travaux ancien Local _P</v>
      </c>
      <c r="E21" s="62" t="str">
        <f>VALO_AMO!J21</f>
        <v>01/01/2024</v>
      </c>
      <c r="F21" s="62">
        <f>VALO_AMO!K21</f>
        <v>1745</v>
      </c>
      <c r="G21" s="62" t="str">
        <f>VALO_AMO!L21</f>
        <v>120</v>
      </c>
      <c r="H21" s="92">
        <f>VALO_AMO!O21</f>
        <v>1</v>
      </c>
      <c r="I21" s="40">
        <f>VALO_AMO!P21</f>
        <v>22.483533337266529</v>
      </c>
      <c r="J21" s="40">
        <f>VALO_AMO!Q21</f>
        <v>86.117778487238439</v>
      </c>
      <c r="K21" s="40">
        <f>VALO_AMO!R21</f>
        <v>44.227728898410348</v>
      </c>
      <c r="L21" s="40">
        <f>VALO_AMO!S21</f>
        <v>7.9153964627772027</v>
      </c>
      <c r="M21" s="40">
        <f>VALO_AMO!T21</f>
        <v>11.001137365325139</v>
      </c>
      <c r="N21" s="40">
        <f>VALO_AMO!U21</f>
        <v>2.7544254489823277</v>
      </c>
      <c r="O21" s="79">
        <f>VALO_AMO!W21</f>
        <v>174.49999999999997</v>
      </c>
      <c r="P21" s="233"/>
      <c r="Q21" s="92" t="str">
        <f>VALO_AMO!Y21</f>
        <v>à définir</v>
      </c>
      <c r="R21" s="40">
        <f>VALO_AMO!Z21</f>
        <v>0</v>
      </c>
      <c r="S21" s="79">
        <f>VALO_AMO!AB21</f>
        <v>0</v>
      </c>
      <c r="U21" s="92">
        <f>VALO_AMO!AD21</f>
        <v>0</v>
      </c>
      <c r="V21" s="40">
        <f>VALO_AMO!AE21</f>
        <v>0</v>
      </c>
      <c r="W21" s="79">
        <f>VALO_AMO!AG21</f>
        <v>0</v>
      </c>
    </row>
    <row r="22" spans="1:23" ht="15.75" x14ac:dyDescent="0.3">
      <c r="A22" s="463" t="s">
        <v>863</v>
      </c>
      <c r="B22" s="59"/>
      <c r="C22" s="62">
        <f>VALO_AMO!G22</f>
        <v>50</v>
      </c>
      <c r="D22" s="62" t="str">
        <f>VALO_AMO!I22</f>
        <v>CIPRAL Travaux Labo KB Cloison</v>
      </c>
      <c r="E22" s="62" t="str">
        <f>VALO_AMO!J22</f>
        <v>01/01/2024</v>
      </c>
      <c r="F22" s="62">
        <f>VALO_AMO!K22</f>
        <v>9325.5400000000009</v>
      </c>
      <c r="G22" s="62" t="str">
        <f>VALO_AMO!L22</f>
        <v>120</v>
      </c>
      <c r="H22" s="92">
        <f>VALO_AMO!O22</f>
        <v>1</v>
      </c>
      <c r="I22" s="40">
        <f>VALO_AMO!P22</f>
        <v>120.15535213639687</v>
      </c>
      <c r="J22" s="40">
        <f>VALO_AMO!Q22</f>
        <v>460.22623953804111</v>
      </c>
      <c r="K22" s="40">
        <f>VALO_AMO!R22</f>
        <v>236.35957303798375</v>
      </c>
      <c r="L22" s="40">
        <f>VALO_AMO!S22</f>
        <v>42.301058068474106</v>
      </c>
      <c r="M22" s="40">
        <f>VALO_AMO!T22</f>
        <v>58.7917172182431</v>
      </c>
      <c r="N22" s="40">
        <f>VALO_AMO!U22</f>
        <v>14.720060000861125</v>
      </c>
      <c r="O22" s="79">
        <f>VALO_AMO!W22</f>
        <v>932.55400000000009</v>
      </c>
      <c r="P22" s="233"/>
      <c r="Q22" s="92" t="str">
        <f>VALO_AMO!Y22</f>
        <v>à définir</v>
      </c>
      <c r="R22" s="40">
        <f>VALO_AMO!Z22</f>
        <v>0</v>
      </c>
      <c r="S22" s="79">
        <f>VALO_AMO!AB22</f>
        <v>0</v>
      </c>
      <c r="U22" s="92">
        <f>VALO_AMO!AD22</f>
        <v>0</v>
      </c>
      <c r="V22" s="40">
        <f>VALO_AMO!AE22</f>
        <v>0</v>
      </c>
      <c r="W22" s="79">
        <f>VALO_AMO!AG22</f>
        <v>0</v>
      </c>
    </row>
    <row r="23" spans="1:23" ht="15.75" x14ac:dyDescent="0.3">
      <c r="A23" s="463" t="s">
        <v>863</v>
      </c>
      <c r="B23" s="59"/>
      <c r="C23" s="62">
        <f>VALO_AMO!G23</f>
        <v>51</v>
      </c>
      <c r="D23" s="62" t="str">
        <f>VALO_AMO!I23</f>
        <v>CIPRAL Travaux Labo KB Solde c</v>
      </c>
      <c r="E23" s="62" t="str">
        <f>VALO_AMO!J23</f>
        <v>01/01/2024</v>
      </c>
      <c r="F23" s="62">
        <f>VALO_AMO!K23</f>
        <v>38582.97</v>
      </c>
      <c r="G23" s="62" t="str">
        <f>VALO_AMO!L23</f>
        <v>120</v>
      </c>
      <c r="H23" s="92">
        <f>VALO_AMO!O23</f>
        <v>1</v>
      </c>
      <c r="I23" s="40">
        <f>VALO_AMO!P23</f>
        <v>497.1240643242146</v>
      </c>
      <c r="J23" s="40">
        <f>VALO_AMO!Q23</f>
        <v>1904.1144205385478</v>
      </c>
      <c r="K23" s="40">
        <f>VALO_AMO!R23</f>
        <v>977.90093825530062</v>
      </c>
      <c r="L23" s="40">
        <f>VALO_AMO!S23</f>
        <v>175.01404255669851</v>
      </c>
      <c r="M23" s="40">
        <f>VALO_AMO!T23</f>
        <v>243.24157761158673</v>
      </c>
      <c r="N23" s="40">
        <f>VALO_AMO!U23</f>
        <v>60.901956713651394</v>
      </c>
      <c r="O23" s="79">
        <f>VALO_AMO!W23</f>
        <v>3858.2969999999996</v>
      </c>
      <c r="P23" s="233"/>
      <c r="Q23" s="92" t="str">
        <f>VALO_AMO!Y23</f>
        <v>à définir</v>
      </c>
      <c r="R23" s="40">
        <f>VALO_AMO!Z23</f>
        <v>0</v>
      </c>
      <c r="S23" s="79">
        <f>VALO_AMO!AB23</f>
        <v>0</v>
      </c>
      <c r="U23" s="92">
        <f>VALO_AMO!AD23</f>
        <v>0</v>
      </c>
      <c r="V23" s="40">
        <f>VALO_AMO!AE23</f>
        <v>0</v>
      </c>
      <c r="W23" s="79">
        <f>VALO_AMO!AG23</f>
        <v>0</v>
      </c>
    </row>
    <row r="24" spans="1:23" ht="15.75" x14ac:dyDescent="0.3">
      <c r="A24" s="463" t="s">
        <v>863</v>
      </c>
      <c r="B24" s="59"/>
      <c r="C24" s="62">
        <f>VALO_AMO!G24</f>
        <v>53</v>
      </c>
      <c r="D24" s="62" t="str">
        <f>VALO_AMO!I24</f>
        <v>METTLER TOLEDO pH mètre portab</v>
      </c>
      <c r="E24" s="62" t="str">
        <f>VALO_AMO!J24</f>
        <v>01/06/2024</v>
      </c>
      <c r="F24" s="62">
        <f>VALO_AMO!K24</f>
        <v>569.25</v>
      </c>
      <c r="G24" s="62" t="str">
        <f>VALO_AMO!L24</f>
        <v>60</v>
      </c>
      <c r="H24" s="92">
        <f>VALO_AMO!O24</f>
        <v>1</v>
      </c>
      <c r="I24" s="40">
        <f>VALO_AMO!P24</f>
        <v>14.669055991104837</v>
      </c>
      <c r="J24" s="40">
        <f>VALO_AMO!Q24</f>
        <v>56.186298457146684</v>
      </c>
      <c r="K24" s="40">
        <f>VALO_AMO!R24</f>
        <v>28.855741748332477</v>
      </c>
      <c r="L24" s="40">
        <f>VALO_AMO!S24</f>
        <v>5.1642858870325759</v>
      </c>
      <c r="M24" s="40">
        <f>VALO_AMO!T24</f>
        <v>7.1775328884943663</v>
      </c>
      <c r="N24" s="40">
        <f>VALO_AMO!U24</f>
        <v>1.7970850278890431</v>
      </c>
      <c r="O24" s="79">
        <f>VALO_AMO!W24</f>
        <v>113.84999999999998</v>
      </c>
      <c r="P24" s="233"/>
      <c r="Q24" s="92" t="str">
        <f>VALO_AMO!Y24</f>
        <v>à définir</v>
      </c>
      <c r="R24" s="40">
        <f>VALO_AMO!Z24</f>
        <v>0</v>
      </c>
      <c r="S24" s="79">
        <f>VALO_AMO!AB24</f>
        <v>0</v>
      </c>
      <c r="U24" s="92">
        <f>VALO_AMO!AD24</f>
        <v>0</v>
      </c>
      <c r="V24" s="40">
        <f>VALO_AMO!AE24</f>
        <v>0</v>
      </c>
      <c r="W24" s="79">
        <f>VALO_AMO!AG24</f>
        <v>0</v>
      </c>
    </row>
    <row r="25" spans="1:23" ht="15.75" x14ac:dyDescent="0.3">
      <c r="A25" s="463" t="s">
        <v>863</v>
      </c>
      <c r="B25" s="59"/>
      <c r="C25" s="62">
        <f>VALO_AMO!G25</f>
        <v>58</v>
      </c>
      <c r="D25" s="62" t="str">
        <f>VALO_AMO!I25</f>
        <v>ATELIERS CLOUP Pompe à vide po</v>
      </c>
      <c r="E25" s="62" t="str">
        <f>VALO_AMO!J25</f>
        <v>01/10/2024</v>
      </c>
      <c r="F25" s="62">
        <f>VALO_AMO!K25</f>
        <v>3016.7</v>
      </c>
      <c r="G25" s="62" t="str">
        <f>VALO_AMO!L25</f>
        <v>60</v>
      </c>
      <c r="H25" s="92">
        <f>VALO_AMO!O25</f>
        <v>1</v>
      </c>
      <c r="I25" s="40">
        <f>VALO_AMO!P25</f>
        <v>77.737621797744353</v>
      </c>
      <c r="J25" s="40">
        <f>VALO_AMO!Q25</f>
        <v>297.75530356728052</v>
      </c>
      <c r="K25" s="40">
        <f>VALO_AMO!R25</f>
        <v>152.91895675396506</v>
      </c>
      <c r="L25" s="40">
        <f>VALO_AMO!S25</f>
        <v>27.367766772790819</v>
      </c>
      <c r="M25" s="40">
        <f>VALO_AMO!T25</f>
        <v>38.036826464156277</v>
      </c>
      <c r="N25" s="40">
        <f>VALO_AMO!U25</f>
        <v>9.5235246440630252</v>
      </c>
      <c r="O25" s="79">
        <f>VALO_AMO!W25</f>
        <v>603.34000000000015</v>
      </c>
      <c r="P25" s="233"/>
      <c r="Q25" s="92" t="str">
        <f>VALO_AMO!Y25</f>
        <v>à définir</v>
      </c>
      <c r="R25" s="40">
        <f>VALO_AMO!Z25</f>
        <v>0</v>
      </c>
      <c r="S25" s="79">
        <f>VALO_AMO!AB25</f>
        <v>0</v>
      </c>
      <c r="U25" s="92">
        <f>VALO_AMO!AD25</f>
        <v>0</v>
      </c>
      <c r="V25" s="40">
        <f>VALO_AMO!AE25</f>
        <v>0</v>
      </c>
      <c r="W25" s="79">
        <f>VALO_AMO!AG25</f>
        <v>0</v>
      </c>
    </row>
    <row r="26" spans="1:23" ht="15.75" x14ac:dyDescent="0.3">
      <c r="A26" s="463" t="s">
        <v>863</v>
      </c>
      <c r="B26" s="59"/>
      <c r="C26" s="62">
        <f>VALO_AMO!G26</f>
        <v>59</v>
      </c>
      <c r="D26" s="62" t="str">
        <f>VALO_AMO!I26</f>
        <v xml:space="preserve">ATELIERS CLOUP BALANCE ENTRIS </v>
      </c>
      <c r="E26" s="62" t="str">
        <f>VALO_AMO!J26</f>
        <v>15/11/2024</v>
      </c>
      <c r="F26" s="62">
        <f>VALO_AMO!K26</f>
        <v>1160</v>
      </c>
      <c r="G26" s="62" t="str">
        <f>VALO_AMO!L26</f>
        <v>60</v>
      </c>
      <c r="H26" s="92">
        <f>VALO_AMO!O26</f>
        <v>1</v>
      </c>
      <c r="I26" s="40">
        <f>VALO_AMO!P26</f>
        <v>29.892147474188167</v>
      </c>
      <c r="J26" s="40">
        <f>VALO_AMO!Q26</f>
        <v>114.49469689993879</v>
      </c>
      <c r="K26" s="40">
        <f>VALO_AMO!R26</f>
        <v>58.801335842012612</v>
      </c>
      <c r="L26" s="40">
        <f>VALO_AMO!S26</f>
        <v>10.523621658248199</v>
      </c>
      <c r="M26" s="40">
        <f>VALO_AMO!T26</f>
        <v>14.62615397567583</v>
      </c>
      <c r="N26" s="40">
        <f>VALO_AMO!U26</f>
        <v>3.6620441499363903</v>
      </c>
      <c r="O26" s="79">
        <f>VALO_AMO!W26</f>
        <v>231.99999999999997</v>
      </c>
      <c r="P26" s="233"/>
      <c r="Q26" s="92" t="str">
        <f>VALO_AMO!Y26</f>
        <v>à définir</v>
      </c>
      <c r="R26" s="40">
        <f>VALO_AMO!Z26</f>
        <v>0</v>
      </c>
      <c r="S26" s="79">
        <f>VALO_AMO!AB26</f>
        <v>0</v>
      </c>
      <c r="U26" s="92">
        <f>VALO_AMO!AD26</f>
        <v>0</v>
      </c>
      <c r="V26" s="40">
        <f>VALO_AMO!AE26</f>
        <v>0</v>
      </c>
      <c r="W26" s="79">
        <f>VALO_AMO!AG26</f>
        <v>0</v>
      </c>
    </row>
    <row r="27" spans="1:23" ht="15.75" x14ac:dyDescent="0.3">
      <c r="A27" s="463" t="s">
        <v>863</v>
      </c>
      <c r="B27" s="59"/>
      <c r="C27" s="62">
        <f>VALO_AMO!G27</f>
        <v>60</v>
      </c>
      <c r="D27" s="62" t="str">
        <f>VALO_AMO!I27</f>
        <v xml:space="preserve">DENIOS Sécurité développement </v>
      </c>
      <c r="E27" s="62" t="str">
        <f>VALO_AMO!J27</f>
        <v>29/11/2024</v>
      </c>
      <c r="F27" s="62">
        <f>VALO_AMO!K27</f>
        <v>1774.6</v>
      </c>
      <c r="G27" s="62" t="str">
        <f>VALO_AMO!L27</f>
        <v>60</v>
      </c>
      <c r="H27" s="92">
        <f>VALO_AMO!O27</f>
        <v>1</v>
      </c>
      <c r="I27" s="40">
        <f>VALO_AMO!P27</f>
        <v>45.729831816977864</v>
      </c>
      <c r="J27" s="40">
        <f>VALO_AMO!Q27</f>
        <v>175.1571457919236</v>
      </c>
      <c r="K27" s="40">
        <f>VALO_AMO!R27</f>
        <v>89.95590567692723</v>
      </c>
      <c r="L27" s="40">
        <f>VALO_AMO!S27</f>
        <v>16.099326719592462</v>
      </c>
      <c r="M27" s="40">
        <f>VALO_AMO!T27</f>
        <v>22.375493832098559</v>
      </c>
      <c r="N27" s="40">
        <f>VALO_AMO!U27</f>
        <v>5.6022961624802745</v>
      </c>
      <c r="O27" s="79">
        <f>VALO_AMO!W27</f>
        <v>354.92</v>
      </c>
      <c r="P27" s="233"/>
      <c r="Q27" s="92" t="str">
        <f>VALO_AMO!Y27</f>
        <v>à définir</v>
      </c>
      <c r="R27" s="40">
        <f>VALO_AMO!Z27</f>
        <v>0</v>
      </c>
      <c r="S27" s="79">
        <f>VALO_AMO!AB27</f>
        <v>0</v>
      </c>
      <c r="U27" s="92">
        <f>VALO_AMO!AD27</f>
        <v>0</v>
      </c>
      <c r="V27" s="40">
        <f>VALO_AMO!AE27</f>
        <v>0</v>
      </c>
      <c r="W27" s="79">
        <f>VALO_AMO!AG27</f>
        <v>0</v>
      </c>
    </row>
    <row r="28" spans="1:23" ht="15.75" x14ac:dyDescent="0.3">
      <c r="A28" s="463" t="s">
        <v>863</v>
      </c>
      <c r="B28" s="59"/>
      <c r="C28" s="62">
        <f>VALO_AMO!G28</f>
        <v>66</v>
      </c>
      <c r="D28" s="62" t="str">
        <f>VALO_AMO!I28</f>
        <v>FISHER SCIENTIFIC Balance Defe</v>
      </c>
      <c r="E28" s="62" t="str">
        <f>VALO_AMO!J28</f>
        <v>29/11/2024</v>
      </c>
      <c r="F28" s="62">
        <f>VALO_AMO!K28</f>
        <v>1075.54</v>
      </c>
      <c r="G28" s="62" t="str">
        <f>VALO_AMO!L28</f>
        <v>60</v>
      </c>
      <c r="H28" s="92">
        <f>VALO_AMO!O28</f>
        <v>1</v>
      </c>
      <c r="I28" s="40">
        <f>VALO_AMO!P28</f>
        <v>27.715689908955465</v>
      </c>
      <c r="J28" s="40">
        <f>VALO_AMO!Q28</f>
        <v>106.15829853772429</v>
      </c>
      <c r="K28" s="40">
        <f>VALO_AMO!R28</f>
        <v>54.519990303032969</v>
      </c>
      <c r="L28" s="40">
        <f>VALO_AMO!S28</f>
        <v>9.7573931364760949</v>
      </c>
      <c r="M28" s="40">
        <f>VALO_AMO!T28</f>
        <v>13.561218661205501</v>
      </c>
      <c r="N28" s="40">
        <f>VALO_AMO!U28</f>
        <v>3.3954094526056768</v>
      </c>
      <c r="O28" s="79">
        <f>VALO_AMO!W28</f>
        <v>215.108</v>
      </c>
      <c r="P28" s="233"/>
      <c r="Q28" s="92" t="str">
        <f>VALO_AMO!Y28</f>
        <v>à définir</v>
      </c>
      <c r="R28" s="40">
        <f>VALO_AMO!Z28</f>
        <v>0</v>
      </c>
      <c r="S28" s="79">
        <f>VALO_AMO!AB28</f>
        <v>0</v>
      </c>
      <c r="U28" s="92">
        <f>VALO_AMO!AD28</f>
        <v>0</v>
      </c>
      <c r="V28" s="40">
        <f>VALO_AMO!AE28</f>
        <v>0</v>
      </c>
      <c r="W28" s="79">
        <f>VALO_AMO!AG28</f>
        <v>0</v>
      </c>
    </row>
    <row r="29" spans="1:23" ht="15.75" x14ac:dyDescent="0.3">
      <c r="A29" s="463" t="s">
        <v>863</v>
      </c>
      <c r="B29" s="59"/>
      <c r="C29" s="62">
        <f>VALO_AMO!G29</f>
        <v>67</v>
      </c>
      <c r="D29" s="62" t="str">
        <f>VALO_AMO!I29</f>
        <v>Agelab Solde Paillasse Labo KB</v>
      </c>
      <c r="E29" s="62" t="str">
        <f>VALO_AMO!J29</f>
        <v>25/01/2024</v>
      </c>
      <c r="F29" s="62">
        <f>VALO_AMO!K29</f>
        <v>48900</v>
      </c>
      <c r="G29" s="62" t="str">
        <f>VALO_AMO!L29</f>
        <v>60</v>
      </c>
      <c r="H29" s="92">
        <f>VALO_AMO!O29</f>
        <v>1</v>
      </c>
      <c r="I29" s="40">
        <f>VALO_AMO!P29</f>
        <v>1260.1086305929323</v>
      </c>
      <c r="J29" s="40">
        <f>VALO_AMO!Q29</f>
        <v>4826.5436882819022</v>
      </c>
      <c r="K29" s="40">
        <f>VALO_AMO!R29</f>
        <v>2478.7804505813938</v>
      </c>
      <c r="L29" s="40">
        <f>VALO_AMO!S29</f>
        <v>443.6250854209801</v>
      </c>
      <c r="M29" s="40">
        <f>VALO_AMO!T29</f>
        <v>616.56804259530008</v>
      </c>
      <c r="N29" s="40">
        <f>VALO_AMO!U29</f>
        <v>154.37410252749092</v>
      </c>
      <c r="O29" s="79">
        <f>VALO_AMO!W29</f>
        <v>9779.9999999999964</v>
      </c>
      <c r="P29" s="233"/>
      <c r="Q29" s="92" t="str">
        <f>VALO_AMO!Y29</f>
        <v>à définir</v>
      </c>
      <c r="R29" s="40">
        <f>VALO_AMO!Z29</f>
        <v>0</v>
      </c>
      <c r="S29" s="79">
        <f>VALO_AMO!AB29</f>
        <v>0</v>
      </c>
      <c r="U29" s="92">
        <f>VALO_AMO!AD29</f>
        <v>0</v>
      </c>
      <c r="V29" s="40">
        <f>VALO_AMO!AE29</f>
        <v>0</v>
      </c>
      <c r="W29" s="79">
        <f>VALO_AMO!AG29</f>
        <v>0</v>
      </c>
    </row>
    <row r="30" spans="1:23" ht="15.75" x14ac:dyDescent="0.3">
      <c r="A30" s="463" t="s">
        <v>863</v>
      </c>
      <c r="B30" s="59"/>
      <c r="C30" s="62">
        <f>VALO_AMO!G30</f>
        <v>69</v>
      </c>
      <c r="D30" s="62" t="str">
        <f>VALO_AMO!I30</f>
        <v>HEIDOLPH</v>
      </c>
      <c r="E30" s="62" t="str">
        <f>VALO_AMO!J30</f>
        <v>09/02/2024</v>
      </c>
      <c r="F30" s="62">
        <f>VALO_AMO!K30</f>
        <v>1827.78</v>
      </c>
      <c r="G30" s="62" t="str">
        <f>VALO_AMO!L30</f>
        <v>60</v>
      </c>
      <c r="H30" s="92">
        <f>VALO_AMO!O30</f>
        <v>1</v>
      </c>
      <c r="I30" s="40">
        <f>VALO_AMO!P30</f>
        <v>47.100232164113486</v>
      </c>
      <c r="J30" s="40">
        <f>VALO_AMO!Q30</f>
        <v>180.40613543083631</v>
      </c>
      <c r="K30" s="40">
        <f>VALO_AMO!R30</f>
        <v>92.651642780442941</v>
      </c>
      <c r="L30" s="40">
        <f>VALO_AMO!S30</f>
        <v>16.581780340097321</v>
      </c>
      <c r="M30" s="40">
        <f>VALO_AMO!T30</f>
        <v>23.046027339362727</v>
      </c>
      <c r="N30" s="40">
        <f>VALO_AMO!U30</f>
        <v>5.7701819451471854</v>
      </c>
      <c r="O30" s="79">
        <f>VALO_AMO!W30</f>
        <v>365.55599999999998</v>
      </c>
      <c r="P30" s="233"/>
      <c r="Q30" s="92" t="str">
        <f>VALO_AMO!Y30</f>
        <v>à définir</v>
      </c>
      <c r="R30" s="40">
        <f>VALO_AMO!Z30</f>
        <v>0</v>
      </c>
      <c r="S30" s="79">
        <f>VALO_AMO!AB30</f>
        <v>0</v>
      </c>
      <c r="U30" s="92" t="str">
        <f>VALO_AMO!AD30</f>
        <v>à définir</v>
      </c>
      <c r="V30" s="40">
        <f>VALO_AMO!AE30</f>
        <v>0</v>
      </c>
      <c r="W30" s="79">
        <f>VALO_AMO!AG30</f>
        <v>0</v>
      </c>
    </row>
    <row r="31" spans="1:23" ht="15.75" x14ac:dyDescent="0.3">
      <c r="A31" s="463" t="s">
        <v>863</v>
      </c>
      <c r="B31" s="59"/>
      <c r="C31" s="62">
        <f>VALO_AMO!G31</f>
        <v>70</v>
      </c>
      <c r="D31" s="62" t="str">
        <f>VALO_AMO!I31</f>
        <v>HEIDOLPH équipement KB</v>
      </c>
      <c r="E31" s="62" t="str">
        <f>VALO_AMO!J31</f>
        <v>01/04/2024</v>
      </c>
      <c r="F31" s="62">
        <f>VALO_AMO!K31</f>
        <v>6333</v>
      </c>
      <c r="G31" s="62" t="str">
        <f>VALO_AMO!L31</f>
        <v>60</v>
      </c>
      <c r="H31" s="92">
        <f>VALO_AMO!O31</f>
        <v>1</v>
      </c>
      <c r="I31" s="40">
        <f>VALO_AMO!P31</f>
        <v>163.19566375347728</v>
      </c>
      <c r="J31" s="40">
        <f>VALO_AMO!Q31</f>
        <v>625.08182367871757</v>
      </c>
      <c r="K31" s="40">
        <f>VALO_AMO!R31</f>
        <v>321.02487921333261</v>
      </c>
      <c r="L31" s="40">
        <f>VALO_AMO!S31</f>
        <v>57.453531001453314</v>
      </c>
      <c r="M31" s="40">
        <f>VALO_AMO!T31</f>
        <v>79.851235455133633</v>
      </c>
      <c r="N31" s="40">
        <f>VALO_AMO!U31</f>
        <v>19.992866897885481</v>
      </c>
      <c r="O31" s="79">
        <f>VALO_AMO!W31</f>
        <v>1266.5999999999999</v>
      </c>
      <c r="P31" s="233"/>
      <c r="Q31" s="92" t="str">
        <f>VALO_AMO!Y31</f>
        <v>à définir</v>
      </c>
      <c r="R31" s="40">
        <f>VALO_AMO!Z31</f>
        <v>0</v>
      </c>
      <c r="S31" s="79">
        <f>VALO_AMO!AB31</f>
        <v>0</v>
      </c>
      <c r="U31" s="92" t="str">
        <f>VALO_AMO!AD31</f>
        <v>à définir</v>
      </c>
      <c r="V31" s="40">
        <f>VALO_AMO!AE31</f>
        <v>0</v>
      </c>
      <c r="W31" s="79">
        <f>VALO_AMO!AG31</f>
        <v>0</v>
      </c>
    </row>
    <row r="32" spans="1:23" ht="15.75" x14ac:dyDescent="0.3">
      <c r="A32" s="463" t="s">
        <v>863</v>
      </c>
      <c r="B32" s="59"/>
      <c r="C32" s="62">
        <f>VALO_AMO!G32</f>
        <v>71</v>
      </c>
      <c r="D32" s="62" t="str">
        <f>VALO_AMO!I32</f>
        <v>HEIDOLPH Heat-On Multi-Well Ho</v>
      </c>
      <c r="E32" s="62" t="str">
        <f>VALO_AMO!J32</f>
        <v>08/05/2024</v>
      </c>
      <c r="F32" s="62">
        <f>VALO_AMO!K32</f>
        <v>2370.5</v>
      </c>
      <c r="G32" s="62" t="str">
        <f>VALO_AMO!L32</f>
        <v>60</v>
      </c>
      <c r="H32" s="92">
        <f>VALO_AMO!O32</f>
        <v>1</v>
      </c>
      <c r="I32" s="40">
        <f>VALO_AMO!P32</f>
        <v>61.085634127209524</v>
      </c>
      <c r="J32" s="40">
        <f>VALO_AMO!Q32</f>
        <v>233.97386120802148</v>
      </c>
      <c r="K32" s="40">
        <f>VALO_AMO!R32</f>
        <v>120.1625574254232</v>
      </c>
      <c r="L32" s="40">
        <f>VALO_AMO!S32</f>
        <v>21.505383742135653</v>
      </c>
      <c r="M32" s="40">
        <f>VALO_AMO!T32</f>
        <v>29.889049999430654</v>
      </c>
      <c r="N32" s="40">
        <f>VALO_AMO!U32</f>
        <v>7.4835134977794944</v>
      </c>
      <c r="O32" s="79">
        <f>VALO_AMO!W32</f>
        <v>474.1</v>
      </c>
      <c r="P32" s="233"/>
      <c r="Q32" s="92" t="str">
        <f>VALO_AMO!Y32</f>
        <v>à définir</v>
      </c>
      <c r="R32" s="40">
        <f>VALO_AMO!Z32</f>
        <v>0</v>
      </c>
      <c r="S32" s="79">
        <f>VALO_AMO!AB32</f>
        <v>0</v>
      </c>
      <c r="U32" s="92" t="str">
        <f>VALO_AMO!AD32</f>
        <v>à définir</v>
      </c>
      <c r="V32" s="40">
        <f>VALO_AMO!AE32</f>
        <v>0</v>
      </c>
      <c r="W32" s="79">
        <f>VALO_AMO!AG32</f>
        <v>0</v>
      </c>
    </row>
    <row r="33" spans="1:23" ht="15.75" x14ac:dyDescent="0.3">
      <c r="A33" s="463" t="s">
        <v>863</v>
      </c>
      <c r="B33" s="59"/>
      <c r="C33" s="62">
        <f>VALO_AMO!G33</f>
        <v>72</v>
      </c>
      <c r="D33" s="62" t="str">
        <f>VALO_AMO!I33</f>
        <v>PROLIANS Nettoyeur HP Eau CH H</v>
      </c>
      <c r="E33" s="62" t="str">
        <f>VALO_AMO!J33</f>
        <v>02/10/2024</v>
      </c>
      <c r="F33" s="62">
        <f>VALO_AMO!K33</f>
        <v>2065</v>
      </c>
      <c r="G33" s="62" t="str">
        <f>VALO_AMO!L33</f>
        <v>60</v>
      </c>
      <c r="H33" s="92">
        <f>VALO_AMO!O33</f>
        <v>1</v>
      </c>
      <c r="I33" s="40">
        <f>VALO_AMO!P33</f>
        <v>53.213176322584964</v>
      </c>
      <c r="J33" s="40">
        <f>VALO_AMO!Q33</f>
        <v>203.8203009468738</v>
      </c>
      <c r="K33" s="40">
        <f>VALO_AMO!R33</f>
        <v>104.67651596013452</v>
      </c>
      <c r="L33" s="40">
        <f>VALO_AMO!S33</f>
        <v>18.733860969209079</v>
      </c>
      <c r="M33" s="40">
        <f>VALO_AMO!T33</f>
        <v>26.037075827388435</v>
      </c>
      <c r="N33" s="40">
        <f>VALO_AMO!U33</f>
        <v>6.5190699738091773</v>
      </c>
      <c r="O33" s="79">
        <f>VALO_AMO!W33</f>
        <v>413</v>
      </c>
      <c r="P33" s="233"/>
      <c r="Q33" s="92" t="str">
        <f>VALO_AMO!Y33</f>
        <v>à définir</v>
      </c>
      <c r="R33" s="40">
        <f>VALO_AMO!Z33</f>
        <v>0</v>
      </c>
      <c r="S33" s="79">
        <f>VALO_AMO!AB33</f>
        <v>0</v>
      </c>
      <c r="U33" s="92" t="str">
        <f>VALO_AMO!AD33</f>
        <v>à définir</v>
      </c>
      <c r="V33" s="40">
        <f>VALO_AMO!AE33</f>
        <v>0</v>
      </c>
      <c r="W33" s="79">
        <f>VALO_AMO!AG33</f>
        <v>0</v>
      </c>
    </row>
    <row r="34" spans="1:23" ht="15.75" x14ac:dyDescent="0.3">
      <c r="A34" s="463" t="s">
        <v>863</v>
      </c>
      <c r="B34" s="59"/>
      <c r="C34" s="62">
        <f>VALO_AMO!G34</f>
        <v>73</v>
      </c>
      <c r="D34" s="62" t="str">
        <f>VALO_AMO!I34</f>
        <v>HEIDOLPH SCIENTIFIC PRODUCTS G</v>
      </c>
      <c r="E34" s="62" t="str">
        <f>VALO_AMO!J34</f>
        <v>25/11/2024</v>
      </c>
      <c r="F34" s="62">
        <f>VALO_AMO!K34</f>
        <v>2263.5</v>
      </c>
      <c r="G34" s="62" t="str">
        <f>VALO_AMO!L34</f>
        <v>60</v>
      </c>
      <c r="H34" s="92">
        <f>VALO_AMO!O34</f>
        <v>1</v>
      </c>
      <c r="I34" s="40">
        <f>VALO_AMO!P34</f>
        <v>58.328341213642162</v>
      </c>
      <c r="J34" s="40">
        <f>VALO_AMO!Q34</f>
        <v>223.41271244225126</v>
      </c>
      <c r="K34" s="40">
        <f>VALO_AMO!R34</f>
        <v>114.73864110206513</v>
      </c>
      <c r="L34" s="40">
        <f>VALO_AMO!S34</f>
        <v>20.534670365038618</v>
      </c>
      <c r="M34" s="40">
        <f>VALO_AMO!T34</f>
        <v>28.539913382708828</v>
      </c>
      <c r="N34" s="40">
        <f>VALO_AMO!U34</f>
        <v>7.1457214942939826</v>
      </c>
      <c r="O34" s="79">
        <f>VALO_AMO!W34</f>
        <v>452.7</v>
      </c>
      <c r="P34" s="233"/>
      <c r="Q34" s="92" t="str">
        <f>VALO_AMO!Y34</f>
        <v>à définir</v>
      </c>
      <c r="R34" s="40">
        <f>VALO_AMO!Z34</f>
        <v>0</v>
      </c>
      <c r="S34" s="79">
        <f>VALO_AMO!AB34</f>
        <v>0</v>
      </c>
      <c r="U34" s="92" t="str">
        <f>VALO_AMO!AD34</f>
        <v>à définir</v>
      </c>
      <c r="V34" s="40">
        <f>VALO_AMO!AE34</f>
        <v>0</v>
      </c>
      <c r="W34" s="79">
        <f>VALO_AMO!AG34</f>
        <v>0</v>
      </c>
    </row>
    <row r="35" spans="1:23" ht="15.75" x14ac:dyDescent="0.3">
      <c r="A35" s="463" t="s">
        <v>863</v>
      </c>
      <c r="B35" s="59"/>
      <c r="C35" s="62">
        <f>VALO_AMO!G35</f>
        <v>74</v>
      </c>
      <c r="D35" s="62" t="str">
        <f>VALO_AMO!I35</f>
        <v>HEIDOLPH SCIENTIFIC PRODUCTS G</v>
      </c>
      <c r="E35" s="62" t="str">
        <f>VALO_AMO!J35</f>
        <v>25/11/2024</v>
      </c>
      <c r="F35" s="62">
        <f>VALO_AMO!K35</f>
        <v>2970</v>
      </c>
      <c r="G35" s="62" t="str">
        <f>VALO_AMO!L35</f>
        <v>60</v>
      </c>
      <c r="H35" s="92">
        <f>VALO_AMO!O35</f>
        <v>1</v>
      </c>
      <c r="I35" s="40">
        <f>VALO_AMO!P35</f>
        <v>76.534205170981778</v>
      </c>
      <c r="J35" s="40">
        <f>VALO_AMO!Q35</f>
        <v>293.14590499380881</v>
      </c>
      <c r="K35" s="40">
        <f>VALO_AMO!R35</f>
        <v>150.55169607825641</v>
      </c>
      <c r="L35" s="40">
        <f>VALO_AMO!S35</f>
        <v>26.944100280169959</v>
      </c>
      <c r="M35" s="40">
        <f>VALO_AMO!T35</f>
        <v>37.447997679101043</v>
      </c>
      <c r="N35" s="40">
        <f>VALO_AMO!U35</f>
        <v>9.3760957976819643</v>
      </c>
      <c r="O35" s="79">
        <f>VALO_AMO!W35</f>
        <v>594</v>
      </c>
      <c r="P35" s="233"/>
      <c r="Q35" s="92" t="str">
        <f>VALO_AMO!Y35</f>
        <v>à définir</v>
      </c>
      <c r="R35" s="40">
        <f>VALO_AMO!Z35</f>
        <v>0</v>
      </c>
      <c r="S35" s="79">
        <f>VALO_AMO!AB35</f>
        <v>0</v>
      </c>
      <c r="U35" s="92" t="str">
        <f>VALO_AMO!AD35</f>
        <v>à définir</v>
      </c>
      <c r="V35" s="40">
        <f>VALO_AMO!AE35</f>
        <v>0</v>
      </c>
      <c r="W35" s="79">
        <f>VALO_AMO!AG35</f>
        <v>0</v>
      </c>
    </row>
    <row r="36" spans="1:23" ht="15.75" x14ac:dyDescent="0.3">
      <c r="A36" s="463" t="s">
        <v>863</v>
      </c>
      <c r="B36" s="59"/>
      <c r="C36" s="62">
        <f>VALO_AMO!G36</f>
        <v>75</v>
      </c>
      <c r="D36" s="62" t="str">
        <f>VALO_AMO!I36</f>
        <v>PHENOMENEX SecurityGuard Cartr</v>
      </c>
      <c r="E36" s="62" t="str">
        <f>VALO_AMO!J36</f>
        <v>10/12/2024</v>
      </c>
      <c r="F36" s="62">
        <f>VALO_AMO!K36</f>
        <v>1187</v>
      </c>
      <c r="G36" s="62" t="str">
        <f>VALO_AMO!L36</f>
        <v>60</v>
      </c>
      <c r="H36" s="92">
        <f>VALO_AMO!O36</f>
        <v>1</v>
      </c>
      <c r="I36" s="40">
        <f>VALO_AMO!P36</f>
        <v>30.587912975742544</v>
      </c>
      <c r="J36" s="40">
        <f>VALO_AMO!Q36</f>
        <v>117.15965967260979</v>
      </c>
      <c r="K36" s="40">
        <f>VALO_AMO!R36</f>
        <v>60.169987624542223</v>
      </c>
      <c r="L36" s="40">
        <f>VALO_AMO!S36</f>
        <v>10.768568024431564</v>
      </c>
      <c r="M36" s="40">
        <f>VALO_AMO!T36</f>
        <v>14.966590318213111</v>
      </c>
      <c r="N36" s="40">
        <f>VALO_AMO!U36</f>
        <v>3.7472813844607717</v>
      </c>
      <c r="O36" s="79">
        <f>VALO_AMO!W36</f>
        <v>237.4</v>
      </c>
      <c r="P36" s="233"/>
      <c r="Q36" s="92" t="str">
        <f>VALO_AMO!Y36</f>
        <v>à définir</v>
      </c>
      <c r="R36" s="40">
        <f>VALO_AMO!Z36</f>
        <v>0</v>
      </c>
      <c r="S36" s="79">
        <f>VALO_AMO!AB36</f>
        <v>0</v>
      </c>
      <c r="U36" s="92" t="str">
        <f>VALO_AMO!AD36</f>
        <v>à définir</v>
      </c>
      <c r="V36" s="40">
        <f>VALO_AMO!AE36</f>
        <v>0</v>
      </c>
      <c r="W36" s="79">
        <f>VALO_AMO!AG36</f>
        <v>0</v>
      </c>
    </row>
    <row r="37" spans="1:23" ht="15.75" x14ac:dyDescent="0.3">
      <c r="A37" s="463" t="s">
        <v>863</v>
      </c>
      <c r="B37" s="59"/>
      <c r="C37" s="62">
        <f>VALO_AMO!G37</f>
        <v>76</v>
      </c>
      <c r="D37" s="62" t="str">
        <f>VALO_AMO!I37</f>
        <v>CIPRAL Solde fin Travaux KB</v>
      </c>
      <c r="E37" s="62" t="str">
        <f>VALO_AMO!J37</f>
        <v>01/07/2024</v>
      </c>
      <c r="F37" s="62">
        <f>VALO_AMO!K37</f>
        <v>1730</v>
      </c>
      <c r="G37" s="62" t="str">
        <f>VALO_AMO!L37</f>
        <v>120</v>
      </c>
      <c r="H37" s="92">
        <f>VALO_AMO!O37</f>
        <v>1</v>
      </c>
      <c r="I37" s="40">
        <f>VALO_AMO!P37</f>
        <v>22.290265142390314</v>
      </c>
      <c r="J37" s="40">
        <f>VALO_AMO!Q37</f>
        <v>85.377511050385394</v>
      </c>
      <c r="K37" s="40">
        <f>VALO_AMO!R37</f>
        <v>43.847547847707681</v>
      </c>
      <c r="L37" s="40">
        <f>VALO_AMO!S37</f>
        <v>7.847355805504046</v>
      </c>
      <c r="M37" s="40">
        <f>VALO_AMO!T37</f>
        <v>10.906571714620338</v>
      </c>
      <c r="N37" s="40">
        <f>VALO_AMO!U37</f>
        <v>2.7307484393922219</v>
      </c>
      <c r="O37" s="79">
        <f>VALO_AMO!W37</f>
        <v>172.99999999999997</v>
      </c>
      <c r="P37" s="233"/>
      <c r="Q37" s="92" t="str">
        <f>VALO_AMO!Y37</f>
        <v>à définir</v>
      </c>
      <c r="R37" s="40">
        <f>VALO_AMO!Z37</f>
        <v>0</v>
      </c>
      <c r="S37" s="79">
        <f>VALO_AMO!AB37</f>
        <v>0</v>
      </c>
      <c r="U37" s="92" t="str">
        <f>VALO_AMO!AD37</f>
        <v>à définir</v>
      </c>
      <c r="V37" s="40">
        <f>VALO_AMO!AE37</f>
        <v>0</v>
      </c>
      <c r="W37" s="79">
        <f>VALO_AMO!AG37</f>
        <v>0</v>
      </c>
    </row>
    <row r="38" spans="1:23" ht="15.75" x14ac:dyDescent="0.3">
      <c r="A38" s="463" t="s">
        <v>863</v>
      </c>
      <c r="B38" s="59"/>
      <c r="C38" s="62">
        <f>VALO_AMO!G38</f>
        <v>77</v>
      </c>
      <c r="D38" s="62" t="str">
        <f>VALO_AMO!I38</f>
        <v>CIPRAL Solde levé de réserve t</v>
      </c>
      <c r="E38" s="62" t="str">
        <f>VALO_AMO!J38</f>
        <v>01/07/2024</v>
      </c>
      <c r="F38" s="62">
        <f>VALO_AMO!K38</f>
        <v>121.8</v>
      </c>
      <c r="G38" s="62" t="str">
        <f>VALO_AMO!L38</f>
        <v>120</v>
      </c>
      <c r="H38" s="92">
        <f>VALO_AMO!O38</f>
        <v>1</v>
      </c>
      <c r="I38" s="40">
        <f>VALO_AMO!P38</f>
        <v>1.5693377423948789</v>
      </c>
      <c r="J38" s="40">
        <f>VALO_AMO!Q38</f>
        <v>6.0109715872467868</v>
      </c>
      <c r="K38" s="40">
        <f>VALO_AMO!R38</f>
        <v>3.0870701317056617</v>
      </c>
      <c r="L38" s="40">
        <f>VALO_AMO!S38</f>
        <v>0.55249013705803052</v>
      </c>
      <c r="M38" s="40">
        <f>VALO_AMO!T38</f>
        <v>0.76787308372298102</v>
      </c>
      <c r="N38" s="40">
        <f>VALO_AMO!U38</f>
        <v>0.19225731787166048</v>
      </c>
      <c r="O38" s="79">
        <f>VALO_AMO!W38</f>
        <v>12.18</v>
      </c>
      <c r="P38" s="233"/>
      <c r="Q38" s="92" t="str">
        <f>VALO_AMO!Y38</f>
        <v>à définir</v>
      </c>
      <c r="R38" s="40">
        <f>VALO_AMO!Z38</f>
        <v>0</v>
      </c>
      <c r="S38" s="79">
        <f>VALO_AMO!AB38</f>
        <v>0</v>
      </c>
      <c r="U38" s="92" t="str">
        <f>VALO_AMO!AD38</f>
        <v>à définir</v>
      </c>
      <c r="V38" s="40">
        <f>VALO_AMO!AE38</f>
        <v>0</v>
      </c>
      <c r="W38" s="79">
        <f>VALO_AMO!AG38</f>
        <v>0</v>
      </c>
    </row>
    <row r="39" spans="1:23" ht="15.75" x14ac:dyDescent="0.3">
      <c r="A39" s="463" t="s">
        <v>863</v>
      </c>
      <c r="B39" s="59"/>
      <c r="C39" s="62">
        <f>VALO_AMO!G39</f>
        <v>78</v>
      </c>
      <c r="D39" s="62" t="str">
        <f>VALO_AMO!I39</f>
        <v>CIPRAL Travaux KB Cipral</v>
      </c>
      <c r="E39" s="62" t="str">
        <f>VALO_AMO!J39</f>
        <v>01/07/2024</v>
      </c>
      <c r="F39" s="62">
        <f>VALO_AMO!K39</f>
        <v>2468</v>
      </c>
      <c r="G39" s="62" t="str">
        <f>VALO_AMO!L39</f>
        <v>120</v>
      </c>
      <c r="H39" s="92">
        <f>VALO_AMO!O39</f>
        <v>1</v>
      </c>
      <c r="I39" s="40">
        <f>VALO_AMO!P39</f>
        <v>31.799060330300172</v>
      </c>
      <c r="J39" s="40">
        <f>VALO_AMO!Q39</f>
        <v>121.79866894355557</v>
      </c>
      <c r="K39" s="40">
        <f>VALO_AMO!R39</f>
        <v>62.552455542278935</v>
      </c>
      <c r="L39" s="40">
        <f>VALO_AMO!S39</f>
        <v>11.194956143343346</v>
      </c>
      <c r="M39" s="40">
        <f>VALO_AMO!T39</f>
        <v>15.559201729296531</v>
      </c>
      <c r="N39" s="40">
        <f>VALO_AMO!U39</f>
        <v>3.8956573112254356</v>
      </c>
      <c r="O39" s="79">
        <f>VALO_AMO!W39</f>
        <v>246.8</v>
      </c>
      <c r="P39" s="233"/>
      <c r="Q39" s="92" t="str">
        <f>VALO_AMO!Y39</f>
        <v>à définir</v>
      </c>
      <c r="R39" s="40">
        <f>VALO_AMO!Z39</f>
        <v>0</v>
      </c>
      <c r="S39" s="79">
        <f>VALO_AMO!AB39</f>
        <v>0</v>
      </c>
      <c r="U39" s="92" t="str">
        <f>VALO_AMO!AD39</f>
        <v>à définir</v>
      </c>
      <c r="V39" s="40">
        <f>VALO_AMO!AE39</f>
        <v>0</v>
      </c>
      <c r="W39" s="79">
        <f>VALO_AMO!AG39</f>
        <v>0</v>
      </c>
    </row>
    <row r="40" spans="1:23" ht="15.75" x14ac:dyDescent="0.3">
      <c r="A40" s="463" t="s">
        <v>863</v>
      </c>
      <c r="B40" s="59"/>
      <c r="C40" s="62">
        <f>VALO_AMO!G40</f>
        <v>81</v>
      </c>
      <c r="D40" s="62" t="str">
        <f>VALO_AMO!I40</f>
        <v>Fmge Travaux &amp; équipement Labo</v>
      </c>
      <c r="E40" s="62" t="str">
        <f>VALO_AMO!J40</f>
        <v>30/01/2024</v>
      </c>
      <c r="F40" s="62">
        <f>VALO_AMO!K40</f>
        <v>685.2</v>
      </c>
      <c r="G40" s="62" t="str">
        <f>VALO_AMO!L40</f>
        <v>120</v>
      </c>
      <c r="H40" s="92">
        <f>VALO_AMO!O40</f>
        <v>1</v>
      </c>
      <c r="I40" s="40">
        <f>VALO_AMO!P40</f>
        <v>8.8284911419455749</v>
      </c>
      <c r="J40" s="40">
        <f>VALO_AMO!Q40</f>
        <v>33.815416515447438</v>
      </c>
      <c r="K40" s="40">
        <f>VALO_AMO!R40</f>
        <v>17.366670396097859</v>
      </c>
      <c r="L40" s="40">
        <f>VALO_AMO!S40</f>
        <v>3.1080972242377873</v>
      </c>
      <c r="M40" s="40">
        <f>VALO_AMO!T40</f>
        <v>4.3197589241952921</v>
      </c>
      <c r="N40" s="40">
        <f>VALO_AMO!U40</f>
        <v>1.0815657980760407</v>
      </c>
      <c r="O40" s="79">
        <f>VALO_AMO!W40</f>
        <v>68.52</v>
      </c>
      <c r="P40" s="233"/>
      <c r="Q40" s="92" t="str">
        <f>VALO_AMO!Y40</f>
        <v>à définir</v>
      </c>
      <c r="R40" s="40">
        <f>VALO_AMO!Z40</f>
        <v>0</v>
      </c>
      <c r="S40" s="79">
        <f>VALO_AMO!AB40</f>
        <v>0</v>
      </c>
      <c r="U40" s="92" t="str">
        <f>VALO_AMO!AD40</f>
        <v>à définir</v>
      </c>
      <c r="V40" s="40">
        <f>VALO_AMO!AE40</f>
        <v>0</v>
      </c>
      <c r="W40" s="79">
        <f>VALO_AMO!AG40</f>
        <v>0</v>
      </c>
    </row>
    <row r="41" spans="1:23" ht="15.75" x14ac:dyDescent="0.3">
      <c r="A41" s="463" t="s">
        <v>863</v>
      </c>
      <c r="B41" s="59"/>
      <c r="C41" s="62">
        <f>VALO_AMO!G41</f>
        <v>84</v>
      </c>
      <c r="D41" s="62" t="str">
        <f>VALO_AMO!I41</f>
        <v>18-10-2023 ALGOCHEM</v>
      </c>
      <c r="E41" s="62" t="str">
        <f>VALO_AMO!J41</f>
        <v>01/01/2024</v>
      </c>
      <c r="F41" s="62">
        <f>VALO_AMO!K41</f>
        <v>17475</v>
      </c>
      <c r="G41" s="62" t="str">
        <f>VALO_AMO!L41</f>
        <v>120</v>
      </c>
      <c r="H41" s="92">
        <f>VALO_AMO!O41</f>
        <v>1</v>
      </c>
      <c r="I41" s="40">
        <f>VALO_AMO!P41</f>
        <v>225.15744703079233</v>
      </c>
      <c r="J41" s="40">
        <f>VALO_AMO!Q41</f>
        <v>862.41156393380618</v>
      </c>
      <c r="K41" s="40">
        <f>VALO_AMO!R41</f>
        <v>442.91092406860787</v>
      </c>
      <c r="L41" s="40">
        <f>VALO_AMO!S41</f>
        <v>79.267365723227272</v>
      </c>
      <c r="M41" s="40">
        <f>VALO_AMO!T41</f>
        <v>110.16898307109271</v>
      </c>
      <c r="N41" s="40">
        <f>VALO_AMO!U41</f>
        <v>27.583716172473455</v>
      </c>
      <c r="O41" s="79">
        <f>VALO_AMO!W41</f>
        <v>1747.4999999999998</v>
      </c>
      <c r="P41" s="233"/>
      <c r="Q41" s="92" t="str">
        <f>VALO_AMO!Y41</f>
        <v>à définir</v>
      </c>
      <c r="R41" s="40">
        <f>VALO_AMO!Z41</f>
        <v>0</v>
      </c>
      <c r="S41" s="79">
        <f>VALO_AMO!AB41</f>
        <v>0</v>
      </c>
      <c r="U41" s="92" t="str">
        <f>VALO_AMO!AD41</f>
        <v>à définir</v>
      </c>
      <c r="V41" s="40">
        <f>VALO_AMO!AE41</f>
        <v>0</v>
      </c>
      <c r="W41" s="79">
        <f>VALO_AMO!AG41</f>
        <v>0</v>
      </c>
    </row>
    <row r="42" spans="1:23" ht="15.75" x14ac:dyDescent="0.3">
      <c r="A42" s="463" t="s">
        <v>863</v>
      </c>
      <c r="B42" s="59"/>
      <c r="C42" s="62">
        <f>VALO_AMO!G42</f>
        <v>85</v>
      </c>
      <c r="D42" s="62" t="str">
        <f>VALO_AMO!I42</f>
        <v>31-12-2023 LABO BUREAUX KB 202</v>
      </c>
      <c r="E42" s="62" t="str">
        <f>VALO_AMO!J42</f>
        <v>01/01/2024</v>
      </c>
      <c r="F42" s="62">
        <f>VALO_AMO!K42</f>
        <v>499317</v>
      </c>
      <c r="G42" s="62" t="str">
        <f>VALO_AMO!L42</f>
        <v>120</v>
      </c>
      <c r="H42" s="92">
        <f>VALO_AMO!O42</f>
        <v>1</v>
      </c>
      <c r="I42" s="40">
        <f>VALO_AMO!P42</f>
        <v>6433.4730174005226</v>
      </c>
      <c r="J42" s="40">
        <f>VALO_AMO!Q42</f>
        <v>24641.87438447704</v>
      </c>
      <c r="K42" s="40">
        <f>VALO_AMO!R42</f>
        <v>12655.390779580262</v>
      </c>
      <c r="L42" s="40">
        <f>VALO_AMO!S42</f>
        <v>2264.9237911773776</v>
      </c>
      <c r="M42" s="40">
        <f>VALO_AMO!T42</f>
        <v>3147.8824675312617</v>
      </c>
      <c r="N42" s="40">
        <f>VALO_AMO!U42</f>
        <v>788.15555983352942</v>
      </c>
      <c r="O42" s="79">
        <f>VALO_AMO!W42</f>
        <v>49931.7</v>
      </c>
      <c r="P42" s="233"/>
      <c r="Q42" s="92" t="str">
        <f>VALO_AMO!Y42</f>
        <v>à définir</v>
      </c>
      <c r="R42" s="40">
        <f>VALO_AMO!Z42</f>
        <v>0</v>
      </c>
      <c r="S42" s="79">
        <f>VALO_AMO!AB42</f>
        <v>0</v>
      </c>
      <c r="U42" s="92" t="str">
        <f>VALO_AMO!AD42</f>
        <v>à définir</v>
      </c>
      <c r="V42" s="40">
        <f>VALO_AMO!AE42</f>
        <v>0</v>
      </c>
      <c r="W42" s="79">
        <f>VALO_AMO!AG42</f>
        <v>0</v>
      </c>
    </row>
    <row r="43" spans="1:23" ht="15.75" x14ac:dyDescent="0.3">
      <c r="A43" s="463" t="s">
        <v>863</v>
      </c>
      <c r="B43" s="59"/>
      <c r="C43" s="62">
        <f>VALO_AMO!G43</f>
        <v>86</v>
      </c>
      <c r="D43" s="62" t="str">
        <f>VALO_AMO!I43</f>
        <v>ALTEA SERVICES Raccord SSi con</v>
      </c>
      <c r="E43" s="62" t="str">
        <f>VALO_AMO!J43</f>
        <v>01/06/2024</v>
      </c>
      <c r="F43" s="62">
        <f>VALO_AMO!K43</f>
        <v>1117.5</v>
      </c>
      <c r="G43" s="62" t="str">
        <f>VALO_AMO!L43</f>
        <v>120</v>
      </c>
      <c r="H43" s="92">
        <f>VALO_AMO!O43</f>
        <v>1</v>
      </c>
      <c r="I43" s="40">
        <f>VALO_AMO!P43</f>
        <v>14.398480518278136</v>
      </c>
      <c r="J43" s="40">
        <f>VALO_AMO!Q43</f>
        <v>55.149924045552417</v>
      </c>
      <c r="K43" s="40">
        <f>VALO_AMO!R43</f>
        <v>28.323488277348748</v>
      </c>
      <c r="L43" s="40">
        <f>VALO_AMO!S43</f>
        <v>5.0690289668501567</v>
      </c>
      <c r="M43" s="40">
        <f>VALO_AMO!T43</f>
        <v>7.0451409775076455</v>
      </c>
      <c r="N43" s="40">
        <f>VALO_AMO!U43</f>
        <v>1.7639372144628949</v>
      </c>
      <c r="O43" s="79">
        <f>VALO_AMO!W43</f>
        <v>111.75</v>
      </c>
      <c r="P43" s="233"/>
      <c r="Q43" s="92" t="str">
        <f>VALO_AMO!Y43</f>
        <v>à définir</v>
      </c>
      <c r="R43" s="40">
        <f>VALO_AMO!Z43</f>
        <v>0</v>
      </c>
      <c r="S43" s="79">
        <f>VALO_AMO!AB43</f>
        <v>0</v>
      </c>
      <c r="U43" s="92" t="str">
        <f>VALO_AMO!AD43</f>
        <v>à définir</v>
      </c>
      <c r="V43" s="40">
        <f>VALO_AMO!AE43</f>
        <v>0</v>
      </c>
      <c r="W43" s="79">
        <f>VALO_AMO!AG43</f>
        <v>0</v>
      </c>
    </row>
    <row r="44" spans="1:23" ht="15.75" x14ac:dyDescent="0.3">
      <c r="A44" s="463" t="s">
        <v>863</v>
      </c>
      <c r="B44" s="59"/>
      <c r="C44" s="62">
        <f>VALO_AMO!G44</f>
        <v>87</v>
      </c>
      <c r="D44" s="62" t="str">
        <f>VALO_AMO!I44</f>
        <v>Fmge Instal elec KB phonebox R</v>
      </c>
      <c r="E44" s="62" t="str">
        <f>VALO_AMO!J44</f>
        <v>01/06/2024</v>
      </c>
      <c r="F44" s="62">
        <f>VALO_AMO!K44</f>
        <v>769.5</v>
      </c>
      <c r="G44" s="62" t="str">
        <f>VALO_AMO!L44</f>
        <v>120</v>
      </c>
      <c r="H44" s="92">
        <f>VALO_AMO!O44</f>
        <v>1</v>
      </c>
      <c r="I44" s="40">
        <f>VALO_AMO!P44</f>
        <v>9.9146583971499105</v>
      </c>
      <c r="J44" s="40">
        <f>VALO_AMO!Q44</f>
        <v>37.975719510561596</v>
      </c>
      <c r="K44" s="40">
        <f>VALO_AMO!R44</f>
        <v>19.503287901046857</v>
      </c>
      <c r="L44" s="40">
        <f>VALO_AMO!S44</f>
        <v>3.490485718112927</v>
      </c>
      <c r="M44" s="40">
        <f>VALO_AMO!T44</f>
        <v>4.8512178811562725</v>
      </c>
      <c r="N44" s="40">
        <f>VALO_AMO!U44</f>
        <v>1.2146305919724363</v>
      </c>
      <c r="O44" s="79">
        <f>VALO_AMO!W44</f>
        <v>76.95</v>
      </c>
      <c r="P44" s="233"/>
      <c r="Q44" s="92" t="str">
        <f>VALO_AMO!Y44</f>
        <v>à définir</v>
      </c>
      <c r="R44" s="40">
        <f>VALO_AMO!Z44</f>
        <v>0</v>
      </c>
      <c r="S44" s="79">
        <f>VALO_AMO!AB44</f>
        <v>0</v>
      </c>
      <c r="U44" s="92" t="str">
        <f>VALO_AMO!AD44</f>
        <v>à définir</v>
      </c>
      <c r="V44" s="40">
        <f>VALO_AMO!AE44</f>
        <v>0</v>
      </c>
      <c r="W44" s="79">
        <f>VALO_AMO!AG44</f>
        <v>0</v>
      </c>
    </row>
    <row r="45" spans="1:23" ht="15.75" x14ac:dyDescent="0.3">
      <c r="A45" s="463" t="s">
        <v>863</v>
      </c>
      <c r="B45" s="59"/>
      <c r="C45" s="62">
        <f>VALO_AMO!G45</f>
        <v>88</v>
      </c>
      <c r="D45" s="62" t="str">
        <f>VALO_AMO!I45</f>
        <v>EXELL SECURITE Travaux-KB : tr</v>
      </c>
      <c r="E45" s="62" t="str">
        <f>VALO_AMO!J45</f>
        <v>01/06/2024</v>
      </c>
      <c r="F45" s="62">
        <f>VALO_AMO!K45</f>
        <v>525.29999999999995</v>
      </c>
      <c r="G45" s="62" t="str">
        <f>VALO_AMO!L45</f>
        <v>120</v>
      </c>
      <c r="H45" s="92">
        <f>VALO_AMO!O45</f>
        <v>1</v>
      </c>
      <c r="I45" s="40">
        <f>VALO_AMO!P45</f>
        <v>6.7682521845651049</v>
      </c>
      <c r="J45" s="40">
        <f>VALO_AMO!Q45</f>
        <v>25.924165638593902</v>
      </c>
      <c r="K45" s="40">
        <f>VALO_AMO!R45</f>
        <v>13.313940395607425</v>
      </c>
      <c r="L45" s="40">
        <f>VALO_AMO!S45</f>
        <v>2.3827838177059393</v>
      </c>
      <c r="M45" s="40">
        <f>VALO_AMO!T45</f>
        <v>3.3116890876821179</v>
      </c>
      <c r="N45" s="40">
        <f>VALO_AMO!U45</f>
        <v>0.82916887584551102</v>
      </c>
      <c r="O45" s="79">
        <f>VALO_AMO!W45</f>
        <v>52.53</v>
      </c>
      <c r="P45" s="233"/>
      <c r="Q45" s="92" t="str">
        <f>VALO_AMO!Y45</f>
        <v>à définir</v>
      </c>
      <c r="R45" s="40">
        <f>VALO_AMO!Z45</f>
        <v>0</v>
      </c>
      <c r="S45" s="79">
        <f>VALO_AMO!AB45</f>
        <v>0</v>
      </c>
      <c r="U45" s="92" t="str">
        <f>VALO_AMO!AD45</f>
        <v>à définir</v>
      </c>
      <c r="V45" s="40">
        <f>VALO_AMO!AE45</f>
        <v>0</v>
      </c>
      <c r="W45" s="79">
        <f>VALO_AMO!AG45</f>
        <v>0</v>
      </c>
    </row>
    <row r="46" spans="1:23" ht="15.75" x14ac:dyDescent="0.3">
      <c r="A46" s="463" t="s">
        <v>863</v>
      </c>
      <c r="B46" s="59"/>
      <c r="C46" s="62">
        <f>VALO_AMO!G46</f>
        <v>89</v>
      </c>
      <c r="D46" s="62" t="str">
        <f>VALO_AMO!I46</f>
        <v>EXELL SECURITE Travaux d'aména</v>
      </c>
      <c r="E46" s="62" t="str">
        <f>VALO_AMO!J46</f>
        <v>01/09/2024</v>
      </c>
      <c r="F46" s="62">
        <f>VALO_AMO!K46</f>
        <v>401.7</v>
      </c>
      <c r="G46" s="62" t="str">
        <f>VALO_AMO!L46</f>
        <v>120</v>
      </c>
      <c r="H46" s="92">
        <f>VALO_AMO!O46</f>
        <v>1</v>
      </c>
      <c r="I46" s="40">
        <f>VALO_AMO!P46</f>
        <v>5.1757222587850809</v>
      </c>
      <c r="J46" s="40">
        <f>VALO_AMO!Q46</f>
        <v>19.824361958924747</v>
      </c>
      <c r="K46" s="40">
        <f>VALO_AMO!R46</f>
        <v>10.181248537817444</v>
      </c>
      <c r="L46" s="40">
        <f>VALO_AMO!S46</f>
        <v>1.8221288017751303</v>
      </c>
      <c r="M46" s="40">
        <f>VALO_AMO!T46</f>
        <v>2.5324681258745607</v>
      </c>
      <c r="N46" s="40">
        <f>VALO_AMO!U46</f>
        <v>0.63407031682303794</v>
      </c>
      <c r="O46" s="79">
        <f>VALO_AMO!W46</f>
        <v>40.169999999999995</v>
      </c>
      <c r="P46" s="233"/>
      <c r="Q46" s="92" t="str">
        <f>VALO_AMO!Y46</f>
        <v>à définir</v>
      </c>
      <c r="R46" s="40">
        <f>VALO_AMO!Z46</f>
        <v>0</v>
      </c>
      <c r="S46" s="79">
        <f>VALO_AMO!AB46</f>
        <v>0</v>
      </c>
      <c r="U46" s="92" t="str">
        <f>VALO_AMO!AD46</f>
        <v>à définir</v>
      </c>
      <c r="V46" s="40">
        <f>VALO_AMO!AE46</f>
        <v>0</v>
      </c>
      <c r="W46" s="79">
        <f>VALO_AMO!AG46</f>
        <v>0</v>
      </c>
    </row>
    <row r="47" spans="1:23" ht="15.75" x14ac:dyDescent="0.3">
      <c r="A47" s="463" t="s">
        <v>863</v>
      </c>
      <c r="B47" s="59"/>
      <c r="C47" s="62">
        <f>VALO_AMO!G47</f>
        <v>91</v>
      </c>
      <c r="D47" s="62" t="str">
        <f>VALO_AMO!I47</f>
        <v>DE DIETRICH PROCESS SYSTEMS Es</v>
      </c>
      <c r="E47" s="62" t="str">
        <f>VALO_AMO!J47</f>
        <v>25/01/2024</v>
      </c>
      <c r="F47" s="62">
        <f>VALO_AMO!K47</f>
        <v>7920</v>
      </c>
      <c r="G47" s="62" t="str">
        <f>VALO_AMO!L47</f>
        <v>120</v>
      </c>
      <c r="H47" s="92">
        <f>VALO_AMO!O47</f>
        <v>1</v>
      </c>
      <c r="I47" s="40">
        <f>VALO_AMO!P47</f>
        <v>102.04560689464236</v>
      </c>
      <c r="J47" s="40">
        <f>VALO_AMO!Q47</f>
        <v>390.86120665841173</v>
      </c>
      <c r="K47" s="40">
        <f>VALO_AMO!R47</f>
        <v>200.73559477100858</v>
      </c>
      <c r="L47" s="40">
        <f>VALO_AMO!S47</f>
        <v>35.925467040226614</v>
      </c>
      <c r="M47" s="40">
        <f>VALO_AMO!T47</f>
        <v>49.930663572134726</v>
      </c>
      <c r="N47" s="40">
        <f>VALO_AMO!U47</f>
        <v>12.501461063575951</v>
      </c>
      <c r="O47" s="79">
        <f>VALO_AMO!W47</f>
        <v>791.99999999999989</v>
      </c>
      <c r="P47" s="233"/>
      <c r="Q47" s="92" t="str">
        <f>VALO_AMO!Y47</f>
        <v>à définir</v>
      </c>
      <c r="R47" s="40">
        <f>VALO_AMO!Z47</f>
        <v>0</v>
      </c>
      <c r="S47" s="79">
        <f>VALO_AMO!AB47</f>
        <v>0</v>
      </c>
      <c r="U47" s="92" t="str">
        <f>VALO_AMO!AD47</f>
        <v>à définir</v>
      </c>
      <c r="V47" s="40">
        <f>VALO_AMO!AE47</f>
        <v>0</v>
      </c>
      <c r="W47" s="79">
        <f>VALO_AMO!AG47</f>
        <v>0</v>
      </c>
    </row>
    <row r="48" spans="1:23" ht="15.75" x14ac:dyDescent="0.3">
      <c r="A48" s="463" t="s">
        <v>863</v>
      </c>
      <c r="B48" s="59"/>
      <c r="C48" s="62">
        <f>VALO_AMO!G48</f>
        <v>92</v>
      </c>
      <c r="D48" s="62" t="str">
        <f>VALO_AMO!I48</f>
        <v>OPTIMUS Accessoires KL Roussil</v>
      </c>
      <c r="E48" s="62" t="str">
        <f>VALO_AMO!J48</f>
        <v>08/01/2024</v>
      </c>
      <c r="F48" s="62">
        <f>VALO_AMO!K48</f>
        <v>488.2</v>
      </c>
      <c r="G48" s="62" t="str">
        <f>VALO_AMO!L48</f>
        <v>120</v>
      </c>
      <c r="H48" s="92">
        <f>VALO_AMO!O48</f>
        <v>1</v>
      </c>
      <c r="I48" s="40">
        <f>VALO_AMO!P48</f>
        <v>6.2902355159045955</v>
      </c>
      <c r="J48" s="40">
        <f>VALO_AMO!Q48</f>
        <v>24.093237511444016</v>
      </c>
      <c r="K48" s="40">
        <f>VALO_AMO!R48</f>
        <v>12.373625930202826</v>
      </c>
      <c r="L48" s="40">
        <f>VALO_AMO!S48</f>
        <v>2.2144965920503328</v>
      </c>
      <c r="M48" s="40">
        <f>VALO_AMO!T48</f>
        <v>3.0777967116055778</v>
      </c>
      <c r="N48" s="40">
        <f>VALO_AMO!U48</f>
        <v>0.7706077387926491</v>
      </c>
      <c r="O48" s="79">
        <f>VALO_AMO!W48</f>
        <v>48.819999999999993</v>
      </c>
      <c r="P48" s="233"/>
      <c r="Q48" s="92" t="str">
        <f>VALO_AMO!Y48</f>
        <v>à définir</v>
      </c>
      <c r="R48" s="40">
        <f>VALO_AMO!Z48</f>
        <v>0</v>
      </c>
      <c r="S48" s="79">
        <f>VALO_AMO!AB48</f>
        <v>0</v>
      </c>
      <c r="U48" s="92" t="str">
        <f>VALO_AMO!AD48</f>
        <v>à définir</v>
      </c>
      <c r="V48" s="40">
        <f>VALO_AMO!AE48</f>
        <v>0</v>
      </c>
      <c r="W48" s="79">
        <f>VALO_AMO!AG48</f>
        <v>0</v>
      </c>
    </row>
    <row r="49" spans="1:23" ht="15.75" x14ac:dyDescent="0.3">
      <c r="A49" s="463" t="s">
        <v>863</v>
      </c>
      <c r="B49" s="59"/>
      <c r="C49" s="62">
        <f>VALO_AMO!G49</f>
        <v>93</v>
      </c>
      <c r="D49" s="62" t="str">
        <f>VALO_AMO!I49</f>
        <v>Foure Lagadec Modification bac</v>
      </c>
      <c r="E49" s="62" t="str">
        <f>VALO_AMO!J49</f>
        <v>25/03/2024</v>
      </c>
      <c r="F49" s="62">
        <f>VALO_AMO!K49</f>
        <v>336.5</v>
      </c>
      <c r="G49" s="62" t="str">
        <f>VALO_AMO!L49</f>
        <v>120</v>
      </c>
      <c r="H49" s="92">
        <f>VALO_AMO!O49</f>
        <v>1</v>
      </c>
      <c r="I49" s="40">
        <f>VALO_AMO!P49</f>
        <v>4.3356498383897923</v>
      </c>
      <c r="J49" s="40">
        <f>VALO_AMO!Q49</f>
        <v>16.606666166736812</v>
      </c>
      <c r="K49" s="40">
        <f>VALO_AMO!R49</f>
        <v>8.5287282374298474</v>
      </c>
      <c r="L49" s="40">
        <f>VALO_AMO!S49</f>
        <v>1.5263787448278101</v>
      </c>
      <c r="M49" s="40">
        <f>VALO_AMO!T49</f>
        <v>2.1214227641443606</v>
      </c>
      <c r="N49" s="40">
        <f>VALO_AMO!U49</f>
        <v>0.53115424847137727</v>
      </c>
      <c r="O49" s="79">
        <f>VALO_AMO!W49</f>
        <v>33.65</v>
      </c>
      <c r="P49" s="233"/>
      <c r="Q49" s="92" t="str">
        <f>VALO_AMO!Y49</f>
        <v>à définir</v>
      </c>
      <c r="R49" s="40">
        <f>VALO_AMO!Z49</f>
        <v>0</v>
      </c>
      <c r="S49" s="79">
        <f>VALO_AMO!AB49</f>
        <v>0</v>
      </c>
      <c r="U49" s="92" t="str">
        <f>VALO_AMO!AD49</f>
        <v>à définir</v>
      </c>
      <c r="V49" s="40">
        <f>VALO_AMO!AE49</f>
        <v>0</v>
      </c>
      <c r="W49" s="79">
        <f>VALO_AMO!AG49</f>
        <v>0</v>
      </c>
    </row>
    <row r="50" spans="1:23" ht="15.75" x14ac:dyDescent="0.3">
      <c r="A50" s="463" t="s">
        <v>863</v>
      </c>
      <c r="B50" s="59"/>
      <c r="C50" s="62">
        <f>VALO_AMO!G50</f>
        <v>94</v>
      </c>
      <c r="D50" s="62" t="str">
        <f>VALO_AMO!I50</f>
        <v>Foure Lagadec MODIFICATION D U</v>
      </c>
      <c r="E50" s="62" t="str">
        <f>VALO_AMO!J50</f>
        <v>01/04/2024</v>
      </c>
      <c r="F50" s="62">
        <f>VALO_AMO!K50</f>
        <v>588.5</v>
      </c>
      <c r="G50" s="62" t="str">
        <f>VALO_AMO!L50</f>
        <v>120</v>
      </c>
      <c r="H50" s="92">
        <f>VALO_AMO!O50</f>
        <v>1</v>
      </c>
      <c r="I50" s="40">
        <f>VALO_AMO!P50</f>
        <v>7.5825555123102317</v>
      </c>
      <c r="J50" s="40">
        <f>VALO_AMO!Q50</f>
        <v>29.043159105868096</v>
      </c>
      <c r="K50" s="40">
        <f>VALO_AMO!R50</f>
        <v>14.915769889234666</v>
      </c>
      <c r="L50" s="40">
        <f>VALO_AMO!S50</f>
        <v>2.6694617870168389</v>
      </c>
      <c r="M50" s="40">
        <f>VALO_AMO!T50</f>
        <v>3.7101256959850111</v>
      </c>
      <c r="N50" s="40">
        <f>VALO_AMO!U50</f>
        <v>0.92892800958515753</v>
      </c>
      <c r="O50" s="79">
        <f>VALO_AMO!W50</f>
        <v>58.85</v>
      </c>
      <c r="P50" s="233"/>
      <c r="Q50" s="92" t="str">
        <f>VALO_AMO!Y50</f>
        <v>à définir</v>
      </c>
      <c r="R50" s="40">
        <f>VALO_AMO!Z50</f>
        <v>0</v>
      </c>
      <c r="S50" s="79">
        <f>VALO_AMO!AB50</f>
        <v>0</v>
      </c>
      <c r="U50" s="92" t="str">
        <f>VALO_AMO!AD50</f>
        <v>à définir</v>
      </c>
      <c r="V50" s="40">
        <f>VALO_AMO!AE50</f>
        <v>0</v>
      </c>
      <c r="W50" s="79">
        <f>VALO_AMO!AG50</f>
        <v>0</v>
      </c>
    </row>
    <row r="51" spans="1:23" ht="15.75" x14ac:dyDescent="0.3">
      <c r="A51" s="463" t="s">
        <v>863</v>
      </c>
      <c r="B51" s="59"/>
      <c r="C51" s="62">
        <f>VALO_AMO!G51</f>
        <v>95</v>
      </c>
      <c r="D51" s="62" t="str">
        <f>VALO_AMO!I51</f>
        <v>Foure Lagadec support filtre e</v>
      </c>
      <c r="E51" s="62" t="str">
        <f>VALO_AMO!J51</f>
        <v>01/05/2024</v>
      </c>
      <c r="F51" s="62">
        <f>VALO_AMO!K51</f>
        <v>4283</v>
      </c>
      <c r="G51" s="62" t="str">
        <f>VALO_AMO!L51</f>
        <v>120</v>
      </c>
      <c r="H51" s="92">
        <f>VALO_AMO!O51</f>
        <v>1</v>
      </c>
      <c r="I51" s="40">
        <f>VALO_AMO!P51</f>
        <v>55.184511910322378</v>
      </c>
      <c r="J51" s="40">
        <f>VALO_AMO!Q51</f>
        <v>211.37102880277496</v>
      </c>
      <c r="K51" s="40">
        <f>VALO_AMO!R51</f>
        <v>108.55436267730174</v>
      </c>
      <c r="L51" s="40">
        <f>VALO_AMO!S51</f>
        <v>19.427875673395278</v>
      </c>
      <c r="M51" s="40">
        <f>VALO_AMO!T51</f>
        <v>27.001645464577408</v>
      </c>
      <c r="N51" s="40">
        <f>VALO_AMO!U51</f>
        <v>6.7605754716282584</v>
      </c>
      <c r="O51" s="79">
        <f>VALO_AMO!W51</f>
        <v>428.3</v>
      </c>
      <c r="P51" s="233"/>
      <c r="Q51" s="92" t="str">
        <f>VALO_AMO!Y51</f>
        <v>à définir</v>
      </c>
      <c r="R51" s="40">
        <f>VALO_AMO!Z51</f>
        <v>0</v>
      </c>
      <c r="S51" s="79">
        <f>VALO_AMO!AB51</f>
        <v>0</v>
      </c>
      <c r="U51" s="92" t="str">
        <f>VALO_AMO!AD51</f>
        <v>à définir</v>
      </c>
      <c r="V51" s="40">
        <f>VALO_AMO!AE51</f>
        <v>0</v>
      </c>
      <c r="W51" s="79">
        <f>VALO_AMO!AG51</f>
        <v>0</v>
      </c>
    </row>
    <row r="52" spans="1:23" ht="15.75" x14ac:dyDescent="0.3">
      <c r="B52" s="59"/>
      <c r="C52" s="62">
        <f>VALO_AMO!G52</f>
        <v>96</v>
      </c>
      <c r="D52" s="62" t="str">
        <f>VALO_AMO!I52</f>
        <v xml:space="preserve">Espace équipement Armoires KL </v>
      </c>
      <c r="E52" s="62" t="str">
        <f>VALO_AMO!J52</f>
        <v>01/07/2024</v>
      </c>
      <c r="F52" s="62">
        <f>VALO_AMO!K52</f>
        <v>1874</v>
      </c>
      <c r="G52" s="62" t="str">
        <f>VALO_AMO!L52</f>
        <v>120</v>
      </c>
      <c r="H52" s="92">
        <f>VALO_AMO!O52</f>
        <v>1</v>
      </c>
      <c r="I52" s="40">
        <f>VALO_AMO!P52</f>
        <v>24.145639813201996</v>
      </c>
      <c r="J52" s="40">
        <f>VALO_AMO!Q52</f>
        <v>92.484078444174699</v>
      </c>
      <c r="K52" s="40">
        <f>VALO_AMO!R52</f>
        <v>47.497285934453288</v>
      </c>
      <c r="L52" s="40">
        <f>VALO_AMO!S52</f>
        <v>8.5005461153263493</v>
      </c>
      <c r="M52" s="40">
        <f>VALO_AMO!T52</f>
        <v>11.814401961386425</v>
      </c>
      <c r="N52" s="40">
        <f>VALO_AMO!U52</f>
        <v>2.9580477314572398</v>
      </c>
      <c r="O52" s="79">
        <f>VALO_AMO!W52</f>
        <v>187.40000000000003</v>
      </c>
      <c r="P52" s="233"/>
      <c r="Q52" s="92" t="str">
        <f>VALO_AMO!Y52</f>
        <v>à définir</v>
      </c>
      <c r="R52" s="40">
        <f>VALO_AMO!Z52</f>
        <v>0</v>
      </c>
      <c r="S52" s="79">
        <f>VALO_AMO!AB52</f>
        <v>0</v>
      </c>
      <c r="U52" s="92" t="str">
        <f>VALO_AMO!AD52</f>
        <v>à définir</v>
      </c>
      <c r="V52" s="40">
        <f>VALO_AMO!AE52</f>
        <v>0</v>
      </c>
      <c r="W52" s="79">
        <f>VALO_AMO!AG52</f>
        <v>0</v>
      </c>
    </row>
    <row r="53" spans="1:23" ht="15.75" thickBot="1" x14ac:dyDescent="0.3">
      <c r="C53" s="61"/>
      <c r="D53" s="61"/>
      <c r="E53" s="61"/>
      <c r="F53" s="61"/>
      <c r="G53" s="61"/>
      <c r="H53" s="64" t="s">
        <v>466</v>
      </c>
      <c r="I53" s="65">
        <f t="shared" ref="I53:O53" si="0">SUM(I4:I52)</f>
        <v>25743.388836867605</v>
      </c>
      <c r="J53" s="65">
        <f t="shared" si="0"/>
        <v>98603.872625731325</v>
      </c>
      <c r="K53" s="65">
        <f t="shared" si="0"/>
        <v>50640.24436569128</v>
      </c>
      <c r="L53" s="65">
        <f t="shared" si="0"/>
        <v>9063.0385305805976</v>
      </c>
      <c r="M53" s="65">
        <f t="shared" si="0"/>
        <v>12596.176614906986</v>
      </c>
      <c r="N53" s="65">
        <f t="shared" si="0"/>
        <v>3153.7856746824141</v>
      </c>
      <c r="O53" s="65">
        <f t="shared" si="0"/>
        <v>199800.5066484602</v>
      </c>
      <c r="P53" s="234"/>
      <c r="Q53" s="64"/>
      <c r="R53" s="65">
        <f>SUM(R4:R52)</f>
        <v>0</v>
      </c>
      <c r="S53" s="65">
        <f>SUM(S4:S52)</f>
        <v>0</v>
      </c>
      <c r="U53" s="64"/>
      <c r="V53" s="65">
        <f>SUM(V4:V52)</f>
        <v>0</v>
      </c>
      <c r="W53" s="65">
        <f>SUM(W4:W52)</f>
        <v>0</v>
      </c>
    </row>
    <row r="54" spans="1:23" ht="15.75" thickBot="1" x14ac:dyDescent="0.3"/>
    <row r="55" spans="1:23" ht="15.75" thickBot="1" x14ac:dyDescent="0.3">
      <c r="E55" s="43"/>
      <c r="F55" s="44"/>
      <c r="G55" s="44"/>
      <c r="H55" s="95" t="s">
        <v>467</v>
      </c>
      <c r="I55" s="65">
        <f>VALO_AMO!P72</f>
        <v>0</v>
      </c>
      <c r="J55" s="65">
        <f>VALO_AMO!Q72</f>
        <v>0</v>
      </c>
      <c r="K55" s="65">
        <f>VALO_AMO!R72</f>
        <v>0</v>
      </c>
      <c r="L55" s="65">
        <f>VALO_AMO!S72</f>
        <v>0</v>
      </c>
      <c r="M55" s="65">
        <f>VALO_AMO!T72</f>
        <v>0</v>
      </c>
      <c r="N55" s="65">
        <f>VALO_AMO!U72</f>
        <v>0</v>
      </c>
      <c r="O55" s="65">
        <f>VALO_AMO!W72</f>
        <v>0</v>
      </c>
      <c r="P55" s="230"/>
    </row>
    <row r="56" spans="1:23" ht="15.75" thickBot="1" x14ac:dyDescent="0.3"/>
    <row r="57" spans="1:23" ht="15.75" thickBot="1" x14ac:dyDescent="0.3">
      <c r="E57" s="43"/>
      <c r="F57" s="44"/>
      <c r="G57" s="44"/>
      <c r="H57" s="95" t="s">
        <v>468</v>
      </c>
      <c r="I57" s="65">
        <f>VALO_AMO!P74</f>
        <v>26216.90635079686</v>
      </c>
      <c r="J57" s="65">
        <f>VALO_AMO!Q74</f>
        <v>100417.56782046289</v>
      </c>
      <c r="K57" s="65">
        <f>VALO_AMO!R74</f>
        <v>51571.708469689569</v>
      </c>
      <c r="L57" s="65">
        <f>VALO_AMO!S74</f>
        <v>9229.7418150953254</v>
      </c>
      <c r="M57" s="65">
        <f>VALO_AMO!T74</f>
        <v>12827.867565678886</v>
      </c>
      <c r="N57" s="65">
        <f>VALO_AMO!U74</f>
        <v>3211.7956267366912</v>
      </c>
      <c r="O57" s="65">
        <f>VALO_AMO!W74</f>
        <v>203475.58764846023</v>
      </c>
      <c r="P57" s="230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A1:B1048576" name="Plage1"/>
  </protectedRanges>
  <conditionalFormatting sqref="C4:G52">
    <cfRule type="expression" dxfId="264" priority="3">
      <formula>$A4=1</formula>
    </cfRule>
  </conditionalFormatting>
  <conditionalFormatting sqref="C4:G52">
    <cfRule type="expression" dxfId="263" priority="2">
      <formula>$B4=1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53EB-D352-4A1F-AC72-4ACFF8198387}">
  <sheetPr codeName="Feuil5">
    <tabColor theme="7" tint="0.79998168889431442"/>
  </sheetPr>
  <dimension ref="A1:BM64"/>
  <sheetViews>
    <sheetView workbookViewId="0">
      <pane xSplit="8" ySplit="4" topLeftCell="J27" activePane="bottomRight" state="frozen"/>
      <selection pane="topRight" activeCell="I1" sqref="I1"/>
      <selection pane="bottomLeft" activeCell="A5" sqref="A5"/>
      <selection pane="bottomRight" activeCell="AB24" sqref="AB24"/>
    </sheetView>
  </sheetViews>
  <sheetFormatPr baseColWidth="10" defaultColWidth="11.42578125" defaultRowHeight="15" outlineLevelCol="1" x14ac:dyDescent="0.25"/>
  <cols>
    <col min="2" max="2" width="2.28515625" style="59" customWidth="1"/>
    <col min="3" max="3" width="2.5703125" style="59" customWidth="1"/>
    <col min="4" max="4" width="5.7109375" customWidth="1"/>
    <col min="5" max="5" width="8.42578125" customWidth="1"/>
    <col min="6" max="6" width="7.28515625" customWidth="1"/>
    <col min="7" max="7" width="15.85546875" customWidth="1"/>
    <col min="8" max="8" width="17.5703125" bestFit="1" customWidth="1" outlineLevel="1"/>
    <col min="9" max="9" width="46" bestFit="1" customWidth="1"/>
    <col min="10" max="10" width="84" bestFit="1" customWidth="1"/>
    <col min="11" max="11" width="14.140625" bestFit="1" customWidth="1"/>
    <col min="12" max="12" width="30" bestFit="1" customWidth="1"/>
    <col min="13" max="13" width="19" bestFit="1" customWidth="1"/>
    <col min="14" max="14" width="13.140625" bestFit="1" customWidth="1"/>
    <col min="15" max="15" width="13.7109375" style="73" bestFit="1" customWidth="1"/>
    <col min="16" max="16" width="12.7109375" style="76" bestFit="1" customWidth="1"/>
    <col min="17" max="17" width="11.7109375" style="76" bestFit="1" customWidth="1"/>
    <col min="18" max="18" width="11.140625" style="76" bestFit="1" customWidth="1"/>
    <col min="19" max="19" width="10.85546875" bestFit="1" customWidth="1"/>
    <col min="20" max="20" width="13.7109375" bestFit="1" customWidth="1"/>
    <col min="21" max="21" width="15.5703125" bestFit="1" customWidth="1"/>
    <col min="22" max="22" width="12.5703125" bestFit="1" customWidth="1"/>
    <col min="23" max="23" width="15.7109375" bestFit="1" customWidth="1"/>
    <col min="24" max="24" width="30.7109375" bestFit="1" customWidth="1"/>
    <col min="25" max="25" width="10.42578125" style="42" bestFit="1" customWidth="1" outlineLevel="1"/>
    <col min="26" max="26" width="14.7109375" style="42" bestFit="1" customWidth="1" outlineLevel="1"/>
    <col min="27" max="27" width="15.7109375" style="42" bestFit="1" customWidth="1" outlineLevel="1"/>
    <col min="28" max="28" width="14" style="42" bestFit="1" customWidth="1" outlineLevel="1"/>
    <col min="29" max="29" width="9.85546875" style="42" bestFit="1" customWidth="1" outlineLevel="1"/>
    <col min="30" max="30" width="11.42578125" style="42" bestFit="1" customWidth="1" outlineLevel="1"/>
    <col min="31" max="31" width="11.28515625" style="68" bestFit="1" customWidth="1" outlineLevel="1"/>
    <col min="32" max="32" width="13.5703125" style="42" bestFit="1" customWidth="1" outlineLevel="1"/>
    <col min="33" max="33" width="10.7109375" style="42" bestFit="1" customWidth="1" outlineLevel="1"/>
    <col min="34" max="34" width="1.85546875" bestFit="1" customWidth="1"/>
    <col min="35" max="35" width="13.28515625" style="42" bestFit="1" customWidth="1" outlineLevel="1"/>
    <col min="36" max="36" width="11.28515625" style="68" bestFit="1" customWidth="1" outlineLevel="1"/>
    <col min="37" max="37" width="13.5703125" style="42" bestFit="1" customWidth="1" outlineLevel="1"/>
    <col min="38" max="38" width="10.7109375" style="42" bestFit="1" customWidth="1" outlineLevel="1"/>
    <col min="39" max="39" width="1.85546875" bestFit="1" customWidth="1"/>
    <col min="40" max="40" width="11.5703125" style="42" bestFit="1" customWidth="1" outlineLevel="1"/>
    <col min="41" max="41" width="11.28515625" style="68" bestFit="1" customWidth="1" outlineLevel="1"/>
    <col min="42" max="42" width="13.5703125" style="42" bestFit="1" customWidth="1" outlineLevel="1"/>
    <col min="43" max="43" width="10.7109375" style="42" bestFit="1" customWidth="1" outlineLevel="1"/>
    <col min="44" max="44" width="1.85546875" bestFit="1" customWidth="1"/>
    <col min="45" max="45" width="10.42578125" style="42" bestFit="1" customWidth="1" outlineLevel="1"/>
    <col min="46" max="50" width="11.42578125" style="42" outlineLevel="1"/>
    <col min="51" max="51" width="3.7109375" style="68" customWidth="1" outlineLevel="1"/>
    <col min="52" max="52" width="11.5703125" style="42" outlineLevel="1"/>
    <col min="53" max="53" width="1.7109375" customWidth="1"/>
    <col min="54" max="54" width="11.5703125" style="42" customWidth="1" outlineLevel="1"/>
    <col min="55" max="55" width="11.5703125" style="68" hidden="1" customWidth="1" outlineLevel="1"/>
    <col min="56" max="56" width="11.5703125" style="42" customWidth="1" outlineLevel="1"/>
    <col min="57" max="57" width="1.7109375" customWidth="1"/>
    <col min="58" max="58" width="11.5703125" style="42" customWidth="1" outlineLevel="1"/>
    <col min="59" max="59" width="11.5703125" style="68" hidden="1" customWidth="1" outlineLevel="1"/>
    <col min="60" max="60" width="11.5703125" style="42" customWidth="1" outlineLevel="1"/>
    <col min="61" max="61" width="1.7109375" customWidth="1"/>
    <col min="62" max="65" width="11.5703125" style="75"/>
  </cols>
  <sheetData>
    <row r="1" spans="1:65" x14ac:dyDescent="0.25">
      <c r="R1" s="75"/>
      <c r="S1" s="429"/>
      <c r="Y1" s="42" t="s">
        <v>13</v>
      </c>
      <c r="Z1" s="42" t="s">
        <v>13</v>
      </c>
      <c r="AA1" s="42" t="s">
        <v>13</v>
      </c>
      <c r="AB1" s="42" t="s">
        <v>13</v>
      </c>
      <c r="AC1" s="42" t="s">
        <v>13</v>
      </c>
      <c r="AD1" s="42" t="s">
        <v>13</v>
      </c>
      <c r="AE1" s="70" t="s">
        <v>447</v>
      </c>
      <c r="AI1" s="42" t="s">
        <v>27</v>
      </c>
      <c r="AJ1" s="70" t="s">
        <v>447</v>
      </c>
      <c r="AN1" s="42" t="s">
        <v>38</v>
      </c>
      <c r="AO1" s="70" t="s">
        <v>447</v>
      </c>
      <c r="AS1" s="42" t="s">
        <v>13</v>
      </c>
      <c r="AT1" s="42" t="s">
        <v>13</v>
      </c>
      <c r="AU1" s="42" t="s">
        <v>13</v>
      </c>
      <c r="AV1" s="42" t="s">
        <v>13</v>
      </c>
      <c r="AW1" s="42" t="s">
        <v>13</v>
      </c>
      <c r="AX1" s="42" t="s">
        <v>13</v>
      </c>
      <c r="AY1" s="70" t="s">
        <v>447</v>
      </c>
      <c r="BB1" s="42" t="s">
        <v>27</v>
      </c>
      <c r="BC1" s="70" t="s">
        <v>447</v>
      </c>
      <c r="BF1" s="42" t="s">
        <v>38</v>
      </c>
      <c r="BG1" s="70" t="s">
        <v>447</v>
      </c>
    </row>
    <row r="2" spans="1:65" ht="15.75" thickBot="1" x14ac:dyDescent="0.3">
      <c r="F2" t="s">
        <v>568</v>
      </c>
      <c r="G2" t="s">
        <v>568</v>
      </c>
      <c r="H2" t="s">
        <v>568</v>
      </c>
      <c r="I2" t="s">
        <v>568</v>
      </c>
      <c r="J2" t="s">
        <v>568</v>
      </c>
      <c r="K2" t="s">
        <v>568</v>
      </c>
      <c r="L2" t="s">
        <v>568</v>
      </c>
      <c r="M2" t="s">
        <v>568</v>
      </c>
      <c r="N2" t="s">
        <v>568</v>
      </c>
      <c r="O2" t="s">
        <v>568</v>
      </c>
      <c r="P2" t="s">
        <v>568</v>
      </c>
      <c r="Q2" t="s">
        <v>568</v>
      </c>
      <c r="R2" t="s">
        <v>568</v>
      </c>
      <c r="S2" t="s">
        <v>568</v>
      </c>
      <c r="T2" t="s">
        <v>568</v>
      </c>
      <c r="U2" t="s">
        <v>568</v>
      </c>
      <c r="V2" t="s">
        <v>568</v>
      </c>
      <c r="W2" t="s">
        <v>568</v>
      </c>
      <c r="X2" t="s">
        <v>568</v>
      </c>
      <c r="Y2" t="s">
        <v>568</v>
      </c>
      <c r="Z2" t="s">
        <v>568</v>
      </c>
      <c r="AA2" t="s">
        <v>568</v>
      </c>
      <c r="AB2" t="s">
        <v>568</v>
      </c>
      <c r="AC2" t="s">
        <v>568</v>
      </c>
      <c r="AD2" t="s">
        <v>568</v>
      </c>
      <c r="AE2" t="s">
        <v>568</v>
      </c>
      <c r="AF2" t="s">
        <v>568</v>
      </c>
      <c r="AG2" t="s">
        <v>568</v>
      </c>
      <c r="AH2" t="s">
        <v>568</v>
      </c>
      <c r="AI2" t="s">
        <v>568</v>
      </c>
      <c r="AJ2" t="s">
        <v>568</v>
      </c>
      <c r="AK2" t="s">
        <v>568</v>
      </c>
      <c r="AL2" t="s">
        <v>568</v>
      </c>
      <c r="AM2" t="s">
        <v>568</v>
      </c>
      <c r="AN2" t="s">
        <v>568</v>
      </c>
      <c r="AO2" t="s">
        <v>568</v>
      </c>
      <c r="AP2" t="s">
        <v>568</v>
      </c>
      <c r="AQ2" t="s">
        <v>568</v>
      </c>
      <c r="AR2" t="s">
        <v>568</v>
      </c>
      <c r="AS2" t="s">
        <v>568</v>
      </c>
      <c r="AT2" t="s">
        <v>568</v>
      </c>
      <c r="AU2" t="s">
        <v>568</v>
      </c>
      <c r="AV2" t="s">
        <v>568</v>
      </c>
      <c r="AW2" t="s">
        <v>568</v>
      </c>
      <c r="AX2" t="s">
        <v>568</v>
      </c>
      <c r="AY2" t="s">
        <v>568</v>
      </c>
      <c r="AZ2">
        <f>COUNTIF(F2:AY2,"x")+1</f>
        <v>47</v>
      </c>
    </row>
    <row r="3" spans="1:65" ht="15.75" thickBot="1" x14ac:dyDescent="0.3">
      <c r="D3" s="98"/>
      <c r="E3" s="98"/>
      <c r="F3" s="99"/>
      <c r="G3" s="99"/>
      <c r="H3" s="99"/>
      <c r="I3" s="98"/>
      <c r="J3" s="98"/>
      <c r="K3" s="98"/>
      <c r="L3" s="98"/>
      <c r="M3" s="98"/>
      <c r="N3" s="98"/>
      <c r="P3" s="99"/>
      <c r="Q3" s="99"/>
      <c r="R3" s="99"/>
      <c r="S3" s="99"/>
      <c r="W3" s="99"/>
      <c r="Y3" s="44" t="s">
        <v>13</v>
      </c>
      <c r="Z3" s="44" t="s">
        <v>13</v>
      </c>
      <c r="AA3" s="44" t="s">
        <v>13</v>
      </c>
      <c r="AB3" s="44" t="s">
        <v>13</v>
      </c>
      <c r="AC3" s="44" t="s">
        <v>13</v>
      </c>
      <c r="AD3" s="44" t="s">
        <v>13</v>
      </c>
      <c r="AE3" s="69"/>
      <c r="AF3" s="44"/>
      <c r="AG3" s="45"/>
      <c r="AI3" s="44" t="s">
        <v>27</v>
      </c>
      <c r="AJ3" s="69"/>
      <c r="AK3" s="44"/>
      <c r="AL3" s="45"/>
      <c r="AN3" s="44" t="s">
        <v>38</v>
      </c>
      <c r="AO3" s="69"/>
      <c r="AP3" s="44"/>
      <c r="AQ3" s="45"/>
      <c r="AS3" s="44" t="s">
        <v>13</v>
      </c>
      <c r="AT3" s="44" t="s">
        <v>13</v>
      </c>
      <c r="AU3" s="44" t="s">
        <v>13</v>
      </c>
      <c r="AV3" s="44" t="s">
        <v>13</v>
      </c>
      <c r="AW3" s="44" t="s">
        <v>13</v>
      </c>
      <c r="AX3" s="44" t="s">
        <v>13</v>
      </c>
      <c r="AY3" s="69"/>
      <c r="AZ3" s="44"/>
      <c r="BB3" s="44" t="s">
        <v>27</v>
      </c>
      <c r="BC3" s="69"/>
      <c r="BD3" s="44"/>
      <c r="BF3" s="44" t="s">
        <v>38</v>
      </c>
      <c r="BG3" s="69"/>
      <c r="BH3" s="44"/>
    </row>
    <row r="4" spans="1:65" ht="45.75" thickBot="1" x14ac:dyDescent="0.3">
      <c r="D4" s="63" t="s">
        <v>470</v>
      </c>
      <c r="E4" s="63" t="s">
        <v>471</v>
      </c>
      <c r="F4" s="63" t="s">
        <v>472</v>
      </c>
      <c r="G4" s="63" t="s">
        <v>367</v>
      </c>
      <c r="H4" s="63" t="s">
        <v>368</v>
      </c>
      <c r="I4" s="63" t="s">
        <v>369</v>
      </c>
      <c r="J4" s="63" t="s">
        <v>473</v>
      </c>
      <c r="K4" s="63" t="s">
        <v>474</v>
      </c>
      <c r="L4" s="46" t="s">
        <v>475</v>
      </c>
      <c r="M4" s="63" t="s">
        <v>476</v>
      </c>
      <c r="N4" s="63" t="s">
        <v>477</v>
      </c>
      <c r="O4" s="74" t="s">
        <v>478</v>
      </c>
      <c r="P4" s="77" t="s">
        <v>479</v>
      </c>
      <c r="Q4" s="77" t="s">
        <v>480</v>
      </c>
      <c r="R4" s="77" t="s">
        <v>481</v>
      </c>
      <c r="S4" s="74" t="s">
        <v>482</v>
      </c>
      <c r="T4" s="74" t="s">
        <v>483</v>
      </c>
      <c r="U4" s="74" t="s">
        <v>484</v>
      </c>
      <c r="V4" s="74" t="s">
        <v>485</v>
      </c>
      <c r="W4" s="74" t="s">
        <v>486</v>
      </c>
      <c r="X4" s="74" t="s">
        <v>487</v>
      </c>
      <c r="Y4" s="48" t="str">
        <f>'REP cout'!B4</f>
        <v>CHIC</v>
      </c>
      <c r="Z4" s="48" t="str">
        <f>'REP cout'!C4</f>
        <v>PHOENIX</v>
      </c>
      <c r="AA4" s="48" t="str">
        <f>'REP cout'!D4</f>
        <v>BIOPPIGMENT</v>
      </c>
      <c r="AB4" s="48" t="str">
        <f>'REP cout'!E4</f>
        <v>PALOMA</v>
      </c>
      <c r="AC4" s="48" t="str">
        <f>'REP cout'!F4</f>
        <v>LISA</v>
      </c>
      <c r="AD4" s="48" t="str">
        <f>'REP cout'!G4</f>
        <v>OASIS</v>
      </c>
      <c r="AE4" s="66" t="s">
        <v>456</v>
      </c>
      <c r="AF4" s="46" t="s">
        <v>488</v>
      </c>
      <c r="AG4" s="82" t="s">
        <v>469</v>
      </c>
      <c r="AI4" s="46" t="str">
        <f>'REP cout'!M32</f>
        <v>Projet 1</v>
      </c>
      <c r="AJ4" s="66" t="s">
        <v>456</v>
      </c>
      <c r="AK4" s="46" t="s">
        <v>489</v>
      </c>
      <c r="AL4" s="82" t="s">
        <v>448</v>
      </c>
      <c r="AN4" s="46" t="str">
        <f>'REP cout'!S32</f>
        <v>Nom projet</v>
      </c>
      <c r="AO4" s="66" t="s">
        <v>456</v>
      </c>
      <c r="AP4" s="46" t="s">
        <v>490</v>
      </c>
      <c r="AQ4" s="82" t="s">
        <v>491</v>
      </c>
      <c r="AS4" s="48" t="str">
        <f>'REP cout'!B4</f>
        <v>CHIC</v>
      </c>
      <c r="AT4" s="48" t="str">
        <f>'REP cout'!C4</f>
        <v>PHOENIX</v>
      </c>
      <c r="AU4" s="48" t="str">
        <f>'REP cout'!D4</f>
        <v>BIOPPIGMENT</v>
      </c>
      <c r="AV4" s="48" t="str">
        <f>'REP cout'!E4</f>
        <v>PALOMA</v>
      </c>
      <c r="AW4" s="48" t="str">
        <f>'REP cout'!F4</f>
        <v>LISA</v>
      </c>
      <c r="AX4" s="48" t="str">
        <f>'REP cout'!G4</f>
        <v>OASIS</v>
      </c>
      <c r="AY4" s="66" t="s">
        <v>456</v>
      </c>
      <c r="AZ4" s="46" t="s">
        <v>492</v>
      </c>
      <c r="BB4" s="46" t="str">
        <f>AI4</f>
        <v>Projet 1</v>
      </c>
      <c r="BC4" s="66" t="s">
        <v>456</v>
      </c>
      <c r="BD4" s="46" t="s">
        <v>493</v>
      </c>
      <c r="BF4" s="46" t="str">
        <f>AN4</f>
        <v>Nom projet</v>
      </c>
      <c r="BG4" s="66" t="s">
        <v>456</v>
      </c>
      <c r="BH4" s="46" t="s">
        <v>494</v>
      </c>
      <c r="BJ4" s="91" t="s">
        <v>495</v>
      </c>
      <c r="BK4" s="91" t="s">
        <v>496</v>
      </c>
      <c r="BL4" s="91" t="s">
        <v>497</v>
      </c>
      <c r="BM4" s="91" t="s">
        <v>498</v>
      </c>
    </row>
    <row r="5" spans="1:65" ht="15.75" x14ac:dyDescent="0.3">
      <c r="A5" s="111"/>
      <c r="D5" s="84" t="b">
        <v>0</v>
      </c>
      <c r="E5" s="83" t="b">
        <v>0</v>
      </c>
      <c r="F5" s="11" t="s">
        <v>1399</v>
      </c>
      <c r="G5" s="11" t="s">
        <v>1354</v>
      </c>
      <c r="H5" s="11" t="s">
        <v>1237</v>
      </c>
      <c r="I5" s="11" t="s">
        <v>1156</v>
      </c>
      <c r="J5" s="11"/>
      <c r="K5" s="11"/>
      <c r="L5" s="11" t="s">
        <v>64</v>
      </c>
      <c r="M5" s="94">
        <v>45950</v>
      </c>
      <c r="N5" s="94"/>
      <c r="O5" s="171">
        <f>IF(AND(VALO_PERSO!M76&lt;=parametrage!$A$13,ISBLANK(VALO_PERSO!N76)),100%,IF(AND(VALO_PERSO!M76&gt;=parametrage!$A$13,ISBLANK(VALO_PERSO!N76)),((parametrage!$A$14-VALO_PERSO!M76+1)/365),IF(AND(VALO_PERSO!M76&lt;=parametrage!$A$13,AND(VALO_PERSO!N76&gt;parametrage!$A$13,VALO_PERSO!N76&lt;=parametrage!$A$14)),((VALO_PERSO!N76-parametrage!$A$13)/365),((VALO_PERSO!N76-VALO_PERSO!M76)/365))))</f>
        <v>1</v>
      </c>
      <c r="P5" s="11">
        <f>MAD!C15</f>
        <v>6268.8600000000015</v>
      </c>
      <c r="Q5" s="11"/>
      <c r="R5" s="11">
        <f>MAD!D15</f>
        <v>2695.6098000000006</v>
      </c>
      <c r="S5" s="11">
        <f>MAD!E15</f>
        <v>2587.7854080000006</v>
      </c>
      <c r="T5" s="92">
        <f t="shared" ref="T5:T31" si="0">IFERROR(R5/P5,0)</f>
        <v>0.43</v>
      </c>
      <c r="U5" s="92">
        <f t="shared" ref="U5:U31" si="1">IFERROR(S5/R5,0)</f>
        <v>0.96</v>
      </c>
      <c r="V5" s="40">
        <f t="shared" ref="V5:V31" si="2">P5+Q5+S5</f>
        <v>8856.6454080000021</v>
      </c>
      <c r="W5" s="11">
        <f>MAD!B12</f>
        <v>342</v>
      </c>
      <c r="X5" s="40">
        <f t="shared" ref="X5:X31" si="3">IF(ISBLANK(W5),0,V5/W5)</f>
        <v>25.896624000000006</v>
      </c>
      <c r="Y5" s="11">
        <f>+VLOOKUP(F5,HRECH!A:P,7,0)</f>
        <v>0</v>
      </c>
      <c r="Z5" s="488">
        <f>+VLOOKUP(F5,HRECH!A:P,16,0)-40</f>
        <v>264</v>
      </c>
      <c r="AA5" s="488">
        <f>+VLOOKUP(F5,HRECH!A:Q,17,0)</f>
        <v>60.800000000000004</v>
      </c>
      <c r="AB5" s="11">
        <f>+VLOOKUP(F5,HRECH!A:P,11,0)</f>
        <v>0</v>
      </c>
      <c r="AC5" s="11">
        <f>+VLOOKUP(F5,HRECH!A:P,9,0)</f>
        <v>0</v>
      </c>
      <c r="AD5" s="11">
        <f>+VLOOKUP(F5,HRECH!A:P,10,0)</f>
        <v>0</v>
      </c>
      <c r="AE5" s="40"/>
      <c r="AF5" s="81">
        <f t="shared" ref="AF5:AF31" si="4">SUM(Y5:AE5)</f>
        <v>324.8</v>
      </c>
      <c r="AG5" s="93">
        <f t="shared" ref="AG5:AG31" si="5">IFERROR(AF5/W5,0)</f>
        <v>0.94970760233918128</v>
      </c>
      <c r="AI5" s="11"/>
      <c r="AJ5" s="40"/>
      <c r="AK5" s="81">
        <f t="shared" ref="AK5:AK31" si="6">SUM(AI5:AJ5)</f>
        <v>0</v>
      </c>
      <c r="AL5" s="93">
        <f t="shared" ref="AL5:AL31" si="7">IFERROR(AK5/W5,0)</f>
        <v>0</v>
      </c>
      <c r="AN5" s="11"/>
      <c r="AO5" s="40"/>
      <c r="AP5" s="81">
        <f t="shared" ref="AP5:AP31" si="8">SUM(AN5:AO5)</f>
        <v>0</v>
      </c>
      <c r="AQ5" s="93">
        <f t="shared" ref="AQ5:AQ31" si="9">IFERROR(AP5/W5,0)</f>
        <v>0</v>
      </c>
      <c r="AS5" s="28">
        <f t="shared" ref="AS5" si="10">IFERROR(Y5*$V5/$W5,0)</f>
        <v>0</v>
      </c>
      <c r="AT5" s="28">
        <f t="shared" ref="AT5" si="11">IFERROR(Z5*$V5/$W5,0)</f>
        <v>6836.7087360000014</v>
      </c>
      <c r="AU5" s="28">
        <f t="shared" ref="AU5" si="12">IFERROR(AA5*$V5/$W5,0)</f>
        <v>1574.5147392000003</v>
      </c>
      <c r="AV5" s="28">
        <f t="shared" ref="AV5" si="13">IFERROR(AB5*$V5/$W5,0)</f>
        <v>0</v>
      </c>
      <c r="AW5" s="28">
        <f t="shared" ref="AW5" si="14">IFERROR(AC5*$V5/$W5,0)</f>
        <v>0</v>
      </c>
      <c r="AX5" s="28">
        <f t="shared" ref="AX5" si="15">IFERROR(AD5*$V5/$W5,0)</f>
        <v>0</v>
      </c>
      <c r="AY5" s="40"/>
      <c r="AZ5" s="81">
        <f t="shared" ref="AZ5:AZ31" si="16">SUM(AS5:AY5)</f>
        <v>8411.2234752000022</v>
      </c>
      <c r="BB5" s="11">
        <f t="shared" ref="BB5:BB31" si="17">IFERROR(AI5*$V5/$W5,0)</f>
        <v>0</v>
      </c>
      <c r="BC5" s="40"/>
      <c r="BD5" s="81">
        <f t="shared" ref="BD5:BD31" si="18">SUM(BB5:BC5)</f>
        <v>0</v>
      </c>
      <c r="BF5" s="11">
        <f>IFERROR(AN5*$V5/$W5,0)</f>
        <v>0</v>
      </c>
      <c r="BG5" s="40"/>
      <c r="BH5" s="81">
        <f t="shared" ref="BH5:BH31" si="19">SUM(BF5:BG5)</f>
        <v>0</v>
      </c>
      <c r="BJ5" s="11">
        <f t="shared" ref="BJ5:BJ31" si="20">W5-AF5-AK5-AP5</f>
        <v>17.199999999999989</v>
      </c>
      <c r="BK5" s="11">
        <f t="shared" ref="BK5:BK31" si="21">IF(AF5&gt;0,W5,0)</f>
        <v>342</v>
      </c>
      <c r="BL5" s="11">
        <f t="shared" ref="BL5:BL31" si="22">IF(AK5&gt;0,W5,0)</f>
        <v>0</v>
      </c>
      <c r="BM5" s="11">
        <f t="shared" ref="BM5:BM31" si="23">IF(AP5&gt;0,W5,0)</f>
        <v>0</v>
      </c>
    </row>
    <row r="6" spans="1:65" ht="15.75" x14ac:dyDescent="0.3">
      <c r="A6" s="111"/>
      <c r="B6" s="59">
        <f t="shared" ref="B6:B31" si="24">IFERROR(IF((AG6+AL6+AQ6)&gt;1,1,0),0)</f>
        <v>0</v>
      </c>
      <c r="C6" s="59">
        <f t="shared" ref="C6:C31" si="25">IFERROR(IF(AZ6+BD6+BH6&gt;V6,1,0),0)</f>
        <v>0</v>
      </c>
      <c r="D6" s="84" t="b">
        <v>1</v>
      </c>
      <c r="E6" s="83" t="b">
        <v>0</v>
      </c>
      <c r="F6" s="11">
        <v>1</v>
      </c>
      <c r="G6" s="11" t="s">
        <v>1179</v>
      </c>
      <c r="H6" s="11" t="s">
        <v>875</v>
      </c>
      <c r="I6" s="11" t="s">
        <v>1358</v>
      </c>
      <c r="J6" s="11" t="str">
        <f>VLOOKUP(F6,'Verif VS 24'!$A$5:$F$44,5,0)</f>
        <v>Doctorat - INSA Toulouse</v>
      </c>
      <c r="K6" s="11">
        <f>VLOOKUP(F6,'Verif VS 24'!$A$5:$F$44,6,0)</f>
        <v>2013</v>
      </c>
      <c r="L6" s="11" t="s">
        <v>22</v>
      </c>
      <c r="M6" s="94">
        <v>42461</v>
      </c>
      <c r="N6" s="94"/>
      <c r="O6" s="171">
        <f>IF(AND(VALO_PERSO!M48&lt;=parametrage!$A$13,ISBLANK(VALO_PERSO!N48)),100%,IF(AND(VALO_PERSO!M48&gt;=parametrage!$A$13,ISBLANK(VALO_PERSO!N48)),((parametrage!$A$14-VALO_PERSO!M48+1)/365),IF(AND(VALO_PERSO!M48&lt;=parametrage!$A$13,AND(VALO_PERSO!N48&gt;parametrage!$A$13,VALO_PERSO!N48&lt;=parametrage!$A$14)),((VALO_PERSO!N48-parametrage!$A$13)/365),((VALO_PERSO!N48-VALO_PERSO!M48)/365))))</f>
        <v>0.33424657534246577</v>
      </c>
      <c r="P6" s="11">
        <f>VLOOKUP(F6,'Fichier pour valo'!A:I,6,0)</f>
        <v>61368.02</v>
      </c>
      <c r="Q6" s="11">
        <f>VLOOKUP(F6,'Fichier pour valo'!A:I,4,0)</f>
        <v>303</v>
      </c>
      <c r="R6" s="11">
        <f>VLOOKUP(F6,'Fichier pour valo'!A:I,8,0)</f>
        <v>25870.229999999996</v>
      </c>
      <c r="S6" s="11">
        <f>VLOOKUP(F6,'Fichier pour valo'!A:I,5,0)</f>
        <v>24852.179999999993</v>
      </c>
      <c r="T6" s="92">
        <f t="shared" si="0"/>
        <v>0.42155881842040849</v>
      </c>
      <c r="U6" s="92">
        <f t="shared" si="1"/>
        <v>0.96064781797455978</v>
      </c>
      <c r="V6" s="40">
        <f t="shared" si="2"/>
        <v>86523.199999999983</v>
      </c>
      <c r="W6" s="11">
        <f>VLOOKUP(F6,'Fichier pour valo'!A:I,9,0)</f>
        <v>1691.04</v>
      </c>
      <c r="X6" s="40">
        <f t="shared" si="3"/>
        <v>51.165673195193484</v>
      </c>
      <c r="Y6" s="11">
        <f>+VLOOKUP(F6,HRECH!A:P,7,0)</f>
        <v>296.40000000000009</v>
      </c>
      <c r="Z6" s="11">
        <f>+VLOOKUP(F6,HRECH!A:P,16,0)</f>
        <v>1184.9200000000019</v>
      </c>
      <c r="AA6" s="11">
        <f>+VLOOKUP(F6,HRECH!A:Q,17,0)</f>
        <v>0</v>
      </c>
      <c r="AB6" s="11">
        <f>+VLOOKUP(F6,HRECH!A:P,11,0)</f>
        <v>0</v>
      </c>
      <c r="AC6" s="11">
        <f>+VLOOKUP(F6,HRECH!A:P,9,0)</f>
        <v>0</v>
      </c>
      <c r="AD6" s="11">
        <f>+VLOOKUP(F6,HRECH!A:P,10,0)</f>
        <v>0</v>
      </c>
      <c r="AE6" s="40"/>
      <c r="AF6" s="81">
        <f t="shared" si="4"/>
        <v>1481.320000000002</v>
      </c>
      <c r="AG6" s="93">
        <f t="shared" si="5"/>
        <v>0.87598164443183013</v>
      </c>
      <c r="AI6" s="11"/>
      <c r="AJ6" s="40"/>
      <c r="AK6" s="81">
        <f t="shared" si="6"/>
        <v>0</v>
      </c>
      <c r="AL6" s="93">
        <f t="shared" si="7"/>
        <v>0</v>
      </c>
      <c r="AN6" s="11"/>
      <c r="AO6" s="40"/>
      <c r="AP6" s="81">
        <f t="shared" si="8"/>
        <v>0</v>
      </c>
      <c r="AQ6" s="93">
        <f t="shared" si="9"/>
        <v>0</v>
      </c>
      <c r="AS6" s="28">
        <f t="shared" ref="AS6" si="26">IFERROR(Y6*$V6/$W6,0)</f>
        <v>15165.505535055354</v>
      </c>
      <c r="AT6" s="28">
        <f t="shared" ref="AT6" si="27">IFERROR(Z6*$V6/$W6,0)</f>
        <v>60627.229482448754</v>
      </c>
      <c r="AU6" s="28">
        <f t="shared" ref="AU6" si="28">IFERROR(AA6*$V6/$W6,0)</f>
        <v>0</v>
      </c>
      <c r="AV6" s="28">
        <f t="shared" ref="AV6" si="29">IFERROR(AB6*$V6/$W6,0)</f>
        <v>0</v>
      </c>
      <c r="AW6" s="28">
        <f t="shared" ref="AW6" si="30">IFERROR(AC6*$V6/$W6,0)</f>
        <v>0</v>
      </c>
      <c r="AX6" s="28">
        <f t="shared" ref="AX6" si="31">IFERROR(AD6*$V6/$W6,0)</f>
        <v>0</v>
      </c>
      <c r="AY6" s="40"/>
      <c r="AZ6" s="81">
        <f t="shared" si="16"/>
        <v>75792.735017504107</v>
      </c>
      <c r="BB6" s="11">
        <f t="shared" si="17"/>
        <v>0</v>
      </c>
      <c r="BC6" s="40"/>
      <c r="BD6" s="81">
        <f t="shared" si="18"/>
        <v>0</v>
      </c>
      <c r="BF6" s="11">
        <f>IFERROR(AM6*$V6/$W6,0)</f>
        <v>0</v>
      </c>
      <c r="BG6" s="40"/>
      <c r="BH6" s="81">
        <f t="shared" si="19"/>
        <v>0</v>
      </c>
      <c r="BJ6" s="11">
        <f t="shared" si="20"/>
        <v>209.71999999999798</v>
      </c>
      <c r="BK6" s="11">
        <f t="shared" si="21"/>
        <v>1691.04</v>
      </c>
      <c r="BL6" s="11">
        <f t="shared" si="22"/>
        <v>0</v>
      </c>
      <c r="BM6" s="11">
        <f t="shared" si="23"/>
        <v>0</v>
      </c>
    </row>
    <row r="7" spans="1:65" ht="15.75" x14ac:dyDescent="0.3">
      <c r="B7" s="59">
        <f t="shared" si="24"/>
        <v>0</v>
      </c>
      <c r="C7" s="59">
        <f t="shared" si="25"/>
        <v>0</v>
      </c>
      <c r="D7" s="84" t="b">
        <v>1</v>
      </c>
      <c r="E7" s="83" t="b">
        <v>0</v>
      </c>
      <c r="F7" s="11">
        <v>4</v>
      </c>
      <c r="G7" s="11" t="s">
        <v>1182</v>
      </c>
      <c r="H7" s="11" t="s">
        <v>880</v>
      </c>
      <c r="I7" s="11" t="s">
        <v>1362</v>
      </c>
      <c r="J7" s="11" t="str">
        <f>VLOOKUP(F7,'Verif VS 24'!$A$5:$F$44,5,0)</f>
        <v>Doctorat - Biotechnologie, microbilogie - Université Montpellier II</v>
      </c>
      <c r="K7" s="11">
        <f>VLOOKUP(F7,'Verif VS 24'!$A$5:$F$44,6,0)</f>
        <v>2013</v>
      </c>
      <c r="L7" s="11" t="s">
        <v>22</v>
      </c>
      <c r="M7" s="94">
        <v>42552</v>
      </c>
      <c r="N7" s="94"/>
      <c r="O7" s="171">
        <f>IF(AND(VALO_PERSO!M65&lt;=parametrage!$A$13,ISBLANK(VALO_PERSO!N65)),100%,IF(AND(VALO_PERSO!M65&gt;=parametrage!$A$13,ISBLANK(VALO_PERSO!N65)),((parametrage!$A$14-VALO_PERSO!M65+1)/365),IF(AND(VALO_PERSO!M65&lt;=parametrage!$A$13,AND(VALO_PERSO!N65&gt;parametrage!$A$13,VALO_PERSO!N65&lt;=parametrage!$A$14)),((VALO_PERSO!N65-parametrage!$A$13)/365),((VALO_PERSO!N65-VALO_PERSO!M65)/365))))</f>
        <v>1</v>
      </c>
      <c r="P7" s="11">
        <f>VLOOKUP(F7,'Fichier pour valo'!A:I,6,0)</f>
        <v>68495.59</v>
      </c>
      <c r="Q7" s="11">
        <f>VLOOKUP(F7,'Fichier pour valo'!A:I,4,0)</f>
        <v>815.5</v>
      </c>
      <c r="R7" s="11">
        <f>VLOOKUP(F7,'Fichier pour valo'!A:I,8,0)</f>
        <v>28419.450000000004</v>
      </c>
      <c r="S7" s="11">
        <f>VLOOKUP(F7,'Fichier pour valo'!A:I,5,0)</f>
        <v>27288.7</v>
      </c>
      <c r="T7" s="92">
        <f t="shared" si="0"/>
        <v>0.41490919342398547</v>
      </c>
      <c r="U7" s="92">
        <f t="shared" si="1"/>
        <v>0.96021210825684511</v>
      </c>
      <c r="V7" s="40">
        <f t="shared" si="2"/>
        <v>96599.79</v>
      </c>
      <c r="W7" s="11">
        <f>VLOOKUP(F7,'Fichier pour valo'!A:I,9,0)</f>
        <v>1679.64</v>
      </c>
      <c r="X7" s="40">
        <f t="shared" si="3"/>
        <v>57.512199042651993</v>
      </c>
      <c r="Y7" s="11">
        <f>+VLOOKUP(F7,HRECH!A:P,7,0)</f>
        <v>665.00000000000148</v>
      </c>
      <c r="Z7" s="11">
        <f>+VLOOKUP(F7,HRECH!A:P,16,0)</f>
        <v>406.60000000000076</v>
      </c>
      <c r="AA7" s="11">
        <f>+VLOOKUP(F7,HRECH!A:Q,17,0)</f>
        <v>0</v>
      </c>
      <c r="AB7" s="11">
        <f>+VLOOKUP(F7,HRECH!A:P,11,0)</f>
        <v>243.20000000000016</v>
      </c>
      <c r="AC7" s="11">
        <f>+VLOOKUP(F7,HRECH!A:P,9,0)</f>
        <v>216.60000000000011</v>
      </c>
      <c r="AD7" s="11">
        <f>+VLOOKUP(F7,HRECH!A:P,10,0)</f>
        <v>0</v>
      </c>
      <c r="AE7" s="40"/>
      <c r="AF7" s="81">
        <f t="shared" si="4"/>
        <v>1531.4000000000026</v>
      </c>
      <c r="AG7" s="93">
        <f t="shared" si="5"/>
        <v>0.9117429925460232</v>
      </c>
      <c r="AI7" s="11"/>
      <c r="AJ7" s="40"/>
      <c r="AK7" s="81">
        <f t="shared" si="6"/>
        <v>0</v>
      </c>
      <c r="AL7" s="93">
        <f t="shared" si="7"/>
        <v>0</v>
      </c>
      <c r="AN7" s="11"/>
      <c r="AO7" s="40"/>
      <c r="AP7" s="81">
        <f t="shared" si="8"/>
        <v>0</v>
      </c>
      <c r="AQ7" s="93">
        <f t="shared" si="9"/>
        <v>0</v>
      </c>
      <c r="AS7" s="28">
        <f t="shared" ref="AS7:AS16" si="32">IFERROR(Y7*$V7/$W7,0)</f>
        <v>38245.61236336366</v>
      </c>
      <c r="AT7" s="28">
        <f t="shared" ref="AT7:AT31" si="33">IFERROR(Z7*$V7/$W7,0)</f>
        <v>23384.460130742344</v>
      </c>
      <c r="AU7" s="28">
        <f t="shared" ref="AU7:AU31" si="34">IFERROR(AA7*$V7/$W7,0)</f>
        <v>0</v>
      </c>
      <c r="AV7" s="28">
        <f t="shared" ref="AV7:AV31" si="35">IFERROR(AB7*$V7/$W7,0)</f>
        <v>13986.966807172974</v>
      </c>
      <c r="AW7" s="28">
        <f t="shared" ref="AW7:AW31" si="36">IFERROR(AC7*$V7/$W7,0)</f>
        <v>12457.142312638427</v>
      </c>
      <c r="AX7" s="28">
        <f t="shared" ref="AX7:AX31" si="37">IFERROR(AD7*$V7/$W7,0)</f>
        <v>0</v>
      </c>
      <c r="AY7" s="40"/>
      <c r="AZ7" s="81">
        <f t="shared" si="16"/>
        <v>88074.181613917404</v>
      </c>
      <c r="BB7" s="11">
        <f t="shared" si="17"/>
        <v>0</v>
      </c>
      <c r="BC7" s="40"/>
      <c r="BD7" s="81">
        <f t="shared" si="18"/>
        <v>0</v>
      </c>
      <c r="BF7" s="11">
        <f t="shared" ref="BF7:BF32" si="38">IFERROR(AN7*$V7/$W7,0)</f>
        <v>0</v>
      </c>
      <c r="BG7" s="40"/>
      <c r="BH7" s="81">
        <f t="shared" si="19"/>
        <v>0</v>
      </c>
      <c r="BJ7" s="11">
        <f t="shared" si="20"/>
        <v>148.23999999999751</v>
      </c>
      <c r="BK7" s="11">
        <f t="shared" si="21"/>
        <v>1679.64</v>
      </c>
      <c r="BL7" s="11">
        <f t="shared" si="22"/>
        <v>0</v>
      </c>
      <c r="BM7" s="11">
        <f t="shared" si="23"/>
        <v>0</v>
      </c>
    </row>
    <row r="8" spans="1:65" ht="15.75" x14ac:dyDescent="0.3">
      <c r="B8" s="59">
        <f t="shared" si="24"/>
        <v>0</v>
      </c>
      <c r="C8" s="59">
        <f t="shared" si="25"/>
        <v>0</v>
      </c>
      <c r="D8" s="84" t="b">
        <v>1</v>
      </c>
      <c r="E8" s="83" t="b">
        <v>0</v>
      </c>
      <c r="F8" s="11">
        <v>5</v>
      </c>
      <c r="G8" s="11" t="s">
        <v>883</v>
      </c>
      <c r="H8" s="493" t="s">
        <v>884</v>
      </c>
      <c r="I8" s="11" t="s">
        <v>885</v>
      </c>
      <c r="J8" s="11" t="str">
        <f>VLOOKUP(F8,'Verif VS 24'!$A$5:$F$44,5,0)</f>
        <v>Doctorat Chimie moleculaire- Université Paris VI</v>
      </c>
      <c r="K8" s="11">
        <f>VLOOKUP(F8,'Verif VS 24'!$A$5:$F$44,6,0)</f>
        <v>2016</v>
      </c>
      <c r="L8" s="11" t="s">
        <v>22</v>
      </c>
      <c r="M8" s="94">
        <v>42678</v>
      </c>
      <c r="N8" s="94"/>
      <c r="O8" s="171">
        <f>IF(AND(VALO_PERSO!M55&lt;=parametrage!$A$13,ISBLANK(VALO_PERSO!N55)),100%,IF(AND(VALO_PERSO!M55&gt;=parametrage!$A$13,ISBLANK(VALO_PERSO!N55)),((parametrage!$A$14-VALO_PERSO!M55+1)/365),IF(AND(VALO_PERSO!M55&lt;=parametrage!$A$13,AND(VALO_PERSO!N55&gt;parametrage!$A$13,VALO_PERSO!N55&lt;=parametrage!$A$14)),((VALO_PERSO!N55-parametrage!$A$13)/365),((VALO_PERSO!N55-VALO_PERSO!M55)/365))))</f>
        <v>1</v>
      </c>
      <c r="P8" s="11">
        <f>VLOOKUP(F8,'Fichier pour valo'!A:I,6,0)</f>
        <v>136214.53</v>
      </c>
      <c r="Q8" s="11">
        <f>VLOOKUP(F8,'Fichier pour valo'!A:I,4,0)</f>
        <v>266.39999999999998</v>
      </c>
      <c r="R8" s="11">
        <f>VLOOKUP(F8,'Fichier pour valo'!A:I,8,0)</f>
        <v>59127.3</v>
      </c>
      <c r="S8" s="11">
        <f>VLOOKUP(F8,'Fichier pour valo'!A:I,5,0)</f>
        <v>56925.240000000005</v>
      </c>
      <c r="T8" s="92">
        <f t="shared" si="0"/>
        <v>0.43407483768434985</v>
      </c>
      <c r="U8" s="92">
        <f t="shared" si="1"/>
        <v>0.96275730500124312</v>
      </c>
      <c r="V8" s="40">
        <f t="shared" si="2"/>
        <v>193406.16999999998</v>
      </c>
      <c r="W8" s="11">
        <f>VLOOKUP(F8,'Fichier pour valo'!A:I,9,0)</f>
        <v>1628.97</v>
      </c>
      <c r="X8" s="40">
        <f t="shared" si="3"/>
        <v>118.72911717220083</v>
      </c>
      <c r="Y8" s="11">
        <f>Y61</f>
        <v>81.448499999999967</v>
      </c>
      <c r="Z8" s="11">
        <f t="shared" ref="Z8:AD8" si="39">Z61</f>
        <v>244.3455000000001</v>
      </c>
      <c r="AA8" s="11">
        <f t="shared" si="39"/>
        <v>244.3455000000001</v>
      </c>
      <c r="AB8" s="11">
        <f t="shared" si="39"/>
        <v>81.448499999999967</v>
      </c>
      <c r="AC8" s="11">
        <f t="shared" si="39"/>
        <v>0</v>
      </c>
      <c r="AD8" s="11">
        <f t="shared" si="39"/>
        <v>0</v>
      </c>
      <c r="AE8" s="40"/>
      <c r="AF8" s="81">
        <f t="shared" si="4"/>
        <v>651.58800000000019</v>
      </c>
      <c r="AG8" s="93">
        <f t="shared" si="5"/>
        <v>0.40000000000000013</v>
      </c>
      <c r="AI8" s="11"/>
      <c r="AJ8" s="40"/>
      <c r="AK8" s="81">
        <f t="shared" si="6"/>
        <v>0</v>
      </c>
      <c r="AL8" s="93">
        <f t="shared" si="7"/>
        <v>0</v>
      </c>
      <c r="AN8" s="11"/>
      <c r="AO8" s="40"/>
      <c r="AP8" s="81">
        <f t="shared" si="8"/>
        <v>0</v>
      </c>
      <c r="AQ8" s="93">
        <f t="shared" si="9"/>
        <v>0</v>
      </c>
      <c r="AS8" s="28">
        <f t="shared" si="32"/>
        <v>9670.3084999999955</v>
      </c>
      <c r="AT8" s="28">
        <f t="shared" si="33"/>
        <v>29010.925500000012</v>
      </c>
      <c r="AU8" s="28">
        <f t="shared" si="34"/>
        <v>29010.925500000012</v>
      </c>
      <c r="AV8" s="28">
        <f t="shared" si="35"/>
        <v>9670.3084999999955</v>
      </c>
      <c r="AW8" s="28">
        <f t="shared" si="36"/>
        <v>0</v>
      </c>
      <c r="AX8" s="28">
        <f t="shared" si="37"/>
        <v>0</v>
      </c>
      <c r="AY8" s="40"/>
      <c r="AZ8" s="81">
        <f t="shared" si="16"/>
        <v>77362.468000000023</v>
      </c>
      <c r="BB8" s="11">
        <f t="shared" si="17"/>
        <v>0</v>
      </c>
      <c r="BC8" s="40"/>
      <c r="BD8" s="81">
        <f t="shared" si="18"/>
        <v>0</v>
      </c>
      <c r="BF8" s="11">
        <f t="shared" si="38"/>
        <v>0</v>
      </c>
      <c r="BG8" s="40"/>
      <c r="BH8" s="81">
        <f t="shared" si="19"/>
        <v>0</v>
      </c>
      <c r="BJ8" s="11">
        <f t="shared" si="20"/>
        <v>977.38199999999983</v>
      </c>
      <c r="BK8" s="11">
        <f t="shared" si="21"/>
        <v>1628.97</v>
      </c>
      <c r="BL8" s="11">
        <f t="shared" si="22"/>
        <v>0</v>
      </c>
      <c r="BM8" s="11">
        <f t="shared" si="23"/>
        <v>0</v>
      </c>
    </row>
    <row r="9" spans="1:65" ht="15.75" x14ac:dyDescent="0.3">
      <c r="B9" s="59">
        <f t="shared" si="24"/>
        <v>0</v>
      </c>
      <c r="C9" s="59">
        <f t="shared" si="25"/>
        <v>0</v>
      </c>
      <c r="D9" s="84" t="b">
        <v>1</v>
      </c>
      <c r="E9" s="83" t="b">
        <v>0</v>
      </c>
      <c r="F9" s="11">
        <v>6</v>
      </c>
      <c r="G9" s="11" t="s">
        <v>888</v>
      </c>
      <c r="H9" s="11" t="s">
        <v>889</v>
      </c>
      <c r="I9" s="11" t="s">
        <v>1362</v>
      </c>
      <c r="J9" s="11" t="str">
        <f>VLOOKUP(F9,'Verif VS 24'!$A$5:$F$44,5,0)</f>
        <v>Doctorat - Pharmacognosie - Université Paris Descartes</v>
      </c>
      <c r="K9" s="11">
        <f>VLOOKUP(F9,'Verif VS 24'!$A$5:$F$44,6,0)</f>
        <v>2015</v>
      </c>
      <c r="L9" s="11" t="s">
        <v>22</v>
      </c>
      <c r="M9" s="94">
        <v>42979</v>
      </c>
      <c r="N9" s="94"/>
      <c r="O9" s="171">
        <f>IF(AND(VALO_PERSO!M64&lt;=parametrage!$A$13,ISBLANK(VALO_PERSO!N64)),100%,IF(AND(VALO_PERSO!M64&gt;=parametrage!$A$13,ISBLANK(VALO_PERSO!N64)),((parametrage!$A$14-VALO_PERSO!M64+1)/365),IF(AND(VALO_PERSO!M64&lt;=parametrage!$A$13,AND(VALO_PERSO!N64&gt;parametrage!$A$13,VALO_PERSO!N64&lt;=parametrage!$A$14)),((VALO_PERSO!N64-parametrage!$A$13)/365),((VALO_PERSO!N64-VALO_PERSO!M64)/365))))</f>
        <v>1</v>
      </c>
      <c r="P9" s="11">
        <f>VLOOKUP(F9,'Fichier pour valo'!A:I,6,0)</f>
        <v>63921.65</v>
      </c>
      <c r="Q9" s="11">
        <f>VLOOKUP(F9,'Fichier pour valo'!A:I,4,0)</f>
        <v>0</v>
      </c>
      <c r="R9" s="11">
        <f>VLOOKUP(F9,'Fichier pour valo'!A:I,8,0)</f>
        <v>26920.879999999997</v>
      </c>
      <c r="S9" s="11">
        <f>VLOOKUP(F9,'Fichier pour valo'!A:I,5,0)</f>
        <v>25862.51</v>
      </c>
      <c r="T9" s="92">
        <f t="shared" si="0"/>
        <v>0.42115433503359184</v>
      </c>
      <c r="U9" s="92">
        <f t="shared" si="1"/>
        <v>0.96068590625566475</v>
      </c>
      <c r="V9" s="40">
        <f t="shared" si="2"/>
        <v>89784.16</v>
      </c>
      <c r="W9" s="11">
        <f>VLOOKUP(F9,'Fichier pour valo'!A:I,9,0)</f>
        <v>1644.1699999999998</v>
      </c>
      <c r="X9" s="40">
        <f t="shared" si="3"/>
        <v>54.60758923955553</v>
      </c>
      <c r="Y9" s="11">
        <f>+VLOOKUP(F9,HRECH!A:P,7,0)</f>
        <v>0</v>
      </c>
      <c r="Z9" s="11">
        <f>+VLOOKUP(F9,HRECH!A:P,16,0)</f>
        <v>64.599999999999994</v>
      </c>
      <c r="AA9" s="11">
        <f>+VLOOKUP(F9,HRECH!A:Q,17,0)</f>
        <v>1033.600000000002</v>
      </c>
      <c r="AB9" s="11">
        <f>+VLOOKUP(F9,HRECH!A:P,11,0)</f>
        <v>0</v>
      </c>
      <c r="AC9" s="11">
        <f>+VLOOKUP(F9,HRECH!A:P,9,0)</f>
        <v>30.4</v>
      </c>
      <c r="AD9" s="11">
        <f>+VLOOKUP(F9,HRECH!A:P,10,0)</f>
        <v>38</v>
      </c>
      <c r="AE9" s="40"/>
      <c r="AF9" s="81">
        <f t="shared" si="4"/>
        <v>1166.600000000002</v>
      </c>
      <c r="AG9" s="93">
        <f t="shared" si="5"/>
        <v>0.70953733494711746</v>
      </c>
      <c r="AI9" s="11"/>
      <c r="AJ9" s="40"/>
      <c r="AK9" s="81">
        <f t="shared" si="6"/>
        <v>0</v>
      </c>
      <c r="AL9" s="93">
        <f t="shared" si="7"/>
        <v>0</v>
      </c>
      <c r="AN9" s="11"/>
      <c r="AO9" s="40"/>
      <c r="AP9" s="81">
        <f t="shared" si="8"/>
        <v>0</v>
      </c>
      <c r="AQ9" s="93">
        <f t="shared" si="9"/>
        <v>0</v>
      </c>
      <c r="AS9" s="28">
        <f t="shared" si="32"/>
        <v>0</v>
      </c>
      <c r="AT9" s="28">
        <f t="shared" si="33"/>
        <v>3527.6502648752867</v>
      </c>
      <c r="AU9" s="28">
        <f t="shared" si="34"/>
        <v>56442.404238004696</v>
      </c>
      <c r="AV9" s="28">
        <f t="shared" si="35"/>
        <v>0</v>
      </c>
      <c r="AW9" s="28">
        <f t="shared" si="36"/>
        <v>1660.0707128824881</v>
      </c>
      <c r="AX9" s="28">
        <f t="shared" si="37"/>
        <v>2075.0883911031101</v>
      </c>
      <c r="AY9" s="40"/>
      <c r="AZ9" s="81">
        <f t="shared" si="16"/>
        <v>63705.213606865582</v>
      </c>
      <c r="BB9" s="11">
        <f t="shared" si="17"/>
        <v>0</v>
      </c>
      <c r="BC9" s="40"/>
      <c r="BD9" s="81">
        <f t="shared" si="18"/>
        <v>0</v>
      </c>
      <c r="BF9" s="11">
        <f t="shared" si="38"/>
        <v>0</v>
      </c>
      <c r="BG9" s="40"/>
      <c r="BH9" s="81">
        <f t="shared" si="19"/>
        <v>0</v>
      </c>
      <c r="BJ9" s="11">
        <f t="shared" si="20"/>
        <v>477.56999999999789</v>
      </c>
      <c r="BK9" s="11">
        <f t="shared" si="21"/>
        <v>1644.1699999999998</v>
      </c>
      <c r="BL9" s="11">
        <f t="shared" si="22"/>
        <v>0</v>
      </c>
      <c r="BM9" s="11">
        <f t="shared" si="23"/>
        <v>0</v>
      </c>
    </row>
    <row r="10" spans="1:65" ht="15.75" x14ac:dyDescent="0.3">
      <c r="B10" s="59">
        <f t="shared" si="24"/>
        <v>0</v>
      </c>
      <c r="C10" s="59">
        <f t="shared" si="25"/>
        <v>0</v>
      </c>
      <c r="D10" s="84" t="b">
        <v>1</v>
      </c>
      <c r="E10" s="83" t="b">
        <v>0</v>
      </c>
      <c r="F10" s="11">
        <v>7</v>
      </c>
      <c r="G10" s="11" t="s">
        <v>892</v>
      </c>
      <c r="H10" s="11" t="s">
        <v>893</v>
      </c>
      <c r="I10" s="11" t="s">
        <v>1359</v>
      </c>
      <c r="J10" s="11" t="str">
        <f>VLOOKUP(F10,'Verif VS 24'!$A$5:$F$44,5,0)</f>
        <v>Doctorat - Ecole Nationale supérieure de chimie de Montpellier</v>
      </c>
      <c r="K10" s="11">
        <f>VLOOKUP(F10,'Verif VS 24'!$A$5:$F$44,6,0)</f>
        <v>2016</v>
      </c>
      <c r="L10" s="11" t="s">
        <v>22</v>
      </c>
      <c r="M10" s="94">
        <v>43480</v>
      </c>
      <c r="N10" s="94"/>
      <c r="O10" s="171">
        <f>IF(AND(VALO_PERSO!M54&lt;=parametrage!$A$13,ISBLANK(VALO_PERSO!N54)),100%,IF(AND(VALO_PERSO!M54&gt;=parametrage!$A$13,ISBLANK(VALO_PERSO!N54)),((parametrage!$A$14-VALO_PERSO!M54+1)/365),IF(AND(VALO_PERSO!M54&lt;=parametrage!$A$13,AND(VALO_PERSO!N54&gt;parametrage!$A$13,VALO_PERSO!N54&lt;=parametrage!$A$14)),((VALO_PERSO!N54-parametrage!$A$13)/365),((VALO_PERSO!N54-VALO_PERSO!M54)/365))))</f>
        <v>1</v>
      </c>
      <c r="P10" s="11">
        <f>VLOOKUP(F10,'Fichier pour valo'!A:I,6,0)</f>
        <v>62989.04</v>
      </c>
      <c r="Q10" s="11">
        <f>VLOOKUP(F10,'Fichier pour valo'!A:I,4,0)</f>
        <v>0</v>
      </c>
      <c r="R10" s="11">
        <f>VLOOKUP(F10,'Fichier pour valo'!A:I,8,0)</f>
        <v>26536.83</v>
      </c>
      <c r="S10" s="11">
        <f>VLOOKUP(F10,'Fichier pour valo'!A:I,5,0)</f>
        <v>25493.239999999998</v>
      </c>
      <c r="T10" s="92">
        <f t="shared" si="0"/>
        <v>0.42129281538502572</v>
      </c>
      <c r="U10" s="92">
        <f t="shared" si="1"/>
        <v>0.96067390114041484</v>
      </c>
      <c r="V10" s="40">
        <f t="shared" si="2"/>
        <v>88482.28</v>
      </c>
      <c r="W10" s="11">
        <f>VLOOKUP(F10,'Fichier pour valo'!A:I,9,0)</f>
        <v>1649.24</v>
      </c>
      <c r="X10" s="40">
        <f t="shared" si="3"/>
        <v>53.650335912298999</v>
      </c>
      <c r="Y10" s="11">
        <f>+VLOOKUP(F10,HRECH!A:P,7,0)</f>
        <v>0</v>
      </c>
      <c r="Z10" s="11">
        <f>+VLOOKUP(F10,HRECH!A:P,16,0)</f>
        <v>0</v>
      </c>
      <c r="AA10" s="11">
        <f>+VLOOKUP(F10,HRECH!A:Q,17,0)</f>
        <v>547.20000000000095</v>
      </c>
      <c r="AB10" s="11">
        <f>+VLOOKUP(F10,HRECH!A:P,11,0)</f>
        <v>0</v>
      </c>
      <c r="AC10" s="11">
        <f>+VLOOKUP(F10,HRECH!A:P,9,0)</f>
        <v>490.20000000000078</v>
      </c>
      <c r="AD10" s="11">
        <f>+VLOOKUP(F10,HRECH!A:P,10,0)</f>
        <v>72.2</v>
      </c>
      <c r="AE10" s="40"/>
      <c r="AF10" s="81">
        <f t="shared" si="4"/>
        <v>1109.6000000000017</v>
      </c>
      <c r="AG10" s="93">
        <f t="shared" si="5"/>
        <v>0.67279474182047594</v>
      </c>
      <c r="AI10" s="11"/>
      <c r="AJ10" s="40"/>
      <c r="AK10" s="81">
        <f t="shared" si="6"/>
        <v>0</v>
      </c>
      <c r="AL10" s="93">
        <f t="shared" si="7"/>
        <v>0</v>
      </c>
      <c r="AN10" s="11"/>
      <c r="AO10" s="40"/>
      <c r="AP10" s="81">
        <f t="shared" si="8"/>
        <v>0</v>
      </c>
      <c r="AQ10" s="93">
        <f t="shared" si="9"/>
        <v>0</v>
      </c>
      <c r="AS10" s="28">
        <f t="shared" si="32"/>
        <v>0</v>
      </c>
      <c r="AT10" s="28">
        <f t="shared" si="33"/>
        <v>0</v>
      </c>
      <c r="AU10" s="28">
        <f t="shared" si="34"/>
        <v>29357.463811210066</v>
      </c>
      <c r="AV10" s="28">
        <f t="shared" si="35"/>
        <v>0</v>
      </c>
      <c r="AW10" s="28">
        <f t="shared" si="36"/>
        <v>26299.394664209012</v>
      </c>
      <c r="AX10" s="28">
        <f t="shared" si="37"/>
        <v>3873.554252867988</v>
      </c>
      <c r="AY10" s="40"/>
      <c r="AZ10" s="81">
        <f t="shared" si="16"/>
        <v>59530.412728287069</v>
      </c>
      <c r="BB10" s="11">
        <f t="shared" si="17"/>
        <v>0</v>
      </c>
      <c r="BC10" s="40"/>
      <c r="BD10" s="81">
        <f t="shared" si="18"/>
        <v>0</v>
      </c>
      <c r="BF10" s="11">
        <f t="shared" si="38"/>
        <v>0</v>
      </c>
      <c r="BG10" s="40"/>
      <c r="BH10" s="81">
        <f t="shared" si="19"/>
        <v>0</v>
      </c>
      <c r="BJ10" s="11">
        <f t="shared" si="20"/>
        <v>539.63999999999828</v>
      </c>
      <c r="BK10" s="11">
        <f t="shared" si="21"/>
        <v>1649.24</v>
      </c>
      <c r="BL10" s="11">
        <f t="shared" si="22"/>
        <v>0</v>
      </c>
      <c r="BM10" s="11">
        <f t="shared" si="23"/>
        <v>0</v>
      </c>
    </row>
    <row r="11" spans="1:65" ht="15.75" x14ac:dyDescent="0.3">
      <c r="B11" s="59">
        <f t="shared" si="24"/>
        <v>0</v>
      </c>
      <c r="C11" s="59">
        <f t="shared" si="25"/>
        <v>0</v>
      </c>
      <c r="D11" s="84" t="b">
        <v>1</v>
      </c>
      <c r="E11" s="83" t="b">
        <v>0</v>
      </c>
      <c r="F11" s="11">
        <v>8</v>
      </c>
      <c r="G11" s="11" t="s">
        <v>1183</v>
      </c>
      <c r="H11" s="11" t="s">
        <v>897</v>
      </c>
      <c r="I11" s="11" t="s">
        <v>1359</v>
      </c>
      <c r="J11" s="11" t="str">
        <f>VLOOKUP(F11,'Verif VS 24'!$A$5:$F$44,5,0)</f>
        <v>Doctorat - Chimie - Université Paris Saclay</v>
      </c>
      <c r="K11" s="11">
        <f>VLOOKUP(F11,'Verif VS 24'!$A$5:$F$44,6,0)</f>
        <v>2016</v>
      </c>
      <c r="L11" s="11" t="s">
        <v>22</v>
      </c>
      <c r="M11" s="94">
        <v>43480</v>
      </c>
      <c r="N11" s="94"/>
      <c r="O11" s="171">
        <f>IF(AND(VALO_PERSO!M79&lt;=parametrage!$A$13,ISBLANK(VALO_PERSO!N79)),100%,IF(AND(VALO_PERSO!M79&gt;=parametrage!$A$13,ISBLANK(VALO_PERSO!N79)),((parametrage!$A$14-VALO_PERSO!M79+1)/365),IF(AND(VALO_PERSO!M79&lt;=parametrage!$A$13,AND(VALO_PERSO!N79&gt;parametrage!$A$13,VALO_PERSO!N79&lt;=parametrage!$A$14)),((VALO_PERSO!N79-parametrage!$A$13)/365),((VALO_PERSO!N79-VALO_PERSO!M79)/365))))</f>
        <v>1</v>
      </c>
      <c r="P11" s="11">
        <f>VLOOKUP(F11,'Fichier pour valo'!A:I,6,0)</f>
        <v>61604.34</v>
      </c>
      <c r="Q11" s="11">
        <f>VLOOKUP(F11,'Fichier pour valo'!A:I,4,0)</f>
        <v>310.8</v>
      </c>
      <c r="R11" s="11">
        <f>VLOOKUP(F11,'Fichier pour valo'!A:I,8,0)</f>
        <v>25966.920000000002</v>
      </c>
      <c r="S11" s="11">
        <f>VLOOKUP(F11,'Fichier pour valo'!A:I,5,0)</f>
        <v>24945.119999999999</v>
      </c>
      <c r="T11" s="92">
        <f t="shared" si="0"/>
        <v>0.4215112117100841</v>
      </c>
      <c r="U11" s="92">
        <f t="shared" si="1"/>
        <v>0.9606499346091103</v>
      </c>
      <c r="V11" s="40">
        <f t="shared" si="2"/>
        <v>86860.26</v>
      </c>
      <c r="W11" s="11">
        <f>VLOOKUP(F11,'Fichier pour valo'!A:I,9,0)</f>
        <v>1672.04</v>
      </c>
      <c r="X11" s="40">
        <f t="shared" si="3"/>
        <v>51.948673476711079</v>
      </c>
      <c r="Y11" s="11">
        <f>+VLOOKUP(F11,HRECH!A:P,7,0)</f>
        <v>0</v>
      </c>
      <c r="Z11" s="11">
        <f>+VLOOKUP(F11,HRECH!A:P,16,0)</f>
        <v>216.59999999999991</v>
      </c>
      <c r="AA11" s="11">
        <f>+VLOOKUP(F11,HRECH!A:Q,17,0)</f>
        <v>1333.7999999999988</v>
      </c>
      <c r="AB11" s="11">
        <f>+VLOOKUP(F11,HRECH!A:P,11,0)</f>
        <v>0</v>
      </c>
      <c r="AC11" s="11">
        <f>+VLOOKUP(F11,HRECH!A:P,9,0)</f>
        <v>0</v>
      </c>
      <c r="AD11" s="11">
        <f>+VLOOKUP(F11,HRECH!A:P,10,0)</f>
        <v>0</v>
      </c>
      <c r="AE11" s="40"/>
      <c r="AF11" s="81">
        <f t="shared" si="4"/>
        <v>1550.3999999999987</v>
      </c>
      <c r="AG11" s="93">
        <f t="shared" si="5"/>
        <v>0.92725054424535225</v>
      </c>
      <c r="AI11" s="11"/>
      <c r="AJ11" s="40"/>
      <c r="AK11" s="81">
        <f t="shared" si="6"/>
        <v>0</v>
      </c>
      <c r="AL11" s="93">
        <f t="shared" si="7"/>
        <v>0</v>
      </c>
      <c r="AN11" s="11"/>
      <c r="AO11" s="40"/>
      <c r="AP11" s="81">
        <f t="shared" si="8"/>
        <v>0</v>
      </c>
      <c r="AQ11" s="93">
        <f t="shared" si="9"/>
        <v>0</v>
      </c>
      <c r="AS11" s="28">
        <f t="shared" si="32"/>
        <v>0</v>
      </c>
      <c r="AT11" s="28">
        <f t="shared" si="33"/>
        <v>11252.082675055617</v>
      </c>
      <c r="AU11" s="28">
        <f t="shared" si="34"/>
        <v>69289.140683237172</v>
      </c>
      <c r="AV11" s="28">
        <f t="shared" si="35"/>
        <v>0</v>
      </c>
      <c r="AW11" s="28">
        <f t="shared" si="36"/>
        <v>0</v>
      </c>
      <c r="AX11" s="28">
        <f t="shared" si="37"/>
        <v>0</v>
      </c>
      <c r="AY11" s="40"/>
      <c r="AZ11" s="81">
        <f t="shared" si="16"/>
        <v>80541.223358292787</v>
      </c>
      <c r="BB11" s="11">
        <f t="shared" si="17"/>
        <v>0</v>
      </c>
      <c r="BC11" s="40"/>
      <c r="BD11" s="81">
        <f t="shared" si="18"/>
        <v>0</v>
      </c>
      <c r="BF11" s="11">
        <f t="shared" si="38"/>
        <v>0</v>
      </c>
      <c r="BG11" s="40"/>
      <c r="BH11" s="81">
        <f t="shared" si="19"/>
        <v>0</v>
      </c>
      <c r="BJ11" s="11">
        <f t="shared" si="20"/>
        <v>121.64000000000124</v>
      </c>
      <c r="BK11" s="11">
        <f t="shared" si="21"/>
        <v>1672.04</v>
      </c>
      <c r="BL11" s="11">
        <f t="shared" si="22"/>
        <v>0</v>
      </c>
      <c r="BM11" s="11">
        <f t="shared" si="23"/>
        <v>0</v>
      </c>
    </row>
    <row r="12" spans="1:65" ht="15.75" x14ac:dyDescent="0.3">
      <c r="B12" s="59">
        <f t="shared" si="24"/>
        <v>0</v>
      </c>
      <c r="C12" s="59">
        <f t="shared" si="25"/>
        <v>0</v>
      </c>
      <c r="D12" s="84" t="b">
        <v>1</v>
      </c>
      <c r="E12" s="83" t="b">
        <v>0</v>
      </c>
      <c r="F12" s="11">
        <v>11</v>
      </c>
      <c r="G12" s="11" t="s">
        <v>900</v>
      </c>
      <c r="H12" s="11" t="s">
        <v>901</v>
      </c>
      <c r="I12" s="11" t="s">
        <v>902</v>
      </c>
      <c r="J12" s="11" t="str">
        <f>VLOOKUP(F12,'Verif VS 24'!$A$5:$F$44,5,0)</f>
        <v>Master Biochimie et biotechnologies - Université de Toulouse III</v>
      </c>
      <c r="K12" s="11">
        <f>VLOOKUP(F12,'Verif VS 24'!$A$5:$F$44,6,0)</f>
        <v>2007</v>
      </c>
      <c r="L12" s="11" t="s">
        <v>22</v>
      </c>
      <c r="M12" s="94">
        <v>43831</v>
      </c>
      <c r="N12" s="94"/>
      <c r="O12" s="171">
        <f>IF(AND(VALO_PERSO!M53&lt;=parametrage!$A$13,ISBLANK(VALO_PERSO!N53)),100%,IF(AND(VALO_PERSO!M53&gt;=parametrage!$A$13,ISBLANK(VALO_PERSO!N53)),((parametrage!$A$14-VALO_PERSO!M53+1)/365),IF(AND(VALO_PERSO!M53&lt;=parametrage!$A$13,AND(VALO_PERSO!N53&gt;parametrage!$A$13,VALO_PERSO!N53&lt;=parametrage!$A$14)),((VALO_PERSO!N53-parametrage!$A$13)/365),((VALO_PERSO!N53-VALO_PERSO!M53)/365))))</f>
        <v>1</v>
      </c>
      <c r="P12" s="11">
        <f>VLOOKUP(F12,'Fichier pour valo'!A:I,6,0)</f>
        <v>53722.94</v>
      </c>
      <c r="Q12" s="11">
        <f>VLOOKUP(F12,'Fichier pour valo'!A:I,4,0)</f>
        <v>0</v>
      </c>
      <c r="R12" s="11">
        <f>VLOOKUP(F12,'Fichier pour valo'!A:I,8,0)</f>
        <v>22338.699999999997</v>
      </c>
      <c r="S12" s="11">
        <f>VLOOKUP(F12,'Fichier pour valo'!A:I,5,0)</f>
        <v>21441.73</v>
      </c>
      <c r="T12" s="92">
        <f t="shared" si="0"/>
        <v>0.41581305863007489</v>
      </c>
      <c r="U12" s="92">
        <f t="shared" si="1"/>
        <v>0.95984681293002738</v>
      </c>
      <c r="V12" s="40">
        <f t="shared" si="2"/>
        <v>75164.67</v>
      </c>
      <c r="W12" s="11">
        <f>VLOOKUP(F12,'Fichier pour valo'!A:I,9,0)</f>
        <v>1204.6299999999999</v>
      </c>
      <c r="X12" s="40">
        <f t="shared" si="3"/>
        <v>62.396478586785989</v>
      </c>
      <c r="Y12" s="11">
        <f>+VLOOKUP(F12,HRECH!A:P,7,0)</f>
        <v>15.2</v>
      </c>
      <c r="Z12" s="11">
        <f>+VLOOKUP(F12,HRECH!A:P,16,0)</f>
        <v>0</v>
      </c>
      <c r="AA12" s="11">
        <f>+VLOOKUP(F12,HRECH!A:Q,17,0)</f>
        <v>0</v>
      </c>
      <c r="AB12" s="11">
        <f>+VLOOKUP(F12,HRECH!A:P,11,0)</f>
        <v>0</v>
      </c>
      <c r="AC12" s="11">
        <f>+VLOOKUP(F12,HRECH!A:P,9,0)</f>
        <v>1022.2000000000021</v>
      </c>
      <c r="AD12" s="11">
        <f>+VLOOKUP(F12,HRECH!A:P,10,0)</f>
        <v>0</v>
      </c>
      <c r="AE12" s="40"/>
      <c r="AF12" s="81">
        <f t="shared" si="4"/>
        <v>1037.4000000000021</v>
      </c>
      <c r="AG12" s="93">
        <f t="shared" si="5"/>
        <v>0.86117729095241047</v>
      </c>
      <c r="AI12" s="11"/>
      <c r="AJ12" s="40"/>
      <c r="AK12" s="81">
        <f t="shared" si="6"/>
        <v>0</v>
      </c>
      <c r="AL12" s="93">
        <f t="shared" si="7"/>
        <v>0</v>
      </c>
      <c r="AN12" s="11"/>
      <c r="AO12" s="40"/>
      <c r="AP12" s="81">
        <f t="shared" si="8"/>
        <v>0</v>
      </c>
      <c r="AQ12" s="93">
        <f t="shared" si="9"/>
        <v>0</v>
      </c>
      <c r="AS12" s="28">
        <f t="shared" si="32"/>
        <v>948.42647451914695</v>
      </c>
      <c r="AT12" s="28">
        <f t="shared" si="33"/>
        <v>0</v>
      </c>
      <c r="AU12" s="28">
        <f t="shared" si="34"/>
        <v>0</v>
      </c>
      <c r="AV12" s="28">
        <f t="shared" si="35"/>
        <v>0</v>
      </c>
      <c r="AW12" s="28">
        <f t="shared" si="36"/>
        <v>63781.680411412774</v>
      </c>
      <c r="AX12" s="28">
        <f t="shared" si="37"/>
        <v>0</v>
      </c>
      <c r="AY12" s="40"/>
      <c r="AZ12" s="81">
        <f t="shared" si="16"/>
        <v>64730.10688593192</v>
      </c>
      <c r="BB12" s="11">
        <f t="shared" si="17"/>
        <v>0</v>
      </c>
      <c r="BC12" s="40"/>
      <c r="BD12" s="81">
        <f t="shared" si="18"/>
        <v>0</v>
      </c>
      <c r="BF12" s="11">
        <f t="shared" si="38"/>
        <v>0</v>
      </c>
      <c r="BG12" s="40"/>
      <c r="BH12" s="81">
        <f t="shared" si="19"/>
        <v>0</v>
      </c>
      <c r="BJ12" s="11">
        <f t="shared" si="20"/>
        <v>167.22999999999774</v>
      </c>
      <c r="BK12" s="11">
        <f t="shared" si="21"/>
        <v>1204.6299999999999</v>
      </c>
      <c r="BL12" s="11">
        <f t="shared" si="22"/>
        <v>0</v>
      </c>
      <c r="BM12" s="11">
        <f t="shared" si="23"/>
        <v>0</v>
      </c>
    </row>
    <row r="13" spans="1:65" ht="15.75" x14ac:dyDescent="0.3">
      <c r="B13" s="59">
        <f t="shared" si="24"/>
        <v>0</v>
      </c>
      <c r="C13" s="59">
        <f t="shared" si="25"/>
        <v>0</v>
      </c>
      <c r="D13" s="84" t="b">
        <v>1</v>
      </c>
      <c r="E13" s="83" t="b">
        <v>0</v>
      </c>
      <c r="F13" s="11">
        <v>12</v>
      </c>
      <c r="G13" s="11" t="s">
        <v>905</v>
      </c>
      <c r="H13" s="11" t="s">
        <v>906</v>
      </c>
      <c r="I13" s="11" t="s">
        <v>907</v>
      </c>
      <c r="J13" s="11" t="str">
        <f>VLOOKUP(F13,'Verif VS 24'!$A$5:$F$44,5,0)</f>
        <v>BTS - Bioanalyses et controles - Toulouse</v>
      </c>
      <c r="K13" s="11">
        <f>VLOOKUP(F13,'Verif VS 24'!$A$5:$F$44,6,0)</f>
        <v>2015</v>
      </c>
      <c r="L13" s="11" t="s">
        <v>35</v>
      </c>
      <c r="M13" s="94">
        <v>43983</v>
      </c>
      <c r="N13" s="94"/>
      <c r="O13" s="171">
        <f>IF(AND(VALO_PERSO!M70&lt;=parametrage!$A$13,ISBLANK(VALO_PERSO!N70)),100%,IF(AND(VALO_PERSO!M70&gt;=parametrage!$A$13,ISBLANK(VALO_PERSO!N70)),((parametrage!$A$14-VALO_PERSO!M70+1)/365),IF(AND(VALO_PERSO!M70&lt;=parametrage!$A$13,AND(VALO_PERSO!N70&gt;parametrage!$A$13,VALO_PERSO!N70&lt;=parametrage!$A$14)),((VALO_PERSO!N70-parametrage!$A$13)/365),((VALO_PERSO!N70-VALO_PERSO!M70)/365))))</f>
        <v>1</v>
      </c>
      <c r="P13" s="11">
        <f>VLOOKUP(F13,'Fichier pour valo'!A:I,6,0)</f>
        <v>39845.279999999999</v>
      </c>
      <c r="Q13" s="11">
        <f>VLOOKUP(F13,'Fichier pour valo'!A:I,4,0)</f>
        <v>0</v>
      </c>
      <c r="R13" s="11">
        <f>VLOOKUP(F13,'Fichier pour valo'!A:I,8,0)</f>
        <v>14606.790000000003</v>
      </c>
      <c r="S13" s="11">
        <f>VLOOKUP(F13,'Fichier pour valo'!A:I,5,0)</f>
        <v>13950.950000000003</v>
      </c>
      <c r="T13" s="92">
        <f t="shared" si="0"/>
        <v>0.36658771126718154</v>
      </c>
      <c r="U13" s="92">
        <f t="shared" si="1"/>
        <v>0.95510033347504819</v>
      </c>
      <c r="V13" s="40">
        <f t="shared" si="2"/>
        <v>53796.23</v>
      </c>
      <c r="W13" s="11">
        <f>VLOOKUP(F13,'Fichier pour valo'!A:I,9,0)</f>
        <v>1706.24</v>
      </c>
      <c r="X13" s="40">
        <f t="shared" si="3"/>
        <v>31.529110793323333</v>
      </c>
      <c r="Y13" s="11">
        <f>+VLOOKUP(F13,HRECH!A:P,7,0)</f>
        <v>15.2</v>
      </c>
      <c r="Z13" s="11">
        <f>+VLOOKUP(F13,HRECH!A:P,16,0)</f>
        <v>1568.189999999998</v>
      </c>
      <c r="AA13" s="11">
        <f>+VLOOKUP(F13,HRECH!A:Q,17,0)</f>
        <v>0</v>
      </c>
      <c r="AB13" s="11">
        <f>+VLOOKUP(F13,HRECH!A:P,11,0)</f>
        <v>0</v>
      </c>
      <c r="AC13" s="11">
        <f>+VLOOKUP(F13,HRECH!A:P,9,0)</f>
        <v>15.2</v>
      </c>
      <c r="AD13" s="11">
        <f>+VLOOKUP(F13,HRECH!A:P,10,0)</f>
        <v>0</v>
      </c>
      <c r="AE13" s="40"/>
      <c r="AF13" s="81">
        <f t="shared" si="4"/>
        <v>1598.5899999999981</v>
      </c>
      <c r="AG13" s="93">
        <f t="shared" si="5"/>
        <v>0.93690805513878361</v>
      </c>
      <c r="AI13" s="11"/>
      <c r="AJ13" s="40"/>
      <c r="AK13" s="81">
        <f t="shared" si="6"/>
        <v>0</v>
      </c>
      <c r="AL13" s="93">
        <f t="shared" si="7"/>
        <v>0</v>
      </c>
      <c r="AN13" s="11"/>
      <c r="AO13" s="40"/>
      <c r="AP13" s="81">
        <f t="shared" si="8"/>
        <v>0</v>
      </c>
      <c r="AQ13" s="93">
        <f t="shared" si="9"/>
        <v>0</v>
      </c>
      <c r="AS13" s="28">
        <f t="shared" si="32"/>
        <v>479.24248405851461</v>
      </c>
      <c r="AT13" s="28">
        <f t="shared" si="33"/>
        <v>49443.636254981655</v>
      </c>
      <c r="AU13" s="28">
        <f t="shared" si="34"/>
        <v>0</v>
      </c>
      <c r="AV13" s="28">
        <f t="shared" si="35"/>
        <v>0</v>
      </c>
      <c r="AW13" s="28">
        <f t="shared" si="36"/>
        <v>479.24248405851461</v>
      </c>
      <c r="AX13" s="28">
        <f t="shared" si="37"/>
        <v>0</v>
      </c>
      <c r="AY13" s="40"/>
      <c r="AZ13" s="81">
        <f t="shared" si="16"/>
        <v>50402.121223098686</v>
      </c>
      <c r="BB13" s="11">
        <f t="shared" si="17"/>
        <v>0</v>
      </c>
      <c r="BC13" s="40"/>
      <c r="BD13" s="81">
        <f t="shared" si="18"/>
        <v>0</v>
      </c>
      <c r="BF13" s="11">
        <f t="shared" si="38"/>
        <v>0</v>
      </c>
      <c r="BG13" s="40"/>
      <c r="BH13" s="81">
        <f t="shared" si="19"/>
        <v>0</v>
      </c>
      <c r="BJ13" s="11">
        <f t="shared" si="20"/>
        <v>107.65000000000191</v>
      </c>
      <c r="BK13" s="11">
        <f t="shared" si="21"/>
        <v>1706.24</v>
      </c>
      <c r="BL13" s="11">
        <f t="shared" si="22"/>
        <v>0</v>
      </c>
      <c r="BM13" s="11">
        <f t="shared" si="23"/>
        <v>0</v>
      </c>
    </row>
    <row r="14" spans="1:65" ht="15.75" x14ac:dyDescent="0.3">
      <c r="B14" s="59">
        <f t="shared" si="24"/>
        <v>0</v>
      </c>
      <c r="C14" s="59">
        <f t="shared" si="25"/>
        <v>0</v>
      </c>
      <c r="D14" s="84" t="b">
        <v>1</v>
      </c>
      <c r="E14" s="83" t="b">
        <v>0</v>
      </c>
      <c r="F14" s="11">
        <v>13</v>
      </c>
      <c r="G14" s="11" t="s">
        <v>910</v>
      </c>
      <c r="H14" s="11" t="s">
        <v>911</v>
      </c>
      <c r="I14" s="11" t="s">
        <v>912</v>
      </c>
      <c r="J14" s="11" t="str">
        <f>VLOOKUP(F14,'Verif VS 24'!$A$5:$F$44,5,0)</f>
        <v>Ingénieur - Chimie Analytique - Université de Toulouse III</v>
      </c>
      <c r="K14" s="11">
        <f>VLOOKUP(F14,'Verif VS 24'!$A$5:$F$44,6,0)</f>
        <v>2014</v>
      </c>
      <c r="L14" s="11" t="s">
        <v>22</v>
      </c>
      <c r="M14" s="94">
        <v>43831</v>
      </c>
      <c r="N14" s="94"/>
      <c r="O14" s="171">
        <f>IF(AND(VALO_PERSO!M73&lt;=parametrage!$A$13,ISBLANK(VALO_PERSO!N73)),100%,IF(AND(VALO_PERSO!M73&gt;=parametrage!$A$13,ISBLANK(VALO_PERSO!N73)),((parametrage!$A$14-VALO_PERSO!M73+1)/365),IF(AND(VALO_PERSO!M73&lt;=parametrage!$A$13,AND(VALO_PERSO!N73&gt;parametrage!$A$13,VALO_PERSO!N73&lt;=parametrage!$A$14)),((VALO_PERSO!N73-parametrage!$A$13)/365),((VALO_PERSO!N73-VALO_PERSO!M73)/365))))</f>
        <v>1</v>
      </c>
      <c r="P14" s="11">
        <f>VLOOKUP(F14,'Fichier pour valo'!A:I,6,0)</f>
        <v>59572.69</v>
      </c>
      <c r="Q14" s="11">
        <f>VLOOKUP(F14,'Fichier pour valo'!A:I,4,0)</f>
        <v>0</v>
      </c>
      <c r="R14" s="11">
        <f>VLOOKUP(F14,'Fichier pour valo'!A:I,8,0)</f>
        <v>25515.040000000005</v>
      </c>
      <c r="S14" s="11">
        <f>VLOOKUP(F14,'Fichier pour valo'!A:I,5,0)</f>
        <v>24525.410000000003</v>
      </c>
      <c r="T14" s="92">
        <f t="shared" si="0"/>
        <v>0.42830095468242252</v>
      </c>
      <c r="U14" s="92">
        <f t="shared" si="1"/>
        <v>0.96121385661162984</v>
      </c>
      <c r="V14" s="40">
        <f t="shared" si="2"/>
        <v>84098.1</v>
      </c>
      <c r="W14" s="11">
        <f>VLOOKUP(F14,'Fichier pour valo'!A:I,9,0)</f>
        <v>1649.24</v>
      </c>
      <c r="X14" s="40">
        <f t="shared" si="3"/>
        <v>50.992032693846866</v>
      </c>
      <c r="Y14" s="11">
        <f>+VLOOKUP(F14,HRECH!A:P,7,0)</f>
        <v>230.45000000000002</v>
      </c>
      <c r="Z14" s="11">
        <f>+VLOOKUP(F14,HRECH!A:P,16,0)</f>
        <v>797.93000000000143</v>
      </c>
      <c r="AA14" s="11">
        <f>+VLOOKUP(F14,HRECH!A:Q,17,0)</f>
        <v>259.7299999999999</v>
      </c>
      <c r="AB14" s="11">
        <f>+VLOOKUP(F14,HRECH!A:P,11,0)</f>
        <v>0</v>
      </c>
      <c r="AC14" s="11">
        <f>+VLOOKUP(F14,HRECH!A:P,9,0)</f>
        <v>0</v>
      </c>
      <c r="AD14" s="11">
        <f>+VLOOKUP(F14,HRECH!A:P,10,0)</f>
        <v>0</v>
      </c>
      <c r="AE14" s="40"/>
      <c r="AF14" s="81">
        <f t="shared" si="4"/>
        <v>1288.1100000000015</v>
      </c>
      <c r="AG14" s="93">
        <f t="shared" si="5"/>
        <v>0.78103247556450339</v>
      </c>
      <c r="AI14" s="11"/>
      <c r="AJ14" s="40"/>
      <c r="AK14" s="81">
        <f t="shared" si="6"/>
        <v>0</v>
      </c>
      <c r="AL14" s="93">
        <f t="shared" si="7"/>
        <v>0</v>
      </c>
      <c r="AN14" s="11"/>
      <c r="AO14" s="40"/>
      <c r="AP14" s="81">
        <f t="shared" si="8"/>
        <v>0</v>
      </c>
      <c r="AQ14" s="93">
        <f t="shared" si="9"/>
        <v>0</v>
      </c>
      <c r="AS14" s="28">
        <f t="shared" si="32"/>
        <v>11751.113934297011</v>
      </c>
      <c r="AT14" s="28">
        <f t="shared" si="33"/>
        <v>40688.072647401306</v>
      </c>
      <c r="AU14" s="28">
        <f t="shared" si="34"/>
        <v>13244.160651572842</v>
      </c>
      <c r="AV14" s="28">
        <f t="shared" si="35"/>
        <v>0</v>
      </c>
      <c r="AW14" s="28">
        <f t="shared" si="36"/>
        <v>0</v>
      </c>
      <c r="AX14" s="28">
        <f t="shared" si="37"/>
        <v>0</v>
      </c>
      <c r="AY14" s="40"/>
      <c r="AZ14" s="81">
        <f t="shared" si="16"/>
        <v>65683.347233271168</v>
      </c>
      <c r="BB14" s="11">
        <f t="shared" si="17"/>
        <v>0</v>
      </c>
      <c r="BC14" s="40"/>
      <c r="BD14" s="81">
        <f t="shared" si="18"/>
        <v>0</v>
      </c>
      <c r="BF14" s="11">
        <f t="shared" si="38"/>
        <v>0</v>
      </c>
      <c r="BG14" s="40"/>
      <c r="BH14" s="81">
        <f t="shared" si="19"/>
        <v>0</v>
      </c>
      <c r="BJ14" s="11">
        <f t="shared" si="20"/>
        <v>361.12999999999852</v>
      </c>
      <c r="BK14" s="11">
        <f t="shared" si="21"/>
        <v>1649.24</v>
      </c>
      <c r="BL14" s="11">
        <f t="shared" si="22"/>
        <v>0</v>
      </c>
      <c r="BM14" s="11">
        <f t="shared" si="23"/>
        <v>0</v>
      </c>
    </row>
    <row r="15" spans="1:65" ht="15.75" x14ac:dyDescent="0.3">
      <c r="B15" s="59">
        <f t="shared" si="24"/>
        <v>0</v>
      </c>
      <c r="C15" s="59">
        <f t="shared" si="25"/>
        <v>0</v>
      </c>
      <c r="D15" s="84" t="b">
        <v>1</v>
      </c>
      <c r="E15" s="83" t="b">
        <v>0</v>
      </c>
      <c r="F15" s="11">
        <v>14</v>
      </c>
      <c r="G15" s="11" t="s">
        <v>915</v>
      </c>
      <c r="H15" s="11" t="s">
        <v>916</v>
      </c>
      <c r="I15" s="11" t="s">
        <v>912</v>
      </c>
      <c r="J15" s="11" t="str">
        <f>VLOOKUP(F15,'Verif VS 24'!$A$5:$F$44,5,0)</f>
        <v>Ingénieur - Biochimie et biotechnologies  - Université de Toulouse III</v>
      </c>
      <c r="K15" s="11">
        <f>VLOOKUP(F15,'Verif VS 24'!$A$5:$F$44,6,0)</f>
        <v>2010</v>
      </c>
      <c r="L15" s="11" t="s">
        <v>22</v>
      </c>
      <c r="M15" s="94">
        <v>43709</v>
      </c>
      <c r="N15" s="94"/>
      <c r="O15" s="171">
        <f>IF(AND(VALO_PERSO!M91&lt;=parametrage!$A$13,ISBLANK(VALO_PERSO!N91)),100%,IF(AND(VALO_PERSO!M91&gt;=parametrage!$A$13,ISBLANK(VALO_PERSO!N91)),((parametrage!$A$14-VALO_PERSO!M91+1)/365),IF(AND(VALO_PERSO!M91&lt;=parametrage!$A$13,AND(VALO_PERSO!N91&gt;parametrage!$A$13,VALO_PERSO!N91&lt;=parametrage!$A$14)),((VALO_PERSO!N91-parametrage!$A$13)/365),((VALO_PERSO!N91-VALO_PERSO!M91)/365))))</f>
        <v>1</v>
      </c>
      <c r="P15" s="11">
        <f>VLOOKUP(F15,'Fichier pour valo'!A:I,6,0)</f>
        <v>45684.82</v>
      </c>
      <c r="Q15" s="11">
        <f>VLOOKUP(F15,'Fichier pour valo'!A:I,4,0)</f>
        <v>0</v>
      </c>
      <c r="R15" s="11">
        <f>VLOOKUP(F15,'Fichier pour valo'!A:I,8,0)</f>
        <v>20078.3</v>
      </c>
      <c r="S15" s="11">
        <f>VLOOKUP(F15,'Fichier pour valo'!A:I,5,0)</f>
        <v>19309.89</v>
      </c>
      <c r="T15" s="92">
        <f t="shared" si="0"/>
        <v>0.43949609520186356</v>
      </c>
      <c r="U15" s="92">
        <f t="shared" si="1"/>
        <v>0.96172932967432501</v>
      </c>
      <c r="V15" s="40">
        <f t="shared" si="2"/>
        <v>64994.71</v>
      </c>
      <c r="W15" s="11">
        <f>VLOOKUP(F15,'Fichier pour valo'!A:I,9,0)</f>
        <v>1035.6600000000001</v>
      </c>
      <c r="X15" s="40">
        <f t="shared" si="3"/>
        <v>62.756802425506436</v>
      </c>
      <c r="Y15" s="11">
        <f>+VLOOKUP(F15,HRECH!A:P,7,0)</f>
        <v>976.60000000000241</v>
      </c>
      <c r="Z15" s="11">
        <f>+VLOOKUP(F15,HRECH!A:P,16,0)</f>
        <v>0</v>
      </c>
      <c r="AA15" s="11">
        <f>+VLOOKUP(F15,HRECH!A:Q,17,0)</f>
        <v>0</v>
      </c>
      <c r="AB15" s="11">
        <f>+VLOOKUP(F15,HRECH!A:P,11,0)</f>
        <v>0</v>
      </c>
      <c r="AC15" s="11">
        <f>+VLOOKUP(F15,HRECH!A:P,9,0)</f>
        <v>0</v>
      </c>
      <c r="AD15" s="11">
        <f>+VLOOKUP(F15,HRECH!A:P,10,0)</f>
        <v>0</v>
      </c>
      <c r="AE15" s="40"/>
      <c r="AF15" s="81">
        <f t="shared" si="4"/>
        <v>976.60000000000241</v>
      </c>
      <c r="AG15" s="93">
        <f t="shared" si="5"/>
        <v>0.94297356275225686</v>
      </c>
      <c r="AI15" s="11"/>
      <c r="AJ15" s="40"/>
      <c r="AK15" s="81">
        <f t="shared" si="6"/>
        <v>0</v>
      </c>
      <c r="AL15" s="93">
        <f t="shared" si="7"/>
        <v>0</v>
      </c>
      <c r="AN15" s="11"/>
      <c r="AO15" s="40"/>
      <c r="AP15" s="81">
        <f t="shared" si="8"/>
        <v>0</v>
      </c>
      <c r="AQ15" s="93">
        <f t="shared" si="9"/>
        <v>0</v>
      </c>
      <c r="AS15" s="28">
        <f t="shared" si="32"/>
        <v>61288.293248749731</v>
      </c>
      <c r="AT15" s="28">
        <f t="shared" si="33"/>
        <v>0</v>
      </c>
      <c r="AU15" s="28">
        <f t="shared" si="34"/>
        <v>0</v>
      </c>
      <c r="AV15" s="28">
        <f t="shared" si="35"/>
        <v>0</v>
      </c>
      <c r="AW15" s="28">
        <f t="shared" si="36"/>
        <v>0</v>
      </c>
      <c r="AX15" s="28">
        <f t="shared" si="37"/>
        <v>0</v>
      </c>
      <c r="AY15" s="40"/>
      <c r="AZ15" s="81">
        <f t="shared" si="16"/>
        <v>61288.293248749731</v>
      </c>
      <c r="BB15" s="11">
        <f t="shared" si="17"/>
        <v>0</v>
      </c>
      <c r="BC15" s="40"/>
      <c r="BD15" s="81">
        <f t="shared" si="18"/>
        <v>0</v>
      </c>
      <c r="BF15" s="11">
        <f t="shared" si="38"/>
        <v>0</v>
      </c>
      <c r="BG15" s="40"/>
      <c r="BH15" s="81">
        <f t="shared" si="19"/>
        <v>0</v>
      </c>
      <c r="BJ15" s="11">
        <f t="shared" si="20"/>
        <v>59.059999999997672</v>
      </c>
      <c r="BK15" s="11">
        <f t="shared" si="21"/>
        <v>1035.6600000000001</v>
      </c>
      <c r="BL15" s="11">
        <f t="shared" si="22"/>
        <v>0</v>
      </c>
      <c r="BM15" s="11">
        <f t="shared" si="23"/>
        <v>0</v>
      </c>
    </row>
    <row r="16" spans="1:65" ht="15.75" x14ac:dyDescent="0.3">
      <c r="B16" s="59">
        <f t="shared" si="24"/>
        <v>0</v>
      </c>
      <c r="C16" s="59">
        <f t="shared" si="25"/>
        <v>0</v>
      </c>
      <c r="D16" s="84" t="b">
        <v>1</v>
      </c>
      <c r="E16" s="83" t="b">
        <v>0</v>
      </c>
      <c r="F16" s="11">
        <v>16</v>
      </c>
      <c r="G16" s="11" t="s">
        <v>1184</v>
      </c>
      <c r="H16" s="11" t="s">
        <v>920</v>
      </c>
      <c r="I16" s="11" t="s">
        <v>921</v>
      </c>
      <c r="J16" s="11" t="str">
        <f>VLOOKUP(F16,'Verif VS 24'!$A$5:$F$44,5,0)</f>
        <v>Master Microbiologie - Université de Barcelone</v>
      </c>
      <c r="K16" s="11">
        <f>VLOOKUP(F16,'Verif VS 24'!$A$5:$F$44,6,0)</f>
        <v>2016</v>
      </c>
      <c r="L16" s="11" t="s">
        <v>22</v>
      </c>
      <c r="M16" s="94">
        <v>44197</v>
      </c>
      <c r="N16" s="94"/>
      <c r="O16" s="171">
        <f>IF(AND(VALO_PERSO!M87&lt;=parametrage!$A$13,ISBLANK(VALO_PERSO!N87)),100%,IF(AND(VALO_PERSO!M87&gt;=parametrage!$A$13,ISBLANK(VALO_PERSO!N87)),((parametrage!$A$14-VALO_PERSO!M87+1)/365),IF(AND(VALO_PERSO!M87&lt;=parametrage!$A$13,AND(VALO_PERSO!N87&gt;parametrage!$A$13,VALO_PERSO!N87&lt;=parametrage!$A$14)),((VALO_PERSO!N87-parametrage!$A$13)/365),((VALO_PERSO!N87-VALO_PERSO!M87)/365))))</f>
        <v>1</v>
      </c>
      <c r="P16" s="11">
        <f>VLOOKUP(F16,'Fichier pour valo'!A:I,6,0)</f>
        <v>58661.4</v>
      </c>
      <c r="Q16" s="11">
        <f>VLOOKUP(F16,'Fichier pour valo'!A:I,4,0)</f>
        <v>0</v>
      </c>
      <c r="R16" s="11">
        <f>VLOOKUP(F16,'Fichier pour valo'!A:I,8,0)</f>
        <v>24371.88</v>
      </c>
      <c r="S16" s="11">
        <f>VLOOKUP(F16,'Fichier pour valo'!A:I,5,0)</f>
        <v>23396.660000000003</v>
      </c>
      <c r="T16" s="92">
        <f t="shared" si="0"/>
        <v>0.41546707033926911</v>
      </c>
      <c r="U16" s="92">
        <f t="shared" si="1"/>
        <v>0.95998585254810065</v>
      </c>
      <c r="V16" s="40">
        <f t="shared" si="2"/>
        <v>82058.06</v>
      </c>
      <c r="W16" s="11">
        <f>VLOOKUP(F16,'Fichier pour valo'!A:I,9,0)</f>
        <v>1672.0399999999997</v>
      </c>
      <c r="X16" s="40">
        <f t="shared" si="3"/>
        <v>49.076612999689011</v>
      </c>
      <c r="Y16" s="11">
        <f>+VLOOKUP(F16,HRECH!A:P,7,0)</f>
        <v>0</v>
      </c>
      <c r="Z16" s="11">
        <f>+VLOOKUP(F16,HRECH!A:P,16,0)</f>
        <v>0</v>
      </c>
      <c r="AA16" s="11">
        <f>+VLOOKUP(F16,HRECH!A:Q,17,0)</f>
        <v>0</v>
      </c>
      <c r="AB16" s="11">
        <f>+VLOOKUP(F16,HRECH!A:P,11,0)</f>
        <v>1512.3999999999962</v>
      </c>
      <c r="AC16" s="11">
        <f>+VLOOKUP(F16,HRECH!A:P,9,0)</f>
        <v>0</v>
      </c>
      <c r="AD16" s="11">
        <f>+VLOOKUP(F16,HRECH!A:P,10,0)</f>
        <v>0</v>
      </c>
      <c r="AE16" s="40"/>
      <c r="AF16" s="81">
        <f t="shared" si="4"/>
        <v>1512.3999999999962</v>
      </c>
      <c r="AG16" s="93">
        <f t="shared" si="5"/>
        <v>0.90452381521972947</v>
      </c>
      <c r="AI16" s="11"/>
      <c r="AJ16" s="40"/>
      <c r="AK16" s="81">
        <f t="shared" si="6"/>
        <v>0</v>
      </c>
      <c r="AL16" s="93">
        <f t="shared" si="7"/>
        <v>0</v>
      </c>
      <c r="AN16" s="11"/>
      <c r="AO16" s="40"/>
      <c r="AP16" s="81">
        <f t="shared" si="8"/>
        <v>0</v>
      </c>
      <c r="AQ16" s="93">
        <f t="shared" si="9"/>
        <v>0</v>
      </c>
      <c r="AS16" s="28">
        <f t="shared" si="32"/>
        <v>0</v>
      </c>
      <c r="AT16" s="28">
        <f t="shared" si="33"/>
        <v>0</v>
      </c>
      <c r="AU16" s="28">
        <f t="shared" si="34"/>
        <v>0</v>
      </c>
      <c r="AV16" s="28">
        <f t="shared" si="35"/>
        <v>74223.469500729479</v>
      </c>
      <c r="AW16" s="28">
        <f t="shared" si="36"/>
        <v>0</v>
      </c>
      <c r="AX16" s="28">
        <f t="shared" si="37"/>
        <v>0</v>
      </c>
      <c r="AY16" s="40"/>
      <c r="AZ16" s="81">
        <f t="shared" si="16"/>
        <v>74223.469500729479</v>
      </c>
      <c r="BB16" s="11">
        <f t="shared" si="17"/>
        <v>0</v>
      </c>
      <c r="BC16" s="40"/>
      <c r="BD16" s="81">
        <f t="shared" si="18"/>
        <v>0</v>
      </c>
      <c r="BF16" s="11">
        <f t="shared" si="38"/>
        <v>0</v>
      </c>
      <c r="BG16" s="40"/>
      <c r="BH16" s="81">
        <f t="shared" si="19"/>
        <v>0</v>
      </c>
      <c r="BJ16" s="11">
        <f t="shared" si="20"/>
        <v>159.64000000000351</v>
      </c>
      <c r="BK16" s="11">
        <f t="shared" si="21"/>
        <v>1672.0399999999997</v>
      </c>
      <c r="BL16" s="11">
        <f t="shared" si="22"/>
        <v>0</v>
      </c>
      <c r="BM16" s="11">
        <f t="shared" si="23"/>
        <v>0</v>
      </c>
    </row>
    <row r="17" spans="1:65" ht="15.75" x14ac:dyDescent="0.3">
      <c r="B17" s="59">
        <f t="shared" si="24"/>
        <v>0</v>
      </c>
      <c r="C17" s="59">
        <f t="shared" si="25"/>
        <v>0</v>
      </c>
      <c r="D17" s="84" t="b">
        <v>1</v>
      </c>
      <c r="E17" s="83" t="b">
        <v>0</v>
      </c>
      <c r="F17" s="11">
        <v>18</v>
      </c>
      <c r="G17" s="11" t="s">
        <v>924</v>
      </c>
      <c r="H17" s="11" t="s">
        <v>925</v>
      </c>
      <c r="I17" s="11" t="s">
        <v>921</v>
      </c>
      <c r="J17" s="11" t="str">
        <f>VLOOKUP(F17,'Verif VS 24'!$A$5:$F$44,5,0)</f>
        <v>Master procédés, biotechnologies, aliments - Université Paris - Saclay</v>
      </c>
      <c r="K17" s="11">
        <f>VLOOKUP(F17,'Verif VS 24'!$A$5:$F$44,6,0)</f>
        <v>2019</v>
      </c>
      <c r="L17" s="11" t="s">
        <v>22</v>
      </c>
      <c r="M17" s="94">
        <v>44197</v>
      </c>
      <c r="N17" s="94"/>
      <c r="O17" s="171">
        <f>IF(AND(VALO_PERSO!M52&lt;=parametrage!$A$13,ISBLANK(VALO_PERSO!N52)),100%,IF(AND(VALO_PERSO!M52&gt;=parametrage!$A$13,ISBLANK(VALO_PERSO!N52)),((parametrage!$A$14-VALO_PERSO!M52+1)/365),IF(AND(VALO_PERSO!M52&lt;=parametrage!$A$13,AND(VALO_PERSO!N52&gt;parametrage!$A$13,VALO_PERSO!N52&lt;=parametrage!$A$14)),((VALO_PERSO!N52-parametrage!$A$13)/365),((VALO_PERSO!N52-VALO_PERSO!M52)/365))))</f>
        <v>1</v>
      </c>
      <c r="P17" s="11">
        <f>VLOOKUP(F17,'Fichier pour valo'!A:I,6,0)</f>
        <v>60709.03</v>
      </c>
      <c r="Q17" s="11">
        <f>VLOOKUP(F17,'Fichier pour valo'!A:I,4,0)</f>
        <v>0</v>
      </c>
      <c r="R17" s="11">
        <f>VLOOKUP(F17,'Fichier pour valo'!A:I,8,0)</f>
        <v>25726.519999999997</v>
      </c>
      <c r="S17" s="11">
        <f>VLOOKUP(F17,'Fichier pour valo'!A:I,5,0)</f>
        <v>24718.93</v>
      </c>
      <c r="T17" s="92">
        <f t="shared" si="0"/>
        <v>0.42376760096479876</v>
      </c>
      <c r="U17" s="92">
        <f t="shared" si="1"/>
        <v>0.96083457848166032</v>
      </c>
      <c r="V17" s="40">
        <f t="shared" si="2"/>
        <v>85427.959999999992</v>
      </c>
      <c r="W17" s="11">
        <f>VLOOKUP(F17,'Fichier pour valo'!A:I,9,0)</f>
        <v>1637.84</v>
      </c>
      <c r="X17" s="40">
        <f t="shared" si="3"/>
        <v>52.158916621892246</v>
      </c>
      <c r="Y17" s="11">
        <f>+VLOOKUP(F17,HRECH!A:P,7,0)</f>
        <v>255.99999999999997</v>
      </c>
      <c r="Z17" s="11">
        <f>+VLOOKUP(F17,HRECH!A:P,16,0)</f>
        <v>1228.5000000000007</v>
      </c>
      <c r="AA17" s="11">
        <f>+VLOOKUP(F17,HRECH!A:Q,17,0)</f>
        <v>0</v>
      </c>
      <c r="AB17" s="11">
        <f>+VLOOKUP(F17,HRECH!A:P,11,0)</f>
        <v>0</v>
      </c>
      <c r="AC17" s="11">
        <f>+VLOOKUP(F17,HRECH!A:P,9,0)</f>
        <v>7.6</v>
      </c>
      <c r="AD17" s="11">
        <f>+VLOOKUP(F17,HRECH!A:P,10,0)</f>
        <v>0</v>
      </c>
      <c r="AE17" s="40"/>
      <c r="AF17" s="81">
        <f t="shared" si="4"/>
        <v>1492.1000000000006</v>
      </c>
      <c r="AG17" s="93">
        <f t="shared" si="5"/>
        <v>0.91101694915254283</v>
      </c>
      <c r="AI17" s="11"/>
      <c r="AJ17" s="40"/>
      <c r="AK17" s="81">
        <f t="shared" si="6"/>
        <v>0</v>
      </c>
      <c r="AL17" s="93">
        <f t="shared" si="7"/>
        <v>0</v>
      </c>
      <c r="AN17" s="11"/>
      <c r="AO17" s="40"/>
      <c r="AP17" s="81">
        <f t="shared" si="8"/>
        <v>0</v>
      </c>
      <c r="AQ17" s="93">
        <f t="shared" si="9"/>
        <v>0</v>
      </c>
      <c r="AS17" s="28">
        <f t="shared" ref="AS17:AS23" si="40">IFERROR(Y17*$V17/$W17,0)</f>
        <v>13352.682655204413</v>
      </c>
      <c r="AT17" s="28">
        <f t="shared" si="33"/>
        <v>64077.229069994661</v>
      </c>
      <c r="AU17" s="28">
        <f t="shared" si="34"/>
        <v>0</v>
      </c>
      <c r="AV17" s="28">
        <f t="shared" si="35"/>
        <v>0</v>
      </c>
      <c r="AW17" s="28">
        <f t="shared" si="36"/>
        <v>396.40776632638108</v>
      </c>
      <c r="AX17" s="28">
        <f t="shared" si="37"/>
        <v>0</v>
      </c>
      <c r="AY17" s="40"/>
      <c r="AZ17" s="81">
        <f t="shared" si="16"/>
        <v>77826.319491525443</v>
      </c>
      <c r="BB17" s="11">
        <f t="shared" si="17"/>
        <v>0</v>
      </c>
      <c r="BC17" s="40"/>
      <c r="BD17" s="81">
        <f t="shared" si="18"/>
        <v>0</v>
      </c>
      <c r="BF17" s="11">
        <f t="shared" si="38"/>
        <v>0</v>
      </c>
      <c r="BG17" s="40"/>
      <c r="BH17" s="81">
        <f t="shared" si="19"/>
        <v>0</v>
      </c>
      <c r="BJ17" s="11">
        <f t="shared" si="20"/>
        <v>145.73999999999933</v>
      </c>
      <c r="BK17" s="11">
        <f t="shared" si="21"/>
        <v>1637.84</v>
      </c>
      <c r="BL17" s="11">
        <f t="shared" si="22"/>
        <v>0</v>
      </c>
      <c r="BM17" s="11">
        <f t="shared" si="23"/>
        <v>0</v>
      </c>
    </row>
    <row r="18" spans="1:65" ht="15.75" x14ac:dyDescent="0.3">
      <c r="A18" s="111" t="s">
        <v>813</v>
      </c>
      <c r="B18" s="59">
        <f t="shared" si="24"/>
        <v>0</v>
      </c>
      <c r="C18" s="59">
        <f t="shared" si="25"/>
        <v>0</v>
      </c>
      <c r="D18" s="84" t="b">
        <v>1</v>
      </c>
      <c r="E18" s="83" t="b">
        <v>0</v>
      </c>
      <c r="F18" s="11">
        <v>19</v>
      </c>
      <c r="G18" s="11" t="s">
        <v>928</v>
      </c>
      <c r="H18" s="11" t="s">
        <v>1187</v>
      </c>
      <c r="I18" s="11" t="s">
        <v>930</v>
      </c>
      <c r="J18" s="11" t="str">
        <f>VLOOKUP(F18,'Verif VS 24'!$A$5:$F$44,5,0)</f>
        <v>DUT - Génie Biologique - IUT Dijon</v>
      </c>
      <c r="K18" s="11">
        <f>VLOOKUP(F18,'Verif VS 24'!$A$5:$F$44,6,0)</f>
        <v>2016</v>
      </c>
      <c r="L18" s="11" t="s">
        <v>35</v>
      </c>
      <c r="M18" s="94">
        <v>44564</v>
      </c>
      <c r="N18" s="94"/>
      <c r="O18" s="171">
        <f>IF(AND(VALO_PERSO!M61&lt;=parametrage!$A$13,ISBLANK(VALO_PERSO!N61)),100%,IF(AND(VALO_PERSO!M61&gt;=parametrage!$A$13,ISBLANK(VALO_PERSO!N61)),((parametrage!$A$14-VALO_PERSO!M61+1)/365),IF(AND(VALO_PERSO!M61&lt;=parametrage!$A$13,AND(VALO_PERSO!N61&gt;parametrage!$A$13,VALO_PERSO!N61&lt;=parametrage!$A$14)),((VALO_PERSO!N61-parametrage!$A$13)/365),((VALO_PERSO!N61-VALO_PERSO!M61)/365))))</f>
        <v>1</v>
      </c>
      <c r="P18" s="11">
        <f>VLOOKUP(F18,'Fichier pour valo'!A:I,6,0)</f>
        <v>31999.98</v>
      </c>
      <c r="Q18" s="11">
        <f>VLOOKUP(F18,'Fichier pour valo'!A:I,4,0)</f>
        <v>269.17</v>
      </c>
      <c r="R18" s="11">
        <f>VLOOKUP(F18,'Fichier pour valo'!A:I,8,0)</f>
        <v>11806.800000000001</v>
      </c>
      <c r="S18" s="11">
        <f>VLOOKUP(F18,'Fichier pour valo'!A:I,5,0)</f>
        <v>11280.09</v>
      </c>
      <c r="T18" s="92">
        <f t="shared" si="0"/>
        <v>0.36896273060170665</v>
      </c>
      <c r="U18" s="92">
        <f t="shared" si="1"/>
        <v>0.95538926720195139</v>
      </c>
      <c r="V18" s="40">
        <f t="shared" si="2"/>
        <v>43549.24</v>
      </c>
      <c r="W18" s="11">
        <f>VLOOKUP(F18,'Fichier pour valo'!A:I,9,0)</f>
        <v>1274.06</v>
      </c>
      <c r="X18" s="40">
        <f t="shared" si="3"/>
        <v>34.181467120857732</v>
      </c>
      <c r="Y18" s="11">
        <f>+VLOOKUP(F18,HRECH!A:P,7,0)</f>
        <v>159.6</v>
      </c>
      <c r="Z18" s="11">
        <f>+VLOOKUP(F18,HRECH!A:P,16,0)</f>
        <v>453.90000000000089</v>
      </c>
      <c r="AA18" s="11">
        <f>+VLOOKUP(F18,HRECH!A:Q,17,0)</f>
        <v>278.39999999999992</v>
      </c>
      <c r="AB18" s="11">
        <f>+VLOOKUP(F18,HRECH!A:P,11,0)</f>
        <v>34.200000000000003</v>
      </c>
      <c r="AC18" s="11">
        <f>+VLOOKUP(F18,HRECH!A:P,9,0)</f>
        <v>259.09999999999997</v>
      </c>
      <c r="AD18" s="11">
        <f>+VLOOKUP(F18,HRECH!A:P,10,0)</f>
        <v>0</v>
      </c>
      <c r="AE18" s="40"/>
      <c r="AF18" s="81">
        <f t="shared" si="4"/>
        <v>1185.2000000000007</v>
      </c>
      <c r="AG18" s="93">
        <f t="shared" si="5"/>
        <v>0.93025446211324492</v>
      </c>
      <c r="AI18" s="11"/>
      <c r="AJ18" s="40"/>
      <c r="AK18" s="81">
        <f t="shared" si="6"/>
        <v>0</v>
      </c>
      <c r="AL18" s="93">
        <f t="shared" si="7"/>
        <v>0</v>
      </c>
      <c r="AN18" s="11"/>
      <c r="AO18" s="40"/>
      <c r="AP18" s="81">
        <f t="shared" si="8"/>
        <v>0</v>
      </c>
      <c r="AQ18" s="93">
        <f t="shared" si="9"/>
        <v>0</v>
      </c>
      <c r="AS18" s="28">
        <f t="shared" si="40"/>
        <v>5455.3621524888931</v>
      </c>
      <c r="AT18" s="28">
        <f t="shared" si="33"/>
        <v>15514.967926157355</v>
      </c>
      <c r="AU18" s="28">
        <f t="shared" si="34"/>
        <v>9516.1204464467883</v>
      </c>
      <c r="AV18" s="28">
        <f t="shared" si="35"/>
        <v>1169.0061755333345</v>
      </c>
      <c r="AW18" s="28">
        <f t="shared" si="36"/>
        <v>8856.4181310142376</v>
      </c>
      <c r="AX18" s="28">
        <f t="shared" si="37"/>
        <v>0</v>
      </c>
      <c r="AY18" s="40"/>
      <c r="AZ18" s="81">
        <f t="shared" si="16"/>
        <v>40511.874831640613</v>
      </c>
      <c r="BB18" s="11">
        <f t="shared" si="17"/>
        <v>0</v>
      </c>
      <c r="BC18" s="40"/>
      <c r="BD18" s="81">
        <f t="shared" si="18"/>
        <v>0</v>
      </c>
      <c r="BF18" s="11">
        <f t="shared" si="38"/>
        <v>0</v>
      </c>
      <c r="BG18" s="40"/>
      <c r="BH18" s="81">
        <f t="shared" si="19"/>
        <v>0</v>
      </c>
      <c r="BJ18" s="11">
        <f t="shared" si="20"/>
        <v>88.859999999999218</v>
      </c>
      <c r="BK18" s="11">
        <f t="shared" si="21"/>
        <v>1274.06</v>
      </c>
      <c r="BL18" s="11">
        <f t="shared" si="22"/>
        <v>0</v>
      </c>
      <c r="BM18" s="11">
        <f t="shared" si="23"/>
        <v>0</v>
      </c>
    </row>
    <row r="19" spans="1:65" ht="15.75" x14ac:dyDescent="0.3">
      <c r="A19" s="111" t="s">
        <v>813</v>
      </c>
      <c r="B19" s="59">
        <f t="shared" si="24"/>
        <v>0</v>
      </c>
      <c r="C19" s="59">
        <f t="shared" si="25"/>
        <v>0</v>
      </c>
      <c r="D19" s="84" t="b">
        <v>1</v>
      </c>
      <c r="E19" s="83" t="b">
        <v>0</v>
      </c>
      <c r="F19" s="11">
        <v>21</v>
      </c>
      <c r="G19" s="11" t="s">
        <v>933</v>
      </c>
      <c r="H19" s="11" t="s">
        <v>934</v>
      </c>
      <c r="I19" s="11" t="s">
        <v>930</v>
      </c>
      <c r="J19" s="11" t="str">
        <f>VLOOKUP(F19,'Verif VS 24'!$A$5:$F$44,5,0)</f>
        <v>DUT - Chimie Analytique et de Synthèse</v>
      </c>
      <c r="K19" s="11">
        <f>VLOOKUP(F19,'Verif VS 24'!$A$5:$F$44,6,0)</f>
        <v>2018</v>
      </c>
      <c r="L19" s="11" t="s">
        <v>35</v>
      </c>
      <c r="M19" s="94">
        <v>44287</v>
      </c>
      <c r="N19" s="94"/>
      <c r="O19" s="171">
        <f>IF(AND(VALO_PERSO!M81&lt;=parametrage!$A$13,ISBLANK(VALO_PERSO!N81)),100%,IF(AND(VALO_PERSO!M81&gt;=parametrage!$A$13,ISBLANK(VALO_PERSO!N81)),((parametrage!$A$14-VALO_PERSO!M81+1)/365),IF(AND(VALO_PERSO!M81&lt;=parametrage!$A$13,AND(VALO_PERSO!N81&gt;parametrage!$A$13,VALO_PERSO!N81&lt;=parametrage!$A$14)),((VALO_PERSO!N81-parametrage!$A$13)/365),((VALO_PERSO!N81-VALO_PERSO!M81)/365))))</f>
        <v>1</v>
      </c>
      <c r="P19" s="11">
        <f>VLOOKUP(F19,'Fichier pour valo'!A:I,6,0)</f>
        <v>43774.64</v>
      </c>
      <c r="Q19" s="11">
        <f>VLOOKUP(F19,'Fichier pour valo'!A:I,4,0)</f>
        <v>532.79999999999995</v>
      </c>
      <c r="R19" s="11">
        <f>VLOOKUP(F19,'Fichier pour valo'!A:I,8,0)</f>
        <v>16009.4</v>
      </c>
      <c r="S19" s="11">
        <f>VLOOKUP(F19,'Fichier pour valo'!A:I,5,0)</f>
        <v>15288.91</v>
      </c>
      <c r="T19" s="92">
        <f t="shared" si="0"/>
        <v>0.3657231675691679</v>
      </c>
      <c r="U19" s="92">
        <f t="shared" si="1"/>
        <v>0.95499581495871178</v>
      </c>
      <c r="V19" s="40">
        <f t="shared" si="2"/>
        <v>59596.350000000006</v>
      </c>
      <c r="W19" s="11">
        <f>VLOOKUP(F19,'Fichier pour valo'!A:I,9,0)</f>
        <v>1603.6399999999999</v>
      </c>
      <c r="X19" s="40">
        <f t="shared" si="3"/>
        <v>37.163172532488595</v>
      </c>
      <c r="Y19" s="11">
        <f>+VLOOKUP(F19,HRECH!A:P,7,0)</f>
        <v>0</v>
      </c>
      <c r="Z19" s="11">
        <f>+VLOOKUP(F19,HRECH!A:P,16,0)</f>
        <v>11.399999999999999</v>
      </c>
      <c r="AA19" s="11">
        <f>+VLOOKUP(F19,HRECH!A:Q,17,0)</f>
        <v>885.40000000000168</v>
      </c>
      <c r="AB19" s="11">
        <f>+VLOOKUP(F19,HRECH!A:P,11,0)</f>
        <v>0</v>
      </c>
      <c r="AC19" s="11">
        <f>+VLOOKUP(F19,HRECH!A:P,9,0)</f>
        <v>113.99999999999997</v>
      </c>
      <c r="AD19" s="11">
        <f>+VLOOKUP(F19,HRECH!A:P,10,0)</f>
        <v>98.799999999999983</v>
      </c>
      <c r="AE19" s="40"/>
      <c r="AF19" s="81">
        <f t="shared" si="4"/>
        <v>1109.6000000000017</v>
      </c>
      <c r="AG19" s="93">
        <f t="shared" si="5"/>
        <v>0.6919258686488251</v>
      </c>
      <c r="AI19" s="11"/>
      <c r="AJ19" s="40"/>
      <c r="AK19" s="81">
        <f t="shared" si="6"/>
        <v>0</v>
      </c>
      <c r="AL19" s="93">
        <f t="shared" si="7"/>
        <v>0</v>
      </c>
      <c r="AN19" s="11"/>
      <c r="AO19" s="40"/>
      <c r="AP19" s="81">
        <f t="shared" si="8"/>
        <v>0</v>
      </c>
      <c r="AQ19" s="93">
        <f t="shared" si="9"/>
        <v>0</v>
      </c>
      <c r="AS19" s="28">
        <f t="shared" si="40"/>
        <v>0</v>
      </c>
      <c r="AT19" s="28">
        <f t="shared" si="33"/>
        <v>423.66016687036995</v>
      </c>
      <c r="AU19" s="28">
        <f t="shared" si="34"/>
        <v>32904.272960265465</v>
      </c>
      <c r="AV19" s="28">
        <f t="shared" si="35"/>
        <v>0</v>
      </c>
      <c r="AW19" s="28">
        <f t="shared" si="36"/>
        <v>4236.6016687036981</v>
      </c>
      <c r="AX19" s="28">
        <f t="shared" si="37"/>
        <v>3671.7214462098727</v>
      </c>
      <c r="AY19" s="40"/>
      <c r="AZ19" s="81">
        <f t="shared" si="16"/>
        <v>41236.256242049407</v>
      </c>
      <c r="BB19" s="11">
        <f t="shared" si="17"/>
        <v>0</v>
      </c>
      <c r="BC19" s="40"/>
      <c r="BD19" s="81">
        <f t="shared" si="18"/>
        <v>0</v>
      </c>
      <c r="BF19" s="11">
        <f t="shared" si="38"/>
        <v>0</v>
      </c>
      <c r="BG19" s="40"/>
      <c r="BH19" s="81">
        <f t="shared" si="19"/>
        <v>0</v>
      </c>
      <c r="BJ19" s="11">
        <f t="shared" si="20"/>
        <v>494.03999999999814</v>
      </c>
      <c r="BK19" s="11">
        <f t="shared" si="21"/>
        <v>1603.6399999999999</v>
      </c>
      <c r="BL19" s="11">
        <f t="shared" si="22"/>
        <v>0</v>
      </c>
      <c r="BM19" s="11">
        <f t="shared" si="23"/>
        <v>0</v>
      </c>
    </row>
    <row r="20" spans="1:65" ht="15.75" x14ac:dyDescent="0.3">
      <c r="A20" s="111" t="s">
        <v>813</v>
      </c>
      <c r="B20" s="59">
        <f t="shared" si="24"/>
        <v>0</v>
      </c>
      <c r="C20" s="59">
        <f t="shared" si="25"/>
        <v>0</v>
      </c>
      <c r="D20" s="84" t="b">
        <v>1</v>
      </c>
      <c r="E20" s="83" t="b">
        <v>0</v>
      </c>
      <c r="F20" s="11">
        <v>22</v>
      </c>
      <c r="G20" s="11" t="s">
        <v>937</v>
      </c>
      <c r="H20" s="11" t="s">
        <v>938</v>
      </c>
      <c r="I20" s="11" t="s">
        <v>939</v>
      </c>
      <c r="J20" s="11" t="str">
        <f>VLOOKUP(F20,'Verif VS 24'!$A$5:$F$44,5,0)</f>
        <v>Ingénieur - Ecole Nationale de Chimie de Montpellier</v>
      </c>
      <c r="K20" s="11">
        <f>VLOOKUP(F20,'Verif VS 24'!$A$5:$F$44,6,0)</f>
        <v>2017</v>
      </c>
      <c r="L20" s="11" t="s">
        <v>22</v>
      </c>
      <c r="M20" s="94">
        <v>44713</v>
      </c>
      <c r="N20" s="94"/>
      <c r="O20" s="171">
        <f>IF(AND(VALO_PERSO!M88&lt;=parametrage!$A$13,ISBLANK(VALO_PERSO!N88)),100%,IF(AND(VALO_PERSO!M88&gt;=parametrage!$A$13,ISBLANK(VALO_PERSO!N88)),((parametrage!$A$14-VALO_PERSO!M88+1)/365),IF(AND(VALO_PERSO!M88&lt;=parametrage!$A$13,AND(VALO_PERSO!N88&gt;parametrage!$A$13,VALO_PERSO!N88&lt;=parametrage!$A$14)),((VALO_PERSO!N88-parametrage!$A$13)/365),((VALO_PERSO!N88-VALO_PERSO!M88)/365))))</f>
        <v>1</v>
      </c>
      <c r="P20" s="11">
        <f>VLOOKUP(F20,'Fichier pour valo'!A:I,6,0)</f>
        <v>58329.01</v>
      </c>
      <c r="Q20" s="11">
        <f>VLOOKUP(F20,'Fichier pour valo'!A:I,4,0)</f>
        <v>320.60000000000002</v>
      </c>
      <c r="R20" s="11">
        <f>VLOOKUP(F20,'Fichier pour valo'!A:I,8,0)</f>
        <v>24619.059999999998</v>
      </c>
      <c r="S20" s="11">
        <f>VLOOKUP(F20,'Fichier pour valo'!A:I,5,0)</f>
        <v>23649.119999999995</v>
      </c>
      <c r="T20" s="92">
        <f t="shared" si="0"/>
        <v>0.42207231015921576</v>
      </c>
      <c r="U20" s="92">
        <f t="shared" si="1"/>
        <v>0.96060207010340759</v>
      </c>
      <c r="V20" s="40">
        <f t="shared" si="2"/>
        <v>82298.73</v>
      </c>
      <c r="W20" s="11">
        <f>VLOOKUP(F20,'Fichier pour valo'!A:I,9,0)</f>
        <v>1668.24</v>
      </c>
      <c r="X20" s="40">
        <f t="shared" si="3"/>
        <v>49.332667961444393</v>
      </c>
      <c r="Y20" s="11">
        <f>+VLOOKUP(F20,HRECH!A:P,7,0)</f>
        <v>0</v>
      </c>
      <c r="Z20" s="11">
        <f>+VLOOKUP(F20,HRECH!A:P,16,0)</f>
        <v>641.29999999999984</v>
      </c>
      <c r="AA20" s="11">
        <f>+VLOOKUP(F20,HRECH!A:Q,17,0)</f>
        <v>3.8</v>
      </c>
      <c r="AB20" s="11">
        <f>+VLOOKUP(F20,HRECH!A:P,11,0)</f>
        <v>0</v>
      </c>
      <c r="AC20" s="11">
        <f>+VLOOKUP(F20,HRECH!A:P,9,0)</f>
        <v>0</v>
      </c>
      <c r="AD20" s="11">
        <f>+VLOOKUP(F20,HRECH!A:P,10,0)</f>
        <v>0</v>
      </c>
      <c r="AE20" s="40"/>
      <c r="AF20" s="81">
        <f t="shared" si="4"/>
        <v>645.0999999999998</v>
      </c>
      <c r="AG20" s="93">
        <f t="shared" si="5"/>
        <v>0.38669495995779973</v>
      </c>
      <c r="AI20" s="11"/>
      <c r="AJ20" s="40"/>
      <c r="AK20" s="81">
        <f t="shared" si="6"/>
        <v>0</v>
      </c>
      <c r="AL20" s="93">
        <f t="shared" si="7"/>
        <v>0</v>
      </c>
      <c r="AN20" s="11"/>
      <c r="AO20" s="40"/>
      <c r="AP20" s="81">
        <f t="shared" si="8"/>
        <v>0</v>
      </c>
      <c r="AQ20" s="93">
        <f t="shared" si="9"/>
        <v>0</v>
      </c>
      <c r="AS20" s="28">
        <f t="shared" si="40"/>
        <v>0</v>
      </c>
      <c r="AT20" s="28">
        <f t="shared" si="33"/>
        <v>31637.039963674284</v>
      </c>
      <c r="AU20" s="28">
        <f t="shared" si="34"/>
        <v>187.46413825348867</v>
      </c>
      <c r="AV20" s="28">
        <f t="shared" si="35"/>
        <v>0</v>
      </c>
      <c r="AW20" s="28">
        <f t="shared" si="36"/>
        <v>0</v>
      </c>
      <c r="AX20" s="28">
        <f t="shared" si="37"/>
        <v>0</v>
      </c>
      <c r="AY20" s="40"/>
      <c r="AZ20" s="81">
        <f t="shared" si="16"/>
        <v>31824.504101927774</v>
      </c>
      <c r="BB20" s="11">
        <f t="shared" si="17"/>
        <v>0</v>
      </c>
      <c r="BC20" s="40"/>
      <c r="BD20" s="81">
        <f t="shared" si="18"/>
        <v>0</v>
      </c>
      <c r="BF20" s="11">
        <f t="shared" si="38"/>
        <v>0</v>
      </c>
      <c r="BG20" s="40"/>
      <c r="BH20" s="81">
        <f t="shared" si="19"/>
        <v>0</v>
      </c>
      <c r="BJ20" s="11">
        <f t="shared" si="20"/>
        <v>1023.1400000000002</v>
      </c>
      <c r="BK20" s="11">
        <f t="shared" si="21"/>
        <v>1668.24</v>
      </c>
      <c r="BL20" s="11">
        <f t="shared" si="22"/>
        <v>0</v>
      </c>
      <c r="BM20" s="11">
        <f t="shared" si="23"/>
        <v>0</v>
      </c>
    </row>
    <row r="21" spans="1:65" ht="15.75" x14ac:dyDescent="0.3">
      <c r="A21" s="111" t="s">
        <v>813</v>
      </c>
      <c r="B21" s="59">
        <f t="shared" si="24"/>
        <v>0</v>
      </c>
      <c r="C21" s="59">
        <f t="shared" si="25"/>
        <v>0</v>
      </c>
      <c r="D21" s="84" t="b">
        <v>1</v>
      </c>
      <c r="E21" s="83" t="b">
        <v>0</v>
      </c>
      <c r="F21" s="11">
        <v>23</v>
      </c>
      <c r="G21" s="11" t="s">
        <v>942</v>
      </c>
      <c r="H21" s="11" t="s">
        <v>943</v>
      </c>
      <c r="I21" s="11" t="s">
        <v>1353</v>
      </c>
      <c r="J21" s="11" t="str">
        <f>VLOOKUP(F21,'Verif VS 24'!$A$5:$F$44,5,0)</f>
        <v>Ingénieur - INSA Lyon</v>
      </c>
      <c r="K21" s="11">
        <f>VLOOKUP(F21,'Verif VS 24'!$A$5:$F$44,6,0)</f>
        <v>2021</v>
      </c>
      <c r="L21" s="11" t="s">
        <v>61</v>
      </c>
      <c r="M21" s="94">
        <v>44621</v>
      </c>
      <c r="N21" s="94">
        <v>45716</v>
      </c>
      <c r="O21" s="171">
        <f>IF(AND(VALO_PERSO!M100&lt;=parametrage!$A$13,ISBLANK(VALO_PERSO!N100)),100%,IF(AND(VALO_PERSO!M100&gt;=parametrage!$A$13,ISBLANK(VALO_PERSO!N100)),((parametrage!$A$14-VALO_PERSO!M100+1)/365),IF(AND(VALO_PERSO!M100&lt;=parametrage!$A$13,AND(VALO_PERSO!N100&gt;parametrage!$A$13,VALO_PERSO!N100&lt;=parametrage!$A$14)),((VALO_PERSO!N100-parametrage!$A$13)/365),((VALO_PERSO!N100-VALO_PERSO!M100)/365))))</f>
        <v>1</v>
      </c>
      <c r="P21" s="11">
        <f>VLOOKUP(F21,'Fichier pour valo'!A:I,6,0)</f>
        <v>6819.94</v>
      </c>
      <c r="Q21" s="11">
        <f>VLOOKUP(F21,'Fichier pour valo'!A:I,4,0)</f>
        <v>88.8</v>
      </c>
      <c r="R21" s="11">
        <f>VLOOKUP(F21,'Fichier pour valo'!A:I,8,0)</f>
        <v>2565.2899999999995</v>
      </c>
      <c r="S21" s="11">
        <f>VLOOKUP(F21,'Fichier pour valo'!A:I,5,0)</f>
        <v>2384.8399999999997</v>
      </c>
      <c r="T21" s="92">
        <f t="shared" si="0"/>
        <v>0.37614553793728384</v>
      </c>
      <c r="U21" s="92">
        <f t="shared" si="1"/>
        <v>0.92965707580819323</v>
      </c>
      <c r="V21" s="40">
        <f t="shared" si="2"/>
        <v>9293.58</v>
      </c>
      <c r="W21" s="11">
        <f>VLOOKUP(F21,'Fichier pour valo'!A:I,9,0)</f>
        <v>314.14</v>
      </c>
      <c r="X21" s="40">
        <f t="shared" si="3"/>
        <v>29.584198128223086</v>
      </c>
      <c r="Y21" s="11">
        <f>+VLOOKUP(F21,HRECH!A:P,7,0)</f>
        <v>0</v>
      </c>
      <c r="Z21" s="11">
        <f>+VLOOKUP(F21,HRECH!A:P,16,0)</f>
        <v>0</v>
      </c>
      <c r="AA21" s="11">
        <f>+VLOOKUP(F21,HRECH!A:Q,17,0)</f>
        <v>243.19999999999987</v>
      </c>
      <c r="AB21" s="11">
        <f>+VLOOKUP(F21,HRECH!A:P,11,0)</f>
        <v>0</v>
      </c>
      <c r="AC21" s="11">
        <f>+VLOOKUP(F21,HRECH!A:P,9,0)</f>
        <v>0</v>
      </c>
      <c r="AD21" s="11">
        <f>+VLOOKUP(F21,HRECH!A:P,10,0)</f>
        <v>0</v>
      </c>
      <c r="AE21" s="40"/>
      <c r="AF21" s="81">
        <f t="shared" si="4"/>
        <v>243.19999999999987</v>
      </c>
      <c r="AG21" s="93">
        <f t="shared" si="5"/>
        <v>0.77417711848220505</v>
      </c>
      <c r="AI21" s="11"/>
      <c r="AJ21" s="40"/>
      <c r="AK21" s="81">
        <f t="shared" si="6"/>
        <v>0</v>
      </c>
      <c r="AL21" s="93">
        <f t="shared" si="7"/>
        <v>0</v>
      </c>
      <c r="AN21" s="11"/>
      <c r="AO21" s="40"/>
      <c r="AP21" s="81">
        <f t="shared" si="8"/>
        <v>0</v>
      </c>
      <c r="AQ21" s="93">
        <f t="shared" si="9"/>
        <v>0</v>
      </c>
      <c r="AS21" s="28">
        <f t="shared" si="40"/>
        <v>0</v>
      </c>
      <c r="AT21" s="28">
        <f t="shared" si="33"/>
        <v>0</v>
      </c>
      <c r="AU21" s="28">
        <f t="shared" si="34"/>
        <v>7194.8769847838512</v>
      </c>
      <c r="AV21" s="28">
        <f t="shared" si="35"/>
        <v>0</v>
      </c>
      <c r="AW21" s="28">
        <f t="shared" si="36"/>
        <v>0</v>
      </c>
      <c r="AX21" s="28">
        <f t="shared" si="37"/>
        <v>0</v>
      </c>
      <c r="AY21" s="40"/>
      <c r="AZ21" s="81">
        <f t="shared" si="16"/>
        <v>7194.8769847838512</v>
      </c>
      <c r="BB21" s="11">
        <f t="shared" si="17"/>
        <v>0</v>
      </c>
      <c r="BC21" s="40"/>
      <c r="BD21" s="81">
        <f t="shared" si="18"/>
        <v>0</v>
      </c>
      <c r="BF21" s="11">
        <f t="shared" si="38"/>
        <v>0</v>
      </c>
      <c r="BG21" s="40"/>
      <c r="BH21" s="81">
        <f t="shared" si="19"/>
        <v>0</v>
      </c>
      <c r="BJ21" s="11">
        <f t="shared" si="20"/>
        <v>70.940000000000111</v>
      </c>
      <c r="BK21" s="11">
        <f t="shared" si="21"/>
        <v>314.14</v>
      </c>
      <c r="BL21" s="11">
        <f t="shared" si="22"/>
        <v>0</v>
      </c>
      <c r="BM21" s="11">
        <f t="shared" si="23"/>
        <v>0</v>
      </c>
    </row>
    <row r="22" spans="1:65" ht="15.75" x14ac:dyDescent="0.3">
      <c r="A22" s="111" t="s">
        <v>813</v>
      </c>
      <c r="B22" s="59">
        <f t="shared" si="24"/>
        <v>0</v>
      </c>
      <c r="C22" s="59">
        <f t="shared" si="25"/>
        <v>0</v>
      </c>
      <c r="D22" s="84" t="b">
        <v>1</v>
      </c>
      <c r="E22" s="83" t="b">
        <v>0</v>
      </c>
      <c r="F22" s="11">
        <v>24</v>
      </c>
      <c r="G22" s="11" t="s">
        <v>947</v>
      </c>
      <c r="H22" s="11" t="s">
        <v>948</v>
      </c>
      <c r="I22" s="11" t="s">
        <v>1359</v>
      </c>
      <c r="J22" s="11" t="str">
        <f>VLOOKUP(F22,'Verif VS 24'!$A$5:$F$44,5,0)</f>
        <v>Doctorat - Biochimie et Biologie Structurale - Université Paris Saclay</v>
      </c>
      <c r="K22" s="11">
        <f>VLOOKUP(F22,'Verif VS 24'!$A$5:$F$44,6,0)</f>
        <v>2020</v>
      </c>
      <c r="L22" s="11" t="s">
        <v>22</v>
      </c>
      <c r="M22" s="94">
        <v>44564</v>
      </c>
      <c r="N22" s="94"/>
      <c r="O22" s="171">
        <f>IF(AND(VALO_PERSO!M60&lt;=parametrage!$A$13,ISBLANK(VALO_PERSO!N60)),100%,IF(AND(VALO_PERSO!M60&gt;=parametrage!$A$13,ISBLANK(VALO_PERSO!N60)),((parametrage!$A$14-VALO_PERSO!M60+1)/365),IF(AND(VALO_PERSO!M60&lt;=parametrage!$A$13,AND(VALO_PERSO!N60&gt;parametrage!$A$13,VALO_PERSO!N60&lt;=parametrage!$A$14)),((VALO_PERSO!N60-parametrage!$A$13)/365),((VALO_PERSO!N60-VALO_PERSO!M60)/365))))</f>
        <v>1</v>
      </c>
      <c r="P22" s="11">
        <f>VLOOKUP(F22,'Fichier pour valo'!A:I,6,0)</f>
        <v>61446.32</v>
      </c>
      <c r="Q22" s="11">
        <f>VLOOKUP(F22,'Fichier pour valo'!A:I,4,0)</f>
        <v>0</v>
      </c>
      <c r="R22" s="11">
        <f>VLOOKUP(F22,'Fichier pour valo'!A:I,8,0)</f>
        <v>25902.21</v>
      </c>
      <c r="S22" s="11">
        <f>VLOOKUP(F22,'Fichier pour valo'!A:I,5,0)</f>
        <v>24882.940000000002</v>
      </c>
      <c r="T22" s="92">
        <f t="shared" si="0"/>
        <v>0.42154208746756516</v>
      </c>
      <c r="U22" s="92">
        <f t="shared" si="1"/>
        <v>0.96064930366945533</v>
      </c>
      <c r="V22" s="40">
        <f t="shared" si="2"/>
        <v>86329.260000000009</v>
      </c>
      <c r="W22" s="11">
        <f>VLOOKUP(F22,'Fichier pour valo'!A:I,9,0)</f>
        <v>1705.2399999999998</v>
      </c>
      <c r="X22" s="40">
        <f t="shared" si="3"/>
        <v>50.625870845159639</v>
      </c>
      <c r="Y22" s="11">
        <f>+VLOOKUP(F22,HRECH!A:P,7,0)</f>
        <v>0</v>
      </c>
      <c r="Z22" s="11">
        <f>+VLOOKUP(F22,HRECH!A:P,16,0)</f>
        <v>1534.6999999999966</v>
      </c>
      <c r="AA22" s="11">
        <f>+VLOOKUP(F22,HRECH!A:Q,17,0)</f>
        <v>0</v>
      </c>
      <c r="AB22" s="11">
        <f>+VLOOKUP(F22,HRECH!A:P,11,0)</f>
        <v>0</v>
      </c>
      <c r="AC22" s="11">
        <f>+VLOOKUP(F22,HRECH!A:P,9,0)</f>
        <v>0</v>
      </c>
      <c r="AD22" s="11">
        <f>+VLOOKUP(F22,HRECH!A:P,10,0)</f>
        <v>0</v>
      </c>
      <c r="AE22" s="40"/>
      <c r="AF22" s="81">
        <f t="shared" si="4"/>
        <v>1534.6999999999966</v>
      </c>
      <c r="AG22" s="93">
        <f t="shared" si="5"/>
        <v>0.89999061715652739</v>
      </c>
      <c r="AI22" s="11"/>
      <c r="AJ22" s="40"/>
      <c r="AK22" s="81">
        <f t="shared" si="6"/>
        <v>0</v>
      </c>
      <c r="AL22" s="93">
        <f t="shared" si="7"/>
        <v>0</v>
      </c>
      <c r="AN22" s="11"/>
      <c r="AO22" s="40"/>
      <c r="AP22" s="81">
        <f t="shared" si="8"/>
        <v>0</v>
      </c>
      <c r="AQ22" s="93">
        <f t="shared" si="9"/>
        <v>0</v>
      </c>
      <c r="AS22" s="28">
        <f t="shared" si="40"/>
        <v>0</v>
      </c>
      <c r="AT22" s="28">
        <f t="shared" si="33"/>
        <v>77695.523986066328</v>
      </c>
      <c r="AU22" s="28">
        <f t="shared" si="34"/>
        <v>0</v>
      </c>
      <c r="AV22" s="28">
        <f t="shared" si="35"/>
        <v>0</v>
      </c>
      <c r="AW22" s="28">
        <f t="shared" si="36"/>
        <v>0</v>
      </c>
      <c r="AX22" s="28">
        <f t="shared" si="37"/>
        <v>0</v>
      </c>
      <c r="AY22" s="40"/>
      <c r="AZ22" s="81">
        <f t="shared" si="16"/>
        <v>77695.523986066328</v>
      </c>
      <c r="BB22" s="11">
        <f t="shared" si="17"/>
        <v>0</v>
      </c>
      <c r="BC22" s="40"/>
      <c r="BD22" s="81">
        <f t="shared" si="18"/>
        <v>0</v>
      </c>
      <c r="BF22" s="11">
        <f t="shared" si="38"/>
        <v>0</v>
      </c>
      <c r="BG22" s="40"/>
      <c r="BH22" s="81">
        <f t="shared" si="19"/>
        <v>0</v>
      </c>
      <c r="BJ22" s="11">
        <f t="shared" si="20"/>
        <v>170.54000000000315</v>
      </c>
      <c r="BK22" s="11">
        <f t="shared" si="21"/>
        <v>1705.2399999999998</v>
      </c>
      <c r="BL22" s="11">
        <f t="shared" si="22"/>
        <v>0</v>
      </c>
      <c r="BM22" s="11">
        <f t="shared" si="23"/>
        <v>0</v>
      </c>
    </row>
    <row r="23" spans="1:65" ht="15.75" x14ac:dyDescent="0.3">
      <c r="A23" s="111" t="s">
        <v>813</v>
      </c>
      <c r="B23" s="59">
        <f t="shared" si="24"/>
        <v>0</v>
      </c>
      <c r="C23" s="59">
        <f t="shared" si="25"/>
        <v>0</v>
      </c>
      <c r="D23" s="84" t="b">
        <v>1</v>
      </c>
      <c r="E23" s="83" t="b">
        <v>0</v>
      </c>
      <c r="F23" s="11">
        <v>26</v>
      </c>
      <c r="G23" s="11" t="s">
        <v>1188</v>
      </c>
      <c r="H23" s="11" t="s">
        <v>952</v>
      </c>
      <c r="I23" s="11" t="s">
        <v>930</v>
      </c>
      <c r="J23" s="11" t="str">
        <f>VLOOKUP(F23,'Verif VS 24'!$A$5:$F$44,5,0)</f>
        <v>DUT - Bio-Industrie et Biotechnologies -IUT Pau</v>
      </c>
      <c r="K23" s="11">
        <f>VLOOKUP(F23,'Verif VS 24'!$A$5:$F$44,6,0)</f>
        <v>2017</v>
      </c>
      <c r="L23" s="11" t="s">
        <v>35</v>
      </c>
      <c r="M23" s="94">
        <v>44621</v>
      </c>
      <c r="N23" s="94"/>
      <c r="O23" s="171">
        <f>IF(AND(VALO_PERSO!M69&lt;=parametrage!$A$13,ISBLANK(VALO_PERSO!N69)),100%,IF(AND(VALO_PERSO!M69&gt;=parametrage!$A$13,ISBLANK(VALO_PERSO!N69)),((parametrage!$A$14-VALO_PERSO!M69+1)/365),IF(AND(VALO_PERSO!M69&lt;=parametrage!$A$13,AND(VALO_PERSO!N69&gt;parametrage!$A$13,VALO_PERSO!N69&lt;=parametrage!$A$14)),((VALO_PERSO!N69-parametrage!$A$13)/365),((VALO_PERSO!N69-VALO_PERSO!M69)/365))))</f>
        <v>1</v>
      </c>
      <c r="P23" s="11">
        <f>VLOOKUP(F23,'Fichier pour valo'!A:I,6,0)</f>
        <v>38087.230000000003</v>
      </c>
      <c r="Q23" s="11">
        <f>VLOOKUP(F23,'Fichier pour valo'!A:I,4,0)</f>
        <v>165.55</v>
      </c>
      <c r="R23" s="11">
        <f>VLOOKUP(F23,'Fichier pour valo'!A:I,8,0)</f>
        <v>14127.600000000002</v>
      </c>
      <c r="S23" s="11">
        <f>VLOOKUP(F23,'Fichier pour valo'!A:I,5,0)</f>
        <v>13500.7</v>
      </c>
      <c r="T23" s="92">
        <f t="shared" si="0"/>
        <v>0.37092747359154238</v>
      </c>
      <c r="U23" s="92">
        <f t="shared" si="1"/>
        <v>0.95562586709702979</v>
      </c>
      <c r="V23" s="40">
        <f t="shared" si="2"/>
        <v>51753.48000000001</v>
      </c>
      <c r="W23" s="11">
        <f>VLOOKUP(F23,'Fichier pour valo'!A:I,9,0)</f>
        <v>1656.84</v>
      </c>
      <c r="X23" s="40">
        <f t="shared" si="3"/>
        <v>31.236256971101621</v>
      </c>
      <c r="Y23" s="11">
        <f>+VLOOKUP(F23,HRECH!A:P,7,0)</f>
        <v>1565.7599999999995</v>
      </c>
      <c r="Z23" s="11">
        <f>+VLOOKUP(F23,HRECH!A:P,16,0)</f>
        <v>0</v>
      </c>
      <c r="AA23" s="11">
        <f>+VLOOKUP(F23,HRECH!A:Q,17,0)</f>
        <v>0</v>
      </c>
      <c r="AB23" s="11">
        <f>+VLOOKUP(F23,HRECH!A:P,11,0)</f>
        <v>0</v>
      </c>
      <c r="AC23" s="11">
        <f>+VLOOKUP(F23,HRECH!A:P,9,0)</f>
        <v>0</v>
      </c>
      <c r="AD23" s="11">
        <f>+VLOOKUP(F23,HRECH!A:P,10,0)</f>
        <v>0</v>
      </c>
      <c r="AE23" s="40"/>
      <c r="AF23" s="81">
        <f t="shared" si="4"/>
        <v>1565.7599999999995</v>
      </c>
      <c r="AG23" s="93">
        <f t="shared" si="5"/>
        <v>0.94502788440646024</v>
      </c>
      <c r="AI23" s="11"/>
      <c r="AJ23" s="40"/>
      <c r="AK23" s="81">
        <f t="shared" si="6"/>
        <v>0</v>
      </c>
      <c r="AL23" s="93">
        <f t="shared" si="7"/>
        <v>0</v>
      </c>
      <c r="AN23" s="11"/>
      <c r="AO23" s="40"/>
      <c r="AP23" s="81">
        <f t="shared" si="8"/>
        <v>0</v>
      </c>
      <c r="AQ23" s="93">
        <f t="shared" si="9"/>
        <v>0</v>
      </c>
      <c r="AS23" s="28">
        <f t="shared" si="40"/>
        <v>48908.481715072063</v>
      </c>
      <c r="AT23" s="28">
        <f t="shared" si="33"/>
        <v>0</v>
      </c>
      <c r="AU23" s="28">
        <f t="shared" si="34"/>
        <v>0</v>
      </c>
      <c r="AV23" s="28">
        <f t="shared" si="35"/>
        <v>0</v>
      </c>
      <c r="AW23" s="28">
        <f t="shared" si="36"/>
        <v>0</v>
      </c>
      <c r="AX23" s="28">
        <f t="shared" si="37"/>
        <v>0</v>
      </c>
      <c r="AY23" s="40"/>
      <c r="AZ23" s="81">
        <f t="shared" si="16"/>
        <v>48908.481715072063</v>
      </c>
      <c r="BB23" s="11">
        <f t="shared" si="17"/>
        <v>0</v>
      </c>
      <c r="BC23" s="40"/>
      <c r="BD23" s="81">
        <f t="shared" si="18"/>
        <v>0</v>
      </c>
      <c r="BF23" s="11">
        <f t="shared" si="38"/>
        <v>0</v>
      </c>
      <c r="BG23" s="40"/>
      <c r="BH23" s="81">
        <f t="shared" si="19"/>
        <v>0</v>
      </c>
      <c r="BJ23" s="11">
        <f t="shared" si="20"/>
        <v>91.080000000000382</v>
      </c>
      <c r="BK23" s="11">
        <f t="shared" si="21"/>
        <v>1656.84</v>
      </c>
      <c r="BL23" s="11">
        <f t="shared" si="22"/>
        <v>0</v>
      </c>
      <c r="BM23" s="11">
        <f t="shared" si="23"/>
        <v>0</v>
      </c>
    </row>
    <row r="24" spans="1:65" ht="15.75" x14ac:dyDescent="0.3">
      <c r="A24" s="111" t="s">
        <v>813</v>
      </c>
      <c r="B24" s="59">
        <f t="shared" si="24"/>
        <v>0</v>
      </c>
      <c r="C24" s="59">
        <f t="shared" si="25"/>
        <v>0</v>
      </c>
      <c r="D24" s="84" t="b">
        <v>1</v>
      </c>
      <c r="E24" s="83" t="b">
        <v>0</v>
      </c>
      <c r="F24" s="11">
        <v>31</v>
      </c>
      <c r="G24" s="11" t="s">
        <v>955</v>
      </c>
      <c r="H24" s="11" t="s">
        <v>925</v>
      </c>
      <c r="I24" s="11" t="s">
        <v>1363</v>
      </c>
      <c r="J24" s="11" t="str">
        <f>VLOOKUP(F24,'Verif VS 24'!$A$5:$F$44,5,0)</f>
        <v>Licence Professionnelle Biotechnologies - IUT Montpellier</v>
      </c>
      <c r="K24" s="11">
        <f>VLOOKUP(F24,'Verif VS 24'!$A$5:$F$44,6,0)</f>
        <v>2012</v>
      </c>
      <c r="L24" s="11" t="s">
        <v>35</v>
      </c>
      <c r="M24" s="94">
        <v>44713</v>
      </c>
      <c r="N24" s="94"/>
      <c r="O24" s="171">
        <f>IF(AND(VALO_PERSO!M78&lt;=parametrage!$A$13,ISBLANK(VALO_PERSO!N78)),100%,IF(AND(VALO_PERSO!M78&gt;=parametrage!$A$13,ISBLANK(VALO_PERSO!N78)),((parametrage!$A$14-VALO_PERSO!M78+1)/365),IF(AND(VALO_PERSO!M78&lt;=parametrage!$A$13,AND(VALO_PERSO!N78&gt;parametrage!$A$13,VALO_PERSO!N78&lt;=parametrage!$A$14)),((VALO_PERSO!N78-parametrage!$A$13)/365),((VALO_PERSO!N78-VALO_PERSO!M78)/365))))</f>
        <v>1</v>
      </c>
      <c r="P24" s="11">
        <f>VLOOKUP(F24,'Fichier pour valo'!A:I,6,0)</f>
        <v>38311.83</v>
      </c>
      <c r="Q24" s="11">
        <f>VLOOKUP(F24,'Fichier pour valo'!A:I,4,0)</f>
        <v>0</v>
      </c>
      <c r="R24" s="11">
        <f>VLOOKUP(F24,'Fichier pour valo'!A:I,8,0)</f>
        <v>14443.43</v>
      </c>
      <c r="S24" s="11">
        <f>VLOOKUP(F24,'Fichier pour valo'!A:I,5,0)</f>
        <v>13812.83</v>
      </c>
      <c r="T24" s="92">
        <f t="shared" si="0"/>
        <v>0.37699660914135397</v>
      </c>
      <c r="U24" s="92">
        <f t="shared" si="1"/>
        <v>0.9563400106484401</v>
      </c>
      <c r="V24" s="40">
        <f t="shared" si="2"/>
        <v>52124.66</v>
      </c>
      <c r="W24" s="11">
        <f>VLOOKUP(F24,'Fichier pour valo'!A:I,9,0)</f>
        <v>1698.6399999999999</v>
      </c>
      <c r="X24" s="40">
        <f t="shared" si="3"/>
        <v>30.686113596759764</v>
      </c>
      <c r="Y24" s="11">
        <f>+VLOOKUP(F24,HRECH!A:P,7,0)</f>
        <v>383.85000000000036</v>
      </c>
      <c r="Z24" s="11">
        <f>+VLOOKUP(F24,HRECH!A:P,16,0)</f>
        <v>1074.270000000002</v>
      </c>
      <c r="AA24" s="11">
        <f>+VLOOKUP(F24,HRECH!A:Q,17,0)</f>
        <v>0</v>
      </c>
      <c r="AB24" s="11">
        <f>+VLOOKUP(F24,HRECH!A:P,11,0)</f>
        <v>0</v>
      </c>
      <c r="AC24" s="11">
        <f>+VLOOKUP(F24,HRECH!A:P,9,0)</f>
        <v>87.399999999999963</v>
      </c>
      <c r="AD24" s="11">
        <f>+VLOOKUP(F24,HRECH!A:P,10,0)</f>
        <v>0</v>
      </c>
      <c r="AE24" s="40"/>
      <c r="AF24" s="81">
        <f t="shared" si="4"/>
        <v>1545.5200000000023</v>
      </c>
      <c r="AG24" s="93">
        <f t="shared" si="5"/>
        <v>0.90985729760278955</v>
      </c>
      <c r="AI24" s="11"/>
      <c r="AJ24" s="40"/>
      <c r="AK24" s="81">
        <f t="shared" si="6"/>
        <v>0</v>
      </c>
      <c r="AL24" s="93">
        <f t="shared" si="7"/>
        <v>0</v>
      </c>
      <c r="AN24" s="11"/>
      <c r="AO24" s="40"/>
      <c r="AP24" s="81">
        <f t="shared" si="8"/>
        <v>0</v>
      </c>
      <c r="AQ24" s="93">
        <f t="shared" si="9"/>
        <v>0</v>
      </c>
      <c r="AS24" s="28">
        <f t="shared" ref="AS24:AS31" si="41">IFERROR(Y24*$V24/$W24,0)</f>
        <v>11778.864704116246</v>
      </c>
      <c r="AT24" s="28">
        <f t="shared" si="33"/>
        <v>32965.171253591179</v>
      </c>
      <c r="AU24" s="28">
        <f t="shared" si="34"/>
        <v>0</v>
      </c>
      <c r="AV24" s="28">
        <f t="shared" si="35"/>
        <v>0</v>
      </c>
      <c r="AW24" s="28">
        <f t="shared" si="36"/>
        <v>2681.966328356802</v>
      </c>
      <c r="AX24" s="28">
        <f t="shared" si="37"/>
        <v>0</v>
      </c>
      <c r="AY24" s="40"/>
      <c r="AZ24" s="81">
        <f t="shared" si="16"/>
        <v>47426.002286064228</v>
      </c>
      <c r="BB24" s="11">
        <f t="shared" si="17"/>
        <v>0</v>
      </c>
      <c r="BC24" s="40"/>
      <c r="BD24" s="81">
        <f t="shared" si="18"/>
        <v>0</v>
      </c>
      <c r="BF24" s="11">
        <f t="shared" si="38"/>
        <v>0</v>
      </c>
      <c r="BG24" s="40"/>
      <c r="BH24" s="81">
        <f t="shared" si="19"/>
        <v>0</v>
      </c>
      <c r="BJ24" s="11">
        <f t="shared" si="20"/>
        <v>153.11999999999762</v>
      </c>
      <c r="BK24" s="11">
        <f t="shared" si="21"/>
        <v>1698.6399999999999</v>
      </c>
      <c r="BL24" s="11">
        <f t="shared" si="22"/>
        <v>0</v>
      </c>
      <c r="BM24" s="11">
        <f t="shared" si="23"/>
        <v>0</v>
      </c>
    </row>
    <row r="25" spans="1:65" ht="15.75" x14ac:dyDescent="0.3">
      <c r="A25" s="111" t="s">
        <v>813</v>
      </c>
      <c r="B25" s="59">
        <f t="shared" si="24"/>
        <v>0</v>
      </c>
      <c r="C25" s="59">
        <f t="shared" si="25"/>
        <v>0</v>
      </c>
      <c r="D25" s="84" t="b">
        <v>1</v>
      </c>
      <c r="E25" s="83" t="b">
        <v>0</v>
      </c>
      <c r="F25" s="11">
        <v>32</v>
      </c>
      <c r="G25" s="11" t="s">
        <v>958</v>
      </c>
      <c r="H25" s="11" t="s">
        <v>959</v>
      </c>
      <c r="I25" s="11" t="s">
        <v>902</v>
      </c>
      <c r="J25" s="11" t="str">
        <f>VLOOKUP(F25,'Verif VS 24'!$A$5:$F$44,5,0)</f>
        <v>Ingénieur - Génie Biologique - Polytechnique Marseille</v>
      </c>
      <c r="K25" s="11">
        <f>VLOOKUP(F25,'Verif VS 24'!$A$5:$F$44,6,0)</f>
        <v>2017</v>
      </c>
      <c r="L25" s="11" t="s">
        <v>22</v>
      </c>
      <c r="M25" s="94">
        <v>45097</v>
      </c>
      <c r="N25" s="94"/>
      <c r="O25" s="171">
        <f>IF(AND(VALO_PERSO!M56&lt;=parametrage!$A$13,ISBLANK(VALO_PERSO!N56)),100%,IF(AND(VALO_PERSO!M56&gt;=parametrage!$A$13,ISBLANK(VALO_PERSO!N56)),((parametrage!$A$14-VALO_PERSO!M56+1)/365),IF(AND(VALO_PERSO!M56&lt;=parametrage!$A$13,AND(VALO_PERSO!N56&gt;parametrage!$A$13,VALO_PERSO!N56&lt;=parametrage!$A$14)),((VALO_PERSO!N56-parametrage!$A$13)/365),((VALO_PERSO!N56-VALO_PERSO!M56)/365))))</f>
        <v>1</v>
      </c>
      <c r="P25" s="11">
        <f>VLOOKUP(F25,'Fichier pour valo'!A:I,6,0)</f>
        <v>56665.37</v>
      </c>
      <c r="Q25" s="11">
        <f>VLOOKUP(F25,'Fichier pour valo'!A:I,4,0)</f>
        <v>0</v>
      </c>
      <c r="R25" s="11">
        <f>VLOOKUP(F25,'Fichier pour valo'!A:I,8,0)</f>
        <v>23934.629999999997</v>
      </c>
      <c r="S25" s="11">
        <f>VLOOKUP(F25,'Fichier pour valo'!A:I,5,0)</f>
        <v>22990.989999999998</v>
      </c>
      <c r="T25" s="92">
        <f t="shared" si="0"/>
        <v>0.42238548870324144</v>
      </c>
      <c r="U25" s="92">
        <f t="shared" si="1"/>
        <v>0.96057428086417052</v>
      </c>
      <c r="V25" s="40">
        <f t="shared" si="2"/>
        <v>79656.36</v>
      </c>
      <c r="W25" s="11">
        <f>VLOOKUP(F25,'Fichier pour valo'!A:I,9,0)</f>
        <v>1645.4399999999998</v>
      </c>
      <c r="X25" s="40">
        <f t="shared" si="3"/>
        <v>48.410370478413071</v>
      </c>
      <c r="Y25" s="11">
        <f>+VLOOKUP(F25,HRECH!A:P,7,0)</f>
        <v>402.80000000000075</v>
      </c>
      <c r="Z25" s="11">
        <f>+VLOOKUP(F25,HRECH!A:P,16,0)</f>
        <v>955.40000000000225</v>
      </c>
      <c r="AA25" s="11">
        <f>+VLOOKUP(F25,HRECH!A:Q,17,0)</f>
        <v>0</v>
      </c>
      <c r="AB25" s="11">
        <f>+VLOOKUP(F25,HRECH!A:P,11,0)</f>
        <v>0</v>
      </c>
      <c r="AC25" s="11">
        <f>+VLOOKUP(F25,HRECH!A:P,9,0)</f>
        <v>34.200000000000003</v>
      </c>
      <c r="AD25" s="11">
        <f>+VLOOKUP(F25,HRECH!A:P,10,0)</f>
        <v>0</v>
      </c>
      <c r="AE25" s="40"/>
      <c r="AF25" s="81">
        <f t="shared" si="4"/>
        <v>1392.400000000003</v>
      </c>
      <c r="AG25" s="93">
        <f t="shared" si="5"/>
        <v>0.84621742512641185</v>
      </c>
      <c r="AI25" s="11"/>
      <c r="AJ25" s="40"/>
      <c r="AK25" s="81">
        <f t="shared" si="6"/>
        <v>0</v>
      </c>
      <c r="AL25" s="93">
        <f t="shared" si="7"/>
        <v>0</v>
      </c>
      <c r="AN25" s="11"/>
      <c r="AO25" s="40"/>
      <c r="AP25" s="81">
        <f t="shared" si="8"/>
        <v>0</v>
      </c>
      <c r="AQ25" s="93">
        <f t="shared" si="9"/>
        <v>0</v>
      </c>
      <c r="AS25" s="28">
        <f t="shared" si="41"/>
        <v>19499.697228704823</v>
      </c>
      <c r="AT25" s="28">
        <f t="shared" si="33"/>
        <v>46251.267955075957</v>
      </c>
      <c r="AU25" s="28">
        <f t="shared" si="34"/>
        <v>0</v>
      </c>
      <c r="AV25" s="28">
        <f t="shared" si="35"/>
        <v>0</v>
      </c>
      <c r="AW25" s="28">
        <f t="shared" si="36"/>
        <v>1655.6346703617271</v>
      </c>
      <c r="AX25" s="28">
        <f t="shared" si="37"/>
        <v>0</v>
      </c>
      <c r="AY25" s="40"/>
      <c r="AZ25" s="81">
        <f t="shared" si="16"/>
        <v>67406.599854142507</v>
      </c>
      <c r="BB25" s="11">
        <f t="shared" si="17"/>
        <v>0</v>
      </c>
      <c r="BC25" s="40"/>
      <c r="BD25" s="81">
        <f t="shared" si="18"/>
        <v>0</v>
      </c>
      <c r="BF25" s="11">
        <f t="shared" si="38"/>
        <v>0</v>
      </c>
      <c r="BG25" s="40"/>
      <c r="BH25" s="81">
        <f t="shared" si="19"/>
        <v>0</v>
      </c>
      <c r="BJ25" s="11">
        <f t="shared" si="20"/>
        <v>253.03999999999678</v>
      </c>
      <c r="BK25" s="11">
        <f t="shared" si="21"/>
        <v>1645.4399999999998</v>
      </c>
      <c r="BL25" s="11">
        <f t="shared" si="22"/>
        <v>0</v>
      </c>
      <c r="BM25" s="11">
        <f t="shared" si="23"/>
        <v>0</v>
      </c>
    </row>
    <row r="26" spans="1:65" ht="15.75" x14ac:dyDescent="0.3">
      <c r="A26" s="111" t="s">
        <v>813</v>
      </c>
      <c r="B26" s="59">
        <f t="shared" si="24"/>
        <v>0</v>
      </c>
      <c r="C26" s="59">
        <f t="shared" si="25"/>
        <v>0</v>
      </c>
      <c r="D26" s="84" t="b">
        <v>1</v>
      </c>
      <c r="E26" s="83" t="b">
        <v>0</v>
      </c>
      <c r="F26" s="11">
        <v>33</v>
      </c>
      <c r="G26" s="11" t="s">
        <v>962</v>
      </c>
      <c r="H26" s="11" t="s">
        <v>963</v>
      </c>
      <c r="I26" s="11" t="s">
        <v>1365</v>
      </c>
      <c r="J26" s="11" t="str">
        <f>VLOOKUP(F26,'Verif VS 24'!$A$5:$F$44,5,0)</f>
        <v>Licence Professionnelle - Génie Biotechnologies -  Université Paris XI</v>
      </c>
      <c r="K26" s="11">
        <f>VLOOKUP(F26,'Verif VS 24'!$A$5:$F$44,6,0)</f>
        <v>2014</v>
      </c>
      <c r="L26" s="11" t="s">
        <v>35</v>
      </c>
      <c r="M26" s="94">
        <v>45170</v>
      </c>
      <c r="N26" s="94"/>
      <c r="O26" s="171">
        <f>IF(AND(VALO_PERSO!M82&lt;=parametrage!$A$13,ISBLANK(VALO_PERSO!N82)),100%,IF(AND(VALO_PERSO!M82&gt;=parametrage!$A$13,ISBLANK(VALO_PERSO!N82)),((parametrage!$A$14-VALO_PERSO!M82+1)/365),IF(AND(VALO_PERSO!M82&lt;=parametrage!$A$13,AND(VALO_PERSO!N82&gt;parametrage!$A$13,VALO_PERSO!N82&lt;=parametrage!$A$14)),((VALO_PERSO!N82-parametrage!$A$13)/365),((VALO_PERSO!N82-VALO_PERSO!M82)/365))))</f>
        <v>1</v>
      </c>
      <c r="P26" s="11">
        <f>VLOOKUP(F26,'Fichier pour valo'!A:I,6,0)</f>
        <v>38315.9</v>
      </c>
      <c r="Q26" s="11">
        <f>VLOOKUP(F26,'Fichier pour valo'!A:I,4,0)</f>
        <v>0</v>
      </c>
      <c r="R26" s="11">
        <f>VLOOKUP(F26,'Fichier pour valo'!A:I,8,0)</f>
        <v>14444.98</v>
      </c>
      <c r="S26" s="11">
        <f>VLOOKUP(F26,'Fichier pour valo'!A:I,5,0)</f>
        <v>13814.29</v>
      </c>
      <c r="T26" s="92">
        <f t="shared" si="0"/>
        <v>0.37699701690420945</v>
      </c>
      <c r="U26" s="92">
        <f t="shared" si="1"/>
        <v>0.95633846498922126</v>
      </c>
      <c r="V26" s="40">
        <f t="shared" si="2"/>
        <v>52130.19</v>
      </c>
      <c r="W26" s="11">
        <f>VLOOKUP(F26,'Fichier pour valo'!A:I,9,0)</f>
        <v>1611.24</v>
      </c>
      <c r="X26" s="40">
        <f t="shared" si="3"/>
        <v>32.354081328666119</v>
      </c>
      <c r="Y26" s="11">
        <f>+VLOOKUP(F26,HRECH!A:P,7,0)</f>
        <v>0</v>
      </c>
      <c r="Z26" s="11">
        <f>+VLOOKUP(F26,HRECH!A:P,16,0)</f>
        <v>1519.9999999999961</v>
      </c>
      <c r="AA26" s="11">
        <f>+VLOOKUP(F26,HRECH!A:Q,17,0)</f>
        <v>0</v>
      </c>
      <c r="AB26" s="11">
        <f>+VLOOKUP(F26,HRECH!A:P,11,0)</f>
        <v>0</v>
      </c>
      <c r="AC26" s="11">
        <f>+VLOOKUP(F26,HRECH!A:P,9,0)</f>
        <v>0</v>
      </c>
      <c r="AD26" s="11">
        <f>+VLOOKUP(F26,HRECH!A:P,10,0)</f>
        <v>0</v>
      </c>
      <c r="AE26" s="40"/>
      <c r="AF26" s="81">
        <f t="shared" si="4"/>
        <v>1519.9999999999961</v>
      </c>
      <c r="AG26" s="93">
        <f t="shared" si="5"/>
        <v>0.94337280603758356</v>
      </c>
      <c r="AI26" s="11"/>
      <c r="AJ26" s="40"/>
      <c r="AK26" s="81">
        <f t="shared" si="6"/>
        <v>0</v>
      </c>
      <c r="AL26" s="93">
        <f t="shared" si="7"/>
        <v>0</v>
      </c>
      <c r="AN26" s="11"/>
      <c r="AO26" s="40"/>
      <c r="AP26" s="81">
        <f t="shared" si="8"/>
        <v>0</v>
      </c>
      <c r="AQ26" s="93">
        <f t="shared" si="9"/>
        <v>0</v>
      </c>
      <c r="AS26" s="28">
        <f t="shared" si="41"/>
        <v>0</v>
      </c>
      <c r="AT26" s="28">
        <f t="shared" si="33"/>
        <v>49178.203619572378</v>
      </c>
      <c r="AU26" s="28">
        <f t="shared" si="34"/>
        <v>0</v>
      </c>
      <c r="AV26" s="28">
        <f t="shared" si="35"/>
        <v>0</v>
      </c>
      <c r="AW26" s="28">
        <f t="shared" si="36"/>
        <v>0</v>
      </c>
      <c r="AX26" s="28">
        <f t="shared" si="37"/>
        <v>0</v>
      </c>
      <c r="AY26" s="40"/>
      <c r="AZ26" s="81">
        <f t="shared" si="16"/>
        <v>49178.203619572378</v>
      </c>
      <c r="BB26" s="11">
        <f t="shared" si="17"/>
        <v>0</v>
      </c>
      <c r="BC26" s="40"/>
      <c r="BD26" s="81">
        <f t="shared" si="18"/>
        <v>0</v>
      </c>
      <c r="BF26" s="11">
        <f t="shared" si="38"/>
        <v>0</v>
      </c>
      <c r="BG26" s="40"/>
      <c r="BH26" s="81">
        <f t="shared" si="19"/>
        <v>0</v>
      </c>
      <c r="BJ26" s="11">
        <f t="shared" si="20"/>
        <v>91.240000000003874</v>
      </c>
      <c r="BK26" s="11">
        <f t="shared" si="21"/>
        <v>1611.24</v>
      </c>
      <c r="BL26" s="11">
        <f t="shared" si="22"/>
        <v>0</v>
      </c>
      <c r="BM26" s="11">
        <f t="shared" si="23"/>
        <v>0</v>
      </c>
    </row>
    <row r="27" spans="1:65" ht="15.75" x14ac:dyDescent="0.3">
      <c r="A27" s="111" t="s">
        <v>813</v>
      </c>
      <c r="B27" s="59">
        <f t="shared" si="24"/>
        <v>0</v>
      </c>
      <c r="C27" s="59">
        <f t="shared" si="25"/>
        <v>0</v>
      </c>
      <c r="D27" s="84" t="b">
        <v>1</v>
      </c>
      <c r="E27" s="83" t="b">
        <v>0</v>
      </c>
      <c r="F27" s="11">
        <v>34</v>
      </c>
      <c r="G27" s="11" t="s">
        <v>966</v>
      </c>
      <c r="H27" s="11" t="s">
        <v>943</v>
      </c>
      <c r="I27" s="11" t="s">
        <v>967</v>
      </c>
      <c r="J27" s="11" t="str">
        <f>VLOOKUP(F27,'Verif VS 24'!$A$5:$F$44,5,0)</f>
        <v>DUT - Chimie industrielle - IUT Rennes</v>
      </c>
      <c r="K27" s="11">
        <f>VLOOKUP(F27,'Verif VS 24'!$A$5:$F$44,6,0)</f>
        <v>2022</v>
      </c>
      <c r="L27" s="11" t="s">
        <v>35</v>
      </c>
      <c r="M27" s="94">
        <v>45200</v>
      </c>
      <c r="N27" s="94"/>
      <c r="O27" s="171">
        <f>IF(AND(VALO_PERSO!M97&lt;=parametrage!$A$13,ISBLANK(VALO_PERSO!N97)),100%,IF(AND(VALO_PERSO!M97&gt;=parametrage!$A$13,ISBLANK(VALO_PERSO!N97)),((parametrage!$A$14-VALO_PERSO!M97+1)/365),IF(AND(VALO_PERSO!M97&lt;=parametrage!$A$13,AND(VALO_PERSO!N97&gt;parametrage!$A$13,VALO_PERSO!N97&lt;=parametrage!$A$14)),((VALO_PERSO!N97-parametrage!$A$13)/365),((VALO_PERSO!N97-VALO_PERSO!M97)/365))))</f>
        <v>1</v>
      </c>
      <c r="P27" s="11">
        <f>VLOOKUP(F27,'Fichier pour valo'!A:I,6,0)</f>
        <v>36818.67</v>
      </c>
      <c r="Q27" s="11">
        <f>VLOOKUP(F27,'Fichier pour valo'!A:I,4,0)</f>
        <v>0</v>
      </c>
      <c r="R27" s="11">
        <f>VLOOKUP(F27,'Fichier pour valo'!A:I,8,0)</f>
        <v>13142.329999999998</v>
      </c>
      <c r="S27" s="11">
        <f>VLOOKUP(F27,'Fichier pour valo'!A:I,5,0)</f>
        <v>12536.34</v>
      </c>
      <c r="T27" s="92">
        <f t="shared" si="0"/>
        <v>0.35694743998085748</v>
      </c>
      <c r="U27" s="92">
        <f t="shared" si="1"/>
        <v>0.95389021581409095</v>
      </c>
      <c r="V27" s="40">
        <f t="shared" si="2"/>
        <v>49355.009999999995</v>
      </c>
      <c r="W27" s="11">
        <f>VLOOKUP(F27,'Fichier pour valo'!A:I,9,0)</f>
        <v>1637.84</v>
      </c>
      <c r="X27" s="40">
        <f t="shared" si="3"/>
        <v>30.134207248571286</v>
      </c>
      <c r="Y27" s="11">
        <f>+VLOOKUP(F27,HRECH!A:P,7,0)</f>
        <v>22.799999999999997</v>
      </c>
      <c r="Z27" s="11">
        <f>+VLOOKUP(F27,HRECH!A:P,16,0)</f>
        <v>1349.8000000000018</v>
      </c>
      <c r="AA27" s="11">
        <f>+VLOOKUP(F27,HRECH!A:Q,17,0)</f>
        <v>132.64999999999998</v>
      </c>
      <c r="AB27" s="11">
        <f>+VLOOKUP(F27,HRECH!A:P,11,0)</f>
        <v>0</v>
      </c>
      <c r="AC27" s="11">
        <f>+VLOOKUP(F27,HRECH!A:P,9,0)</f>
        <v>0</v>
      </c>
      <c r="AD27" s="11">
        <f>+VLOOKUP(F27,HRECH!A:P,10,0)</f>
        <v>0</v>
      </c>
      <c r="AE27" s="40"/>
      <c r="AF27" s="81">
        <f t="shared" si="4"/>
        <v>1505.2500000000018</v>
      </c>
      <c r="AG27" s="93">
        <f t="shared" si="5"/>
        <v>0.91904581644116756</v>
      </c>
      <c r="AI27" s="11"/>
      <c r="AJ27" s="40"/>
      <c r="AK27" s="81">
        <f t="shared" si="6"/>
        <v>0</v>
      </c>
      <c r="AL27" s="93">
        <f t="shared" si="7"/>
        <v>0</v>
      </c>
      <c r="AN27" s="11"/>
      <c r="AO27" s="40"/>
      <c r="AP27" s="81">
        <f t="shared" si="8"/>
        <v>0</v>
      </c>
      <c r="AQ27" s="93">
        <f t="shared" si="9"/>
        <v>0</v>
      </c>
      <c r="AS27" s="28">
        <f t="shared" si="41"/>
        <v>687.05992526742523</v>
      </c>
      <c r="AT27" s="28">
        <f t="shared" si="33"/>
        <v>40675.152944121575</v>
      </c>
      <c r="AU27" s="28">
        <f t="shared" si="34"/>
        <v>3997.3025915229809</v>
      </c>
      <c r="AV27" s="28">
        <f t="shared" si="35"/>
        <v>0</v>
      </c>
      <c r="AW27" s="28">
        <f t="shared" si="36"/>
        <v>0</v>
      </c>
      <c r="AX27" s="28">
        <f t="shared" si="37"/>
        <v>0</v>
      </c>
      <c r="AY27" s="40"/>
      <c r="AZ27" s="81">
        <f t="shared" si="16"/>
        <v>45359.515460911978</v>
      </c>
      <c r="BB27" s="11">
        <f t="shared" si="17"/>
        <v>0</v>
      </c>
      <c r="BC27" s="40"/>
      <c r="BD27" s="81">
        <f t="shared" si="18"/>
        <v>0</v>
      </c>
      <c r="BF27" s="11">
        <f t="shared" si="38"/>
        <v>0</v>
      </c>
      <c r="BG27" s="40"/>
      <c r="BH27" s="81">
        <f t="shared" si="19"/>
        <v>0</v>
      </c>
      <c r="BJ27" s="11">
        <f t="shared" si="20"/>
        <v>132.5899999999981</v>
      </c>
      <c r="BK27" s="11">
        <f t="shared" si="21"/>
        <v>1637.84</v>
      </c>
      <c r="BL27" s="11">
        <f t="shared" si="22"/>
        <v>0</v>
      </c>
      <c r="BM27" s="11">
        <f t="shared" si="23"/>
        <v>0</v>
      </c>
    </row>
    <row r="28" spans="1:65" ht="15.75" x14ac:dyDescent="0.3">
      <c r="A28" s="111" t="s">
        <v>813</v>
      </c>
      <c r="B28" s="59">
        <f t="shared" si="24"/>
        <v>0</v>
      </c>
      <c r="C28" s="59">
        <f t="shared" si="25"/>
        <v>0</v>
      </c>
      <c r="D28" s="84" t="b">
        <v>1</v>
      </c>
      <c r="E28" s="83" t="b">
        <v>0</v>
      </c>
      <c r="F28" s="11">
        <v>35</v>
      </c>
      <c r="G28" s="11" t="s">
        <v>970</v>
      </c>
      <c r="H28" s="11" t="s">
        <v>971</v>
      </c>
      <c r="I28" s="11" t="s">
        <v>967</v>
      </c>
      <c r="J28" s="11" t="str">
        <f>VLOOKUP(F28,'Verif VS 24'!$A$5:$F$44,5,0)</f>
        <v>Baccalauréat Professionnel Chimie</v>
      </c>
      <c r="K28" s="11">
        <f>VLOOKUP(F28,'Verif VS 24'!$A$5:$F$44,6,0)</f>
        <v>2007</v>
      </c>
      <c r="L28" s="11" t="s">
        <v>35</v>
      </c>
      <c r="M28" s="94">
        <v>45200</v>
      </c>
      <c r="N28" s="94"/>
      <c r="O28" s="171">
        <f>IF(AND(VALO_PERSO!M85&lt;=parametrage!$A$13,ISBLANK(VALO_PERSO!N85)),100%,IF(AND(VALO_PERSO!M85&gt;=parametrage!$A$13,ISBLANK(VALO_PERSO!N85)),((parametrage!$A$14-VALO_PERSO!M85+1)/365),IF(AND(VALO_PERSO!M85&lt;=parametrage!$A$13,AND(VALO_PERSO!N85&gt;parametrage!$A$13,VALO_PERSO!N85&lt;=parametrage!$A$14)),((VALO_PERSO!N85-parametrage!$A$13)/365),((VALO_PERSO!N85-VALO_PERSO!M85)/365))))</f>
        <v>1</v>
      </c>
      <c r="P28" s="11">
        <f>VLOOKUP(F28,'Fichier pour valo'!A:I,6,0)</f>
        <v>38778.019999999997</v>
      </c>
      <c r="Q28" s="11">
        <f>VLOOKUP(F28,'Fichier pour valo'!A:I,4,0)</f>
        <v>0</v>
      </c>
      <c r="R28" s="11">
        <f>VLOOKUP(F28,'Fichier pour valo'!A:I,8,0)</f>
        <v>14229.429999999998</v>
      </c>
      <c r="S28" s="11">
        <f>VLOOKUP(F28,'Fichier pour valo'!A:I,5,0)</f>
        <v>13591.119999999999</v>
      </c>
      <c r="T28" s="92">
        <f t="shared" si="0"/>
        <v>0.3669457594792101</v>
      </c>
      <c r="U28" s="92">
        <f t="shared" si="1"/>
        <v>0.95514156224107361</v>
      </c>
      <c r="V28" s="40">
        <f t="shared" si="2"/>
        <v>52369.14</v>
      </c>
      <c r="W28" s="11">
        <f>VLOOKUP(F28,'Fichier pour valo'!A:I,9,0)</f>
        <v>1512.4399999999998</v>
      </c>
      <c r="X28" s="40">
        <f t="shared" si="3"/>
        <v>34.625598370844465</v>
      </c>
      <c r="Y28" s="11">
        <f>+VLOOKUP(F28,HRECH!A:P,7,0)</f>
        <v>0</v>
      </c>
      <c r="Z28" s="11">
        <f>+VLOOKUP(F28,HRECH!A:P,16,0)</f>
        <v>1179.6400000000008</v>
      </c>
      <c r="AA28" s="11">
        <f>+VLOOKUP(F28,HRECH!A:Q,17,0)</f>
        <v>162.14999999999998</v>
      </c>
      <c r="AB28" s="11">
        <f>+VLOOKUP(F28,HRECH!A:P,11,0)</f>
        <v>0</v>
      </c>
      <c r="AC28" s="11">
        <f>+VLOOKUP(F28,HRECH!A:P,9,0)</f>
        <v>0</v>
      </c>
      <c r="AD28" s="11">
        <f>+VLOOKUP(F28,HRECH!A:P,10,0)</f>
        <v>0</v>
      </c>
      <c r="AE28" s="40"/>
      <c r="AF28" s="81">
        <f t="shared" si="4"/>
        <v>1341.7900000000009</v>
      </c>
      <c r="AG28" s="93">
        <f t="shared" si="5"/>
        <v>0.88716907778159859</v>
      </c>
      <c r="AI28" s="11"/>
      <c r="AJ28" s="40"/>
      <c r="AK28" s="81">
        <f t="shared" si="6"/>
        <v>0</v>
      </c>
      <c r="AL28" s="93">
        <f t="shared" si="7"/>
        <v>0</v>
      </c>
      <c r="AN28" s="11"/>
      <c r="AO28" s="40"/>
      <c r="AP28" s="81">
        <f t="shared" si="8"/>
        <v>0</v>
      </c>
      <c r="AQ28" s="93">
        <f t="shared" si="9"/>
        <v>0</v>
      </c>
      <c r="AS28" s="28">
        <f t="shared" si="41"/>
        <v>0</v>
      </c>
      <c r="AT28" s="28">
        <f t="shared" si="33"/>
        <v>40845.740862182996</v>
      </c>
      <c r="AU28" s="28">
        <f t="shared" si="34"/>
        <v>5614.54077583243</v>
      </c>
      <c r="AV28" s="28">
        <f t="shared" si="35"/>
        <v>0</v>
      </c>
      <c r="AW28" s="28">
        <f t="shared" si="36"/>
        <v>0</v>
      </c>
      <c r="AX28" s="28">
        <f t="shared" si="37"/>
        <v>0</v>
      </c>
      <c r="AY28" s="40"/>
      <c r="AZ28" s="81">
        <f t="shared" si="16"/>
        <v>46460.281638015425</v>
      </c>
      <c r="BB28" s="11">
        <f t="shared" si="17"/>
        <v>0</v>
      </c>
      <c r="BC28" s="40"/>
      <c r="BD28" s="81">
        <f t="shared" si="18"/>
        <v>0</v>
      </c>
      <c r="BF28" s="11">
        <f t="shared" si="38"/>
        <v>0</v>
      </c>
      <c r="BG28" s="40"/>
      <c r="BH28" s="81">
        <f t="shared" si="19"/>
        <v>0</v>
      </c>
      <c r="BJ28" s="11">
        <f t="shared" si="20"/>
        <v>170.64999999999895</v>
      </c>
      <c r="BK28" s="11">
        <f t="shared" si="21"/>
        <v>1512.4399999999998</v>
      </c>
      <c r="BL28" s="11">
        <f t="shared" si="22"/>
        <v>0</v>
      </c>
      <c r="BM28" s="11">
        <f t="shared" si="23"/>
        <v>0</v>
      </c>
    </row>
    <row r="29" spans="1:65" ht="15.75" x14ac:dyDescent="0.3">
      <c r="A29" s="111" t="s">
        <v>813</v>
      </c>
      <c r="B29" s="59">
        <f t="shared" si="24"/>
        <v>0</v>
      </c>
      <c r="C29" s="59">
        <f t="shared" si="25"/>
        <v>0</v>
      </c>
      <c r="D29" s="84" t="b">
        <v>0</v>
      </c>
      <c r="E29" s="83" t="b">
        <v>0</v>
      </c>
      <c r="F29" s="11">
        <v>36</v>
      </c>
      <c r="G29" s="11" t="s">
        <v>973</v>
      </c>
      <c r="H29" s="11" t="s">
        <v>974</v>
      </c>
      <c r="I29" s="11" t="s">
        <v>975</v>
      </c>
      <c r="J29" s="11" t="s">
        <v>976</v>
      </c>
      <c r="K29" s="11">
        <v>2000</v>
      </c>
      <c r="L29" s="11" t="s">
        <v>22</v>
      </c>
      <c r="M29" s="94">
        <v>45019</v>
      </c>
      <c r="N29" s="94"/>
      <c r="O29" s="171">
        <f>IF(AND(VALO_PERSO!M28&lt;=parametrage!$A$13,ISBLANK(VALO_PERSO!N28)),100%,IF(AND(VALO_PERSO!M28&gt;=parametrage!$A$13,ISBLANK(VALO_PERSO!N28)),((parametrage!$A$14-VALO_PERSO!M28+1)/365),IF(AND(VALO_PERSO!M28&lt;=parametrage!$A$13,AND(VALO_PERSO!N28&gt;parametrage!$A$13,VALO_PERSO!N28&lt;=parametrage!$A$14)),((VALO_PERSO!N28-parametrage!$A$13)/365),((VALO_PERSO!N28-VALO_PERSO!M28)/365))))</f>
        <v>1</v>
      </c>
      <c r="P29" s="11">
        <f>VLOOKUP(F29,'Fichier pour valo'!A:I,6,0)</f>
        <v>138740.99</v>
      </c>
      <c r="Q29" s="11">
        <f>VLOOKUP(F29,'Fichier pour valo'!A:I,4,0)</f>
        <v>0</v>
      </c>
      <c r="R29" s="11">
        <f>VLOOKUP(F29,'Fichier pour valo'!A:I,8,0)</f>
        <v>60213.909999999996</v>
      </c>
      <c r="S29" s="11">
        <f>VLOOKUP(F29,'Fichier pour valo'!A:I,5,0)</f>
        <v>57971.85</v>
      </c>
      <c r="T29" s="92">
        <f t="shared" si="0"/>
        <v>0.43400230890669006</v>
      </c>
      <c r="U29" s="92">
        <f t="shared" si="1"/>
        <v>0.96276508202174549</v>
      </c>
      <c r="V29" s="40">
        <f t="shared" si="2"/>
        <v>196712.84</v>
      </c>
      <c r="W29" s="11">
        <f>VLOOKUP(F29,'Fichier pour valo'!A:I,9,0)</f>
        <v>1740.44</v>
      </c>
      <c r="X29" s="40">
        <f t="shared" si="3"/>
        <v>113.02477534416583</v>
      </c>
      <c r="Y29" s="11"/>
      <c r="Z29" s="11">
        <f>Z63</f>
        <v>870.22</v>
      </c>
      <c r="AA29" s="11"/>
      <c r="AB29" s="11"/>
      <c r="AC29" s="11"/>
      <c r="AD29" s="11"/>
      <c r="AE29" s="40"/>
      <c r="AF29" s="81">
        <f t="shared" si="4"/>
        <v>870.22</v>
      </c>
      <c r="AG29" s="93">
        <f t="shared" si="5"/>
        <v>0.5</v>
      </c>
      <c r="AI29" s="11"/>
      <c r="AJ29" s="40"/>
      <c r="AK29" s="81">
        <f t="shared" si="6"/>
        <v>0</v>
      </c>
      <c r="AL29" s="93">
        <f t="shared" si="7"/>
        <v>0</v>
      </c>
      <c r="AN29" s="11"/>
      <c r="AO29" s="40"/>
      <c r="AP29" s="81">
        <f t="shared" si="8"/>
        <v>0</v>
      </c>
      <c r="AQ29" s="93">
        <f t="shared" si="9"/>
        <v>0</v>
      </c>
      <c r="AS29" s="28">
        <f t="shared" si="41"/>
        <v>0</v>
      </c>
      <c r="AT29" s="28">
        <f t="shared" si="33"/>
        <v>98356.42</v>
      </c>
      <c r="AU29" s="28">
        <f t="shared" si="34"/>
        <v>0</v>
      </c>
      <c r="AV29" s="28">
        <f t="shared" si="35"/>
        <v>0</v>
      </c>
      <c r="AW29" s="28">
        <f t="shared" si="36"/>
        <v>0</v>
      </c>
      <c r="AX29" s="28">
        <f t="shared" si="37"/>
        <v>0</v>
      </c>
      <c r="AY29" s="40"/>
      <c r="AZ29" s="81">
        <f t="shared" si="16"/>
        <v>98356.42</v>
      </c>
      <c r="BB29" s="11">
        <f t="shared" si="17"/>
        <v>0</v>
      </c>
      <c r="BC29" s="40"/>
      <c r="BD29" s="81">
        <f t="shared" si="18"/>
        <v>0</v>
      </c>
      <c r="BF29" s="11">
        <f t="shared" si="38"/>
        <v>0</v>
      </c>
      <c r="BG29" s="40"/>
      <c r="BH29" s="81">
        <f t="shared" si="19"/>
        <v>0</v>
      </c>
      <c r="BJ29" s="11">
        <f t="shared" si="20"/>
        <v>870.22</v>
      </c>
      <c r="BK29" s="11">
        <f t="shared" si="21"/>
        <v>1740.44</v>
      </c>
      <c r="BL29" s="11">
        <f t="shared" si="22"/>
        <v>0</v>
      </c>
      <c r="BM29" s="11">
        <f t="shared" si="23"/>
        <v>0</v>
      </c>
    </row>
    <row r="30" spans="1:65" ht="15.75" x14ac:dyDescent="0.3">
      <c r="A30" s="111" t="s">
        <v>813</v>
      </c>
      <c r="B30" s="59">
        <f t="shared" si="24"/>
        <v>0</v>
      </c>
      <c r="C30" s="59">
        <f t="shared" si="25"/>
        <v>0</v>
      </c>
      <c r="D30" s="84" t="b">
        <v>1</v>
      </c>
      <c r="E30" s="83" t="b">
        <v>0</v>
      </c>
      <c r="F30" s="11">
        <v>37</v>
      </c>
      <c r="G30" s="11" t="s">
        <v>978</v>
      </c>
      <c r="H30" s="11" t="s">
        <v>979</v>
      </c>
      <c r="I30" s="11" t="s">
        <v>1361</v>
      </c>
      <c r="J30" s="11" t="str">
        <f>VLOOKUP(F30,'Verif VS 24'!$A$5:$F$44,5,0)</f>
        <v>Doctorat - Sciences Physiques - Université de Rouen</v>
      </c>
      <c r="K30" s="11">
        <f>VLOOKUP(F30,'Verif VS 24'!$A$5:$F$44,6,0)</f>
        <v>1992</v>
      </c>
      <c r="L30" s="11" t="s">
        <v>22</v>
      </c>
      <c r="M30" s="94">
        <v>44928</v>
      </c>
      <c r="N30" s="94"/>
      <c r="O30" s="171">
        <f>IF(AND(VALO_PERSO!M63&lt;=parametrage!$A$13,ISBLANK(VALO_PERSO!N63)),100%,IF(AND(VALO_PERSO!M63&gt;=parametrage!$A$13,ISBLANK(VALO_PERSO!N63)),((parametrage!$A$14-VALO_PERSO!M63+1)/365),IF(AND(VALO_PERSO!M63&lt;=parametrage!$A$13,AND(VALO_PERSO!N63&gt;parametrage!$A$13,VALO_PERSO!N63&lt;=parametrage!$A$14)),((VALO_PERSO!N63-parametrage!$A$13)/365),((VALO_PERSO!N63-VALO_PERSO!M63)/365))))</f>
        <v>1</v>
      </c>
      <c r="P30" s="11">
        <f>VLOOKUP(F30,'Fichier pour valo'!A:I,6,0)</f>
        <v>96673.07</v>
      </c>
      <c r="Q30" s="11">
        <f>VLOOKUP(F30,'Fichier pour valo'!A:I,4,0)</f>
        <v>0</v>
      </c>
      <c r="R30" s="11">
        <f>VLOOKUP(F30,'Fichier pour valo'!A:I,8,0)</f>
        <v>42525.479999999996</v>
      </c>
      <c r="S30" s="11">
        <f>VLOOKUP(F30,'Fichier pour valo'!A:I,5,0)</f>
        <v>40948.959999999999</v>
      </c>
      <c r="T30" s="92">
        <f t="shared" si="0"/>
        <v>0.43988961972553464</v>
      </c>
      <c r="U30" s="92">
        <f t="shared" si="1"/>
        <v>0.96292763773624668</v>
      </c>
      <c r="V30" s="40">
        <f t="shared" si="2"/>
        <v>137622.03</v>
      </c>
      <c r="W30" s="11">
        <f>VLOOKUP(F30,'Fichier pour valo'!A:I,9,0)</f>
        <v>1649.24</v>
      </c>
      <c r="X30" s="40">
        <f t="shared" si="3"/>
        <v>83.445726516456062</v>
      </c>
      <c r="Y30" s="11">
        <f>+VLOOKUP(F30,HRECH!A:P,7,0)</f>
        <v>30.400000000000002</v>
      </c>
      <c r="Z30" s="11">
        <f>+VLOOKUP(F30,HRECH!A:P,16,0)</f>
        <v>912.00000000000125</v>
      </c>
      <c r="AA30" s="11">
        <f>+VLOOKUP(F30,HRECH!A:Q,17,0)</f>
        <v>315.39999999999998</v>
      </c>
      <c r="AB30" s="11">
        <f>+VLOOKUP(F30,HRECH!A:P,11,0)</f>
        <v>15.2</v>
      </c>
      <c r="AC30" s="11">
        <f>+VLOOKUP(F30,HRECH!A:P,9,0)</f>
        <v>0</v>
      </c>
      <c r="AD30" s="11">
        <f>+VLOOKUP(F30,HRECH!A:P,10,0)</f>
        <v>79.799999999999969</v>
      </c>
      <c r="AE30" s="40"/>
      <c r="AF30" s="81">
        <f t="shared" si="4"/>
        <v>1352.8000000000011</v>
      </c>
      <c r="AG30" s="93">
        <f t="shared" si="5"/>
        <v>0.82025660304140158</v>
      </c>
      <c r="AI30" s="11"/>
      <c r="AJ30" s="40"/>
      <c r="AK30" s="81">
        <f t="shared" si="6"/>
        <v>0</v>
      </c>
      <c r="AL30" s="93">
        <f t="shared" si="7"/>
        <v>0</v>
      </c>
      <c r="AN30" s="11"/>
      <c r="AO30" s="40"/>
      <c r="AP30" s="81">
        <f t="shared" si="8"/>
        <v>0</v>
      </c>
      <c r="AQ30" s="93">
        <f t="shared" si="9"/>
        <v>0</v>
      </c>
      <c r="AS30" s="28">
        <f t="shared" si="41"/>
        <v>2536.7500861002645</v>
      </c>
      <c r="AT30" s="28">
        <f t="shared" si="33"/>
        <v>76102.502583008041</v>
      </c>
      <c r="AU30" s="28">
        <f t="shared" si="34"/>
        <v>26318.782143290238</v>
      </c>
      <c r="AV30" s="28">
        <f t="shared" si="35"/>
        <v>1268.375043050132</v>
      </c>
      <c r="AW30" s="28">
        <f t="shared" si="36"/>
        <v>0</v>
      </c>
      <c r="AX30" s="28">
        <f t="shared" si="37"/>
        <v>6658.9689760131914</v>
      </c>
      <c r="AY30" s="40"/>
      <c r="AZ30" s="81">
        <f t="shared" si="16"/>
        <v>112885.37883146187</v>
      </c>
      <c r="BB30" s="11">
        <f t="shared" si="17"/>
        <v>0</v>
      </c>
      <c r="BC30" s="40"/>
      <c r="BD30" s="81">
        <f t="shared" si="18"/>
        <v>0</v>
      </c>
      <c r="BF30" s="11">
        <f t="shared" si="38"/>
        <v>0</v>
      </c>
      <c r="BG30" s="40"/>
      <c r="BH30" s="81">
        <f t="shared" si="19"/>
        <v>0</v>
      </c>
      <c r="BJ30" s="11">
        <f t="shared" si="20"/>
        <v>296.43999999999892</v>
      </c>
      <c r="BK30" s="11">
        <f t="shared" si="21"/>
        <v>1649.24</v>
      </c>
      <c r="BL30" s="11">
        <f t="shared" si="22"/>
        <v>0</v>
      </c>
      <c r="BM30" s="11">
        <f t="shared" si="23"/>
        <v>0</v>
      </c>
    </row>
    <row r="31" spans="1:65" ht="15.75" x14ac:dyDescent="0.3">
      <c r="A31" s="111" t="s">
        <v>813</v>
      </c>
      <c r="B31" s="59">
        <f t="shared" si="24"/>
        <v>0</v>
      </c>
      <c r="C31" s="59">
        <f t="shared" si="25"/>
        <v>0</v>
      </c>
      <c r="D31" s="84" t="b">
        <v>1</v>
      </c>
      <c r="E31" s="83" t="b">
        <v>0</v>
      </c>
      <c r="F31" s="11">
        <v>38</v>
      </c>
      <c r="G31" s="11" t="s">
        <v>1193</v>
      </c>
      <c r="H31" s="11" t="s">
        <v>984</v>
      </c>
      <c r="I31" s="11" t="s">
        <v>930</v>
      </c>
      <c r="J31" s="11" t="str">
        <f>VLOOKUP(F31,'Verif VS 24'!$A$5:$F$44,5,0)</f>
        <v>Licence Profesionnelle - Chimie de Synthèse - Université Paris-Saclay</v>
      </c>
      <c r="K31" s="11">
        <f>VLOOKUP(F31,'Verif VS 24'!$A$5:$F$44,6,0)</f>
        <v>2020</v>
      </c>
      <c r="L31" s="11" t="s">
        <v>35</v>
      </c>
      <c r="M31" s="94">
        <v>45385</v>
      </c>
      <c r="N31" s="94"/>
      <c r="O31" s="171">
        <f>IF(AND(VALO_PERSO!M72&lt;=parametrage!$A$13,ISBLANK(VALO_PERSO!N72)),100%,IF(AND(VALO_PERSO!M72&gt;=parametrage!$A$13,ISBLANK(VALO_PERSO!N72)),((parametrage!$A$14-VALO_PERSO!M72+1)/365),IF(AND(VALO_PERSO!M72&lt;=parametrage!$A$13,AND(VALO_PERSO!N72&gt;parametrage!$A$13,VALO_PERSO!N72&lt;=parametrage!$A$14)),((VALO_PERSO!N72-parametrage!$A$13)/365),((VALO_PERSO!N72-VALO_PERSO!M72)/365))))</f>
        <v>1</v>
      </c>
      <c r="P31" s="11">
        <f>VLOOKUP(F31,'Fichier pour valo'!A:I,6,0)</f>
        <v>38855.14</v>
      </c>
      <c r="Q31" s="11">
        <f>VLOOKUP(F31,'Fichier pour valo'!A:I,4,0)</f>
        <v>222</v>
      </c>
      <c r="R31" s="11">
        <f>VLOOKUP(F31,'Fichier pour valo'!A:I,8,0)</f>
        <v>14253.380000000001</v>
      </c>
      <c r="S31" s="11">
        <f>VLOOKUP(F31,'Fichier pour valo'!A:I,5,0)</f>
        <v>13613.800000000001</v>
      </c>
      <c r="T31" s="92">
        <f t="shared" si="0"/>
        <v>0.36683383459691565</v>
      </c>
      <c r="U31" s="92">
        <f t="shared" si="1"/>
        <v>0.95512783634478282</v>
      </c>
      <c r="V31" s="40">
        <f t="shared" si="2"/>
        <v>52690.94</v>
      </c>
      <c r="W31" s="11">
        <f>VLOOKUP(F31,'Fichier pour valo'!A:I,9,0)</f>
        <v>1675.84</v>
      </c>
      <c r="X31" s="40">
        <f t="shared" si="3"/>
        <v>31.441509929348868</v>
      </c>
      <c r="Y31" s="11">
        <f>+VLOOKUP(F31,HRECH!A:P,7,0)</f>
        <v>0</v>
      </c>
      <c r="Z31" s="11">
        <f>+VLOOKUP(F31,HRECH!A:P,16,0)</f>
        <v>254.59999999999988</v>
      </c>
      <c r="AA31" s="11">
        <f>+VLOOKUP(F31,HRECH!A:Q,17,0)</f>
        <v>1284.399999999999</v>
      </c>
      <c r="AB31" s="11">
        <f>+VLOOKUP(F31,HRECH!A:P,11,0)</f>
        <v>0</v>
      </c>
      <c r="AC31" s="11">
        <f>+VLOOKUP(F31,HRECH!A:P,9,0)</f>
        <v>0</v>
      </c>
      <c r="AD31" s="11">
        <f>+VLOOKUP(F31,HRECH!A:P,10,0)</f>
        <v>0</v>
      </c>
      <c r="AE31" s="40"/>
      <c r="AF31" s="81">
        <f t="shared" si="4"/>
        <v>1538.9999999999989</v>
      </c>
      <c r="AG31" s="93">
        <f t="shared" si="5"/>
        <v>0.91834542677105147</v>
      </c>
      <c r="AI31" s="11"/>
      <c r="AJ31" s="40"/>
      <c r="AK31" s="81">
        <f t="shared" si="6"/>
        <v>0</v>
      </c>
      <c r="AL31" s="93">
        <f t="shared" si="7"/>
        <v>0</v>
      </c>
      <c r="AN31" s="11"/>
      <c r="AO31" s="40"/>
      <c r="AP31" s="81">
        <f t="shared" si="8"/>
        <v>0</v>
      </c>
      <c r="AQ31" s="93">
        <f t="shared" si="9"/>
        <v>0</v>
      </c>
      <c r="AS31" s="28">
        <f t="shared" si="41"/>
        <v>0</v>
      </c>
      <c r="AT31" s="28">
        <f t="shared" si="33"/>
        <v>8005.0084280122173</v>
      </c>
      <c r="AU31" s="28">
        <f t="shared" si="34"/>
        <v>40383.475353255657</v>
      </c>
      <c r="AV31" s="28">
        <f t="shared" si="35"/>
        <v>0</v>
      </c>
      <c r="AW31" s="28">
        <f t="shared" si="36"/>
        <v>0</v>
      </c>
      <c r="AX31" s="28">
        <f t="shared" si="37"/>
        <v>0</v>
      </c>
      <c r="AY31" s="40"/>
      <c r="AZ31" s="81">
        <f t="shared" si="16"/>
        <v>48388.483781267874</v>
      </c>
      <c r="BB31" s="11">
        <f t="shared" si="17"/>
        <v>0</v>
      </c>
      <c r="BC31" s="40"/>
      <c r="BD31" s="81">
        <f t="shared" si="18"/>
        <v>0</v>
      </c>
      <c r="BF31" s="11">
        <f t="shared" si="38"/>
        <v>0</v>
      </c>
      <c r="BG31" s="40"/>
      <c r="BH31" s="81">
        <f t="shared" si="19"/>
        <v>0</v>
      </c>
      <c r="BJ31" s="11">
        <f t="shared" si="20"/>
        <v>136.84000000000106</v>
      </c>
      <c r="BK31" s="11">
        <f t="shared" si="21"/>
        <v>1675.84</v>
      </c>
      <c r="BL31" s="11">
        <f t="shared" si="22"/>
        <v>0</v>
      </c>
      <c r="BM31" s="11">
        <f t="shared" si="23"/>
        <v>0</v>
      </c>
    </row>
    <row r="32" spans="1:65" ht="15.75" x14ac:dyDescent="0.3">
      <c r="A32" s="111" t="s">
        <v>813</v>
      </c>
      <c r="B32" s="59">
        <f t="shared" ref="B32:B49" si="42">IFERROR(IF((AG32+AL32+AQ32)&gt;1,1,0),0)</f>
        <v>0</v>
      </c>
      <c r="C32" s="59">
        <f t="shared" ref="C32:C49" si="43">IFERROR(IF(AZ32+BD32+BH32&gt;V32,1,0),0)</f>
        <v>0</v>
      </c>
      <c r="D32" s="84" t="b">
        <v>1</v>
      </c>
      <c r="E32" s="83" t="b">
        <v>0</v>
      </c>
      <c r="F32" s="11">
        <v>40</v>
      </c>
      <c r="G32" s="11" t="s">
        <v>987</v>
      </c>
      <c r="H32" s="11" t="s">
        <v>988</v>
      </c>
      <c r="I32" s="11" t="s">
        <v>989</v>
      </c>
      <c r="J32" s="11" t="str">
        <f>VLOOKUP(F32,'Verif VS 24'!$A$5:$F$44,5,0)</f>
        <v>Baccalauréat Profesionnel - Procédés de la Chimie, de l'eau et des papiers-cartons</v>
      </c>
      <c r="K32" s="11">
        <f>VLOOKUP(F32,'Verif VS 24'!$A$5:$F$44,6,0)</f>
        <v>2023</v>
      </c>
      <c r="L32" s="11" t="s">
        <v>63</v>
      </c>
      <c r="M32" s="94">
        <v>45187</v>
      </c>
      <c r="N32" s="94">
        <v>45898</v>
      </c>
      <c r="O32" s="171">
        <f>IF(AND(VALO_PERSO!M94&lt;=parametrage!$A$13,ISBLANK(VALO_PERSO!N94)),100%,IF(AND(VALO_PERSO!M94&gt;=parametrage!$A$13,ISBLANK(VALO_PERSO!N94)),((parametrage!$A$14-VALO_PERSO!M94+1)/365),IF(AND(VALO_PERSO!M94&lt;=parametrage!$A$13,AND(VALO_PERSO!N94&gt;parametrage!$A$13,VALO_PERSO!N94&lt;=parametrage!$A$14)),((VALO_PERSO!N94-parametrage!$A$13)/365),((VALO_PERSO!N94-VALO_PERSO!M94)/365))))</f>
        <v>1</v>
      </c>
      <c r="P32" s="11">
        <f>VLOOKUP(F32,'Fichier pour valo'!A:I,6,0)</f>
        <v>7716.54</v>
      </c>
      <c r="Q32" s="11">
        <f>VLOOKUP(F32,'Fichier pour valo'!A:I,4,0)</f>
        <v>0</v>
      </c>
      <c r="R32" s="11">
        <f>VLOOKUP(F32,'Fichier pour valo'!A:I,8,0)</f>
        <v>544.72000000000014</v>
      </c>
      <c r="S32" s="11">
        <f>VLOOKUP(F32,'Fichier pour valo'!A:I,5,0)</f>
        <v>417.73</v>
      </c>
      <c r="T32" s="92">
        <f t="shared" ref="T32:T49" si="44">IFERROR(R32/P32,0)</f>
        <v>7.0591223527643243E-2</v>
      </c>
      <c r="U32" s="92">
        <f t="shared" ref="U32:U49" si="45">IFERROR(S32/R32,0)</f>
        <v>0.76687105301806413</v>
      </c>
      <c r="V32" s="40">
        <f t="shared" ref="V32:V49" si="46">P32+Q32+S32</f>
        <v>8134.27</v>
      </c>
      <c r="W32" s="11">
        <f>VLOOKUP(F32,'Fichier pour valo'!A:I,9,0)</f>
        <v>809.29000000000008</v>
      </c>
      <c r="X32" s="40">
        <f t="shared" ref="X32:X49" si="47">IF(ISBLANK(W32),0,V32/W32)</f>
        <v>10.051118881982973</v>
      </c>
      <c r="Y32" s="11">
        <f>+VLOOKUP(F32,HRECH!A:P,7,0)</f>
        <v>0</v>
      </c>
      <c r="Z32" s="11">
        <f>+VLOOKUP(F32,HRECH!A:P,16,0)</f>
        <v>425</v>
      </c>
      <c r="AA32" s="11">
        <f>+VLOOKUP(F32,HRECH!A:Q,17,0)</f>
        <v>0</v>
      </c>
      <c r="AB32" s="11">
        <f>+VLOOKUP(F32,HRECH!A:P,11,0)</f>
        <v>0</v>
      </c>
      <c r="AC32" s="11">
        <f>+VLOOKUP(F32,HRECH!A:P,9,0)</f>
        <v>0</v>
      </c>
      <c r="AD32" s="11">
        <f>+VLOOKUP(F32,HRECH!A:P,10,0)</f>
        <v>0</v>
      </c>
      <c r="AE32" s="40"/>
      <c r="AF32" s="81">
        <f t="shared" ref="AF32:AF49" si="48">SUM(Y32:AE32)</f>
        <v>425</v>
      </c>
      <c r="AG32" s="93">
        <f t="shared" ref="AG32:AG49" si="49">IFERROR(AF32/W32,0)</f>
        <v>0.52515167616058511</v>
      </c>
      <c r="AI32" s="11"/>
      <c r="AJ32" s="40"/>
      <c r="AK32" s="81">
        <f t="shared" ref="AK32:AK49" si="50">SUM(AI32:AJ32)</f>
        <v>0</v>
      </c>
      <c r="AL32" s="93">
        <f t="shared" ref="AL32:AL49" si="51">IFERROR(AK32/W32,0)</f>
        <v>0</v>
      </c>
      <c r="AN32" s="11"/>
      <c r="AO32" s="40"/>
      <c r="AP32" s="81">
        <f t="shared" ref="AP32:AP49" si="52">SUM(AN32:AO32)</f>
        <v>0</v>
      </c>
      <c r="AQ32" s="93">
        <f t="shared" ref="AQ32:AQ49" si="53">IFERROR(AP32/W32,0)</f>
        <v>0</v>
      </c>
      <c r="AS32" s="28">
        <f t="shared" ref="AS32:AS49" si="54">IFERROR(Y32*$V32/$W32,0)</f>
        <v>0</v>
      </c>
      <c r="AT32" s="28">
        <f t="shared" ref="AT32:AT49" si="55">IFERROR(Z32*$V32/$W32,0)</f>
        <v>4271.7255248427628</v>
      </c>
      <c r="AU32" s="28">
        <f t="shared" ref="AU32:AU49" si="56">IFERROR(AA32*$V32/$W32,0)</f>
        <v>0</v>
      </c>
      <c r="AV32" s="28">
        <f t="shared" ref="AV32:AV49" si="57">IFERROR(AB32*$V32/$W32,0)</f>
        <v>0</v>
      </c>
      <c r="AW32" s="28">
        <f t="shared" ref="AW32:AW49" si="58">IFERROR(AC32*$V32/$W32,0)</f>
        <v>0</v>
      </c>
      <c r="AX32" s="28">
        <f t="shared" ref="AX32:AX49" si="59">IFERROR(AD32*$V32/$W32,0)</f>
        <v>0</v>
      </c>
      <c r="AY32" s="40"/>
      <c r="AZ32" s="81">
        <f t="shared" ref="AZ32:AZ49" si="60">SUM(AS32:AY32)</f>
        <v>4271.7255248427628</v>
      </c>
      <c r="BB32" s="11">
        <f t="shared" ref="BB32:BB49" si="61">IFERROR(AI32*$V32/$W32,0)</f>
        <v>0</v>
      </c>
      <c r="BC32" s="40"/>
      <c r="BD32" s="81">
        <f t="shared" ref="BD32:BD49" si="62">SUM(BB32:BC32)</f>
        <v>0</v>
      </c>
      <c r="BF32" s="11">
        <f t="shared" si="38"/>
        <v>0</v>
      </c>
      <c r="BG32" s="40"/>
      <c r="BH32" s="81">
        <f t="shared" ref="BH32:BH49" si="63">SUM(BF32:BG32)</f>
        <v>0</v>
      </c>
      <c r="BJ32" s="11">
        <f t="shared" ref="BJ32:BJ49" si="64">W32-AF32-AK32-AP32</f>
        <v>384.29000000000008</v>
      </c>
      <c r="BK32" s="11">
        <f t="shared" ref="BK32:BK49" si="65">IF(AF32&gt;0,W32,0)</f>
        <v>809.29000000000008</v>
      </c>
      <c r="BL32" s="11">
        <f t="shared" ref="BL32:BL49" si="66">IF(AK32&gt;0,W32,0)</f>
        <v>0</v>
      </c>
      <c r="BM32" s="11">
        <f t="shared" ref="BM32:BM49" si="67">IF(AP32&gt;0,W32,0)</f>
        <v>0</v>
      </c>
    </row>
    <row r="33" spans="1:65" ht="15.75" x14ac:dyDescent="0.3">
      <c r="A33" s="111" t="s">
        <v>813</v>
      </c>
      <c r="B33" s="59">
        <f t="shared" si="42"/>
        <v>0</v>
      </c>
      <c r="C33" s="59">
        <f t="shared" si="43"/>
        <v>0</v>
      </c>
      <c r="D33" s="84" t="b">
        <v>1</v>
      </c>
      <c r="E33" s="83" t="b">
        <v>0</v>
      </c>
      <c r="F33" s="11">
        <v>41</v>
      </c>
      <c r="G33" s="11" t="s">
        <v>992</v>
      </c>
      <c r="H33" s="11" t="s">
        <v>993</v>
      </c>
      <c r="I33" s="11" t="s">
        <v>1368</v>
      </c>
      <c r="J33" s="11" t="str">
        <f>VLOOKUP(F33,'Verif VS 24'!$A$5:$F$44,5,0)</f>
        <v>Licence Professionnelle - Chimie de Synthèse - Ecole Universitaire de Premier Cycle Paris-Saclay</v>
      </c>
      <c r="K33" s="11">
        <f>VLOOKUP(F33,'Verif VS 24'!$A$5:$F$44,6,0)</f>
        <v>2022</v>
      </c>
      <c r="L33" s="11" t="s">
        <v>35</v>
      </c>
      <c r="M33" s="94">
        <v>45222</v>
      </c>
      <c r="N33" s="94">
        <v>45926</v>
      </c>
      <c r="O33" s="171">
        <f>IF(AND(VALO_PERSO!M57&lt;=parametrage!$A$13,ISBLANK(VALO_PERSO!N57)),100%,IF(AND(VALO_PERSO!M57&gt;=parametrage!$A$13,ISBLANK(VALO_PERSO!N57)),((parametrage!$A$14-VALO_PERSO!M57+1)/365),IF(AND(VALO_PERSO!M57&lt;=parametrage!$A$13,AND(VALO_PERSO!N57&gt;parametrage!$A$13,VALO_PERSO!N57&lt;=parametrage!$A$14)),((VALO_PERSO!N57-parametrage!$A$13)/365),((VALO_PERSO!N57-VALO_PERSO!M57)/365))))</f>
        <v>1</v>
      </c>
      <c r="P33" s="11">
        <f>VLOOKUP(F33,'Fichier pour valo'!A:I,6,0)</f>
        <v>27357.07</v>
      </c>
      <c r="Q33" s="11">
        <f>VLOOKUP(F33,'Fichier pour valo'!A:I,4,0)</f>
        <v>124</v>
      </c>
      <c r="R33" s="11">
        <f>VLOOKUP(F33,'Fichier pour valo'!A:I,8,0)</f>
        <v>10048.049999999999</v>
      </c>
      <c r="S33" s="11">
        <f>VLOOKUP(F33,'Fichier pour valo'!A:I,5,0)</f>
        <v>9597.7599999999984</v>
      </c>
      <c r="T33" s="92">
        <f t="shared" si="44"/>
        <v>0.36729262307695959</v>
      </c>
      <c r="U33" s="92">
        <f t="shared" si="45"/>
        <v>0.95518632968585937</v>
      </c>
      <c r="V33" s="40">
        <f t="shared" si="46"/>
        <v>37078.83</v>
      </c>
      <c r="W33" s="11">
        <f>VLOOKUP(F33,'Fichier pour valo'!A:I,9,0)</f>
        <v>1263.6599999999999</v>
      </c>
      <c r="X33" s="40">
        <f t="shared" si="47"/>
        <v>29.342410141968571</v>
      </c>
      <c r="Y33" s="11">
        <f>+VLOOKUP(F33,HRECH!A:P,7,0)</f>
        <v>0</v>
      </c>
      <c r="Z33" s="11">
        <f>+VLOOKUP(F33,HRECH!A:P,16,0)</f>
        <v>941.2</v>
      </c>
      <c r="AA33" s="11">
        <f>+VLOOKUP(F33,HRECH!A:Q,17,0)</f>
        <v>0</v>
      </c>
      <c r="AB33" s="11">
        <f>+VLOOKUP(F33,HRECH!A:P,11,0)</f>
        <v>0</v>
      </c>
      <c r="AC33" s="11">
        <f>+VLOOKUP(F33,HRECH!A:P,9,0)</f>
        <v>0</v>
      </c>
      <c r="AD33" s="11">
        <f>+VLOOKUP(F33,HRECH!A:P,10,0)</f>
        <v>58.33</v>
      </c>
      <c r="AE33" s="40"/>
      <c r="AF33" s="81">
        <f t="shared" si="48"/>
        <v>999.53000000000009</v>
      </c>
      <c r="AG33" s="93">
        <f t="shared" si="49"/>
        <v>0.79098016871626875</v>
      </c>
      <c r="AI33" s="11"/>
      <c r="AJ33" s="40"/>
      <c r="AK33" s="81">
        <f t="shared" si="50"/>
        <v>0</v>
      </c>
      <c r="AL33" s="93">
        <f t="shared" si="51"/>
        <v>0</v>
      </c>
      <c r="AN33" s="11"/>
      <c r="AO33" s="40"/>
      <c r="AP33" s="81">
        <f t="shared" si="52"/>
        <v>0</v>
      </c>
      <c r="AQ33" s="93">
        <f t="shared" si="53"/>
        <v>0</v>
      </c>
      <c r="AS33" s="28">
        <f t="shared" si="54"/>
        <v>0</v>
      </c>
      <c r="AT33" s="28">
        <f t="shared" si="55"/>
        <v>27617.07642562082</v>
      </c>
      <c r="AU33" s="28">
        <f t="shared" si="56"/>
        <v>0</v>
      </c>
      <c r="AV33" s="28">
        <f t="shared" si="57"/>
        <v>0</v>
      </c>
      <c r="AW33" s="28">
        <f t="shared" si="58"/>
        <v>0</v>
      </c>
      <c r="AX33" s="28">
        <f t="shared" si="59"/>
        <v>1711.5427835810269</v>
      </c>
      <c r="AY33" s="40"/>
      <c r="AZ33" s="81">
        <f t="shared" si="60"/>
        <v>29328.619209201846</v>
      </c>
      <c r="BB33" s="11">
        <f t="shared" si="61"/>
        <v>0</v>
      </c>
      <c r="BC33" s="40"/>
      <c r="BD33" s="81">
        <f t="shared" si="62"/>
        <v>0</v>
      </c>
      <c r="BF33" s="11">
        <f t="shared" ref="BF33:BF49" si="68">IFERROR(AN33*$V33/$W33,0)</f>
        <v>0</v>
      </c>
      <c r="BG33" s="40"/>
      <c r="BH33" s="81">
        <f t="shared" si="63"/>
        <v>0</v>
      </c>
      <c r="BJ33" s="11">
        <f t="shared" si="64"/>
        <v>264.12999999999977</v>
      </c>
      <c r="BK33" s="11">
        <f t="shared" si="65"/>
        <v>1263.6599999999999</v>
      </c>
      <c r="BL33" s="11">
        <f t="shared" si="66"/>
        <v>0</v>
      </c>
      <c r="BM33" s="11">
        <f t="shared" si="67"/>
        <v>0</v>
      </c>
    </row>
    <row r="34" spans="1:65" ht="15.75" x14ac:dyDescent="0.3">
      <c r="A34" s="111" t="s">
        <v>813</v>
      </c>
      <c r="B34" s="59">
        <f t="shared" si="42"/>
        <v>0</v>
      </c>
      <c r="C34" s="59">
        <f t="shared" si="43"/>
        <v>0</v>
      </c>
      <c r="D34" s="84" t="b">
        <v>1</v>
      </c>
      <c r="E34" s="83" t="b">
        <v>0</v>
      </c>
      <c r="F34" s="11">
        <v>42</v>
      </c>
      <c r="G34" s="11" t="s">
        <v>996</v>
      </c>
      <c r="H34" s="11" t="s">
        <v>997</v>
      </c>
      <c r="I34" s="11" t="s">
        <v>902</v>
      </c>
      <c r="J34" s="11" t="str">
        <f>VLOOKUP(F34,'Verif VS 24'!$A$5:$F$44,5,0)</f>
        <v>Ingénieur - Master Sciences du médicament et de produits de santé</v>
      </c>
      <c r="K34" s="11">
        <f>VLOOKUP(F34,'Verif VS 24'!$A$5:$F$44,6,0)</f>
        <v>2022</v>
      </c>
      <c r="L34" s="11" t="s">
        <v>22</v>
      </c>
      <c r="M34" s="94">
        <v>45222</v>
      </c>
      <c r="N34" s="94"/>
      <c r="O34" s="171">
        <f>IF(AND(VALO_PERSO!M51&lt;=parametrage!$A$13,ISBLANK(VALO_PERSO!N51)),100%,IF(AND(VALO_PERSO!M51&gt;=parametrage!$A$13,ISBLANK(VALO_PERSO!N51)),((parametrage!$A$14-VALO_PERSO!M51+1)/365),IF(AND(VALO_PERSO!M51&lt;=parametrage!$A$13,AND(VALO_PERSO!N51&gt;parametrage!$A$13,VALO_PERSO!N51&lt;=parametrage!$A$14)),((VALO_PERSO!N51-parametrage!$A$13)/365),((VALO_PERSO!N51-VALO_PERSO!M51)/365))))</f>
        <v>1</v>
      </c>
      <c r="P34" s="11">
        <f>VLOOKUP(F34,'Fichier pour valo'!A:I,6,0)</f>
        <v>45370.13</v>
      </c>
      <c r="Q34" s="11">
        <f>VLOOKUP(F34,'Fichier pour valo'!A:I,4,0)</f>
        <v>915.1</v>
      </c>
      <c r="R34" s="11">
        <f>VLOOKUP(F34,'Fichier pour valo'!A:I,8,0)</f>
        <v>16459.59</v>
      </c>
      <c r="S34" s="11">
        <f>VLOOKUP(F34,'Fichier pour valo'!A:I,5,0)</f>
        <v>15696.449999999999</v>
      </c>
      <c r="T34" s="92">
        <f t="shared" si="44"/>
        <v>0.36278472201864975</v>
      </c>
      <c r="U34" s="92">
        <f t="shared" si="45"/>
        <v>0.95363554013192298</v>
      </c>
      <c r="V34" s="40">
        <f t="shared" si="46"/>
        <v>61981.679999999993</v>
      </c>
      <c r="W34" s="11">
        <f>VLOOKUP(F34,'Fichier pour valo'!A:I,9,0)</f>
        <v>1656.8400000000001</v>
      </c>
      <c r="X34" s="40">
        <f t="shared" si="47"/>
        <v>37.409574853335258</v>
      </c>
      <c r="Y34" s="11">
        <f>Y64</f>
        <v>6.0726711177172881</v>
      </c>
      <c r="Z34" s="11">
        <f t="shared" ref="Z34:AD34" si="69">Z64</f>
        <v>599.63472301956665</v>
      </c>
      <c r="AA34" s="11">
        <f t="shared" si="69"/>
        <v>782.16003996198788</v>
      </c>
      <c r="AB34" s="11">
        <f t="shared" si="69"/>
        <v>0</v>
      </c>
      <c r="AC34" s="11">
        <f t="shared" si="69"/>
        <v>0</v>
      </c>
      <c r="AD34" s="11">
        <f t="shared" si="69"/>
        <v>186.13056590072841</v>
      </c>
      <c r="AE34" s="40"/>
      <c r="AF34" s="81">
        <f t="shared" si="48"/>
        <v>1573.9980000000003</v>
      </c>
      <c r="AG34" s="93">
        <f t="shared" si="49"/>
        <v>0.95000000000000007</v>
      </c>
      <c r="AI34" s="11"/>
      <c r="AJ34" s="40"/>
      <c r="AK34" s="81">
        <f t="shared" si="50"/>
        <v>0</v>
      </c>
      <c r="AL34" s="93">
        <f t="shared" si="51"/>
        <v>0</v>
      </c>
      <c r="AN34" s="11"/>
      <c r="AO34" s="40"/>
      <c r="AP34" s="81">
        <f t="shared" si="52"/>
        <v>0</v>
      </c>
      <c r="AQ34" s="93">
        <f t="shared" si="53"/>
        <v>0</v>
      </c>
      <c r="AS34" s="28">
        <f t="shared" si="54"/>
        <v>227.17604473793199</v>
      </c>
      <c r="AT34" s="28">
        <f t="shared" si="55"/>
        <v>22432.080055459435</v>
      </c>
      <c r="AU34" s="28">
        <f t="shared" si="56"/>
        <v>29260.274562245682</v>
      </c>
      <c r="AV34" s="28">
        <f t="shared" si="57"/>
        <v>0</v>
      </c>
      <c r="AW34" s="28">
        <f t="shared" si="58"/>
        <v>0</v>
      </c>
      <c r="AX34" s="28">
        <f t="shared" si="59"/>
        <v>6963.0653375569509</v>
      </c>
      <c r="AY34" s="40"/>
      <c r="AZ34" s="81">
        <f t="shared" si="60"/>
        <v>58882.596000000005</v>
      </c>
      <c r="BB34" s="11">
        <f t="shared" si="61"/>
        <v>0</v>
      </c>
      <c r="BC34" s="40"/>
      <c r="BD34" s="81">
        <f t="shared" si="62"/>
        <v>0</v>
      </c>
      <c r="BF34" s="11">
        <f t="shared" si="68"/>
        <v>0</v>
      </c>
      <c r="BG34" s="40"/>
      <c r="BH34" s="81">
        <f t="shared" si="63"/>
        <v>0</v>
      </c>
      <c r="BJ34" s="11">
        <f t="shared" si="64"/>
        <v>82.841999999999871</v>
      </c>
      <c r="BK34" s="11">
        <f t="shared" si="65"/>
        <v>1656.8400000000001</v>
      </c>
      <c r="BL34" s="11">
        <f t="shared" si="66"/>
        <v>0</v>
      </c>
      <c r="BM34" s="11">
        <f t="shared" si="67"/>
        <v>0</v>
      </c>
    </row>
    <row r="35" spans="1:65" ht="15.75" x14ac:dyDescent="0.3">
      <c r="A35" s="111" t="s">
        <v>813</v>
      </c>
      <c r="B35" s="59">
        <f t="shared" si="42"/>
        <v>0</v>
      </c>
      <c r="C35" s="59">
        <f t="shared" si="43"/>
        <v>0</v>
      </c>
      <c r="D35" s="84" t="b">
        <v>1</v>
      </c>
      <c r="E35" s="83" t="b">
        <v>0</v>
      </c>
      <c r="F35" s="11">
        <v>43</v>
      </c>
      <c r="G35" s="11" t="s">
        <v>1000</v>
      </c>
      <c r="H35" s="11" t="s">
        <v>1001</v>
      </c>
      <c r="I35" s="11" t="s">
        <v>930</v>
      </c>
      <c r="J35" s="11" t="str">
        <f>VLOOKUP(F35,'Verif VS 24'!$A$5:$F$44,5,0)</f>
        <v>DUT - Chimie Analytique et de Synthèse - Institut Universitaire de Technologie d'Orsay</v>
      </c>
      <c r="K35" s="11">
        <f>VLOOKUP(F35,'Verif VS 24'!$A$5:$F$44,6,0)</f>
        <v>2019</v>
      </c>
      <c r="L35" s="11" t="s">
        <v>35</v>
      </c>
      <c r="M35" s="94">
        <v>45306</v>
      </c>
      <c r="N35" s="94">
        <v>45671</v>
      </c>
      <c r="O35" s="171">
        <f>IF(AND(VALO_PERSO!M99&lt;=parametrage!$A$13,ISBLANK(VALO_PERSO!N99)),100%,IF(AND(VALO_PERSO!M99&gt;=parametrage!$A$13,ISBLANK(VALO_PERSO!N99)),((parametrage!$A$14-VALO_PERSO!M99+1)/365),IF(AND(VALO_PERSO!M99&lt;=parametrage!$A$13,AND(VALO_PERSO!N99&gt;parametrage!$A$13,VALO_PERSO!N99&lt;=parametrage!$A$14)),((VALO_PERSO!N99-parametrage!$A$13)/365),((VALO_PERSO!N99-VALO_PERSO!M99)/365))))</f>
        <v>1</v>
      </c>
      <c r="P35" s="11">
        <f>VLOOKUP(F35,'Fichier pour valo'!A:I,6,0)</f>
        <v>6077.96</v>
      </c>
      <c r="Q35" s="11">
        <f>VLOOKUP(F35,'Fichier pour valo'!A:I,4,0)</f>
        <v>0</v>
      </c>
      <c r="R35" s="11">
        <f>VLOOKUP(F35,'Fichier pour valo'!A:I,8,0)</f>
        <v>2645.6900000000005</v>
      </c>
      <c r="S35" s="11">
        <f>VLOOKUP(F35,'Fichier pour valo'!A:I,5,0)</f>
        <v>2489.1800000000003</v>
      </c>
      <c r="T35" s="92">
        <f t="shared" si="44"/>
        <v>0.43529243364549958</v>
      </c>
      <c r="U35" s="92">
        <f t="shared" si="45"/>
        <v>0.94084340946974132</v>
      </c>
      <c r="V35" s="40">
        <f t="shared" si="46"/>
        <v>8567.14</v>
      </c>
      <c r="W35" s="11">
        <f>VLOOKUP(F35,'Fichier pour valo'!A:I,9,0)</f>
        <v>22.800000000000004</v>
      </c>
      <c r="X35" s="40">
        <f t="shared" si="47"/>
        <v>375.75175438596483</v>
      </c>
      <c r="Y35" s="11">
        <f>+VLOOKUP(F35,HRECH!A:P,7,0)</f>
        <v>0</v>
      </c>
      <c r="Z35" s="11">
        <f>+VLOOKUP(F35,HRECH!A:P,16,0)</f>
        <v>0</v>
      </c>
      <c r="AA35" s="11">
        <f>+VLOOKUP(F35,HRECH!A:Q,17,0)</f>
        <v>0</v>
      </c>
      <c r="AB35" s="11">
        <f>+VLOOKUP(F35,HRECH!A:P,11,0)</f>
        <v>0</v>
      </c>
      <c r="AC35" s="11">
        <f>+VLOOKUP(F35,HRECH!A:P,9,0)</f>
        <v>0</v>
      </c>
      <c r="AD35" s="11">
        <f>+VLOOKUP(F35,HRECH!A:P,10,0)</f>
        <v>15.2</v>
      </c>
      <c r="AE35" s="40"/>
      <c r="AF35" s="81">
        <f t="shared" si="48"/>
        <v>15.2</v>
      </c>
      <c r="AG35" s="93">
        <f t="shared" si="49"/>
        <v>0.66666666666666652</v>
      </c>
      <c r="AI35" s="523"/>
      <c r="AJ35" s="40"/>
      <c r="AK35" s="81">
        <f t="shared" si="50"/>
        <v>0</v>
      </c>
      <c r="AL35" s="93">
        <f t="shared" si="51"/>
        <v>0</v>
      </c>
      <c r="AN35" s="11"/>
      <c r="AO35" s="40"/>
      <c r="AP35" s="81">
        <f t="shared" si="52"/>
        <v>0</v>
      </c>
      <c r="AQ35" s="93">
        <f t="shared" si="53"/>
        <v>0</v>
      </c>
      <c r="AS35" s="28">
        <f t="shared" si="54"/>
        <v>0</v>
      </c>
      <c r="AT35" s="28">
        <f t="shared" si="55"/>
        <v>0</v>
      </c>
      <c r="AU35" s="28">
        <f t="shared" si="56"/>
        <v>0</v>
      </c>
      <c r="AV35" s="28">
        <f t="shared" si="57"/>
        <v>0</v>
      </c>
      <c r="AW35" s="28">
        <f t="shared" si="58"/>
        <v>0</v>
      </c>
      <c r="AX35" s="28">
        <f t="shared" si="59"/>
        <v>5711.4266666666654</v>
      </c>
      <c r="AY35" s="40"/>
      <c r="AZ35" s="81">
        <f t="shared" si="60"/>
        <v>5711.4266666666654</v>
      </c>
      <c r="BB35" s="11">
        <f t="shared" si="61"/>
        <v>0</v>
      </c>
      <c r="BC35" s="40"/>
      <c r="BD35" s="81">
        <f t="shared" si="62"/>
        <v>0</v>
      </c>
      <c r="BF35" s="11">
        <f t="shared" si="68"/>
        <v>0</v>
      </c>
      <c r="BG35" s="40"/>
      <c r="BH35" s="81">
        <f t="shared" si="63"/>
        <v>0</v>
      </c>
      <c r="BJ35" s="11">
        <f t="shared" si="64"/>
        <v>7.600000000000005</v>
      </c>
      <c r="BK35" s="11">
        <f t="shared" si="65"/>
        <v>22.800000000000004</v>
      </c>
      <c r="BL35" s="11">
        <f t="shared" si="66"/>
        <v>0</v>
      </c>
      <c r="BM35" s="11">
        <f t="shared" si="67"/>
        <v>0</v>
      </c>
    </row>
    <row r="36" spans="1:65" ht="15.75" x14ac:dyDescent="0.3">
      <c r="A36" s="111" t="s">
        <v>813</v>
      </c>
      <c r="B36" s="59">
        <f t="shared" si="42"/>
        <v>0</v>
      </c>
      <c r="C36" s="59">
        <f t="shared" si="43"/>
        <v>0</v>
      </c>
      <c r="D36" s="84" t="b">
        <v>1</v>
      </c>
      <c r="E36" s="83" t="b">
        <v>0</v>
      </c>
      <c r="F36" s="11">
        <v>44</v>
      </c>
      <c r="G36" s="11" t="s">
        <v>1005</v>
      </c>
      <c r="H36" s="11" t="s">
        <v>1006</v>
      </c>
      <c r="I36" s="11" t="s">
        <v>1007</v>
      </c>
      <c r="J36" s="11" t="str">
        <f>VLOOKUP(F36,'Verif VS 24'!$A$5:$F$44,5,0)</f>
        <v>DUT - Chimie Analytique et de Synthèse - IUT de Creteil</v>
      </c>
      <c r="K36" s="11">
        <f>VLOOKUP(F36,'Verif VS 24'!$A$5:$F$44,6,0)</f>
        <v>2022</v>
      </c>
      <c r="L36" s="11" t="s">
        <v>35</v>
      </c>
      <c r="M36" s="94">
        <v>45306</v>
      </c>
      <c r="N36" s="94">
        <v>45851</v>
      </c>
      <c r="O36" s="171">
        <f>IF(AND(VALO_PERSO!M50&lt;=parametrage!$A$13,ISBLANK(VALO_PERSO!N50)),100%,IF(AND(VALO_PERSO!M50&gt;=parametrage!$A$13,ISBLANK(VALO_PERSO!N50)),((parametrage!$A$14-VALO_PERSO!M50+1)/365),IF(AND(VALO_PERSO!M50&lt;=parametrage!$A$13,AND(VALO_PERSO!N50&gt;parametrage!$A$13,VALO_PERSO!N50&lt;=parametrage!$A$14)),((VALO_PERSO!N50-parametrage!$A$13)/365),((VALO_PERSO!N50-VALO_PERSO!M50)/365))))</f>
        <v>1</v>
      </c>
      <c r="P36" s="11">
        <f>VLOOKUP(F36,'Fichier pour valo'!A:I,6,0)</f>
        <v>19283.740000000002</v>
      </c>
      <c r="Q36" s="11">
        <f>VLOOKUP(F36,'Fichier pour valo'!A:I,4,0)</f>
        <v>177.6</v>
      </c>
      <c r="R36" s="11">
        <f>VLOOKUP(F36,'Fichier pour valo'!A:I,8,0)</f>
        <v>8457.6999999999989</v>
      </c>
      <c r="S36" s="11">
        <f>VLOOKUP(F36,'Fichier pour valo'!A:I,5,0)</f>
        <v>7947.4299999999994</v>
      </c>
      <c r="T36" s="92">
        <f t="shared" si="44"/>
        <v>0.43859230626424117</v>
      </c>
      <c r="U36" s="92">
        <f t="shared" si="45"/>
        <v>0.93966799484493424</v>
      </c>
      <c r="V36" s="40">
        <f t="shared" si="46"/>
        <v>27408.77</v>
      </c>
      <c r="W36" s="11">
        <f>VLOOKUP(F36,'Fichier pour valo'!A:I,9,0)</f>
        <v>449.67999999999995</v>
      </c>
      <c r="X36" s="40">
        <f t="shared" si="47"/>
        <v>60.951721223981508</v>
      </c>
      <c r="Y36" s="11">
        <f>+VLOOKUP(F36,HRECH!A:P,7,0)</f>
        <v>0</v>
      </c>
      <c r="Z36" s="11">
        <f>+VLOOKUP(F36,HRECH!A:P,16,0)</f>
        <v>125.39999999999996</v>
      </c>
      <c r="AA36" s="11">
        <f>+VLOOKUP(F36,HRECH!A:Q,17,0)</f>
        <v>307.8</v>
      </c>
      <c r="AB36" s="11">
        <f>+VLOOKUP(F36,HRECH!A:P,11,0)</f>
        <v>0</v>
      </c>
      <c r="AC36" s="11">
        <f>+VLOOKUP(F36,HRECH!A:P,9,0)</f>
        <v>0</v>
      </c>
      <c r="AD36" s="11">
        <f>+VLOOKUP(F36,HRECH!A:P,10,0)</f>
        <v>0</v>
      </c>
      <c r="AE36" s="40"/>
      <c r="AF36" s="81">
        <f t="shared" si="48"/>
        <v>433.2</v>
      </c>
      <c r="AG36" s="93">
        <f t="shared" si="49"/>
        <v>0.96335171677637443</v>
      </c>
      <c r="AI36" s="11"/>
      <c r="AJ36" s="40"/>
      <c r="AK36" s="81">
        <f t="shared" si="50"/>
        <v>0</v>
      </c>
      <c r="AL36" s="93">
        <f t="shared" si="51"/>
        <v>0</v>
      </c>
      <c r="AN36" s="11"/>
      <c r="AO36" s="40"/>
      <c r="AP36" s="81">
        <f t="shared" si="52"/>
        <v>0</v>
      </c>
      <c r="AQ36" s="93">
        <f t="shared" si="53"/>
        <v>0</v>
      </c>
      <c r="AS36" s="28">
        <f t="shared" si="54"/>
        <v>0</v>
      </c>
      <c r="AT36" s="28">
        <f t="shared" si="55"/>
        <v>7643.3458414872784</v>
      </c>
      <c r="AU36" s="28">
        <f t="shared" si="56"/>
        <v>18760.939792741508</v>
      </c>
      <c r="AV36" s="28">
        <f t="shared" si="57"/>
        <v>0</v>
      </c>
      <c r="AW36" s="28">
        <f t="shared" si="58"/>
        <v>0</v>
      </c>
      <c r="AX36" s="28">
        <f t="shared" si="59"/>
        <v>0</v>
      </c>
      <c r="AY36" s="40"/>
      <c r="AZ36" s="81">
        <f t="shared" si="60"/>
        <v>26404.285634228785</v>
      </c>
      <c r="BB36" s="11">
        <f t="shared" si="61"/>
        <v>0</v>
      </c>
      <c r="BC36" s="40"/>
      <c r="BD36" s="81">
        <f t="shared" si="62"/>
        <v>0</v>
      </c>
      <c r="BF36" s="11">
        <f t="shared" si="68"/>
        <v>0</v>
      </c>
      <c r="BG36" s="40"/>
      <c r="BH36" s="81">
        <f t="shared" si="63"/>
        <v>0</v>
      </c>
      <c r="BJ36" s="11">
        <f t="shared" si="64"/>
        <v>16.479999999999961</v>
      </c>
      <c r="BK36" s="11">
        <f t="shared" si="65"/>
        <v>449.67999999999995</v>
      </c>
      <c r="BL36" s="11">
        <f t="shared" si="66"/>
        <v>0</v>
      </c>
      <c r="BM36" s="11">
        <f t="shared" si="67"/>
        <v>0</v>
      </c>
    </row>
    <row r="37" spans="1:65" ht="15.75" x14ac:dyDescent="0.3">
      <c r="A37" s="111" t="s">
        <v>813</v>
      </c>
      <c r="B37" s="59">
        <f t="shared" si="42"/>
        <v>0</v>
      </c>
      <c r="C37" s="59">
        <f t="shared" si="43"/>
        <v>0</v>
      </c>
      <c r="D37" s="84" t="b">
        <v>1</v>
      </c>
      <c r="E37" s="83" t="b">
        <v>0</v>
      </c>
      <c r="F37" s="11">
        <v>46</v>
      </c>
      <c r="G37" s="11" t="s">
        <v>1010</v>
      </c>
      <c r="H37" s="11" t="s">
        <v>1011</v>
      </c>
      <c r="I37" s="11" t="s">
        <v>1360</v>
      </c>
      <c r="J37" s="11" t="str">
        <f>VLOOKUP(F37,'Verif VS 24'!$A$5:$F$44,5,0)</f>
        <v>Ingénieur - Chimie Bioactifs et Cosmétiques - Université d'Orléans</v>
      </c>
      <c r="K37" s="11">
        <f>VLOOKUP(F37,'Verif VS 24'!$A$5:$F$44,6,0)</f>
        <v>2018</v>
      </c>
      <c r="L37" s="11" t="s">
        <v>22</v>
      </c>
      <c r="M37" s="94">
        <v>45320</v>
      </c>
      <c r="N37" s="94"/>
      <c r="O37" s="171">
        <f>IF(AND(VALO_PERSO!M59&lt;=parametrage!$A$13,ISBLANK(VALO_PERSO!N59)),100%,IF(AND(VALO_PERSO!M59&gt;=parametrage!$A$13,ISBLANK(VALO_PERSO!N59)),((parametrage!$A$14-VALO_PERSO!M59+1)/365),IF(AND(VALO_PERSO!M59&lt;=parametrage!$A$13,AND(VALO_PERSO!N59&gt;parametrage!$A$13,VALO_PERSO!N59&lt;=parametrage!$A$14)),((VALO_PERSO!N59-parametrage!$A$13)/365),((VALO_PERSO!N59-VALO_PERSO!M59)/365))))</f>
        <v>1</v>
      </c>
      <c r="P37" s="11">
        <f>VLOOKUP(F37,'Fichier pour valo'!A:I,6,0)</f>
        <v>40454.120000000003</v>
      </c>
      <c r="Q37" s="11">
        <f>VLOOKUP(F37,'Fichier pour valo'!A:I,4,0)</f>
        <v>0</v>
      </c>
      <c r="R37" s="11">
        <f>VLOOKUP(F37,'Fichier pour valo'!A:I,8,0)</f>
        <v>17219.060000000001</v>
      </c>
      <c r="S37" s="11">
        <f>VLOOKUP(F37,'Fichier pour valo'!A:I,5,0)</f>
        <v>16538.34</v>
      </c>
      <c r="T37" s="92">
        <f t="shared" si="44"/>
        <v>0.42564416183073567</v>
      </c>
      <c r="U37" s="92">
        <f t="shared" si="45"/>
        <v>0.9604670638234607</v>
      </c>
      <c r="V37" s="40">
        <f t="shared" si="46"/>
        <v>56992.460000000006</v>
      </c>
      <c r="W37" s="11">
        <f>VLOOKUP(F37,'Fichier pour valo'!A:I,9,0)</f>
        <v>1081.71</v>
      </c>
      <c r="X37" s="40">
        <f t="shared" si="47"/>
        <v>52.687374619814925</v>
      </c>
      <c r="Y37" s="11">
        <f>+VLOOKUP(F37,HRECH!A:P,7,0)</f>
        <v>148.19999999999996</v>
      </c>
      <c r="Z37" s="11">
        <f>+VLOOKUP(F37,HRECH!A:P,16,0)</f>
        <v>699.20000000000118</v>
      </c>
      <c r="AA37" s="11">
        <f>+VLOOKUP(F37,HRECH!A:Q,17,0)</f>
        <v>22.799999999999997</v>
      </c>
      <c r="AB37" s="11">
        <f>+VLOOKUP(F37,HRECH!A:P,11,0)</f>
        <v>3.8</v>
      </c>
      <c r="AC37" s="11">
        <f>+VLOOKUP(F37,HRECH!A:P,9,0)</f>
        <v>83.6</v>
      </c>
      <c r="AD37" s="11">
        <f>+VLOOKUP(F37,HRECH!A:P,10,0)</f>
        <v>0</v>
      </c>
      <c r="AE37" s="40"/>
      <c r="AF37" s="81">
        <f t="shared" si="48"/>
        <v>957.60000000000105</v>
      </c>
      <c r="AG37" s="93">
        <f t="shared" si="49"/>
        <v>0.88526499708794504</v>
      </c>
      <c r="AI37" s="11"/>
      <c r="AJ37" s="40"/>
      <c r="AK37" s="81">
        <f t="shared" si="50"/>
        <v>0</v>
      </c>
      <c r="AL37" s="93">
        <f t="shared" si="51"/>
        <v>0</v>
      </c>
      <c r="AN37" s="11"/>
      <c r="AO37" s="40"/>
      <c r="AP37" s="81">
        <f t="shared" si="52"/>
        <v>0</v>
      </c>
      <c r="AQ37" s="93">
        <f t="shared" si="53"/>
        <v>0</v>
      </c>
      <c r="AS37" s="28">
        <f t="shared" si="54"/>
        <v>7808.2689186565703</v>
      </c>
      <c r="AT37" s="28">
        <f t="shared" si="55"/>
        <v>36839.012334174658</v>
      </c>
      <c r="AU37" s="28">
        <f t="shared" si="56"/>
        <v>1201.2721413317802</v>
      </c>
      <c r="AV37" s="28">
        <f t="shared" si="57"/>
        <v>200.21202355529672</v>
      </c>
      <c r="AW37" s="28">
        <f t="shared" si="58"/>
        <v>4404.6645182165275</v>
      </c>
      <c r="AX37" s="28">
        <f t="shared" si="59"/>
        <v>0</v>
      </c>
      <c r="AY37" s="40"/>
      <c r="AZ37" s="81">
        <f t="shared" si="60"/>
        <v>50453.42993593483</v>
      </c>
      <c r="BB37" s="11">
        <f t="shared" si="61"/>
        <v>0</v>
      </c>
      <c r="BC37" s="40"/>
      <c r="BD37" s="81">
        <f t="shared" si="62"/>
        <v>0</v>
      </c>
      <c r="BF37" s="11">
        <f t="shared" si="68"/>
        <v>0</v>
      </c>
      <c r="BG37" s="40"/>
      <c r="BH37" s="81">
        <f t="shared" si="63"/>
        <v>0</v>
      </c>
      <c r="BJ37" s="11">
        <f t="shared" si="64"/>
        <v>124.10999999999899</v>
      </c>
      <c r="BK37" s="11">
        <f t="shared" si="65"/>
        <v>1081.71</v>
      </c>
      <c r="BL37" s="11">
        <f t="shared" si="66"/>
        <v>0</v>
      </c>
      <c r="BM37" s="11">
        <f t="shared" si="67"/>
        <v>0</v>
      </c>
    </row>
    <row r="38" spans="1:65" ht="15.75" x14ac:dyDescent="0.3">
      <c r="A38" s="111" t="s">
        <v>813</v>
      </c>
      <c r="B38" s="59">
        <f t="shared" si="42"/>
        <v>0</v>
      </c>
      <c r="C38" s="59">
        <f t="shared" si="43"/>
        <v>0</v>
      </c>
      <c r="D38" s="84" t="b">
        <v>1</v>
      </c>
      <c r="E38" s="83" t="b">
        <v>0</v>
      </c>
      <c r="F38" s="11">
        <v>48</v>
      </c>
      <c r="G38" s="11" t="s">
        <v>1019</v>
      </c>
      <c r="H38" s="11" t="s">
        <v>1020</v>
      </c>
      <c r="I38" s="11" t="s">
        <v>1021</v>
      </c>
      <c r="J38" s="11" t="str">
        <f>VLOOKUP(F38,'Verif VS 24'!$A$5:$F$44,5,0)</f>
        <v>Doctorat - Matière, Molécules, Matériaux et Géosciences - Université d'Angers</v>
      </c>
      <c r="K38" s="11">
        <f>VLOOKUP(F38,'Verif VS 24'!$A$5:$F$44,6,0)</f>
        <v>2023</v>
      </c>
      <c r="L38" s="11" t="s">
        <v>22</v>
      </c>
      <c r="M38" s="94">
        <v>45366</v>
      </c>
      <c r="N38" s="94">
        <v>45730</v>
      </c>
      <c r="O38" s="171">
        <f>IF(AND(VALO_PERSO!M75&lt;=parametrage!$A$13,ISBLANK(VALO_PERSO!N75)),100%,IF(AND(VALO_PERSO!M75&gt;=parametrage!$A$13,ISBLANK(VALO_PERSO!N75)),((parametrage!$A$14-VALO_PERSO!M75+1)/365),IF(AND(VALO_PERSO!M75&lt;=parametrage!$A$13,AND(VALO_PERSO!N75&gt;parametrage!$A$13,VALO_PERSO!N75&lt;=parametrage!$A$14)),((VALO_PERSO!N75-parametrage!$A$13)/365),((VALO_PERSO!N75-VALO_PERSO!M75)/365))))</f>
        <v>1</v>
      </c>
      <c r="P38" s="11">
        <f>VLOOKUP(F38,'Fichier pour valo'!A:I,6,0)</f>
        <v>10674.95</v>
      </c>
      <c r="Q38" s="11">
        <f>VLOOKUP(F38,'Fichier pour valo'!A:I,4,0)</f>
        <v>133.19999999999999</v>
      </c>
      <c r="R38" s="11">
        <f>VLOOKUP(F38,'Fichier pour valo'!A:I,8,0)</f>
        <v>4623.7699999999995</v>
      </c>
      <c r="S38" s="11">
        <f>VLOOKUP(F38,'Fichier pour valo'!A:I,5,0)</f>
        <v>4338.5200000000004</v>
      </c>
      <c r="T38" s="92">
        <f t="shared" si="44"/>
        <v>0.43314207560691143</v>
      </c>
      <c r="U38" s="92">
        <f t="shared" si="45"/>
        <v>0.93830791756510401</v>
      </c>
      <c r="V38" s="40">
        <f t="shared" si="46"/>
        <v>15146.670000000002</v>
      </c>
      <c r="W38" s="11">
        <f>VLOOKUP(F38,'Fichier pour valo'!A:I,9,0)</f>
        <v>344.53999999999996</v>
      </c>
      <c r="X38" s="40">
        <f t="shared" si="47"/>
        <v>43.962007314099971</v>
      </c>
      <c r="Y38" s="11">
        <f>+VLOOKUP(F38,HRECH!A:P,7,0)</f>
        <v>0</v>
      </c>
      <c r="Z38" s="11">
        <f>+VLOOKUP(F38,HRECH!A:P,16,0)</f>
        <v>0</v>
      </c>
      <c r="AA38" s="11">
        <f>+VLOOKUP(F38,HRECH!A:Q,17,0)</f>
        <v>334.40000000000009</v>
      </c>
      <c r="AB38" s="11">
        <f>+VLOOKUP(F38,HRECH!A:P,11,0)</f>
        <v>0</v>
      </c>
      <c r="AC38" s="11">
        <f>+VLOOKUP(F38,HRECH!A:P,9,0)</f>
        <v>0</v>
      </c>
      <c r="AD38" s="11">
        <f>+VLOOKUP(F38,HRECH!A:P,10,0)</f>
        <v>0</v>
      </c>
      <c r="AE38" s="40"/>
      <c r="AF38" s="81">
        <f t="shared" si="48"/>
        <v>334.40000000000009</v>
      </c>
      <c r="AG38" s="93">
        <f t="shared" si="49"/>
        <v>0.97056945492540814</v>
      </c>
      <c r="AI38" s="11"/>
      <c r="AJ38" s="40"/>
      <c r="AK38" s="81">
        <f t="shared" si="50"/>
        <v>0</v>
      </c>
      <c r="AL38" s="93">
        <f t="shared" si="51"/>
        <v>0</v>
      </c>
      <c r="AN38" s="11"/>
      <c r="AO38" s="40"/>
      <c r="AP38" s="81">
        <f t="shared" si="52"/>
        <v>0</v>
      </c>
      <c r="AQ38" s="93">
        <f t="shared" si="53"/>
        <v>0</v>
      </c>
      <c r="AS38" s="28">
        <f t="shared" si="54"/>
        <v>0</v>
      </c>
      <c r="AT38" s="28">
        <f t="shared" si="55"/>
        <v>0</v>
      </c>
      <c r="AU38" s="28">
        <f t="shared" si="56"/>
        <v>14700.895245835032</v>
      </c>
      <c r="AV38" s="28">
        <f t="shared" si="57"/>
        <v>0</v>
      </c>
      <c r="AW38" s="28">
        <f t="shared" si="58"/>
        <v>0</v>
      </c>
      <c r="AX38" s="28">
        <f t="shared" si="59"/>
        <v>0</v>
      </c>
      <c r="AY38" s="40"/>
      <c r="AZ38" s="81">
        <f t="shared" si="60"/>
        <v>14700.895245835032</v>
      </c>
      <c r="BB38" s="11">
        <f t="shared" si="61"/>
        <v>0</v>
      </c>
      <c r="BC38" s="40"/>
      <c r="BD38" s="81">
        <f t="shared" si="62"/>
        <v>0</v>
      </c>
      <c r="BF38" s="11">
        <f t="shared" si="68"/>
        <v>0</v>
      </c>
      <c r="BG38" s="40"/>
      <c r="BH38" s="81">
        <f t="shared" si="63"/>
        <v>0</v>
      </c>
      <c r="BJ38" s="11">
        <f t="shared" si="64"/>
        <v>10.139999999999873</v>
      </c>
      <c r="BK38" s="11">
        <f t="shared" si="65"/>
        <v>344.53999999999996</v>
      </c>
      <c r="BL38" s="11">
        <f t="shared" si="66"/>
        <v>0</v>
      </c>
      <c r="BM38" s="11">
        <f t="shared" si="67"/>
        <v>0</v>
      </c>
    </row>
    <row r="39" spans="1:65" ht="15.75" x14ac:dyDescent="0.3">
      <c r="A39" s="111" t="s">
        <v>813</v>
      </c>
      <c r="B39" s="59">
        <f t="shared" si="42"/>
        <v>0</v>
      </c>
      <c r="C39" s="59">
        <f t="shared" si="43"/>
        <v>0</v>
      </c>
      <c r="D39" s="84" t="b">
        <v>1</v>
      </c>
      <c r="E39" s="83" t="b">
        <v>0</v>
      </c>
      <c r="F39" s="11">
        <v>49</v>
      </c>
      <c r="G39" s="11" t="s">
        <v>1198</v>
      </c>
      <c r="H39" s="11" t="s">
        <v>1199</v>
      </c>
      <c r="I39" s="11" t="s">
        <v>1366</v>
      </c>
      <c r="J39" s="11" t="str">
        <f>VLOOKUP(F39,'Verif VS 24'!$A$5:$F$44,5,0)</f>
        <v>Doctorat - Chimie Organique - Université de Grenoble</v>
      </c>
      <c r="K39" s="11">
        <f>VLOOKUP(F39,'Verif VS 24'!$A$5:$F$44,6,0)</f>
        <v>2014</v>
      </c>
      <c r="L39" s="11" t="s">
        <v>22</v>
      </c>
      <c r="M39" s="94">
        <v>45404</v>
      </c>
      <c r="N39" s="94"/>
      <c r="O39" s="171">
        <f>IF(AND(VALO_PERSO!M89&lt;=parametrage!$A$13,ISBLANK(VALO_PERSO!N89)),100%,IF(AND(VALO_PERSO!M89&gt;=parametrage!$A$13,ISBLANK(VALO_PERSO!N89)),((parametrage!$A$14-VALO_PERSO!M89+1)/365),IF(AND(VALO_PERSO!M89&lt;=parametrage!$A$13,AND(VALO_PERSO!N89&gt;parametrage!$A$13,VALO_PERSO!N89&lt;=parametrage!$A$14)),((VALO_PERSO!N89-parametrage!$A$13)/365),((VALO_PERSO!N89-VALO_PERSO!M89)/365))))</f>
        <v>1</v>
      </c>
      <c r="P39" s="11">
        <f>VLOOKUP(F39,'Fichier pour valo'!A:I,6,0)</f>
        <v>79172.740000000005</v>
      </c>
      <c r="Q39" s="11">
        <f>VLOOKUP(F39,'Fichier pour valo'!A:I,4,0)</f>
        <v>0</v>
      </c>
      <c r="R39" s="11">
        <f>VLOOKUP(F39,'Fichier pour valo'!A:I,8,0)</f>
        <v>35162.29</v>
      </c>
      <c r="S39" s="11">
        <f>VLOOKUP(F39,'Fichier pour valo'!A:I,5,0)</f>
        <v>33862.619999999995</v>
      </c>
      <c r="T39" s="92">
        <f t="shared" si="44"/>
        <v>0.444121170999008</v>
      </c>
      <c r="U39" s="92">
        <f t="shared" si="45"/>
        <v>0.96303795913178558</v>
      </c>
      <c r="V39" s="40">
        <f t="shared" si="46"/>
        <v>113035.36</v>
      </c>
      <c r="W39" s="11">
        <f>VLOOKUP(F39,'Fichier pour valo'!A:I,9,0)</f>
        <v>1404</v>
      </c>
      <c r="X39" s="40">
        <f t="shared" si="47"/>
        <v>80.509515669515665</v>
      </c>
      <c r="Y39" s="11">
        <f>Y62</f>
        <v>110.07087378640776</v>
      </c>
      <c r="Z39" s="11">
        <f t="shared" ref="Z39:AD39" si="70">Z62</f>
        <v>427.3339805825243</v>
      </c>
      <c r="AA39" s="11">
        <f t="shared" si="70"/>
        <v>556.8291262135923</v>
      </c>
      <c r="AB39" s="11">
        <f t="shared" si="70"/>
        <v>123.02038834951456</v>
      </c>
      <c r="AC39" s="11">
        <f t="shared" si="70"/>
        <v>71.222330097087379</v>
      </c>
      <c r="AD39" s="11">
        <f t="shared" si="70"/>
        <v>45.323300970873788</v>
      </c>
      <c r="AE39" s="40"/>
      <c r="AF39" s="81">
        <f t="shared" si="48"/>
        <v>1333.8000000000004</v>
      </c>
      <c r="AG39" s="93">
        <f t="shared" si="49"/>
        <v>0.95000000000000029</v>
      </c>
      <c r="AI39" s="11"/>
      <c r="AJ39" s="40"/>
      <c r="AK39" s="81">
        <f t="shared" si="50"/>
        <v>0</v>
      </c>
      <c r="AL39" s="93">
        <f t="shared" si="51"/>
        <v>0</v>
      </c>
      <c r="AN39" s="11"/>
      <c r="AO39" s="40"/>
      <c r="AP39" s="81">
        <f t="shared" si="52"/>
        <v>0</v>
      </c>
      <c r="AQ39" s="93">
        <f t="shared" si="53"/>
        <v>0</v>
      </c>
      <c r="AS39" s="28">
        <f t="shared" si="54"/>
        <v>8861.7527378640771</v>
      </c>
      <c r="AT39" s="28">
        <f t="shared" si="55"/>
        <v>34404.451805825251</v>
      </c>
      <c r="AU39" s="28">
        <f t="shared" si="56"/>
        <v>44830.043262135929</v>
      </c>
      <c r="AV39" s="28">
        <f t="shared" si="57"/>
        <v>9904.3118834951456</v>
      </c>
      <c r="AW39" s="28">
        <f t="shared" si="58"/>
        <v>5734.0753009708733</v>
      </c>
      <c r="AX39" s="28">
        <f t="shared" si="59"/>
        <v>3648.9570097087376</v>
      </c>
      <c r="AY39" s="40"/>
      <c r="AZ39" s="81">
        <f t="shared" si="60"/>
        <v>107383.59200000002</v>
      </c>
      <c r="BB39" s="11">
        <f t="shared" si="61"/>
        <v>0</v>
      </c>
      <c r="BC39" s="40"/>
      <c r="BD39" s="81">
        <f t="shared" si="62"/>
        <v>0</v>
      </c>
      <c r="BF39" s="11">
        <f t="shared" si="68"/>
        <v>0</v>
      </c>
      <c r="BG39" s="40"/>
      <c r="BH39" s="81">
        <f t="shared" si="63"/>
        <v>0</v>
      </c>
      <c r="BJ39" s="11">
        <f t="shared" si="64"/>
        <v>70.199999999999591</v>
      </c>
      <c r="BK39" s="11">
        <f t="shared" si="65"/>
        <v>1404</v>
      </c>
      <c r="BL39" s="11">
        <f t="shared" si="66"/>
        <v>0</v>
      </c>
      <c r="BM39" s="11">
        <f t="shared" si="67"/>
        <v>0</v>
      </c>
    </row>
    <row r="40" spans="1:65" ht="15.75" x14ac:dyDescent="0.3">
      <c r="A40" s="111" t="s">
        <v>813</v>
      </c>
      <c r="B40" s="59">
        <f t="shared" si="42"/>
        <v>0</v>
      </c>
      <c r="C40" s="59">
        <f t="shared" si="43"/>
        <v>0</v>
      </c>
      <c r="D40" s="84" t="b">
        <v>1</v>
      </c>
      <c r="E40" s="83" t="b">
        <v>0</v>
      </c>
      <c r="F40" s="11">
        <v>50</v>
      </c>
      <c r="G40" s="11" t="s">
        <v>1029</v>
      </c>
      <c r="H40" s="11" t="s">
        <v>1030</v>
      </c>
      <c r="I40" s="11" t="s">
        <v>1367</v>
      </c>
      <c r="J40" s="11" t="str">
        <f>VLOOKUP(F40,'Verif VS 24'!$A$5:$F$44,5,0)</f>
        <v>Ingénieur - Ecole Nationale Supérieure de Chimie de Lille</v>
      </c>
      <c r="K40" s="11">
        <f>VLOOKUP(F40,'Verif VS 24'!$A$5:$F$44,6,0)</f>
        <v>2017</v>
      </c>
      <c r="L40" s="11" t="s">
        <v>22</v>
      </c>
      <c r="M40" s="94">
        <v>45790</v>
      </c>
      <c r="N40" s="94"/>
      <c r="O40" s="171">
        <f>IF(AND(VALO_PERSO!M90&lt;=parametrage!$A$13,ISBLANK(VALO_PERSO!N90)),100%,IF(AND(VALO_PERSO!M90&gt;=parametrage!$A$13,ISBLANK(VALO_PERSO!N90)),((parametrage!$A$14-VALO_PERSO!M90+1)/365),IF(AND(VALO_PERSO!M90&lt;=parametrage!$A$13,AND(VALO_PERSO!N90&gt;parametrage!$A$13,VALO_PERSO!N90&lt;=parametrage!$A$14)),((VALO_PERSO!N90-parametrage!$A$13)/365),((VALO_PERSO!N90-VALO_PERSO!M90)/365))))</f>
        <v>1</v>
      </c>
      <c r="P40" s="11">
        <f>VLOOKUP(F40,'Fichier pour valo'!A:I,6,0)</f>
        <v>56944.02</v>
      </c>
      <c r="Q40" s="11">
        <f>VLOOKUP(F40,'Fichier pour valo'!A:I,4,0)</f>
        <v>819.6</v>
      </c>
      <c r="R40" s="11">
        <f>VLOOKUP(F40,'Fichier pour valo'!A:I,8,0)</f>
        <v>24267.360000000001</v>
      </c>
      <c r="S40" s="11">
        <f>VLOOKUP(F40,'Fichier pour valo'!A:I,5,0)</f>
        <v>23101.09</v>
      </c>
      <c r="T40" s="92">
        <f t="shared" si="44"/>
        <v>0.42616169353691574</v>
      </c>
      <c r="U40" s="92">
        <f t="shared" si="45"/>
        <v>0.95194079619703176</v>
      </c>
      <c r="V40" s="40">
        <f t="shared" si="46"/>
        <v>80864.709999999992</v>
      </c>
      <c r="W40" s="11">
        <f>VLOOKUP(F40,'Fichier pour valo'!A:I,9,0)</f>
        <v>1786.04</v>
      </c>
      <c r="X40" s="40">
        <f t="shared" si="47"/>
        <v>45.275979261382723</v>
      </c>
      <c r="Y40" s="11">
        <f>+VLOOKUP(F40,HRECH!A:P,7,0)</f>
        <v>15.2</v>
      </c>
      <c r="Z40" s="11">
        <f>+VLOOKUP(F40,HRECH!A:P,16,0)</f>
        <v>847.40000000000111</v>
      </c>
      <c r="AA40" s="11">
        <f>+VLOOKUP(F40,HRECH!A:Q,17,0)</f>
        <v>353.40000000000049</v>
      </c>
      <c r="AB40" s="11">
        <f>+VLOOKUP(F40,HRECH!A:P,11,0)</f>
        <v>0</v>
      </c>
      <c r="AC40" s="11">
        <f>+VLOOKUP(F40,HRECH!A:P,9,0)</f>
        <v>0</v>
      </c>
      <c r="AD40" s="11">
        <f>+VLOOKUP(F40,HRECH!A:P,10,0)</f>
        <v>22.8</v>
      </c>
      <c r="AE40" s="40"/>
      <c r="AF40" s="81">
        <f t="shared" si="48"/>
        <v>1238.8000000000015</v>
      </c>
      <c r="AG40" s="93">
        <f t="shared" si="49"/>
        <v>0.69360148708875591</v>
      </c>
      <c r="AI40" s="11"/>
      <c r="AJ40" s="40"/>
      <c r="AK40" s="81">
        <f t="shared" si="50"/>
        <v>0</v>
      </c>
      <c r="AL40" s="93">
        <f t="shared" si="51"/>
        <v>0</v>
      </c>
      <c r="AN40" s="11"/>
      <c r="AO40" s="40"/>
      <c r="AP40" s="81">
        <f t="shared" si="52"/>
        <v>0</v>
      </c>
      <c r="AQ40" s="93">
        <f t="shared" si="53"/>
        <v>0</v>
      </c>
      <c r="AS40" s="28">
        <f t="shared" si="54"/>
        <v>688.19488477301729</v>
      </c>
      <c r="AT40" s="28">
        <f t="shared" si="55"/>
        <v>38366.864826095771</v>
      </c>
      <c r="AU40" s="28">
        <f t="shared" si="56"/>
        <v>16000.531070972675</v>
      </c>
      <c r="AV40" s="28">
        <f t="shared" si="57"/>
        <v>0</v>
      </c>
      <c r="AW40" s="28">
        <f t="shared" si="58"/>
        <v>0</v>
      </c>
      <c r="AX40" s="28">
        <f t="shared" si="59"/>
        <v>1032.2923271595259</v>
      </c>
      <c r="AY40" s="40"/>
      <c r="AZ40" s="81">
        <f t="shared" si="60"/>
        <v>56087.883109000992</v>
      </c>
      <c r="BB40" s="11">
        <f t="shared" si="61"/>
        <v>0</v>
      </c>
      <c r="BC40" s="40"/>
      <c r="BD40" s="81">
        <f t="shared" si="62"/>
        <v>0</v>
      </c>
      <c r="BF40" s="11">
        <f t="shared" si="68"/>
        <v>0</v>
      </c>
      <c r="BG40" s="40"/>
      <c r="BH40" s="81">
        <f t="shared" si="63"/>
        <v>0</v>
      </c>
      <c r="BJ40" s="11">
        <f t="shared" si="64"/>
        <v>547.23999999999842</v>
      </c>
      <c r="BK40" s="11">
        <f t="shared" si="65"/>
        <v>1786.04</v>
      </c>
      <c r="BL40" s="11">
        <f t="shared" si="66"/>
        <v>0</v>
      </c>
      <c r="BM40" s="11">
        <f t="shared" si="67"/>
        <v>0</v>
      </c>
    </row>
    <row r="41" spans="1:65" ht="15.75" x14ac:dyDescent="0.3">
      <c r="A41" s="111" t="s">
        <v>813</v>
      </c>
      <c r="B41" s="59">
        <f t="shared" si="42"/>
        <v>0</v>
      </c>
      <c r="C41" s="59">
        <f t="shared" si="43"/>
        <v>0</v>
      </c>
      <c r="D41" s="84" t="b">
        <v>1</v>
      </c>
      <c r="E41" s="83" t="b">
        <v>0</v>
      </c>
      <c r="F41" s="11">
        <v>51</v>
      </c>
      <c r="G41" s="11" t="s">
        <v>1034</v>
      </c>
      <c r="H41" s="11" t="s">
        <v>1035</v>
      </c>
      <c r="I41" s="11" t="s">
        <v>1021</v>
      </c>
      <c r="J41" s="11" t="str">
        <f>VLOOKUP(F41,'Verif VS 24'!$A$5:$F$44,5,0)</f>
        <v>Doctorat Sciences - Ecole Polytechnique fédérale de Lausanne</v>
      </c>
      <c r="K41" s="11">
        <f>VLOOKUP(F41,'Verif VS 24'!$A$5:$F$44,6,0)</f>
        <v>2021</v>
      </c>
      <c r="L41" s="11" t="s">
        <v>22</v>
      </c>
      <c r="M41" s="94">
        <v>45418</v>
      </c>
      <c r="N41" s="94">
        <v>45744</v>
      </c>
      <c r="O41" s="171">
        <f>IF(AND(VALO_PERSO!M49&lt;=parametrage!$A$13,ISBLANK(VALO_PERSO!N49)),100%,IF(AND(VALO_PERSO!M49&gt;=parametrage!$A$13,ISBLANK(VALO_PERSO!N49)),((parametrage!$A$14-VALO_PERSO!M49+1)/365),IF(AND(VALO_PERSO!M49&lt;=parametrage!$A$13,AND(VALO_PERSO!N49&gt;parametrage!$A$13,VALO_PERSO!N49&lt;=parametrage!$A$14)),((VALO_PERSO!N49-parametrage!$A$13)/365),((VALO_PERSO!N49-VALO_PERSO!M49)/365))))</f>
        <v>0.33424657534246577</v>
      </c>
      <c r="P41" s="11">
        <f>VLOOKUP(F41,'Fichier pour valo'!A:I,6,0)</f>
        <v>15076.95</v>
      </c>
      <c r="Q41" s="11">
        <f>VLOOKUP(F41,'Fichier pour valo'!A:I,4,0)</f>
        <v>0</v>
      </c>
      <c r="R41" s="11">
        <f>VLOOKUP(F41,'Fichier pour valo'!A:I,8,0)</f>
        <v>6504.45</v>
      </c>
      <c r="S41" s="11">
        <f>VLOOKUP(F41,'Fichier pour valo'!A:I,5,0)</f>
        <v>6103.7500000000009</v>
      </c>
      <c r="T41" s="92">
        <f t="shared" si="44"/>
        <v>0.43141683165361694</v>
      </c>
      <c r="U41" s="92">
        <f t="shared" si="45"/>
        <v>0.93839602118549625</v>
      </c>
      <c r="V41" s="40">
        <f t="shared" si="46"/>
        <v>21180.7</v>
      </c>
      <c r="W41" s="11">
        <f>VLOOKUP(F41,'Fichier pour valo'!A:I,9,0)</f>
        <v>450.94</v>
      </c>
      <c r="X41" s="40">
        <f t="shared" si="47"/>
        <v>46.970106887834305</v>
      </c>
      <c r="Y41" s="11">
        <f>+VLOOKUP(F41,HRECH!A:P,7,0)</f>
        <v>0</v>
      </c>
      <c r="Z41" s="11">
        <f>+VLOOKUP(F41,HRECH!A:P,16,0)</f>
        <v>0</v>
      </c>
      <c r="AA41" s="11">
        <f>+VLOOKUP(F41,HRECH!A:Q,17,0)</f>
        <v>440.80000000000041</v>
      </c>
      <c r="AB41" s="11">
        <f>+VLOOKUP(F41,HRECH!A:P,11,0)</f>
        <v>0</v>
      </c>
      <c r="AC41" s="11">
        <f>+VLOOKUP(F41,HRECH!A:P,9,0)</f>
        <v>0</v>
      </c>
      <c r="AD41" s="11">
        <f>+VLOOKUP(F41,HRECH!A:P,10,0)</f>
        <v>0</v>
      </c>
      <c r="AE41" s="40"/>
      <c r="AF41" s="81">
        <f t="shared" si="48"/>
        <v>440.80000000000041</v>
      </c>
      <c r="AG41" s="93">
        <f t="shared" si="49"/>
        <v>0.97751363817802905</v>
      </c>
      <c r="AI41" s="11"/>
      <c r="AJ41" s="40"/>
      <c r="AK41" s="81">
        <f t="shared" si="50"/>
        <v>0</v>
      </c>
      <c r="AL41" s="93">
        <f t="shared" si="51"/>
        <v>0</v>
      </c>
      <c r="AN41" s="11"/>
      <c r="AO41" s="40"/>
      <c r="AP41" s="81">
        <f t="shared" si="52"/>
        <v>0</v>
      </c>
      <c r="AQ41" s="93">
        <f t="shared" si="53"/>
        <v>0</v>
      </c>
      <c r="AS41" s="28">
        <f t="shared" si="54"/>
        <v>0</v>
      </c>
      <c r="AT41" s="28">
        <f t="shared" si="55"/>
        <v>0</v>
      </c>
      <c r="AU41" s="28">
        <f t="shared" si="56"/>
        <v>20704.423116157381</v>
      </c>
      <c r="AV41" s="28">
        <f t="shared" si="57"/>
        <v>0</v>
      </c>
      <c r="AW41" s="28">
        <f t="shared" si="58"/>
        <v>0</v>
      </c>
      <c r="AX41" s="28">
        <f t="shared" si="59"/>
        <v>0</v>
      </c>
      <c r="AY41" s="40"/>
      <c r="AZ41" s="81">
        <f t="shared" si="60"/>
        <v>20704.423116157381</v>
      </c>
      <c r="BB41" s="11">
        <f t="shared" si="61"/>
        <v>0</v>
      </c>
      <c r="BC41" s="40"/>
      <c r="BD41" s="81">
        <f t="shared" si="62"/>
        <v>0</v>
      </c>
      <c r="BF41" s="11">
        <f t="shared" si="68"/>
        <v>0</v>
      </c>
      <c r="BG41" s="40"/>
      <c r="BH41" s="81">
        <f t="shared" si="63"/>
        <v>0</v>
      </c>
      <c r="BJ41" s="11">
        <f t="shared" si="64"/>
        <v>10.139999999999588</v>
      </c>
      <c r="BK41" s="11">
        <f t="shared" si="65"/>
        <v>450.94</v>
      </c>
      <c r="BL41" s="11">
        <f t="shared" si="66"/>
        <v>0</v>
      </c>
      <c r="BM41" s="11">
        <f t="shared" si="67"/>
        <v>0</v>
      </c>
    </row>
    <row r="42" spans="1:65" ht="15.75" x14ac:dyDescent="0.3">
      <c r="A42" s="111" t="s">
        <v>813</v>
      </c>
      <c r="B42" s="59">
        <f t="shared" si="42"/>
        <v>0</v>
      </c>
      <c r="C42" s="59">
        <f t="shared" si="43"/>
        <v>0</v>
      </c>
      <c r="D42" s="84" t="b">
        <v>1</v>
      </c>
      <c r="E42" s="83" t="b">
        <v>0</v>
      </c>
      <c r="F42" s="11">
        <v>53</v>
      </c>
      <c r="G42" s="11" t="s">
        <v>1200</v>
      </c>
      <c r="H42" s="11" t="s">
        <v>1201</v>
      </c>
      <c r="I42" s="11" t="s">
        <v>1364</v>
      </c>
      <c r="J42" s="11"/>
      <c r="K42" s="11"/>
      <c r="L42" s="11" t="s">
        <v>22</v>
      </c>
      <c r="M42" s="94">
        <v>45540</v>
      </c>
      <c r="N42" s="94"/>
      <c r="O42" s="171">
        <f>IF(AND(VALO_PERSO!M80&lt;=parametrage!$A$13,ISBLANK(VALO_PERSO!N80)),100%,IF(AND(VALO_PERSO!M80&gt;=parametrage!$A$13,ISBLANK(VALO_PERSO!N80)),((parametrage!$A$14-VALO_PERSO!M80+1)/365),IF(AND(VALO_PERSO!M80&lt;=parametrage!$A$13,AND(VALO_PERSO!N80&gt;parametrage!$A$13,VALO_PERSO!N80&lt;=parametrage!$A$14)),((VALO_PERSO!N80-parametrage!$A$13)/365),((VALO_PERSO!N80-VALO_PERSO!M80)/365))))</f>
        <v>1</v>
      </c>
      <c r="P42" s="11">
        <f>VLOOKUP(F42,'Fichier pour valo'!A:I,6,0)</f>
        <v>59393.65</v>
      </c>
      <c r="Q42" s="11">
        <f>VLOOKUP(F42,'Fichier pour valo'!A:I,4,0)</f>
        <v>0</v>
      </c>
      <c r="R42" s="11">
        <f>VLOOKUP(F42,'Fichier pour valo'!A:I,8,0)</f>
        <v>26836.879999999997</v>
      </c>
      <c r="S42" s="11">
        <f>VLOOKUP(F42,'Fichier pour valo'!A:I,5,0)</f>
        <v>25850.07</v>
      </c>
      <c r="T42" s="92">
        <f t="shared" si="44"/>
        <v>0.45184763017595309</v>
      </c>
      <c r="U42" s="92">
        <f t="shared" si="45"/>
        <v>0.96322933217274143</v>
      </c>
      <c r="V42" s="40">
        <f t="shared" si="46"/>
        <v>85243.72</v>
      </c>
      <c r="W42" s="11">
        <f>VLOOKUP(F42,'Fichier pour valo'!A:I,9,0)</f>
        <v>1496</v>
      </c>
      <c r="X42" s="40">
        <f t="shared" si="47"/>
        <v>56.981096256684495</v>
      </c>
      <c r="Y42" s="11">
        <f>+VLOOKUP(F42,HRECH!A:P,7,0)</f>
        <v>8</v>
      </c>
      <c r="Z42" s="11">
        <f>+VLOOKUP(F42,HRECH!A:P,16,0)</f>
        <v>212</v>
      </c>
      <c r="AA42" s="11">
        <f>+VLOOKUP(F42,HRECH!A:Q,17,0)</f>
        <v>104</v>
      </c>
      <c r="AB42" s="11">
        <f>+VLOOKUP(F42,HRECH!A:P,11,0)</f>
        <v>0</v>
      </c>
      <c r="AC42" s="11">
        <f>+VLOOKUP(F42,HRECH!A:P,9,0)</f>
        <v>0</v>
      </c>
      <c r="AD42" s="11">
        <f>+VLOOKUP(F42,HRECH!A:P,10,0)</f>
        <v>0</v>
      </c>
      <c r="AE42" s="40"/>
      <c r="AF42" s="81">
        <f t="shared" si="48"/>
        <v>324</v>
      </c>
      <c r="AG42" s="93">
        <f t="shared" si="49"/>
        <v>0.21657754010695188</v>
      </c>
      <c r="AI42" s="11"/>
      <c r="AJ42" s="40"/>
      <c r="AK42" s="81">
        <f t="shared" si="50"/>
        <v>0</v>
      </c>
      <c r="AL42" s="93">
        <f t="shared" si="51"/>
        <v>0</v>
      </c>
      <c r="AN42" s="11"/>
      <c r="AO42" s="40"/>
      <c r="AP42" s="81">
        <f t="shared" si="52"/>
        <v>0</v>
      </c>
      <c r="AQ42" s="93">
        <f t="shared" si="53"/>
        <v>0</v>
      </c>
      <c r="AS42" s="28">
        <f t="shared" si="54"/>
        <v>455.84877005347596</v>
      </c>
      <c r="AT42" s="28">
        <f t="shared" si="55"/>
        <v>12079.992406417112</v>
      </c>
      <c r="AU42" s="28">
        <f t="shared" si="56"/>
        <v>5926.034010695188</v>
      </c>
      <c r="AV42" s="28">
        <f t="shared" si="57"/>
        <v>0</v>
      </c>
      <c r="AW42" s="28">
        <f t="shared" si="58"/>
        <v>0</v>
      </c>
      <c r="AX42" s="28">
        <f t="shared" si="59"/>
        <v>0</v>
      </c>
      <c r="AY42" s="40"/>
      <c r="AZ42" s="81">
        <f t="shared" si="60"/>
        <v>18461.875187165773</v>
      </c>
      <c r="BB42" s="11">
        <f t="shared" si="61"/>
        <v>0</v>
      </c>
      <c r="BC42" s="40"/>
      <c r="BD42" s="81">
        <f t="shared" si="62"/>
        <v>0</v>
      </c>
      <c r="BF42" s="11">
        <f t="shared" si="68"/>
        <v>0</v>
      </c>
      <c r="BG42" s="40"/>
      <c r="BH42" s="81">
        <f t="shared" si="63"/>
        <v>0</v>
      </c>
      <c r="BJ42" s="11">
        <f t="shared" si="64"/>
        <v>1172</v>
      </c>
      <c r="BK42" s="11">
        <f t="shared" si="65"/>
        <v>1496</v>
      </c>
      <c r="BL42" s="11">
        <f t="shared" si="66"/>
        <v>0</v>
      </c>
      <c r="BM42" s="11">
        <f t="shared" si="67"/>
        <v>0</v>
      </c>
    </row>
    <row r="43" spans="1:65" ht="15.75" x14ac:dyDescent="0.3">
      <c r="A43" s="111" t="s">
        <v>813</v>
      </c>
      <c r="B43" s="59">
        <f t="shared" si="42"/>
        <v>0</v>
      </c>
      <c r="C43" s="59">
        <f t="shared" si="43"/>
        <v>0</v>
      </c>
      <c r="D43" s="84" t="b">
        <v>1</v>
      </c>
      <c r="E43" s="83" t="b">
        <v>0</v>
      </c>
      <c r="F43" s="11">
        <v>54</v>
      </c>
      <c r="G43" s="11" t="s">
        <v>1038</v>
      </c>
      <c r="H43" s="11" t="s">
        <v>901</v>
      </c>
      <c r="I43" s="11" t="s">
        <v>989</v>
      </c>
      <c r="J43" s="11" t="str">
        <f>VLOOKUP(F43,'Verif VS 24'!$A$5:$F$44,5,0)</f>
        <v>Baccalauréat Technologique</v>
      </c>
      <c r="K43" s="11">
        <f>VLOOKUP(F43,'Verif VS 24'!$A$5:$F$44,6,0)</f>
        <v>2022</v>
      </c>
      <c r="L43" s="11" t="s">
        <v>63</v>
      </c>
      <c r="M43" s="94">
        <v>45536</v>
      </c>
      <c r="N43" s="94">
        <v>45898</v>
      </c>
      <c r="O43" s="171">
        <f>IF(AND(VALO_PERSO!M71&lt;=parametrage!$A$13,ISBLANK(VALO_PERSO!N71)),100%,IF(AND(VALO_PERSO!M71&gt;=parametrage!$A$13,ISBLANK(VALO_PERSO!N71)),((parametrage!$A$14-VALO_PERSO!M71+1)/365),IF(AND(VALO_PERSO!M71&lt;=parametrage!$A$13,AND(VALO_PERSO!N71&gt;parametrage!$A$13,VALO_PERSO!N71&lt;=parametrage!$A$14)),((VALO_PERSO!N71-parametrage!$A$13)/365),((VALO_PERSO!N71-VALO_PERSO!M71)/365))))</f>
        <v>1</v>
      </c>
      <c r="P43" s="11">
        <f>VLOOKUP(F43,'Fichier pour valo'!A:I,6,0)</f>
        <v>7934.12</v>
      </c>
      <c r="Q43" s="11">
        <f>VLOOKUP(F43,'Fichier pour valo'!A:I,4,0)</f>
        <v>354.40000000000003</v>
      </c>
      <c r="R43" s="11">
        <f>VLOOKUP(F43,'Fichier pour valo'!A:I,8,0)</f>
        <v>298.04000000000025</v>
      </c>
      <c r="S43" s="11">
        <f>VLOOKUP(F43,'Fichier pour valo'!A:I,5,0)</f>
        <v>167.44000000000005</v>
      </c>
      <c r="T43" s="92">
        <f t="shared" si="44"/>
        <v>3.7564342359329109E-2</v>
      </c>
      <c r="U43" s="92">
        <f t="shared" si="45"/>
        <v>0.56180378472688197</v>
      </c>
      <c r="V43" s="40">
        <f t="shared" si="46"/>
        <v>8455.9600000000009</v>
      </c>
      <c r="W43" s="11">
        <f>VLOOKUP(F43,'Fichier pour valo'!A:I,9,0)</f>
        <v>1073.3599999999999</v>
      </c>
      <c r="X43" s="40">
        <f t="shared" si="47"/>
        <v>7.8780278750838502</v>
      </c>
      <c r="Y43" s="11">
        <f>+VLOOKUP(F43,HRECH!A:P,7,0)</f>
        <v>0</v>
      </c>
      <c r="Z43" s="11">
        <f>+VLOOKUP(F43,HRECH!A:P,16,0)</f>
        <v>105</v>
      </c>
      <c r="AA43" s="11">
        <f>+VLOOKUP(F43,HRECH!A:Q,17,0)</f>
        <v>630</v>
      </c>
      <c r="AB43" s="11">
        <f>+VLOOKUP(F43,HRECH!A:P,11,0)</f>
        <v>0</v>
      </c>
      <c r="AC43" s="11">
        <f>+VLOOKUP(F43,HRECH!A:P,9,0)</f>
        <v>0</v>
      </c>
      <c r="AD43" s="11">
        <f>+VLOOKUP(F43,HRECH!A:P,10,0)</f>
        <v>0</v>
      </c>
      <c r="AE43" s="40"/>
      <c r="AF43" s="81">
        <f t="shared" si="48"/>
        <v>735</v>
      </c>
      <c r="AG43" s="93">
        <f t="shared" si="49"/>
        <v>0.68476559588581654</v>
      </c>
      <c r="AI43" s="11"/>
      <c r="AJ43" s="40"/>
      <c r="AK43" s="81">
        <f t="shared" si="50"/>
        <v>0</v>
      </c>
      <c r="AL43" s="93">
        <f t="shared" si="51"/>
        <v>0</v>
      </c>
      <c r="AN43" s="11"/>
      <c r="AO43" s="40"/>
      <c r="AP43" s="81">
        <f t="shared" si="52"/>
        <v>0</v>
      </c>
      <c r="AQ43" s="93">
        <f t="shared" si="53"/>
        <v>0</v>
      </c>
      <c r="AS43" s="28">
        <f t="shared" si="54"/>
        <v>0</v>
      </c>
      <c r="AT43" s="28">
        <f t="shared" si="55"/>
        <v>827.19292688380426</v>
      </c>
      <c r="AU43" s="28">
        <f t="shared" si="56"/>
        <v>4963.1575613028263</v>
      </c>
      <c r="AV43" s="28">
        <f t="shared" si="57"/>
        <v>0</v>
      </c>
      <c r="AW43" s="28">
        <f t="shared" si="58"/>
        <v>0</v>
      </c>
      <c r="AX43" s="28">
        <f t="shared" si="59"/>
        <v>0</v>
      </c>
      <c r="AY43" s="40"/>
      <c r="AZ43" s="81">
        <f t="shared" si="60"/>
        <v>5790.3504881866302</v>
      </c>
      <c r="BB43" s="11">
        <f t="shared" si="61"/>
        <v>0</v>
      </c>
      <c r="BC43" s="40"/>
      <c r="BD43" s="81">
        <f t="shared" si="62"/>
        <v>0</v>
      </c>
      <c r="BF43" s="11">
        <f t="shared" si="68"/>
        <v>0</v>
      </c>
      <c r="BG43" s="40"/>
      <c r="BH43" s="81">
        <f t="shared" si="63"/>
        <v>0</v>
      </c>
      <c r="BJ43" s="11">
        <f t="shared" si="64"/>
        <v>338.3599999999999</v>
      </c>
      <c r="BK43" s="11">
        <f t="shared" si="65"/>
        <v>1073.3599999999999</v>
      </c>
      <c r="BL43" s="11">
        <f t="shared" si="66"/>
        <v>0</v>
      </c>
      <c r="BM43" s="11">
        <f t="shared" si="67"/>
        <v>0</v>
      </c>
    </row>
    <row r="44" spans="1:65" ht="15.75" x14ac:dyDescent="0.3">
      <c r="A44" s="111" t="s">
        <v>813</v>
      </c>
      <c r="B44" s="59">
        <f t="shared" si="42"/>
        <v>0</v>
      </c>
      <c r="C44" s="59">
        <f t="shared" si="43"/>
        <v>0</v>
      </c>
      <c r="D44" s="84" t="b">
        <v>1</v>
      </c>
      <c r="E44" s="83" t="b">
        <v>0</v>
      </c>
      <c r="F44" s="11">
        <v>55</v>
      </c>
      <c r="G44" s="11" t="s">
        <v>1041</v>
      </c>
      <c r="H44" s="11" t="s">
        <v>1202</v>
      </c>
      <c r="I44" s="11" t="s">
        <v>989</v>
      </c>
      <c r="J44" s="11" t="str">
        <f>VLOOKUP(F44,'Verif VS 24'!$A$5:$F$44,5,0)</f>
        <v>Baccalauréat Technologique</v>
      </c>
      <c r="K44" s="11">
        <f>VLOOKUP(F44,'Verif VS 24'!$A$5:$F$44,6,0)</f>
        <v>2021</v>
      </c>
      <c r="L44" s="11" t="s">
        <v>63</v>
      </c>
      <c r="M44" s="94">
        <v>45536</v>
      </c>
      <c r="N44" s="94">
        <v>45900</v>
      </c>
      <c r="O44" s="171">
        <f>IF(AND(VALO_PERSO!M96&lt;=parametrage!$A$13,ISBLANK(VALO_PERSO!N96)),100%,IF(AND(VALO_PERSO!M96&gt;=parametrage!$A$13,ISBLANK(VALO_PERSO!N96)),((parametrage!$A$14-VALO_PERSO!M96+1)/365),IF(AND(VALO_PERSO!M96&lt;=parametrage!$A$13,AND(VALO_PERSO!N96&gt;parametrage!$A$13,VALO_PERSO!N96&lt;=parametrage!$A$14)),((VALO_PERSO!N96-parametrage!$A$13)/365),((VALO_PERSO!N96-VALO_PERSO!M96)/365))))</f>
        <v>1</v>
      </c>
      <c r="P44" s="11">
        <f>VLOOKUP(F44,'Fichier pour valo'!A:I,6,0)</f>
        <v>7840.63</v>
      </c>
      <c r="Q44" s="11">
        <f>VLOOKUP(F44,'Fichier pour valo'!A:I,4,0)</f>
        <v>278.89999999999998</v>
      </c>
      <c r="R44" s="11">
        <f>VLOOKUP(F44,'Fichier pour valo'!A:I,8,0)</f>
        <v>294.55999999999983</v>
      </c>
      <c r="S44" s="11">
        <f>VLOOKUP(F44,'Fichier pour valo'!A:I,5,0)</f>
        <v>165.50000000000011</v>
      </c>
      <c r="T44" s="92">
        <f t="shared" si="44"/>
        <v>3.7568409681364871E-2</v>
      </c>
      <c r="U44" s="92">
        <f t="shared" si="45"/>
        <v>0.5618549701249328</v>
      </c>
      <c r="V44" s="40">
        <f t="shared" si="46"/>
        <v>8285.0300000000007</v>
      </c>
      <c r="W44" s="11">
        <f>VLOOKUP(F44,'Fichier pour valo'!A:I,9,0)</f>
        <v>1059.3599999999999</v>
      </c>
      <c r="X44" s="40">
        <f t="shared" si="47"/>
        <v>7.8207880229572586</v>
      </c>
      <c r="Y44" s="11">
        <f>+VLOOKUP(F44,HRECH!A:P,7,0)</f>
        <v>0</v>
      </c>
      <c r="Z44" s="11">
        <f>+VLOOKUP(F44,HRECH!A:P,16,0)</f>
        <v>0</v>
      </c>
      <c r="AA44" s="11">
        <f>+VLOOKUP(F44,HRECH!A:Q,17,0)</f>
        <v>602</v>
      </c>
      <c r="AB44" s="11">
        <f>+VLOOKUP(F44,HRECH!A:P,11,0)</f>
        <v>0</v>
      </c>
      <c r="AC44" s="11">
        <f>+VLOOKUP(F44,HRECH!A:P,9,0)</f>
        <v>35</v>
      </c>
      <c r="AD44" s="11">
        <f>+VLOOKUP(F44,HRECH!A:P,10,0)</f>
        <v>84</v>
      </c>
      <c r="AE44" s="40"/>
      <c r="AF44" s="81">
        <f t="shared" si="48"/>
        <v>721</v>
      </c>
      <c r="AG44" s="93">
        <f t="shared" si="49"/>
        <v>0.68059960731007407</v>
      </c>
      <c r="AI44" s="11"/>
      <c r="AJ44" s="40"/>
      <c r="AK44" s="81">
        <f t="shared" si="50"/>
        <v>0</v>
      </c>
      <c r="AL44" s="93">
        <f t="shared" si="51"/>
        <v>0</v>
      </c>
      <c r="AN44" s="11"/>
      <c r="AO44" s="40"/>
      <c r="AP44" s="81">
        <f t="shared" si="52"/>
        <v>0</v>
      </c>
      <c r="AQ44" s="93">
        <f t="shared" si="53"/>
        <v>0</v>
      </c>
      <c r="AS44" s="28">
        <f t="shared" si="54"/>
        <v>0</v>
      </c>
      <c r="AT44" s="28">
        <f t="shared" si="55"/>
        <v>0</v>
      </c>
      <c r="AU44" s="28">
        <f t="shared" si="56"/>
        <v>4708.1143898202699</v>
      </c>
      <c r="AV44" s="28">
        <f t="shared" si="57"/>
        <v>0</v>
      </c>
      <c r="AW44" s="28">
        <f t="shared" si="58"/>
        <v>273.72758080350405</v>
      </c>
      <c r="AX44" s="28">
        <f t="shared" si="59"/>
        <v>656.94619392840968</v>
      </c>
      <c r="AY44" s="40"/>
      <c r="AZ44" s="81">
        <f t="shared" si="60"/>
        <v>5638.7881645521829</v>
      </c>
      <c r="BB44" s="11">
        <f t="shared" si="61"/>
        <v>0</v>
      </c>
      <c r="BC44" s="40"/>
      <c r="BD44" s="81">
        <f t="shared" si="62"/>
        <v>0</v>
      </c>
      <c r="BF44" s="11">
        <f t="shared" si="68"/>
        <v>0</v>
      </c>
      <c r="BG44" s="40"/>
      <c r="BH44" s="81">
        <f t="shared" si="63"/>
        <v>0</v>
      </c>
      <c r="BJ44" s="11">
        <f t="shared" si="64"/>
        <v>338.3599999999999</v>
      </c>
      <c r="BK44" s="11">
        <f t="shared" si="65"/>
        <v>1059.3599999999999</v>
      </c>
      <c r="BL44" s="11">
        <f t="shared" si="66"/>
        <v>0</v>
      </c>
      <c r="BM44" s="11">
        <f t="shared" si="67"/>
        <v>0</v>
      </c>
    </row>
    <row r="45" spans="1:65" ht="15.75" x14ac:dyDescent="0.3">
      <c r="A45" s="111" t="s">
        <v>813</v>
      </c>
      <c r="B45" s="59">
        <f t="shared" si="42"/>
        <v>0</v>
      </c>
      <c r="C45" s="59">
        <f t="shared" si="43"/>
        <v>0</v>
      </c>
      <c r="D45" s="84" t="b">
        <v>1</v>
      </c>
      <c r="E45" s="83" t="b">
        <v>0</v>
      </c>
      <c r="F45" s="11">
        <v>58</v>
      </c>
      <c r="G45" s="11" t="s">
        <v>1207</v>
      </c>
      <c r="H45" s="11" t="s">
        <v>1208</v>
      </c>
      <c r="I45" s="11" t="s">
        <v>35</v>
      </c>
      <c r="J45" s="11"/>
      <c r="K45" s="11"/>
      <c r="L45" s="11" t="s">
        <v>35</v>
      </c>
      <c r="M45" s="94">
        <v>45824</v>
      </c>
      <c r="N45" s="94"/>
      <c r="O45" s="171">
        <f>IF(AND(VALO_PERSO!M86&lt;=parametrage!$A$13,ISBLANK(VALO_PERSO!N86)),100%,IF(AND(VALO_PERSO!M86&gt;=parametrage!$A$13,ISBLANK(VALO_PERSO!N86)),((parametrage!$A$14-VALO_PERSO!M86+1)/365),IF(AND(VALO_PERSO!M86&lt;=parametrage!$A$13,AND(VALO_PERSO!N86&gt;parametrage!$A$13,VALO_PERSO!N86&lt;=parametrage!$A$14)),((VALO_PERSO!N86-parametrage!$A$13)/365),((VALO_PERSO!N86-VALO_PERSO!M86)/365))))</f>
        <v>1</v>
      </c>
      <c r="P45" s="11">
        <f>VLOOKUP(F45,'Fichier pour valo'!A:I,6,0)</f>
        <v>18490.8</v>
      </c>
      <c r="Q45" s="11">
        <f>VLOOKUP(F45,'Fichier pour valo'!A:I,4,0)</f>
        <v>0</v>
      </c>
      <c r="R45" s="11">
        <f>VLOOKUP(F45,'Fichier pour valo'!A:I,8,0)</f>
        <v>6850.9799999999987</v>
      </c>
      <c r="S45" s="11">
        <f>VLOOKUP(F45,'Fichier pour valo'!A:I,5,0)</f>
        <v>6361.7899999999991</v>
      </c>
      <c r="T45" s="92">
        <f t="shared" si="44"/>
        <v>0.37050749561944313</v>
      </c>
      <c r="U45" s="92">
        <f t="shared" si="45"/>
        <v>0.92859561697742521</v>
      </c>
      <c r="V45" s="40">
        <f t="shared" si="46"/>
        <v>24852.589999999997</v>
      </c>
      <c r="W45" s="11">
        <f>VLOOKUP(F45,'Fichier pour valo'!A:I,9,0)</f>
        <v>988.02</v>
      </c>
      <c r="X45" s="40">
        <f t="shared" si="47"/>
        <v>25.153934130888036</v>
      </c>
      <c r="Y45" s="11">
        <f>+VLOOKUP(F45,HRECH!A:P,7,0)</f>
        <v>273.59999999999991</v>
      </c>
      <c r="Z45" s="11">
        <f>+VLOOKUP(F45,HRECH!A:P,16,0)</f>
        <v>615.60000000000093</v>
      </c>
      <c r="AA45" s="11">
        <f>+VLOOKUP(F45,HRECH!A:Q,17,0)</f>
        <v>0</v>
      </c>
      <c r="AB45" s="11">
        <f>+VLOOKUP(F45,HRECH!A:P,11,0)</f>
        <v>0</v>
      </c>
      <c r="AC45" s="11">
        <f>+VLOOKUP(F45,HRECH!A:P,9,0)</f>
        <v>30.4</v>
      </c>
      <c r="AD45" s="11">
        <f>+VLOOKUP(F45,HRECH!A:P,10,0)</f>
        <v>0</v>
      </c>
      <c r="AE45" s="40"/>
      <c r="AF45" s="81">
        <f t="shared" si="48"/>
        <v>919.60000000000082</v>
      </c>
      <c r="AG45" s="93">
        <f t="shared" si="49"/>
        <v>0.93075038966822621</v>
      </c>
      <c r="AI45" s="11"/>
      <c r="AJ45" s="40"/>
      <c r="AK45" s="81">
        <f t="shared" si="50"/>
        <v>0</v>
      </c>
      <c r="AL45" s="93">
        <f t="shared" si="51"/>
        <v>0</v>
      </c>
      <c r="AN45" s="11"/>
      <c r="AO45" s="40"/>
      <c r="AP45" s="81">
        <f t="shared" si="52"/>
        <v>0</v>
      </c>
      <c r="AQ45" s="93">
        <f t="shared" si="53"/>
        <v>0</v>
      </c>
      <c r="AS45" s="28">
        <f t="shared" si="54"/>
        <v>6882.1163782109643</v>
      </c>
      <c r="AT45" s="28">
        <f t="shared" si="55"/>
        <v>15484.761850974699</v>
      </c>
      <c r="AU45" s="28">
        <f t="shared" si="56"/>
        <v>0</v>
      </c>
      <c r="AV45" s="28">
        <f t="shared" si="57"/>
        <v>0</v>
      </c>
      <c r="AW45" s="28">
        <f t="shared" si="58"/>
        <v>764.67959757899621</v>
      </c>
      <c r="AX45" s="28">
        <f t="shared" si="59"/>
        <v>0</v>
      </c>
      <c r="AY45" s="40"/>
      <c r="AZ45" s="81">
        <f t="shared" si="60"/>
        <v>23131.55782676466</v>
      </c>
      <c r="BB45" s="11">
        <f t="shared" si="61"/>
        <v>0</v>
      </c>
      <c r="BC45" s="40"/>
      <c r="BD45" s="81">
        <f t="shared" si="62"/>
        <v>0</v>
      </c>
      <c r="BF45" s="11">
        <f t="shared" si="68"/>
        <v>0</v>
      </c>
      <c r="BG45" s="40"/>
      <c r="BH45" s="81">
        <f t="shared" si="63"/>
        <v>0</v>
      </c>
      <c r="BJ45" s="11">
        <f t="shared" si="64"/>
        <v>68.419999999999163</v>
      </c>
      <c r="BK45" s="11">
        <f t="shared" si="65"/>
        <v>988.02</v>
      </c>
      <c r="BL45" s="11">
        <f t="shared" si="66"/>
        <v>0</v>
      </c>
      <c r="BM45" s="11">
        <f t="shared" si="67"/>
        <v>0</v>
      </c>
    </row>
    <row r="46" spans="1:65" ht="15.75" x14ac:dyDescent="0.3">
      <c r="A46" s="111" t="s">
        <v>813</v>
      </c>
      <c r="B46" s="59">
        <f t="shared" si="42"/>
        <v>0</v>
      </c>
      <c r="C46" s="59">
        <f t="shared" si="43"/>
        <v>0</v>
      </c>
      <c r="D46" s="84" t="b">
        <v>1</v>
      </c>
      <c r="E46" s="83" t="b">
        <v>0</v>
      </c>
      <c r="F46" s="11">
        <v>60</v>
      </c>
      <c r="G46" s="11" t="s">
        <v>966</v>
      </c>
      <c r="H46" s="11" t="s">
        <v>1211</v>
      </c>
      <c r="I46" s="11" t="s">
        <v>35</v>
      </c>
      <c r="J46" s="11"/>
      <c r="K46" s="11"/>
      <c r="L46" s="11" t="s">
        <v>35</v>
      </c>
      <c r="M46" s="94">
        <v>45901</v>
      </c>
      <c r="N46" s="94">
        <v>45930</v>
      </c>
      <c r="O46" s="171">
        <f>IF(AND(VALO_PERSO!M98&lt;=parametrage!$A$13,ISBLANK(VALO_PERSO!N98)),100%,IF(AND(VALO_PERSO!M98&gt;=parametrage!$A$13,ISBLANK(VALO_PERSO!N98)),((parametrage!$A$14-VALO_PERSO!M98+1)/365),IF(AND(VALO_PERSO!M98&lt;=parametrage!$A$13,AND(VALO_PERSO!N98&gt;parametrage!$A$13,VALO_PERSO!N98&lt;=parametrage!$A$14)),((VALO_PERSO!N98-parametrage!$A$13)/365),((VALO_PERSO!N98-VALO_PERSO!M98)/365))))</f>
        <v>1</v>
      </c>
      <c r="P46" s="11">
        <f>VLOOKUP(F46,'Fichier pour valo'!A:I,6,0)</f>
        <v>3399.94</v>
      </c>
      <c r="Q46" s="11">
        <f>VLOOKUP(F46,'Fichier pour valo'!A:I,4,0)</f>
        <v>0</v>
      </c>
      <c r="R46" s="11">
        <f>VLOOKUP(F46,'Fichier pour valo'!A:I,8,0)</f>
        <v>1279.99</v>
      </c>
      <c r="S46" s="11">
        <f>VLOOKUP(F46,'Fichier pour valo'!A:I,5,0)</f>
        <v>1190.03</v>
      </c>
      <c r="T46" s="92">
        <f t="shared" si="44"/>
        <v>0.37647429072277744</v>
      </c>
      <c r="U46" s="92">
        <f t="shared" si="45"/>
        <v>0.9297182009234447</v>
      </c>
      <c r="V46" s="40">
        <f t="shared" si="46"/>
        <v>4589.97</v>
      </c>
      <c r="W46" s="11">
        <f>VLOOKUP(F46,'Fichier pour valo'!A:I,9,0)</f>
        <v>157.07</v>
      </c>
      <c r="X46" s="40">
        <f t="shared" si="47"/>
        <v>29.222448589800727</v>
      </c>
      <c r="Y46" s="11">
        <f>+VLOOKUP(F46,HRECH!A:P,7,0)</f>
        <v>0</v>
      </c>
      <c r="Z46" s="11">
        <f>+VLOOKUP(F46,HRECH!A:P,16,0)</f>
        <v>121.59999999999997</v>
      </c>
      <c r="AA46" s="11">
        <f>+VLOOKUP(F46,HRECH!A:Q,17,0)</f>
        <v>0</v>
      </c>
      <c r="AB46" s="11">
        <f>+VLOOKUP(F46,HRECH!A:P,11,0)</f>
        <v>0</v>
      </c>
      <c r="AC46" s="11">
        <f>+VLOOKUP(F46,HRECH!A:P,9,0)</f>
        <v>0</v>
      </c>
      <c r="AD46" s="11">
        <f>+VLOOKUP(F46,HRECH!A:P,10,0)</f>
        <v>0</v>
      </c>
      <c r="AE46" s="40"/>
      <c r="AF46" s="81">
        <f t="shared" si="48"/>
        <v>121.59999999999997</v>
      </c>
      <c r="AG46" s="93">
        <f t="shared" si="49"/>
        <v>0.77417711848220516</v>
      </c>
      <c r="AI46" s="11"/>
      <c r="AJ46" s="40"/>
      <c r="AK46" s="81">
        <f t="shared" si="50"/>
        <v>0</v>
      </c>
      <c r="AL46" s="93">
        <f t="shared" si="51"/>
        <v>0</v>
      </c>
      <c r="AN46" s="11"/>
      <c r="AO46" s="40"/>
      <c r="AP46" s="81">
        <f t="shared" si="52"/>
        <v>0</v>
      </c>
      <c r="AQ46" s="93">
        <f t="shared" si="53"/>
        <v>0</v>
      </c>
      <c r="AS46" s="28">
        <f t="shared" si="54"/>
        <v>0</v>
      </c>
      <c r="AT46" s="28">
        <f t="shared" si="55"/>
        <v>3553.4497485197676</v>
      </c>
      <c r="AU46" s="28">
        <f t="shared" si="56"/>
        <v>0</v>
      </c>
      <c r="AV46" s="28">
        <f t="shared" si="57"/>
        <v>0</v>
      </c>
      <c r="AW46" s="28">
        <f t="shared" si="58"/>
        <v>0</v>
      </c>
      <c r="AX46" s="28">
        <f t="shared" si="59"/>
        <v>0</v>
      </c>
      <c r="AY46" s="40"/>
      <c r="AZ46" s="81">
        <f t="shared" si="60"/>
        <v>3553.4497485197676</v>
      </c>
      <c r="BB46" s="11">
        <f t="shared" si="61"/>
        <v>0</v>
      </c>
      <c r="BC46" s="40"/>
      <c r="BD46" s="81">
        <f t="shared" si="62"/>
        <v>0</v>
      </c>
      <c r="BF46" s="11">
        <f t="shared" si="68"/>
        <v>0</v>
      </c>
      <c r="BG46" s="40"/>
      <c r="BH46" s="81">
        <f t="shared" si="63"/>
        <v>0</v>
      </c>
      <c r="BJ46" s="11">
        <f t="shared" si="64"/>
        <v>35.470000000000027</v>
      </c>
      <c r="BK46" s="11">
        <f t="shared" si="65"/>
        <v>157.07</v>
      </c>
      <c r="BL46" s="11">
        <f t="shared" si="66"/>
        <v>0</v>
      </c>
      <c r="BM46" s="11">
        <f t="shared" si="67"/>
        <v>0</v>
      </c>
    </row>
    <row r="47" spans="1:65" ht="15.75" x14ac:dyDescent="0.3">
      <c r="A47" s="111" t="s">
        <v>813</v>
      </c>
      <c r="B47" s="59">
        <f t="shared" si="42"/>
        <v>0</v>
      </c>
      <c r="C47" s="59">
        <f t="shared" si="43"/>
        <v>0</v>
      </c>
      <c r="D47" s="84" t="b">
        <v>1</v>
      </c>
      <c r="E47" s="83" t="b">
        <v>0</v>
      </c>
      <c r="F47" s="11">
        <v>61</v>
      </c>
      <c r="G47" s="11" t="s">
        <v>1212</v>
      </c>
      <c r="H47" s="11" t="s">
        <v>1213</v>
      </c>
      <c r="I47" s="11" t="s">
        <v>989</v>
      </c>
      <c r="J47" s="11"/>
      <c r="K47" s="11"/>
      <c r="L47" s="11" t="s">
        <v>63</v>
      </c>
      <c r="M47" s="94">
        <v>45901</v>
      </c>
      <c r="N47" s="94"/>
      <c r="O47" s="171">
        <f>IF(AND(VALO_PERSO!M46&lt;=parametrage!$A$13,ISBLANK(VALO_PERSO!N46)),100%,IF(AND(VALO_PERSO!M46&gt;=parametrage!$A$13,ISBLANK(VALO_PERSO!N46)),((parametrage!$A$14-VALO_PERSO!M46+1)/365),IF(AND(VALO_PERSO!M46&lt;=parametrage!$A$13,AND(VALO_PERSO!N46&gt;parametrage!$A$13,VALO_PERSO!N46&lt;=parametrage!$A$14)),((VALO_PERSO!N46-parametrage!$A$13)/365),((VALO_PERSO!N46-VALO_PERSO!M46)/365))))</f>
        <v>7.9452054794520555E-2</v>
      </c>
      <c r="P47" s="11">
        <f>VLOOKUP(F47,'Fichier pour valo'!A:I,6,0)</f>
        <v>4828.92</v>
      </c>
      <c r="Q47" s="11">
        <f>VLOOKUP(F47,'Fichier pour valo'!A:I,4,0)</f>
        <v>113.6</v>
      </c>
      <c r="R47" s="11">
        <f>VLOOKUP(F47,'Fichier pour valo'!A:I,8,0)</f>
        <v>310.37000000000006</v>
      </c>
      <c r="S47" s="11">
        <f>VLOOKUP(F47,'Fichier pour valo'!A:I,5,0)</f>
        <v>230.88999999999982</v>
      </c>
      <c r="T47" s="92">
        <f t="shared" si="44"/>
        <v>6.4273170812521235E-2</v>
      </c>
      <c r="U47" s="92">
        <f t="shared" si="45"/>
        <v>0.74391854882881647</v>
      </c>
      <c r="V47" s="40">
        <f t="shared" si="46"/>
        <v>5173.41</v>
      </c>
      <c r="W47" s="11">
        <f>VLOOKUP(F47,'Fichier pour valo'!A:I,9,0)</f>
        <v>592.67999999999995</v>
      </c>
      <c r="X47" s="40">
        <f t="shared" si="47"/>
        <v>8.7288418708240538</v>
      </c>
      <c r="Y47" s="11">
        <f>+VLOOKUP(F47,HRECH!A:P,7,0)</f>
        <v>56</v>
      </c>
      <c r="Z47" s="11">
        <f>+VLOOKUP(F47,HRECH!A:P,16,0)</f>
        <v>51.639999999999993</v>
      </c>
      <c r="AA47" s="11">
        <f>+VLOOKUP(F47,HRECH!A:Q,17,0)</f>
        <v>57.19</v>
      </c>
      <c r="AB47" s="11">
        <f>+VLOOKUP(F47,HRECH!A:P,11,0)</f>
        <v>0</v>
      </c>
      <c r="AC47" s="11">
        <f>+VLOOKUP(F47,HRECH!A:P,9,0)</f>
        <v>0</v>
      </c>
      <c r="AD47" s="11">
        <f>+VLOOKUP(F47,HRECH!A:P,10,0)</f>
        <v>0</v>
      </c>
      <c r="AE47" s="40"/>
      <c r="AF47" s="81">
        <f t="shared" si="48"/>
        <v>164.82999999999998</v>
      </c>
      <c r="AG47" s="93">
        <f t="shared" si="49"/>
        <v>0.27810960383343458</v>
      </c>
      <c r="AI47" s="11"/>
      <c r="AJ47" s="40"/>
      <c r="AK47" s="81">
        <f t="shared" si="50"/>
        <v>0</v>
      </c>
      <c r="AL47" s="93">
        <f t="shared" si="51"/>
        <v>0</v>
      </c>
      <c r="AN47" s="11"/>
      <c r="AO47" s="40"/>
      <c r="AP47" s="81">
        <f t="shared" si="52"/>
        <v>0</v>
      </c>
      <c r="AQ47" s="93">
        <f t="shared" si="53"/>
        <v>0</v>
      </c>
      <c r="AS47" s="28">
        <f t="shared" si="54"/>
        <v>488.815144766147</v>
      </c>
      <c r="AT47" s="28">
        <f t="shared" si="55"/>
        <v>450.75739420935406</v>
      </c>
      <c r="AU47" s="28">
        <f t="shared" si="56"/>
        <v>499.20246659242758</v>
      </c>
      <c r="AV47" s="28">
        <f t="shared" si="57"/>
        <v>0</v>
      </c>
      <c r="AW47" s="28">
        <f t="shared" si="58"/>
        <v>0</v>
      </c>
      <c r="AX47" s="28">
        <f t="shared" si="59"/>
        <v>0</v>
      </c>
      <c r="AY47" s="40"/>
      <c r="AZ47" s="81">
        <f t="shared" si="60"/>
        <v>1438.7750055679287</v>
      </c>
      <c r="BB47" s="11">
        <f t="shared" si="61"/>
        <v>0</v>
      </c>
      <c r="BC47" s="40"/>
      <c r="BD47" s="81">
        <f t="shared" si="62"/>
        <v>0</v>
      </c>
      <c r="BF47" s="11">
        <f t="shared" si="68"/>
        <v>0</v>
      </c>
      <c r="BG47" s="40"/>
      <c r="BH47" s="81">
        <f t="shared" si="63"/>
        <v>0</v>
      </c>
      <c r="BJ47" s="11">
        <f t="shared" si="64"/>
        <v>427.84999999999997</v>
      </c>
      <c r="BK47" s="11">
        <f t="shared" si="65"/>
        <v>592.67999999999995</v>
      </c>
      <c r="BL47" s="11">
        <f t="shared" si="66"/>
        <v>0</v>
      </c>
      <c r="BM47" s="11">
        <f t="shared" si="67"/>
        <v>0</v>
      </c>
    </row>
    <row r="48" spans="1:65" ht="15.75" x14ac:dyDescent="0.3">
      <c r="A48" s="111" t="s">
        <v>813</v>
      </c>
      <c r="B48" s="59">
        <f t="shared" si="42"/>
        <v>0</v>
      </c>
      <c r="C48" s="59">
        <f t="shared" si="43"/>
        <v>0</v>
      </c>
      <c r="D48" s="84" t="b">
        <v>1</v>
      </c>
      <c r="E48" s="83" t="b">
        <v>0</v>
      </c>
      <c r="F48" s="11">
        <v>62</v>
      </c>
      <c r="G48" s="11" t="s">
        <v>1214</v>
      </c>
      <c r="H48" s="11" t="s">
        <v>1215</v>
      </c>
      <c r="I48" s="11" t="s">
        <v>989</v>
      </c>
      <c r="J48" s="11"/>
      <c r="K48" s="11"/>
      <c r="L48" s="11" t="s">
        <v>63</v>
      </c>
      <c r="M48" s="94">
        <v>45901</v>
      </c>
      <c r="N48" s="94"/>
      <c r="O48" s="171">
        <f>IF(AND(VALO_PERSO!M62&lt;=parametrage!$A$13,ISBLANK(VALO_PERSO!N62)),100%,IF(AND(VALO_PERSO!M62&gt;=parametrage!$A$13,ISBLANK(VALO_PERSO!N62)),((parametrage!$A$14-VALO_PERSO!M62+1)/365),IF(AND(VALO_PERSO!M62&lt;=parametrage!$A$13,AND(VALO_PERSO!N62&gt;parametrage!$A$13,VALO_PERSO!N62&lt;=parametrage!$A$14)),((VALO_PERSO!N62-parametrage!$A$13)/365),((VALO_PERSO!N62-VALO_PERSO!M62)/365))))</f>
        <v>1</v>
      </c>
      <c r="P48" s="11">
        <f>VLOOKUP(F48,'Fichier pour valo'!A:I,6,0)</f>
        <v>5765.88</v>
      </c>
      <c r="Q48" s="11">
        <f>VLOOKUP(F48,'Fichier pour valo'!A:I,4,0)</f>
        <v>0</v>
      </c>
      <c r="R48" s="11">
        <f>VLOOKUP(F48,'Fichier pour valo'!A:I,8,0)</f>
        <v>345.63</v>
      </c>
      <c r="S48" s="11">
        <f>VLOOKUP(F48,'Fichier pour valo'!A:I,5,0)</f>
        <v>250.75000000000011</v>
      </c>
      <c r="T48" s="92">
        <f t="shared" si="44"/>
        <v>5.9944015484193217E-2</v>
      </c>
      <c r="U48" s="92">
        <f t="shared" si="45"/>
        <v>0.72548679223447077</v>
      </c>
      <c r="V48" s="40">
        <f t="shared" si="46"/>
        <v>6016.63</v>
      </c>
      <c r="W48" s="11">
        <f>VLOOKUP(F48,'Fichier pour valo'!A:I,9,0)</f>
        <v>571.67999999999995</v>
      </c>
      <c r="X48" s="40">
        <f t="shared" si="47"/>
        <v>10.524471732437728</v>
      </c>
      <c r="Y48" s="11">
        <f>+VLOOKUP(F48,HRECH!A:P,7,0)</f>
        <v>0</v>
      </c>
      <c r="Z48" s="11">
        <f>+VLOOKUP(F48,HRECH!A:P,16,0)</f>
        <v>0</v>
      </c>
      <c r="AA48" s="11">
        <f>+VLOOKUP(F48,HRECH!A:Q,17,0)</f>
        <v>273</v>
      </c>
      <c r="AB48" s="11">
        <f>+VLOOKUP(F48,HRECH!A:P,11,0)</f>
        <v>0</v>
      </c>
      <c r="AC48" s="11">
        <f>+VLOOKUP(F48,HRECH!A:P,9,0)</f>
        <v>0</v>
      </c>
      <c r="AD48" s="11">
        <f>+VLOOKUP(F48,HRECH!A:P,10,0)</f>
        <v>0</v>
      </c>
      <c r="AE48" s="40"/>
      <c r="AF48" s="81">
        <f t="shared" si="48"/>
        <v>273</v>
      </c>
      <c r="AG48" s="93">
        <f t="shared" si="49"/>
        <v>0.4775398824517213</v>
      </c>
      <c r="AI48" s="11"/>
      <c r="AJ48" s="40"/>
      <c r="AK48" s="81">
        <f t="shared" si="50"/>
        <v>0</v>
      </c>
      <c r="AL48" s="93">
        <f t="shared" si="51"/>
        <v>0</v>
      </c>
      <c r="AN48" s="11"/>
      <c r="AO48" s="40"/>
      <c r="AP48" s="81">
        <f t="shared" si="52"/>
        <v>0</v>
      </c>
      <c r="AQ48" s="93">
        <f t="shared" si="53"/>
        <v>0</v>
      </c>
      <c r="AS48" s="28">
        <f t="shared" si="54"/>
        <v>0</v>
      </c>
      <c r="AT48" s="28">
        <f t="shared" si="55"/>
        <v>0</v>
      </c>
      <c r="AU48" s="28">
        <f t="shared" si="56"/>
        <v>2873.1807829555</v>
      </c>
      <c r="AV48" s="28">
        <f t="shared" si="57"/>
        <v>0</v>
      </c>
      <c r="AW48" s="28">
        <f t="shared" si="58"/>
        <v>0</v>
      </c>
      <c r="AX48" s="28">
        <f t="shared" si="59"/>
        <v>0</v>
      </c>
      <c r="AY48" s="40"/>
      <c r="AZ48" s="81">
        <f t="shared" si="60"/>
        <v>2873.1807829555</v>
      </c>
      <c r="BB48" s="11">
        <f t="shared" si="61"/>
        <v>0</v>
      </c>
      <c r="BC48" s="40"/>
      <c r="BD48" s="81">
        <f t="shared" si="62"/>
        <v>0</v>
      </c>
      <c r="BF48" s="11">
        <f t="shared" si="68"/>
        <v>0</v>
      </c>
      <c r="BG48" s="40"/>
      <c r="BH48" s="81">
        <f t="shared" si="63"/>
        <v>0</v>
      </c>
      <c r="BJ48" s="11">
        <f t="shared" si="64"/>
        <v>298.67999999999995</v>
      </c>
      <c r="BK48" s="11">
        <f t="shared" si="65"/>
        <v>571.67999999999995</v>
      </c>
      <c r="BL48" s="11">
        <f t="shared" si="66"/>
        <v>0</v>
      </c>
      <c r="BM48" s="11">
        <f t="shared" si="67"/>
        <v>0</v>
      </c>
    </row>
    <row r="49" spans="2:65" ht="15.75" x14ac:dyDescent="0.3">
      <c r="B49" s="59">
        <f t="shared" si="42"/>
        <v>0</v>
      </c>
      <c r="C49" s="59">
        <f t="shared" si="43"/>
        <v>0</v>
      </c>
      <c r="D49" s="84" t="b">
        <v>1</v>
      </c>
      <c r="E49" s="83" t="b">
        <v>0</v>
      </c>
      <c r="F49" s="11">
        <v>63</v>
      </c>
      <c r="G49" s="11" t="s">
        <v>1216</v>
      </c>
      <c r="H49" s="11" t="s">
        <v>1217</v>
      </c>
      <c r="I49" s="11" t="s">
        <v>989</v>
      </c>
      <c r="J49" s="11"/>
      <c r="K49" s="11"/>
      <c r="L49" s="11" t="s">
        <v>63</v>
      </c>
      <c r="M49" s="94">
        <v>45901</v>
      </c>
      <c r="N49" s="94"/>
      <c r="O49" s="171">
        <f>IF(AND(VALO_PERSO!M84&lt;=parametrage!$A$13,ISBLANK(VALO_PERSO!N84)),100%,IF(AND(VALO_PERSO!M84&gt;=parametrage!$A$13,ISBLANK(VALO_PERSO!N84)),((parametrage!$A$14-VALO_PERSO!M84+1)/365),IF(AND(VALO_PERSO!M84&lt;=parametrage!$A$13,AND(VALO_PERSO!N84&gt;parametrage!$A$13,VALO_PERSO!N84&lt;=parametrage!$A$14)),((VALO_PERSO!N84-parametrage!$A$13)/365),((VALO_PERSO!N84-VALO_PERSO!M84)/365))))</f>
        <v>1</v>
      </c>
      <c r="P49" s="11">
        <f>VLOOKUP(F49,'Fichier pour valo'!A:I,6,0)</f>
        <v>5765.88</v>
      </c>
      <c r="Q49" s="11">
        <f>VLOOKUP(F49,'Fichier pour valo'!A:I,4,0)</f>
        <v>49.05</v>
      </c>
      <c r="R49" s="11">
        <f>VLOOKUP(F49,'Fichier pour valo'!A:I,8,0)</f>
        <v>217.63000000000002</v>
      </c>
      <c r="S49" s="11">
        <f>VLOOKUP(F49,'Fichier pour valo'!A:I,5,0)</f>
        <v>122.75000000000011</v>
      </c>
      <c r="T49" s="92">
        <f t="shared" si="44"/>
        <v>3.7744455312979118E-2</v>
      </c>
      <c r="U49" s="92">
        <f t="shared" si="45"/>
        <v>0.56403069429766162</v>
      </c>
      <c r="V49" s="40">
        <f t="shared" si="46"/>
        <v>5937.68</v>
      </c>
      <c r="W49" s="11">
        <f>VLOOKUP(F49,'Fichier pour valo'!A:I,9,0)</f>
        <v>599.67999999999995</v>
      </c>
      <c r="X49" s="40">
        <f t="shared" si="47"/>
        <v>9.9014140875133414</v>
      </c>
      <c r="Y49" s="11">
        <f>+VLOOKUP(F49,HRECH!A:P,7,0)</f>
        <v>0</v>
      </c>
      <c r="Z49" s="11">
        <f>+VLOOKUP(F49,HRECH!A:P,16,0)</f>
        <v>0</v>
      </c>
      <c r="AA49" s="11">
        <f>+VLOOKUP(F49,HRECH!A:Q,17,0)</f>
        <v>0</v>
      </c>
      <c r="AB49" s="11">
        <f>+VLOOKUP(F49,HRECH!A:P,11,0)</f>
        <v>0</v>
      </c>
      <c r="AC49" s="11">
        <f>+VLOOKUP(F49,HRECH!A:P,9,0)</f>
        <v>301</v>
      </c>
      <c r="AD49" s="11">
        <f>+VLOOKUP(F49,HRECH!A:P,10,0)</f>
        <v>0</v>
      </c>
      <c r="AE49" s="40"/>
      <c r="AF49" s="81">
        <f t="shared" si="48"/>
        <v>301</v>
      </c>
      <c r="AG49" s="93">
        <f t="shared" si="49"/>
        <v>0.50193436499466382</v>
      </c>
      <c r="AI49" s="11"/>
      <c r="AJ49" s="40"/>
      <c r="AK49" s="81">
        <f t="shared" si="50"/>
        <v>0</v>
      </c>
      <c r="AL49" s="93">
        <f t="shared" si="51"/>
        <v>0</v>
      </c>
      <c r="AN49" s="11"/>
      <c r="AO49" s="40"/>
      <c r="AP49" s="81">
        <f t="shared" si="52"/>
        <v>0</v>
      </c>
      <c r="AQ49" s="93">
        <f t="shared" si="53"/>
        <v>0</v>
      </c>
      <c r="AS49" s="28">
        <f t="shared" si="54"/>
        <v>0</v>
      </c>
      <c r="AT49" s="28">
        <f t="shared" si="55"/>
        <v>0</v>
      </c>
      <c r="AU49" s="28">
        <f t="shared" si="56"/>
        <v>0</v>
      </c>
      <c r="AV49" s="28">
        <f t="shared" si="57"/>
        <v>0</v>
      </c>
      <c r="AW49" s="28">
        <f t="shared" si="58"/>
        <v>2980.3256403415162</v>
      </c>
      <c r="AX49" s="28">
        <f t="shared" si="59"/>
        <v>0</v>
      </c>
      <c r="AY49" s="40"/>
      <c r="AZ49" s="81">
        <f t="shared" si="60"/>
        <v>2980.3256403415162</v>
      </c>
      <c r="BB49" s="11">
        <f t="shared" si="61"/>
        <v>0</v>
      </c>
      <c r="BC49" s="40"/>
      <c r="BD49" s="81">
        <f t="shared" si="62"/>
        <v>0</v>
      </c>
      <c r="BF49" s="11">
        <f t="shared" si="68"/>
        <v>0</v>
      </c>
      <c r="BG49" s="40"/>
      <c r="BH49" s="81">
        <f t="shared" si="63"/>
        <v>0</v>
      </c>
      <c r="BJ49" s="11">
        <f t="shared" si="64"/>
        <v>298.67999999999995</v>
      </c>
      <c r="BK49" s="11">
        <f t="shared" si="65"/>
        <v>599.67999999999995</v>
      </c>
      <c r="BL49" s="11">
        <f t="shared" si="66"/>
        <v>0</v>
      </c>
      <c r="BM49" s="11">
        <f t="shared" si="67"/>
        <v>0</v>
      </c>
    </row>
    <row r="50" spans="2:65" ht="15.75" thickBot="1" x14ac:dyDescent="0.3">
      <c r="D50" s="60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4" t="s">
        <v>360</v>
      </c>
      <c r="Y50" s="65">
        <f t="shared" ref="Y50:AF50" si="71">SUM(Y5:Y49)</f>
        <v>5718.6520449041291</v>
      </c>
      <c r="Z50" s="65">
        <f t="shared" si="71"/>
        <v>21903.924203602095</v>
      </c>
      <c r="AA50" s="65">
        <f t="shared" si="71"/>
        <v>11249.254666175582</v>
      </c>
      <c r="AB50" s="65">
        <f t="shared" si="71"/>
        <v>2013.2688883495109</v>
      </c>
      <c r="AC50" s="65">
        <f t="shared" si="71"/>
        <v>2798.1223300970901</v>
      </c>
      <c r="AD50" s="65">
        <f t="shared" si="71"/>
        <v>700.58386687160214</v>
      </c>
      <c r="AE50" s="67">
        <f t="shared" si="71"/>
        <v>0</v>
      </c>
      <c r="AF50" s="65">
        <f t="shared" si="71"/>
        <v>44383.806000000011</v>
      </c>
      <c r="AG50" s="78"/>
      <c r="AI50" s="65">
        <f>SUM(AI5:AI49)</f>
        <v>0</v>
      </c>
      <c r="AJ50" s="67">
        <f>SUM(AJ5:AJ49)</f>
        <v>0</v>
      </c>
      <c r="AK50" s="65">
        <f>SUM(AK5:AK49)</f>
        <v>0</v>
      </c>
      <c r="AL50" s="78"/>
      <c r="AN50" s="65">
        <f>SUM(AN5:AN49)</f>
        <v>0</v>
      </c>
      <c r="AO50" s="67">
        <f>SUM(AO5:AO49)</f>
        <v>0</v>
      </c>
      <c r="AP50" s="65">
        <f>SUM(AP5:AP49)</f>
        <v>0</v>
      </c>
      <c r="AQ50" s="78"/>
      <c r="AS50" s="65">
        <f t="shared" ref="AS50:AZ50" si="72">SUM(AS5:AS49)</f>
        <v>265179.57388605969</v>
      </c>
      <c r="AT50" s="65">
        <f t="shared" si="72"/>
        <v>1010469.3655903434</v>
      </c>
      <c r="AU50" s="65">
        <f t="shared" si="72"/>
        <v>489463.51341966179</v>
      </c>
      <c r="AV50" s="65">
        <f t="shared" si="72"/>
        <v>110422.64993353636</v>
      </c>
      <c r="AW50" s="65">
        <f t="shared" si="72"/>
        <v>136662.03178787552</v>
      </c>
      <c r="AX50" s="65">
        <f t="shared" si="72"/>
        <v>36003.563384795474</v>
      </c>
      <c r="AY50" s="67">
        <f t="shared" si="72"/>
        <v>0</v>
      </c>
      <c r="AZ50" s="65">
        <f t="shared" si="72"/>
        <v>2048200.6980022709</v>
      </c>
      <c r="BB50" s="65">
        <f>SUM(BB5:BB49)</f>
        <v>0</v>
      </c>
      <c r="BC50" s="67">
        <f>SUM(BC5:BC49)</f>
        <v>0</v>
      </c>
      <c r="BD50" s="65">
        <f>SUM(BD5:BD49)</f>
        <v>0</v>
      </c>
      <c r="BF50" s="65">
        <f>SUM(BF5:BF49)</f>
        <v>0</v>
      </c>
      <c r="BG50" s="67">
        <f>SUM(BG5:BG49)</f>
        <v>0</v>
      </c>
      <c r="BH50" s="65">
        <f>SUM(BH5:BH49)</f>
        <v>0</v>
      </c>
      <c r="BJ50" s="65">
        <f>SUM(BJ5:BJ49)</f>
        <v>12029.573999999982</v>
      </c>
      <c r="BK50" s="65">
        <f>SUM(BK5:BK49)</f>
        <v>56413.38</v>
      </c>
      <c r="BL50" s="65">
        <f>SUM(BL5:BL49)</f>
        <v>0</v>
      </c>
      <c r="BM50" s="65">
        <f>SUM(BM5:BM49)</f>
        <v>0</v>
      </c>
    </row>
    <row r="51" spans="2:65" x14ac:dyDescent="0.25">
      <c r="Y51" s="482"/>
      <c r="AB51" s="482"/>
      <c r="AC51" s="482"/>
    </row>
    <row r="52" spans="2:65" ht="15.75" thickBot="1" x14ac:dyDescent="0.3">
      <c r="T52" s="214"/>
      <c r="U52" s="214"/>
      <c r="V52" s="214"/>
      <c r="W52" s="214"/>
      <c r="X52" s="215" t="s">
        <v>499</v>
      </c>
      <c r="AS52" s="65">
        <f>SUMIF(L:L,parametrage!$P$4,VALO_PERSO!AS:AS)</f>
        <v>0</v>
      </c>
      <c r="AT52" s="65">
        <f>SUMIF(M:M,parametrage!$P$4,VALO_PERSO!AT:AT)</f>
        <v>0</v>
      </c>
      <c r="AU52" s="65">
        <f>SUMIF(N:N,parametrage!$P$4,VALO_PERSO!AU:AU)</f>
        <v>0</v>
      </c>
      <c r="AV52" s="65">
        <f>SUMIF(O:O,parametrage!$P$4,VALO_PERSO!AV:AV)</f>
        <v>0</v>
      </c>
      <c r="AW52" s="65">
        <f>SUMIF(P:P,parametrage!$P$4,VALO_PERSO!AW:AW)</f>
        <v>0</v>
      </c>
      <c r="AX52" s="65">
        <f>SUMIF(Q:Q,parametrage!$P$4,VALO_PERSO!AX:AX)</f>
        <v>0</v>
      </c>
      <c r="AZ52" s="65">
        <f>SUM(AS52:AY52)</f>
        <v>0</v>
      </c>
    </row>
    <row r="54" spans="2:65" ht="15.75" thickBot="1" x14ac:dyDescent="0.3">
      <c r="T54" s="61"/>
      <c r="U54" s="61"/>
      <c r="V54" s="61"/>
      <c r="W54" s="61"/>
      <c r="X54" s="64" t="s">
        <v>500</v>
      </c>
      <c r="AS54" s="65">
        <f t="shared" ref="AS54:AX54" si="73">AS50-AS52</f>
        <v>265179.57388605969</v>
      </c>
      <c r="AT54" s="65">
        <f t="shared" si="73"/>
        <v>1010469.3655903434</v>
      </c>
      <c r="AU54" s="65">
        <f t="shared" si="73"/>
        <v>489463.51341966179</v>
      </c>
      <c r="AV54" s="65">
        <f t="shared" si="73"/>
        <v>110422.64993353636</v>
      </c>
      <c r="AW54" s="65">
        <f t="shared" si="73"/>
        <v>136662.03178787552</v>
      </c>
      <c r="AX54" s="65">
        <f t="shared" si="73"/>
        <v>36003.563384795474</v>
      </c>
      <c r="AZ54" s="65">
        <f>SUM(AS54:AY54)</f>
        <v>2048200.6980022721</v>
      </c>
    </row>
    <row r="55" spans="2:65" x14ac:dyDescent="0.25">
      <c r="G55" t="s">
        <v>475</v>
      </c>
    </row>
    <row r="58" spans="2:65" x14ac:dyDescent="0.25">
      <c r="Y58" s="42">
        <f>Y8/$AF$8</f>
        <v>0.12499999999999992</v>
      </c>
      <c r="Z58" s="42">
        <f t="shared" ref="Z58:AD58" si="74">Z8/$AF$8</f>
        <v>0.37500000000000006</v>
      </c>
      <c r="AA58" s="42">
        <f t="shared" si="74"/>
        <v>0.37500000000000006</v>
      </c>
      <c r="AB58" s="42">
        <f t="shared" si="74"/>
        <v>0.12499999999999992</v>
      </c>
      <c r="AC58" s="42">
        <f t="shared" si="74"/>
        <v>0</v>
      </c>
      <c r="AD58" s="42">
        <f t="shared" si="74"/>
        <v>0</v>
      </c>
    </row>
    <row r="61" spans="2:65" x14ac:dyDescent="0.25">
      <c r="X61" t="s">
        <v>1396</v>
      </c>
      <c r="Y61" s="517">
        <v>81.448499999999967</v>
      </c>
      <c r="Z61" s="517">
        <v>244.3455000000001</v>
      </c>
      <c r="AA61" s="517">
        <v>244.3455000000001</v>
      </c>
      <c r="AB61" s="517">
        <v>81.448499999999967</v>
      </c>
      <c r="AC61" s="517">
        <v>0</v>
      </c>
      <c r="AD61" s="517">
        <v>0</v>
      </c>
      <c r="AF61" s="517">
        <v>651.58800000000008</v>
      </c>
      <c r="AG61" s="88">
        <v>0.4</v>
      </c>
    </row>
    <row r="62" spans="2:65" x14ac:dyDescent="0.25">
      <c r="X62" t="s">
        <v>1397</v>
      </c>
      <c r="Y62" s="517">
        <v>110.07087378640776</v>
      </c>
      <c r="Z62" s="517">
        <v>427.3339805825243</v>
      </c>
      <c r="AA62" s="517">
        <v>556.8291262135923</v>
      </c>
      <c r="AB62" s="517">
        <v>123.02038834951456</v>
      </c>
      <c r="AC62" s="517">
        <v>71.222330097087379</v>
      </c>
      <c r="AD62" s="517">
        <v>45.323300970873788</v>
      </c>
      <c r="AF62" s="517">
        <f>W39*AG62</f>
        <v>1333.8</v>
      </c>
      <c r="AG62" s="88">
        <v>0.95</v>
      </c>
    </row>
    <row r="63" spans="2:65" x14ac:dyDescent="0.25">
      <c r="X63" t="s">
        <v>1398</v>
      </c>
      <c r="Z63" s="517">
        <v>870.22</v>
      </c>
      <c r="AG63" s="88">
        <v>0.5</v>
      </c>
    </row>
    <row r="64" spans="2:65" x14ac:dyDescent="0.25">
      <c r="X64" t="s">
        <v>1400</v>
      </c>
      <c r="Y64" s="517">
        <v>6.0726711177172881</v>
      </c>
      <c r="Z64" s="517">
        <v>599.63472301956665</v>
      </c>
      <c r="AA64" s="517">
        <v>782.16003996198788</v>
      </c>
      <c r="AB64" s="517">
        <v>0</v>
      </c>
      <c r="AC64" s="517">
        <v>0</v>
      </c>
      <c r="AD64" s="517">
        <v>186.13056590072841</v>
      </c>
      <c r="AF64" s="517">
        <f>W34*AG64</f>
        <v>1573.998</v>
      </c>
      <c r="AG64" s="522">
        <v>0.95</v>
      </c>
    </row>
  </sheetData>
  <autoFilter ref="A4:BM50" xr:uid="{A3A953EB-D352-4A1F-AC72-4ACFF8198387}"/>
  <conditionalFormatting sqref="D5:L49">
    <cfRule type="expression" dxfId="262" priority="11">
      <formula>$B5&gt;0</formula>
    </cfRule>
  </conditionalFormatting>
  <conditionalFormatting sqref="F1:F1048576">
    <cfRule type="duplicateValues" dxfId="261" priority="10"/>
  </conditionalFormatting>
  <conditionalFormatting sqref="T1:T1048576">
    <cfRule type="top10" dxfId="260" priority="4" bottom="1" rank="3"/>
    <cfRule type="top10" dxfId="259" priority="5" rank="3"/>
  </conditionalFormatting>
  <conditionalFormatting sqref="U1:U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{F8DBB1C6-B42E-4ED8-AD1A-442D9ED2F16A}</x14:id>
        </ext>
      </extLst>
    </cfRule>
  </conditionalFormatting>
  <conditionalFormatting sqref="P3:S3">
    <cfRule type="duplicateValues" dxfId="258" priority="2"/>
  </conditionalFormatting>
  <conditionalFormatting sqref="W3">
    <cfRule type="duplicateValues" dxfId="25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9" r:id="rId4" name="Button 17">
              <controlPr defaultSize="0" print="0" autoFill="0" autoPict="0" macro="[0]!InsererColonneMultiple">
                <anchor moveWithCells="1" sizeWithCells="1">
                  <from>
                    <xdr:col>8</xdr:col>
                    <xdr:colOff>1047750</xdr:colOff>
                    <xdr:row>0</xdr:row>
                    <xdr:rowOff>19050</xdr:rowOff>
                  </from>
                  <to>
                    <xdr:col>9</xdr:col>
                    <xdr:colOff>742950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5" name="Button 18">
              <controlPr defaultSize="0" print="0" autoFill="0" autoPict="0" macro="[0]!Module13.DupliquerLignesAvecTexteDansToutesFeuilles">
                <anchor moveWithCells="1" sizeWithCells="1">
                  <from>
                    <xdr:col>3</xdr:col>
                    <xdr:colOff>47625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BB1C6-B42E-4ED8-AD1A-442D9ED2F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E0E3F-2BA8-4704-BD6D-B5A98BDCEF68}">
          <x14:formula1>
            <xm:f>parametrage!$P$2:$P$11</xm:f>
          </x14:formula1>
          <xm:sqref>L5:L49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1F95-D8CE-42B4-A59A-2F0CFDC9AD9E}">
  <sheetPr filterMode="1">
    <tabColor rgb="FFFF99CC"/>
  </sheetPr>
  <dimension ref="A1:P46"/>
  <sheetViews>
    <sheetView workbookViewId="0">
      <selection activeCell="H69" sqref="H69"/>
    </sheetView>
  </sheetViews>
  <sheetFormatPr baseColWidth="10" defaultRowHeight="15" x14ac:dyDescent="0.25"/>
  <cols>
    <col min="2" max="2" width="22.42578125" bestFit="1" customWidth="1"/>
    <col min="4" max="4" width="40.140625" bestFit="1" customWidth="1"/>
    <col min="5" max="6" width="11.42578125" style="497"/>
    <col min="7" max="7" width="13.7109375" bestFit="1" customWidth="1"/>
    <col min="8" max="8" width="12.140625" bestFit="1" customWidth="1"/>
    <col min="9" max="9" width="14.85546875" style="502" bestFit="1" customWidth="1"/>
    <col min="10" max="10" width="20.42578125" customWidth="1"/>
  </cols>
  <sheetData>
    <row r="1" spans="1:16" x14ac:dyDescent="0.25">
      <c r="A1" s="495" t="s">
        <v>472</v>
      </c>
      <c r="B1" s="495" t="s">
        <v>367</v>
      </c>
      <c r="C1" s="495" t="s">
        <v>368</v>
      </c>
      <c r="D1" s="495" t="s">
        <v>369</v>
      </c>
      <c r="E1" s="496" t="s">
        <v>378</v>
      </c>
      <c r="F1" s="496" t="s">
        <v>377</v>
      </c>
      <c r="G1" s="495" t="s">
        <v>1376</v>
      </c>
      <c r="H1" s="495" t="s">
        <v>1377</v>
      </c>
      <c r="I1" s="498" t="s">
        <v>1378</v>
      </c>
      <c r="J1" s="499" t="s">
        <v>1379</v>
      </c>
    </row>
    <row r="2" spans="1:16" x14ac:dyDescent="0.25">
      <c r="A2" s="200">
        <v>5</v>
      </c>
      <c r="B2" s="200" t="s">
        <v>883</v>
      </c>
      <c r="C2" s="200" t="s">
        <v>884</v>
      </c>
      <c r="D2" s="200" t="s">
        <v>885</v>
      </c>
      <c r="E2" s="465">
        <v>1106.586</v>
      </c>
      <c r="F2" s="465">
        <f>VLOOKUP(A2,VALO_PERSO!F:AF,27,0)</f>
        <v>651.58800000000019</v>
      </c>
      <c r="G2" s="466">
        <f>VLOOKUP(A2,'Verif VS 24'!A:V,22,0)</f>
        <v>0.65</v>
      </c>
      <c r="H2" s="466">
        <f>VLOOKUP(A2,VALO_PERSO!F:AG,28,0)</f>
        <v>0.40000000000000013</v>
      </c>
      <c r="I2" s="501">
        <f t="shared" ref="I2:I8" si="0">H2-G2</f>
        <v>-0.24999999999999989</v>
      </c>
      <c r="J2" s="200"/>
      <c r="M2">
        <v>5</v>
      </c>
      <c r="N2" t="s">
        <v>883</v>
      </c>
      <c r="O2" t="s">
        <v>884</v>
      </c>
      <c r="P2" t="s">
        <v>885</v>
      </c>
    </row>
    <row r="3" spans="1:16" x14ac:dyDescent="0.25">
      <c r="A3" s="200">
        <v>6</v>
      </c>
      <c r="B3" s="200" t="s">
        <v>888</v>
      </c>
      <c r="C3" s="200" t="s">
        <v>889</v>
      </c>
      <c r="D3" s="200" t="s">
        <v>876</v>
      </c>
      <c r="E3" s="465">
        <v>810.79999999999984</v>
      </c>
      <c r="F3" s="465">
        <f>VLOOKUP(A3,VALO_PERSO!F:AF,27,0)</f>
        <v>1166.600000000002</v>
      </c>
      <c r="G3" s="466">
        <f>VLOOKUP(A3,'Verif VS 24'!A:V,22,0)</f>
        <v>0.48054811407979886</v>
      </c>
      <c r="H3" s="466">
        <f>VLOOKUP(A3,VALO_PERSO!F:AG,28,0)</f>
        <v>0.70953733494711746</v>
      </c>
      <c r="I3" s="501">
        <f t="shared" si="0"/>
        <v>0.2289892208673186</v>
      </c>
      <c r="J3" s="200"/>
      <c r="M3">
        <v>6</v>
      </c>
      <c r="N3" t="s">
        <v>888</v>
      </c>
      <c r="O3" t="s">
        <v>889</v>
      </c>
      <c r="P3" t="s">
        <v>1362</v>
      </c>
    </row>
    <row r="4" spans="1:16" hidden="1" x14ac:dyDescent="0.25">
      <c r="A4" s="200">
        <v>23</v>
      </c>
      <c r="B4" s="200" t="s">
        <v>942</v>
      </c>
      <c r="C4" s="200" t="s">
        <v>943</v>
      </c>
      <c r="D4" s="200" t="s">
        <v>944</v>
      </c>
      <c r="E4" s="465">
        <v>1628.1479999999999</v>
      </c>
      <c r="F4" s="465">
        <f>VLOOKUP(A4,VALO_PERSO!F:AF,27,0)</f>
        <v>243.19999999999987</v>
      </c>
      <c r="G4" s="466">
        <f>VLOOKUP(A4,'Verif VS 24'!A:V,22,0)</f>
        <v>0.95</v>
      </c>
      <c r="H4" s="466">
        <f>VLOOKUP(A4,VALO_PERSO!F:AG,28,0)</f>
        <v>0.77417711848220505</v>
      </c>
      <c r="I4" s="500">
        <f t="shared" si="0"/>
        <v>-0.1758228815177949</v>
      </c>
      <c r="J4" s="200" t="s">
        <v>1380</v>
      </c>
      <c r="M4">
        <v>23</v>
      </c>
      <c r="N4" t="s">
        <v>942</v>
      </c>
      <c r="O4" t="s">
        <v>943</v>
      </c>
      <c r="P4" t="s">
        <v>1353</v>
      </c>
    </row>
    <row r="5" spans="1:16" x14ac:dyDescent="0.25">
      <c r="A5" s="200">
        <v>36</v>
      </c>
      <c r="B5" s="200" t="s">
        <v>973</v>
      </c>
      <c r="C5" s="200" t="s">
        <v>974</v>
      </c>
      <c r="D5" s="200" t="s">
        <v>975</v>
      </c>
      <c r="E5" s="465">
        <v>1584</v>
      </c>
      <c r="F5" s="465">
        <f>VLOOKUP(A5,VALO_PERSO!F:AF,27,0)</f>
        <v>870.22</v>
      </c>
      <c r="G5" s="466">
        <f>VLOOKUP(A5,'Verif VS 24'!A:V,22,0)</f>
        <v>0.88976767177459215</v>
      </c>
      <c r="H5" s="466">
        <f>VLOOKUP(A5,VALO_PERSO!F:AG,28,0)</f>
        <v>0.5</v>
      </c>
      <c r="I5" s="501">
        <f t="shared" si="0"/>
        <v>-0.38976767177459215</v>
      </c>
      <c r="J5" s="200"/>
    </row>
    <row r="6" spans="1:16" hidden="1" x14ac:dyDescent="0.25">
      <c r="A6" s="200">
        <v>41</v>
      </c>
      <c r="B6" s="200" t="s">
        <v>992</v>
      </c>
      <c r="C6" s="200" t="s">
        <v>993</v>
      </c>
      <c r="D6" s="200" t="s">
        <v>35</v>
      </c>
      <c r="E6" s="465">
        <v>1552.338</v>
      </c>
      <c r="F6" s="465">
        <f>VLOOKUP(A6,VALO_PERSO!F:AF,27,0)</f>
        <v>999.53000000000009</v>
      </c>
      <c r="G6" s="466">
        <f>VLOOKUP(A6,'Verif VS 24'!A:V,22,0)</f>
        <v>0.95</v>
      </c>
      <c r="H6" s="466">
        <f>VLOOKUP(A6,VALO_PERSO!F:AG,28,0)</f>
        <v>0.79098016871626875</v>
      </c>
      <c r="I6" s="500">
        <f t="shared" si="0"/>
        <v>-0.15901983128373121</v>
      </c>
      <c r="J6" s="200" t="s">
        <v>1380</v>
      </c>
      <c r="M6">
        <v>41</v>
      </c>
      <c r="N6" t="s">
        <v>992</v>
      </c>
      <c r="O6" t="s">
        <v>993</v>
      </c>
      <c r="P6" t="s">
        <v>1368</v>
      </c>
    </row>
    <row r="7" spans="1:16" hidden="1" x14ac:dyDescent="0.25">
      <c r="A7" s="200">
        <v>42</v>
      </c>
      <c r="B7" s="200" t="s">
        <v>996</v>
      </c>
      <c r="C7" s="200" t="s">
        <v>997</v>
      </c>
      <c r="D7" s="200" t="s">
        <v>902</v>
      </c>
      <c r="E7" s="465">
        <v>1653.4179999999997</v>
      </c>
      <c r="F7" s="465">
        <f>VLOOKUP(A7,VALO_PERSO!F:AF,27,0)</f>
        <v>1573.9980000000003</v>
      </c>
      <c r="G7" s="466">
        <f>VLOOKUP(A7,'Verif VS 24'!A:V,22,0)</f>
        <v>0.95</v>
      </c>
      <c r="H7" s="466">
        <f>VLOOKUP(A7,VALO_PERSO!F:AG,28,0)</f>
        <v>0.95000000000000007</v>
      </c>
      <c r="I7" s="500">
        <f t="shared" si="0"/>
        <v>0</v>
      </c>
      <c r="J7" s="200"/>
      <c r="M7">
        <v>42</v>
      </c>
      <c r="N7" t="s">
        <v>996</v>
      </c>
      <c r="O7" t="s">
        <v>997</v>
      </c>
      <c r="P7" t="s">
        <v>902</v>
      </c>
    </row>
    <row r="8" spans="1:16" hidden="1" x14ac:dyDescent="0.25">
      <c r="A8" s="200">
        <v>43</v>
      </c>
      <c r="B8" s="200" t="s">
        <v>1000</v>
      </c>
      <c r="C8" s="200" t="s">
        <v>1001</v>
      </c>
      <c r="D8" s="200" t="s">
        <v>1002</v>
      </c>
      <c r="E8" s="465">
        <v>1595.2114999999999</v>
      </c>
      <c r="F8" s="465">
        <f>VLOOKUP(A8,VALO_PERSO!F:AF,27,0)</f>
        <v>15.2</v>
      </c>
      <c r="G8" s="466">
        <f>VLOOKUP(A8,'Verif VS 24'!A:V,22,0)</f>
        <v>0.94999999999999984</v>
      </c>
      <c r="H8" s="466">
        <f>VLOOKUP(A8,VALO_PERSO!F:AG,28,0)</f>
        <v>0.66666666666666652</v>
      </c>
      <c r="I8" s="500">
        <f t="shared" si="0"/>
        <v>-0.28333333333333333</v>
      </c>
      <c r="J8" s="200" t="s">
        <v>1380</v>
      </c>
      <c r="M8">
        <v>43</v>
      </c>
      <c r="N8" t="s">
        <v>1000</v>
      </c>
      <c r="O8" t="s">
        <v>1001</v>
      </c>
      <c r="P8" t="s">
        <v>930</v>
      </c>
    </row>
    <row r="9" spans="1:16" hidden="1" x14ac:dyDescent="0.25">
      <c r="A9" s="200">
        <v>47</v>
      </c>
      <c r="B9" s="200" t="s">
        <v>1014</v>
      </c>
      <c r="C9" s="200" t="s">
        <v>1015</v>
      </c>
      <c r="D9" s="200" t="s">
        <v>1016</v>
      </c>
      <c r="E9" s="465">
        <v>734.96999999999991</v>
      </c>
      <c r="F9" s="465"/>
      <c r="G9" s="466">
        <f>VLOOKUP(A9,'Verif VS 24'!A:V,22,0)</f>
        <v>0.89994857226820779</v>
      </c>
      <c r="H9" s="466"/>
      <c r="I9" s="500"/>
      <c r="J9" s="200" t="s">
        <v>1380</v>
      </c>
    </row>
    <row r="10" spans="1:16" x14ac:dyDescent="0.25">
      <c r="A10" s="200">
        <v>49</v>
      </c>
      <c r="B10" s="200" t="s">
        <v>1024</v>
      </c>
      <c r="C10" s="200" t="s">
        <v>1025</v>
      </c>
      <c r="D10" s="200" t="s">
        <v>1026</v>
      </c>
      <c r="E10" s="465">
        <v>646.09999999999991</v>
      </c>
      <c r="F10" s="465">
        <f>VLOOKUP(A10,VALO_PERSO!F:AF,27,0)</f>
        <v>1333.8000000000004</v>
      </c>
      <c r="G10" s="466">
        <f>VLOOKUP(A10,'Verif VS 24'!A:V,22,0)</f>
        <v>0.59978463080893396</v>
      </c>
      <c r="H10" s="466">
        <f>VLOOKUP(A10,VALO_PERSO!F:AG,28,0)</f>
        <v>0.95000000000000029</v>
      </c>
      <c r="I10" s="501">
        <f>H10-G10</f>
        <v>0.35021536919106633</v>
      </c>
      <c r="J10" s="200"/>
      <c r="M10">
        <v>49</v>
      </c>
      <c r="N10" t="s">
        <v>1198</v>
      </c>
      <c r="O10" t="s">
        <v>1199</v>
      </c>
      <c r="P10" t="s">
        <v>1366</v>
      </c>
    </row>
    <row r="11" spans="1:16" x14ac:dyDescent="0.25">
      <c r="A11" s="200">
        <v>50</v>
      </c>
      <c r="B11" s="200" t="s">
        <v>1029</v>
      </c>
      <c r="C11" s="200" t="s">
        <v>1030</v>
      </c>
      <c r="D11" s="200" t="s">
        <v>1031</v>
      </c>
      <c r="E11" s="465">
        <v>936.4000000000018</v>
      </c>
      <c r="F11" s="465">
        <f>VLOOKUP(A11,VALO_PERSO!F:AF,27,0)</f>
        <v>1238.8000000000015</v>
      </c>
      <c r="G11" s="466">
        <f>VLOOKUP(A11,'Verif VS 24'!A:V,22,0)</f>
        <v>0.79660396940850353</v>
      </c>
      <c r="H11" s="466">
        <f>VLOOKUP(A11,VALO_PERSO!F:AG,28,0)</f>
        <v>0.69360148708875591</v>
      </c>
      <c r="I11" s="501">
        <f>H11-G11</f>
        <v>-0.10300248231974762</v>
      </c>
      <c r="J11" s="200"/>
      <c r="M11">
        <v>50</v>
      </c>
      <c r="N11" t="s">
        <v>1029</v>
      </c>
      <c r="O11" t="s">
        <v>1030</v>
      </c>
      <c r="P11" t="s">
        <v>1367</v>
      </c>
    </row>
    <row r="12" spans="1:16" hidden="1" x14ac:dyDescent="0.25">
      <c r="A12" s="200">
        <v>58</v>
      </c>
      <c r="B12" s="200" t="s">
        <v>1207</v>
      </c>
      <c r="C12" s="200" t="s">
        <v>1208</v>
      </c>
      <c r="D12" s="200" t="s">
        <v>35</v>
      </c>
      <c r="E12" s="465"/>
      <c r="F12" s="465">
        <f>VLOOKUP(A12,VALO_PERSO!F:AF,27,0)</f>
        <v>919.60000000000082</v>
      </c>
      <c r="G12" s="466"/>
      <c r="H12" s="466">
        <f>VLOOKUP(A12,VALO_PERSO!F:AG,28,0)</f>
        <v>0.93075038966822621</v>
      </c>
      <c r="I12" s="500"/>
      <c r="J12" s="200" t="s">
        <v>1381</v>
      </c>
      <c r="M12">
        <v>58</v>
      </c>
      <c r="N12" t="s">
        <v>1207</v>
      </c>
      <c r="O12" t="s">
        <v>1208</v>
      </c>
      <c r="P12" t="s">
        <v>35</v>
      </c>
    </row>
    <row r="13" spans="1:16" hidden="1" x14ac:dyDescent="0.25">
      <c r="A13" s="200">
        <v>60</v>
      </c>
      <c r="B13" s="200" t="s">
        <v>966</v>
      </c>
      <c r="C13" s="200" t="s">
        <v>1211</v>
      </c>
      <c r="D13" s="200" t="s">
        <v>35</v>
      </c>
      <c r="E13" s="465"/>
      <c r="F13" s="465">
        <f>VLOOKUP(A13,VALO_PERSO!F:AF,27,0)</f>
        <v>121.59999999999997</v>
      </c>
      <c r="G13" s="466"/>
      <c r="H13" s="466">
        <f>VLOOKUP(A13,VALO_PERSO!F:AG,28,0)</f>
        <v>0.77417711848220516</v>
      </c>
      <c r="I13" s="500"/>
      <c r="J13" s="200" t="s">
        <v>1381</v>
      </c>
      <c r="M13">
        <v>60</v>
      </c>
      <c r="N13" t="s">
        <v>966</v>
      </c>
      <c r="O13" t="s">
        <v>1211</v>
      </c>
      <c r="P13" t="s">
        <v>35</v>
      </c>
    </row>
    <row r="14" spans="1:16" hidden="1" x14ac:dyDescent="0.25">
      <c r="A14" s="200">
        <v>61</v>
      </c>
      <c r="B14" s="200" t="s">
        <v>1212</v>
      </c>
      <c r="C14" s="200" t="s">
        <v>1213</v>
      </c>
      <c r="D14" s="200" t="s">
        <v>989</v>
      </c>
      <c r="E14" s="465"/>
      <c r="F14" s="465">
        <f>VLOOKUP(A14,VALO_PERSO!F:AF,27,0)</f>
        <v>164.82999999999998</v>
      </c>
      <c r="G14" s="466"/>
      <c r="H14" s="466">
        <f>VLOOKUP(A14,VALO_PERSO!F:AG,28,0)</f>
        <v>0.27810960383343458</v>
      </c>
      <c r="I14" s="500"/>
      <c r="J14" s="200" t="s">
        <v>1381</v>
      </c>
      <c r="M14">
        <v>61</v>
      </c>
      <c r="N14" t="s">
        <v>1212</v>
      </c>
      <c r="O14" t="s">
        <v>1213</v>
      </c>
      <c r="P14" t="s">
        <v>989</v>
      </c>
    </row>
    <row r="15" spans="1:16" hidden="1" x14ac:dyDescent="0.25">
      <c r="A15" s="200">
        <v>62</v>
      </c>
      <c r="B15" s="200" t="s">
        <v>1214</v>
      </c>
      <c r="C15" s="200" t="s">
        <v>1215</v>
      </c>
      <c r="D15" s="200" t="s">
        <v>989</v>
      </c>
      <c r="E15" s="465"/>
      <c r="F15" s="465">
        <f>VLOOKUP(A15,VALO_PERSO!F:AF,27,0)</f>
        <v>273</v>
      </c>
      <c r="G15" s="466"/>
      <c r="H15" s="466">
        <f>VLOOKUP(A15,VALO_PERSO!F:AG,28,0)</f>
        <v>0.4775398824517213</v>
      </c>
      <c r="I15" s="500"/>
      <c r="J15" s="200" t="s">
        <v>1381</v>
      </c>
      <c r="M15">
        <v>62</v>
      </c>
      <c r="N15" t="s">
        <v>1214</v>
      </c>
      <c r="O15" t="s">
        <v>1215</v>
      </c>
      <c r="P15" t="s">
        <v>989</v>
      </c>
    </row>
    <row r="16" spans="1:16" hidden="1" x14ac:dyDescent="0.25">
      <c r="A16" s="200">
        <v>63</v>
      </c>
      <c r="B16" s="200" t="s">
        <v>1216</v>
      </c>
      <c r="C16" s="200" t="s">
        <v>1217</v>
      </c>
      <c r="D16" s="200" t="s">
        <v>989</v>
      </c>
      <c r="E16" s="465"/>
      <c r="F16" s="465">
        <f>VLOOKUP(A16,VALO_PERSO!F:AF,27,0)</f>
        <v>301</v>
      </c>
      <c r="G16" s="466"/>
      <c r="H16" s="466">
        <f>VLOOKUP(A16,VALO_PERSO!F:AG,28,0)</f>
        <v>0.50193436499466382</v>
      </c>
      <c r="I16" s="500"/>
      <c r="J16" s="200" t="s">
        <v>1381</v>
      </c>
      <c r="M16">
        <v>63</v>
      </c>
      <c r="N16" t="s">
        <v>1216</v>
      </c>
      <c r="O16" t="s">
        <v>1217</v>
      </c>
      <c r="P16" t="s">
        <v>989</v>
      </c>
    </row>
    <row r="17" spans="1:16" hidden="1" x14ac:dyDescent="0.25">
      <c r="A17" s="200">
        <v>1</v>
      </c>
      <c r="B17" s="200" t="s">
        <v>874</v>
      </c>
      <c r="C17" s="200" t="s">
        <v>875</v>
      </c>
      <c r="D17" s="200" t="s">
        <v>876</v>
      </c>
      <c r="E17" s="465">
        <v>1408.5500000000006</v>
      </c>
      <c r="F17" s="465">
        <f>VLOOKUP(A17,VALO_PERSO!F:AF,27,0)</f>
        <v>1481.320000000002</v>
      </c>
      <c r="G17" s="466">
        <f>VLOOKUP(A17,'Verif VS 24'!A:V,22,0)</f>
        <v>0.84241405707997452</v>
      </c>
      <c r="H17" s="466">
        <f>VLOOKUP(A17,VALO_PERSO!F:AG,28,0)</f>
        <v>0.87598164443183013</v>
      </c>
      <c r="I17" s="500">
        <f t="shared" ref="I17:I46" si="1">H17-G17</f>
        <v>3.356758735185561E-2</v>
      </c>
      <c r="J17" s="200"/>
      <c r="M17">
        <v>1</v>
      </c>
      <c r="N17" t="s">
        <v>1179</v>
      </c>
      <c r="O17" t="s">
        <v>875</v>
      </c>
      <c r="P17" t="s">
        <v>1358</v>
      </c>
    </row>
    <row r="18" spans="1:16" hidden="1" x14ac:dyDescent="0.25">
      <c r="A18" s="200">
        <v>4</v>
      </c>
      <c r="B18" s="200" t="s">
        <v>879</v>
      </c>
      <c r="C18" s="200" t="s">
        <v>880</v>
      </c>
      <c r="D18" s="200" t="s">
        <v>876</v>
      </c>
      <c r="E18" s="465">
        <v>1352.9999999999998</v>
      </c>
      <c r="F18" s="465">
        <f>VLOOKUP(A18,VALO_PERSO!F:AF,27,0)</f>
        <v>1531.4000000000026</v>
      </c>
      <c r="G18" s="466">
        <f>VLOOKUP(A18,'Verif VS 24'!A:V,22,0)</f>
        <v>0.79297168042010502</v>
      </c>
      <c r="H18" s="466">
        <f>VLOOKUP(A18,VALO_PERSO!F:AG,28,0)</f>
        <v>0.9117429925460232</v>
      </c>
      <c r="I18" s="500">
        <f t="shared" si="1"/>
        <v>0.11877131212591818</v>
      </c>
      <c r="J18" s="200"/>
      <c r="M18">
        <v>4</v>
      </c>
      <c r="N18" t="s">
        <v>1182</v>
      </c>
      <c r="O18" t="s">
        <v>880</v>
      </c>
      <c r="P18" t="s">
        <v>1362</v>
      </c>
    </row>
    <row r="19" spans="1:16" hidden="1" x14ac:dyDescent="0.25">
      <c r="A19" s="200">
        <v>7</v>
      </c>
      <c r="B19" s="200" t="s">
        <v>892</v>
      </c>
      <c r="C19" s="200" t="s">
        <v>893</v>
      </c>
      <c r="D19" s="200" t="s">
        <v>885</v>
      </c>
      <c r="E19" s="465">
        <v>945.39999999999986</v>
      </c>
      <c r="F19" s="465">
        <f>VLOOKUP(A19,VALO_PERSO!F:AF,27,0)</f>
        <v>1109.6000000000017</v>
      </c>
      <c r="G19" s="466">
        <f>VLOOKUP(A19,'Verif VS 24'!A:V,22,0)</f>
        <v>0.56032336834119623</v>
      </c>
      <c r="H19" s="466">
        <f>VLOOKUP(A19,VALO_PERSO!F:AG,28,0)</f>
        <v>0.67279474182047594</v>
      </c>
      <c r="I19" s="500">
        <f t="shared" si="1"/>
        <v>0.11247137347927971</v>
      </c>
      <c r="J19" s="200"/>
      <c r="M19">
        <v>7</v>
      </c>
      <c r="N19" t="s">
        <v>892</v>
      </c>
      <c r="O19" t="s">
        <v>893</v>
      </c>
      <c r="P19" t="s">
        <v>1359</v>
      </c>
    </row>
    <row r="20" spans="1:16" hidden="1" x14ac:dyDescent="0.25">
      <c r="A20" s="200">
        <v>8</v>
      </c>
      <c r="B20" s="200" t="s">
        <v>896</v>
      </c>
      <c r="C20" s="200" t="s">
        <v>897</v>
      </c>
      <c r="D20" s="200" t="s">
        <v>885</v>
      </c>
      <c r="E20" s="465">
        <v>1456.1999999999994</v>
      </c>
      <c r="F20" s="465">
        <f>VLOOKUP(A20,VALO_PERSO!F:AF,27,0)</f>
        <v>1550.3999999999987</v>
      </c>
      <c r="G20" s="466">
        <f>VLOOKUP(A20,'Verif VS 24'!A:V,22,0)</f>
        <v>0.88092242171998225</v>
      </c>
      <c r="H20" s="466">
        <f>VLOOKUP(A20,VALO_PERSO!F:AG,28,0)</f>
        <v>0.92725054424535225</v>
      </c>
      <c r="I20" s="500">
        <f t="shared" si="1"/>
        <v>4.6328122525369997E-2</v>
      </c>
      <c r="J20" s="200"/>
      <c r="M20">
        <v>8</v>
      </c>
      <c r="N20" t="s">
        <v>1183</v>
      </c>
      <c r="O20" t="s">
        <v>897</v>
      </c>
      <c r="P20" t="s">
        <v>1359</v>
      </c>
    </row>
    <row r="21" spans="1:16" hidden="1" x14ac:dyDescent="0.25">
      <c r="A21" s="200">
        <v>11</v>
      </c>
      <c r="B21" s="200" t="s">
        <v>900</v>
      </c>
      <c r="C21" s="200" t="s">
        <v>901</v>
      </c>
      <c r="D21" s="200" t="s">
        <v>902</v>
      </c>
      <c r="E21" s="465">
        <v>652.80000000000018</v>
      </c>
      <c r="F21" s="465">
        <f>VLOOKUP(A21,VALO_PERSO!F:AF,27,0)</f>
        <v>1037.4000000000021</v>
      </c>
      <c r="G21" s="466">
        <f>VLOOKUP(A21,'Verif VS 24'!A:V,22,0)</f>
        <v>0.84762708563266909</v>
      </c>
      <c r="H21" s="466">
        <f>VLOOKUP(A21,VALO_PERSO!F:AG,28,0)</f>
        <v>0.86117729095241047</v>
      </c>
      <c r="I21" s="500">
        <f t="shared" si="1"/>
        <v>1.3550205319741382E-2</v>
      </c>
      <c r="J21" s="200"/>
      <c r="M21">
        <v>11</v>
      </c>
      <c r="N21" t="s">
        <v>900</v>
      </c>
      <c r="O21" t="s">
        <v>901</v>
      </c>
      <c r="P21" t="s">
        <v>902</v>
      </c>
    </row>
    <row r="22" spans="1:16" hidden="1" x14ac:dyDescent="0.25">
      <c r="A22" s="200">
        <v>12</v>
      </c>
      <c r="B22" s="200" t="s">
        <v>905</v>
      </c>
      <c r="C22" s="200" t="s">
        <v>906</v>
      </c>
      <c r="D22" s="200" t="s">
        <v>907</v>
      </c>
      <c r="E22" s="465">
        <v>1278.7999999999993</v>
      </c>
      <c r="F22" s="465">
        <f>VLOOKUP(A22,VALO_PERSO!F:AF,27,0)</f>
        <v>1598.5899999999981</v>
      </c>
      <c r="G22" s="466">
        <f>VLOOKUP(A22,'Verif VS 24'!A:V,22,0)</f>
        <v>0.83090757875038945</v>
      </c>
      <c r="H22" s="466">
        <f>VLOOKUP(A22,VALO_PERSO!F:AG,28,0)</f>
        <v>0.93690805513878361</v>
      </c>
      <c r="I22" s="500">
        <f t="shared" si="1"/>
        <v>0.10600047638839416</v>
      </c>
      <c r="J22" s="200"/>
      <c r="M22">
        <v>12</v>
      </c>
      <c r="N22" t="s">
        <v>905</v>
      </c>
      <c r="O22" t="s">
        <v>906</v>
      </c>
      <c r="P22" t="s">
        <v>907</v>
      </c>
    </row>
    <row r="23" spans="1:16" hidden="1" x14ac:dyDescent="0.25">
      <c r="A23" s="200">
        <v>13</v>
      </c>
      <c r="B23" s="200" t="s">
        <v>910</v>
      </c>
      <c r="C23" s="200" t="s">
        <v>911</v>
      </c>
      <c r="D23" s="200" t="s">
        <v>912</v>
      </c>
      <c r="E23" s="465">
        <v>1161.5199999999991</v>
      </c>
      <c r="F23" s="465">
        <f>VLOOKUP(A23,VALO_PERSO!F:AF,27,0)</f>
        <v>1288.1100000000015</v>
      </c>
      <c r="G23" s="466">
        <f>VLOOKUP(A23,'Verif VS 24'!A:V,22,0)</f>
        <v>0.72775118418084705</v>
      </c>
      <c r="H23" s="466">
        <f>VLOOKUP(A23,VALO_PERSO!F:AG,28,0)</f>
        <v>0.78103247556450339</v>
      </c>
      <c r="I23" s="500">
        <f t="shared" si="1"/>
        <v>5.3281291383656337E-2</v>
      </c>
      <c r="J23" s="200"/>
      <c r="M23">
        <v>13</v>
      </c>
      <c r="N23" t="s">
        <v>910</v>
      </c>
      <c r="O23" t="s">
        <v>911</v>
      </c>
      <c r="P23" t="s">
        <v>912</v>
      </c>
    </row>
    <row r="24" spans="1:16" hidden="1" x14ac:dyDescent="0.25">
      <c r="A24" s="200">
        <v>14</v>
      </c>
      <c r="B24" s="200" t="s">
        <v>915</v>
      </c>
      <c r="C24" s="200" t="s">
        <v>916</v>
      </c>
      <c r="D24" s="200" t="s">
        <v>912</v>
      </c>
      <c r="E24" s="465">
        <v>1466.999999999997</v>
      </c>
      <c r="F24" s="465">
        <f>VLOOKUP(A24,VALO_PERSO!F:AF,27,0)</f>
        <v>976.60000000000241</v>
      </c>
      <c r="G24" s="466">
        <f>VLOOKUP(A24,'Verif VS 24'!A:V,22,0)</f>
        <v>0.85978525881470191</v>
      </c>
      <c r="H24" s="466">
        <f>VLOOKUP(A24,VALO_PERSO!F:AG,28,0)</f>
        <v>0.94297356275225686</v>
      </c>
      <c r="I24" s="500">
        <f t="shared" si="1"/>
        <v>8.3188303937554942E-2</v>
      </c>
      <c r="J24" s="200"/>
      <c r="M24">
        <v>14</v>
      </c>
      <c r="N24" t="s">
        <v>915</v>
      </c>
      <c r="O24" t="s">
        <v>916</v>
      </c>
      <c r="P24" t="s">
        <v>912</v>
      </c>
    </row>
    <row r="25" spans="1:16" hidden="1" x14ac:dyDescent="0.25">
      <c r="A25" s="200">
        <v>16</v>
      </c>
      <c r="B25" s="200" t="s">
        <v>919</v>
      </c>
      <c r="C25" s="200" t="s">
        <v>920</v>
      </c>
      <c r="D25" s="200" t="s">
        <v>921</v>
      </c>
      <c r="E25" s="465">
        <v>1450.2699999999975</v>
      </c>
      <c r="F25" s="465">
        <f>VLOOKUP(A25,VALO_PERSO!F:AF,27,0)</f>
        <v>1512.3999999999962</v>
      </c>
      <c r="G25" s="466">
        <f>VLOOKUP(A25,'Verif VS 24'!A:V,22,0)</f>
        <v>0.87132609165845432</v>
      </c>
      <c r="H25" s="466">
        <f>VLOOKUP(A25,VALO_PERSO!F:AG,28,0)</f>
        <v>0.90452381521972947</v>
      </c>
      <c r="I25" s="500">
        <f t="shared" si="1"/>
        <v>3.319772356127515E-2</v>
      </c>
      <c r="J25" s="200"/>
      <c r="M25">
        <v>16</v>
      </c>
      <c r="N25" t="s">
        <v>1184</v>
      </c>
      <c r="O25" t="s">
        <v>920</v>
      </c>
      <c r="P25" t="s">
        <v>921</v>
      </c>
    </row>
    <row r="26" spans="1:16" hidden="1" x14ac:dyDescent="0.25">
      <c r="A26" s="200">
        <v>18</v>
      </c>
      <c r="B26" s="200" t="s">
        <v>924</v>
      </c>
      <c r="C26" s="200" t="s">
        <v>925</v>
      </c>
      <c r="D26" s="200" t="s">
        <v>921</v>
      </c>
      <c r="E26" s="465">
        <v>1542.4000000000012</v>
      </c>
      <c r="F26" s="465">
        <f>VLOOKUP(A26,VALO_PERSO!F:AF,27,0)</f>
        <v>1492.1000000000006</v>
      </c>
      <c r="G26" s="466">
        <f>VLOOKUP(A26,'Verif VS 24'!A:V,22,0)</f>
        <v>0.9121014287065955</v>
      </c>
      <c r="H26" s="466">
        <f>VLOOKUP(A26,VALO_PERSO!F:AG,28,0)</f>
        <v>0.91101694915254283</v>
      </c>
      <c r="I26" s="500">
        <f t="shared" si="1"/>
        <v>-1.0844795540526642E-3</v>
      </c>
      <c r="J26" s="200"/>
      <c r="M26">
        <v>18</v>
      </c>
      <c r="N26" t="s">
        <v>924</v>
      </c>
      <c r="O26" t="s">
        <v>925</v>
      </c>
      <c r="P26" t="s">
        <v>921</v>
      </c>
    </row>
    <row r="27" spans="1:16" hidden="1" x14ac:dyDescent="0.25">
      <c r="A27" s="200">
        <v>19</v>
      </c>
      <c r="B27" s="200" t="s">
        <v>928</v>
      </c>
      <c r="C27" s="200" t="s">
        <v>929</v>
      </c>
      <c r="D27" s="200" t="s">
        <v>930</v>
      </c>
      <c r="E27" s="465">
        <v>1421.8000000000006</v>
      </c>
      <c r="F27" s="465">
        <f>VLOOKUP(A27,VALO_PERSO!F:AF,27,0)</f>
        <v>1185.2000000000007</v>
      </c>
      <c r="G27" s="466">
        <f>VLOOKUP(A27,'Verif VS 24'!A:V,22,0)</f>
        <v>0.8950920399889204</v>
      </c>
      <c r="H27" s="466">
        <f>VLOOKUP(A27,VALO_PERSO!F:AG,28,0)</f>
        <v>0.93025446211324492</v>
      </c>
      <c r="I27" s="500">
        <f t="shared" si="1"/>
        <v>3.5162422124324522E-2</v>
      </c>
      <c r="J27" s="200"/>
      <c r="M27">
        <v>19</v>
      </c>
      <c r="N27" t="s">
        <v>928</v>
      </c>
      <c r="O27" t="s">
        <v>1187</v>
      </c>
      <c r="P27" t="s">
        <v>930</v>
      </c>
    </row>
    <row r="28" spans="1:16" hidden="1" x14ac:dyDescent="0.25">
      <c r="A28" s="200">
        <v>21</v>
      </c>
      <c r="B28" s="200" t="s">
        <v>933</v>
      </c>
      <c r="C28" s="200" t="s">
        <v>934</v>
      </c>
      <c r="D28" s="200" t="s">
        <v>907</v>
      </c>
      <c r="E28" s="465">
        <v>970.6000000000015</v>
      </c>
      <c r="F28" s="465">
        <f>VLOOKUP(A28,VALO_PERSO!F:AF,27,0)</f>
        <v>1109.6000000000017</v>
      </c>
      <c r="G28" s="466">
        <f>VLOOKUP(A28,'Verif VS 24'!A:V,22,0)</f>
        <v>0.56383028162468729</v>
      </c>
      <c r="H28" s="466">
        <f>VLOOKUP(A28,VALO_PERSO!F:AG,28,0)</f>
        <v>0.6919258686488251</v>
      </c>
      <c r="I28" s="500">
        <f t="shared" si="1"/>
        <v>0.12809558702413781</v>
      </c>
      <c r="J28" s="200"/>
      <c r="M28">
        <v>21</v>
      </c>
      <c r="N28" t="s">
        <v>933</v>
      </c>
      <c r="O28" t="s">
        <v>934</v>
      </c>
      <c r="P28" t="s">
        <v>930</v>
      </c>
    </row>
    <row r="29" spans="1:16" hidden="1" x14ac:dyDescent="0.25">
      <c r="A29" s="200">
        <v>22</v>
      </c>
      <c r="B29" s="200" t="s">
        <v>937</v>
      </c>
      <c r="C29" s="200" t="s">
        <v>938</v>
      </c>
      <c r="D29" s="200" t="s">
        <v>939</v>
      </c>
      <c r="E29" s="465">
        <v>43.2</v>
      </c>
      <c r="F29" s="465">
        <f>VLOOKUP(A29,VALO_PERSO!F:AF,27,0)</f>
        <v>645.0999999999998</v>
      </c>
      <c r="G29" s="466">
        <f>VLOOKUP(A29,'Verif VS 24'!A:V,22,0)</f>
        <v>2.5603944904103743E-2</v>
      </c>
      <c r="H29" s="466">
        <f>VLOOKUP(A29,VALO_PERSO!F:AG,28,0)</f>
        <v>0.38669495995779973</v>
      </c>
      <c r="I29" s="500">
        <f t="shared" si="1"/>
        <v>0.36109101505369601</v>
      </c>
      <c r="J29" s="200"/>
      <c r="M29">
        <v>22</v>
      </c>
      <c r="N29" t="s">
        <v>937</v>
      </c>
      <c r="O29" t="s">
        <v>938</v>
      </c>
      <c r="P29" t="s">
        <v>939</v>
      </c>
    </row>
    <row r="30" spans="1:16" hidden="1" x14ac:dyDescent="0.25">
      <c r="A30" s="200">
        <v>24</v>
      </c>
      <c r="B30" s="200" t="s">
        <v>947</v>
      </c>
      <c r="C30" s="200" t="s">
        <v>948</v>
      </c>
      <c r="D30" s="200" t="s">
        <v>885</v>
      </c>
      <c r="E30" s="465">
        <v>1271.1999999999989</v>
      </c>
      <c r="F30" s="465">
        <f>VLOOKUP(A30,VALO_PERSO!F:AF,27,0)</f>
        <v>1534.6999999999966</v>
      </c>
      <c r="G30" s="466">
        <f>VLOOKUP(A30,'Verif VS 24'!A:V,22,0)</f>
        <v>0.80671671627204411</v>
      </c>
      <c r="H30" s="466">
        <f>VLOOKUP(A30,VALO_PERSO!F:AG,28,0)</f>
        <v>0.89999061715652739</v>
      </c>
      <c r="I30" s="500">
        <f t="shared" si="1"/>
        <v>9.3273900884483285E-2</v>
      </c>
      <c r="J30" s="200"/>
      <c r="M30">
        <v>24</v>
      </c>
      <c r="N30" t="s">
        <v>947</v>
      </c>
      <c r="O30" t="s">
        <v>948</v>
      </c>
      <c r="P30" t="s">
        <v>1359</v>
      </c>
    </row>
    <row r="31" spans="1:16" hidden="1" x14ac:dyDescent="0.25">
      <c r="A31" s="200">
        <v>26</v>
      </c>
      <c r="B31" s="200" t="s">
        <v>951</v>
      </c>
      <c r="C31" s="200" t="s">
        <v>952</v>
      </c>
      <c r="D31" s="200" t="s">
        <v>907</v>
      </c>
      <c r="E31" s="465">
        <v>1547.9499999999991</v>
      </c>
      <c r="F31" s="465">
        <f>VLOOKUP(A31,VALO_PERSO!F:AF,27,0)</f>
        <v>1565.7599999999995</v>
      </c>
      <c r="G31" s="466">
        <f>VLOOKUP(A31,'Verif VS 24'!A:V,22,0)</f>
        <v>0.91333105189870378</v>
      </c>
      <c r="H31" s="466">
        <f>VLOOKUP(A31,VALO_PERSO!F:AG,28,0)</f>
        <v>0.94502788440646024</v>
      </c>
      <c r="I31" s="500">
        <f t="shared" si="1"/>
        <v>3.1696832507756456E-2</v>
      </c>
      <c r="J31" s="200"/>
      <c r="M31">
        <v>26</v>
      </c>
      <c r="N31" t="s">
        <v>1188</v>
      </c>
      <c r="O31" t="s">
        <v>952</v>
      </c>
      <c r="P31" t="s">
        <v>930</v>
      </c>
    </row>
    <row r="32" spans="1:16" hidden="1" x14ac:dyDescent="0.25">
      <c r="A32" s="200">
        <v>31</v>
      </c>
      <c r="B32" s="200" t="s">
        <v>955</v>
      </c>
      <c r="C32" s="200" t="s">
        <v>925</v>
      </c>
      <c r="D32" s="200" t="s">
        <v>907</v>
      </c>
      <c r="E32" s="465">
        <v>1356.92</v>
      </c>
      <c r="F32" s="465">
        <f>VLOOKUP(A32,VALO_PERSO!F:AF,27,0)</f>
        <v>1545.5200000000023</v>
      </c>
      <c r="G32" s="466">
        <f>VLOOKUP(A32,'Verif VS 24'!A:V,22,0)</f>
        <v>0.80604001330608754</v>
      </c>
      <c r="H32" s="466">
        <f>VLOOKUP(A32,VALO_PERSO!F:AG,28,0)</f>
        <v>0.90985729760278955</v>
      </c>
      <c r="I32" s="500">
        <f t="shared" si="1"/>
        <v>0.10381728429670201</v>
      </c>
      <c r="J32" s="200"/>
      <c r="M32">
        <v>31</v>
      </c>
      <c r="N32" t="s">
        <v>955</v>
      </c>
      <c r="O32" t="s">
        <v>925</v>
      </c>
      <c r="P32" t="s">
        <v>1363</v>
      </c>
    </row>
    <row r="33" spans="1:16" hidden="1" x14ac:dyDescent="0.25">
      <c r="A33" s="200">
        <v>32</v>
      </c>
      <c r="B33" s="200" t="s">
        <v>958</v>
      </c>
      <c r="C33" s="200" t="s">
        <v>959</v>
      </c>
      <c r="D33" s="200" t="s">
        <v>921</v>
      </c>
      <c r="E33" s="465">
        <v>1471.9300000000017</v>
      </c>
      <c r="F33" s="465">
        <f>VLOOKUP(A33,VALO_PERSO!F:AF,27,0)</f>
        <v>1392.400000000003</v>
      </c>
      <c r="G33" s="466">
        <f>VLOOKUP(A33,'Verif VS 24'!A:V,22,0)</f>
        <v>0.85694906965371198</v>
      </c>
      <c r="H33" s="466">
        <f>VLOOKUP(A33,VALO_PERSO!F:AG,28,0)</f>
        <v>0.84621742512641185</v>
      </c>
      <c r="I33" s="500">
        <f t="shared" si="1"/>
        <v>-1.0731644527300133E-2</v>
      </c>
      <c r="J33" s="200"/>
      <c r="M33">
        <v>32</v>
      </c>
      <c r="N33" t="s">
        <v>958</v>
      </c>
      <c r="O33" t="s">
        <v>959</v>
      </c>
      <c r="P33" t="s">
        <v>902</v>
      </c>
    </row>
    <row r="34" spans="1:16" hidden="1" x14ac:dyDescent="0.25">
      <c r="A34" s="200">
        <v>33</v>
      </c>
      <c r="B34" s="200" t="s">
        <v>962</v>
      </c>
      <c r="C34" s="200" t="s">
        <v>963</v>
      </c>
      <c r="D34" s="200" t="s">
        <v>907</v>
      </c>
      <c r="E34" s="465">
        <v>1603.4500000000007</v>
      </c>
      <c r="F34" s="465">
        <f>VLOOKUP(A34,VALO_PERSO!F:AF,27,0)</f>
        <v>1519.9999999999961</v>
      </c>
      <c r="G34" s="466">
        <f>VLOOKUP(A34,'Verif VS 24'!A:V,22,0)</f>
        <v>0.92940692309475825</v>
      </c>
      <c r="H34" s="466">
        <f>VLOOKUP(A34,VALO_PERSO!F:AG,28,0)</f>
        <v>0.94337280603758356</v>
      </c>
      <c r="I34" s="500">
        <f t="shared" si="1"/>
        <v>1.3965882942825303E-2</v>
      </c>
      <c r="J34" s="200"/>
      <c r="M34">
        <v>33</v>
      </c>
      <c r="N34" t="s">
        <v>962</v>
      </c>
      <c r="O34" t="s">
        <v>963</v>
      </c>
      <c r="P34" t="s">
        <v>1365</v>
      </c>
    </row>
    <row r="35" spans="1:16" hidden="1" x14ac:dyDescent="0.25">
      <c r="A35" s="200">
        <v>34</v>
      </c>
      <c r="B35" s="200" t="s">
        <v>966</v>
      </c>
      <c r="C35" s="200" t="s">
        <v>943</v>
      </c>
      <c r="D35" s="200" t="s">
        <v>967</v>
      </c>
      <c r="E35" s="465">
        <v>1531.2700000000002</v>
      </c>
      <c r="F35" s="465">
        <f>VLOOKUP(A35,VALO_PERSO!F:AF,27,0)</f>
        <v>1505.2500000000018</v>
      </c>
      <c r="G35" s="466">
        <f>VLOOKUP(A35,'Verif VS 24'!A:V,22,0)</f>
        <v>0.87220045111754141</v>
      </c>
      <c r="H35" s="466">
        <f>VLOOKUP(A35,VALO_PERSO!F:AG,28,0)</f>
        <v>0.91904581644116756</v>
      </c>
      <c r="I35" s="500">
        <f t="shared" si="1"/>
        <v>4.6845365323626154E-2</v>
      </c>
      <c r="J35" s="200"/>
      <c r="M35">
        <v>34</v>
      </c>
      <c r="N35" t="s">
        <v>966</v>
      </c>
      <c r="O35" t="s">
        <v>943</v>
      </c>
      <c r="P35" t="s">
        <v>967</v>
      </c>
    </row>
    <row r="36" spans="1:16" hidden="1" x14ac:dyDescent="0.25">
      <c r="A36" s="200">
        <v>35</v>
      </c>
      <c r="B36" s="200" t="s">
        <v>970</v>
      </c>
      <c r="C36" s="200" t="s">
        <v>971</v>
      </c>
      <c r="D36" s="200" t="s">
        <v>967</v>
      </c>
      <c r="E36" s="465">
        <v>1538.4500000000003</v>
      </c>
      <c r="F36" s="465">
        <f>VLOOKUP(A36,VALO_PERSO!F:AF,27,0)</f>
        <v>1341.7900000000009</v>
      </c>
      <c r="G36" s="466">
        <f>VLOOKUP(A36,'Verif VS 24'!A:V,22,0)</f>
        <v>0.88232089192723284</v>
      </c>
      <c r="H36" s="466">
        <f>VLOOKUP(A36,VALO_PERSO!F:AG,28,0)</f>
        <v>0.88716907778159859</v>
      </c>
      <c r="I36" s="500">
        <f t="shared" si="1"/>
        <v>4.8481858543657497E-3</v>
      </c>
      <c r="J36" s="200"/>
      <c r="M36">
        <v>35</v>
      </c>
      <c r="N36" t="s">
        <v>970</v>
      </c>
      <c r="O36" t="s">
        <v>971</v>
      </c>
      <c r="P36" t="s">
        <v>967</v>
      </c>
    </row>
    <row r="37" spans="1:16" hidden="1" x14ac:dyDescent="0.25">
      <c r="A37" s="200">
        <v>37</v>
      </c>
      <c r="B37" s="200" t="s">
        <v>978</v>
      </c>
      <c r="C37" s="200" t="s">
        <v>979</v>
      </c>
      <c r="D37" s="200" t="s">
        <v>980</v>
      </c>
      <c r="E37" s="465">
        <v>1333.5999999999995</v>
      </c>
      <c r="F37" s="465">
        <f>VLOOKUP(A37,VALO_PERSO!F:AF,27,0)</f>
        <v>1352.8000000000011</v>
      </c>
      <c r="G37" s="466">
        <f>VLOOKUP(A37,'Verif VS 24'!A:V,22,0)</f>
        <v>0.74434596235850925</v>
      </c>
      <c r="H37" s="466">
        <f>VLOOKUP(A37,VALO_PERSO!F:AG,28,0)</f>
        <v>0.82025660304140158</v>
      </c>
      <c r="I37" s="500">
        <f t="shared" si="1"/>
        <v>7.5910640682892327E-2</v>
      </c>
      <c r="J37" s="200"/>
      <c r="M37">
        <v>37</v>
      </c>
      <c r="N37" t="s">
        <v>978</v>
      </c>
      <c r="O37" t="s">
        <v>979</v>
      </c>
      <c r="P37" t="s">
        <v>1361</v>
      </c>
    </row>
    <row r="38" spans="1:16" hidden="1" x14ac:dyDescent="0.25">
      <c r="A38" s="200">
        <v>38</v>
      </c>
      <c r="B38" s="200" t="s">
        <v>983</v>
      </c>
      <c r="C38" s="200" t="s">
        <v>984</v>
      </c>
      <c r="D38" s="200" t="s">
        <v>930</v>
      </c>
      <c r="E38" s="465">
        <v>1570.1999999999998</v>
      </c>
      <c r="F38" s="465">
        <f>VLOOKUP(A38,VALO_PERSO!F:AF,27,0)</f>
        <v>1538.9999999999989</v>
      </c>
      <c r="G38" s="466">
        <f>VLOOKUP(A38,'Verif VS 24'!A:V,22,0)</f>
        <v>0.87542650699136937</v>
      </c>
      <c r="H38" s="466">
        <f>VLOOKUP(A38,VALO_PERSO!F:AG,28,0)</f>
        <v>0.91834542677105147</v>
      </c>
      <c r="I38" s="500">
        <f t="shared" si="1"/>
        <v>4.2918919779682096E-2</v>
      </c>
      <c r="J38" s="200"/>
      <c r="M38">
        <v>38</v>
      </c>
      <c r="N38" t="s">
        <v>1193</v>
      </c>
      <c r="O38" t="s">
        <v>984</v>
      </c>
      <c r="P38" t="s">
        <v>930</v>
      </c>
    </row>
    <row r="39" spans="1:16" hidden="1" x14ac:dyDescent="0.25">
      <c r="A39" s="200">
        <v>40</v>
      </c>
      <c r="B39" s="200" t="s">
        <v>987</v>
      </c>
      <c r="C39" s="200" t="s">
        <v>988</v>
      </c>
      <c r="D39" s="200" t="s">
        <v>989</v>
      </c>
      <c r="E39" s="465">
        <v>717.5</v>
      </c>
      <c r="F39" s="465">
        <f>VLOOKUP(A39,VALO_PERSO!F:AF,27,0)</f>
        <v>425</v>
      </c>
      <c r="G39" s="466">
        <f>VLOOKUP(A39,'Verif VS 24'!A:V,22,0)</f>
        <v>0.49041721347331585</v>
      </c>
      <c r="H39" s="466">
        <f>VLOOKUP(A39,VALO_PERSO!F:AG,28,0)</f>
        <v>0.52515167616058511</v>
      </c>
      <c r="I39" s="500">
        <f t="shared" si="1"/>
        <v>3.4734462687269263E-2</v>
      </c>
      <c r="J39" s="200"/>
      <c r="M39">
        <v>40</v>
      </c>
      <c r="N39" t="s">
        <v>987</v>
      </c>
      <c r="O39" t="s">
        <v>988</v>
      </c>
      <c r="P39" t="s">
        <v>989</v>
      </c>
    </row>
    <row r="40" spans="1:16" hidden="1" x14ac:dyDescent="0.25">
      <c r="A40" s="200">
        <v>44</v>
      </c>
      <c r="B40" s="200" t="s">
        <v>1005</v>
      </c>
      <c r="C40" s="200" t="s">
        <v>1006</v>
      </c>
      <c r="D40" s="200" t="s">
        <v>1007</v>
      </c>
      <c r="E40" s="465">
        <v>1486.599999999999</v>
      </c>
      <c r="F40" s="465">
        <f>VLOOKUP(A40,VALO_PERSO!F:AF,27,0)</f>
        <v>433.2</v>
      </c>
      <c r="G40" s="466">
        <f>VLOOKUP(A40,'Verif VS 24'!A:V,22,0)</f>
        <v>0.87582554186771244</v>
      </c>
      <c r="H40" s="466">
        <f>VLOOKUP(A40,VALO_PERSO!F:AG,28,0)</f>
        <v>0.96335171677637443</v>
      </c>
      <c r="I40" s="500">
        <f t="shared" si="1"/>
        <v>8.7526174908661991E-2</v>
      </c>
      <c r="J40" s="200"/>
      <c r="M40">
        <v>44</v>
      </c>
      <c r="N40" t="s">
        <v>1005</v>
      </c>
      <c r="O40" t="s">
        <v>1006</v>
      </c>
      <c r="P40" t="s">
        <v>1007</v>
      </c>
    </row>
    <row r="41" spans="1:16" hidden="1" x14ac:dyDescent="0.25">
      <c r="A41" s="200">
        <v>46</v>
      </c>
      <c r="B41" s="200" t="s">
        <v>1010</v>
      </c>
      <c r="C41" s="200" t="s">
        <v>1011</v>
      </c>
      <c r="D41" s="200" t="s">
        <v>1012</v>
      </c>
      <c r="E41" s="465">
        <v>688.5999999999998</v>
      </c>
      <c r="F41" s="465">
        <f>VLOOKUP(A41,VALO_PERSO!F:AF,27,0)</f>
        <v>957.60000000000105</v>
      </c>
      <c r="G41" s="466">
        <f>VLOOKUP(A41,'Verif VS 24'!A:V,22,0)</f>
        <v>0.69619549282673954</v>
      </c>
      <c r="H41" s="466">
        <f>VLOOKUP(A41,VALO_PERSO!F:AG,28,0)</f>
        <v>0.88526499708794504</v>
      </c>
      <c r="I41" s="500">
        <f t="shared" si="1"/>
        <v>0.1890695042612055</v>
      </c>
      <c r="J41" s="200"/>
      <c r="M41">
        <v>46</v>
      </c>
      <c r="N41" t="s">
        <v>1010</v>
      </c>
      <c r="O41" t="s">
        <v>1011</v>
      </c>
      <c r="P41" t="s">
        <v>1360</v>
      </c>
    </row>
    <row r="42" spans="1:16" hidden="1" x14ac:dyDescent="0.25">
      <c r="A42" s="200">
        <v>48</v>
      </c>
      <c r="B42" s="200" t="s">
        <v>1019</v>
      </c>
      <c r="C42" s="200" t="s">
        <v>1020</v>
      </c>
      <c r="D42" s="200" t="s">
        <v>1021</v>
      </c>
      <c r="E42" s="465">
        <v>1185.5999999999997</v>
      </c>
      <c r="F42" s="465">
        <f>VLOOKUP(A42,VALO_PERSO!F:AF,27,0)</f>
        <v>334.40000000000009</v>
      </c>
      <c r="G42" s="466">
        <f>VLOOKUP(A42,'Verif VS 24'!A:V,22,0)</f>
        <v>0.88634375724228642</v>
      </c>
      <c r="H42" s="466">
        <f>VLOOKUP(A42,VALO_PERSO!F:AG,28,0)</f>
        <v>0.97056945492540814</v>
      </c>
      <c r="I42" s="500">
        <f t="shared" si="1"/>
        <v>8.4225697683121714E-2</v>
      </c>
      <c r="J42" s="200"/>
      <c r="M42">
        <v>48</v>
      </c>
      <c r="N42" t="s">
        <v>1019</v>
      </c>
      <c r="O42" t="s">
        <v>1020</v>
      </c>
      <c r="P42" t="s">
        <v>1021</v>
      </c>
    </row>
    <row r="43" spans="1:16" hidden="1" x14ac:dyDescent="0.25">
      <c r="A43" s="200">
        <v>51</v>
      </c>
      <c r="B43" s="200" t="s">
        <v>1034</v>
      </c>
      <c r="C43" s="200" t="s">
        <v>1035</v>
      </c>
      <c r="D43" s="200" t="s">
        <v>1021</v>
      </c>
      <c r="E43" s="465">
        <v>1056.3999999999994</v>
      </c>
      <c r="F43" s="465">
        <f>VLOOKUP(A43,VALO_PERSO!F:AF,27,0)</f>
        <v>440.80000000000041</v>
      </c>
      <c r="G43" s="466">
        <f>VLOOKUP(A43,'Verif VS 24'!A:V,22,0)</f>
        <v>0.92871146119965842</v>
      </c>
      <c r="H43" s="466">
        <f>VLOOKUP(A43,VALO_PERSO!F:AG,28,0)</f>
        <v>0.97751363817802905</v>
      </c>
      <c r="I43" s="500">
        <f t="shared" si="1"/>
        <v>4.8802176978370637E-2</v>
      </c>
      <c r="J43" s="200"/>
      <c r="M43">
        <v>51</v>
      </c>
      <c r="N43" t="s">
        <v>1034</v>
      </c>
      <c r="O43" t="s">
        <v>1035</v>
      </c>
      <c r="P43" t="s">
        <v>1021</v>
      </c>
    </row>
    <row r="44" spans="1:16" hidden="1" x14ac:dyDescent="0.25">
      <c r="A44" s="200">
        <v>53</v>
      </c>
      <c r="B44" s="200" t="s">
        <v>1200</v>
      </c>
      <c r="C44" s="200" t="s">
        <v>1201</v>
      </c>
      <c r="D44" s="200" t="s">
        <v>1364</v>
      </c>
      <c r="E44" s="465"/>
      <c r="F44" s="465">
        <f>VLOOKUP(A44,VALO_PERSO!F:AF,27,0)</f>
        <v>324</v>
      </c>
      <c r="G44" s="466">
        <f>VLOOKUP(A44,'Verif VS 24'!A:V,22,0)</f>
        <v>0</v>
      </c>
      <c r="H44" s="466">
        <f>VLOOKUP(A44,VALO_PERSO!F:AG,28,0)</f>
        <v>0.21657754010695188</v>
      </c>
      <c r="I44" s="500">
        <f t="shared" si="1"/>
        <v>0.21657754010695188</v>
      </c>
      <c r="J44" s="200"/>
      <c r="M44">
        <v>53</v>
      </c>
      <c r="N44" t="s">
        <v>1200</v>
      </c>
      <c r="O44" t="s">
        <v>1201</v>
      </c>
      <c r="P44" t="s">
        <v>1364</v>
      </c>
    </row>
    <row r="45" spans="1:16" hidden="1" x14ac:dyDescent="0.25">
      <c r="A45" s="200">
        <v>54</v>
      </c>
      <c r="B45" s="200" t="s">
        <v>1038</v>
      </c>
      <c r="C45" s="200" t="s">
        <v>901</v>
      </c>
      <c r="D45" s="200" t="s">
        <v>989</v>
      </c>
      <c r="E45" s="465">
        <v>308.5</v>
      </c>
      <c r="F45" s="465">
        <f>VLOOKUP(A45,VALO_PERSO!F:AF,27,0)</f>
        <v>735</v>
      </c>
      <c r="G45" s="466">
        <f>VLOOKUP(A45,'Verif VS 24'!A:V,22,0)</f>
        <v>0.54983246595850865</v>
      </c>
      <c r="H45" s="466">
        <f>VLOOKUP(A45,VALO_PERSO!F:AG,28,0)</f>
        <v>0.68476559588581654</v>
      </c>
      <c r="I45" s="500">
        <f t="shared" si="1"/>
        <v>0.13493312992730788</v>
      </c>
      <c r="J45" s="200"/>
      <c r="M45">
        <v>54</v>
      </c>
      <c r="N45" t="s">
        <v>1038</v>
      </c>
      <c r="O45" t="s">
        <v>901</v>
      </c>
      <c r="P45" t="s">
        <v>989</v>
      </c>
    </row>
    <row r="46" spans="1:16" hidden="1" x14ac:dyDescent="0.25">
      <c r="A46" s="200">
        <v>55</v>
      </c>
      <c r="B46" s="200" t="s">
        <v>1041</v>
      </c>
      <c r="C46" s="200" t="s">
        <v>1042</v>
      </c>
      <c r="D46" s="200" t="s">
        <v>989</v>
      </c>
      <c r="E46" s="465">
        <v>308</v>
      </c>
      <c r="F46" s="465">
        <f>VLOOKUP(A46,VALO_PERSO!F:AF,27,0)</f>
        <v>721</v>
      </c>
      <c r="G46" s="466">
        <f>VLOOKUP(A46,'Verif VS 24'!A:V,22,0)</f>
        <v>0.54894132743993729</v>
      </c>
      <c r="H46" s="466">
        <f>VLOOKUP(A46,VALO_PERSO!F:AG,28,0)</f>
        <v>0.68059960731007407</v>
      </c>
      <c r="I46" s="500">
        <f t="shared" si="1"/>
        <v>0.13165827987013679</v>
      </c>
      <c r="J46" s="200"/>
      <c r="M46">
        <v>55</v>
      </c>
      <c r="N46" t="s">
        <v>1041</v>
      </c>
      <c r="O46" t="s">
        <v>1202</v>
      </c>
      <c r="P46" t="s">
        <v>989</v>
      </c>
    </row>
  </sheetData>
  <autoFilter ref="A1:Q46" xr:uid="{C8BC1F95-D8CE-42B4-A59A-2F0CFDC9AD9E}">
    <filterColumn colId="8">
      <colorFilter dxfId="255"/>
    </filterColumn>
    <sortState xmlns:xlrd2="http://schemas.microsoft.com/office/spreadsheetml/2017/richdata2" ref="A2:P46">
      <sortCondition sortBy="cellColor" ref="I1:I46" dxfId="256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F3C0-69BC-4B37-86E9-5F7825B443D7}">
  <sheetPr>
    <tabColor rgb="FFFF99CC"/>
  </sheetPr>
  <dimension ref="A1:E16"/>
  <sheetViews>
    <sheetView workbookViewId="0"/>
  </sheetViews>
  <sheetFormatPr baseColWidth="10" defaultRowHeight="15" x14ac:dyDescent="0.25"/>
  <sheetData>
    <row r="1" spans="1:5" x14ac:dyDescent="0.25">
      <c r="B1" s="41" t="s">
        <v>1335</v>
      </c>
      <c r="C1" s="41" t="s">
        <v>1171</v>
      </c>
      <c r="D1" s="41" t="s">
        <v>1355</v>
      </c>
      <c r="E1" s="41" t="s">
        <v>482</v>
      </c>
    </row>
    <row r="2" spans="1:5" x14ac:dyDescent="0.25">
      <c r="B2">
        <v>38</v>
      </c>
      <c r="C2">
        <v>1333.8</v>
      </c>
    </row>
    <row r="3" spans="1:5" x14ac:dyDescent="0.25">
      <c r="B3" s="76">
        <v>38</v>
      </c>
      <c r="C3" s="76">
        <v>1333.8</v>
      </c>
    </row>
    <row r="4" spans="1:5" x14ac:dyDescent="0.25">
      <c r="B4" s="76">
        <v>38</v>
      </c>
      <c r="C4" s="76">
        <v>1333.8</v>
      </c>
    </row>
    <row r="5" spans="1:5" x14ac:dyDescent="0.25">
      <c r="B5" s="76">
        <v>22.8</v>
      </c>
      <c r="C5" s="76">
        <v>1067.04</v>
      </c>
    </row>
    <row r="6" spans="1:5" x14ac:dyDescent="0.25">
      <c r="B6" s="76">
        <v>38</v>
      </c>
      <c r="C6" s="76">
        <v>1333.8</v>
      </c>
    </row>
    <row r="7" spans="1:5" x14ac:dyDescent="0.25">
      <c r="B7" s="76">
        <v>38</v>
      </c>
      <c r="C7" s="76">
        <v>1333.8</v>
      </c>
    </row>
    <row r="8" spans="1:5" x14ac:dyDescent="0.25">
      <c r="B8" s="76">
        <v>38</v>
      </c>
      <c r="C8" s="76">
        <v>1333.8</v>
      </c>
    </row>
    <row r="9" spans="1:5" x14ac:dyDescent="0.25">
      <c r="B9" s="76">
        <v>38</v>
      </c>
      <c r="C9" s="76">
        <v>1333.8</v>
      </c>
    </row>
    <row r="10" spans="1:5" x14ac:dyDescent="0.25">
      <c r="B10" s="76">
        <v>38</v>
      </c>
      <c r="C10" s="76">
        <v>1333.8</v>
      </c>
    </row>
    <row r="11" spans="1:5" x14ac:dyDescent="0.25">
      <c r="B11" s="76">
        <v>15.2</v>
      </c>
      <c r="C11" s="76">
        <v>533.52</v>
      </c>
    </row>
    <row r="12" spans="1:5" x14ac:dyDescent="0.25">
      <c r="B12" s="76">
        <f>SUM(B2:B11)</f>
        <v>342</v>
      </c>
      <c r="C12" s="76">
        <f>SUM(C2:C11)</f>
        <v>12270.96</v>
      </c>
    </row>
    <row r="15" spans="1:5" x14ac:dyDescent="0.25">
      <c r="A15" t="s">
        <v>1399</v>
      </c>
      <c r="B15" s="148">
        <f>B12+7.6+7.6</f>
        <v>357.20000000000005</v>
      </c>
      <c r="C15" s="148">
        <f>17.55*B15</f>
        <v>6268.8600000000015</v>
      </c>
      <c r="D15" s="148">
        <f>C15*0.43</f>
        <v>2695.6098000000006</v>
      </c>
      <c r="E15" s="148">
        <f>D15*0.96</f>
        <v>2587.7854080000006</v>
      </c>
    </row>
    <row r="16" spans="1:5" x14ac:dyDescent="0.25">
      <c r="B16" s="14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E4D1-1F72-4FFF-833B-BC8B13D6EBA5}">
  <sheetPr>
    <tabColor rgb="FFFF99CC"/>
  </sheetPr>
  <dimension ref="A4:BA55"/>
  <sheetViews>
    <sheetView workbookViewId="0">
      <selection activeCell="BB31" sqref="BB31"/>
    </sheetView>
  </sheetViews>
  <sheetFormatPr baseColWidth="10" defaultRowHeight="15" x14ac:dyDescent="0.25"/>
  <cols>
    <col min="2" max="2" width="22.28515625" bestFit="1" customWidth="1"/>
    <col min="3" max="3" width="12.140625" bestFit="1" customWidth="1"/>
    <col min="4" max="4" width="10.28515625" style="468" bestFit="1" customWidth="1"/>
    <col min="5" max="5" width="14.42578125" style="469" hidden="1" customWidth="1"/>
    <col min="6" max="6" width="14.42578125" style="460" hidden="1" customWidth="1"/>
    <col min="7" max="7" width="14.42578125" style="469" hidden="1" customWidth="1"/>
    <col min="8" max="8" width="14.42578125" style="470" hidden="1" customWidth="1"/>
    <col min="9" max="9" width="14.42578125" style="196" hidden="1" customWidth="1"/>
    <col min="10" max="10" width="14.42578125" style="471" hidden="1" customWidth="1"/>
    <col min="11" max="13" width="14.42578125" style="304" hidden="1" customWidth="1"/>
    <col min="14" max="15" width="14.42578125" hidden="1" customWidth="1"/>
    <col min="16" max="16" width="14.42578125" style="304" hidden="1" customWidth="1"/>
    <col min="17" max="17" width="14.42578125" style="468" hidden="1" customWidth="1"/>
    <col min="18" max="46" width="14.42578125" hidden="1" customWidth="1"/>
    <col min="47" max="47" width="12.5703125" bestFit="1" customWidth="1"/>
    <col min="48" max="48" width="10.42578125" bestFit="1" customWidth="1"/>
    <col min="49" max="49" width="6.85546875" bestFit="1" customWidth="1"/>
    <col min="50" max="190" width="14.42578125" bestFit="1" customWidth="1"/>
    <col min="191" max="191" width="12.5703125" bestFit="1" customWidth="1"/>
  </cols>
  <sheetData>
    <row r="4" spans="1:53" x14ac:dyDescent="0.25">
      <c r="B4" s="468" t="s">
        <v>1225</v>
      </c>
      <c r="C4" t="s">
        <v>1245</v>
      </c>
    </row>
    <row r="6" spans="1:53" x14ac:dyDescent="0.25">
      <c r="B6" s="481" t="s">
        <v>1224</v>
      </c>
      <c r="D6"/>
      <c r="E6" s="481" t="s">
        <v>1334</v>
      </c>
      <c r="F6" s="469"/>
      <c r="G6" s="460"/>
      <c r="H6" s="469"/>
      <c r="I6" s="470"/>
      <c r="J6" s="196"/>
      <c r="K6" s="471"/>
      <c r="N6" s="304"/>
      <c r="P6"/>
      <c r="Q6"/>
    </row>
    <row r="7" spans="1:53" x14ac:dyDescent="0.25">
      <c r="B7" s="481" t="s">
        <v>366</v>
      </c>
      <c r="C7" s="481" t="s">
        <v>367</v>
      </c>
      <c r="D7" s="481" t="s">
        <v>1226</v>
      </c>
      <c r="E7" s="72">
        <v>45659</v>
      </c>
      <c r="F7" s="72">
        <v>45660</v>
      </c>
      <c r="G7" s="72">
        <v>45663</v>
      </c>
      <c r="H7" s="72">
        <v>45664</v>
      </c>
      <c r="I7" s="72">
        <v>45665</v>
      </c>
      <c r="J7" s="72">
        <v>45666</v>
      </c>
      <c r="K7" s="72">
        <v>45667</v>
      </c>
      <c r="L7" s="72">
        <v>45670</v>
      </c>
      <c r="M7" s="72">
        <v>45671</v>
      </c>
      <c r="N7" s="72">
        <v>45672</v>
      </c>
      <c r="O7" s="72">
        <v>45673</v>
      </c>
      <c r="P7" s="72">
        <v>45674</v>
      </c>
      <c r="Q7" s="72">
        <v>45677</v>
      </c>
      <c r="R7" s="72">
        <v>45678</v>
      </c>
      <c r="S7" s="72">
        <v>45679</v>
      </c>
      <c r="T7" s="72">
        <v>45680</v>
      </c>
      <c r="U7" s="72">
        <v>45681</v>
      </c>
      <c r="V7" s="72">
        <v>45684</v>
      </c>
      <c r="W7" s="72">
        <v>45685</v>
      </c>
      <c r="X7" s="72">
        <v>45686</v>
      </c>
      <c r="Y7" s="72">
        <v>45687</v>
      </c>
      <c r="Z7" s="72">
        <v>45688</v>
      </c>
      <c r="AA7" s="72">
        <v>45691</v>
      </c>
      <c r="AB7" s="72">
        <v>45692</v>
      </c>
      <c r="AC7" s="72">
        <v>45693</v>
      </c>
      <c r="AD7" s="72">
        <v>45694</v>
      </c>
      <c r="AE7" s="72">
        <v>45695</v>
      </c>
      <c r="AF7" s="72">
        <v>45698</v>
      </c>
      <c r="AG7" s="72">
        <v>45699</v>
      </c>
      <c r="AH7" s="72">
        <v>45700</v>
      </c>
      <c r="AI7" s="72">
        <v>45701</v>
      </c>
      <c r="AJ7" s="72">
        <v>45702</v>
      </c>
      <c r="AK7" s="72">
        <v>45705</v>
      </c>
      <c r="AL7" s="72">
        <v>45706</v>
      </c>
      <c r="AM7" s="72">
        <v>45707</v>
      </c>
      <c r="AN7" s="72">
        <v>45708</v>
      </c>
      <c r="AO7" s="72">
        <v>45709</v>
      </c>
      <c r="AP7" s="72">
        <v>45712</v>
      </c>
      <c r="AQ7" s="72">
        <v>45713</v>
      </c>
      <c r="AR7" s="72">
        <v>45714</v>
      </c>
      <c r="AS7" s="72">
        <v>45715</v>
      </c>
      <c r="AT7" s="72">
        <v>45716</v>
      </c>
      <c r="AU7" s="72" t="s">
        <v>335</v>
      </c>
      <c r="AY7" t="s">
        <v>1370</v>
      </c>
      <c r="AZ7" t="s">
        <v>1335</v>
      </c>
      <c r="BA7" t="s">
        <v>1371</v>
      </c>
    </row>
    <row r="8" spans="1:53" x14ac:dyDescent="0.25">
      <c r="A8">
        <v>1</v>
      </c>
      <c r="B8" t="s">
        <v>873</v>
      </c>
      <c r="C8" t="s">
        <v>874</v>
      </c>
      <c r="D8" t="s">
        <v>875</v>
      </c>
      <c r="E8" s="479"/>
      <c r="F8" s="479"/>
      <c r="G8" s="479">
        <v>7.6</v>
      </c>
      <c r="H8" s="479">
        <v>7.6</v>
      </c>
      <c r="I8" s="479">
        <v>7.6</v>
      </c>
      <c r="J8" s="479">
        <v>7.6</v>
      </c>
      <c r="K8" s="479"/>
      <c r="L8" s="479">
        <v>7.6</v>
      </c>
      <c r="M8" s="479">
        <v>7.6</v>
      </c>
      <c r="N8" s="479">
        <v>7.6</v>
      </c>
      <c r="O8" s="479">
        <v>7.6</v>
      </c>
      <c r="P8" s="479"/>
      <c r="Q8" s="479"/>
      <c r="R8" s="479"/>
      <c r="S8" s="479">
        <v>3.8</v>
      </c>
      <c r="T8" s="479">
        <v>7.6</v>
      </c>
      <c r="U8" s="479">
        <v>7.6</v>
      </c>
      <c r="V8" s="479"/>
      <c r="W8" s="479"/>
      <c r="X8" s="479">
        <v>7.6</v>
      </c>
      <c r="Y8" s="479">
        <v>7.6</v>
      </c>
      <c r="Z8" s="479">
        <v>7.6</v>
      </c>
      <c r="AA8" s="479">
        <v>7.6</v>
      </c>
      <c r="AB8" s="479">
        <v>7.6</v>
      </c>
      <c r="AC8" s="479"/>
      <c r="AD8" s="479"/>
      <c r="AE8" s="479"/>
      <c r="AF8" s="479"/>
      <c r="AG8" s="479"/>
      <c r="AH8" s="479">
        <v>7.6</v>
      </c>
      <c r="AI8" s="479"/>
      <c r="AJ8" s="479">
        <v>3.8</v>
      </c>
      <c r="AK8" s="479"/>
      <c r="AL8" s="479"/>
      <c r="AM8" s="479"/>
      <c r="AN8" s="479"/>
      <c r="AO8" s="479"/>
      <c r="AP8" s="479"/>
      <c r="AQ8" s="479"/>
      <c r="AR8" s="479"/>
      <c r="AS8" s="479"/>
      <c r="AT8" s="479"/>
      <c r="AU8" s="479">
        <v>129.19999999999996</v>
      </c>
      <c r="AW8" s="76">
        <f>SUM(E8:AT8)</f>
        <v>129.19999999999996</v>
      </c>
      <c r="AY8">
        <f>VLOOKUP(A8,VALO_PERSO!F:W,17,0)</f>
        <v>86523.199999999983</v>
      </c>
      <c r="AZ8">
        <f>VLOOKUP(A8,VALO_PERSO!F:W,18,0)</f>
        <v>1691.04</v>
      </c>
      <c r="BA8" s="148">
        <f>AW8/AZ8*AY8</f>
        <v>6610.604976818996</v>
      </c>
    </row>
    <row r="9" spans="1:53" x14ac:dyDescent="0.25">
      <c r="A9">
        <v>4</v>
      </c>
      <c r="B9" t="s">
        <v>878</v>
      </c>
      <c r="C9" t="s">
        <v>879</v>
      </c>
      <c r="D9" t="s">
        <v>880</v>
      </c>
      <c r="E9" s="479"/>
      <c r="F9" s="479">
        <v>3.8</v>
      </c>
      <c r="G9" s="479"/>
      <c r="H9" s="479">
        <v>7.6</v>
      </c>
      <c r="I9" s="479">
        <v>3.8</v>
      </c>
      <c r="J9" s="479">
        <v>3.8</v>
      </c>
      <c r="K9" s="479">
        <v>7.6</v>
      </c>
      <c r="L9" s="479">
        <v>7.6</v>
      </c>
      <c r="M9" s="479">
        <v>7.6</v>
      </c>
      <c r="N9" s="479">
        <v>3.8</v>
      </c>
      <c r="O9" s="479">
        <v>7.6</v>
      </c>
      <c r="P9" s="479">
        <v>3.8</v>
      </c>
      <c r="Q9" s="479">
        <v>3.8</v>
      </c>
      <c r="R9" s="479">
        <v>7.6</v>
      </c>
      <c r="S9" s="479">
        <v>3.8</v>
      </c>
      <c r="T9" s="479"/>
      <c r="U9" s="479">
        <v>3.8</v>
      </c>
      <c r="V9" s="479"/>
      <c r="W9" s="479">
        <v>3.8</v>
      </c>
      <c r="X9" s="479">
        <v>3.8</v>
      </c>
      <c r="Y9" s="479">
        <v>3.8</v>
      </c>
      <c r="Z9" s="479"/>
      <c r="AA9" s="479">
        <v>7.6</v>
      </c>
      <c r="AB9" s="479"/>
      <c r="AC9" s="479">
        <v>3.8</v>
      </c>
      <c r="AD9" s="479">
        <v>3.8</v>
      </c>
      <c r="AE9" s="479"/>
      <c r="AF9" s="479"/>
      <c r="AG9" s="479"/>
      <c r="AH9" s="479">
        <v>3.8</v>
      </c>
      <c r="AI9" s="479"/>
      <c r="AJ9" s="479">
        <v>3.8</v>
      </c>
      <c r="AK9" s="479">
        <v>7.6</v>
      </c>
      <c r="AL9" s="479"/>
      <c r="AM9" s="479">
        <v>3.8</v>
      </c>
      <c r="AN9" s="479"/>
      <c r="AO9" s="479">
        <v>3.8</v>
      </c>
      <c r="AP9" s="479">
        <v>3.8</v>
      </c>
      <c r="AQ9" s="479">
        <v>7.6</v>
      </c>
      <c r="AR9" s="479">
        <v>7.6</v>
      </c>
      <c r="AS9" s="479">
        <v>7.6</v>
      </c>
      <c r="AT9" s="479">
        <v>7.6</v>
      </c>
      <c r="AU9" s="479">
        <v>159.59999999999994</v>
      </c>
      <c r="AW9" s="76">
        <f t="shared" ref="AW9:AW34" si="0">SUM(E9:AT9)</f>
        <v>159.59999999999994</v>
      </c>
      <c r="AY9">
        <f>VLOOKUP(A9,VALO_PERSO!F:W,17,0)</f>
        <v>96599.79</v>
      </c>
      <c r="AZ9">
        <f>VLOOKUP(A9,VALO_PERSO!F:W,18,0)</f>
        <v>1679.64</v>
      </c>
      <c r="BA9" s="148">
        <f t="shared" ref="BA9:BA34" si="1">AW9/AZ9*AY9</f>
        <v>9178.9469672072537</v>
      </c>
    </row>
    <row r="10" spans="1:53" x14ac:dyDescent="0.25">
      <c r="A10">
        <v>5</v>
      </c>
      <c r="B10" t="s">
        <v>882</v>
      </c>
      <c r="C10" t="s">
        <v>883</v>
      </c>
      <c r="D10" t="s">
        <v>884</v>
      </c>
      <c r="E10" s="479"/>
      <c r="F10" s="479"/>
      <c r="G10" s="479">
        <v>7.6</v>
      </c>
      <c r="H10" s="479"/>
      <c r="I10" s="479"/>
      <c r="J10" s="479">
        <v>1.9</v>
      </c>
      <c r="K10" s="479"/>
      <c r="L10" s="479">
        <v>5.7</v>
      </c>
      <c r="M10" s="479"/>
      <c r="N10" s="479">
        <v>3.8</v>
      </c>
      <c r="O10" s="479"/>
      <c r="P10" s="479"/>
      <c r="Q10" s="479">
        <v>3.8</v>
      </c>
      <c r="R10" s="479"/>
      <c r="S10" s="479">
        <v>1.9</v>
      </c>
      <c r="T10" s="479">
        <v>3.8</v>
      </c>
      <c r="U10" s="479"/>
      <c r="V10" s="479">
        <v>5.7</v>
      </c>
      <c r="W10" s="479"/>
      <c r="X10" s="479"/>
      <c r="Y10" s="479"/>
      <c r="Z10" s="479">
        <v>3.8</v>
      </c>
      <c r="AA10" s="479">
        <v>5.7</v>
      </c>
      <c r="AB10" s="479"/>
      <c r="AC10" s="479"/>
      <c r="AD10" s="479">
        <v>3.8</v>
      </c>
      <c r="AE10" s="479"/>
      <c r="AF10" s="479">
        <v>7.6</v>
      </c>
      <c r="AG10" s="479">
        <v>1.9</v>
      </c>
      <c r="AH10" s="479"/>
      <c r="AI10" s="479"/>
      <c r="AJ10" s="479"/>
      <c r="AK10" s="479">
        <v>7.6</v>
      </c>
      <c r="AL10" s="479"/>
      <c r="AM10" s="479">
        <v>1.9</v>
      </c>
      <c r="AN10" s="479"/>
      <c r="AO10" s="479"/>
      <c r="AP10" s="479">
        <v>1.9</v>
      </c>
      <c r="AQ10" s="479"/>
      <c r="AR10" s="479">
        <v>3.8</v>
      </c>
      <c r="AS10" s="479">
        <v>3.8</v>
      </c>
      <c r="AT10" s="479"/>
      <c r="AU10" s="479">
        <v>76</v>
      </c>
      <c r="AW10" s="76">
        <f t="shared" si="0"/>
        <v>76</v>
      </c>
      <c r="AY10">
        <f>VLOOKUP(A10,VALO_PERSO!F:W,17,0)</f>
        <v>193406.16999999998</v>
      </c>
      <c r="AZ10">
        <f>VLOOKUP(A10,VALO_PERSO!F:W,18,0)</f>
        <v>1628.97</v>
      </c>
      <c r="BA10" s="148">
        <f t="shared" si="1"/>
        <v>9023.4129050872634</v>
      </c>
    </row>
    <row r="11" spans="1:53" x14ac:dyDescent="0.25">
      <c r="A11">
        <v>6</v>
      </c>
      <c r="B11" t="s">
        <v>887</v>
      </c>
      <c r="C11" t="s">
        <v>888</v>
      </c>
      <c r="D11" t="s">
        <v>889</v>
      </c>
      <c r="E11" s="479"/>
      <c r="F11" s="479"/>
      <c r="G11" s="479"/>
      <c r="H11" s="479"/>
      <c r="I11" s="479">
        <v>3.8</v>
      </c>
      <c r="J11" s="479">
        <v>3.8</v>
      </c>
      <c r="K11" s="479"/>
      <c r="L11" s="479"/>
      <c r="M11" s="479"/>
      <c r="N11" s="479"/>
      <c r="O11" s="479"/>
      <c r="P11" s="479"/>
      <c r="Q11" s="479"/>
      <c r="R11" s="479">
        <v>7.6</v>
      </c>
      <c r="S11" s="479"/>
      <c r="T11" s="479"/>
      <c r="U11" s="479"/>
      <c r="V11" s="479"/>
      <c r="W11" s="479">
        <v>7.6</v>
      </c>
      <c r="X11" s="479"/>
      <c r="Y11" s="479"/>
      <c r="Z11" s="479"/>
      <c r="AA11" s="479"/>
      <c r="AB11" s="479">
        <v>7.6</v>
      </c>
      <c r="AC11" s="479"/>
      <c r="AD11" s="479"/>
      <c r="AE11" s="479"/>
      <c r="AF11" s="479"/>
      <c r="AG11" s="479">
        <v>3.8</v>
      </c>
      <c r="AH11" s="479">
        <v>7.6</v>
      </c>
      <c r="AI11" s="479"/>
      <c r="AJ11" s="479"/>
      <c r="AK11" s="479"/>
      <c r="AL11" s="479">
        <v>3.8</v>
      </c>
      <c r="AM11" s="479">
        <v>7.6</v>
      </c>
      <c r="AN11" s="479">
        <v>3.8</v>
      </c>
      <c r="AO11" s="479"/>
      <c r="AP11" s="479"/>
      <c r="AQ11" s="479"/>
      <c r="AR11" s="479"/>
      <c r="AS11" s="479"/>
      <c r="AT11" s="479"/>
      <c r="AU11" s="479">
        <v>56.999999999999993</v>
      </c>
      <c r="AW11" s="76">
        <f t="shared" si="0"/>
        <v>56.999999999999993</v>
      </c>
      <c r="AY11">
        <f>VLOOKUP(A11,VALO_PERSO!F:W,17,0)</f>
        <v>89784.16</v>
      </c>
      <c r="AZ11">
        <f>VLOOKUP(A11,VALO_PERSO!F:W,18,0)</f>
        <v>1644.1699999999998</v>
      </c>
      <c r="BA11" s="148">
        <f t="shared" si="1"/>
        <v>3112.6325866546649</v>
      </c>
    </row>
    <row r="12" spans="1:53" x14ac:dyDescent="0.25">
      <c r="A12">
        <v>8</v>
      </c>
      <c r="B12" t="s">
        <v>891</v>
      </c>
      <c r="C12" t="s">
        <v>892</v>
      </c>
      <c r="D12" t="s">
        <v>893</v>
      </c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79"/>
      <c r="S12" s="479"/>
      <c r="T12" s="479"/>
      <c r="U12" s="479"/>
      <c r="V12" s="479"/>
      <c r="W12" s="479">
        <v>3.8</v>
      </c>
      <c r="X12" s="479"/>
      <c r="Y12" s="479">
        <v>3.8</v>
      </c>
      <c r="Z12" s="479"/>
      <c r="AA12" s="479"/>
      <c r="AB12" s="479"/>
      <c r="AC12" s="479"/>
      <c r="AD12" s="479"/>
      <c r="AE12" s="479"/>
      <c r="AF12" s="479"/>
      <c r="AG12" s="479"/>
      <c r="AH12" s="479"/>
      <c r="AI12" s="479"/>
      <c r="AJ12" s="479"/>
      <c r="AK12" s="479"/>
      <c r="AL12" s="479"/>
      <c r="AM12" s="479">
        <v>3.8</v>
      </c>
      <c r="AN12" s="479"/>
      <c r="AO12" s="479"/>
      <c r="AP12" s="479"/>
      <c r="AQ12" s="479"/>
      <c r="AR12" s="479"/>
      <c r="AS12" s="479"/>
      <c r="AT12" s="479"/>
      <c r="AU12" s="479">
        <v>11.399999999999999</v>
      </c>
      <c r="AW12" s="76">
        <f t="shared" si="0"/>
        <v>11.399999999999999</v>
      </c>
      <c r="AY12">
        <f>VLOOKUP(A12,VALO_PERSO!F:W,17,0)</f>
        <v>86860.26</v>
      </c>
      <c r="AZ12">
        <f>VLOOKUP(A12,VALO_PERSO!F:W,18,0)</f>
        <v>1672.04</v>
      </c>
      <c r="BA12" s="148">
        <f t="shared" si="1"/>
        <v>592.21487763450625</v>
      </c>
    </row>
    <row r="13" spans="1:53" x14ac:dyDescent="0.25">
      <c r="A13">
        <v>12</v>
      </c>
      <c r="B13" t="s">
        <v>895</v>
      </c>
      <c r="C13" t="s">
        <v>896</v>
      </c>
      <c r="D13" t="s">
        <v>897</v>
      </c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79"/>
      <c r="S13" s="479"/>
      <c r="T13" s="479"/>
      <c r="U13" s="479"/>
      <c r="V13" s="479"/>
      <c r="W13" s="479"/>
      <c r="X13" s="479"/>
      <c r="Y13" s="479"/>
      <c r="Z13" s="479"/>
      <c r="AA13" s="479"/>
      <c r="AB13" s="479"/>
      <c r="AC13" s="479"/>
      <c r="AD13" s="479"/>
      <c r="AE13" s="479"/>
      <c r="AF13" s="479"/>
      <c r="AG13" s="479"/>
      <c r="AH13" s="479"/>
      <c r="AI13" s="479"/>
      <c r="AJ13" s="479"/>
      <c r="AK13" s="479">
        <v>7.6</v>
      </c>
      <c r="AL13" s="479">
        <v>7.6</v>
      </c>
      <c r="AM13" s="479">
        <v>7.6</v>
      </c>
      <c r="AN13" s="479">
        <v>7.6</v>
      </c>
      <c r="AO13" s="479">
        <v>7.6</v>
      </c>
      <c r="AP13" s="479">
        <v>7.6</v>
      </c>
      <c r="AQ13" s="479">
        <v>7.6</v>
      </c>
      <c r="AR13" s="479">
        <v>7.6</v>
      </c>
      <c r="AS13" s="479">
        <v>7.6</v>
      </c>
      <c r="AT13" s="479">
        <v>7.6</v>
      </c>
      <c r="AU13" s="479">
        <v>76</v>
      </c>
      <c r="AW13" s="76">
        <f t="shared" si="0"/>
        <v>76</v>
      </c>
      <c r="AY13">
        <f>VLOOKUP(A13,VALO_PERSO!F:W,17,0)</f>
        <v>53796.23</v>
      </c>
      <c r="AZ13">
        <f>VLOOKUP(A13,VALO_PERSO!F:W,18,0)</f>
        <v>1706.24</v>
      </c>
      <c r="BA13" s="148">
        <f t="shared" si="1"/>
        <v>2396.2124202925734</v>
      </c>
    </row>
    <row r="14" spans="1:53" x14ac:dyDescent="0.25">
      <c r="A14">
        <v>13</v>
      </c>
      <c r="B14" t="s">
        <v>899</v>
      </c>
      <c r="C14" t="s">
        <v>900</v>
      </c>
      <c r="D14" t="s">
        <v>901</v>
      </c>
      <c r="E14" s="479"/>
      <c r="F14" s="479"/>
      <c r="G14" s="479"/>
      <c r="H14" s="479"/>
      <c r="I14" s="479"/>
      <c r="J14" s="479"/>
      <c r="K14" s="479"/>
      <c r="L14" s="479"/>
      <c r="M14" s="479"/>
      <c r="N14" s="479">
        <v>3.8</v>
      </c>
      <c r="O14" s="479"/>
      <c r="P14" s="479">
        <v>3.8</v>
      </c>
      <c r="Q14" s="479"/>
      <c r="R14" s="479"/>
      <c r="S14" s="479"/>
      <c r="T14" s="479">
        <v>7.6</v>
      </c>
      <c r="U14" s="479"/>
      <c r="V14" s="479"/>
      <c r="W14" s="479"/>
      <c r="X14" s="479"/>
      <c r="Y14" s="479"/>
      <c r="Z14" s="479"/>
      <c r="AA14" s="479"/>
      <c r="AB14" s="479"/>
      <c r="AC14" s="479"/>
      <c r="AD14" s="479"/>
      <c r="AE14" s="479"/>
      <c r="AF14" s="479"/>
      <c r="AG14" s="479"/>
      <c r="AH14" s="479"/>
      <c r="AI14" s="479"/>
      <c r="AJ14" s="479"/>
      <c r="AK14" s="479"/>
      <c r="AL14" s="479"/>
      <c r="AM14" s="479"/>
      <c r="AN14" s="479"/>
      <c r="AO14" s="479"/>
      <c r="AP14" s="479"/>
      <c r="AQ14" s="479"/>
      <c r="AR14" s="479"/>
      <c r="AS14" s="479"/>
      <c r="AT14" s="479"/>
      <c r="AU14" s="479">
        <v>15.2</v>
      </c>
      <c r="AW14" s="76">
        <f t="shared" si="0"/>
        <v>15.2</v>
      </c>
      <c r="AY14">
        <f>VLOOKUP(A14,VALO_PERSO!F:W,17,0)</f>
        <v>84098.1</v>
      </c>
      <c r="AZ14">
        <f>VLOOKUP(A14,VALO_PERSO!F:W,18,0)</f>
        <v>1649.24</v>
      </c>
      <c r="BA14" s="148">
        <f t="shared" si="1"/>
        <v>775.07889694647236</v>
      </c>
    </row>
    <row r="15" spans="1:53" x14ac:dyDescent="0.25">
      <c r="A15">
        <v>18</v>
      </c>
      <c r="B15" t="s">
        <v>909</v>
      </c>
      <c r="C15" t="s">
        <v>910</v>
      </c>
      <c r="D15" t="s">
        <v>911</v>
      </c>
      <c r="E15" s="479"/>
      <c r="F15" s="479"/>
      <c r="G15" s="479"/>
      <c r="H15" s="479"/>
      <c r="I15" s="479"/>
      <c r="J15" s="479"/>
      <c r="K15" s="479"/>
      <c r="L15" s="479"/>
      <c r="M15" s="479">
        <v>3.8</v>
      </c>
      <c r="N15" s="479"/>
      <c r="O15" s="479"/>
      <c r="P15" s="479"/>
      <c r="Q15" s="479"/>
      <c r="R15" s="479"/>
      <c r="S15" s="479"/>
      <c r="T15" s="479"/>
      <c r="U15" s="479"/>
      <c r="V15" s="479"/>
      <c r="W15" s="479"/>
      <c r="X15" s="479"/>
      <c r="Y15" s="479"/>
      <c r="Z15" s="479"/>
      <c r="AA15" s="479"/>
      <c r="AB15" s="479"/>
      <c r="AC15" s="479"/>
      <c r="AD15" s="479"/>
      <c r="AE15" s="479"/>
      <c r="AF15" s="479"/>
      <c r="AG15" s="479"/>
      <c r="AH15" s="479"/>
      <c r="AI15" s="479"/>
      <c r="AJ15" s="479"/>
      <c r="AK15" s="479"/>
      <c r="AL15" s="479">
        <v>7.6</v>
      </c>
      <c r="AM15" s="479">
        <v>7.6</v>
      </c>
      <c r="AN15" s="479"/>
      <c r="AO15" s="479"/>
      <c r="AP15" s="479">
        <v>3.8</v>
      </c>
      <c r="AQ15" s="479"/>
      <c r="AR15" s="479"/>
      <c r="AS15" s="479">
        <v>7.6</v>
      </c>
      <c r="AT15" s="479"/>
      <c r="AU15" s="479">
        <v>30.4</v>
      </c>
      <c r="AW15" s="76">
        <f t="shared" si="0"/>
        <v>30.4</v>
      </c>
      <c r="AY15">
        <f>VLOOKUP(A15,VALO_PERSO!F:W,17,0)</f>
        <v>85427.959999999992</v>
      </c>
      <c r="AZ15">
        <f>VLOOKUP(A15,VALO_PERSO!F:W,18,0)</f>
        <v>1637.84</v>
      </c>
      <c r="BA15" s="148">
        <f t="shared" si="1"/>
        <v>1585.6310653055243</v>
      </c>
    </row>
    <row r="16" spans="1:53" x14ac:dyDescent="0.25">
      <c r="A16">
        <v>19</v>
      </c>
      <c r="B16" t="s">
        <v>914</v>
      </c>
      <c r="C16" t="s">
        <v>915</v>
      </c>
      <c r="D16" t="s">
        <v>916</v>
      </c>
      <c r="E16" s="479">
        <v>7.6</v>
      </c>
      <c r="F16" s="479">
        <v>7.6</v>
      </c>
      <c r="G16" s="479">
        <v>7.6</v>
      </c>
      <c r="H16" s="479">
        <v>7.6</v>
      </c>
      <c r="I16" s="479">
        <v>7.6</v>
      </c>
      <c r="J16" s="479"/>
      <c r="K16" s="479"/>
      <c r="L16" s="479"/>
      <c r="M16" s="479"/>
      <c r="N16" s="479"/>
      <c r="O16" s="479"/>
      <c r="P16" s="479"/>
      <c r="Q16" s="479">
        <v>7.6</v>
      </c>
      <c r="R16" s="479">
        <v>7.6</v>
      </c>
      <c r="S16" s="479">
        <v>7.6</v>
      </c>
      <c r="T16" s="479">
        <v>7.6</v>
      </c>
      <c r="U16" s="479">
        <v>7.6</v>
      </c>
      <c r="V16" s="479">
        <v>7.6</v>
      </c>
      <c r="W16" s="479">
        <v>7.6</v>
      </c>
      <c r="X16" s="479">
        <v>7.6</v>
      </c>
      <c r="Y16" s="479">
        <v>7.6</v>
      </c>
      <c r="Z16" s="479">
        <v>3.8</v>
      </c>
      <c r="AA16" s="479">
        <v>7.6</v>
      </c>
      <c r="AB16" s="479">
        <v>7.6</v>
      </c>
      <c r="AC16" s="479">
        <v>7.6</v>
      </c>
      <c r="AD16" s="479">
        <v>7.6</v>
      </c>
      <c r="AE16" s="479">
        <v>7.6</v>
      </c>
      <c r="AF16" s="479">
        <v>7.6</v>
      </c>
      <c r="AG16" s="479">
        <v>3.8</v>
      </c>
      <c r="AH16" s="479">
        <v>7.6</v>
      </c>
      <c r="AI16" s="479">
        <v>7.6</v>
      </c>
      <c r="AJ16" s="479">
        <v>7.6</v>
      </c>
      <c r="AK16" s="479">
        <v>7.6</v>
      </c>
      <c r="AL16" s="479">
        <v>7.6</v>
      </c>
      <c r="AM16" s="479">
        <v>7.6</v>
      </c>
      <c r="AN16" s="479"/>
      <c r="AO16" s="479"/>
      <c r="AP16" s="479">
        <v>7.6</v>
      </c>
      <c r="AQ16" s="479">
        <v>7.6</v>
      </c>
      <c r="AR16" s="479">
        <v>7.6</v>
      </c>
      <c r="AS16" s="479">
        <v>7.6</v>
      </c>
      <c r="AT16" s="479">
        <v>7.6</v>
      </c>
      <c r="AU16" s="479">
        <v>243.1999999999999</v>
      </c>
      <c r="AW16" s="76">
        <f t="shared" si="0"/>
        <v>243.1999999999999</v>
      </c>
      <c r="AY16">
        <f>VLOOKUP(A16,VALO_PERSO!F:W,17,0)</f>
        <v>43549.24</v>
      </c>
      <c r="AZ16">
        <f>VLOOKUP(A16,VALO_PERSO!F:W,18,0)</f>
        <v>1274.06</v>
      </c>
      <c r="BA16" s="148">
        <f t="shared" si="1"/>
        <v>8312.932803792597</v>
      </c>
    </row>
    <row r="17" spans="1:53" x14ac:dyDescent="0.25">
      <c r="A17">
        <v>21</v>
      </c>
      <c r="B17" t="s">
        <v>918</v>
      </c>
      <c r="C17" t="s">
        <v>919</v>
      </c>
      <c r="D17" t="s">
        <v>920</v>
      </c>
      <c r="E17" s="479"/>
      <c r="F17" s="479"/>
      <c r="G17" s="479"/>
      <c r="H17" s="479"/>
      <c r="I17" s="479">
        <v>7.6</v>
      </c>
      <c r="J17" s="479">
        <v>7.6</v>
      </c>
      <c r="K17" s="479">
        <v>7.6</v>
      </c>
      <c r="L17" s="479">
        <v>7.6</v>
      </c>
      <c r="M17" s="479">
        <v>7.6</v>
      </c>
      <c r="N17" s="479">
        <v>7.6</v>
      </c>
      <c r="O17" s="479">
        <v>7.6</v>
      </c>
      <c r="P17" s="479">
        <v>7.6</v>
      </c>
      <c r="Q17" s="479">
        <v>7.6</v>
      </c>
      <c r="R17" s="479">
        <v>7.6</v>
      </c>
      <c r="S17" s="479">
        <v>7.6</v>
      </c>
      <c r="T17" s="479">
        <v>7.6</v>
      </c>
      <c r="U17" s="479">
        <v>3.8</v>
      </c>
      <c r="V17" s="479">
        <v>7.6</v>
      </c>
      <c r="W17" s="479">
        <v>7.6</v>
      </c>
      <c r="X17" s="479">
        <v>3.8</v>
      </c>
      <c r="Y17" s="479">
        <v>7.6</v>
      </c>
      <c r="Z17" s="479">
        <v>7.6</v>
      </c>
      <c r="AA17" s="479">
        <v>7.6</v>
      </c>
      <c r="AB17" s="479">
        <v>7.6</v>
      </c>
      <c r="AC17" s="479">
        <v>7.6</v>
      </c>
      <c r="AD17" s="479">
        <v>7.6</v>
      </c>
      <c r="AE17" s="479">
        <v>7.6</v>
      </c>
      <c r="AF17" s="479"/>
      <c r="AG17" s="479"/>
      <c r="AH17" s="479">
        <v>3.8</v>
      </c>
      <c r="AI17" s="479">
        <v>3.8</v>
      </c>
      <c r="AJ17" s="479"/>
      <c r="AK17" s="479">
        <v>7.6</v>
      </c>
      <c r="AL17" s="479">
        <v>7.6</v>
      </c>
      <c r="AM17" s="479">
        <v>7.6</v>
      </c>
      <c r="AN17" s="479">
        <v>7.6</v>
      </c>
      <c r="AO17" s="479">
        <v>7.6</v>
      </c>
      <c r="AP17" s="479">
        <v>7.6</v>
      </c>
      <c r="AQ17" s="479">
        <v>7.6</v>
      </c>
      <c r="AR17" s="479">
        <v>7.6</v>
      </c>
      <c r="AS17" s="479">
        <v>7.6</v>
      </c>
      <c r="AT17" s="479">
        <v>7.6</v>
      </c>
      <c r="AU17" s="479">
        <v>250.7999999999999</v>
      </c>
      <c r="AW17" s="76">
        <f t="shared" si="0"/>
        <v>250.7999999999999</v>
      </c>
      <c r="AY17">
        <f>VLOOKUP(A17,VALO_PERSO!F:W,17,0)</f>
        <v>59596.350000000006</v>
      </c>
      <c r="AZ17">
        <f>VLOOKUP(A17,VALO_PERSO!F:W,18,0)</f>
        <v>1603.6399999999999</v>
      </c>
      <c r="BA17" s="148">
        <f t="shared" si="1"/>
        <v>9320.5236711481357</v>
      </c>
    </row>
    <row r="18" spans="1:53" x14ac:dyDescent="0.25">
      <c r="A18">
        <v>22</v>
      </c>
      <c r="B18" t="s">
        <v>923</v>
      </c>
      <c r="C18" t="s">
        <v>924</v>
      </c>
      <c r="D18" t="s">
        <v>925</v>
      </c>
      <c r="E18" s="479"/>
      <c r="F18" s="479"/>
      <c r="G18" s="479"/>
      <c r="H18" s="479"/>
      <c r="I18" s="479">
        <v>3.8</v>
      </c>
      <c r="J18" s="479">
        <v>7.6</v>
      </c>
      <c r="K18" s="479">
        <v>7.6</v>
      </c>
      <c r="L18" s="479"/>
      <c r="M18" s="479"/>
      <c r="N18" s="479">
        <v>3.8</v>
      </c>
      <c r="O18" s="479">
        <v>7.6</v>
      </c>
      <c r="P18" s="479"/>
      <c r="Q18" s="479">
        <v>7.6</v>
      </c>
      <c r="R18" s="479">
        <v>3.8</v>
      </c>
      <c r="S18" s="479"/>
      <c r="T18" s="479"/>
      <c r="U18" s="479"/>
      <c r="V18" s="479"/>
      <c r="W18" s="479"/>
      <c r="X18" s="479"/>
      <c r="Y18" s="479">
        <v>3.8</v>
      </c>
      <c r="Z18" s="479">
        <v>7.6</v>
      </c>
      <c r="AA18" s="479">
        <v>7.6</v>
      </c>
      <c r="AB18" s="479"/>
      <c r="AC18" s="479"/>
      <c r="AD18" s="479"/>
      <c r="AE18" s="479"/>
      <c r="AF18" s="479">
        <v>7.6</v>
      </c>
      <c r="AG18" s="479">
        <v>3.8</v>
      </c>
      <c r="AH18" s="479"/>
      <c r="AI18" s="479"/>
      <c r="AJ18" s="479"/>
      <c r="AK18" s="479">
        <v>7.6</v>
      </c>
      <c r="AL18" s="479">
        <v>7.6</v>
      </c>
      <c r="AM18" s="479">
        <v>3.8</v>
      </c>
      <c r="AN18" s="479"/>
      <c r="AO18" s="479"/>
      <c r="AP18" s="479">
        <v>7.6</v>
      </c>
      <c r="AQ18" s="479">
        <v>7.6</v>
      </c>
      <c r="AR18" s="479">
        <v>3.8</v>
      </c>
      <c r="AS18" s="479"/>
      <c r="AT18" s="479"/>
      <c r="AU18" s="479">
        <v>110.19999999999996</v>
      </c>
      <c r="AW18" s="76">
        <f t="shared" si="0"/>
        <v>110.19999999999996</v>
      </c>
      <c r="AY18">
        <f>VLOOKUP(A18,VALO_PERSO!F:W,17,0)</f>
        <v>82298.73</v>
      </c>
      <c r="AZ18">
        <f>VLOOKUP(A18,VALO_PERSO!F:W,18,0)</f>
        <v>1668.24</v>
      </c>
      <c r="BA18" s="148">
        <f t="shared" si="1"/>
        <v>5436.4600093511708</v>
      </c>
    </row>
    <row r="19" spans="1:53" x14ac:dyDescent="0.25">
      <c r="A19">
        <v>24</v>
      </c>
      <c r="B19" t="s">
        <v>927</v>
      </c>
      <c r="C19" t="s">
        <v>928</v>
      </c>
      <c r="D19" t="s">
        <v>929</v>
      </c>
      <c r="E19" s="479"/>
      <c r="F19" s="479"/>
      <c r="G19" s="479"/>
      <c r="H19" s="479"/>
      <c r="I19" s="479"/>
      <c r="J19" s="479"/>
      <c r="K19" s="479"/>
      <c r="L19" s="479"/>
      <c r="M19" s="479"/>
      <c r="N19" s="479">
        <v>3.8</v>
      </c>
      <c r="O19" s="479"/>
      <c r="P19" s="479">
        <v>3.8</v>
      </c>
      <c r="Q19" s="479">
        <v>7.6</v>
      </c>
      <c r="R19" s="479"/>
      <c r="S19" s="479"/>
      <c r="T19" s="479">
        <v>3.8</v>
      </c>
      <c r="U19" s="479"/>
      <c r="V19" s="479"/>
      <c r="W19" s="479"/>
      <c r="X19" s="479"/>
      <c r="Y19" s="479"/>
      <c r="Z19" s="479"/>
      <c r="AA19" s="479">
        <v>3.8</v>
      </c>
      <c r="AB19" s="479"/>
      <c r="AC19" s="479">
        <v>3.8</v>
      </c>
      <c r="AD19" s="479"/>
      <c r="AE19" s="479"/>
      <c r="AF19" s="479"/>
      <c r="AG19" s="479">
        <v>3.8</v>
      </c>
      <c r="AH19" s="479"/>
      <c r="AI19" s="479">
        <v>3.8</v>
      </c>
      <c r="AJ19" s="479"/>
      <c r="AK19" s="479"/>
      <c r="AL19" s="479">
        <v>3.8</v>
      </c>
      <c r="AM19" s="479"/>
      <c r="AN19" s="479">
        <v>3.8</v>
      </c>
      <c r="AO19" s="479">
        <v>3.8</v>
      </c>
      <c r="AP19" s="479">
        <v>3.8</v>
      </c>
      <c r="AQ19" s="479"/>
      <c r="AR19" s="479"/>
      <c r="AS19" s="479"/>
      <c r="AT19" s="479"/>
      <c r="AU19" s="479">
        <v>49.399999999999991</v>
      </c>
      <c r="AW19" s="76">
        <f t="shared" si="0"/>
        <v>49.399999999999991</v>
      </c>
      <c r="AY19">
        <f>VLOOKUP(A19,VALO_PERSO!F:W,17,0)</f>
        <v>86329.260000000009</v>
      </c>
      <c r="AZ19">
        <f>VLOOKUP(A19,VALO_PERSO!F:W,18,0)</f>
        <v>1705.2399999999998</v>
      </c>
      <c r="BA19" s="148">
        <f t="shared" si="1"/>
        <v>2500.9180197508858</v>
      </c>
    </row>
    <row r="20" spans="1:53" x14ac:dyDescent="0.25">
      <c r="A20">
        <v>31</v>
      </c>
      <c r="B20" t="s">
        <v>932</v>
      </c>
      <c r="C20" t="s">
        <v>933</v>
      </c>
      <c r="D20" t="s">
        <v>934</v>
      </c>
      <c r="E20" s="479"/>
      <c r="F20" s="479"/>
      <c r="G20" s="479"/>
      <c r="H20" s="479"/>
      <c r="I20" s="479"/>
      <c r="J20" s="479"/>
      <c r="K20" s="479"/>
      <c r="L20" s="479"/>
      <c r="M20" s="479"/>
      <c r="N20" s="479"/>
      <c r="O20" s="479"/>
      <c r="P20" s="479"/>
      <c r="Q20" s="479"/>
      <c r="R20" s="479"/>
      <c r="S20" s="479"/>
      <c r="T20" s="479"/>
      <c r="U20" s="479"/>
      <c r="V20" s="479"/>
      <c r="W20" s="479"/>
      <c r="X20" s="479">
        <v>7.6</v>
      </c>
      <c r="Y20" s="479">
        <v>7.6</v>
      </c>
      <c r="Z20" s="479"/>
      <c r="AA20" s="479">
        <v>7.6</v>
      </c>
      <c r="AB20" s="479">
        <v>7.6</v>
      </c>
      <c r="AC20" s="479">
        <v>7.6</v>
      </c>
      <c r="AD20" s="479">
        <v>7.6</v>
      </c>
      <c r="AE20" s="479"/>
      <c r="AF20" s="479"/>
      <c r="AG20" s="479">
        <v>7.6</v>
      </c>
      <c r="AH20" s="479">
        <v>7.6</v>
      </c>
      <c r="AI20" s="479">
        <v>7.6</v>
      </c>
      <c r="AJ20" s="479"/>
      <c r="AK20" s="479">
        <v>7.6</v>
      </c>
      <c r="AL20" s="479">
        <v>7.6</v>
      </c>
      <c r="AM20" s="479">
        <v>7.6</v>
      </c>
      <c r="AN20" s="479">
        <v>7.6</v>
      </c>
      <c r="AO20" s="479"/>
      <c r="AP20" s="479">
        <v>3.8</v>
      </c>
      <c r="AQ20" s="479">
        <v>7.6</v>
      </c>
      <c r="AR20" s="479">
        <v>7.6</v>
      </c>
      <c r="AS20" s="479">
        <v>3.8</v>
      </c>
      <c r="AT20" s="479">
        <v>3.8</v>
      </c>
      <c r="AU20" s="479">
        <v>125.39999999999996</v>
      </c>
      <c r="AW20" s="76">
        <f t="shared" si="0"/>
        <v>125.39999999999996</v>
      </c>
      <c r="AY20">
        <f>VLOOKUP(A20,VALO_PERSO!F:W,17,0)</f>
        <v>52124.66</v>
      </c>
      <c r="AZ20">
        <f>VLOOKUP(A20,VALO_PERSO!F:W,18,0)</f>
        <v>1698.6399999999999</v>
      </c>
      <c r="BA20" s="148">
        <f t="shared" si="1"/>
        <v>3848.0386450336732</v>
      </c>
    </row>
    <row r="21" spans="1:53" x14ac:dyDescent="0.25">
      <c r="A21">
        <v>32</v>
      </c>
      <c r="B21" t="s">
        <v>941</v>
      </c>
      <c r="C21" t="s">
        <v>942</v>
      </c>
      <c r="D21" t="s">
        <v>943</v>
      </c>
      <c r="E21" s="479"/>
      <c r="F21" s="479"/>
      <c r="G21" s="479"/>
      <c r="H21" s="479">
        <v>7.6</v>
      </c>
      <c r="I21" s="479">
        <v>7.6</v>
      </c>
      <c r="J21" s="479">
        <v>7.6</v>
      </c>
      <c r="K21" s="479">
        <v>7.6</v>
      </c>
      <c r="L21" s="479"/>
      <c r="M21" s="479">
        <v>7.6</v>
      </c>
      <c r="N21" s="479">
        <v>7.6</v>
      </c>
      <c r="O21" s="479">
        <v>7.6</v>
      </c>
      <c r="P21" s="479">
        <v>7.6</v>
      </c>
      <c r="Q21" s="479"/>
      <c r="R21" s="479">
        <v>7.6</v>
      </c>
      <c r="S21" s="479">
        <v>7.6</v>
      </c>
      <c r="T21" s="479">
        <v>7.6</v>
      </c>
      <c r="U21" s="479">
        <v>7.6</v>
      </c>
      <c r="V21" s="479"/>
      <c r="W21" s="479">
        <v>7.6</v>
      </c>
      <c r="X21" s="479">
        <v>7.6</v>
      </c>
      <c r="Y21" s="479">
        <v>7.6</v>
      </c>
      <c r="Z21" s="479">
        <v>7.6</v>
      </c>
      <c r="AA21" s="479"/>
      <c r="AB21" s="479">
        <v>7.6</v>
      </c>
      <c r="AC21" s="479">
        <v>7.6</v>
      </c>
      <c r="AD21" s="479">
        <v>7.6</v>
      </c>
      <c r="AE21" s="479">
        <v>7.6</v>
      </c>
      <c r="AF21" s="479"/>
      <c r="AG21" s="479">
        <v>7.6</v>
      </c>
      <c r="AH21" s="479">
        <v>7.6</v>
      </c>
      <c r="AI21" s="479">
        <v>7.6</v>
      </c>
      <c r="AJ21" s="479">
        <v>7.6</v>
      </c>
      <c r="AK21" s="479"/>
      <c r="AL21" s="479">
        <v>7.6</v>
      </c>
      <c r="AM21" s="479">
        <v>7.6</v>
      </c>
      <c r="AN21" s="479">
        <v>7.6</v>
      </c>
      <c r="AO21" s="479">
        <v>7.6</v>
      </c>
      <c r="AP21" s="479"/>
      <c r="AQ21" s="479">
        <v>7.6</v>
      </c>
      <c r="AR21" s="479">
        <v>7.6</v>
      </c>
      <c r="AS21" s="479">
        <v>7.6</v>
      </c>
      <c r="AT21" s="479">
        <v>7.6</v>
      </c>
      <c r="AU21" s="479">
        <v>243.19999999999987</v>
      </c>
      <c r="AW21" s="76">
        <f t="shared" si="0"/>
        <v>243.19999999999987</v>
      </c>
      <c r="AY21">
        <f>VLOOKUP(A21,VALO_PERSO!F:W,17,0)</f>
        <v>79656.36</v>
      </c>
      <c r="AZ21">
        <f>VLOOKUP(A21,VALO_PERSO!F:W,18,0)</f>
        <v>1645.4399999999998</v>
      </c>
      <c r="BA21" s="148">
        <f t="shared" si="1"/>
        <v>11773.402100350053</v>
      </c>
    </row>
    <row r="22" spans="1:53" x14ac:dyDescent="0.25">
      <c r="A22">
        <v>33</v>
      </c>
      <c r="B22" t="s">
        <v>950</v>
      </c>
      <c r="C22" t="s">
        <v>951</v>
      </c>
      <c r="D22" t="s">
        <v>952</v>
      </c>
      <c r="E22" s="479"/>
      <c r="F22" s="479"/>
      <c r="G22" s="479">
        <v>7.75</v>
      </c>
      <c r="H22" s="479">
        <v>7.83</v>
      </c>
      <c r="I22" s="479">
        <v>7.67</v>
      </c>
      <c r="J22" s="479">
        <v>7.5</v>
      </c>
      <c r="K22" s="479">
        <v>7.25</v>
      </c>
      <c r="L22" s="479">
        <v>7.67</v>
      </c>
      <c r="M22" s="479">
        <v>7.5</v>
      </c>
      <c r="N22" s="479">
        <v>7.67</v>
      </c>
      <c r="O22" s="479">
        <v>8</v>
      </c>
      <c r="P22" s="479">
        <v>7.17</v>
      </c>
      <c r="Q22" s="479">
        <v>7.75</v>
      </c>
      <c r="R22" s="479">
        <v>7.75</v>
      </c>
      <c r="S22" s="479">
        <v>7.92</v>
      </c>
      <c r="T22" s="479">
        <v>7.5</v>
      </c>
      <c r="U22" s="479">
        <v>7.08</v>
      </c>
      <c r="V22" s="479"/>
      <c r="W22" s="479"/>
      <c r="X22" s="479"/>
      <c r="Y22" s="479"/>
      <c r="Z22" s="479"/>
      <c r="AA22" s="479">
        <v>7.75</v>
      </c>
      <c r="AB22" s="479">
        <v>7.84</v>
      </c>
      <c r="AC22" s="479">
        <v>7.66</v>
      </c>
      <c r="AD22" s="479">
        <v>7.5</v>
      </c>
      <c r="AE22" s="479">
        <v>7.25</v>
      </c>
      <c r="AF22" s="479">
        <v>7.05</v>
      </c>
      <c r="AG22" s="479">
        <v>8.17</v>
      </c>
      <c r="AH22" s="479">
        <v>7.67</v>
      </c>
      <c r="AI22" s="479">
        <v>7.84</v>
      </c>
      <c r="AJ22" s="479">
        <v>7.28</v>
      </c>
      <c r="AK22" s="479">
        <v>7.5</v>
      </c>
      <c r="AL22" s="479">
        <v>7.5</v>
      </c>
      <c r="AM22" s="479">
        <v>8.08</v>
      </c>
      <c r="AN22" s="479">
        <v>7.58</v>
      </c>
      <c r="AO22" s="479">
        <v>7.34</v>
      </c>
      <c r="AP22" s="479">
        <v>7.58</v>
      </c>
      <c r="AQ22" s="479">
        <v>8.08</v>
      </c>
      <c r="AR22" s="479">
        <v>7.25</v>
      </c>
      <c r="AS22" s="479">
        <v>7.5</v>
      </c>
      <c r="AT22" s="479">
        <v>7.59</v>
      </c>
      <c r="AU22" s="479">
        <v>266.02000000000004</v>
      </c>
      <c r="AW22" s="76">
        <f t="shared" si="0"/>
        <v>266.02000000000004</v>
      </c>
      <c r="AY22">
        <f>VLOOKUP(A22,VALO_PERSO!F:W,17,0)</f>
        <v>52130.19</v>
      </c>
      <c r="AZ22">
        <f>VLOOKUP(A22,VALO_PERSO!F:W,18,0)</f>
        <v>1611.24</v>
      </c>
      <c r="BA22" s="148">
        <f t="shared" si="1"/>
        <v>8606.8327150517634</v>
      </c>
    </row>
    <row r="23" spans="1:53" x14ac:dyDescent="0.25">
      <c r="A23">
        <v>34</v>
      </c>
      <c r="B23" t="s">
        <v>954</v>
      </c>
      <c r="C23" t="s">
        <v>955</v>
      </c>
      <c r="D23" t="s">
        <v>925</v>
      </c>
      <c r="E23" s="479"/>
      <c r="F23" s="479"/>
      <c r="G23" s="479"/>
      <c r="H23" s="479"/>
      <c r="I23" s="479"/>
      <c r="J23" s="479"/>
      <c r="K23" s="479"/>
      <c r="L23" s="479"/>
      <c r="M23" s="479"/>
      <c r="N23" s="479"/>
      <c r="O23" s="479"/>
      <c r="P23" s="479"/>
      <c r="Q23" s="479"/>
      <c r="R23" s="479"/>
      <c r="S23" s="479"/>
      <c r="T23" s="479"/>
      <c r="U23" s="479"/>
      <c r="V23" s="479">
        <v>7.6</v>
      </c>
      <c r="W23" s="479">
        <v>7.6</v>
      </c>
      <c r="X23" s="479">
        <v>7.6</v>
      </c>
      <c r="Y23" s="479">
        <v>7.6</v>
      </c>
      <c r="Z23" s="479">
        <v>7.6</v>
      </c>
      <c r="AA23" s="479">
        <v>7.6</v>
      </c>
      <c r="AB23" s="479">
        <v>7.6</v>
      </c>
      <c r="AC23" s="479"/>
      <c r="AD23" s="479">
        <v>7.6</v>
      </c>
      <c r="AE23" s="479"/>
      <c r="AF23" s="479"/>
      <c r="AG23" s="479"/>
      <c r="AH23" s="479"/>
      <c r="AI23" s="479"/>
      <c r="AJ23" s="479"/>
      <c r="AK23" s="479">
        <v>7.6</v>
      </c>
      <c r="AL23" s="479">
        <v>3.8</v>
      </c>
      <c r="AM23" s="479">
        <v>3.8</v>
      </c>
      <c r="AN23" s="479">
        <v>7.6</v>
      </c>
      <c r="AO23" s="479">
        <v>3.8</v>
      </c>
      <c r="AP23" s="479"/>
      <c r="AQ23" s="479"/>
      <c r="AR23" s="479"/>
      <c r="AS23" s="479"/>
      <c r="AT23" s="479"/>
      <c r="AU23" s="479">
        <v>87.399999999999991</v>
      </c>
      <c r="AW23" s="76">
        <f t="shared" si="0"/>
        <v>87.399999999999991</v>
      </c>
      <c r="AY23">
        <f>VLOOKUP(A23,VALO_PERSO!F:W,17,0)</f>
        <v>49355.009999999995</v>
      </c>
      <c r="AZ23">
        <f>VLOOKUP(A23,VALO_PERSO!F:W,18,0)</f>
        <v>1637.84</v>
      </c>
      <c r="BA23" s="148">
        <f t="shared" si="1"/>
        <v>2633.7297135251301</v>
      </c>
    </row>
    <row r="24" spans="1:53" x14ac:dyDescent="0.25">
      <c r="A24">
        <v>35</v>
      </c>
      <c r="B24" t="s">
        <v>957</v>
      </c>
      <c r="C24" t="s">
        <v>958</v>
      </c>
      <c r="D24" t="s">
        <v>959</v>
      </c>
      <c r="E24" s="479"/>
      <c r="F24" s="479">
        <v>3.8</v>
      </c>
      <c r="G24" s="479"/>
      <c r="H24" s="479"/>
      <c r="I24" s="479"/>
      <c r="J24" s="479">
        <v>3.8</v>
      </c>
      <c r="K24" s="479">
        <v>3.8</v>
      </c>
      <c r="L24" s="479">
        <v>3.8</v>
      </c>
      <c r="M24" s="479"/>
      <c r="N24" s="479">
        <v>3.8</v>
      </c>
      <c r="O24" s="479">
        <v>7.6</v>
      </c>
      <c r="P24" s="479"/>
      <c r="Q24" s="479"/>
      <c r="R24" s="479">
        <v>7.6</v>
      </c>
      <c r="S24" s="479">
        <v>3.8</v>
      </c>
      <c r="T24" s="479">
        <v>7.6</v>
      </c>
      <c r="U24" s="479">
        <v>3.8</v>
      </c>
      <c r="V24" s="479">
        <v>7.6</v>
      </c>
      <c r="W24" s="479">
        <v>3.8</v>
      </c>
      <c r="X24" s="479"/>
      <c r="Y24" s="479">
        <v>7.6</v>
      </c>
      <c r="Z24" s="479">
        <v>3.8</v>
      </c>
      <c r="AA24" s="479"/>
      <c r="AB24" s="479">
        <v>3.8</v>
      </c>
      <c r="AC24" s="479">
        <v>7.6</v>
      </c>
      <c r="AD24" s="479">
        <v>3.8</v>
      </c>
      <c r="AE24" s="479">
        <v>3.8</v>
      </c>
      <c r="AF24" s="479"/>
      <c r="AG24" s="479"/>
      <c r="AH24" s="479"/>
      <c r="AI24" s="479"/>
      <c r="AJ24" s="479">
        <v>3.8</v>
      </c>
      <c r="AK24" s="479"/>
      <c r="AL24" s="479">
        <v>3.8</v>
      </c>
      <c r="AM24" s="479"/>
      <c r="AN24" s="479"/>
      <c r="AO24" s="479"/>
      <c r="AP24" s="479"/>
      <c r="AQ24" s="479"/>
      <c r="AR24" s="479">
        <v>3.8</v>
      </c>
      <c r="AS24" s="479">
        <v>3.8</v>
      </c>
      <c r="AT24" s="479">
        <v>7.6</v>
      </c>
      <c r="AU24" s="479">
        <v>113.99999999999996</v>
      </c>
      <c r="AW24" s="76">
        <f t="shared" si="0"/>
        <v>113.99999999999996</v>
      </c>
      <c r="AY24">
        <f>VLOOKUP(A24,VALO_PERSO!F:W,17,0)</f>
        <v>52369.14</v>
      </c>
      <c r="AZ24">
        <f>VLOOKUP(A24,VALO_PERSO!F:W,18,0)</f>
        <v>1512.4399999999998</v>
      </c>
      <c r="BA24" s="148">
        <f t="shared" si="1"/>
        <v>3947.3182142762676</v>
      </c>
    </row>
    <row r="25" spans="1:53" x14ac:dyDescent="0.25">
      <c r="A25">
        <v>37</v>
      </c>
      <c r="B25" t="s">
        <v>977</v>
      </c>
      <c r="C25" t="s">
        <v>978</v>
      </c>
      <c r="D25" t="s">
        <v>979</v>
      </c>
      <c r="E25" s="479"/>
      <c r="F25" s="479"/>
      <c r="G25" s="479"/>
      <c r="H25" s="479"/>
      <c r="I25" s="479"/>
      <c r="J25" s="479"/>
      <c r="K25" s="479"/>
      <c r="L25" s="479"/>
      <c r="M25" s="479">
        <v>3.8</v>
      </c>
      <c r="N25" s="479">
        <v>3.8</v>
      </c>
      <c r="O25" s="479"/>
      <c r="P25" s="479"/>
      <c r="Q25" s="479"/>
      <c r="R25" s="479"/>
      <c r="S25" s="479"/>
      <c r="T25" s="479"/>
      <c r="U25" s="479">
        <v>3.8</v>
      </c>
      <c r="V25" s="479"/>
      <c r="W25" s="479">
        <v>3.8</v>
      </c>
      <c r="X25" s="479"/>
      <c r="Y25" s="479"/>
      <c r="Z25" s="479"/>
      <c r="AA25" s="479"/>
      <c r="AB25" s="479"/>
      <c r="AC25" s="479"/>
      <c r="AD25" s="479"/>
      <c r="AE25" s="479"/>
      <c r="AF25" s="479"/>
      <c r="AG25" s="479"/>
      <c r="AH25" s="479"/>
      <c r="AI25" s="479"/>
      <c r="AJ25" s="479"/>
      <c r="AK25" s="479"/>
      <c r="AL25" s="479"/>
      <c r="AM25" s="479"/>
      <c r="AN25" s="479"/>
      <c r="AO25" s="479"/>
      <c r="AP25" s="479"/>
      <c r="AQ25" s="479"/>
      <c r="AR25" s="479"/>
      <c r="AS25" s="479"/>
      <c r="AT25" s="479"/>
      <c r="AU25" s="479">
        <v>15.2</v>
      </c>
      <c r="AW25" s="76">
        <f t="shared" si="0"/>
        <v>15.2</v>
      </c>
      <c r="AY25">
        <f>VLOOKUP(A25,VALO_PERSO!F:W,17,0)</f>
        <v>137622.03</v>
      </c>
      <c r="AZ25">
        <f>VLOOKUP(A25,VALO_PERSO!F:W,18,0)</f>
        <v>1649.24</v>
      </c>
      <c r="BA25" s="148">
        <f t="shared" si="1"/>
        <v>1268.375043050132</v>
      </c>
    </row>
    <row r="26" spans="1:53" x14ac:dyDescent="0.25">
      <c r="A26">
        <v>38</v>
      </c>
      <c r="B26" t="s">
        <v>982</v>
      </c>
      <c r="C26" t="s">
        <v>983</v>
      </c>
      <c r="D26" t="s">
        <v>984</v>
      </c>
      <c r="E26" s="479"/>
      <c r="F26" s="479"/>
      <c r="G26" s="479"/>
      <c r="H26" s="479"/>
      <c r="I26" s="479"/>
      <c r="J26" s="479"/>
      <c r="K26" s="479"/>
      <c r="L26" s="479"/>
      <c r="M26" s="479"/>
      <c r="N26" s="479"/>
      <c r="O26" s="479"/>
      <c r="P26" s="479"/>
      <c r="Q26" s="479"/>
      <c r="R26" s="479"/>
      <c r="S26" s="479"/>
      <c r="T26" s="479"/>
      <c r="U26" s="479"/>
      <c r="V26" s="479"/>
      <c r="W26" s="479"/>
      <c r="X26" s="479"/>
      <c r="Y26" s="479"/>
      <c r="Z26" s="479"/>
      <c r="AA26" s="479"/>
      <c r="AB26" s="479"/>
      <c r="AC26" s="479"/>
      <c r="AD26" s="479"/>
      <c r="AE26" s="479"/>
      <c r="AF26" s="479"/>
      <c r="AG26" s="479"/>
      <c r="AH26" s="479"/>
      <c r="AI26" s="479"/>
      <c r="AJ26" s="479"/>
      <c r="AK26" s="479"/>
      <c r="AL26" s="479"/>
      <c r="AM26" s="479"/>
      <c r="AN26" s="479"/>
      <c r="AO26" s="479"/>
      <c r="AP26" s="479">
        <v>7.6</v>
      </c>
      <c r="AQ26" s="479">
        <v>7.6</v>
      </c>
      <c r="AR26" s="479">
        <v>7.6</v>
      </c>
      <c r="AS26" s="479">
        <v>7.6</v>
      </c>
      <c r="AT26" s="479">
        <v>7.6</v>
      </c>
      <c r="AU26" s="479">
        <v>38</v>
      </c>
      <c r="AW26" s="76">
        <f t="shared" si="0"/>
        <v>38</v>
      </c>
      <c r="AY26">
        <f>VLOOKUP(A26,VALO_PERSO!F:W,17,0)</f>
        <v>52690.94</v>
      </c>
      <c r="AZ26">
        <f>VLOOKUP(A26,VALO_PERSO!F:W,18,0)</f>
        <v>1675.84</v>
      </c>
      <c r="BA26" s="148">
        <f t="shared" si="1"/>
        <v>1194.7773773152569</v>
      </c>
    </row>
    <row r="27" spans="1:53" x14ac:dyDescent="0.25">
      <c r="A27">
        <v>40</v>
      </c>
      <c r="B27" t="s">
        <v>1004</v>
      </c>
      <c r="C27" t="s">
        <v>1005</v>
      </c>
      <c r="D27" t="s">
        <v>1006</v>
      </c>
      <c r="E27" s="479"/>
      <c r="F27" s="479"/>
      <c r="G27" s="479"/>
      <c r="H27" s="479"/>
      <c r="I27" s="479"/>
      <c r="J27" s="479"/>
      <c r="K27" s="479"/>
      <c r="L27" s="479"/>
      <c r="M27" s="479"/>
      <c r="N27" s="479"/>
      <c r="O27" s="479"/>
      <c r="P27" s="479"/>
      <c r="Q27" s="479"/>
      <c r="R27" s="479"/>
      <c r="S27" s="479"/>
      <c r="T27" s="479"/>
      <c r="U27" s="479"/>
      <c r="V27" s="479"/>
      <c r="W27" s="479"/>
      <c r="X27" s="479"/>
      <c r="Y27" s="479"/>
      <c r="Z27" s="479"/>
      <c r="AA27" s="479"/>
      <c r="AB27" s="479"/>
      <c r="AC27" s="479"/>
      <c r="AD27" s="479"/>
      <c r="AE27" s="479"/>
      <c r="AF27" s="479"/>
      <c r="AG27" s="479"/>
      <c r="AH27" s="479"/>
      <c r="AI27" s="479"/>
      <c r="AJ27" s="479"/>
      <c r="AK27" s="479"/>
      <c r="AL27" s="479"/>
      <c r="AM27" s="479"/>
      <c r="AN27" s="479"/>
      <c r="AO27" s="479"/>
      <c r="AP27" s="479">
        <v>7.6</v>
      </c>
      <c r="AQ27" s="479"/>
      <c r="AR27" s="479"/>
      <c r="AS27" s="479"/>
      <c r="AT27" s="479"/>
      <c r="AU27" s="479">
        <v>7.6</v>
      </c>
      <c r="AW27" s="76">
        <f t="shared" si="0"/>
        <v>7.6</v>
      </c>
      <c r="AY27">
        <f>VLOOKUP(A27,VALO_PERSO!F:W,17,0)</f>
        <v>8134.27</v>
      </c>
      <c r="AZ27">
        <f>VLOOKUP(A27,VALO_PERSO!F:W,18,0)</f>
        <v>809.29000000000008</v>
      </c>
      <c r="BA27" s="148">
        <f t="shared" si="1"/>
        <v>76.388503503070595</v>
      </c>
    </row>
    <row r="28" spans="1:53" x14ac:dyDescent="0.25">
      <c r="A28">
        <v>41</v>
      </c>
      <c r="B28" t="s">
        <v>1018</v>
      </c>
      <c r="C28" t="s">
        <v>1019</v>
      </c>
      <c r="D28" t="s">
        <v>1020</v>
      </c>
      <c r="E28" s="479"/>
      <c r="F28" s="479"/>
      <c r="G28" s="479">
        <v>7.6</v>
      </c>
      <c r="H28" s="479">
        <v>7.6</v>
      </c>
      <c r="I28" s="479">
        <v>7.6</v>
      </c>
      <c r="J28" s="479">
        <v>7.6</v>
      </c>
      <c r="K28" s="479">
        <v>7.6</v>
      </c>
      <c r="L28" s="479">
        <v>7.6</v>
      </c>
      <c r="M28" s="479">
        <v>7.6</v>
      </c>
      <c r="N28" s="479">
        <v>7.6</v>
      </c>
      <c r="O28" s="479">
        <v>7.6</v>
      </c>
      <c r="P28" s="479">
        <v>7.6</v>
      </c>
      <c r="Q28" s="479">
        <v>7.6</v>
      </c>
      <c r="R28" s="479">
        <v>7.6</v>
      </c>
      <c r="S28" s="479">
        <v>7.6</v>
      </c>
      <c r="T28" s="479">
        <v>7.6</v>
      </c>
      <c r="U28" s="479">
        <v>7.6</v>
      </c>
      <c r="V28" s="479">
        <v>7.6</v>
      </c>
      <c r="W28" s="479">
        <v>7.6</v>
      </c>
      <c r="X28" s="479">
        <v>7.6</v>
      </c>
      <c r="Y28" s="479">
        <v>7.6</v>
      </c>
      <c r="Z28" s="479">
        <v>7.6</v>
      </c>
      <c r="AA28" s="479">
        <v>7.6</v>
      </c>
      <c r="AB28" s="479">
        <v>7.6</v>
      </c>
      <c r="AC28" s="479">
        <v>7.6</v>
      </c>
      <c r="AD28" s="479">
        <v>7.6</v>
      </c>
      <c r="AE28" s="479">
        <v>7.6</v>
      </c>
      <c r="AF28" s="479">
        <v>7.6</v>
      </c>
      <c r="AG28" s="479">
        <v>7.6</v>
      </c>
      <c r="AH28" s="479">
        <v>7.6</v>
      </c>
      <c r="AI28" s="479">
        <v>7.6</v>
      </c>
      <c r="AJ28" s="479"/>
      <c r="AK28" s="479"/>
      <c r="AL28" s="479">
        <v>7.6</v>
      </c>
      <c r="AM28" s="479">
        <v>7.6</v>
      </c>
      <c r="AN28" s="479">
        <v>7.6</v>
      </c>
      <c r="AO28" s="479">
        <v>7.6</v>
      </c>
      <c r="AP28" s="479"/>
      <c r="AQ28" s="479">
        <v>7.6</v>
      </c>
      <c r="AR28" s="479">
        <v>7.6</v>
      </c>
      <c r="AS28" s="479"/>
      <c r="AT28" s="479"/>
      <c r="AU28" s="479">
        <v>265.99999999999989</v>
      </c>
      <c r="AW28" s="76">
        <f t="shared" si="0"/>
        <v>265.99999999999989</v>
      </c>
      <c r="AY28">
        <f>VLOOKUP(A28,VALO_PERSO!F:W,17,0)</f>
        <v>37078.83</v>
      </c>
      <c r="AZ28">
        <f>VLOOKUP(A28,VALO_PERSO!F:W,18,0)</f>
        <v>1263.6599999999999</v>
      </c>
      <c r="BA28" s="148">
        <f t="shared" si="1"/>
        <v>7805.0810977636374</v>
      </c>
    </row>
    <row r="29" spans="1:53" x14ac:dyDescent="0.25">
      <c r="A29">
        <v>42</v>
      </c>
      <c r="B29" t="s">
        <v>1023</v>
      </c>
      <c r="C29" t="s">
        <v>1024</v>
      </c>
      <c r="D29" t="s">
        <v>1025</v>
      </c>
      <c r="E29" s="479">
        <v>8</v>
      </c>
      <c r="F29" s="479">
        <v>8</v>
      </c>
      <c r="G29" s="479">
        <v>8</v>
      </c>
      <c r="H29" s="479"/>
      <c r="I29" s="479">
        <v>4</v>
      </c>
      <c r="J29" s="479"/>
      <c r="K29" s="479"/>
      <c r="L29" s="479"/>
      <c r="M29" s="479"/>
      <c r="N29" s="479">
        <v>8</v>
      </c>
      <c r="O29" s="479"/>
      <c r="P29" s="479"/>
      <c r="Q29" s="479">
        <v>8</v>
      </c>
      <c r="R29" s="479">
        <v>8</v>
      </c>
      <c r="S29" s="479">
        <v>8</v>
      </c>
      <c r="T29" s="479"/>
      <c r="U29" s="479"/>
      <c r="V29" s="479">
        <v>8</v>
      </c>
      <c r="W29" s="479"/>
      <c r="X29" s="479">
        <v>8</v>
      </c>
      <c r="Y29" s="479">
        <v>8</v>
      </c>
      <c r="Z29" s="479"/>
      <c r="AA29" s="479"/>
      <c r="AB29" s="479"/>
      <c r="AC29" s="479"/>
      <c r="AD29" s="479">
        <v>8</v>
      </c>
      <c r="AE29" s="479"/>
      <c r="AF29" s="479"/>
      <c r="AG29" s="479"/>
      <c r="AH29" s="479">
        <v>4</v>
      </c>
      <c r="AI29" s="479">
        <v>8</v>
      </c>
      <c r="AJ29" s="479"/>
      <c r="AK29" s="479"/>
      <c r="AL29" s="479"/>
      <c r="AM29" s="479">
        <v>4</v>
      </c>
      <c r="AN29" s="479"/>
      <c r="AO29" s="479">
        <v>4</v>
      </c>
      <c r="AP29" s="479"/>
      <c r="AQ29" s="479"/>
      <c r="AR29" s="479"/>
      <c r="AS29" s="479"/>
      <c r="AT29" s="479"/>
      <c r="AU29" s="479">
        <v>112</v>
      </c>
      <c r="AW29" s="76">
        <f t="shared" si="0"/>
        <v>112</v>
      </c>
      <c r="AY29">
        <f>VLOOKUP(A29,VALO_PERSO!F:W,17,0)</f>
        <v>61981.679999999993</v>
      </c>
      <c r="AZ29">
        <f>VLOOKUP(A29,VALO_PERSO!F:W,18,0)</f>
        <v>1656.8400000000001</v>
      </c>
      <c r="BA29" s="148">
        <f t="shared" si="1"/>
        <v>4189.8723835735491</v>
      </c>
    </row>
    <row r="30" spans="1:53" x14ac:dyDescent="0.25">
      <c r="A30">
        <v>44</v>
      </c>
      <c r="B30" t="s">
        <v>1028</v>
      </c>
      <c r="C30" t="s">
        <v>1029</v>
      </c>
      <c r="D30" t="s">
        <v>1030</v>
      </c>
      <c r="E30" s="479"/>
      <c r="F30" s="479"/>
      <c r="G30" s="479"/>
      <c r="H30" s="479"/>
      <c r="I30" s="479"/>
      <c r="J30" s="479"/>
      <c r="K30" s="479"/>
      <c r="L30" s="479"/>
      <c r="M30" s="479"/>
      <c r="N30" s="479"/>
      <c r="O30" s="479"/>
      <c r="P30" s="479"/>
      <c r="Q30" s="479"/>
      <c r="R30" s="479">
        <v>3.8</v>
      </c>
      <c r="S30" s="479"/>
      <c r="T30" s="479"/>
      <c r="U30" s="479"/>
      <c r="V30" s="479"/>
      <c r="W30" s="479"/>
      <c r="X30" s="479"/>
      <c r="Y30" s="479"/>
      <c r="Z30" s="479"/>
      <c r="AA30" s="479"/>
      <c r="AB30" s="479">
        <v>3.8</v>
      </c>
      <c r="AC30" s="479"/>
      <c r="AD30" s="479"/>
      <c r="AE30" s="479"/>
      <c r="AF30" s="479"/>
      <c r="AG30" s="479"/>
      <c r="AH30" s="479"/>
      <c r="AI30" s="479"/>
      <c r="AJ30" s="479"/>
      <c r="AK30" s="479"/>
      <c r="AL30" s="479"/>
      <c r="AM30" s="479">
        <v>7.6</v>
      </c>
      <c r="AN30" s="479"/>
      <c r="AO30" s="479"/>
      <c r="AP30" s="479">
        <v>3.8</v>
      </c>
      <c r="AQ30" s="479"/>
      <c r="AR30" s="479"/>
      <c r="AS30" s="479"/>
      <c r="AT30" s="479"/>
      <c r="AU30" s="479">
        <v>19</v>
      </c>
      <c r="AW30" s="76">
        <f t="shared" si="0"/>
        <v>19</v>
      </c>
      <c r="AY30">
        <f>VLOOKUP(A30,VALO_PERSO!F:W,17,0)</f>
        <v>27408.77</v>
      </c>
      <c r="AZ30">
        <f>VLOOKUP(A30,VALO_PERSO!F:W,18,0)</f>
        <v>449.67999999999995</v>
      </c>
      <c r="BA30" s="148">
        <f t="shared" si="1"/>
        <v>1158.0827032556485</v>
      </c>
    </row>
    <row r="31" spans="1:53" x14ac:dyDescent="0.25">
      <c r="A31">
        <v>46</v>
      </c>
      <c r="B31" t="s">
        <v>1033</v>
      </c>
      <c r="C31" t="s">
        <v>1034</v>
      </c>
      <c r="D31" t="s">
        <v>1035</v>
      </c>
      <c r="E31" s="479"/>
      <c r="F31" s="479"/>
      <c r="G31" s="479">
        <v>7.6</v>
      </c>
      <c r="H31" s="479">
        <v>7.6</v>
      </c>
      <c r="I31" s="479">
        <v>7.6</v>
      </c>
      <c r="J31" s="479">
        <v>7.6</v>
      </c>
      <c r="K31" s="479">
        <v>7.6</v>
      </c>
      <c r="L31" s="479">
        <v>7.6</v>
      </c>
      <c r="M31" s="479">
        <v>7.6</v>
      </c>
      <c r="N31" s="479">
        <v>7.6</v>
      </c>
      <c r="O31" s="479">
        <v>7.6</v>
      </c>
      <c r="P31" s="479">
        <v>7.6</v>
      </c>
      <c r="Q31" s="479">
        <v>7.6</v>
      </c>
      <c r="R31" s="479">
        <v>7.6</v>
      </c>
      <c r="S31" s="479">
        <v>7.6</v>
      </c>
      <c r="T31" s="479">
        <v>7.6</v>
      </c>
      <c r="U31" s="479">
        <v>7.6</v>
      </c>
      <c r="V31" s="479">
        <v>7.6</v>
      </c>
      <c r="W31" s="479">
        <v>7.6</v>
      </c>
      <c r="X31" s="479">
        <v>7.6</v>
      </c>
      <c r="Y31" s="479">
        <v>7.6</v>
      </c>
      <c r="Z31" s="479">
        <v>7.6</v>
      </c>
      <c r="AA31" s="479">
        <v>7.6</v>
      </c>
      <c r="AB31" s="479">
        <v>7.6</v>
      </c>
      <c r="AC31" s="479">
        <v>7.6</v>
      </c>
      <c r="AD31" s="479">
        <v>7.6</v>
      </c>
      <c r="AE31" s="479">
        <v>7.6</v>
      </c>
      <c r="AF31" s="479"/>
      <c r="AG31" s="479">
        <v>7.6</v>
      </c>
      <c r="AH31" s="479">
        <v>7.6</v>
      </c>
      <c r="AI31" s="479">
        <v>7.6</v>
      </c>
      <c r="AJ31" s="479">
        <v>7.6</v>
      </c>
      <c r="AK31" s="479">
        <v>7.6</v>
      </c>
      <c r="AL31" s="479">
        <v>7.6</v>
      </c>
      <c r="AM31" s="479">
        <v>7.6</v>
      </c>
      <c r="AN31" s="479">
        <v>7.6</v>
      </c>
      <c r="AO31" s="479">
        <v>7.6</v>
      </c>
      <c r="AP31" s="479">
        <v>7.6</v>
      </c>
      <c r="AQ31" s="479">
        <v>7.6</v>
      </c>
      <c r="AR31" s="479">
        <v>7.6</v>
      </c>
      <c r="AS31" s="479">
        <v>7.6</v>
      </c>
      <c r="AT31" s="479"/>
      <c r="AU31" s="479">
        <v>288.79999999999995</v>
      </c>
      <c r="AW31" s="76">
        <f t="shared" si="0"/>
        <v>288.79999999999995</v>
      </c>
      <c r="AY31">
        <f>VLOOKUP(A31,VALO_PERSO!F:W,17,0)</f>
        <v>56992.460000000006</v>
      </c>
      <c r="AZ31">
        <f>VLOOKUP(A31,VALO_PERSO!F:W,18,0)</f>
        <v>1081.71</v>
      </c>
      <c r="BA31" s="148">
        <f t="shared" si="1"/>
        <v>15216.113790202548</v>
      </c>
    </row>
    <row r="32" spans="1:53" x14ac:dyDescent="0.25">
      <c r="A32">
        <v>49</v>
      </c>
      <c r="B32" t="s">
        <v>1037</v>
      </c>
      <c r="C32" t="s">
        <v>1038</v>
      </c>
      <c r="D32" t="s">
        <v>901</v>
      </c>
      <c r="E32" s="479"/>
      <c r="F32" s="479"/>
      <c r="G32" s="479"/>
      <c r="H32" s="479"/>
      <c r="I32" s="479"/>
      <c r="J32" s="479"/>
      <c r="K32" s="479"/>
      <c r="L32" s="479"/>
      <c r="M32" s="479"/>
      <c r="N32" s="479"/>
      <c r="O32" s="479"/>
      <c r="P32" s="479"/>
      <c r="Q32" s="479"/>
      <c r="R32" s="479"/>
      <c r="S32" s="479"/>
      <c r="T32" s="479"/>
      <c r="U32" s="479"/>
      <c r="V32" s="479"/>
      <c r="W32" s="479"/>
      <c r="X32" s="479"/>
      <c r="Y32" s="479"/>
      <c r="Z32" s="479"/>
      <c r="AA32" s="479"/>
      <c r="AB32" s="479"/>
      <c r="AC32" s="479"/>
      <c r="AD32" s="479"/>
      <c r="AE32" s="479"/>
      <c r="AF32" s="479"/>
      <c r="AG32" s="479"/>
      <c r="AH32" s="479"/>
      <c r="AI32" s="479"/>
      <c r="AJ32" s="479"/>
      <c r="AK32" s="479"/>
      <c r="AL32" s="479"/>
      <c r="AM32" s="479"/>
      <c r="AN32" s="479"/>
      <c r="AO32" s="479"/>
      <c r="AP32" s="479">
        <v>7</v>
      </c>
      <c r="AQ32" s="479">
        <v>7</v>
      </c>
      <c r="AR32" s="479">
        <v>7</v>
      </c>
      <c r="AS32" s="479">
        <v>7</v>
      </c>
      <c r="AT32" s="479">
        <v>7</v>
      </c>
      <c r="AU32" s="479">
        <v>35</v>
      </c>
      <c r="AW32" s="76">
        <f t="shared" si="0"/>
        <v>35</v>
      </c>
      <c r="AY32">
        <f>VLOOKUP(A32,VALO_PERSO!F:W,17,0)</f>
        <v>113035.36</v>
      </c>
      <c r="AZ32">
        <f>VLOOKUP(A32,VALO_PERSO!F:W,18,0)</f>
        <v>1404</v>
      </c>
      <c r="BA32" s="148">
        <f t="shared" si="1"/>
        <v>2817.8330484330486</v>
      </c>
    </row>
    <row r="33" spans="1:53" x14ac:dyDescent="0.25">
      <c r="A33">
        <v>50</v>
      </c>
      <c r="B33" t="s">
        <v>1040</v>
      </c>
      <c r="C33" t="s">
        <v>1041</v>
      </c>
      <c r="D33" t="s">
        <v>1202</v>
      </c>
      <c r="E33" s="479"/>
      <c r="F33" s="479"/>
      <c r="G33" s="479"/>
      <c r="H33" s="479"/>
      <c r="I33" s="479"/>
      <c r="J33" s="479"/>
      <c r="K33" s="479"/>
      <c r="L33" s="479"/>
      <c r="M33" s="479"/>
      <c r="N33" s="479"/>
      <c r="O33" s="479"/>
      <c r="P33" s="479"/>
      <c r="Q33" s="479"/>
      <c r="R33" s="479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479"/>
      <c r="AF33" s="479"/>
      <c r="AG33" s="479"/>
      <c r="AH33" s="479"/>
      <c r="AI33" s="479"/>
      <c r="AJ33" s="479"/>
      <c r="AK33" s="479"/>
      <c r="AL33" s="479"/>
      <c r="AM33" s="479"/>
      <c r="AN33" s="479"/>
      <c r="AO33" s="479"/>
      <c r="AP33" s="479">
        <v>7</v>
      </c>
      <c r="AQ33" s="479">
        <v>7</v>
      </c>
      <c r="AR33" s="479">
        <v>7</v>
      </c>
      <c r="AS33" s="479">
        <v>7</v>
      </c>
      <c r="AT33" s="479">
        <v>7</v>
      </c>
      <c r="AU33" s="479">
        <v>35</v>
      </c>
      <c r="AW33" s="76">
        <f t="shared" si="0"/>
        <v>35</v>
      </c>
      <c r="AY33">
        <f>VLOOKUP(A33,VALO_PERSO!F:W,17,0)</f>
        <v>80864.709999999992</v>
      </c>
      <c r="AZ33">
        <f>VLOOKUP(A33,VALO_PERSO!F:W,18,0)</f>
        <v>1786.04</v>
      </c>
      <c r="BA33" s="148">
        <f t="shared" si="1"/>
        <v>1584.6592741483951</v>
      </c>
    </row>
    <row r="34" spans="1:53" x14ac:dyDescent="0.25">
      <c r="A34">
        <v>54</v>
      </c>
      <c r="B34" t="s">
        <v>335</v>
      </c>
      <c r="D34"/>
      <c r="E34" s="479">
        <v>15.6</v>
      </c>
      <c r="F34" s="479">
        <v>23.2</v>
      </c>
      <c r="G34" s="479">
        <v>53.75</v>
      </c>
      <c r="H34" s="479">
        <v>53.43</v>
      </c>
      <c r="I34" s="479">
        <v>68.67</v>
      </c>
      <c r="J34" s="479">
        <v>66.399999999999991</v>
      </c>
      <c r="K34" s="479">
        <v>56.65</v>
      </c>
      <c r="L34" s="479">
        <v>55.17</v>
      </c>
      <c r="M34" s="479">
        <v>60.7</v>
      </c>
      <c r="N34" s="479">
        <v>80.27</v>
      </c>
      <c r="O34" s="479">
        <v>68.8</v>
      </c>
      <c r="P34" s="479">
        <v>48.970000000000006</v>
      </c>
      <c r="Q34" s="479">
        <v>68.95</v>
      </c>
      <c r="R34" s="479">
        <v>84.149999999999991</v>
      </c>
      <c r="S34" s="479">
        <v>67.22</v>
      </c>
      <c r="T34" s="479">
        <v>75.899999999999991</v>
      </c>
      <c r="U34" s="479">
        <v>60.279999999999994</v>
      </c>
      <c r="V34" s="479">
        <v>59.300000000000004</v>
      </c>
      <c r="W34" s="479">
        <v>68.399999999999991</v>
      </c>
      <c r="X34" s="479">
        <v>68.8</v>
      </c>
      <c r="Y34" s="479">
        <v>87.799999999999983</v>
      </c>
      <c r="Z34" s="479">
        <v>64.599999999999994</v>
      </c>
      <c r="AA34" s="479">
        <v>85.649999999999991</v>
      </c>
      <c r="AB34" s="479">
        <v>83.839999999999989</v>
      </c>
      <c r="AC34" s="479">
        <v>68.459999999999994</v>
      </c>
      <c r="AD34" s="479">
        <v>80.099999999999994</v>
      </c>
      <c r="AE34" s="479">
        <v>49.05</v>
      </c>
      <c r="AF34" s="479">
        <v>37.449999999999996</v>
      </c>
      <c r="AG34" s="479">
        <v>55.670000000000009</v>
      </c>
      <c r="AH34" s="479">
        <v>72.47</v>
      </c>
      <c r="AI34" s="479">
        <v>61.44</v>
      </c>
      <c r="AJ34" s="479">
        <v>41.48</v>
      </c>
      <c r="AK34" s="479">
        <v>75.899999999999991</v>
      </c>
      <c r="AL34" s="479">
        <v>91.1</v>
      </c>
      <c r="AM34" s="479">
        <v>105.17999999999998</v>
      </c>
      <c r="AN34" s="479">
        <v>68.38</v>
      </c>
      <c r="AO34" s="479">
        <v>60.739999999999995</v>
      </c>
      <c r="AP34" s="479">
        <v>95.679999999999978</v>
      </c>
      <c r="AQ34" s="479">
        <v>98.079999999999984</v>
      </c>
      <c r="AR34" s="479">
        <v>101.04999999999998</v>
      </c>
      <c r="AS34" s="479">
        <v>93.699999999999989</v>
      </c>
      <c r="AT34" s="479">
        <v>78.59</v>
      </c>
      <c r="AU34" s="479">
        <v>2861.0199999999995</v>
      </c>
      <c r="AW34" s="76">
        <f t="shared" si="0"/>
        <v>2861.0199999999995</v>
      </c>
      <c r="AY34">
        <f>VLOOKUP(A34,VALO_PERSO!F:W,17,0)</f>
        <v>8455.9600000000009</v>
      </c>
      <c r="AZ34">
        <f>VLOOKUP(A34,VALO_PERSO!F:W,18,0)</f>
        <v>1073.3599999999999</v>
      </c>
      <c r="BA34" s="148">
        <f t="shared" si="1"/>
        <v>22539.195311172396</v>
      </c>
    </row>
    <row r="35" spans="1:53" x14ac:dyDescent="0.25">
      <c r="D35"/>
      <c r="E35"/>
      <c r="F35"/>
      <c r="G35"/>
      <c r="H35"/>
      <c r="I35"/>
      <c r="J35"/>
      <c r="K35"/>
      <c r="L35"/>
      <c r="M35"/>
      <c r="P35"/>
      <c r="Q35"/>
    </row>
    <row r="36" spans="1:53" x14ac:dyDescent="0.25">
      <c r="D36"/>
      <c r="E36"/>
      <c r="F36"/>
      <c r="G36"/>
      <c r="H36"/>
      <c r="I36"/>
      <c r="J36"/>
      <c r="K36"/>
      <c r="L36"/>
      <c r="M36"/>
      <c r="P36" s="480">
        <f t="shared" ref="P36:P52" si="2">+SUM(L36:N36)+H36</f>
        <v>0</v>
      </c>
      <c r="Q36" s="489">
        <f t="shared" ref="Q36:Q52" si="3">E36+F36</f>
        <v>0</v>
      </c>
    </row>
    <row r="37" spans="1:53" x14ac:dyDescent="0.25">
      <c r="D37"/>
      <c r="E37"/>
      <c r="F37"/>
      <c r="G37"/>
      <c r="H37"/>
      <c r="I37"/>
      <c r="J37"/>
      <c r="K37"/>
      <c r="L37"/>
      <c r="M37"/>
      <c r="P37" s="480">
        <f t="shared" si="2"/>
        <v>0</v>
      </c>
      <c r="Q37" s="489">
        <f t="shared" si="3"/>
        <v>0</v>
      </c>
    </row>
    <row r="38" spans="1:53" x14ac:dyDescent="0.25">
      <c r="D38"/>
      <c r="E38"/>
      <c r="F38"/>
      <c r="G38"/>
      <c r="H38"/>
      <c r="I38"/>
      <c r="J38"/>
      <c r="K38"/>
      <c r="L38"/>
      <c r="M38"/>
      <c r="P38" s="480">
        <f t="shared" si="2"/>
        <v>0</v>
      </c>
      <c r="Q38" s="489">
        <f t="shared" si="3"/>
        <v>0</v>
      </c>
    </row>
    <row r="39" spans="1:53" x14ac:dyDescent="0.25">
      <c r="D39"/>
      <c r="E39"/>
      <c r="F39"/>
      <c r="G39"/>
      <c r="H39"/>
      <c r="I39"/>
      <c r="J39"/>
      <c r="K39"/>
      <c r="L39"/>
      <c r="M39"/>
      <c r="P39" s="480">
        <f t="shared" si="2"/>
        <v>0</v>
      </c>
      <c r="Q39" s="489">
        <f t="shared" si="3"/>
        <v>0</v>
      </c>
    </row>
    <row r="40" spans="1:53" x14ac:dyDescent="0.25">
      <c r="D40"/>
      <c r="E40"/>
      <c r="F40"/>
      <c r="G40"/>
      <c r="H40"/>
      <c r="I40"/>
      <c r="J40"/>
      <c r="K40"/>
      <c r="L40"/>
      <c r="M40"/>
      <c r="P40" s="480">
        <f t="shared" si="2"/>
        <v>0</v>
      </c>
      <c r="Q40" s="489">
        <f t="shared" si="3"/>
        <v>0</v>
      </c>
    </row>
    <row r="41" spans="1:53" x14ac:dyDescent="0.25">
      <c r="D41"/>
      <c r="E41"/>
      <c r="F41"/>
      <c r="G41"/>
      <c r="H41"/>
      <c r="I41"/>
      <c r="J41"/>
      <c r="K41"/>
      <c r="L41"/>
      <c r="M41"/>
      <c r="P41" s="480">
        <f t="shared" si="2"/>
        <v>0</v>
      </c>
      <c r="Q41" s="489">
        <f t="shared" si="3"/>
        <v>0</v>
      </c>
    </row>
    <row r="42" spans="1:53" x14ac:dyDescent="0.25">
      <c r="D42"/>
      <c r="E42"/>
      <c r="F42"/>
      <c r="G42"/>
      <c r="H42"/>
      <c r="I42"/>
      <c r="J42"/>
      <c r="K42"/>
      <c r="L42"/>
      <c r="M42"/>
      <c r="P42" s="480">
        <f t="shared" si="2"/>
        <v>0</v>
      </c>
      <c r="Q42" s="489">
        <f t="shared" si="3"/>
        <v>0</v>
      </c>
    </row>
    <row r="43" spans="1:53" x14ac:dyDescent="0.25">
      <c r="D43"/>
      <c r="E43"/>
      <c r="F43"/>
      <c r="G43"/>
      <c r="H43"/>
      <c r="I43"/>
      <c r="J43"/>
      <c r="K43"/>
      <c r="L43"/>
      <c r="M43"/>
      <c r="P43" s="480">
        <f t="shared" si="2"/>
        <v>0</v>
      </c>
      <c r="Q43" s="489">
        <f t="shared" si="3"/>
        <v>0</v>
      </c>
    </row>
    <row r="44" spans="1:53" x14ac:dyDescent="0.25">
      <c r="D44"/>
      <c r="E44"/>
      <c r="F44"/>
      <c r="G44"/>
      <c r="H44"/>
      <c r="I44"/>
      <c r="J44"/>
      <c r="K44"/>
      <c r="L44"/>
      <c r="M44"/>
      <c r="P44" s="480">
        <f t="shared" si="2"/>
        <v>0</v>
      </c>
      <c r="Q44" s="489">
        <f t="shared" si="3"/>
        <v>0</v>
      </c>
    </row>
    <row r="45" spans="1:53" x14ac:dyDescent="0.25">
      <c r="D45"/>
      <c r="E45"/>
      <c r="F45"/>
      <c r="G45"/>
      <c r="H45"/>
      <c r="I45"/>
      <c r="J45"/>
      <c r="K45"/>
      <c r="L45"/>
      <c r="M45"/>
      <c r="P45" s="480">
        <f t="shared" si="2"/>
        <v>0</v>
      </c>
      <c r="Q45" s="489">
        <f t="shared" si="3"/>
        <v>0</v>
      </c>
    </row>
    <row r="46" spans="1:53" x14ac:dyDescent="0.25">
      <c r="D46"/>
      <c r="E46"/>
      <c r="F46"/>
      <c r="G46"/>
      <c r="H46"/>
      <c r="I46"/>
      <c r="J46"/>
      <c r="K46"/>
      <c r="L46"/>
      <c r="M46"/>
      <c r="P46" s="480">
        <f t="shared" si="2"/>
        <v>0</v>
      </c>
      <c r="Q46" s="489">
        <f t="shared" si="3"/>
        <v>0</v>
      </c>
    </row>
    <row r="47" spans="1:53" x14ac:dyDescent="0.25">
      <c r="D47"/>
      <c r="E47"/>
      <c r="F47"/>
      <c r="G47"/>
      <c r="H47"/>
      <c r="I47"/>
      <c r="J47"/>
      <c r="K47"/>
      <c r="L47"/>
      <c r="M47"/>
      <c r="P47" s="480">
        <f t="shared" si="2"/>
        <v>0</v>
      </c>
      <c r="Q47" s="489">
        <f t="shared" si="3"/>
        <v>0</v>
      </c>
    </row>
    <row r="48" spans="1:53" x14ac:dyDescent="0.25">
      <c r="D48"/>
      <c r="E48"/>
      <c r="F48"/>
      <c r="G48"/>
      <c r="H48"/>
      <c r="I48"/>
      <c r="J48"/>
      <c r="K48"/>
      <c r="L48"/>
      <c r="M48"/>
      <c r="P48" s="480">
        <f t="shared" si="2"/>
        <v>0</v>
      </c>
      <c r="Q48" s="489">
        <f t="shared" si="3"/>
        <v>0</v>
      </c>
    </row>
    <row r="49" spans="4:17" x14ac:dyDescent="0.25">
      <c r="D49"/>
      <c r="E49"/>
      <c r="F49"/>
      <c r="G49"/>
      <c r="H49"/>
      <c r="I49"/>
      <c r="J49"/>
      <c r="K49"/>
      <c r="L49"/>
      <c r="M49"/>
      <c r="P49" s="480">
        <f t="shared" si="2"/>
        <v>0</v>
      </c>
      <c r="Q49" s="489">
        <f t="shared" si="3"/>
        <v>0</v>
      </c>
    </row>
    <row r="50" spans="4:17" x14ac:dyDescent="0.25">
      <c r="D50"/>
      <c r="E50"/>
      <c r="F50"/>
      <c r="G50"/>
      <c r="H50"/>
      <c r="I50"/>
      <c r="J50"/>
      <c r="K50"/>
      <c r="L50"/>
      <c r="M50"/>
      <c r="P50" s="480">
        <f t="shared" si="2"/>
        <v>0</v>
      </c>
      <c r="Q50" s="489">
        <f t="shared" si="3"/>
        <v>0</v>
      </c>
    </row>
    <row r="51" spans="4:17" x14ac:dyDescent="0.25">
      <c r="D51"/>
      <c r="E51"/>
      <c r="F51"/>
      <c r="G51"/>
      <c r="H51"/>
      <c r="I51"/>
      <c r="J51"/>
      <c r="K51"/>
      <c r="L51"/>
      <c r="M51"/>
      <c r="P51" s="480">
        <f t="shared" si="2"/>
        <v>0</v>
      </c>
      <c r="Q51" s="489">
        <f t="shared" si="3"/>
        <v>0</v>
      </c>
    </row>
    <row r="52" spans="4:17" x14ac:dyDescent="0.25">
      <c r="D52"/>
      <c r="E52"/>
      <c r="F52"/>
      <c r="G52"/>
      <c r="H52"/>
      <c r="I52"/>
      <c r="J52"/>
      <c r="K52"/>
      <c r="L52"/>
      <c r="M52"/>
      <c r="P52" s="480">
        <f t="shared" si="2"/>
        <v>0</v>
      </c>
      <c r="Q52" s="489">
        <f t="shared" si="3"/>
        <v>0</v>
      </c>
    </row>
    <row r="55" spans="4:17" x14ac:dyDescent="0.25">
      <c r="Q55" s="49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FCC4-0BB2-498F-9F49-67D2E41ABE9A}">
  <sheetPr>
    <tabColor rgb="FFFF99CC"/>
  </sheetPr>
  <dimension ref="A4:CT55"/>
  <sheetViews>
    <sheetView topLeftCell="A6" workbookViewId="0">
      <selection activeCell="B44" sqref="B44"/>
    </sheetView>
  </sheetViews>
  <sheetFormatPr baseColWidth="10" defaultRowHeight="15" x14ac:dyDescent="0.25"/>
  <cols>
    <col min="2" max="2" width="22.28515625" bestFit="1" customWidth="1"/>
    <col min="3" max="3" width="12.140625" bestFit="1" customWidth="1"/>
    <col min="4" max="4" width="10.28515625" style="468" bestFit="1" customWidth="1"/>
    <col min="5" max="5" width="14.42578125" style="469" hidden="1" customWidth="1"/>
    <col min="6" max="6" width="14.42578125" style="460" hidden="1" customWidth="1"/>
    <col min="7" max="7" width="14.42578125" style="469" hidden="1" customWidth="1"/>
    <col min="8" max="8" width="14.42578125" style="470" hidden="1" customWidth="1"/>
    <col min="9" max="9" width="14.42578125" style="196" hidden="1" customWidth="1"/>
    <col min="10" max="10" width="14.42578125" style="471" hidden="1" customWidth="1"/>
    <col min="11" max="13" width="14.42578125" style="304" hidden="1" customWidth="1"/>
    <col min="14" max="15" width="14.42578125" hidden="1" customWidth="1"/>
    <col min="16" max="16" width="14.42578125" style="304" hidden="1" customWidth="1"/>
    <col min="17" max="17" width="14.42578125" style="468" hidden="1" customWidth="1"/>
    <col min="18" max="88" width="14.42578125" hidden="1" customWidth="1"/>
    <col min="89" max="89" width="12.5703125" bestFit="1" customWidth="1"/>
    <col min="90" max="90" width="5.42578125" bestFit="1" customWidth="1"/>
    <col min="91" max="91" width="5.42578125" customWidth="1"/>
    <col min="92" max="231" width="14.42578125" bestFit="1" customWidth="1"/>
    <col min="232" max="232" width="12.5703125" bestFit="1" customWidth="1"/>
  </cols>
  <sheetData>
    <row r="4" spans="1:98" x14ac:dyDescent="0.25">
      <c r="B4" s="468" t="s">
        <v>1225</v>
      </c>
      <c r="C4" t="s">
        <v>1245</v>
      </c>
    </row>
    <row r="6" spans="1:98" x14ac:dyDescent="0.25">
      <c r="B6" s="481" t="s">
        <v>1224</v>
      </c>
      <c r="D6"/>
      <c r="E6" s="481" t="s">
        <v>1334</v>
      </c>
      <c r="F6" s="469"/>
      <c r="G6" s="460"/>
      <c r="H6" s="469"/>
      <c r="I6" s="470"/>
      <c r="J6" s="196"/>
      <c r="K6" s="471"/>
      <c r="N6" s="304"/>
      <c r="P6"/>
      <c r="Q6"/>
    </row>
    <row r="7" spans="1:98" x14ac:dyDescent="0.25">
      <c r="B7" s="481" t="s">
        <v>366</v>
      </c>
      <c r="C7" s="481" t="s">
        <v>367</v>
      </c>
      <c r="D7" s="481" t="s">
        <v>1226</v>
      </c>
      <c r="E7" s="72">
        <v>45659</v>
      </c>
      <c r="F7" s="72">
        <v>45660</v>
      </c>
      <c r="G7" s="72">
        <v>45663</v>
      </c>
      <c r="H7" s="72">
        <v>45664</v>
      </c>
      <c r="I7" s="72">
        <v>45665</v>
      </c>
      <c r="J7" s="72">
        <v>45666</v>
      </c>
      <c r="K7" s="72">
        <v>45667</v>
      </c>
      <c r="L7" s="72">
        <v>45670</v>
      </c>
      <c r="M7" s="72">
        <v>45671</v>
      </c>
      <c r="N7" s="72">
        <v>45672</v>
      </c>
      <c r="O7" s="72">
        <v>45673</v>
      </c>
      <c r="P7" s="72">
        <v>45674</v>
      </c>
      <c r="Q7" s="72">
        <v>45677</v>
      </c>
      <c r="R7" s="72">
        <v>45678</v>
      </c>
      <c r="S7" s="72">
        <v>45679</v>
      </c>
      <c r="T7" s="72">
        <v>45680</v>
      </c>
      <c r="U7" s="72">
        <v>45681</v>
      </c>
      <c r="V7" s="72">
        <v>45684</v>
      </c>
      <c r="W7" s="72">
        <v>45685</v>
      </c>
      <c r="X7" s="72">
        <v>45686</v>
      </c>
      <c r="Y7" s="72">
        <v>45687</v>
      </c>
      <c r="Z7" s="72">
        <v>45688</v>
      </c>
      <c r="AA7" s="72">
        <v>45691</v>
      </c>
      <c r="AB7" s="72">
        <v>45692</v>
      </c>
      <c r="AC7" s="72">
        <v>45693</v>
      </c>
      <c r="AD7" s="72">
        <v>45694</v>
      </c>
      <c r="AE7" s="72">
        <v>45695</v>
      </c>
      <c r="AF7" s="72">
        <v>45698</v>
      </c>
      <c r="AG7" s="72">
        <v>45699</v>
      </c>
      <c r="AH7" s="72">
        <v>45700</v>
      </c>
      <c r="AI7" s="72">
        <v>45701</v>
      </c>
      <c r="AJ7" s="72">
        <v>45702</v>
      </c>
      <c r="AK7" s="72">
        <v>45705</v>
      </c>
      <c r="AL7" s="72">
        <v>45706</v>
      </c>
      <c r="AM7" s="72">
        <v>45707</v>
      </c>
      <c r="AN7" s="72">
        <v>45708</v>
      </c>
      <c r="AO7" s="72">
        <v>45709</v>
      </c>
      <c r="AP7" s="72">
        <v>45712</v>
      </c>
      <c r="AQ7" s="72">
        <v>45713</v>
      </c>
      <c r="AR7" s="72">
        <v>45714</v>
      </c>
      <c r="AS7" s="72">
        <v>45715</v>
      </c>
      <c r="AT7" s="72">
        <v>45716</v>
      </c>
      <c r="AU7" s="72">
        <v>45719</v>
      </c>
      <c r="AV7" s="72">
        <v>45720</v>
      </c>
      <c r="AW7" s="72">
        <v>45721</v>
      </c>
      <c r="AX7" s="72">
        <v>45722</v>
      </c>
      <c r="AY7" s="72">
        <v>45723</v>
      </c>
      <c r="AZ7" s="72">
        <v>45726</v>
      </c>
      <c r="BA7" s="72">
        <v>45727</v>
      </c>
      <c r="BB7" s="72">
        <v>45728</v>
      </c>
      <c r="BC7" s="72">
        <v>45729</v>
      </c>
      <c r="BD7" s="72">
        <v>45730</v>
      </c>
      <c r="BE7" s="72">
        <v>45733</v>
      </c>
      <c r="BF7" s="72">
        <v>45734</v>
      </c>
      <c r="BG7" s="72">
        <v>45735</v>
      </c>
      <c r="BH7" s="72">
        <v>45736</v>
      </c>
      <c r="BI7" s="72">
        <v>45737</v>
      </c>
      <c r="BJ7" s="72">
        <v>45740</v>
      </c>
      <c r="BK7" s="72">
        <v>45741</v>
      </c>
      <c r="BL7" s="72">
        <v>45742</v>
      </c>
      <c r="BM7" s="72">
        <v>45743</v>
      </c>
      <c r="BN7" s="72">
        <v>45744</v>
      </c>
      <c r="BO7" s="72">
        <v>45747</v>
      </c>
      <c r="BP7" s="72">
        <v>45748</v>
      </c>
      <c r="BQ7" s="72">
        <v>45749</v>
      </c>
      <c r="BR7" s="72">
        <v>45750</v>
      </c>
      <c r="BS7" s="72">
        <v>45751</v>
      </c>
      <c r="BT7" s="72">
        <v>45754</v>
      </c>
      <c r="BU7" s="72">
        <v>45755</v>
      </c>
      <c r="BV7" s="72">
        <v>45756</v>
      </c>
      <c r="BW7" s="72">
        <v>45757</v>
      </c>
      <c r="BX7" s="72">
        <v>45758</v>
      </c>
      <c r="BY7" s="72">
        <v>45761</v>
      </c>
      <c r="BZ7" s="72">
        <v>45762</v>
      </c>
      <c r="CA7" s="72">
        <v>45763</v>
      </c>
      <c r="CB7" s="72">
        <v>45764</v>
      </c>
      <c r="CC7" s="72">
        <v>45765</v>
      </c>
      <c r="CD7" s="72">
        <v>45769</v>
      </c>
      <c r="CE7" s="72">
        <v>45770</v>
      </c>
      <c r="CF7" s="72">
        <v>45771</v>
      </c>
      <c r="CG7" s="72">
        <v>45772</v>
      </c>
      <c r="CH7" s="72">
        <v>45775</v>
      </c>
      <c r="CI7" s="72">
        <v>45776</v>
      </c>
      <c r="CJ7" s="72">
        <v>45777</v>
      </c>
      <c r="CK7" s="72" t="s">
        <v>335</v>
      </c>
      <c r="CN7" t="s">
        <v>1370</v>
      </c>
      <c r="CO7" t="s">
        <v>1335</v>
      </c>
      <c r="CP7" t="s">
        <v>1371</v>
      </c>
    </row>
    <row r="8" spans="1:98" x14ac:dyDescent="0.25">
      <c r="A8">
        <v>1</v>
      </c>
      <c r="B8" t="s">
        <v>873</v>
      </c>
      <c r="C8" t="s">
        <v>874</v>
      </c>
      <c r="D8" t="s">
        <v>875</v>
      </c>
      <c r="E8" s="479"/>
      <c r="F8" s="479">
        <v>7.6</v>
      </c>
      <c r="G8" s="479">
        <v>7.6</v>
      </c>
      <c r="H8" s="479">
        <v>7.6</v>
      </c>
      <c r="I8" s="479">
        <v>7.6</v>
      </c>
      <c r="J8" s="479">
        <v>7.6</v>
      </c>
      <c r="K8" s="479">
        <v>7.6</v>
      </c>
      <c r="L8" s="479">
        <v>7.6</v>
      </c>
      <c r="M8" s="479">
        <v>7.6</v>
      </c>
      <c r="N8" s="479">
        <v>7.6</v>
      </c>
      <c r="O8" s="479">
        <v>7.6</v>
      </c>
      <c r="P8" s="479">
        <v>7.6</v>
      </c>
      <c r="Q8" s="479"/>
      <c r="R8" s="479"/>
      <c r="S8" s="479">
        <v>3.8</v>
      </c>
      <c r="T8" s="479">
        <v>7.6</v>
      </c>
      <c r="U8" s="479">
        <v>7.6</v>
      </c>
      <c r="V8" s="479">
        <v>7.6</v>
      </c>
      <c r="W8" s="479">
        <v>7.6</v>
      </c>
      <c r="X8" s="479">
        <v>7.6</v>
      </c>
      <c r="Y8" s="479">
        <v>7.6</v>
      </c>
      <c r="Z8" s="479">
        <v>7.6</v>
      </c>
      <c r="AA8" s="479">
        <v>7.6</v>
      </c>
      <c r="AB8" s="479">
        <v>7.6</v>
      </c>
      <c r="AC8" s="479">
        <v>7.6</v>
      </c>
      <c r="AD8" s="479">
        <v>7.6</v>
      </c>
      <c r="AE8" s="479">
        <v>7.6</v>
      </c>
      <c r="AF8" s="479"/>
      <c r="AG8" s="479"/>
      <c r="AH8" s="479">
        <v>7.6</v>
      </c>
      <c r="AI8" s="479"/>
      <c r="AJ8" s="479">
        <v>7.6</v>
      </c>
      <c r="AK8" s="479"/>
      <c r="AL8" s="479"/>
      <c r="AM8" s="479"/>
      <c r="AN8" s="479"/>
      <c r="AO8" s="479"/>
      <c r="AP8" s="479"/>
      <c r="AQ8" s="479"/>
      <c r="AR8" s="479"/>
      <c r="AS8" s="479"/>
      <c r="AT8" s="479"/>
      <c r="AU8" s="479"/>
      <c r="AV8" s="479"/>
      <c r="AW8" s="479">
        <v>7.6</v>
      </c>
      <c r="AX8" s="479">
        <v>7.6</v>
      </c>
      <c r="AY8" s="479">
        <v>7.6</v>
      </c>
      <c r="AZ8" s="479">
        <v>7.6</v>
      </c>
      <c r="BA8" s="479">
        <v>7.6</v>
      </c>
      <c r="BB8" s="479">
        <v>7.6</v>
      </c>
      <c r="BC8" s="479">
        <v>7.6</v>
      </c>
      <c r="BD8" s="479">
        <v>7.6</v>
      </c>
      <c r="BE8" s="479">
        <v>7.6</v>
      </c>
      <c r="BF8" s="479">
        <v>7.6</v>
      </c>
      <c r="BG8" s="479">
        <v>7.6</v>
      </c>
      <c r="BH8" s="479"/>
      <c r="BI8" s="479">
        <v>3.8</v>
      </c>
      <c r="BJ8" s="479">
        <v>3.8</v>
      </c>
      <c r="BK8" s="479">
        <v>3.8</v>
      </c>
      <c r="BL8" s="479"/>
      <c r="BM8" s="479"/>
      <c r="BN8" s="479"/>
      <c r="BO8" s="479">
        <v>7.6</v>
      </c>
      <c r="BP8" s="479">
        <v>7.6</v>
      </c>
      <c r="BQ8" s="479">
        <v>7.6</v>
      </c>
      <c r="BR8" s="479">
        <v>7.6</v>
      </c>
      <c r="BS8" s="479">
        <v>7.6</v>
      </c>
      <c r="BT8" s="479">
        <v>7.6</v>
      </c>
      <c r="BU8" s="479">
        <v>7.6</v>
      </c>
      <c r="BV8" s="479">
        <v>7.6</v>
      </c>
      <c r="BW8" s="479">
        <v>7.6</v>
      </c>
      <c r="BX8" s="479">
        <v>7.6</v>
      </c>
      <c r="BY8" s="479">
        <v>7.6</v>
      </c>
      <c r="BZ8" s="479">
        <v>7.6</v>
      </c>
      <c r="CA8" s="479">
        <v>7.6</v>
      </c>
      <c r="CB8" s="479">
        <v>7.6</v>
      </c>
      <c r="CC8" s="479">
        <v>7.6</v>
      </c>
      <c r="CD8" s="479">
        <v>10</v>
      </c>
      <c r="CE8" s="479">
        <v>10</v>
      </c>
      <c r="CF8" s="479">
        <v>10</v>
      </c>
      <c r="CG8" s="479">
        <v>10</v>
      </c>
      <c r="CH8" s="479">
        <v>7.6</v>
      </c>
      <c r="CI8" s="479">
        <v>7.6</v>
      </c>
      <c r="CJ8" s="479">
        <v>7.6</v>
      </c>
      <c r="CK8" s="479">
        <v>465.60000000000036</v>
      </c>
      <c r="CL8" s="76">
        <f>SUM(E8:CJ8)</f>
        <v>465.60000000000036</v>
      </c>
      <c r="CM8" s="76"/>
      <c r="CN8">
        <f>VLOOKUP(A8,VALO_PERSO!F:W,17,0)</f>
        <v>86523.199999999983</v>
      </c>
      <c r="CO8">
        <f>VLOOKUP(A8,VALO_PERSO!F:W,18,0)</f>
        <v>1691.04</v>
      </c>
      <c r="CP8" s="148">
        <f>CL8/CO8*CN8</f>
        <v>23822.737439682107</v>
      </c>
      <c r="CT8" s="148"/>
    </row>
    <row r="9" spans="1:98" x14ac:dyDescent="0.25">
      <c r="A9">
        <v>4</v>
      </c>
      <c r="B9" t="s">
        <v>878</v>
      </c>
      <c r="C9" t="s">
        <v>879</v>
      </c>
      <c r="D9" t="s">
        <v>880</v>
      </c>
      <c r="E9" s="479">
        <v>3.8</v>
      </c>
      <c r="F9" s="479">
        <v>7.6</v>
      </c>
      <c r="G9" s="479">
        <v>3.8</v>
      </c>
      <c r="H9" s="479">
        <v>3.8</v>
      </c>
      <c r="I9" s="479">
        <v>7.6</v>
      </c>
      <c r="J9" s="479">
        <v>7.6</v>
      </c>
      <c r="K9" s="479">
        <v>3.8</v>
      </c>
      <c r="L9" s="479">
        <v>7.6</v>
      </c>
      <c r="M9" s="479">
        <v>3.8</v>
      </c>
      <c r="N9" s="479">
        <v>7.6</v>
      </c>
      <c r="O9" s="479">
        <v>7.6</v>
      </c>
      <c r="P9" s="479">
        <v>7.6</v>
      </c>
      <c r="Q9" s="479">
        <v>7.6</v>
      </c>
      <c r="R9" s="479">
        <v>7.6</v>
      </c>
      <c r="S9" s="479">
        <v>3.8</v>
      </c>
      <c r="T9" s="479">
        <v>7.6</v>
      </c>
      <c r="U9" s="479">
        <v>3.8</v>
      </c>
      <c r="V9" s="479"/>
      <c r="W9" s="479">
        <v>7.6</v>
      </c>
      <c r="X9" s="479"/>
      <c r="Y9" s="479">
        <v>7.6</v>
      </c>
      <c r="Z9" s="479"/>
      <c r="AA9" s="479">
        <v>7.6</v>
      </c>
      <c r="AB9" s="479">
        <v>3.8</v>
      </c>
      <c r="AC9" s="479"/>
      <c r="AD9" s="479">
        <v>3.8</v>
      </c>
      <c r="AE9" s="479">
        <v>7.6</v>
      </c>
      <c r="AF9" s="479">
        <v>3.8</v>
      </c>
      <c r="AG9" s="479">
        <v>7.6</v>
      </c>
      <c r="AH9" s="479">
        <v>7.6</v>
      </c>
      <c r="AI9" s="479">
        <v>3.8</v>
      </c>
      <c r="AJ9" s="479">
        <v>7.6</v>
      </c>
      <c r="AK9" s="479">
        <v>3.8</v>
      </c>
      <c r="AL9" s="479">
        <v>3.8</v>
      </c>
      <c r="AM9" s="479">
        <v>3.8</v>
      </c>
      <c r="AN9" s="479"/>
      <c r="AO9" s="479">
        <v>3.8</v>
      </c>
      <c r="AP9" s="479">
        <v>7.6</v>
      </c>
      <c r="AQ9" s="479">
        <v>3.8</v>
      </c>
      <c r="AR9" s="479">
        <v>7.6</v>
      </c>
      <c r="AS9" s="479">
        <v>7.6</v>
      </c>
      <c r="AT9" s="479">
        <v>7.6</v>
      </c>
      <c r="AU9" s="479">
        <v>7.6</v>
      </c>
      <c r="AV9" s="479">
        <v>3.8</v>
      </c>
      <c r="AW9" s="479">
        <v>7.6</v>
      </c>
      <c r="AX9" s="479">
        <v>7.6</v>
      </c>
      <c r="AY9" s="479"/>
      <c r="AZ9" s="479">
        <v>7.6</v>
      </c>
      <c r="BA9" s="479">
        <v>7.6</v>
      </c>
      <c r="BB9" s="479">
        <v>3.8</v>
      </c>
      <c r="BC9" s="479">
        <v>7.6</v>
      </c>
      <c r="BD9" s="479">
        <v>7.6</v>
      </c>
      <c r="BE9" s="479">
        <v>7.6</v>
      </c>
      <c r="BF9" s="479"/>
      <c r="BG9" s="479">
        <v>7.6</v>
      </c>
      <c r="BH9" s="479">
        <v>7.6</v>
      </c>
      <c r="BI9" s="479">
        <v>3.8</v>
      </c>
      <c r="BJ9" s="479">
        <v>7.6</v>
      </c>
      <c r="BK9" s="479"/>
      <c r="BL9" s="479">
        <v>7.6</v>
      </c>
      <c r="BM9" s="479"/>
      <c r="BN9" s="479">
        <v>7.6</v>
      </c>
      <c r="BO9" s="479">
        <v>7.6</v>
      </c>
      <c r="BP9" s="479">
        <v>3.8</v>
      </c>
      <c r="BQ9" s="479">
        <v>7.6</v>
      </c>
      <c r="BR9" s="479">
        <v>3.8</v>
      </c>
      <c r="BS9" s="479">
        <v>7.6</v>
      </c>
      <c r="BT9" s="479">
        <v>7.6</v>
      </c>
      <c r="BU9" s="479">
        <v>7.6</v>
      </c>
      <c r="BV9" s="479">
        <v>3.8</v>
      </c>
      <c r="BW9" s="479"/>
      <c r="BX9" s="479">
        <v>7.6</v>
      </c>
      <c r="BY9" s="479">
        <v>7.6</v>
      </c>
      <c r="BZ9" s="479">
        <v>7.6</v>
      </c>
      <c r="CA9" s="479">
        <v>3.8</v>
      </c>
      <c r="CB9" s="479">
        <v>3.8</v>
      </c>
      <c r="CC9" s="479"/>
      <c r="CD9" s="479"/>
      <c r="CE9" s="479"/>
      <c r="CF9" s="479"/>
      <c r="CG9" s="479"/>
      <c r="CH9" s="479">
        <v>7.6</v>
      </c>
      <c r="CI9" s="479">
        <v>3.8</v>
      </c>
      <c r="CJ9" s="479">
        <v>3.8</v>
      </c>
      <c r="CK9" s="479">
        <v>425.60000000000048</v>
      </c>
      <c r="CL9" s="76">
        <f t="shared" ref="CL9:CL37" si="0">SUM(E9:CJ9)</f>
        <v>425.60000000000048</v>
      </c>
      <c r="CM9" s="76"/>
      <c r="CN9">
        <f>VLOOKUP(A9,VALO_PERSO!F:W,17,0)</f>
        <v>96599.79</v>
      </c>
      <c r="CO9">
        <f>VLOOKUP(A9,VALO_PERSO!F:W,18,0)</f>
        <v>1679.64</v>
      </c>
      <c r="CP9" s="148">
        <f t="shared" ref="CP9:CP34" si="1">CL9/CO9*CN9</f>
        <v>24477.191912552713</v>
      </c>
    </row>
    <row r="10" spans="1:98" x14ac:dyDescent="0.25">
      <c r="A10">
        <v>5</v>
      </c>
      <c r="B10" t="s">
        <v>882</v>
      </c>
      <c r="C10" t="s">
        <v>883</v>
      </c>
      <c r="D10" t="s">
        <v>884</v>
      </c>
      <c r="E10" s="479"/>
      <c r="F10" s="479"/>
      <c r="G10" s="479"/>
      <c r="H10" s="479"/>
      <c r="I10" s="479">
        <v>3.8</v>
      </c>
      <c r="J10" s="479">
        <v>3.8</v>
      </c>
      <c r="K10" s="479"/>
      <c r="L10" s="479"/>
      <c r="M10" s="479"/>
      <c r="N10" s="479">
        <v>1.9</v>
      </c>
      <c r="O10" s="479"/>
      <c r="P10" s="479">
        <v>5.7</v>
      </c>
      <c r="Q10" s="479">
        <v>1.9</v>
      </c>
      <c r="R10" s="479"/>
      <c r="S10" s="479">
        <v>5.7</v>
      </c>
      <c r="T10" s="479"/>
      <c r="U10" s="479"/>
      <c r="V10" s="479"/>
      <c r="W10" s="479"/>
      <c r="X10" s="479"/>
      <c r="Y10" s="479">
        <v>1.9</v>
      </c>
      <c r="Z10" s="479">
        <v>5.6999999999999993</v>
      </c>
      <c r="AA10" s="479"/>
      <c r="AB10" s="479"/>
      <c r="AC10" s="479">
        <v>5.7</v>
      </c>
      <c r="AD10" s="479">
        <v>1.9</v>
      </c>
      <c r="AE10" s="479"/>
      <c r="AF10" s="479"/>
      <c r="AG10" s="479">
        <v>1.9</v>
      </c>
      <c r="AH10" s="479">
        <v>1.9</v>
      </c>
      <c r="AI10" s="479">
        <v>3.8</v>
      </c>
      <c r="AJ10" s="479"/>
      <c r="AK10" s="479"/>
      <c r="AL10" s="479"/>
      <c r="AM10" s="479">
        <v>1.9</v>
      </c>
      <c r="AN10" s="479"/>
      <c r="AO10" s="479">
        <v>5.7</v>
      </c>
      <c r="AP10" s="479">
        <v>1.9</v>
      </c>
      <c r="AQ10" s="479">
        <v>1.9</v>
      </c>
      <c r="AR10" s="479">
        <v>3.8</v>
      </c>
      <c r="AS10" s="479"/>
      <c r="AT10" s="479"/>
      <c r="AU10" s="479"/>
      <c r="AV10" s="479"/>
      <c r="AW10" s="479">
        <v>1.9</v>
      </c>
      <c r="AX10" s="479"/>
      <c r="AY10" s="479">
        <v>5.7</v>
      </c>
      <c r="AZ10" s="479"/>
      <c r="BA10" s="479"/>
      <c r="BB10" s="479">
        <v>1.9</v>
      </c>
      <c r="BC10" s="479"/>
      <c r="BD10" s="479">
        <v>5.7</v>
      </c>
      <c r="BE10" s="479">
        <v>1.9</v>
      </c>
      <c r="BF10" s="479"/>
      <c r="BG10" s="479"/>
      <c r="BH10" s="479"/>
      <c r="BI10" s="479">
        <v>5.7</v>
      </c>
      <c r="BJ10" s="479">
        <v>1.9</v>
      </c>
      <c r="BK10" s="479"/>
      <c r="BL10" s="479"/>
      <c r="BM10" s="479"/>
      <c r="BN10" s="479">
        <v>5.7</v>
      </c>
      <c r="BO10" s="479">
        <v>1.9</v>
      </c>
      <c r="BP10" s="479"/>
      <c r="BQ10" s="479"/>
      <c r="BR10" s="479"/>
      <c r="BS10" s="479">
        <v>5.7</v>
      </c>
      <c r="BT10" s="479">
        <v>1.9</v>
      </c>
      <c r="BU10" s="479"/>
      <c r="BV10" s="479"/>
      <c r="BW10" s="479"/>
      <c r="BX10" s="479">
        <v>5.7</v>
      </c>
      <c r="BY10" s="479">
        <v>1.9</v>
      </c>
      <c r="BZ10" s="479"/>
      <c r="CA10" s="479"/>
      <c r="CB10" s="479"/>
      <c r="CC10" s="479">
        <v>5.7</v>
      </c>
      <c r="CD10" s="479"/>
      <c r="CE10" s="479"/>
      <c r="CF10" s="479"/>
      <c r="CG10" s="479">
        <v>5.7</v>
      </c>
      <c r="CH10" s="479">
        <v>1.9</v>
      </c>
      <c r="CI10" s="479"/>
      <c r="CJ10" s="479"/>
      <c r="CK10" s="479">
        <v>121.60000000000004</v>
      </c>
      <c r="CL10" s="76">
        <f t="shared" si="0"/>
        <v>121.60000000000004</v>
      </c>
      <c r="CM10" s="76"/>
      <c r="CN10">
        <f>VLOOKUP(A10,VALO_PERSO!F:W,17,0)</f>
        <v>193406.16999999998</v>
      </c>
      <c r="CO10">
        <f>VLOOKUP(A10,VALO_PERSO!F:W,18,0)</f>
        <v>1628.97</v>
      </c>
      <c r="CP10" s="148">
        <f t="shared" si="1"/>
        <v>14437.460648139624</v>
      </c>
    </row>
    <row r="11" spans="1:98" x14ac:dyDescent="0.25">
      <c r="A11">
        <v>6</v>
      </c>
      <c r="B11" t="s">
        <v>887</v>
      </c>
      <c r="C11" t="s">
        <v>888</v>
      </c>
      <c r="D11" t="s">
        <v>889</v>
      </c>
      <c r="E11" s="479"/>
      <c r="F11" s="479"/>
      <c r="G11" s="479">
        <v>3.8</v>
      </c>
      <c r="H11" s="479">
        <v>7.6</v>
      </c>
      <c r="I11" s="479"/>
      <c r="J11" s="479"/>
      <c r="K11" s="479"/>
      <c r="L11" s="479"/>
      <c r="M11" s="479"/>
      <c r="N11" s="479"/>
      <c r="O11" s="479"/>
      <c r="P11" s="479"/>
      <c r="Q11" s="479">
        <v>3.8</v>
      </c>
      <c r="R11" s="479"/>
      <c r="S11" s="479">
        <v>3.8</v>
      </c>
      <c r="T11" s="479"/>
      <c r="U11" s="479"/>
      <c r="V11" s="479">
        <v>3.8</v>
      </c>
      <c r="W11" s="479"/>
      <c r="X11" s="479">
        <v>3.8</v>
      </c>
      <c r="Y11" s="479"/>
      <c r="Z11" s="479"/>
      <c r="AA11" s="479">
        <v>3.8</v>
      </c>
      <c r="AB11" s="479"/>
      <c r="AC11" s="479">
        <v>3.8</v>
      </c>
      <c r="AD11" s="479"/>
      <c r="AE11" s="479"/>
      <c r="AF11" s="479">
        <v>7.6</v>
      </c>
      <c r="AG11" s="479">
        <v>3.8</v>
      </c>
      <c r="AH11" s="479"/>
      <c r="AI11" s="479"/>
      <c r="AJ11" s="479"/>
      <c r="AK11" s="479">
        <v>3.8</v>
      </c>
      <c r="AL11" s="479">
        <v>3.8</v>
      </c>
      <c r="AM11" s="479"/>
      <c r="AN11" s="479"/>
      <c r="AO11" s="479"/>
      <c r="AP11" s="479"/>
      <c r="AQ11" s="479"/>
      <c r="AR11" s="479"/>
      <c r="AS11" s="479"/>
      <c r="AT11" s="479"/>
      <c r="AU11" s="479"/>
      <c r="AV11" s="479">
        <v>3.8</v>
      </c>
      <c r="AW11" s="479"/>
      <c r="AX11" s="479"/>
      <c r="AY11" s="479"/>
      <c r="AZ11" s="479">
        <v>3.8</v>
      </c>
      <c r="BA11" s="479"/>
      <c r="BB11" s="479"/>
      <c r="BC11" s="479"/>
      <c r="BD11" s="479"/>
      <c r="BE11" s="479"/>
      <c r="BF11" s="479"/>
      <c r="BG11" s="479"/>
      <c r="BH11" s="479"/>
      <c r="BI11" s="479"/>
      <c r="BJ11" s="479"/>
      <c r="BK11" s="479"/>
      <c r="BL11" s="479"/>
      <c r="BM11" s="479"/>
      <c r="BN11" s="479"/>
      <c r="BO11" s="479"/>
      <c r="BP11" s="479"/>
      <c r="BQ11" s="479"/>
      <c r="BR11" s="479"/>
      <c r="BS11" s="479"/>
      <c r="BT11" s="479"/>
      <c r="BU11" s="479"/>
      <c r="BV11" s="479"/>
      <c r="BW11" s="479"/>
      <c r="BX11" s="479"/>
      <c r="BY11" s="479">
        <v>3.8</v>
      </c>
      <c r="BZ11" s="479"/>
      <c r="CA11" s="479"/>
      <c r="CB11" s="479"/>
      <c r="CC11" s="479"/>
      <c r="CD11" s="479"/>
      <c r="CE11" s="479"/>
      <c r="CF11" s="479"/>
      <c r="CG11" s="479"/>
      <c r="CH11" s="479"/>
      <c r="CI11" s="479"/>
      <c r="CJ11" s="479"/>
      <c r="CK11" s="479">
        <v>64.599999999999994</v>
      </c>
      <c r="CL11" s="76">
        <f t="shared" si="0"/>
        <v>64.599999999999994</v>
      </c>
      <c r="CM11" s="76"/>
      <c r="CN11">
        <f>VLOOKUP(A11,VALO_PERSO!F:W,17,0)</f>
        <v>89784.16</v>
      </c>
      <c r="CO11">
        <f>VLOOKUP(A11,VALO_PERSO!F:W,18,0)</f>
        <v>1644.1699999999998</v>
      </c>
      <c r="CP11" s="148">
        <f t="shared" si="1"/>
        <v>3527.6502648752867</v>
      </c>
    </row>
    <row r="12" spans="1:98" x14ac:dyDescent="0.25">
      <c r="A12">
        <v>8</v>
      </c>
      <c r="B12" t="s">
        <v>895</v>
      </c>
      <c r="C12" t="s">
        <v>896</v>
      </c>
      <c r="D12" t="s">
        <v>897</v>
      </c>
      <c r="E12" s="479"/>
      <c r="F12" s="479"/>
      <c r="G12" s="479">
        <v>7.6</v>
      </c>
      <c r="H12" s="479">
        <v>7.6</v>
      </c>
      <c r="I12" s="479">
        <v>7.6</v>
      </c>
      <c r="J12" s="479">
        <v>7.6</v>
      </c>
      <c r="K12" s="479">
        <v>7.6</v>
      </c>
      <c r="L12" s="479">
        <v>7.6</v>
      </c>
      <c r="M12" s="479">
        <v>7.6</v>
      </c>
      <c r="N12" s="479">
        <v>7.6</v>
      </c>
      <c r="O12" s="479">
        <v>7.6</v>
      </c>
      <c r="P12" s="479"/>
      <c r="Q12" s="479">
        <v>3.8</v>
      </c>
      <c r="R12" s="479">
        <v>7.6</v>
      </c>
      <c r="S12" s="479">
        <v>7.6</v>
      </c>
      <c r="T12" s="479">
        <v>7.6</v>
      </c>
      <c r="U12" s="479">
        <v>7.6</v>
      </c>
      <c r="V12" s="479">
        <v>7.6</v>
      </c>
      <c r="W12" s="479">
        <v>7.6</v>
      </c>
      <c r="X12" s="479">
        <v>7.6</v>
      </c>
      <c r="Y12" s="479">
        <v>7.6</v>
      </c>
      <c r="Z12" s="479"/>
      <c r="AA12" s="479">
        <v>7.6</v>
      </c>
      <c r="AB12" s="479">
        <v>7.6</v>
      </c>
      <c r="AC12" s="479">
        <v>7.6</v>
      </c>
      <c r="AD12" s="479">
        <v>7.6</v>
      </c>
      <c r="AE12" s="479">
        <v>7.6</v>
      </c>
      <c r="AF12" s="479">
        <v>7.6</v>
      </c>
      <c r="AG12" s="479">
        <v>7.6</v>
      </c>
      <c r="AH12" s="479">
        <v>7.6</v>
      </c>
      <c r="AI12" s="479">
        <v>7.6</v>
      </c>
      <c r="AJ12" s="479">
        <v>7.6</v>
      </c>
      <c r="AK12" s="479"/>
      <c r="AL12" s="479"/>
      <c r="AM12" s="479"/>
      <c r="AN12" s="479"/>
      <c r="AO12" s="479"/>
      <c r="AP12" s="479"/>
      <c r="AQ12" s="479"/>
      <c r="AR12" s="479"/>
      <c r="AS12" s="479"/>
      <c r="AT12" s="479"/>
      <c r="AU12" s="479"/>
      <c r="AV12" s="479"/>
      <c r="AW12" s="479"/>
      <c r="AX12" s="479"/>
      <c r="AY12" s="479">
        <v>7.6</v>
      </c>
      <c r="AZ12" s="479"/>
      <c r="BA12" s="479"/>
      <c r="BB12" s="479"/>
      <c r="BC12" s="479"/>
      <c r="BD12" s="479"/>
      <c r="BE12" s="479"/>
      <c r="BF12" s="479"/>
      <c r="BG12" s="479"/>
      <c r="BH12" s="479"/>
      <c r="BI12" s="479"/>
      <c r="BJ12" s="479"/>
      <c r="BK12" s="479"/>
      <c r="BL12" s="479"/>
      <c r="BM12" s="479"/>
      <c r="BN12" s="479"/>
      <c r="BO12" s="479"/>
      <c r="BP12" s="479"/>
      <c r="BQ12" s="479"/>
      <c r="BR12" s="479"/>
      <c r="BS12" s="479"/>
      <c r="BT12" s="479"/>
      <c r="BU12" s="479"/>
      <c r="BV12" s="479"/>
      <c r="BW12" s="479"/>
      <c r="BX12" s="479"/>
      <c r="BY12" s="479"/>
      <c r="BZ12" s="479"/>
      <c r="CA12" s="479"/>
      <c r="CB12" s="479"/>
      <c r="CC12" s="479"/>
      <c r="CD12" s="479"/>
      <c r="CE12" s="479"/>
      <c r="CF12" s="479"/>
      <c r="CG12" s="479"/>
      <c r="CH12" s="479"/>
      <c r="CI12" s="479"/>
      <c r="CJ12" s="479"/>
      <c r="CK12" s="479">
        <v>216.59999999999991</v>
      </c>
      <c r="CL12" s="76">
        <f t="shared" si="0"/>
        <v>216.59999999999991</v>
      </c>
      <c r="CM12" s="76"/>
      <c r="CN12">
        <f>VLOOKUP(A12,VALO_PERSO!F:W,17,0)</f>
        <v>86860.26</v>
      </c>
      <c r="CO12">
        <f>VLOOKUP(A12,VALO_PERSO!F:W,18,0)</f>
        <v>1672.04</v>
      </c>
      <c r="CP12" s="148">
        <f t="shared" si="1"/>
        <v>11252.082675055615</v>
      </c>
    </row>
    <row r="13" spans="1:98" x14ac:dyDescent="0.25">
      <c r="A13">
        <v>11</v>
      </c>
      <c r="B13" t="s">
        <v>899</v>
      </c>
      <c r="C13" t="s">
        <v>900</v>
      </c>
      <c r="D13" t="s">
        <v>901</v>
      </c>
      <c r="E13" s="479"/>
      <c r="F13" s="479"/>
      <c r="G13" s="479"/>
      <c r="H13" s="479"/>
      <c r="I13" s="479"/>
      <c r="J13" s="479"/>
      <c r="K13" s="479"/>
      <c r="L13" s="479"/>
      <c r="M13" s="479"/>
      <c r="N13" s="479">
        <v>3.8</v>
      </c>
      <c r="O13" s="479"/>
      <c r="P13" s="479">
        <v>3.8</v>
      </c>
      <c r="Q13" s="479"/>
      <c r="R13" s="479"/>
      <c r="S13" s="479"/>
      <c r="T13" s="479">
        <v>7.6</v>
      </c>
      <c r="U13" s="479"/>
      <c r="V13" s="479"/>
      <c r="W13" s="479"/>
      <c r="X13" s="479"/>
      <c r="Y13" s="479"/>
      <c r="Z13" s="479"/>
      <c r="AA13" s="479"/>
      <c r="AB13" s="479"/>
      <c r="AC13" s="479"/>
      <c r="AD13" s="479"/>
      <c r="AE13" s="479"/>
      <c r="AF13" s="479"/>
      <c r="AG13" s="479"/>
      <c r="AH13" s="479"/>
      <c r="AI13" s="479"/>
      <c r="AJ13" s="479"/>
      <c r="AK13" s="479"/>
      <c r="AL13" s="479"/>
      <c r="AM13" s="479"/>
      <c r="AN13" s="479"/>
      <c r="AO13" s="479"/>
      <c r="AP13" s="479"/>
      <c r="AQ13" s="479"/>
      <c r="AR13" s="479"/>
      <c r="AS13" s="479"/>
      <c r="AT13" s="479"/>
      <c r="AU13" s="479"/>
      <c r="AV13" s="479"/>
      <c r="AW13" s="479"/>
      <c r="AX13" s="479"/>
      <c r="AY13" s="479"/>
      <c r="AZ13" s="479"/>
      <c r="BA13" s="479"/>
      <c r="BB13" s="479"/>
      <c r="BC13" s="479"/>
      <c r="BD13" s="479"/>
      <c r="BE13" s="479"/>
      <c r="BF13" s="479"/>
      <c r="BG13" s="479"/>
      <c r="BH13" s="479"/>
      <c r="BI13" s="479"/>
      <c r="BJ13" s="479"/>
      <c r="BK13" s="479"/>
      <c r="BL13" s="479"/>
      <c r="BM13" s="479"/>
      <c r="BN13" s="479"/>
      <c r="BO13" s="479"/>
      <c r="BP13" s="479"/>
      <c r="BQ13" s="479"/>
      <c r="BR13" s="479"/>
      <c r="BS13" s="479"/>
      <c r="BT13" s="479"/>
      <c r="BU13" s="479"/>
      <c r="BV13" s="479"/>
      <c r="BW13" s="479"/>
      <c r="BX13" s="479"/>
      <c r="BY13" s="479"/>
      <c r="BZ13" s="479"/>
      <c r="CA13" s="479"/>
      <c r="CB13" s="479"/>
      <c r="CC13" s="479"/>
      <c r="CD13" s="479"/>
      <c r="CE13" s="479"/>
      <c r="CF13" s="479"/>
      <c r="CG13" s="479"/>
      <c r="CH13" s="479"/>
      <c r="CI13" s="479"/>
      <c r="CJ13" s="479"/>
      <c r="CK13" s="479">
        <v>15.2</v>
      </c>
      <c r="CL13" s="76">
        <f t="shared" si="0"/>
        <v>15.2</v>
      </c>
      <c r="CM13" s="76"/>
      <c r="CN13">
        <f>VLOOKUP(A13,VALO_PERSO!F:W,17,0)</f>
        <v>75164.67</v>
      </c>
      <c r="CO13">
        <f>VLOOKUP(A13,VALO_PERSO!F:W,18,0)</f>
        <v>1204.6299999999999</v>
      </c>
      <c r="CP13" s="148">
        <f t="shared" si="1"/>
        <v>948.42647451914695</v>
      </c>
    </row>
    <row r="14" spans="1:98" x14ac:dyDescent="0.25">
      <c r="A14">
        <v>12</v>
      </c>
      <c r="B14" t="s">
        <v>904</v>
      </c>
      <c r="C14" t="s">
        <v>905</v>
      </c>
      <c r="D14" t="s">
        <v>906</v>
      </c>
      <c r="E14" s="479"/>
      <c r="F14" s="479"/>
      <c r="G14" s="479">
        <v>8</v>
      </c>
      <c r="H14" s="479">
        <v>7.75</v>
      </c>
      <c r="I14" s="479">
        <v>8</v>
      </c>
      <c r="J14" s="479">
        <v>8</v>
      </c>
      <c r="K14" s="479"/>
      <c r="L14" s="479">
        <v>7.75</v>
      </c>
      <c r="M14" s="479">
        <v>7.75</v>
      </c>
      <c r="N14" s="479">
        <v>7.5</v>
      </c>
      <c r="O14" s="479">
        <v>7.5</v>
      </c>
      <c r="P14" s="479">
        <v>7.5</v>
      </c>
      <c r="Q14" s="479">
        <v>7.75</v>
      </c>
      <c r="R14" s="479">
        <v>8</v>
      </c>
      <c r="S14" s="479">
        <v>7.5</v>
      </c>
      <c r="T14" s="479">
        <v>7.5</v>
      </c>
      <c r="U14" s="479">
        <v>7.25</v>
      </c>
      <c r="V14" s="479">
        <v>7.6</v>
      </c>
      <c r="W14" s="479">
        <v>7.6</v>
      </c>
      <c r="X14" s="479">
        <v>7.6</v>
      </c>
      <c r="Y14" s="479">
        <v>7.6</v>
      </c>
      <c r="Z14" s="479">
        <v>7.6</v>
      </c>
      <c r="AA14" s="479">
        <v>7.6</v>
      </c>
      <c r="AB14" s="479">
        <v>7.6</v>
      </c>
      <c r="AC14" s="479">
        <v>7.6</v>
      </c>
      <c r="AD14" s="479">
        <v>7.6</v>
      </c>
      <c r="AE14" s="479">
        <v>7.6</v>
      </c>
      <c r="AF14" s="479">
        <v>7.6</v>
      </c>
      <c r="AG14" s="479">
        <v>7.6</v>
      </c>
      <c r="AH14" s="479">
        <v>7.6</v>
      </c>
      <c r="AI14" s="479">
        <v>7.6</v>
      </c>
      <c r="AJ14" s="479">
        <v>7.6</v>
      </c>
      <c r="AK14" s="479">
        <v>7.6</v>
      </c>
      <c r="AL14" s="479">
        <v>7.6</v>
      </c>
      <c r="AM14" s="479">
        <v>7.6</v>
      </c>
      <c r="AN14" s="479">
        <v>7.6</v>
      </c>
      <c r="AO14" s="479">
        <v>7.6</v>
      </c>
      <c r="AP14" s="479">
        <v>7.6</v>
      </c>
      <c r="AQ14" s="479">
        <v>7.6</v>
      </c>
      <c r="AR14" s="479">
        <v>7.6</v>
      </c>
      <c r="AS14" s="479">
        <v>7.6</v>
      </c>
      <c r="AT14" s="479"/>
      <c r="AU14" s="479">
        <v>7.6</v>
      </c>
      <c r="AV14" s="479">
        <v>7.6</v>
      </c>
      <c r="AW14" s="479">
        <v>3.8</v>
      </c>
      <c r="AX14" s="479"/>
      <c r="AY14" s="479">
        <v>7.6</v>
      </c>
      <c r="AZ14" s="479">
        <v>7.6</v>
      </c>
      <c r="BA14" s="479">
        <v>7.6</v>
      </c>
      <c r="BB14" s="479">
        <v>7.6</v>
      </c>
      <c r="BC14" s="479">
        <v>7.6</v>
      </c>
      <c r="BD14" s="479">
        <v>7.6</v>
      </c>
      <c r="BE14" s="479">
        <v>7.6</v>
      </c>
      <c r="BF14" s="479">
        <v>7.6</v>
      </c>
      <c r="BG14" s="479">
        <v>7.6</v>
      </c>
      <c r="BH14" s="479">
        <v>7.6</v>
      </c>
      <c r="BI14" s="479">
        <v>7.6</v>
      </c>
      <c r="BJ14" s="479">
        <v>7.6</v>
      </c>
      <c r="BK14" s="479">
        <v>7.6</v>
      </c>
      <c r="BL14" s="479">
        <v>7.6</v>
      </c>
      <c r="BM14" s="479">
        <v>7.6</v>
      </c>
      <c r="BN14" s="479">
        <v>7.6</v>
      </c>
      <c r="BO14" s="479">
        <v>7.6</v>
      </c>
      <c r="BP14" s="479">
        <v>7.6</v>
      </c>
      <c r="BQ14" s="479">
        <v>7.6</v>
      </c>
      <c r="BR14" s="479">
        <v>7.6</v>
      </c>
      <c r="BS14" s="479">
        <v>7.6</v>
      </c>
      <c r="BT14" s="479">
        <v>7.5</v>
      </c>
      <c r="BU14" s="479">
        <v>8.17</v>
      </c>
      <c r="BV14" s="479">
        <v>7.25</v>
      </c>
      <c r="BW14" s="479">
        <v>7.75</v>
      </c>
      <c r="BX14" s="479">
        <v>7.5</v>
      </c>
      <c r="BY14" s="479"/>
      <c r="BZ14" s="479">
        <v>7.6</v>
      </c>
      <c r="CA14" s="479"/>
      <c r="CB14" s="479">
        <v>7.6</v>
      </c>
      <c r="CC14" s="479">
        <v>7.6</v>
      </c>
      <c r="CD14" s="479">
        <v>3.8</v>
      </c>
      <c r="CE14" s="479">
        <v>3.8</v>
      </c>
      <c r="CF14" s="479">
        <v>3.8</v>
      </c>
      <c r="CG14" s="479">
        <v>3.8</v>
      </c>
      <c r="CH14" s="479">
        <v>7.6</v>
      </c>
      <c r="CI14" s="479">
        <v>7.6</v>
      </c>
      <c r="CJ14" s="479">
        <v>7.6</v>
      </c>
      <c r="CK14" s="479">
        <v>567.72000000000048</v>
      </c>
      <c r="CL14" s="76">
        <f t="shared" si="0"/>
        <v>567.72000000000048</v>
      </c>
      <c r="CM14" s="76"/>
      <c r="CN14">
        <f>VLOOKUP(A14,VALO_PERSO!F:W,17,0)</f>
        <v>53796.23</v>
      </c>
      <c r="CO14">
        <f>VLOOKUP(A14,VALO_PERSO!F:W,18,0)</f>
        <v>1706.24</v>
      </c>
      <c r="CP14" s="148">
        <f t="shared" si="1"/>
        <v>17899.70677958554</v>
      </c>
    </row>
    <row r="15" spans="1:98" x14ac:dyDescent="0.25">
      <c r="A15">
        <v>13</v>
      </c>
      <c r="B15" t="s">
        <v>909</v>
      </c>
      <c r="C15" t="s">
        <v>910</v>
      </c>
      <c r="D15" t="s">
        <v>911</v>
      </c>
      <c r="E15" s="479"/>
      <c r="F15" s="479"/>
      <c r="G15" s="479"/>
      <c r="H15" s="479"/>
      <c r="I15" s="479"/>
      <c r="J15" s="479"/>
      <c r="K15" s="479"/>
      <c r="L15" s="479"/>
      <c r="M15" s="479">
        <v>3.8</v>
      </c>
      <c r="N15" s="479"/>
      <c r="O15" s="479"/>
      <c r="P15" s="479"/>
      <c r="Q15" s="479">
        <v>3.8</v>
      </c>
      <c r="R15" s="479"/>
      <c r="S15" s="479"/>
      <c r="T15" s="479"/>
      <c r="U15" s="479"/>
      <c r="V15" s="479"/>
      <c r="W15" s="479"/>
      <c r="X15" s="479"/>
      <c r="Y15" s="479"/>
      <c r="Z15" s="479"/>
      <c r="AA15" s="479"/>
      <c r="AB15" s="479"/>
      <c r="AC15" s="479"/>
      <c r="AD15" s="479"/>
      <c r="AE15" s="479"/>
      <c r="AF15" s="479"/>
      <c r="AG15" s="479"/>
      <c r="AH15" s="479"/>
      <c r="AI15" s="479"/>
      <c r="AJ15" s="479"/>
      <c r="AK15" s="479">
        <v>3.8</v>
      </c>
      <c r="AL15" s="479">
        <v>7.6</v>
      </c>
      <c r="AM15" s="479">
        <v>7.6</v>
      </c>
      <c r="AN15" s="479">
        <v>3.8</v>
      </c>
      <c r="AO15" s="479">
        <v>3.8</v>
      </c>
      <c r="AP15" s="479">
        <v>7.6</v>
      </c>
      <c r="AQ15" s="479">
        <v>7.6</v>
      </c>
      <c r="AR15" s="479">
        <v>7.6</v>
      </c>
      <c r="AS15" s="479">
        <v>3.8</v>
      </c>
      <c r="AT15" s="479">
        <v>7.6</v>
      </c>
      <c r="AU15" s="479">
        <v>3.8</v>
      </c>
      <c r="AV15" s="479">
        <v>3.8</v>
      </c>
      <c r="AW15" s="479">
        <v>3.8</v>
      </c>
      <c r="AX15" s="479">
        <v>3.8</v>
      </c>
      <c r="AY15" s="479">
        <v>3.8</v>
      </c>
      <c r="AZ15" s="479">
        <v>7.6</v>
      </c>
      <c r="BA15" s="479">
        <v>7.6</v>
      </c>
      <c r="BB15" s="479">
        <v>3.8</v>
      </c>
      <c r="BC15" s="479">
        <v>3.8</v>
      </c>
      <c r="BD15" s="479"/>
      <c r="BE15" s="479"/>
      <c r="BF15" s="479">
        <v>7.6</v>
      </c>
      <c r="BG15" s="479">
        <v>3.8</v>
      </c>
      <c r="BH15" s="479">
        <v>3.8</v>
      </c>
      <c r="BI15" s="479">
        <v>7.6</v>
      </c>
      <c r="BJ15" s="479">
        <v>7.6</v>
      </c>
      <c r="BK15" s="479">
        <v>7.6</v>
      </c>
      <c r="BL15" s="479"/>
      <c r="BM15" s="479">
        <v>7.6</v>
      </c>
      <c r="BN15" s="479">
        <v>3.8</v>
      </c>
      <c r="BO15" s="479">
        <v>3.8</v>
      </c>
      <c r="BP15" s="479">
        <v>7.6</v>
      </c>
      <c r="BQ15" s="479">
        <v>7.6</v>
      </c>
      <c r="BR15" s="479"/>
      <c r="BS15" s="479">
        <v>3.8</v>
      </c>
      <c r="BT15" s="479">
        <v>7.6</v>
      </c>
      <c r="BU15" s="479">
        <v>9.25</v>
      </c>
      <c r="BV15" s="479">
        <v>8.6</v>
      </c>
      <c r="BW15" s="479">
        <v>7.6</v>
      </c>
      <c r="BX15" s="479">
        <v>10</v>
      </c>
      <c r="BY15" s="479">
        <v>7.6</v>
      </c>
      <c r="BZ15" s="479">
        <v>3.8</v>
      </c>
      <c r="CA15" s="479">
        <v>7.6</v>
      </c>
      <c r="CB15" s="479">
        <v>7.6</v>
      </c>
      <c r="CC15" s="479">
        <v>7.6</v>
      </c>
      <c r="CD15" s="479"/>
      <c r="CE15" s="479"/>
      <c r="CF15" s="479"/>
      <c r="CG15" s="479"/>
      <c r="CH15" s="479">
        <v>7.6</v>
      </c>
      <c r="CI15" s="479"/>
      <c r="CJ15" s="479">
        <v>7.6</v>
      </c>
      <c r="CK15" s="479">
        <v>274.85000000000002</v>
      </c>
      <c r="CL15" s="76">
        <f t="shared" si="0"/>
        <v>274.85000000000002</v>
      </c>
      <c r="CM15" s="76"/>
      <c r="CN15">
        <f>VLOOKUP(A15,VALO_PERSO!F:W,17,0)</f>
        <v>84098.1</v>
      </c>
      <c r="CO15">
        <f>VLOOKUP(A15,VALO_PERSO!F:W,18,0)</f>
        <v>1649.24</v>
      </c>
      <c r="CP15" s="148">
        <f t="shared" si="1"/>
        <v>14015.160185903813</v>
      </c>
    </row>
    <row r="16" spans="1:98" x14ac:dyDescent="0.25">
      <c r="A16">
        <v>14</v>
      </c>
      <c r="B16" t="s">
        <v>914</v>
      </c>
      <c r="C16" t="s">
        <v>915</v>
      </c>
      <c r="D16" t="s">
        <v>916</v>
      </c>
      <c r="E16" s="479">
        <v>7.6</v>
      </c>
      <c r="F16" s="479">
        <v>7.6</v>
      </c>
      <c r="G16" s="479">
        <v>7.6</v>
      </c>
      <c r="H16" s="479">
        <v>7.6</v>
      </c>
      <c r="I16" s="479">
        <v>7.6</v>
      </c>
      <c r="J16" s="479"/>
      <c r="K16" s="479"/>
      <c r="L16" s="479"/>
      <c r="M16" s="479"/>
      <c r="N16" s="479"/>
      <c r="O16" s="479"/>
      <c r="P16" s="479"/>
      <c r="Q16" s="479">
        <v>7.6</v>
      </c>
      <c r="R16" s="479">
        <v>7.6</v>
      </c>
      <c r="S16" s="479">
        <v>7.6</v>
      </c>
      <c r="T16" s="479">
        <v>7.6</v>
      </c>
      <c r="U16" s="479">
        <v>7.6</v>
      </c>
      <c r="V16" s="479">
        <v>7.6</v>
      </c>
      <c r="W16" s="479">
        <v>7.6</v>
      </c>
      <c r="X16" s="479">
        <v>7.6</v>
      </c>
      <c r="Y16" s="479">
        <v>7.6</v>
      </c>
      <c r="Z16" s="479">
        <v>3.8</v>
      </c>
      <c r="AA16" s="479">
        <v>7.6</v>
      </c>
      <c r="AB16" s="479">
        <v>7.6</v>
      </c>
      <c r="AC16" s="479">
        <v>7.6</v>
      </c>
      <c r="AD16" s="479">
        <v>7.6</v>
      </c>
      <c r="AE16" s="479">
        <v>7.6</v>
      </c>
      <c r="AF16" s="479">
        <v>7.6</v>
      </c>
      <c r="AG16" s="479">
        <v>3.8</v>
      </c>
      <c r="AH16" s="479">
        <v>7.6</v>
      </c>
      <c r="AI16" s="479">
        <v>7.6</v>
      </c>
      <c r="AJ16" s="479">
        <v>7.6</v>
      </c>
      <c r="AK16" s="479">
        <v>7.6</v>
      </c>
      <c r="AL16" s="479">
        <v>7.6</v>
      </c>
      <c r="AM16" s="479">
        <v>7.6</v>
      </c>
      <c r="AN16" s="479"/>
      <c r="AO16" s="479"/>
      <c r="AP16" s="479">
        <v>7.6</v>
      </c>
      <c r="AQ16" s="479">
        <v>7.6</v>
      </c>
      <c r="AR16" s="479">
        <v>7.6</v>
      </c>
      <c r="AS16" s="479">
        <v>7.6</v>
      </c>
      <c r="AT16" s="479">
        <v>7.6</v>
      </c>
      <c r="AU16" s="479">
        <v>7.6</v>
      </c>
      <c r="AV16" s="479">
        <v>7.6</v>
      </c>
      <c r="AW16" s="479">
        <v>7.6</v>
      </c>
      <c r="AX16" s="479">
        <v>7.6</v>
      </c>
      <c r="AY16" s="479">
        <v>7.6</v>
      </c>
      <c r="AZ16" s="479">
        <v>7.6</v>
      </c>
      <c r="BA16" s="479">
        <v>7.6</v>
      </c>
      <c r="BB16" s="479">
        <v>3.8</v>
      </c>
      <c r="BC16" s="479">
        <v>7.6</v>
      </c>
      <c r="BD16" s="479">
        <v>3.8</v>
      </c>
      <c r="BE16" s="479">
        <v>7.6</v>
      </c>
      <c r="BF16" s="479">
        <v>7.6</v>
      </c>
      <c r="BG16" s="479">
        <v>7.6</v>
      </c>
      <c r="BH16" s="479">
        <v>7.6</v>
      </c>
      <c r="BI16" s="479">
        <v>7.6</v>
      </c>
      <c r="BJ16" s="479">
        <v>7.6</v>
      </c>
      <c r="BK16" s="479">
        <v>7.6</v>
      </c>
      <c r="BL16" s="479">
        <v>7.6</v>
      </c>
      <c r="BM16" s="479">
        <v>7.6</v>
      </c>
      <c r="BN16" s="479">
        <v>7.6</v>
      </c>
      <c r="BO16" s="479">
        <v>7.6</v>
      </c>
      <c r="BP16" s="479">
        <v>7.6</v>
      </c>
      <c r="BQ16" s="479">
        <v>7.6</v>
      </c>
      <c r="BR16" s="479">
        <v>7.6</v>
      </c>
      <c r="BS16" s="479">
        <v>7.6</v>
      </c>
      <c r="BT16" s="479">
        <v>7.6</v>
      </c>
      <c r="BU16" s="479">
        <v>7.6</v>
      </c>
      <c r="BV16" s="479">
        <v>7.6</v>
      </c>
      <c r="BW16" s="479">
        <v>7.6</v>
      </c>
      <c r="BX16" s="479">
        <v>7.6</v>
      </c>
      <c r="BY16" s="479"/>
      <c r="BZ16" s="479"/>
      <c r="CA16" s="479"/>
      <c r="CB16" s="479"/>
      <c r="CC16" s="479"/>
      <c r="CD16" s="479">
        <v>7.6</v>
      </c>
      <c r="CE16" s="479">
        <v>7.6</v>
      </c>
      <c r="CF16" s="479">
        <v>7.6</v>
      </c>
      <c r="CG16" s="479">
        <v>7.6</v>
      </c>
      <c r="CH16" s="479">
        <v>7.6</v>
      </c>
      <c r="CI16" s="479">
        <v>7.6</v>
      </c>
      <c r="CJ16" s="479">
        <v>7.6</v>
      </c>
      <c r="CK16" s="479">
        <v>516.80000000000064</v>
      </c>
      <c r="CL16" s="76">
        <f t="shared" si="0"/>
        <v>516.80000000000064</v>
      </c>
      <c r="CM16" s="76"/>
      <c r="CN16">
        <f>VLOOKUP(A16,VALO_PERSO!F:W,17,0)</f>
        <v>64994.71</v>
      </c>
      <c r="CO16">
        <f>VLOOKUP(A16,VALO_PERSO!F:W,18,0)</f>
        <v>1035.6600000000001</v>
      </c>
      <c r="CP16" s="148">
        <f t="shared" si="1"/>
        <v>32432.715493501768</v>
      </c>
    </row>
    <row r="17" spans="1:95" x14ac:dyDescent="0.25">
      <c r="A17">
        <v>18</v>
      </c>
      <c r="B17" t="s">
        <v>923</v>
      </c>
      <c r="C17" t="s">
        <v>924</v>
      </c>
      <c r="D17" t="s">
        <v>925</v>
      </c>
      <c r="E17" s="479"/>
      <c r="F17" s="479"/>
      <c r="G17" s="479">
        <v>7.6</v>
      </c>
      <c r="H17" s="479">
        <v>7.6</v>
      </c>
      <c r="I17" s="479">
        <v>7.6</v>
      </c>
      <c r="J17" s="479">
        <v>7.6</v>
      </c>
      <c r="K17" s="479">
        <v>7.6</v>
      </c>
      <c r="L17" s="479">
        <v>10</v>
      </c>
      <c r="M17" s="479">
        <v>7.6</v>
      </c>
      <c r="N17" s="479">
        <v>7.6</v>
      </c>
      <c r="O17" s="479">
        <v>7.6</v>
      </c>
      <c r="P17" s="479">
        <v>7.6</v>
      </c>
      <c r="Q17" s="479">
        <v>7.6</v>
      </c>
      <c r="R17" s="479">
        <v>7.6</v>
      </c>
      <c r="S17" s="479">
        <v>7.6</v>
      </c>
      <c r="T17" s="479">
        <v>3.8</v>
      </c>
      <c r="U17" s="479">
        <v>7.6</v>
      </c>
      <c r="V17" s="479">
        <v>7.6</v>
      </c>
      <c r="W17" s="479">
        <v>7.6</v>
      </c>
      <c r="X17" s="479">
        <v>7.6</v>
      </c>
      <c r="Y17" s="479">
        <v>7.6</v>
      </c>
      <c r="Z17" s="479">
        <v>7.6</v>
      </c>
      <c r="AA17" s="479">
        <v>7.6</v>
      </c>
      <c r="AB17" s="479">
        <v>7.6</v>
      </c>
      <c r="AC17" s="479">
        <v>7.6</v>
      </c>
      <c r="AD17" s="479">
        <v>7.6</v>
      </c>
      <c r="AE17" s="479">
        <v>4.5999999999999996</v>
      </c>
      <c r="AF17" s="479">
        <v>7.6</v>
      </c>
      <c r="AG17" s="479">
        <v>7.6</v>
      </c>
      <c r="AH17" s="479">
        <v>7.6</v>
      </c>
      <c r="AI17" s="479">
        <v>7.6</v>
      </c>
      <c r="AJ17" s="479">
        <v>7.6</v>
      </c>
      <c r="AK17" s="479">
        <v>7.6</v>
      </c>
      <c r="AL17" s="479">
        <v>7.6</v>
      </c>
      <c r="AM17" s="479">
        <v>7.6</v>
      </c>
      <c r="AN17" s="479">
        <v>7.6</v>
      </c>
      <c r="AO17" s="479">
        <v>7.6</v>
      </c>
      <c r="AP17" s="479">
        <v>7.6</v>
      </c>
      <c r="AQ17" s="479">
        <v>7.6</v>
      </c>
      <c r="AR17" s="479">
        <v>7.6</v>
      </c>
      <c r="AS17" s="479">
        <v>7.6</v>
      </c>
      <c r="AT17" s="479">
        <v>7.6</v>
      </c>
      <c r="AU17" s="479">
        <v>7.6</v>
      </c>
      <c r="AV17" s="479">
        <v>7.6</v>
      </c>
      <c r="AW17" s="479">
        <v>7.6</v>
      </c>
      <c r="AX17" s="479">
        <v>7.6</v>
      </c>
      <c r="AY17" s="479">
        <v>7.6</v>
      </c>
      <c r="AZ17" s="479">
        <v>9.3000000000000007</v>
      </c>
      <c r="BA17" s="479">
        <v>7.6</v>
      </c>
      <c r="BB17" s="479">
        <v>7.6</v>
      </c>
      <c r="BC17" s="479">
        <v>8.3000000000000007</v>
      </c>
      <c r="BD17" s="479">
        <v>7.6</v>
      </c>
      <c r="BE17" s="479">
        <v>7.6</v>
      </c>
      <c r="BF17" s="479">
        <v>7.6</v>
      </c>
      <c r="BG17" s="479">
        <v>7.6</v>
      </c>
      <c r="BH17" s="479">
        <v>7.6</v>
      </c>
      <c r="BI17" s="479">
        <v>7.6</v>
      </c>
      <c r="BJ17" s="479">
        <v>7.6</v>
      </c>
      <c r="BK17" s="479">
        <v>7.6</v>
      </c>
      <c r="BL17" s="479">
        <v>7.6</v>
      </c>
      <c r="BM17" s="479"/>
      <c r="BN17" s="479">
        <v>3.8</v>
      </c>
      <c r="BO17" s="479"/>
      <c r="BP17" s="479"/>
      <c r="BQ17" s="479"/>
      <c r="BR17" s="479">
        <v>7.6</v>
      </c>
      <c r="BS17" s="479"/>
      <c r="BT17" s="479">
        <v>7.6</v>
      </c>
      <c r="BU17" s="479">
        <v>7.6</v>
      </c>
      <c r="BV17" s="479">
        <v>7.6</v>
      </c>
      <c r="BW17" s="479">
        <v>7.6</v>
      </c>
      <c r="BX17" s="479">
        <v>7.6</v>
      </c>
      <c r="BY17" s="479">
        <v>7.6</v>
      </c>
      <c r="BZ17" s="479">
        <v>3.8</v>
      </c>
      <c r="CA17" s="479"/>
      <c r="CB17" s="479"/>
      <c r="CC17" s="479"/>
      <c r="CD17" s="479"/>
      <c r="CE17" s="479"/>
      <c r="CF17" s="479"/>
      <c r="CG17" s="479"/>
      <c r="CH17" s="479"/>
      <c r="CI17" s="479"/>
      <c r="CJ17" s="479"/>
      <c r="CK17" s="479">
        <v>499.60000000000053</v>
      </c>
      <c r="CL17" s="76">
        <f t="shared" si="0"/>
        <v>499.60000000000053</v>
      </c>
      <c r="CM17" s="76"/>
      <c r="CN17">
        <f>VLOOKUP(A17,VALO_PERSO!F:W,17,0)</f>
        <v>85427.959999999992</v>
      </c>
      <c r="CO17">
        <f>VLOOKUP(A17,VALO_PERSO!F:W,18,0)</f>
        <v>1637.84</v>
      </c>
      <c r="CP17" s="148">
        <f t="shared" si="1"/>
        <v>26058.594744297396</v>
      </c>
    </row>
    <row r="18" spans="1:95" x14ac:dyDescent="0.25">
      <c r="A18">
        <v>19</v>
      </c>
      <c r="B18" t="s">
        <v>927</v>
      </c>
      <c r="C18" t="s">
        <v>928</v>
      </c>
      <c r="D18" t="s">
        <v>929</v>
      </c>
      <c r="E18" s="479"/>
      <c r="F18" s="479"/>
      <c r="G18" s="479">
        <v>3.8</v>
      </c>
      <c r="H18" s="479">
        <v>3.8</v>
      </c>
      <c r="I18" s="479"/>
      <c r="J18" s="479">
        <v>3.8</v>
      </c>
      <c r="K18" s="479"/>
      <c r="L18" s="479">
        <v>3.8</v>
      </c>
      <c r="M18" s="479"/>
      <c r="N18" s="479"/>
      <c r="O18" s="479"/>
      <c r="P18" s="479"/>
      <c r="Q18" s="479">
        <v>7.6</v>
      </c>
      <c r="R18" s="479">
        <v>3.8</v>
      </c>
      <c r="S18" s="479"/>
      <c r="T18" s="479">
        <v>7.6</v>
      </c>
      <c r="U18" s="479"/>
      <c r="V18" s="479">
        <v>3.8</v>
      </c>
      <c r="W18" s="479">
        <v>3.8</v>
      </c>
      <c r="X18" s="479">
        <v>3.8</v>
      </c>
      <c r="Y18" s="479">
        <v>3.8</v>
      </c>
      <c r="Z18" s="479">
        <v>3.8</v>
      </c>
      <c r="AA18" s="479">
        <v>7.6</v>
      </c>
      <c r="AB18" s="479"/>
      <c r="AC18" s="479">
        <v>3.8</v>
      </c>
      <c r="AD18" s="479">
        <v>7.6</v>
      </c>
      <c r="AE18" s="479">
        <v>3.8</v>
      </c>
      <c r="AF18" s="479">
        <v>7.6</v>
      </c>
      <c r="AG18" s="479">
        <v>3.8</v>
      </c>
      <c r="AH18" s="479">
        <v>7.6</v>
      </c>
      <c r="AI18" s="479">
        <v>7.6</v>
      </c>
      <c r="AJ18" s="479"/>
      <c r="AK18" s="479"/>
      <c r="AL18" s="479">
        <v>3.8</v>
      </c>
      <c r="AM18" s="479"/>
      <c r="AN18" s="479"/>
      <c r="AO18" s="479">
        <v>3.8</v>
      </c>
      <c r="AP18" s="479">
        <v>3.8</v>
      </c>
      <c r="AQ18" s="479">
        <v>3.8</v>
      </c>
      <c r="AR18" s="479"/>
      <c r="AS18" s="479">
        <v>7.6</v>
      </c>
      <c r="AT18" s="479"/>
      <c r="AU18" s="479">
        <v>3.8</v>
      </c>
      <c r="AV18" s="479">
        <v>3.8</v>
      </c>
      <c r="AW18" s="479"/>
      <c r="AX18" s="479">
        <v>3.8</v>
      </c>
      <c r="AY18" s="479"/>
      <c r="AZ18" s="479"/>
      <c r="BA18" s="479"/>
      <c r="BB18" s="479">
        <v>7.6</v>
      </c>
      <c r="BC18" s="479"/>
      <c r="BD18" s="479"/>
      <c r="BE18" s="479">
        <v>7.6</v>
      </c>
      <c r="BF18" s="479"/>
      <c r="BG18" s="479">
        <v>7.6</v>
      </c>
      <c r="BH18" s="479"/>
      <c r="BI18" s="479">
        <v>3.8</v>
      </c>
      <c r="BJ18" s="479">
        <v>3.8</v>
      </c>
      <c r="BK18" s="479"/>
      <c r="BL18" s="479">
        <v>7.6</v>
      </c>
      <c r="BM18" s="479"/>
      <c r="BN18" s="479"/>
      <c r="BO18" s="479">
        <v>7.6</v>
      </c>
      <c r="BP18" s="479"/>
      <c r="BQ18" s="479"/>
      <c r="BR18" s="479">
        <v>3.8</v>
      </c>
      <c r="BS18" s="479"/>
      <c r="BT18" s="479"/>
      <c r="BU18" s="479">
        <v>3.8</v>
      </c>
      <c r="BV18" s="479"/>
      <c r="BW18" s="479">
        <v>7.6</v>
      </c>
      <c r="BX18" s="479">
        <v>3.8</v>
      </c>
      <c r="BY18" s="479">
        <v>3.8</v>
      </c>
      <c r="BZ18" s="479"/>
      <c r="CA18" s="479"/>
      <c r="CB18" s="479"/>
      <c r="CC18" s="479">
        <v>3.8</v>
      </c>
      <c r="CD18" s="479">
        <v>3.8</v>
      </c>
      <c r="CE18" s="479">
        <v>3.8</v>
      </c>
      <c r="CF18" s="479"/>
      <c r="CG18" s="479">
        <v>3.8</v>
      </c>
      <c r="CH18" s="479"/>
      <c r="CI18" s="479"/>
      <c r="CJ18" s="479"/>
      <c r="CK18" s="479">
        <v>220.40000000000003</v>
      </c>
      <c r="CL18" s="76">
        <f t="shared" si="0"/>
        <v>220.40000000000003</v>
      </c>
      <c r="CM18" s="76"/>
      <c r="CN18">
        <f>VLOOKUP(A18,VALO_PERSO!F:W,17,0)</f>
        <v>43549.24</v>
      </c>
      <c r="CO18">
        <f>VLOOKUP(A18,VALO_PERSO!F:W,18,0)</f>
        <v>1274.06</v>
      </c>
      <c r="CP18" s="148">
        <f t="shared" si="1"/>
        <v>7533.5953534370447</v>
      </c>
    </row>
    <row r="19" spans="1:95" x14ac:dyDescent="0.25">
      <c r="A19">
        <v>21</v>
      </c>
      <c r="B19" t="s">
        <v>932</v>
      </c>
      <c r="C19" t="s">
        <v>933</v>
      </c>
      <c r="D19" t="s">
        <v>934</v>
      </c>
      <c r="E19" s="479"/>
      <c r="F19" s="479"/>
      <c r="G19" s="479"/>
      <c r="H19" s="479"/>
      <c r="I19" s="479"/>
      <c r="J19" s="479"/>
      <c r="K19" s="479"/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Z19" s="479"/>
      <c r="AA19" s="479"/>
      <c r="AB19" s="479"/>
      <c r="AC19" s="479"/>
      <c r="AD19" s="479"/>
      <c r="AE19" s="479"/>
      <c r="AF19" s="479"/>
      <c r="AG19" s="479"/>
      <c r="AH19" s="479"/>
      <c r="AI19" s="479"/>
      <c r="AJ19" s="479"/>
      <c r="AK19" s="479"/>
      <c r="AL19" s="479"/>
      <c r="AM19" s="479"/>
      <c r="AN19" s="479"/>
      <c r="AO19" s="479"/>
      <c r="AP19" s="479"/>
      <c r="AQ19" s="479"/>
      <c r="AR19" s="479"/>
      <c r="AS19" s="479">
        <v>3.8</v>
      </c>
      <c r="AT19" s="479">
        <v>3.8</v>
      </c>
      <c r="AU19" s="479"/>
      <c r="AV19" s="479"/>
      <c r="AW19" s="479"/>
      <c r="AX19" s="479"/>
      <c r="AY19" s="479"/>
      <c r="AZ19" s="479"/>
      <c r="BA19" s="479"/>
      <c r="BB19" s="479"/>
      <c r="BC19" s="479"/>
      <c r="BD19" s="479"/>
      <c r="BE19" s="479"/>
      <c r="BF19" s="479"/>
      <c r="BG19" s="479"/>
      <c r="BH19" s="479">
        <v>3.8</v>
      </c>
      <c r="BI19" s="479"/>
      <c r="BJ19" s="479"/>
      <c r="BK19" s="479"/>
      <c r="BL19" s="479"/>
      <c r="BM19" s="479"/>
      <c r="BN19" s="479"/>
      <c r="BO19" s="479"/>
      <c r="BP19" s="479"/>
      <c r="BQ19" s="479"/>
      <c r="BR19" s="479"/>
      <c r="BS19" s="479"/>
      <c r="BT19" s="479"/>
      <c r="BU19" s="479"/>
      <c r="BV19" s="479"/>
      <c r="BW19" s="479"/>
      <c r="BX19" s="479"/>
      <c r="BY19" s="479"/>
      <c r="BZ19" s="479"/>
      <c r="CA19" s="479"/>
      <c r="CB19" s="479"/>
      <c r="CC19" s="479"/>
      <c r="CD19" s="479"/>
      <c r="CE19" s="479"/>
      <c r="CF19" s="479"/>
      <c r="CG19" s="479"/>
      <c r="CH19" s="479"/>
      <c r="CI19" s="479"/>
      <c r="CJ19" s="479"/>
      <c r="CK19" s="479">
        <v>11.399999999999999</v>
      </c>
      <c r="CL19" s="76">
        <f t="shared" si="0"/>
        <v>11.399999999999999</v>
      </c>
      <c r="CM19" s="76"/>
      <c r="CN19">
        <f>VLOOKUP(A19,VALO_PERSO!F:W,17,0)</f>
        <v>59596.350000000006</v>
      </c>
      <c r="CO19">
        <f>VLOOKUP(A19,VALO_PERSO!F:W,18,0)</f>
        <v>1603.6399999999999</v>
      </c>
      <c r="CP19" s="148">
        <f t="shared" si="1"/>
        <v>423.66016687036995</v>
      </c>
    </row>
    <row r="20" spans="1:95" x14ac:dyDescent="0.25">
      <c r="A20">
        <v>22</v>
      </c>
      <c r="B20" t="s">
        <v>936</v>
      </c>
      <c r="C20" t="s">
        <v>937</v>
      </c>
      <c r="D20" t="s">
        <v>938</v>
      </c>
      <c r="E20" s="479">
        <v>7.6</v>
      </c>
      <c r="F20" s="479">
        <v>7.6</v>
      </c>
      <c r="G20" s="479">
        <v>7.6</v>
      </c>
      <c r="H20" s="479">
        <v>7.6</v>
      </c>
      <c r="I20" s="479">
        <v>7.6</v>
      </c>
      <c r="J20" s="479">
        <v>7.6</v>
      </c>
      <c r="K20" s="479">
        <v>7.6</v>
      </c>
      <c r="L20" s="479"/>
      <c r="M20" s="479"/>
      <c r="N20" s="479"/>
      <c r="O20" s="479"/>
      <c r="P20" s="479"/>
      <c r="Q20" s="479">
        <v>7.6</v>
      </c>
      <c r="R20" s="479">
        <v>7.6</v>
      </c>
      <c r="S20" s="479">
        <v>7.6</v>
      </c>
      <c r="T20" s="479">
        <v>7.6</v>
      </c>
      <c r="U20" s="479">
        <v>7.6</v>
      </c>
      <c r="V20" s="479">
        <v>7.6</v>
      </c>
      <c r="W20" s="479">
        <v>7.6</v>
      </c>
      <c r="X20" s="479">
        <v>7.6</v>
      </c>
      <c r="Y20" s="479">
        <v>7.6</v>
      </c>
      <c r="Z20" s="479">
        <v>7.6</v>
      </c>
      <c r="AA20" s="479">
        <v>7.6</v>
      </c>
      <c r="AB20" s="479">
        <v>3.8</v>
      </c>
      <c r="AC20" s="479">
        <v>7.6</v>
      </c>
      <c r="AD20" s="479">
        <v>7.6</v>
      </c>
      <c r="AE20" s="479"/>
      <c r="AF20" s="479">
        <v>7.6</v>
      </c>
      <c r="AG20" s="479">
        <v>7.6</v>
      </c>
      <c r="AH20" s="479">
        <v>7.6</v>
      </c>
      <c r="AI20" s="479">
        <v>7.6</v>
      </c>
      <c r="AJ20" s="479">
        <v>7.6</v>
      </c>
      <c r="AK20" s="479">
        <v>7.6</v>
      </c>
      <c r="AL20" s="479">
        <v>7.6</v>
      </c>
      <c r="AM20" s="479">
        <v>7.6</v>
      </c>
      <c r="AN20" s="479">
        <v>7.6</v>
      </c>
      <c r="AO20" s="479">
        <v>7.6</v>
      </c>
      <c r="AP20" s="479">
        <v>7.6</v>
      </c>
      <c r="AQ20" s="479">
        <v>7.6</v>
      </c>
      <c r="AR20" s="479"/>
      <c r="AS20" s="479">
        <v>3.8</v>
      </c>
      <c r="AT20" s="479">
        <v>3.8</v>
      </c>
      <c r="AU20" s="479"/>
      <c r="AV20" s="479"/>
      <c r="AW20" s="479"/>
      <c r="AX20" s="479"/>
      <c r="AY20" s="479"/>
      <c r="AZ20" s="479">
        <v>8.6</v>
      </c>
      <c r="BA20" s="479">
        <v>7.6</v>
      </c>
      <c r="BB20" s="479">
        <v>7.6</v>
      </c>
      <c r="BC20" s="479">
        <v>5.3</v>
      </c>
      <c r="BD20" s="479"/>
      <c r="BE20" s="479"/>
      <c r="BF20" s="479"/>
      <c r="BG20" s="479"/>
      <c r="BH20" s="479"/>
      <c r="BI20" s="479"/>
      <c r="BJ20" s="479"/>
      <c r="BK20" s="479"/>
      <c r="BL20" s="479"/>
      <c r="BM20" s="479"/>
      <c r="BN20" s="479"/>
      <c r="BO20" s="479"/>
      <c r="BP20" s="479"/>
      <c r="BQ20" s="479"/>
      <c r="BR20" s="479"/>
      <c r="BS20" s="479"/>
      <c r="BT20" s="479"/>
      <c r="BU20" s="479"/>
      <c r="BV20" s="479"/>
      <c r="BW20" s="479"/>
      <c r="BX20" s="479"/>
      <c r="BY20" s="479"/>
      <c r="BZ20" s="479"/>
      <c r="CA20" s="479">
        <v>3.8</v>
      </c>
      <c r="CB20" s="479"/>
      <c r="CC20" s="479">
        <v>3.8</v>
      </c>
      <c r="CD20" s="479"/>
      <c r="CE20" s="479"/>
      <c r="CF20" s="479">
        <v>3.8</v>
      </c>
      <c r="CG20" s="479">
        <v>3.8</v>
      </c>
      <c r="CH20" s="479"/>
      <c r="CI20" s="479">
        <v>7.6</v>
      </c>
      <c r="CJ20" s="479"/>
      <c r="CK20" s="479">
        <v>306.50000000000006</v>
      </c>
      <c r="CL20" s="76">
        <f t="shared" si="0"/>
        <v>306.50000000000006</v>
      </c>
      <c r="CM20" s="76"/>
      <c r="CN20">
        <f>VLOOKUP(A20,VALO_PERSO!F:W,17,0)</f>
        <v>82298.73</v>
      </c>
      <c r="CO20">
        <f>VLOOKUP(A20,VALO_PERSO!F:W,18,0)</f>
        <v>1668.24</v>
      </c>
      <c r="CP20" s="148">
        <f t="shared" si="1"/>
        <v>15120.462730182709</v>
      </c>
    </row>
    <row r="21" spans="1:95" x14ac:dyDescent="0.25">
      <c r="A21">
        <v>24</v>
      </c>
      <c r="B21" t="s">
        <v>946</v>
      </c>
      <c r="C21" t="s">
        <v>947</v>
      </c>
      <c r="D21" t="s">
        <v>948</v>
      </c>
      <c r="E21" s="479">
        <v>7.6</v>
      </c>
      <c r="F21" s="479">
        <v>3.8</v>
      </c>
      <c r="G21" s="479">
        <v>7.6</v>
      </c>
      <c r="H21" s="479">
        <v>7.6</v>
      </c>
      <c r="I21" s="479">
        <v>7.6</v>
      </c>
      <c r="J21" s="479">
        <v>7.6</v>
      </c>
      <c r="K21" s="479">
        <v>7.6</v>
      </c>
      <c r="L21" s="479">
        <v>7.6</v>
      </c>
      <c r="M21" s="479">
        <v>7.6</v>
      </c>
      <c r="N21" s="479">
        <v>7.6</v>
      </c>
      <c r="O21" s="479"/>
      <c r="P21" s="479"/>
      <c r="Q21" s="479">
        <v>7.6</v>
      </c>
      <c r="R21" s="479">
        <v>7.6</v>
      </c>
      <c r="S21" s="479">
        <v>7.6</v>
      </c>
      <c r="T21" s="479">
        <v>7.6</v>
      </c>
      <c r="U21" s="479">
        <v>7.6</v>
      </c>
      <c r="V21" s="479">
        <v>7.6</v>
      </c>
      <c r="W21" s="479">
        <v>7.6</v>
      </c>
      <c r="X21" s="479">
        <v>7.6</v>
      </c>
      <c r="Y21" s="479">
        <v>7.6</v>
      </c>
      <c r="Z21" s="479">
        <v>7.6</v>
      </c>
      <c r="AA21" s="479">
        <v>7.6</v>
      </c>
      <c r="AB21" s="479"/>
      <c r="AC21" s="479">
        <v>7.6</v>
      </c>
      <c r="AD21" s="479">
        <v>7.6</v>
      </c>
      <c r="AE21" s="479">
        <v>7.6</v>
      </c>
      <c r="AF21" s="479"/>
      <c r="AG21" s="479">
        <v>7.6</v>
      </c>
      <c r="AH21" s="479">
        <v>7.6</v>
      </c>
      <c r="AI21" s="479">
        <v>7.6</v>
      </c>
      <c r="AJ21" s="479">
        <v>7.6</v>
      </c>
      <c r="AK21" s="479">
        <v>7.6</v>
      </c>
      <c r="AL21" s="479">
        <v>7.6</v>
      </c>
      <c r="AM21" s="479">
        <v>7.6</v>
      </c>
      <c r="AN21" s="479">
        <v>7.6</v>
      </c>
      <c r="AO21" s="479">
        <v>7.6</v>
      </c>
      <c r="AP21" s="479">
        <v>7.6</v>
      </c>
      <c r="AQ21" s="479">
        <v>7.6</v>
      </c>
      <c r="AR21" s="479">
        <v>7.6</v>
      </c>
      <c r="AS21" s="479">
        <v>7.6</v>
      </c>
      <c r="AT21" s="479">
        <v>7.6</v>
      </c>
      <c r="AU21" s="479">
        <v>7.6</v>
      </c>
      <c r="AV21" s="479">
        <v>7.6</v>
      </c>
      <c r="AW21" s="479">
        <v>7.6</v>
      </c>
      <c r="AX21" s="479">
        <v>7.6</v>
      </c>
      <c r="AY21" s="479">
        <v>7.6</v>
      </c>
      <c r="AZ21" s="479">
        <v>7.6</v>
      </c>
      <c r="BA21" s="479">
        <v>7.6</v>
      </c>
      <c r="BB21" s="479">
        <v>7.6</v>
      </c>
      <c r="BC21" s="479">
        <v>7.6</v>
      </c>
      <c r="BD21" s="479">
        <v>7.6</v>
      </c>
      <c r="BE21" s="479"/>
      <c r="BF21" s="479"/>
      <c r="BG21" s="479"/>
      <c r="BH21" s="479"/>
      <c r="BI21" s="479"/>
      <c r="BJ21" s="479">
        <v>7.6</v>
      </c>
      <c r="BK21" s="479">
        <v>7.6</v>
      </c>
      <c r="BL21" s="479">
        <v>7.6</v>
      </c>
      <c r="BM21" s="479">
        <v>7.6</v>
      </c>
      <c r="BN21" s="479">
        <v>7.6</v>
      </c>
      <c r="BO21" s="479">
        <v>7.6</v>
      </c>
      <c r="BP21" s="479">
        <v>7.6</v>
      </c>
      <c r="BQ21" s="479">
        <v>7.6</v>
      </c>
      <c r="BR21" s="479">
        <v>7.6</v>
      </c>
      <c r="BS21" s="479">
        <v>7.6</v>
      </c>
      <c r="BT21" s="479">
        <v>7.6</v>
      </c>
      <c r="BU21" s="479">
        <v>7.6</v>
      </c>
      <c r="BV21" s="479">
        <v>7.6</v>
      </c>
      <c r="BW21" s="479">
        <v>7.6</v>
      </c>
      <c r="BX21" s="479">
        <v>7.6</v>
      </c>
      <c r="BY21" s="479">
        <v>7.6</v>
      </c>
      <c r="BZ21" s="479">
        <v>7.6</v>
      </c>
      <c r="CA21" s="479">
        <v>7.6</v>
      </c>
      <c r="CB21" s="479">
        <v>7.6</v>
      </c>
      <c r="CC21" s="479">
        <v>7.6</v>
      </c>
      <c r="CD21" s="479">
        <v>10</v>
      </c>
      <c r="CE21" s="479">
        <v>10</v>
      </c>
      <c r="CF21" s="479">
        <v>10</v>
      </c>
      <c r="CG21" s="479">
        <v>10</v>
      </c>
      <c r="CH21" s="479">
        <v>7.6</v>
      </c>
      <c r="CI21" s="479">
        <v>7.6</v>
      </c>
      <c r="CJ21" s="479">
        <v>7.6</v>
      </c>
      <c r="CK21" s="479">
        <v>575.80000000000064</v>
      </c>
      <c r="CL21" s="76">
        <f t="shared" si="0"/>
        <v>575.80000000000064</v>
      </c>
      <c r="CM21" s="76"/>
      <c r="CN21">
        <f>VLOOKUP(A21,VALO_PERSO!F:W,17,0)</f>
        <v>86329.260000000009</v>
      </c>
      <c r="CO21">
        <f>VLOOKUP(A21,VALO_PERSO!F:W,18,0)</f>
        <v>1705.2399999999998</v>
      </c>
      <c r="CP21" s="148">
        <f t="shared" si="1"/>
        <v>29150.376432642952</v>
      </c>
    </row>
    <row r="22" spans="1:95" x14ac:dyDescent="0.25">
      <c r="A22">
        <v>26</v>
      </c>
      <c r="B22" t="s">
        <v>950</v>
      </c>
      <c r="C22" t="s">
        <v>951</v>
      </c>
      <c r="D22" t="s">
        <v>952</v>
      </c>
      <c r="E22" s="479"/>
      <c r="F22" s="479"/>
      <c r="G22" s="479">
        <v>7.75</v>
      </c>
      <c r="H22" s="479">
        <v>7.83</v>
      </c>
      <c r="I22" s="479">
        <v>7.67</v>
      </c>
      <c r="J22" s="479">
        <v>7.5</v>
      </c>
      <c r="K22" s="479">
        <v>7.25</v>
      </c>
      <c r="L22" s="479">
        <v>7.67</v>
      </c>
      <c r="M22" s="479">
        <v>7.5</v>
      </c>
      <c r="N22" s="479">
        <v>7.67</v>
      </c>
      <c r="O22" s="479">
        <v>8</v>
      </c>
      <c r="P22" s="479">
        <v>7.17</v>
      </c>
      <c r="Q22" s="479">
        <v>7.75</v>
      </c>
      <c r="R22" s="479">
        <v>7.75</v>
      </c>
      <c r="S22" s="479">
        <v>7.92</v>
      </c>
      <c r="T22" s="479">
        <v>7.5</v>
      </c>
      <c r="U22" s="479">
        <v>7.08</v>
      </c>
      <c r="V22" s="479"/>
      <c r="W22" s="479"/>
      <c r="X22" s="479"/>
      <c r="Y22" s="479"/>
      <c r="Z22" s="479"/>
      <c r="AA22" s="479">
        <v>7.75</v>
      </c>
      <c r="AB22" s="479">
        <v>7.84</v>
      </c>
      <c r="AC22" s="479">
        <v>7.66</v>
      </c>
      <c r="AD22" s="479">
        <v>7.5</v>
      </c>
      <c r="AE22" s="479">
        <v>7.25</v>
      </c>
      <c r="AF22" s="479">
        <v>7.05</v>
      </c>
      <c r="AG22" s="479">
        <v>8.17</v>
      </c>
      <c r="AH22" s="479">
        <v>7.67</v>
      </c>
      <c r="AI22" s="479">
        <v>7.84</v>
      </c>
      <c r="AJ22" s="479">
        <v>7.28</v>
      </c>
      <c r="AK22" s="479">
        <v>7.5</v>
      </c>
      <c r="AL22" s="479">
        <v>7.5</v>
      </c>
      <c r="AM22" s="479">
        <v>8.08</v>
      </c>
      <c r="AN22" s="479">
        <v>7.58</v>
      </c>
      <c r="AO22" s="479">
        <v>7.34</v>
      </c>
      <c r="AP22" s="479">
        <v>7.58</v>
      </c>
      <c r="AQ22" s="479">
        <v>8.08</v>
      </c>
      <c r="AR22" s="479">
        <v>7.25</v>
      </c>
      <c r="AS22" s="479">
        <v>7.5</v>
      </c>
      <c r="AT22" s="479">
        <v>7.59</v>
      </c>
      <c r="AU22" s="479">
        <v>7.66</v>
      </c>
      <c r="AV22" s="479">
        <v>7.67</v>
      </c>
      <c r="AW22" s="479">
        <v>8</v>
      </c>
      <c r="AX22" s="479">
        <v>7.75</v>
      </c>
      <c r="AY22" s="479">
        <v>6.92</v>
      </c>
      <c r="AZ22" s="479"/>
      <c r="BA22" s="479">
        <v>7.67</v>
      </c>
      <c r="BB22" s="479">
        <v>7.75</v>
      </c>
      <c r="BC22" s="479">
        <v>7.99</v>
      </c>
      <c r="BD22" s="479">
        <v>7</v>
      </c>
      <c r="BE22" s="479">
        <v>8.5</v>
      </c>
      <c r="BF22" s="479">
        <v>7</v>
      </c>
      <c r="BG22" s="479">
        <v>7.5</v>
      </c>
      <c r="BH22" s="479">
        <v>7.5</v>
      </c>
      <c r="BI22" s="479">
        <v>7.5</v>
      </c>
      <c r="BJ22" s="479">
        <v>7.5</v>
      </c>
      <c r="BK22" s="479">
        <v>7.7</v>
      </c>
      <c r="BL22" s="479">
        <v>7.6</v>
      </c>
      <c r="BM22" s="479">
        <v>7.6</v>
      </c>
      <c r="BN22" s="479">
        <v>7.6</v>
      </c>
      <c r="BO22" s="479">
        <v>7.5</v>
      </c>
      <c r="BP22" s="479">
        <v>7.67</v>
      </c>
      <c r="BQ22" s="479">
        <v>8</v>
      </c>
      <c r="BR22" s="479">
        <v>8</v>
      </c>
      <c r="BS22" s="479">
        <v>6.83</v>
      </c>
      <c r="BT22" s="479">
        <v>8</v>
      </c>
      <c r="BU22" s="479">
        <v>7.25</v>
      </c>
      <c r="BV22" s="479"/>
      <c r="BW22" s="479">
        <v>7.83</v>
      </c>
      <c r="BX22" s="479">
        <v>7.33</v>
      </c>
      <c r="BY22" s="479">
        <v>8</v>
      </c>
      <c r="BZ22" s="479">
        <v>7.42</v>
      </c>
      <c r="CA22" s="479">
        <v>7.83</v>
      </c>
      <c r="CB22" s="479">
        <v>7.25</v>
      </c>
      <c r="CC22" s="479">
        <v>7.5</v>
      </c>
      <c r="CD22" s="479">
        <v>7.75</v>
      </c>
      <c r="CE22" s="479">
        <v>7.84</v>
      </c>
      <c r="CF22" s="479">
        <v>7.5</v>
      </c>
      <c r="CG22" s="479">
        <v>7.32</v>
      </c>
      <c r="CH22" s="479">
        <v>7.75</v>
      </c>
      <c r="CI22" s="479">
        <v>7</v>
      </c>
      <c r="CJ22" s="479">
        <v>8.0500000000000007</v>
      </c>
      <c r="CK22" s="479">
        <v>570.05000000000018</v>
      </c>
      <c r="CL22" s="76">
        <f t="shared" si="0"/>
        <v>570.05000000000018</v>
      </c>
      <c r="CM22" s="76"/>
      <c r="CN22">
        <f>VLOOKUP(A22,VALO_PERSO!F:W,17,0)</f>
        <v>51753.48000000001</v>
      </c>
      <c r="CO22">
        <f>VLOOKUP(A22,VALO_PERSO!F:W,18,0)</f>
        <v>1656.84</v>
      </c>
      <c r="CP22" s="148">
        <f t="shared" si="1"/>
        <v>17806.228286376485</v>
      </c>
    </row>
    <row r="23" spans="1:95" x14ac:dyDescent="0.25">
      <c r="A23">
        <v>31</v>
      </c>
      <c r="B23" t="s">
        <v>954</v>
      </c>
      <c r="C23" t="s">
        <v>955</v>
      </c>
      <c r="D23" t="s">
        <v>925</v>
      </c>
      <c r="E23" s="479"/>
      <c r="F23" s="479"/>
      <c r="G23" s="479">
        <v>7.6</v>
      </c>
      <c r="H23" s="479">
        <v>7.6</v>
      </c>
      <c r="I23" s="479">
        <v>7.6</v>
      </c>
      <c r="J23" s="479">
        <v>7.6</v>
      </c>
      <c r="K23" s="479">
        <v>7.6</v>
      </c>
      <c r="L23" s="479">
        <v>7.6</v>
      </c>
      <c r="M23" s="479">
        <v>7.6</v>
      </c>
      <c r="N23" s="479">
        <v>7.6</v>
      </c>
      <c r="O23" s="479">
        <v>7.6</v>
      </c>
      <c r="P23" s="479">
        <v>7.6</v>
      </c>
      <c r="Q23" s="479"/>
      <c r="R23" s="479"/>
      <c r="S23" s="479">
        <v>7.6</v>
      </c>
      <c r="T23" s="479">
        <v>7.6</v>
      </c>
      <c r="U23" s="479">
        <v>7.6</v>
      </c>
      <c r="V23" s="479">
        <v>7.6</v>
      </c>
      <c r="W23" s="479">
        <v>7.6</v>
      </c>
      <c r="X23" s="479">
        <v>7.6</v>
      </c>
      <c r="Y23" s="479">
        <v>7.6</v>
      </c>
      <c r="Z23" s="479">
        <v>7.6</v>
      </c>
      <c r="AA23" s="479">
        <v>7.6</v>
      </c>
      <c r="AB23" s="479">
        <v>7.6</v>
      </c>
      <c r="AC23" s="479">
        <v>7.6</v>
      </c>
      <c r="AD23" s="479">
        <v>7.6</v>
      </c>
      <c r="AE23" s="479">
        <v>7.6</v>
      </c>
      <c r="AF23" s="479">
        <v>7.6</v>
      </c>
      <c r="AG23" s="479">
        <v>7.6</v>
      </c>
      <c r="AH23" s="479">
        <v>7.6</v>
      </c>
      <c r="AI23" s="479">
        <v>7.6</v>
      </c>
      <c r="AJ23" s="479">
        <v>7.6</v>
      </c>
      <c r="AK23" s="479">
        <v>7.6</v>
      </c>
      <c r="AL23" s="479">
        <v>7.6</v>
      </c>
      <c r="AM23" s="479">
        <v>7.6</v>
      </c>
      <c r="AN23" s="479">
        <v>7.6</v>
      </c>
      <c r="AO23" s="479">
        <v>7.6</v>
      </c>
      <c r="AP23" s="479"/>
      <c r="AQ23" s="479"/>
      <c r="AR23" s="479"/>
      <c r="AS23" s="479"/>
      <c r="AT23" s="479"/>
      <c r="AU23" s="479">
        <v>7.6</v>
      </c>
      <c r="AV23" s="479">
        <v>7.6</v>
      </c>
      <c r="AW23" s="479">
        <v>7.6</v>
      </c>
      <c r="AX23" s="479">
        <v>7.6</v>
      </c>
      <c r="AY23" s="479">
        <v>7.6</v>
      </c>
      <c r="AZ23" s="479"/>
      <c r="BA23" s="479">
        <v>7.6</v>
      </c>
      <c r="BB23" s="479">
        <v>3.8</v>
      </c>
      <c r="BC23" s="479">
        <v>3.8</v>
      </c>
      <c r="BD23" s="479">
        <v>7.6</v>
      </c>
      <c r="BE23" s="479">
        <v>7.6</v>
      </c>
      <c r="BF23" s="479">
        <v>7.6</v>
      </c>
      <c r="BG23" s="479">
        <v>7.6</v>
      </c>
      <c r="BH23" s="479">
        <v>7.6</v>
      </c>
      <c r="BI23" s="479">
        <v>7.6</v>
      </c>
      <c r="BJ23" s="479">
        <v>7.6</v>
      </c>
      <c r="BK23" s="479">
        <v>7.6</v>
      </c>
      <c r="BL23" s="479">
        <v>7.6</v>
      </c>
      <c r="BM23" s="479">
        <v>7.6</v>
      </c>
      <c r="BN23" s="479">
        <v>7.6</v>
      </c>
      <c r="BO23" s="479">
        <v>7.6</v>
      </c>
      <c r="BP23" s="479">
        <v>7.6</v>
      </c>
      <c r="BQ23" s="479">
        <v>3.8</v>
      </c>
      <c r="BR23" s="479">
        <v>7.6</v>
      </c>
      <c r="BS23" s="479">
        <v>7.6</v>
      </c>
      <c r="BT23" s="479">
        <v>7.6</v>
      </c>
      <c r="BU23" s="479">
        <v>7.6</v>
      </c>
      <c r="BV23" s="479">
        <v>7.6</v>
      </c>
      <c r="BW23" s="479">
        <v>7.6</v>
      </c>
      <c r="BX23" s="479">
        <v>7.6</v>
      </c>
      <c r="BY23" s="479"/>
      <c r="BZ23" s="479"/>
      <c r="CA23" s="479">
        <v>7.6</v>
      </c>
      <c r="CB23" s="479">
        <v>7.6</v>
      </c>
      <c r="CC23" s="479">
        <v>7.6</v>
      </c>
      <c r="CD23" s="479">
        <v>3.8</v>
      </c>
      <c r="CE23" s="479">
        <v>3.8</v>
      </c>
      <c r="CF23" s="479">
        <v>3.8</v>
      </c>
      <c r="CG23" s="479">
        <v>3.8</v>
      </c>
      <c r="CH23" s="479">
        <v>3.8</v>
      </c>
      <c r="CI23" s="479">
        <v>3.8</v>
      </c>
      <c r="CJ23" s="479">
        <v>3.8</v>
      </c>
      <c r="CK23" s="479">
        <v>509.20000000000061</v>
      </c>
      <c r="CL23" s="76">
        <f t="shared" si="0"/>
        <v>509.20000000000061</v>
      </c>
      <c r="CM23" s="76"/>
      <c r="CN23">
        <f>VLOOKUP(A23,VALO_PERSO!F:W,17,0)</f>
        <v>52124.66</v>
      </c>
      <c r="CO23">
        <f>VLOOKUP(A23,VALO_PERSO!F:W,18,0)</f>
        <v>1698.6399999999999</v>
      </c>
      <c r="CP23" s="148">
        <f t="shared" si="1"/>
        <v>15625.369043470091</v>
      </c>
    </row>
    <row r="24" spans="1:95" x14ac:dyDescent="0.25">
      <c r="A24">
        <v>32</v>
      </c>
      <c r="B24" t="s">
        <v>957</v>
      </c>
      <c r="C24" t="s">
        <v>958</v>
      </c>
      <c r="D24" t="s">
        <v>959</v>
      </c>
      <c r="E24" s="479">
        <v>7.6</v>
      </c>
      <c r="F24" s="479">
        <v>7.6</v>
      </c>
      <c r="G24" s="479">
        <v>7.6</v>
      </c>
      <c r="H24" s="479">
        <v>7.6</v>
      </c>
      <c r="I24" s="479">
        <v>7.6</v>
      </c>
      <c r="J24" s="479">
        <v>7.6</v>
      </c>
      <c r="K24" s="479">
        <v>7.6</v>
      </c>
      <c r="L24" s="479">
        <v>7.6</v>
      </c>
      <c r="M24" s="479">
        <v>3.8</v>
      </c>
      <c r="N24" s="479">
        <v>7.6</v>
      </c>
      <c r="O24" s="479">
        <v>7.6</v>
      </c>
      <c r="P24" s="479">
        <v>3.8</v>
      </c>
      <c r="Q24" s="479">
        <v>3.8</v>
      </c>
      <c r="R24" s="479">
        <v>7.6</v>
      </c>
      <c r="S24" s="479">
        <v>3.8</v>
      </c>
      <c r="T24" s="479">
        <v>7.6</v>
      </c>
      <c r="U24" s="479">
        <v>3.8</v>
      </c>
      <c r="V24" s="479">
        <v>7.6</v>
      </c>
      <c r="W24" s="479">
        <v>7.6</v>
      </c>
      <c r="X24" s="479"/>
      <c r="Y24" s="479">
        <v>7.6</v>
      </c>
      <c r="Z24" s="479">
        <v>3.8</v>
      </c>
      <c r="AA24" s="479">
        <v>3.8</v>
      </c>
      <c r="AB24" s="479">
        <v>7.6</v>
      </c>
      <c r="AC24" s="479">
        <v>7.6</v>
      </c>
      <c r="AD24" s="479">
        <v>7.6</v>
      </c>
      <c r="AE24" s="479">
        <v>3.8</v>
      </c>
      <c r="AF24" s="479"/>
      <c r="AG24" s="479"/>
      <c r="AH24" s="479">
        <v>3.8</v>
      </c>
      <c r="AI24" s="479"/>
      <c r="AJ24" s="479">
        <v>7.6</v>
      </c>
      <c r="AK24" s="479">
        <v>7.6</v>
      </c>
      <c r="AL24" s="479">
        <v>3.8</v>
      </c>
      <c r="AM24" s="479"/>
      <c r="AN24" s="479"/>
      <c r="AO24" s="479"/>
      <c r="AP24" s="479"/>
      <c r="AQ24" s="479"/>
      <c r="AR24" s="479">
        <v>7.6</v>
      </c>
      <c r="AS24" s="479">
        <v>3.8</v>
      </c>
      <c r="AT24" s="479">
        <v>7.6</v>
      </c>
      <c r="AU24" s="479">
        <v>7.6</v>
      </c>
      <c r="AV24" s="479">
        <v>7.6</v>
      </c>
      <c r="AW24" s="479">
        <v>7.6</v>
      </c>
      <c r="AX24" s="479">
        <v>3.8</v>
      </c>
      <c r="AY24" s="479">
        <v>3.8</v>
      </c>
      <c r="AZ24" s="479">
        <v>3.8</v>
      </c>
      <c r="BA24" s="479">
        <v>7.6</v>
      </c>
      <c r="BB24" s="479">
        <v>3.8</v>
      </c>
      <c r="BC24" s="479"/>
      <c r="BD24" s="479">
        <v>3.8</v>
      </c>
      <c r="BE24" s="479">
        <v>7.6</v>
      </c>
      <c r="BF24" s="479">
        <v>7.6</v>
      </c>
      <c r="BG24" s="479">
        <v>7.6</v>
      </c>
      <c r="BH24" s="479">
        <v>3.8</v>
      </c>
      <c r="BI24" s="479">
        <v>7.6</v>
      </c>
      <c r="BJ24" s="479">
        <v>7.6</v>
      </c>
      <c r="BK24" s="479">
        <v>7.6</v>
      </c>
      <c r="BL24" s="479">
        <v>3.8</v>
      </c>
      <c r="BM24" s="479"/>
      <c r="BN24" s="479"/>
      <c r="BO24" s="479">
        <v>7.6</v>
      </c>
      <c r="BP24" s="479">
        <v>7.6</v>
      </c>
      <c r="BQ24" s="479">
        <v>7.6</v>
      </c>
      <c r="BR24" s="479">
        <v>7.6</v>
      </c>
      <c r="BS24" s="479">
        <v>7.6</v>
      </c>
      <c r="BT24" s="479">
        <v>7.6</v>
      </c>
      <c r="BU24" s="479">
        <v>7.6</v>
      </c>
      <c r="BV24" s="479">
        <v>7.6</v>
      </c>
      <c r="BW24" s="479">
        <v>3.8</v>
      </c>
      <c r="BX24" s="479"/>
      <c r="BY24" s="479"/>
      <c r="BZ24" s="479"/>
      <c r="CA24" s="479"/>
      <c r="CB24" s="479"/>
      <c r="CC24" s="479"/>
      <c r="CD24" s="479"/>
      <c r="CE24" s="479"/>
      <c r="CF24" s="479"/>
      <c r="CG24" s="479"/>
      <c r="CH24" s="479">
        <v>7.6</v>
      </c>
      <c r="CI24" s="479">
        <v>3.8</v>
      </c>
      <c r="CJ24" s="479">
        <v>7.6</v>
      </c>
      <c r="CK24" s="479">
        <v>395.20000000000044</v>
      </c>
      <c r="CL24" s="76">
        <f t="shared" si="0"/>
        <v>395.20000000000044</v>
      </c>
      <c r="CM24" s="76"/>
      <c r="CN24">
        <f>VLOOKUP(A24,VALO_PERSO!F:W,17,0)</f>
        <v>79656.36</v>
      </c>
      <c r="CO24">
        <f>VLOOKUP(A24,VALO_PERSO!F:W,18,0)</f>
        <v>1645.4399999999998</v>
      </c>
      <c r="CP24" s="148">
        <f t="shared" si="1"/>
        <v>19131.778413068871</v>
      </c>
    </row>
    <row r="25" spans="1:95" x14ac:dyDescent="0.25">
      <c r="A25">
        <v>33</v>
      </c>
      <c r="B25" t="s">
        <v>961</v>
      </c>
      <c r="C25" t="s">
        <v>962</v>
      </c>
      <c r="D25" t="s">
        <v>963</v>
      </c>
      <c r="E25" s="479"/>
      <c r="F25" s="479"/>
      <c r="G25" s="479">
        <v>7.6</v>
      </c>
      <c r="H25" s="479">
        <v>7.6</v>
      </c>
      <c r="I25" s="479">
        <v>7.6</v>
      </c>
      <c r="J25" s="479">
        <v>7.6</v>
      </c>
      <c r="K25" s="479">
        <v>7.6</v>
      </c>
      <c r="L25" s="479">
        <v>7.6</v>
      </c>
      <c r="M25" s="479">
        <v>7.6</v>
      </c>
      <c r="N25" s="479">
        <v>7.6</v>
      </c>
      <c r="O25" s="479">
        <v>7.6</v>
      </c>
      <c r="P25" s="479"/>
      <c r="Q25" s="479">
        <v>7.6</v>
      </c>
      <c r="R25" s="479">
        <v>7.6</v>
      </c>
      <c r="S25" s="479">
        <v>7.6</v>
      </c>
      <c r="T25" s="479">
        <v>7.6</v>
      </c>
      <c r="U25" s="479">
        <v>7.6</v>
      </c>
      <c r="V25" s="479">
        <v>7.6</v>
      </c>
      <c r="W25" s="479">
        <v>7.6</v>
      </c>
      <c r="X25" s="479">
        <v>7.6</v>
      </c>
      <c r="Y25" s="479">
        <v>7.6</v>
      </c>
      <c r="Z25" s="479">
        <v>7.6</v>
      </c>
      <c r="AA25" s="479"/>
      <c r="AB25" s="479">
        <v>7.6</v>
      </c>
      <c r="AC25" s="479">
        <v>7.6</v>
      </c>
      <c r="AD25" s="479">
        <v>7.6</v>
      </c>
      <c r="AE25" s="479">
        <v>7.6</v>
      </c>
      <c r="AF25" s="479">
        <v>7.6</v>
      </c>
      <c r="AG25" s="479">
        <v>7.6</v>
      </c>
      <c r="AH25" s="479">
        <v>7.6</v>
      </c>
      <c r="AI25" s="479">
        <v>7.6</v>
      </c>
      <c r="AJ25" s="479">
        <v>7.6</v>
      </c>
      <c r="AK25" s="479">
        <v>7.6</v>
      </c>
      <c r="AL25" s="479">
        <v>7.6</v>
      </c>
      <c r="AM25" s="479">
        <v>7.6</v>
      </c>
      <c r="AN25" s="479">
        <v>7.6</v>
      </c>
      <c r="AO25" s="479">
        <v>7.6</v>
      </c>
      <c r="AP25" s="479">
        <v>7.6</v>
      </c>
      <c r="AQ25" s="479">
        <v>7.6</v>
      </c>
      <c r="AR25" s="479">
        <v>7.6</v>
      </c>
      <c r="AS25" s="479">
        <v>7.6</v>
      </c>
      <c r="AT25" s="479">
        <v>7.6</v>
      </c>
      <c r="AU25" s="479">
        <v>7.6</v>
      </c>
      <c r="AV25" s="479">
        <v>7.6</v>
      </c>
      <c r="AW25" s="479">
        <v>7.6</v>
      </c>
      <c r="AX25" s="479">
        <v>7.6</v>
      </c>
      <c r="AY25" s="479">
        <v>7.6</v>
      </c>
      <c r="AZ25" s="479">
        <v>7.6</v>
      </c>
      <c r="BA25" s="479">
        <v>7.6</v>
      </c>
      <c r="BB25" s="479">
        <v>7.6</v>
      </c>
      <c r="BC25" s="479">
        <v>7.6</v>
      </c>
      <c r="BD25" s="479">
        <v>7.6</v>
      </c>
      <c r="BE25" s="479">
        <v>7.6</v>
      </c>
      <c r="BF25" s="479">
        <v>7.6</v>
      </c>
      <c r="BG25" s="479">
        <v>7.6</v>
      </c>
      <c r="BH25" s="479">
        <v>7.6</v>
      </c>
      <c r="BI25" s="479">
        <v>7.6</v>
      </c>
      <c r="BJ25" s="479">
        <v>7.6</v>
      </c>
      <c r="BK25" s="479">
        <v>7.6</v>
      </c>
      <c r="BL25" s="479">
        <v>7.6</v>
      </c>
      <c r="BM25" s="479">
        <v>7.6</v>
      </c>
      <c r="BN25" s="479">
        <v>7.6</v>
      </c>
      <c r="BO25" s="479"/>
      <c r="BP25" s="479"/>
      <c r="BQ25" s="479"/>
      <c r="BR25" s="479"/>
      <c r="BS25" s="479"/>
      <c r="BT25" s="479">
        <v>7.6</v>
      </c>
      <c r="BU25" s="479">
        <v>7.6</v>
      </c>
      <c r="BV25" s="479">
        <v>7.6</v>
      </c>
      <c r="BW25" s="479">
        <v>7.6</v>
      </c>
      <c r="BX25" s="479">
        <v>7.6</v>
      </c>
      <c r="BY25" s="479">
        <v>7.6</v>
      </c>
      <c r="BZ25" s="479">
        <v>7.6</v>
      </c>
      <c r="CA25" s="479">
        <v>7.6</v>
      </c>
      <c r="CB25" s="479">
        <v>7.6</v>
      </c>
      <c r="CC25" s="479">
        <v>7.6</v>
      </c>
      <c r="CD25" s="479">
        <v>7.6</v>
      </c>
      <c r="CE25" s="479">
        <v>7.6</v>
      </c>
      <c r="CF25" s="479">
        <v>7.6</v>
      </c>
      <c r="CG25" s="479">
        <v>7.6</v>
      </c>
      <c r="CH25" s="479"/>
      <c r="CI25" s="479"/>
      <c r="CJ25" s="479"/>
      <c r="CK25" s="479">
        <v>547.20000000000073</v>
      </c>
      <c r="CL25" s="76">
        <f t="shared" si="0"/>
        <v>547.20000000000073</v>
      </c>
      <c r="CM25" s="76"/>
      <c r="CN25">
        <f>VLOOKUP(A25,VALO_PERSO!F:W,17,0)</f>
        <v>52130.19</v>
      </c>
      <c r="CO25">
        <f>VLOOKUP(A25,VALO_PERSO!F:W,18,0)</f>
        <v>1611.24</v>
      </c>
      <c r="CP25" s="148">
        <f t="shared" si="1"/>
        <v>17704.153303046125</v>
      </c>
    </row>
    <row r="26" spans="1:95" x14ac:dyDescent="0.25">
      <c r="A26">
        <v>34</v>
      </c>
      <c r="B26" t="s">
        <v>965</v>
      </c>
      <c r="C26" t="s">
        <v>966</v>
      </c>
      <c r="D26" t="s">
        <v>943</v>
      </c>
      <c r="E26" s="479"/>
      <c r="F26" s="479"/>
      <c r="G26" s="479"/>
      <c r="H26" s="479"/>
      <c r="I26" s="479"/>
      <c r="J26" s="479">
        <v>7.67</v>
      </c>
      <c r="K26" s="479">
        <v>7.33</v>
      </c>
      <c r="L26" s="479">
        <v>7.41</v>
      </c>
      <c r="M26" s="479">
        <v>7.5</v>
      </c>
      <c r="N26" s="479">
        <v>7.58</v>
      </c>
      <c r="O26" s="479">
        <v>7.5</v>
      </c>
      <c r="P26" s="479">
        <v>7.25</v>
      </c>
      <c r="Q26" s="479">
        <v>7.92</v>
      </c>
      <c r="R26" s="479">
        <v>8</v>
      </c>
      <c r="S26" s="479">
        <v>7.75</v>
      </c>
      <c r="T26" s="479">
        <v>7.34</v>
      </c>
      <c r="U26" s="479">
        <v>7.42</v>
      </c>
      <c r="V26" s="479">
        <v>7.33</v>
      </c>
      <c r="W26" s="479">
        <v>6.92</v>
      </c>
      <c r="X26" s="479">
        <v>7.42</v>
      </c>
      <c r="Y26" s="479">
        <v>7.92</v>
      </c>
      <c r="Z26" s="479">
        <v>7.92</v>
      </c>
      <c r="AA26" s="479">
        <v>7.25</v>
      </c>
      <c r="AB26" s="479">
        <v>7</v>
      </c>
      <c r="AC26" s="479">
        <v>8</v>
      </c>
      <c r="AD26" s="479">
        <v>7.75</v>
      </c>
      <c r="AE26" s="479">
        <v>8</v>
      </c>
      <c r="AF26" s="479">
        <v>7.6</v>
      </c>
      <c r="AG26" s="479">
        <v>7.6</v>
      </c>
      <c r="AH26" s="479">
        <v>7.6</v>
      </c>
      <c r="AI26" s="479">
        <v>7.6</v>
      </c>
      <c r="AJ26" s="479">
        <v>7.6</v>
      </c>
      <c r="AK26" s="479">
        <v>7.6</v>
      </c>
      <c r="AL26" s="479">
        <v>7.6</v>
      </c>
      <c r="AM26" s="479">
        <v>7.6</v>
      </c>
      <c r="AN26" s="479">
        <v>7.6</v>
      </c>
      <c r="AO26" s="479">
        <v>7.6</v>
      </c>
      <c r="AP26" s="479">
        <v>7.6</v>
      </c>
      <c r="AQ26" s="479">
        <v>7.6</v>
      </c>
      <c r="AR26" s="479">
        <v>7.6</v>
      </c>
      <c r="AS26" s="479">
        <v>7.6</v>
      </c>
      <c r="AT26" s="479"/>
      <c r="AU26" s="479">
        <v>7.6</v>
      </c>
      <c r="AV26" s="479">
        <v>7.6</v>
      </c>
      <c r="AW26" s="479">
        <v>7.6</v>
      </c>
      <c r="AX26" s="479">
        <v>7.6</v>
      </c>
      <c r="AY26" s="479">
        <v>7.6</v>
      </c>
      <c r="AZ26" s="479">
        <v>7.6</v>
      </c>
      <c r="BA26" s="479">
        <v>7.6</v>
      </c>
      <c r="BB26" s="479">
        <v>7.6</v>
      </c>
      <c r="BC26" s="479">
        <v>7.6</v>
      </c>
      <c r="BD26" s="479">
        <v>7.6</v>
      </c>
      <c r="BE26" s="479">
        <v>7.6</v>
      </c>
      <c r="BF26" s="479">
        <v>7.6</v>
      </c>
      <c r="BG26" s="479">
        <v>7.6</v>
      </c>
      <c r="BH26" s="479">
        <v>7.6</v>
      </c>
      <c r="BI26" s="479">
        <v>7.6</v>
      </c>
      <c r="BJ26" s="479">
        <v>7.6</v>
      </c>
      <c r="BK26" s="479">
        <v>7.6</v>
      </c>
      <c r="BL26" s="479">
        <v>7.6</v>
      </c>
      <c r="BM26" s="479">
        <v>7.6</v>
      </c>
      <c r="BN26" s="479">
        <v>3.8</v>
      </c>
      <c r="BO26" s="479">
        <v>7.6</v>
      </c>
      <c r="BP26" s="479">
        <v>7.6</v>
      </c>
      <c r="BQ26" s="479">
        <v>7.6</v>
      </c>
      <c r="BR26" s="479">
        <v>7.6</v>
      </c>
      <c r="BS26" s="479"/>
      <c r="BT26" s="479">
        <v>7.6</v>
      </c>
      <c r="BU26" s="479">
        <v>7.6</v>
      </c>
      <c r="BV26" s="479">
        <v>7.6</v>
      </c>
      <c r="BW26" s="479">
        <v>7.6</v>
      </c>
      <c r="BX26" s="479">
        <v>7.6</v>
      </c>
      <c r="BY26" s="479">
        <v>7.6</v>
      </c>
      <c r="BZ26" s="479">
        <v>7.6</v>
      </c>
      <c r="CA26" s="479">
        <v>7.6</v>
      </c>
      <c r="CB26" s="479">
        <v>7.6</v>
      </c>
      <c r="CC26" s="479"/>
      <c r="CD26" s="479">
        <v>7.6</v>
      </c>
      <c r="CE26" s="479">
        <v>7.6</v>
      </c>
      <c r="CF26" s="479">
        <v>7.6</v>
      </c>
      <c r="CG26" s="479">
        <v>7.6</v>
      </c>
      <c r="CH26" s="479">
        <v>7.6</v>
      </c>
      <c r="CI26" s="479">
        <v>7.6</v>
      </c>
      <c r="CJ26" s="479">
        <v>7.6</v>
      </c>
      <c r="CK26" s="479">
        <v>572.78000000000088</v>
      </c>
      <c r="CL26" s="76">
        <f t="shared" si="0"/>
        <v>572.78000000000088</v>
      </c>
      <c r="CM26" s="76"/>
      <c r="CN26">
        <f>VLOOKUP(A26,VALO_PERSO!F:W,17,0)</f>
        <v>49355.009999999995</v>
      </c>
      <c r="CO26">
        <f>VLOOKUP(A26,VALO_PERSO!F:W,18,0)</f>
        <v>1637.84</v>
      </c>
      <c r="CP26" s="148">
        <f t="shared" si="1"/>
        <v>17260.271227836689</v>
      </c>
    </row>
    <row r="27" spans="1:95" x14ac:dyDescent="0.25">
      <c r="A27">
        <v>35</v>
      </c>
      <c r="B27" t="s">
        <v>969</v>
      </c>
      <c r="C27" t="s">
        <v>970</v>
      </c>
      <c r="D27" t="s">
        <v>971</v>
      </c>
      <c r="E27" s="479"/>
      <c r="F27" s="479"/>
      <c r="G27" s="479">
        <v>8</v>
      </c>
      <c r="H27" s="479">
        <v>8</v>
      </c>
      <c r="I27" s="479">
        <v>9</v>
      </c>
      <c r="J27" s="479">
        <v>7</v>
      </c>
      <c r="K27" s="479">
        <v>6</v>
      </c>
      <c r="L27" s="479">
        <v>7.75</v>
      </c>
      <c r="M27" s="479">
        <v>7.58</v>
      </c>
      <c r="N27" s="479">
        <v>7.5</v>
      </c>
      <c r="O27" s="479">
        <v>7.5</v>
      </c>
      <c r="P27" s="479">
        <v>7</v>
      </c>
      <c r="Q27" s="479">
        <v>7.5</v>
      </c>
      <c r="R27" s="479">
        <v>7.75</v>
      </c>
      <c r="S27" s="479">
        <v>8</v>
      </c>
      <c r="T27" s="479">
        <v>7.25</v>
      </c>
      <c r="U27" s="479">
        <v>7.5</v>
      </c>
      <c r="V27" s="479">
        <v>7.5</v>
      </c>
      <c r="W27" s="479">
        <v>7.75</v>
      </c>
      <c r="X27" s="479">
        <v>7.75</v>
      </c>
      <c r="Y27" s="479">
        <v>8</v>
      </c>
      <c r="Z27" s="479"/>
      <c r="AA27" s="479"/>
      <c r="AB27" s="479"/>
      <c r="AC27" s="479"/>
      <c r="AD27" s="479"/>
      <c r="AE27" s="479"/>
      <c r="AF27" s="479">
        <v>7.6</v>
      </c>
      <c r="AG27" s="479">
        <v>7.6</v>
      </c>
      <c r="AH27" s="479">
        <v>7.6</v>
      </c>
      <c r="AI27" s="479">
        <v>7.6</v>
      </c>
      <c r="AJ27" s="479">
        <v>7.6</v>
      </c>
      <c r="AK27" s="479">
        <v>7.6</v>
      </c>
      <c r="AL27" s="479">
        <v>7.6</v>
      </c>
      <c r="AM27" s="479">
        <v>7.6</v>
      </c>
      <c r="AN27" s="479">
        <v>7.6</v>
      </c>
      <c r="AO27" s="479">
        <v>7.6</v>
      </c>
      <c r="AP27" s="479"/>
      <c r="AQ27" s="479"/>
      <c r="AR27" s="479"/>
      <c r="AS27" s="479"/>
      <c r="AT27" s="479"/>
      <c r="AU27" s="479">
        <v>7.6</v>
      </c>
      <c r="AV27" s="479">
        <v>7.6</v>
      </c>
      <c r="AW27" s="479">
        <v>3.8</v>
      </c>
      <c r="AX27" s="479">
        <v>7.6</v>
      </c>
      <c r="AY27" s="479">
        <v>7.6</v>
      </c>
      <c r="AZ27" s="479"/>
      <c r="BA27" s="479"/>
      <c r="BB27" s="479"/>
      <c r="BC27" s="479"/>
      <c r="BD27" s="479"/>
      <c r="BE27" s="479">
        <v>7.6</v>
      </c>
      <c r="BF27" s="479">
        <v>7.6</v>
      </c>
      <c r="BG27" s="479">
        <v>7.6</v>
      </c>
      <c r="BH27" s="479">
        <v>7.6</v>
      </c>
      <c r="BI27" s="479">
        <v>7.6</v>
      </c>
      <c r="BJ27" s="479">
        <v>7.6</v>
      </c>
      <c r="BK27" s="479">
        <v>7.6</v>
      </c>
      <c r="BL27" s="479">
        <v>7.6</v>
      </c>
      <c r="BM27" s="479">
        <v>7.6</v>
      </c>
      <c r="BN27" s="479">
        <v>7.6</v>
      </c>
      <c r="BO27" s="479">
        <v>7.6</v>
      </c>
      <c r="BP27" s="479">
        <v>7.6</v>
      </c>
      <c r="BQ27" s="479">
        <v>7.6</v>
      </c>
      <c r="BR27" s="479">
        <v>7.6</v>
      </c>
      <c r="BS27" s="479">
        <v>7.6</v>
      </c>
      <c r="BT27" s="479">
        <v>7.6</v>
      </c>
      <c r="BU27" s="479">
        <v>7.6</v>
      </c>
      <c r="BV27" s="479">
        <v>7.6</v>
      </c>
      <c r="BW27" s="479">
        <v>7.6</v>
      </c>
      <c r="BX27" s="479">
        <v>7.6</v>
      </c>
      <c r="BY27" s="479">
        <v>7.6</v>
      </c>
      <c r="BZ27" s="479">
        <v>7.6</v>
      </c>
      <c r="CA27" s="479">
        <v>7.6</v>
      </c>
      <c r="CB27" s="479">
        <v>7.6</v>
      </c>
      <c r="CC27" s="479">
        <v>7.6</v>
      </c>
      <c r="CD27" s="479"/>
      <c r="CE27" s="479"/>
      <c r="CF27" s="479"/>
      <c r="CG27" s="479"/>
      <c r="CH27" s="479">
        <v>7.6</v>
      </c>
      <c r="CI27" s="479">
        <v>7.6</v>
      </c>
      <c r="CJ27" s="479">
        <v>7.6</v>
      </c>
      <c r="CK27" s="479">
        <v>467.33000000000055</v>
      </c>
      <c r="CL27" s="76">
        <f t="shared" si="0"/>
        <v>467.33000000000055</v>
      </c>
      <c r="CM27" s="76"/>
      <c r="CN27">
        <f>VLOOKUP(A27,VALO_PERSO!F:W,17,0)</f>
        <v>52369.14</v>
      </c>
      <c r="CO27">
        <f>VLOOKUP(A27,VALO_PERSO!F:W,18,0)</f>
        <v>1512.4399999999998</v>
      </c>
      <c r="CP27" s="148">
        <f t="shared" si="1"/>
        <v>16181.580886646763</v>
      </c>
    </row>
    <row r="28" spans="1:95" x14ac:dyDescent="0.25">
      <c r="A28">
        <v>37</v>
      </c>
      <c r="B28" t="s">
        <v>977</v>
      </c>
      <c r="C28" t="s">
        <v>978</v>
      </c>
      <c r="D28" t="s">
        <v>979</v>
      </c>
      <c r="E28" s="479">
        <v>3.8</v>
      </c>
      <c r="F28" s="479">
        <v>3.8</v>
      </c>
      <c r="G28" s="479">
        <v>7.6</v>
      </c>
      <c r="H28" s="479"/>
      <c r="I28" s="479">
        <v>3.8</v>
      </c>
      <c r="J28" s="479">
        <v>3.8</v>
      </c>
      <c r="K28" s="479">
        <v>3.8</v>
      </c>
      <c r="L28" s="479">
        <v>7.6</v>
      </c>
      <c r="M28" s="479"/>
      <c r="N28" s="479">
        <v>3.8</v>
      </c>
      <c r="O28" s="479">
        <v>3.8</v>
      </c>
      <c r="P28" s="479"/>
      <c r="Q28" s="479">
        <v>7.6</v>
      </c>
      <c r="R28" s="479">
        <v>3.8</v>
      </c>
      <c r="S28" s="479"/>
      <c r="T28" s="479">
        <v>7.6</v>
      </c>
      <c r="U28" s="479">
        <v>3.8</v>
      </c>
      <c r="V28" s="479">
        <v>3.8</v>
      </c>
      <c r="W28" s="479">
        <v>3.8</v>
      </c>
      <c r="X28" s="479">
        <v>3.8</v>
      </c>
      <c r="Y28" s="479"/>
      <c r="Z28" s="479"/>
      <c r="AA28" s="479">
        <v>7.6</v>
      </c>
      <c r="AB28" s="479">
        <v>7.6</v>
      </c>
      <c r="AC28" s="479">
        <v>3.8</v>
      </c>
      <c r="AD28" s="479">
        <v>7.6</v>
      </c>
      <c r="AE28" s="479"/>
      <c r="AF28" s="479">
        <v>3.8</v>
      </c>
      <c r="AG28" s="479">
        <v>3.8</v>
      </c>
      <c r="AH28" s="479"/>
      <c r="AI28" s="479">
        <v>7.6</v>
      </c>
      <c r="AJ28" s="479">
        <v>3.8</v>
      </c>
      <c r="AK28" s="479">
        <v>3.8</v>
      </c>
      <c r="AL28" s="479">
        <v>7.6</v>
      </c>
      <c r="AM28" s="479">
        <v>7.6</v>
      </c>
      <c r="AN28" s="479">
        <v>3.8</v>
      </c>
      <c r="AO28" s="479">
        <v>3.8</v>
      </c>
      <c r="AP28" s="479">
        <v>7.6</v>
      </c>
      <c r="AQ28" s="479"/>
      <c r="AR28" s="479">
        <v>3.8</v>
      </c>
      <c r="AS28" s="479">
        <v>3.8</v>
      </c>
      <c r="AT28" s="479">
        <v>3.8</v>
      </c>
      <c r="AU28" s="479">
        <v>7.6</v>
      </c>
      <c r="AV28" s="479">
        <v>7.6</v>
      </c>
      <c r="AW28" s="479"/>
      <c r="AX28" s="479">
        <v>3.8</v>
      </c>
      <c r="AY28" s="479">
        <v>3.8</v>
      </c>
      <c r="AZ28" s="479">
        <v>3.8</v>
      </c>
      <c r="BA28" s="479">
        <v>7.6</v>
      </c>
      <c r="BB28" s="479"/>
      <c r="BC28" s="479">
        <v>7.6</v>
      </c>
      <c r="BD28" s="479">
        <v>3.8</v>
      </c>
      <c r="BE28" s="479">
        <v>3.8</v>
      </c>
      <c r="BF28" s="479">
        <v>7.6</v>
      </c>
      <c r="BG28" s="479"/>
      <c r="BH28" s="479">
        <v>3.8</v>
      </c>
      <c r="BI28" s="479"/>
      <c r="BJ28" s="479">
        <v>3.8</v>
      </c>
      <c r="BK28" s="479"/>
      <c r="BL28" s="479">
        <v>7.6</v>
      </c>
      <c r="BM28" s="479">
        <v>3.8</v>
      </c>
      <c r="BN28" s="479">
        <v>3.8</v>
      </c>
      <c r="BO28" s="479">
        <v>3.8</v>
      </c>
      <c r="BP28" s="479"/>
      <c r="BQ28" s="479">
        <v>7.6</v>
      </c>
      <c r="BR28" s="479">
        <v>7.6</v>
      </c>
      <c r="BS28" s="479"/>
      <c r="BT28" s="479">
        <v>3.8</v>
      </c>
      <c r="BU28" s="479"/>
      <c r="BV28" s="479">
        <v>3.8</v>
      </c>
      <c r="BW28" s="479">
        <v>3.8</v>
      </c>
      <c r="BX28" s="479"/>
      <c r="BY28" s="479">
        <v>3.8</v>
      </c>
      <c r="BZ28" s="479"/>
      <c r="CA28" s="479">
        <v>3.8</v>
      </c>
      <c r="CB28" s="479">
        <v>3.8</v>
      </c>
      <c r="CC28" s="479">
        <v>3.8</v>
      </c>
      <c r="CD28" s="479">
        <v>7.6</v>
      </c>
      <c r="CE28" s="479">
        <v>3.8</v>
      </c>
      <c r="CF28" s="479"/>
      <c r="CG28" s="479"/>
      <c r="CH28" s="479">
        <v>3.8</v>
      </c>
      <c r="CI28" s="479"/>
      <c r="CJ28" s="479">
        <v>3.8</v>
      </c>
      <c r="CK28" s="479">
        <v>311.60000000000025</v>
      </c>
      <c r="CL28" s="76">
        <f t="shared" si="0"/>
        <v>311.60000000000025</v>
      </c>
      <c r="CM28" s="76"/>
      <c r="CN28">
        <f>VLOOKUP(A28,VALO_PERSO!F:W,17,0)</f>
        <v>137622.03</v>
      </c>
      <c r="CO28">
        <f>VLOOKUP(A28,VALO_PERSO!F:W,18,0)</f>
        <v>1649.24</v>
      </c>
      <c r="CP28" s="148">
        <f t="shared" si="1"/>
        <v>26001.688382527729</v>
      </c>
    </row>
    <row r="29" spans="1:95" x14ac:dyDescent="0.25">
      <c r="A29">
        <v>38</v>
      </c>
      <c r="B29" t="s">
        <v>982</v>
      </c>
      <c r="C29" t="s">
        <v>983</v>
      </c>
      <c r="D29" t="s">
        <v>984</v>
      </c>
      <c r="E29" s="479">
        <v>7.6</v>
      </c>
      <c r="F29" s="479">
        <v>7.6</v>
      </c>
      <c r="G29" s="479">
        <v>7.6</v>
      </c>
      <c r="H29" s="479">
        <v>7.6</v>
      </c>
      <c r="I29" s="479">
        <v>7.6</v>
      </c>
      <c r="J29" s="479">
        <v>7.6</v>
      </c>
      <c r="K29" s="479">
        <v>7.6</v>
      </c>
      <c r="L29" s="479">
        <v>7.6</v>
      </c>
      <c r="M29" s="479">
        <v>7.6</v>
      </c>
      <c r="N29" s="479">
        <v>7.6</v>
      </c>
      <c r="O29" s="479">
        <v>7.6</v>
      </c>
      <c r="P29" s="479">
        <v>7.6</v>
      </c>
      <c r="Q29" s="479"/>
      <c r="R29" s="479">
        <v>3.8</v>
      </c>
      <c r="S29" s="479">
        <v>7.6</v>
      </c>
      <c r="T29" s="479">
        <v>7.6</v>
      </c>
      <c r="U29" s="479">
        <v>7.6</v>
      </c>
      <c r="V29" s="479">
        <v>7.6</v>
      </c>
      <c r="W29" s="479">
        <v>7.6</v>
      </c>
      <c r="X29" s="479"/>
      <c r="Y29" s="479"/>
      <c r="Z29" s="479">
        <v>7.6</v>
      </c>
      <c r="AA29" s="479">
        <v>7.6</v>
      </c>
      <c r="AB29" s="479">
        <v>7.6</v>
      </c>
      <c r="AC29" s="479">
        <v>7.6</v>
      </c>
      <c r="AD29" s="479">
        <v>7.6</v>
      </c>
      <c r="AE29" s="479">
        <v>7.6</v>
      </c>
      <c r="AF29" s="479">
        <v>7.6</v>
      </c>
      <c r="AG29" s="479">
        <v>7.6</v>
      </c>
      <c r="AH29" s="479">
        <v>7.6</v>
      </c>
      <c r="AI29" s="479">
        <v>7.6</v>
      </c>
      <c r="AJ29" s="479">
        <v>7.6</v>
      </c>
      <c r="AK29" s="479">
        <v>7.6</v>
      </c>
      <c r="AL29" s="479">
        <v>7.6</v>
      </c>
      <c r="AM29" s="479">
        <v>7.6</v>
      </c>
      <c r="AN29" s="479">
        <v>7.6</v>
      </c>
      <c r="AO29" s="479">
        <v>7.6</v>
      </c>
      <c r="AP29" s="479"/>
      <c r="AQ29" s="479"/>
      <c r="AR29" s="479"/>
      <c r="AS29" s="479"/>
      <c r="AT29" s="479"/>
      <c r="AU29" s="479"/>
      <c r="AV29" s="479"/>
      <c r="AW29" s="479"/>
      <c r="AX29" s="479"/>
      <c r="AY29" s="479"/>
      <c r="AZ29" s="479"/>
      <c r="BA29" s="479"/>
      <c r="BB29" s="479"/>
      <c r="BC29" s="479"/>
      <c r="BD29" s="479"/>
      <c r="BE29" s="479"/>
      <c r="BF29" s="479"/>
      <c r="BG29" s="479"/>
      <c r="BH29" s="479"/>
      <c r="BI29" s="479"/>
      <c r="BJ29" s="479"/>
      <c r="BK29" s="479"/>
      <c r="BL29" s="479"/>
      <c r="BM29" s="479"/>
      <c r="BN29" s="479"/>
      <c r="BO29" s="479"/>
      <c r="BP29" s="479"/>
      <c r="BQ29" s="479"/>
      <c r="BR29" s="479"/>
      <c r="BS29" s="479"/>
      <c r="BT29" s="479"/>
      <c r="BU29" s="479"/>
      <c r="BV29" s="479"/>
      <c r="BW29" s="479"/>
      <c r="BX29" s="479"/>
      <c r="BY29" s="479"/>
      <c r="BZ29" s="479"/>
      <c r="CA29" s="479"/>
      <c r="CB29" s="479"/>
      <c r="CC29" s="479"/>
      <c r="CD29" s="479"/>
      <c r="CE29" s="479"/>
      <c r="CF29" s="479"/>
      <c r="CG29" s="479"/>
      <c r="CH29" s="479"/>
      <c r="CI29" s="479"/>
      <c r="CJ29" s="479"/>
      <c r="CK29" s="479">
        <v>254.59999999999988</v>
      </c>
      <c r="CL29" s="76">
        <f t="shared" si="0"/>
        <v>254.59999999999988</v>
      </c>
      <c r="CM29" s="76"/>
      <c r="CN29">
        <f>VLOOKUP(A29,VALO_PERSO!F:W,17,0)</f>
        <v>52690.94</v>
      </c>
      <c r="CO29">
        <f>VLOOKUP(A29,VALO_PERSO!F:W,18,0)</f>
        <v>1675.84</v>
      </c>
      <c r="CP29" s="148">
        <f t="shared" si="1"/>
        <v>8005.0084280122173</v>
      </c>
    </row>
    <row r="30" spans="1:95" x14ac:dyDescent="0.25">
      <c r="A30">
        <v>40</v>
      </c>
      <c r="B30" t="s">
        <v>986</v>
      </c>
      <c r="C30" t="s">
        <v>987</v>
      </c>
      <c r="D30" t="s">
        <v>988</v>
      </c>
      <c r="E30" s="479"/>
      <c r="F30" s="479"/>
      <c r="G30" s="479">
        <v>7.5</v>
      </c>
      <c r="H30" s="479">
        <v>7.5</v>
      </c>
      <c r="I30" s="479">
        <v>7.5</v>
      </c>
      <c r="J30" s="479">
        <v>7.5</v>
      </c>
      <c r="K30" s="479">
        <v>5</v>
      </c>
      <c r="L30" s="479"/>
      <c r="M30" s="479"/>
      <c r="N30" s="479"/>
      <c r="O30" s="479"/>
      <c r="P30" s="479"/>
      <c r="Q30" s="479"/>
      <c r="R30" s="479"/>
      <c r="S30" s="479"/>
      <c r="T30" s="479"/>
      <c r="U30" s="479"/>
      <c r="V30" s="479">
        <v>7.5</v>
      </c>
      <c r="W30" s="479">
        <v>7.5</v>
      </c>
      <c r="X30" s="479">
        <v>7.5</v>
      </c>
      <c r="Y30" s="479">
        <v>7.5</v>
      </c>
      <c r="Z30" s="479">
        <v>5</v>
      </c>
      <c r="AA30" s="479">
        <v>7.5</v>
      </c>
      <c r="AB30" s="479">
        <v>7.5</v>
      </c>
      <c r="AC30" s="479">
        <v>7.5</v>
      </c>
      <c r="AD30" s="479">
        <v>7.5</v>
      </c>
      <c r="AE30" s="479">
        <v>5</v>
      </c>
      <c r="AF30" s="479"/>
      <c r="AG30" s="479"/>
      <c r="AH30" s="479"/>
      <c r="AI30" s="479"/>
      <c r="AJ30" s="479"/>
      <c r="AK30" s="479"/>
      <c r="AL30" s="479"/>
      <c r="AM30" s="479"/>
      <c r="AN30" s="479"/>
      <c r="AO30" s="479"/>
      <c r="AP30" s="479">
        <v>7.5</v>
      </c>
      <c r="AQ30" s="479">
        <v>7.5</v>
      </c>
      <c r="AR30" s="479">
        <v>7.5</v>
      </c>
      <c r="AS30" s="479">
        <v>7.5</v>
      </c>
      <c r="AT30" s="479"/>
      <c r="AU30" s="479"/>
      <c r="AV30" s="479"/>
      <c r="AW30" s="479"/>
      <c r="AX30" s="479"/>
      <c r="AY30" s="479"/>
      <c r="AZ30" s="479">
        <v>7.5</v>
      </c>
      <c r="BA30" s="479">
        <v>7.5</v>
      </c>
      <c r="BB30" s="479">
        <v>7.5</v>
      </c>
      <c r="BC30" s="479">
        <v>7.5</v>
      </c>
      <c r="BD30" s="479">
        <v>5</v>
      </c>
      <c r="BE30" s="479">
        <v>7.5</v>
      </c>
      <c r="BF30" s="479">
        <v>7.5</v>
      </c>
      <c r="BG30" s="479">
        <v>7.5</v>
      </c>
      <c r="BH30" s="479">
        <v>7.5</v>
      </c>
      <c r="BI30" s="479">
        <v>5</v>
      </c>
      <c r="BJ30" s="479">
        <v>7.5</v>
      </c>
      <c r="BK30" s="479">
        <v>7.5</v>
      </c>
      <c r="BL30" s="479">
        <v>7.5</v>
      </c>
      <c r="BM30" s="479">
        <v>7.5</v>
      </c>
      <c r="BN30" s="479">
        <v>5</v>
      </c>
      <c r="BO30" s="479">
        <v>7.5</v>
      </c>
      <c r="BP30" s="479"/>
      <c r="BQ30" s="479"/>
      <c r="BR30" s="479"/>
      <c r="BS30" s="479"/>
      <c r="BT30" s="479"/>
      <c r="BU30" s="479"/>
      <c r="BV30" s="479"/>
      <c r="BW30" s="479">
        <v>7.5</v>
      </c>
      <c r="BX30" s="479">
        <v>5</v>
      </c>
      <c r="BY30" s="479">
        <v>7.5</v>
      </c>
      <c r="BZ30" s="479">
        <v>7.5</v>
      </c>
      <c r="CA30" s="479">
        <v>7.5</v>
      </c>
      <c r="CB30" s="479">
        <v>7.5</v>
      </c>
      <c r="CC30" s="479">
        <v>5</v>
      </c>
      <c r="CD30" s="479">
        <v>7.5</v>
      </c>
      <c r="CE30" s="479">
        <v>7.5</v>
      </c>
      <c r="CF30" s="479">
        <v>7.5</v>
      </c>
      <c r="CG30" s="479">
        <v>5</v>
      </c>
      <c r="CH30" s="479">
        <v>7.5</v>
      </c>
      <c r="CI30" s="479">
        <v>7.5</v>
      </c>
      <c r="CJ30" s="479">
        <v>7.5</v>
      </c>
      <c r="CK30" s="479">
        <v>345</v>
      </c>
      <c r="CL30" s="76">
        <f t="shared" si="0"/>
        <v>345</v>
      </c>
      <c r="CM30" s="76"/>
      <c r="CN30">
        <f>VLOOKUP(A30,VALO_PERSO!F:W,17,0)</f>
        <v>8134.27</v>
      </c>
      <c r="CO30">
        <f>VLOOKUP(A30,VALO_PERSO!F:W,18,0)</f>
        <v>809.29000000000008</v>
      </c>
      <c r="CP30" s="148">
        <f t="shared" si="1"/>
        <v>3467.6360142841254</v>
      </c>
    </row>
    <row r="31" spans="1:95" x14ac:dyDescent="0.25">
      <c r="A31">
        <v>41</v>
      </c>
      <c r="B31" t="s">
        <v>991</v>
      </c>
      <c r="C31" t="s">
        <v>992</v>
      </c>
      <c r="D31" t="s">
        <v>993</v>
      </c>
      <c r="E31" s="479">
        <v>7.6</v>
      </c>
      <c r="F31" s="479">
        <v>7.6</v>
      </c>
      <c r="G31" s="479">
        <v>7.75</v>
      </c>
      <c r="H31" s="479">
        <v>7.6</v>
      </c>
      <c r="I31" s="479">
        <v>7.58</v>
      </c>
      <c r="J31" s="479">
        <v>7.58</v>
      </c>
      <c r="K31" s="479">
        <v>7.58</v>
      </c>
      <c r="L31" s="479">
        <v>7.83</v>
      </c>
      <c r="M31" s="479">
        <v>8.17</v>
      </c>
      <c r="N31" s="479">
        <v>6.5</v>
      </c>
      <c r="O31" s="479">
        <v>3.97</v>
      </c>
      <c r="P31" s="479">
        <v>7.92</v>
      </c>
      <c r="Q31" s="479">
        <v>7.67</v>
      </c>
      <c r="R31" s="479">
        <v>7.67</v>
      </c>
      <c r="S31" s="479">
        <v>8</v>
      </c>
      <c r="T31" s="479">
        <v>6.75</v>
      </c>
      <c r="U31" s="479"/>
      <c r="V31" s="479"/>
      <c r="W31" s="479"/>
      <c r="X31" s="479">
        <v>7.58</v>
      </c>
      <c r="Y31" s="479">
        <v>7.58</v>
      </c>
      <c r="Z31" s="479">
        <v>7.68</v>
      </c>
      <c r="AA31" s="479">
        <v>7.66</v>
      </c>
      <c r="AB31" s="479">
        <v>7.66</v>
      </c>
      <c r="AC31" s="479">
        <v>7.33</v>
      </c>
      <c r="AD31" s="479">
        <v>3.88</v>
      </c>
      <c r="AE31" s="479">
        <v>7.66</v>
      </c>
      <c r="AF31" s="479">
        <v>7.75</v>
      </c>
      <c r="AG31" s="479">
        <v>7.75</v>
      </c>
      <c r="AH31" s="479">
        <v>7.33</v>
      </c>
      <c r="AI31" s="479">
        <v>7.67</v>
      </c>
      <c r="AJ31" s="479"/>
      <c r="AK31" s="479">
        <v>7.58</v>
      </c>
      <c r="AL31" s="479">
        <v>7.75</v>
      </c>
      <c r="AM31" s="479">
        <v>7.17</v>
      </c>
      <c r="AN31" s="479">
        <v>7.75</v>
      </c>
      <c r="AO31" s="479">
        <v>7.75</v>
      </c>
      <c r="AP31" s="479">
        <v>7.75</v>
      </c>
      <c r="AQ31" s="479">
        <v>7.58</v>
      </c>
      <c r="AR31" s="479">
        <v>7.25</v>
      </c>
      <c r="AS31" s="479">
        <v>7.75</v>
      </c>
      <c r="AT31" s="479">
        <v>7.75</v>
      </c>
      <c r="AU31" s="479">
        <v>4.08</v>
      </c>
      <c r="AV31" s="479">
        <v>7.59</v>
      </c>
      <c r="AW31" s="479">
        <v>7.59</v>
      </c>
      <c r="AX31" s="479"/>
      <c r="AY31" s="479">
        <v>7.59</v>
      </c>
      <c r="AZ31" s="479">
        <v>7.75</v>
      </c>
      <c r="BA31" s="479"/>
      <c r="BB31" s="479">
        <v>7.67</v>
      </c>
      <c r="BC31" s="479">
        <v>3.5</v>
      </c>
      <c r="BD31" s="479">
        <v>7.17</v>
      </c>
      <c r="BE31" s="479">
        <v>7.67</v>
      </c>
      <c r="BF31" s="479"/>
      <c r="BG31" s="479">
        <v>7.58</v>
      </c>
      <c r="BH31" s="479">
        <v>7.5</v>
      </c>
      <c r="BI31" s="479">
        <v>7.5</v>
      </c>
      <c r="BJ31" s="479">
        <v>8</v>
      </c>
      <c r="BK31" s="479"/>
      <c r="BL31" s="479">
        <v>3.58</v>
      </c>
      <c r="BM31" s="479">
        <v>3.58</v>
      </c>
      <c r="BN31" s="479">
        <v>6.5</v>
      </c>
      <c r="BO31" s="479">
        <v>3.67</v>
      </c>
      <c r="BP31" s="479">
        <v>3.92</v>
      </c>
      <c r="BQ31" s="479"/>
      <c r="BR31" s="479">
        <v>7.66</v>
      </c>
      <c r="BS31" s="479">
        <v>7.66</v>
      </c>
      <c r="BT31" s="479">
        <v>7.75</v>
      </c>
      <c r="BU31" s="479">
        <v>7.75</v>
      </c>
      <c r="BV31" s="479">
        <v>7</v>
      </c>
      <c r="BW31" s="479">
        <v>8</v>
      </c>
      <c r="BX31" s="479">
        <v>7.5</v>
      </c>
      <c r="BY31" s="479">
        <v>7.75</v>
      </c>
      <c r="BZ31" s="479">
        <v>8</v>
      </c>
      <c r="CA31" s="479">
        <v>7</v>
      </c>
      <c r="CB31" s="479">
        <v>8.08</v>
      </c>
      <c r="CC31" s="479">
        <v>7.08</v>
      </c>
      <c r="CD31" s="479">
        <v>7.83</v>
      </c>
      <c r="CE31" s="479">
        <v>7.75</v>
      </c>
      <c r="CF31" s="479">
        <v>7.5</v>
      </c>
      <c r="CG31" s="479">
        <v>7.6</v>
      </c>
      <c r="CH31" s="479">
        <v>7.5</v>
      </c>
      <c r="CI31" s="479"/>
      <c r="CJ31" s="479"/>
      <c r="CK31" s="479">
        <v>523.2299999999999</v>
      </c>
      <c r="CL31" s="76">
        <f t="shared" si="0"/>
        <v>523.2299999999999</v>
      </c>
      <c r="CM31" s="76"/>
      <c r="CN31">
        <f>VLOOKUP(A31,VALO_PERSO!F:W,17,0)</f>
        <v>37078.83</v>
      </c>
      <c r="CO31">
        <f>VLOOKUP(A31,VALO_PERSO!F:W,18,0)</f>
        <v>1263.6599999999999</v>
      </c>
      <c r="CP31" s="148">
        <f t="shared" si="1"/>
        <v>15352.829258582213</v>
      </c>
    </row>
    <row r="32" spans="1:95" x14ac:dyDescent="0.25">
      <c r="A32">
        <v>42</v>
      </c>
      <c r="B32" t="s">
        <v>995</v>
      </c>
      <c r="C32" t="s">
        <v>996</v>
      </c>
      <c r="D32" t="s">
        <v>997</v>
      </c>
      <c r="E32" s="479"/>
      <c r="F32" s="479"/>
      <c r="G32" s="479"/>
      <c r="H32" s="479">
        <v>7.6</v>
      </c>
      <c r="I32" s="479">
        <v>6.5</v>
      </c>
      <c r="J32" s="479">
        <v>7.5</v>
      </c>
      <c r="K32" s="479">
        <v>7.5</v>
      </c>
      <c r="L32" s="479">
        <v>7.6</v>
      </c>
      <c r="M32" s="479">
        <v>7.6</v>
      </c>
      <c r="N32" s="479">
        <v>6.5</v>
      </c>
      <c r="O32" s="479">
        <v>7.5</v>
      </c>
      <c r="P32" s="479">
        <v>7.5</v>
      </c>
      <c r="Q32" s="479"/>
      <c r="R32" s="479"/>
      <c r="S32" s="479">
        <v>7.6</v>
      </c>
      <c r="T32" s="479">
        <v>5.5</v>
      </c>
      <c r="U32" s="479">
        <v>8</v>
      </c>
      <c r="V32" s="479">
        <v>7.35</v>
      </c>
      <c r="W32" s="479">
        <v>7.35</v>
      </c>
      <c r="X32" s="479">
        <v>7.35</v>
      </c>
      <c r="Y32" s="479">
        <v>7.42</v>
      </c>
      <c r="Z32" s="479">
        <v>7.42</v>
      </c>
      <c r="AA32" s="479">
        <v>7.5</v>
      </c>
      <c r="AB32" s="479">
        <v>7.5</v>
      </c>
      <c r="AC32" s="479">
        <v>7.5</v>
      </c>
      <c r="AD32" s="479">
        <v>7.5</v>
      </c>
      <c r="AE32" s="479">
        <v>7.5</v>
      </c>
      <c r="AF32" s="479"/>
      <c r="AG32" s="479">
        <v>7.5</v>
      </c>
      <c r="AH32" s="479">
        <v>7.5</v>
      </c>
      <c r="AI32" s="479">
        <v>7.5</v>
      </c>
      <c r="AJ32" s="479">
        <v>8.08</v>
      </c>
      <c r="AK32" s="479">
        <v>7.5</v>
      </c>
      <c r="AL32" s="479">
        <v>7.5</v>
      </c>
      <c r="AM32" s="479">
        <v>8.8000000000000007</v>
      </c>
      <c r="AN32" s="479">
        <v>8</v>
      </c>
      <c r="AO32" s="479">
        <v>7</v>
      </c>
      <c r="AP32" s="479">
        <v>8</v>
      </c>
      <c r="AQ32" s="479">
        <v>7.5</v>
      </c>
      <c r="AR32" s="479">
        <v>8</v>
      </c>
      <c r="AS32" s="479">
        <v>7.52</v>
      </c>
      <c r="AT32" s="479">
        <v>7</v>
      </c>
      <c r="AU32" s="479">
        <v>7.5</v>
      </c>
      <c r="AV32" s="479">
        <v>7</v>
      </c>
      <c r="AW32" s="479">
        <v>7</v>
      </c>
      <c r="AX32" s="479">
        <v>9.17</v>
      </c>
      <c r="AY32" s="479">
        <v>8</v>
      </c>
      <c r="AZ32" s="479">
        <v>8.17</v>
      </c>
      <c r="BA32" s="479">
        <v>7</v>
      </c>
      <c r="BB32" s="479">
        <v>7.5</v>
      </c>
      <c r="BC32" s="479">
        <v>7.5</v>
      </c>
      <c r="BD32" s="479">
        <v>7.5</v>
      </c>
      <c r="BE32" s="479">
        <v>8.17</v>
      </c>
      <c r="BF32" s="479">
        <v>7.17</v>
      </c>
      <c r="BG32" s="479">
        <v>7.17</v>
      </c>
      <c r="BH32" s="479">
        <v>8.17</v>
      </c>
      <c r="BI32" s="479">
        <v>7.5</v>
      </c>
      <c r="BJ32" s="479">
        <v>1.5</v>
      </c>
      <c r="BK32" s="479">
        <v>8</v>
      </c>
      <c r="BL32" s="479">
        <v>8</v>
      </c>
      <c r="BM32" s="479">
        <v>8.4700000000000006</v>
      </c>
      <c r="BN32" s="479"/>
      <c r="BO32" s="479"/>
      <c r="BP32" s="479"/>
      <c r="BQ32" s="479"/>
      <c r="BR32" s="479"/>
      <c r="BS32" s="479"/>
      <c r="BT32" s="479"/>
      <c r="BU32" s="479"/>
      <c r="BV32" s="479"/>
      <c r="BW32" s="479"/>
      <c r="BX32" s="479"/>
      <c r="BY32" s="479"/>
      <c r="BZ32" s="479"/>
      <c r="CA32" s="479"/>
      <c r="CB32" s="479"/>
      <c r="CC32" s="479"/>
      <c r="CD32" s="479"/>
      <c r="CE32" s="479"/>
      <c r="CF32" s="479"/>
      <c r="CG32" s="479"/>
      <c r="CH32" s="479"/>
      <c r="CI32" s="479"/>
      <c r="CJ32" s="479"/>
      <c r="CK32" s="479">
        <v>409.18000000000012</v>
      </c>
      <c r="CL32" s="76">
        <f t="shared" si="0"/>
        <v>409.18000000000012</v>
      </c>
      <c r="CM32" s="76"/>
      <c r="CN32">
        <f>VLOOKUP(A32,VALO_PERSO!F:W,17,0)</f>
        <v>61981.679999999993</v>
      </c>
      <c r="CO32">
        <f>VLOOKUP(A32,VALO_PERSO!F:W,18,0)</f>
        <v>1656.8400000000001</v>
      </c>
      <c r="CP32" s="148">
        <f>CL32/CO32*CN32</f>
        <v>15307.249838487724</v>
      </c>
      <c r="CQ32" s="73"/>
    </row>
    <row r="33" spans="1:94" x14ac:dyDescent="0.25">
      <c r="A33">
        <v>44</v>
      </c>
      <c r="B33" t="s">
        <v>1004</v>
      </c>
      <c r="C33" t="s">
        <v>1005</v>
      </c>
      <c r="D33" t="s">
        <v>1006</v>
      </c>
      <c r="E33" s="479"/>
      <c r="F33" s="479"/>
      <c r="G33" s="479"/>
      <c r="H33" s="479"/>
      <c r="I33" s="479"/>
      <c r="J33" s="479"/>
      <c r="K33" s="479"/>
      <c r="L33" s="479"/>
      <c r="M33" s="479">
        <v>7.6</v>
      </c>
      <c r="N33" s="479">
        <v>3.8</v>
      </c>
      <c r="O33" s="479">
        <v>7.6</v>
      </c>
      <c r="P33" s="479">
        <v>7.6</v>
      </c>
      <c r="Q33" s="479">
        <v>7.6</v>
      </c>
      <c r="R33" s="479">
        <v>7.6</v>
      </c>
      <c r="S33" s="479">
        <v>7.6</v>
      </c>
      <c r="T33" s="479">
        <v>7.6</v>
      </c>
      <c r="U33" s="479"/>
      <c r="V33" s="479"/>
      <c r="W33" s="479"/>
      <c r="X33" s="479"/>
      <c r="Y33" s="479"/>
      <c r="Z33" s="479"/>
      <c r="AA33" s="479"/>
      <c r="AB33" s="479"/>
      <c r="AC33" s="479"/>
      <c r="AD33" s="479"/>
      <c r="AE33" s="479"/>
      <c r="AF33" s="479">
        <v>7.6</v>
      </c>
      <c r="AG33" s="479">
        <v>7.6</v>
      </c>
      <c r="AH33" s="479">
        <v>7.6</v>
      </c>
      <c r="AI33" s="479">
        <v>7.6</v>
      </c>
      <c r="AJ33" s="479">
        <v>7.6</v>
      </c>
      <c r="AK33" s="479">
        <v>7.6</v>
      </c>
      <c r="AL33" s="479">
        <v>7.6</v>
      </c>
      <c r="AM33" s="479">
        <v>7.6</v>
      </c>
      <c r="AN33" s="479">
        <v>7.6</v>
      </c>
      <c r="AO33" s="479"/>
      <c r="AP33" s="479"/>
      <c r="AQ33" s="479"/>
      <c r="AR33" s="479"/>
      <c r="AS33" s="479"/>
      <c r="AT33" s="479"/>
      <c r="AU33" s="479"/>
      <c r="AV33" s="479"/>
      <c r="AW33" s="479"/>
      <c r="AX33" s="479"/>
      <c r="AY33" s="479"/>
      <c r="AZ33" s="479"/>
      <c r="BA33" s="479"/>
      <c r="BB33" s="479"/>
      <c r="BC33" s="479"/>
      <c r="BD33" s="479"/>
      <c r="BE33" s="479"/>
      <c r="BF33" s="479"/>
      <c r="BG33" s="479"/>
      <c r="BH33" s="479"/>
      <c r="BI33" s="479"/>
      <c r="BJ33" s="479"/>
      <c r="BK33" s="479"/>
      <c r="BL33" s="479"/>
      <c r="BM33" s="479"/>
      <c r="BN33" s="479"/>
      <c r="BO33" s="479"/>
      <c r="BP33" s="479"/>
      <c r="BQ33" s="479"/>
      <c r="BR33" s="479"/>
      <c r="BS33" s="479"/>
      <c r="BT33" s="479"/>
      <c r="BU33" s="479"/>
      <c r="BV33" s="479"/>
      <c r="BW33" s="479"/>
      <c r="BX33" s="479"/>
      <c r="BY33" s="479"/>
      <c r="BZ33" s="479"/>
      <c r="CA33" s="479"/>
      <c r="CB33" s="479"/>
      <c r="CC33" s="479"/>
      <c r="CD33" s="479"/>
      <c r="CE33" s="479"/>
      <c r="CF33" s="479"/>
      <c r="CG33" s="479"/>
      <c r="CH33" s="479"/>
      <c r="CI33" s="479"/>
      <c r="CJ33" s="479"/>
      <c r="CK33" s="479">
        <v>125.39999999999996</v>
      </c>
      <c r="CL33" s="76">
        <f t="shared" si="0"/>
        <v>125.39999999999996</v>
      </c>
      <c r="CM33" s="76"/>
      <c r="CN33">
        <f>VLOOKUP(A33,VALO_PERSO!F:W,17,0)</f>
        <v>27408.77</v>
      </c>
      <c r="CO33">
        <f>VLOOKUP(A33,VALO_PERSO!F:W,18,0)</f>
        <v>449.67999999999995</v>
      </c>
      <c r="CP33" s="148">
        <f t="shared" si="1"/>
        <v>7643.3458414872784</v>
      </c>
    </row>
    <row r="34" spans="1:94" x14ac:dyDescent="0.25">
      <c r="A34">
        <v>46</v>
      </c>
      <c r="B34" t="s">
        <v>1009</v>
      </c>
      <c r="C34" t="s">
        <v>1010</v>
      </c>
      <c r="D34" t="s">
        <v>1011</v>
      </c>
      <c r="E34" s="479"/>
      <c r="F34" s="479"/>
      <c r="G34" s="479"/>
      <c r="H34" s="479"/>
      <c r="I34" s="479"/>
      <c r="J34" s="479"/>
      <c r="K34" s="479"/>
      <c r="L34" s="479"/>
      <c r="M34" s="479"/>
      <c r="N34" s="479"/>
      <c r="O34" s="479"/>
      <c r="P34" s="479"/>
      <c r="Q34" s="479"/>
      <c r="R34" s="479"/>
      <c r="S34" s="479"/>
      <c r="T34" s="479"/>
      <c r="U34" s="479"/>
      <c r="V34" s="479"/>
      <c r="W34" s="479"/>
      <c r="X34" s="479"/>
      <c r="Y34" s="479"/>
      <c r="Z34" s="479"/>
      <c r="AA34" s="479"/>
      <c r="AB34" s="479"/>
      <c r="AC34" s="479"/>
      <c r="AD34" s="479"/>
      <c r="AE34" s="479"/>
      <c r="AF34" s="479"/>
      <c r="AG34" s="479"/>
      <c r="AH34" s="479"/>
      <c r="AI34" s="479"/>
      <c r="AJ34" s="479"/>
      <c r="AK34" s="479"/>
      <c r="AL34" s="479"/>
      <c r="AM34" s="479"/>
      <c r="AN34" s="479"/>
      <c r="AO34" s="479"/>
      <c r="AP34" s="479"/>
      <c r="AQ34" s="479"/>
      <c r="AR34" s="479"/>
      <c r="AS34" s="479"/>
      <c r="AT34" s="479"/>
      <c r="AU34" s="479">
        <v>7.6</v>
      </c>
      <c r="AV34" s="479">
        <v>7.6</v>
      </c>
      <c r="AW34" s="479">
        <v>7.6</v>
      </c>
      <c r="AX34" s="479">
        <v>7.6</v>
      </c>
      <c r="AY34" s="479">
        <v>7.6</v>
      </c>
      <c r="AZ34" s="479"/>
      <c r="BA34" s="479"/>
      <c r="BB34" s="479"/>
      <c r="BC34" s="479">
        <v>7.6</v>
      </c>
      <c r="BD34" s="479"/>
      <c r="BE34" s="479">
        <v>7.6</v>
      </c>
      <c r="BF34" s="479">
        <v>7.6</v>
      </c>
      <c r="BG34" s="479"/>
      <c r="BH34" s="479">
        <v>7.6</v>
      </c>
      <c r="BI34" s="479">
        <v>7.6</v>
      </c>
      <c r="BJ34" s="479">
        <v>7.6</v>
      </c>
      <c r="BK34" s="479"/>
      <c r="BL34" s="479"/>
      <c r="BM34" s="479">
        <v>7.6</v>
      </c>
      <c r="BN34" s="479">
        <v>7.6</v>
      </c>
      <c r="BO34" s="479"/>
      <c r="BP34" s="479"/>
      <c r="BQ34" s="479"/>
      <c r="BR34" s="479">
        <v>7.6</v>
      </c>
      <c r="BS34" s="479"/>
      <c r="BT34" s="479">
        <v>7.6</v>
      </c>
      <c r="BU34" s="479">
        <v>7.6</v>
      </c>
      <c r="BV34" s="479"/>
      <c r="BW34" s="479">
        <v>7.6</v>
      </c>
      <c r="BX34" s="479"/>
      <c r="BY34" s="479">
        <v>7.6</v>
      </c>
      <c r="BZ34" s="479">
        <v>7.6</v>
      </c>
      <c r="CA34" s="479"/>
      <c r="CB34" s="479">
        <v>7.6</v>
      </c>
      <c r="CC34" s="479">
        <v>7.6</v>
      </c>
      <c r="CD34" s="479">
        <v>7.6</v>
      </c>
      <c r="CE34" s="479"/>
      <c r="CF34" s="479">
        <v>7.6</v>
      </c>
      <c r="CG34" s="479"/>
      <c r="CH34" s="479">
        <v>3.8</v>
      </c>
      <c r="CI34" s="479">
        <v>3.8</v>
      </c>
      <c r="CJ34" s="479"/>
      <c r="CK34" s="479">
        <v>182.39999999999995</v>
      </c>
      <c r="CL34" s="76">
        <f t="shared" si="0"/>
        <v>182.39999999999995</v>
      </c>
      <c r="CM34" s="76"/>
      <c r="CN34">
        <f>VLOOKUP(A34,VALO_PERSO!F:W,17,0)</f>
        <v>56992.460000000006</v>
      </c>
      <c r="CO34">
        <f>VLOOKUP(A34,VALO_PERSO!F:W,18,0)</f>
        <v>1081.71</v>
      </c>
      <c r="CP34" s="148">
        <f t="shared" si="1"/>
        <v>9610.1771306542396</v>
      </c>
    </row>
    <row r="35" spans="1:94" x14ac:dyDescent="0.25">
      <c r="A35">
        <v>49</v>
      </c>
      <c r="B35" t="s">
        <v>1023</v>
      </c>
      <c r="C35" t="s">
        <v>1024</v>
      </c>
      <c r="D35" t="s">
        <v>1025</v>
      </c>
      <c r="E35" s="479"/>
      <c r="F35" s="479"/>
      <c r="G35" s="479"/>
      <c r="H35" s="479"/>
      <c r="I35" s="479">
        <v>4</v>
      </c>
      <c r="J35" s="479">
        <v>4</v>
      </c>
      <c r="K35" s="479"/>
      <c r="L35" s="479">
        <v>8</v>
      </c>
      <c r="M35" s="479">
        <v>8</v>
      </c>
      <c r="N35" s="479">
        <v>4</v>
      </c>
      <c r="O35" s="479"/>
      <c r="P35" s="479"/>
      <c r="Q35" s="479"/>
      <c r="R35" s="479"/>
      <c r="S35" s="479"/>
      <c r="T35" s="479">
        <v>4</v>
      </c>
      <c r="U35" s="479"/>
      <c r="V35" s="479"/>
      <c r="W35" s="479">
        <v>8</v>
      </c>
      <c r="X35" s="479"/>
      <c r="Y35" s="479"/>
      <c r="Z35" s="479"/>
      <c r="AA35" s="479"/>
      <c r="AB35" s="479"/>
      <c r="AC35" s="479"/>
      <c r="AD35" s="479"/>
      <c r="AE35" s="479"/>
      <c r="AF35" s="479"/>
      <c r="AG35" s="479"/>
      <c r="AH35" s="479">
        <v>4</v>
      </c>
      <c r="AI35" s="479">
        <v>4</v>
      </c>
      <c r="AJ35" s="479"/>
      <c r="AK35" s="479"/>
      <c r="AL35" s="479"/>
      <c r="AM35" s="479">
        <v>4</v>
      </c>
      <c r="AN35" s="479"/>
      <c r="AO35" s="479">
        <v>4</v>
      </c>
      <c r="AP35" s="479"/>
      <c r="AQ35" s="479"/>
      <c r="AR35" s="479"/>
      <c r="AS35" s="479"/>
      <c r="AT35" s="479"/>
      <c r="AU35" s="479"/>
      <c r="AV35" s="479"/>
      <c r="AW35" s="479">
        <v>8</v>
      </c>
      <c r="AX35" s="479"/>
      <c r="AY35" s="479">
        <v>4</v>
      </c>
      <c r="AZ35" s="479"/>
      <c r="BA35" s="479"/>
      <c r="BB35" s="479"/>
      <c r="BC35" s="479"/>
      <c r="BD35" s="479"/>
      <c r="BE35" s="479">
        <v>6</v>
      </c>
      <c r="BF35" s="479"/>
      <c r="BG35" s="479">
        <v>8</v>
      </c>
      <c r="BH35" s="479"/>
      <c r="BI35" s="479"/>
      <c r="BJ35" s="479"/>
      <c r="BK35" s="479"/>
      <c r="BL35" s="479"/>
      <c r="BM35" s="479"/>
      <c r="BN35" s="479"/>
      <c r="BO35" s="479">
        <v>4</v>
      </c>
      <c r="BP35" s="479"/>
      <c r="BQ35" s="479"/>
      <c r="BR35" s="479">
        <v>8</v>
      </c>
      <c r="BS35" s="479"/>
      <c r="BT35" s="479"/>
      <c r="BU35" s="479"/>
      <c r="BV35" s="479">
        <v>8</v>
      </c>
      <c r="BW35" s="479"/>
      <c r="BX35" s="479"/>
      <c r="BY35" s="479"/>
      <c r="BZ35" s="479"/>
      <c r="CA35" s="479"/>
      <c r="CB35" s="479"/>
      <c r="CC35" s="479"/>
      <c r="CD35" s="479"/>
      <c r="CE35" s="479"/>
      <c r="CF35" s="479"/>
      <c r="CG35" s="479"/>
      <c r="CH35" s="479">
        <v>8</v>
      </c>
      <c r="CI35" s="479"/>
      <c r="CJ35" s="479"/>
      <c r="CK35" s="479">
        <v>110</v>
      </c>
      <c r="CL35" s="76">
        <f t="shared" si="0"/>
        <v>110</v>
      </c>
      <c r="CN35">
        <f>VLOOKUP(A35,VALO_PERSO!F:W,17,0)</f>
        <v>113035.36</v>
      </c>
      <c r="CO35">
        <f>VLOOKUP(A35,VALO_PERSO!F:W,18,0)</f>
        <v>1404</v>
      </c>
      <c r="CP35" s="148">
        <f t="shared" ref="CP35:CP37" si="2">CL35/CO35*CN35</f>
        <v>8856.046723646723</v>
      </c>
    </row>
    <row r="36" spans="1:94" x14ac:dyDescent="0.25">
      <c r="A36">
        <v>50</v>
      </c>
      <c r="B36" t="s">
        <v>1028</v>
      </c>
      <c r="C36" t="s">
        <v>1029</v>
      </c>
      <c r="D36" t="s">
        <v>1030</v>
      </c>
      <c r="E36" s="479"/>
      <c r="F36" s="479"/>
      <c r="G36" s="479">
        <v>3.8</v>
      </c>
      <c r="H36" s="479">
        <v>7.6</v>
      </c>
      <c r="I36" s="479">
        <v>3.8</v>
      </c>
      <c r="J36" s="479">
        <v>3.8</v>
      </c>
      <c r="K36" s="479">
        <v>3.8</v>
      </c>
      <c r="L36" s="479">
        <v>7.6</v>
      </c>
      <c r="M36" s="479">
        <v>7.6</v>
      </c>
      <c r="N36" s="479">
        <v>7.6</v>
      </c>
      <c r="O36" s="479">
        <v>7.6</v>
      </c>
      <c r="P36" s="479">
        <v>3.8</v>
      </c>
      <c r="Q36" s="479">
        <v>7.6</v>
      </c>
      <c r="R36" s="479">
        <v>3.8</v>
      </c>
      <c r="S36" s="479">
        <v>7.6</v>
      </c>
      <c r="T36" s="479"/>
      <c r="U36" s="479"/>
      <c r="V36" s="479">
        <v>3.8</v>
      </c>
      <c r="W36" s="479">
        <v>7.6</v>
      </c>
      <c r="X36" s="479">
        <v>7.6</v>
      </c>
      <c r="Y36" s="479">
        <v>3.8</v>
      </c>
      <c r="Z36" s="479">
        <v>7.6</v>
      </c>
      <c r="AA36" s="479">
        <v>7.6</v>
      </c>
      <c r="AB36" s="479">
        <v>3.8</v>
      </c>
      <c r="AC36" s="479">
        <v>3.8</v>
      </c>
      <c r="AD36" s="479">
        <v>7.6</v>
      </c>
      <c r="AE36" s="479">
        <v>7.6</v>
      </c>
      <c r="AF36" s="479">
        <v>7.6</v>
      </c>
      <c r="AG36" s="479">
        <v>3.8</v>
      </c>
      <c r="AH36" s="479"/>
      <c r="AI36" s="479"/>
      <c r="AJ36" s="479"/>
      <c r="AK36" s="479">
        <v>3.8</v>
      </c>
      <c r="AL36" s="479">
        <v>7.6</v>
      </c>
      <c r="AM36" s="479"/>
      <c r="AN36" s="479">
        <v>7.6</v>
      </c>
      <c r="AO36" s="479">
        <v>7.6</v>
      </c>
      <c r="AP36" s="479">
        <v>3.8</v>
      </c>
      <c r="AQ36" s="479">
        <v>7.6</v>
      </c>
      <c r="AR36" s="479">
        <v>7.6</v>
      </c>
      <c r="AS36" s="479">
        <v>7.6</v>
      </c>
      <c r="AT36" s="479">
        <v>3.8</v>
      </c>
      <c r="AU36" s="479">
        <v>3.8</v>
      </c>
      <c r="AV36" s="479">
        <v>7.6</v>
      </c>
      <c r="AW36" s="479">
        <v>3.8</v>
      </c>
      <c r="AX36" s="479">
        <v>3.8</v>
      </c>
      <c r="AY36" s="479">
        <v>3.8</v>
      </c>
      <c r="AZ36" s="479">
        <v>7.6</v>
      </c>
      <c r="BA36" s="479">
        <v>7.6</v>
      </c>
      <c r="BB36" s="479">
        <v>7.6</v>
      </c>
      <c r="BC36" s="479">
        <v>7.6</v>
      </c>
      <c r="BD36" s="479">
        <v>7.6</v>
      </c>
      <c r="BE36" s="479">
        <v>3.8</v>
      </c>
      <c r="BF36" s="479">
        <v>7.6</v>
      </c>
      <c r="BG36" s="479">
        <v>7.6</v>
      </c>
      <c r="BH36" s="479">
        <v>3.8</v>
      </c>
      <c r="BI36" s="479"/>
      <c r="BJ36" s="479">
        <v>7.6</v>
      </c>
      <c r="BK36" s="479">
        <v>3.8</v>
      </c>
      <c r="BL36" s="479"/>
      <c r="BM36" s="479"/>
      <c r="BN36" s="479">
        <v>3.8</v>
      </c>
      <c r="BO36" s="479">
        <v>7.6</v>
      </c>
      <c r="BP36" s="479">
        <v>3.8</v>
      </c>
      <c r="BQ36" s="479">
        <v>3.8</v>
      </c>
      <c r="BR36" s="479"/>
      <c r="BS36" s="479">
        <v>3.8</v>
      </c>
      <c r="BT36" s="479"/>
      <c r="BU36" s="479">
        <v>7.6</v>
      </c>
      <c r="BV36" s="479">
        <v>3.8</v>
      </c>
      <c r="BW36" s="479">
        <v>3.8</v>
      </c>
      <c r="BX36" s="479">
        <v>3.8</v>
      </c>
      <c r="BY36" s="479">
        <v>3.8</v>
      </c>
      <c r="BZ36" s="479">
        <v>3.8</v>
      </c>
      <c r="CA36" s="479">
        <v>3.8</v>
      </c>
      <c r="CB36" s="479">
        <v>3.8</v>
      </c>
      <c r="CC36" s="479">
        <v>3.8</v>
      </c>
      <c r="CD36" s="479"/>
      <c r="CE36" s="479"/>
      <c r="CF36" s="479"/>
      <c r="CG36" s="479"/>
      <c r="CH36" s="479">
        <v>3.8</v>
      </c>
      <c r="CI36" s="479"/>
      <c r="CJ36" s="479">
        <v>3.8</v>
      </c>
      <c r="CK36" s="479">
        <v>368.60000000000031</v>
      </c>
      <c r="CL36" s="76">
        <f t="shared" si="0"/>
        <v>368.60000000000031</v>
      </c>
      <c r="CN36">
        <f>VLOOKUP(A36,VALO_PERSO!F:W,17,0)</f>
        <v>80864.709999999992</v>
      </c>
      <c r="CO36">
        <f>VLOOKUP(A36,VALO_PERSO!F:W,18,0)</f>
        <v>1786.04</v>
      </c>
      <c r="CP36" s="148">
        <f t="shared" si="2"/>
        <v>16688.725955745685</v>
      </c>
    </row>
    <row r="37" spans="1:94" x14ac:dyDescent="0.25">
      <c r="A37">
        <v>54</v>
      </c>
      <c r="B37" t="s">
        <v>1037</v>
      </c>
      <c r="C37" t="s">
        <v>1038</v>
      </c>
      <c r="D37" t="s">
        <v>901</v>
      </c>
      <c r="E37" s="479"/>
      <c r="F37" s="479"/>
      <c r="G37" s="479">
        <v>7</v>
      </c>
      <c r="H37" s="479">
        <v>7</v>
      </c>
      <c r="I37" s="479">
        <v>7</v>
      </c>
      <c r="J37" s="479">
        <v>7</v>
      </c>
      <c r="K37" s="479">
        <v>7</v>
      </c>
      <c r="L37" s="479">
        <v>7</v>
      </c>
      <c r="M37" s="479">
        <v>7</v>
      </c>
      <c r="N37" s="479">
        <v>7</v>
      </c>
      <c r="O37" s="479">
        <v>7</v>
      </c>
      <c r="P37" s="479">
        <v>7</v>
      </c>
      <c r="Q37" s="479">
        <v>7</v>
      </c>
      <c r="R37" s="479">
        <v>7</v>
      </c>
      <c r="S37" s="479">
        <v>7</v>
      </c>
      <c r="T37" s="479">
        <v>7</v>
      </c>
      <c r="U37" s="479">
        <v>7</v>
      </c>
      <c r="V37" s="479"/>
      <c r="W37" s="479"/>
      <c r="X37" s="479"/>
      <c r="Y37" s="479"/>
      <c r="Z37" s="479"/>
      <c r="AA37" s="479"/>
      <c r="AB37" s="479"/>
      <c r="AC37" s="479"/>
      <c r="AD37" s="479"/>
      <c r="AE37" s="479"/>
      <c r="AF37" s="479"/>
      <c r="AG37" s="479"/>
      <c r="AH37" s="479"/>
      <c r="AI37" s="479"/>
      <c r="AJ37" s="479"/>
      <c r="AK37" s="479"/>
      <c r="AL37" s="479"/>
      <c r="AM37" s="479"/>
      <c r="AN37" s="479"/>
      <c r="AO37" s="479"/>
      <c r="AP37" s="479"/>
      <c r="AQ37" s="479"/>
      <c r="AR37" s="479"/>
      <c r="AS37" s="479"/>
      <c r="AT37" s="479"/>
      <c r="AU37" s="479"/>
      <c r="AV37" s="479"/>
      <c r="AW37" s="479"/>
      <c r="AX37" s="479"/>
      <c r="AY37" s="479"/>
      <c r="AZ37" s="479"/>
      <c r="BA37" s="479"/>
      <c r="BB37" s="479"/>
      <c r="BC37" s="479"/>
      <c r="BD37" s="479"/>
      <c r="BE37" s="479"/>
      <c r="BF37" s="479"/>
      <c r="BG37" s="479"/>
      <c r="BH37" s="479"/>
      <c r="BI37" s="479"/>
      <c r="BJ37" s="479"/>
      <c r="BK37" s="479"/>
      <c r="BL37" s="479"/>
      <c r="BM37" s="479"/>
      <c r="BN37" s="479"/>
      <c r="BO37" s="479"/>
      <c r="BP37" s="479"/>
      <c r="BQ37" s="479"/>
      <c r="BR37" s="479"/>
      <c r="BS37" s="479"/>
      <c r="BT37" s="479"/>
      <c r="BU37" s="479"/>
      <c r="BV37" s="479"/>
      <c r="BW37" s="479"/>
      <c r="BX37" s="479"/>
      <c r="BY37" s="479"/>
      <c r="BZ37" s="479"/>
      <c r="CA37" s="479"/>
      <c r="CB37" s="479"/>
      <c r="CC37" s="479"/>
      <c r="CD37" s="479"/>
      <c r="CE37" s="479"/>
      <c r="CF37" s="479"/>
      <c r="CG37" s="479"/>
      <c r="CH37" s="479"/>
      <c r="CI37" s="479"/>
      <c r="CJ37" s="479"/>
      <c r="CK37" s="479">
        <v>105</v>
      </c>
      <c r="CL37" s="76">
        <f t="shared" si="0"/>
        <v>105</v>
      </c>
      <c r="CN37">
        <f>VLOOKUP(A37,VALO_PERSO!F:W,17,0)</f>
        <v>8455.9600000000009</v>
      </c>
      <c r="CO37">
        <f>VLOOKUP(A37,VALO_PERSO!F:W,18,0)</f>
        <v>1073.3599999999999</v>
      </c>
      <c r="CP37" s="148">
        <f t="shared" si="2"/>
        <v>827.19292688380438</v>
      </c>
    </row>
    <row r="38" spans="1:94" x14ac:dyDescent="0.25">
      <c r="B38" t="s">
        <v>335</v>
      </c>
      <c r="D38"/>
      <c r="E38" s="479">
        <v>53.2</v>
      </c>
      <c r="F38" s="479">
        <v>60.8</v>
      </c>
      <c r="G38" s="479">
        <v>144.79999999999998</v>
      </c>
      <c r="H38" s="479">
        <v>152.07999999999996</v>
      </c>
      <c r="I38" s="479">
        <v>152.25</v>
      </c>
      <c r="J38" s="479">
        <v>154.94999999999999</v>
      </c>
      <c r="K38" s="479">
        <v>127.45999999999998</v>
      </c>
      <c r="L38" s="479">
        <v>150.80999999999997</v>
      </c>
      <c r="M38" s="479">
        <v>140.89999999999998</v>
      </c>
      <c r="N38" s="479">
        <v>143.54999999999998</v>
      </c>
      <c r="O38" s="479">
        <v>128.76999999999998</v>
      </c>
      <c r="P38" s="479">
        <v>114.03999999999999</v>
      </c>
      <c r="Q38" s="479">
        <v>138.69</v>
      </c>
      <c r="R38" s="479">
        <v>129.76999999999998</v>
      </c>
      <c r="S38" s="479">
        <v>150.66999999999999</v>
      </c>
      <c r="T38" s="479">
        <v>163.03999999999996</v>
      </c>
      <c r="U38" s="479">
        <v>124.04999999999998</v>
      </c>
      <c r="V38" s="479">
        <v>128.47999999999999</v>
      </c>
      <c r="W38" s="479">
        <v>143.91999999999996</v>
      </c>
      <c r="X38" s="479">
        <v>124.99999999999999</v>
      </c>
      <c r="Y38" s="479">
        <v>131.51999999999998</v>
      </c>
      <c r="Z38" s="479">
        <v>113.52</v>
      </c>
      <c r="AA38" s="479">
        <v>144.05999999999997</v>
      </c>
      <c r="AB38" s="479">
        <v>124.89999999999998</v>
      </c>
      <c r="AC38" s="479">
        <v>142.48999999999998</v>
      </c>
      <c r="AD38" s="479">
        <v>146.22999999999996</v>
      </c>
      <c r="AE38" s="479">
        <v>123.60999999999997</v>
      </c>
      <c r="AF38" s="479">
        <v>128.79999999999998</v>
      </c>
      <c r="AG38" s="479">
        <v>135.51999999999998</v>
      </c>
      <c r="AH38" s="479">
        <v>146.19999999999996</v>
      </c>
      <c r="AI38" s="479">
        <v>141.00999999999996</v>
      </c>
      <c r="AJ38" s="479">
        <v>133.15999999999997</v>
      </c>
      <c r="AK38" s="479">
        <v>132.77999999999997</v>
      </c>
      <c r="AL38" s="479">
        <v>144.34999999999997</v>
      </c>
      <c r="AM38" s="479">
        <v>132.54999999999998</v>
      </c>
      <c r="AN38" s="479">
        <v>114.52999999999997</v>
      </c>
      <c r="AO38" s="479">
        <v>122.98999999999998</v>
      </c>
      <c r="AP38" s="479">
        <v>116.32999999999998</v>
      </c>
      <c r="AQ38" s="479">
        <v>108.55999999999999</v>
      </c>
      <c r="AR38" s="479">
        <v>113.59999999999998</v>
      </c>
      <c r="AS38" s="479">
        <v>117.66999999999997</v>
      </c>
      <c r="AT38" s="479">
        <v>90.74</v>
      </c>
      <c r="AU38" s="479">
        <v>121.83999999999997</v>
      </c>
      <c r="AV38" s="479">
        <v>128.65999999999997</v>
      </c>
      <c r="AW38" s="479">
        <v>123.68999999999998</v>
      </c>
      <c r="AX38" s="479">
        <v>111.91999999999997</v>
      </c>
      <c r="AY38" s="479">
        <v>131.01</v>
      </c>
      <c r="AZ38" s="479">
        <v>121.11999999999999</v>
      </c>
      <c r="BA38" s="479">
        <v>128.56999999999996</v>
      </c>
      <c r="BB38" s="479">
        <v>119.71999999999998</v>
      </c>
      <c r="BC38" s="479">
        <v>123.68999999999997</v>
      </c>
      <c r="BD38" s="479">
        <v>112.16999999999999</v>
      </c>
      <c r="BE38" s="479">
        <v>138.54</v>
      </c>
      <c r="BF38" s="479">
        <v>120.46999999999997</v>
      </c>
      <c r="BG38" s="479">
        <v>132.74999999999997</v>
      </c>
      <c r="BH38" s="479">
        <v>118.06999999999998</v>
      </c>
      <c r="BI38" s="479">
        <v>120.59999999999998</v>
      </c>
      <c r="BJ38" s="479">
        <v>136.59999999999997</v>
      </c>
      <c r="BK38" s="479">
        <v>106.79999999999998</v>
      </c>
      <c r="BL38" s="479">
        <v>114.07999999999998</v>
      </c>
      <c r="BM38" s="479">
        <v>99.35</v>
      </c>
      <c r="BN38" s="479">
        <v>104.59999999999998</v>
      </c>
      <c r="BO38" s="479">
        <v>115.76999999999997</v>
      </c>
      <c r="BP38" s="479">
        <v>87.589999999999989</v>
      </c>
      <c r="BQ38" s="479">
        <v>91.59999999999998</v>
      </c>
      <c r="BR38" s="479">
        <v>114.85999999999997</v>
      </c>
      <c r="BS38" s="479">
        <v>88.589999999999989</v>
      </c>
      <c r="BT38" s="479">
        <v>120.14999999999996</v>
      </c>
      <c r="BU38" s="479">
        <v>127.41999999999996</v>
      </c>
      <c r="BV38" s="479">
        <v>110.64999999999998</v>
      </c>
      <c r="BW38" s="479">
        <v>126.07999999999997</v>
      </c>
      <c r="BX38" s="479">
        <v>119.02999999999997</v>
      </c>
      <c r="BY38" s="479">
        <v>108.74999999999999</v>
      </c>
      <c r="BZ38" s="479">
        <v>95.11999999999999</v>
      </c>
      <c r="CA38" s="479">
        <v>90.72999999999999</v>
      </c>
      <c r="CB38" s="479">
        <v>102.62999999999998</v>
      </c>
      <c r="CC38" s="479">
        <v>101.27999999999997</v>
      </c>
      <c r="CD38" s="479">
        <v>92.47999999999999</v>
      </c>
      <c r="CE38" s="479">
        <v>81.09</v>
      </c>
      <c r="CF38" s="479">
        <v>84.3</v>
      </c>
      <c r="CG38" s="479">
        <v>83.61999999999999</v>
      </c>
      <c r="CH38" s="479">
        <v>116.24999999999997</v>
      </c>
      <c r="CI38" s="479">
        <v>82.899999999999991</v>
      </c>
      <c r="CJ38" s="479">
        <v>91.55</v>
      </c>
      <c r="CK38" s="479">
        <v>10079.040000000006</v>
      </c>
    </row>
    <row r="39" spans="1:94" x14ac:dyDescent="0.25">
      <c r="D39"/>
      <c r="E39"/>
      <c r="F39"/>
      <c r="G39"/>
      <c r="H39"/>
      <c r="I39"/>
      <c r="J39"/>
      <c r="K39"/>
      <c r="L39"/>
      <c r="M39"/>
      <c r="P39" s="480">
        <f t="shared" ref="P39:P52" si="3">+SUM(L39:N39)+H39</f>
        <v>0</v>
      </c>
      <c r="Q39" s="489">
        <f t="shared" ref="Q39:Q52" si="4">E39+F39</f>
        <v>0</v>
      </c>
    </row>
    <row r="40" spans="1:94" x14ac:dyDescent="0.25">
      <c r="D40"/>
      <c r="E40"/>
      <c r="F40"/>
      <c r="G40"/>
      <c r="H40"/>
      <c r="I40"/>
      <c r="J40"/>
      <c r="K40"/>
      <c r="L40"/>
      <c r="M40"/>
      <c r="P40" s="480">
        <f t="shared" si="3"/>
        <v>0</v>
      </c>
      <c r="Q40" s="489">
        <f t="shared" si="4"/>
        <v>0</v>
      </c>
    </row>
    <row r="41" spans="1:94" x14ac:dyDescent="0.25">
      <c r="D41"/>
      <c r="E41"/>
      <c r="F41"/>
      <c r="G41"/>
      <c r="H41"/>
      <c r="I41"/>
      <c r="J41"/>
      <c r="K41"/>
      <c r="L41"/>
      <c r="M41"/>
      <c r="P41" s="480">
        <f t="shared" si="3"/>
        <v>0</v>
      </c>
      <c r="Q41" s="489">
        <f t="shared" si="4"/>
        <v>0</v>
      </c>
    </row>
    <row r="42" spans="1:94" x14ac:dyDescent="0.25">
      <c r="D42"/>
      <c r="E42"/>
      <c r="F42"/>
      <c r="G42"/>
      <c r="H42"/>
      <c r="I42"/>
      <c r="J42"/>
      <c r="K42"/>
      <c r="L42"/>
      <c r="M42"/>
      <c r="P42" s="480">
        <f t="shared" si="3"/>
        <v>0</v>
      </c>
      <c r="Q42" s="489">
        <f t="shared" si="4"/>
        <v>0</v>
      </c>
    </row>
    <row r="43" spans="1:94" x14ac:dyDescent="0.25">
      <c r="D43"/>
      <c r="E43"/>
      <c r="F43"/>
      <c r="G43"/>
      <c r="H43"/>
      <c r="I43"/>
      <c r="J43"/>
      <c r="K43"/>
      <c r="L43"/>
      <c r="M43"/>
      <c r="P43" s="480">
        <f t="shared" si="3"/>
        <v>0</v>
      </c>
      <c r="Q43" s="489">
        <f t="shared" si="4"/>
        <v>0</v>
      </c>
    </row>
    <row r="44" spans="1:94" x14ac:dyDescent="0.25">
      <c r="D44"/>
      <c r="E44"/>
      <c r="F44"/>
      <c r="G44"/>
      <c r="H44"/>
      <c r="I44"/>
      <c r="J44"/>
      <c r="K44"/>
      <c r="L44"/>
      <c r="M44"/>
      <c r="P44" s="480">
        <f t="shared" si="3"/>
        <v>0</v>
      </c>
      <c r="Q44" s="489">
        <f t="shared" si="4"/>
        <v>0</v>
      </c>
    </row>
    <row r="45" spans="1:94" x14ac:dyDescent="0.25">
      <c r="D45"/>
      <c r="E45"/>
      <c r="F45"/>
      <c r="G45"/>
      <c r="H45"/>
      <c r="I45"/>
      <c r="J45"/>
      <c r="K45"/>
      <c r="L45"/>
      <c r="M45"/>
      <c r="P45" s="480">
        <f t="shared" si="3"/>
        <v>0</v>
      </c>
      <c r="Q45" s="489">
        <f t="shared" si="4"/>
        <v>0</v>
      </c>
    </row>
    <row r="46" spans="1:94" x14ac:dyDescent="0.25">
      <c r="D46"/>
      <c r="E46"/>
      <c r="F46"/>
      <c r="G46"/>
      <c r="H46"/>
      <c r="I46"/>
      <c r="J46"/>
      <c r="K46"/>
      <c r="L46"/>
      <c r="M46"/>
      <c r="P46" s="480">
        <f t="shared" si="3"/>
        <v>0</v>
      </c>
      <c r="Q46" s="489">
        <f t="shared" si="4"/>
        <v>0</v>
      </c>
    </row>
    <row r="47" spans="1:94" x14ac:dyDescent="0.25">
      <c r="D47"/>
      <c r="E47"/>
      <c r="F47"/>
      <c r="G47"/>
      <c r="H47"/>
      <c r="I47"/>
      <c r="J47"/>
      <c r="K47"/>
      <c r="L47"/>
      <c r="M47"/>
      <c r="P47" s="480">
        <f t="shared" si="3"/>
        <v>0</v>
      </c>
      <c r="Q47" s="489">
        <f t="shared" si="4"/>
        <v>0</v>
      </c>
    </row>
    <row r="48" spans="1:94" x14ac:dyDescent="0.25">
      <c r="D48"/>
      <c r="E48"/>
      <c r="F48"/>
      <c r="G48"/>
      <c r="H48"/>
      <c r="I48"/>
      <c r="J48"/>
      <c r="K48"/>
      <c r="L48"/>
      <c r="M48"/>
      <c r="P48" s="480">
        <f t="shared" si="3"/>
        <v>0</v>
      </c>
      <c r="Q48" s="489">
        <f t="shared" si="4"/>
        <v>0</v>
      </c>
    </row>
    <row r="49" spans="4:17" x14ac:dyDescent="0.25">
      <c r="D49"/>
      <c r="E49"/>
      <c r="F49"/>
      <c r="G49"/>
      <c r="H49"/>
      <c r="I49"/>
      <c r="J49"/>
      <c r="K49"/>
      <c r="L49"/>
      <c r="M49"/>
      <c r="P49" s="480">
        <f t="shared" si="3"/>
        <v>0</v>
      </c>
      <c r="Q49" s="489">
        <f t="shared" si="4"/>
        <v>0</v>
      </c>
    </row>
    <row r="50" spans="4:17" x14ac:dyDescent="0.25">
      <c r="D50"/>
      <c r="E50"/>
      <c r="F50"/>
      <c r="G50"/>
      <c r="H50"/>
      <c r="I50"/>
      <c r="J50"/>
      <c r="K50"/>
      <c r="L50"/>
      <c r="M50"/>
      <c r="P50" s="480">
        <f t="shared" si="3"/>
        <v>0</v>
      </c>
      <c r="Q50" s="489">
        <f t="shared" si="4"/>
        <v>0</v>
      </c>
    </row>
    <row r="51" spans="4:17" x14ac:dyDescent="0.25">
      <c r="D51"/>
      <c r="E51"/>
      <c r="F51"/>
      <c r="G51"/>
      <c r="H51"/>
      <c r="I51"/>
      <c r="J51"/>
      <c r="K51"/>
      <c r="L51"/>
      <c r="M51"/>
      <c r="P51" s="480">
        <f t="shared" si="3"/>
        <v>0</v>
      </c>
      <c r="Q51" s="489">
        <f t="shared" si="4"/>
        <v>0</v>
      </c>
    </row>
    <row r="52" spans="4:17" x14ac:dyDescent="0.25">
      <c r="D52"/>
      <c r="E52"/>
      <c r="F52"/>
      <c r="G52"/>
      <c r="H52"/>
      <c r="I52"/>
      <c r="J52"/>
      <c r="K52"/>
      <c r="L52"/>
      <c r="M52"/>
      <c r="P52" s="480">
        <f t="shared" si="3"/>
        <v>0</v>
      </c>
      <c r="Q52" s="489">
        <f t="shared" si="4"/>
        <v>0</v>
      </c>
    </row>
    <row r="55" spans="4:17" x14ac:dyDescent="0.25">
      <c r="Q55" s="49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F7B5-13D8-4860-A4C8-F89FF273E83D}">
  <sheetPr>
    <tabColor rgb="FFFF99CC"/>
  </sheetPr>
  <dimension ref="A6:V55"/>
  <sheetViews>
    <sheetView workbookViewId="0"/>
  </sheetViews>
  <sheetFormatPr baseColWidth="10" defaultRowHeight="15" x14ac:dyDescent="0.25"/>
  <cols>
    <col min="2" max="2" width="22.28515625" bestFit="1" customWidth="1"/>
    <col min="3" max="3" width="12.140625" bestFit="1" customWidth="1"/>
    <col min="4" max="4" width="12.140625" style="468" bestFit="1" customWidth="1"/>
    <col min="5" max="5" width="9" style="469" bestFit="1" customWidth="1"/>
    <col min="6" max="6" width="9" style="460" bestFit="1" customWidth="1"/>
    <col min="7" max="7" width="9" style="469" bestFit="1" customWidth="1"/>
    <col min="8" max="8" width="9" style="304" bestFit="1" customWidth="1"/>
    <col min="9" max="9" width="9" style="196" bestFit="1" customWidth="1"/>
    <col min="10" max="10" width="9" style="471" bestFit="1" customWidth="1"/>
    <col min="11" max="13" width="9" style="304" bestFit="1" customWidth="1"/>
    <col min="14" max="14" width="9" bestFit="1" customWidth="1"/>
    <col min="15" max="15" width="12.5703125" customWidth="1"/>
    <col min="16" max="16" width="10.42578125" style="304" bestFit="1" customWidth="1"/>
    <col min="17" max="17" width="15.140625" style="468" bestFit="1" customWidth="1"/>
    <col min="18" max="18" width="9.5703125" bestFit="1" customWidth="1"/>
    <col min="19" max="19" width="12.140625" bestFit="1" customWidth="1"/>
    <col min="20" max="26" width="10.28515625" bestFit="1" customWidth="1"/>
    <col min="27" max="27" width="9.28515625" bestFit="1" customWidth="1"/>
    <col min="28" max="29" width="7.85546875" bestFit="1" customWidth="1"/>
    <col min="30" max="30" width="15.140625" bestFit="1" customWidth="1"/>
    <col min="31" max="33" width="11.85546875" bestFit="1" customWidth="1"/>
    <col min="34" max="34" width="9.5703125" bestFit="1" customWidth="1"/>
    <col min="35" max="35" width="11.85546875" bestFit="1" customWidth="1"/>
    <col min="36" max="56" width="10.28515625" bestFit="1" customWidth="1"/>
    <col min="57" max="57" width="9.28515625" bestFit="1" customWidth="1"/>
    <col min="58" max="59" width="7.85546875" bestFit="1" customWidth="1"/>
    <col min="60" max="60" width="15.140625" bestFit="1" customWidth="1"/>
    <col min="61" max="61" width="11.85546875" bestFit="1" customWidth="1"/>
    <col min="62" max="62" width="9.5703125" bestFit="1" customWidth="1"/>
    <col min="63" max="63" width="12.140625" bestFit="1" customWidth="1"/>
    <col min="64" max="490" width="10.28515625" bestFit="1" customWidth="1"/>
    <col min="491" max="491" width="12.140625" bestFit="1" customWidth="1"/>
  </cols>
  <sheetData>
    <row r="6" spans="1:22" x14ac:dyDescent="0.25">
      <c r="B6" s="481" t="s">
        <v>1224</v>
      </c>
      <c r="D6"/>
      <c r="E6" s="468" t="s">
        <v>1225</v>
      </c>
      <c r="F6" s="469"/>
      <c r="G6" s="460"/>
      <c r="I6" s="470"/>
      <c r="J6" s="196"/>
      <c r="K6" s="471"/>
      <c r="N6" s="304"/>
    </row>
    <row r="7" spans="1:22" x14ac:dyDescent="0.25">
      <c r="B7" s="481" t="s">
        <v>366</v>
      </c>
      <c r="C7" s="481" t="s">
        <v>367</v>
      </c>
      <c r="D7" s="481" t="s">
        <v>1226</v>
      </c>
      <c r="E7" s="468" t="s">
        <v>1227</v>
      </c>
      <c r="F7" s="469" t="s">
        <v>1228</v>
      </c>
      <c r="G7" s="460" t="s">
        <v>1218</v>
      </c>
      <c r="H7" s="304" t="s">
        <v>1229</v>
      </c>
      <c r="I7" s="470" t="s">
        <v>1222</v>
      </c>
      <c r="J7" s="196" t="s">
        <v>1230</v>
      </c>
      <c r="K7" s="471" t="s">
        <v>1231</v>
      </c>
      <c r="L7" s="304" t="s">
        <v>1232</v>
      </c>
      <c r="M7" s="304" t="s">
        <v>1233</v>
      </c>
      <c r="N7" s="304" t="s">
        <v>1234</v>
      </c>
      <c r="O7" t="s">
        <v>335</v>
      </c>
      <c r="P7" s="304" t="s">
        <v>1219</v>
      </c>
      <c r="Q7" s="468" t="s">
        <v>1227</v>
      </c>
    </row>
    <row r="8" spans="1:22" x14ac:dyDescent="0.25">
      <c r="A8" t="s">
        <v>1399</v>
      </c>
      <c r="B8" t="s">
        <v>1238</v>
      </c>
      <c r="C8" t="s">
        <v>1236</v>
      </c>
      <c r="D8" t="s">
        <v>1237</v>
      </c>
      <c r="E8" s="472">
        <v>60.800000000000004</v>
      </c>
      <c r="F8" s="473"/>
      <c r="G8" s="474"/>
      <c r="H8" s="478"/>
      <c r="I8" s="475"/>
      <c r="J8" s="476"/>
      <c r="K8" s="477"/>
      <c r="L8" s="478"/>
      <c r="M8" s="478"/>
      <c r="N8" s="478">
        <v>304</v>
      </c>
      <c r="O8" s="479">
        <v>364.8</v>
      </c>
      <c r="P8" s="480">
        <f>+SUM(L8:N8)+H8</f>
        <v>304</v>
      </c>
      <c r="Q8" s="489">
        <f>E8+F8</f>
        <v>60.800000000000004</v>
      </c>
      <c r="R8" s="76">
        <f>P8+K8+J8+I8+G8+Q8</f>
        <v>364.8</v>
      </c>
      <c r="S8" t="b">
        <f>R8=T8</f>
        <v>0</v>
      </c>
      <c r="T8" s="76">
        <f>VLOOKUP(A8,VALO_PERSO!$F$4:$AF$49,27,0)</f>
        <v>324.8</v>
      </c>
      <c r="V8" s="148">
        <f>R8-T8</f>
        <v>40</v>
      </c>
    </row>
    <row r="9" spans="1:22" x14ac:dyDescent="0.25">
      <c r="A9">
        <v>1</v>
      </c>
      <c r="B9" t="s">
        <v>873</v>
      </c>
      <c r="C9" t="s">
        <v>874</v>
      </c>
      <c r="D9" t="s">
        <v>875</v>
      </c>
      <c r="E9" s="472"/>
      <c r="F9" s="473"/>
      <c r="G9" s="474">
        <v>296.40000000000009</v>
      </c>
      <c r="H9" s="478"/>
      <c r="I9" s="475"/>
      <c r="J9" s="476"/>
      <c r="K9" s="477"/>
      <c r="L9" s="478"/>
      <c r="M9" s="478"/>
      <c r="N9" s="478">
        <v>1184.9200000000019</v>
      </c>
      <c r="O9" s="479">
        <v>1481.320000000002</v>
      </c>
      <c r="P9" s="480">
        <f t="shared" ref="P9:P52" si="0">+SUM(L9:N9)+H9</f>
        <v>1184.9200000000019</v>
      </c>
      <c r="Q9" s="489">
        <f t="shared" ref="Q9:Q52" si="1">E9+F9</f>
        <v>0</v>
      </c>
      <c r="R9" s="76">
        <f t="shared" ref="R9:R50" si="2">P9+K9+J9+I9+G9+Q9</f>
        <v>1481.320000000002</v>
      </c>
      <c r="S9" t="b">
        <f t="shared" ref="S9:S51" si="3">R9=T9</f>
        <v>1</v>
      </c>
      <c r="T9" s="76">
        <f>VLOOKUP(A9,VALO_PERSO!$F$4:$AF$49,27,0)</f>
        <v>1481.320000000002</v>
      </c>
      <c r="V9" s="148">
        <f t="shared" ref="V9:V51" si="4">R9-T9</f>
        <v>0</v>
      </c>
    </row>
    <row r="10" spans="1:22" x14ac:dyDescent="0.25">
      <c r="A10">
        <v>4</v>
      </c>
      <c r="B10" t="s">
        <v>878</v>
      </c>
      <c r="C10" t="s">
        <v>879</v>
      </c>
      <c r="D10" t="s">
        <v>880</v>
      </c>
      <c r="E10" s="472"/>
      <c r="F10" s="473"/>
      <c r="G10" s="474">
        <v>665.00000000000148</v>
      </c>
      <c r="H10" s="478"/>
      <c r="I10" s="475">
        <v>216.60000000000011</v>
      </c>
      <c r="J10" s="476"/>
      <c r="K10" s="477">
        <v>243.20000000000016</v>
      </c>
      <c r="L10" s="478"/>
      <c r="M10" s="478"/>
      <c r="N10" s="478">
        <v>406.60000000000076</v>
      </c>
      <c r="O10" s="479">
        <v>1531.4000000000026</v>
      </c>
      <c r="P10" s="480">
        <f t="shared" si="0"/>
        <v>406.60000000000076</v>
      </c>
      <c r="Q10" s="489">
        <f t="shared" si="1"/>
        <v>0</v>
      </c>
      <c r="R10" s="76">
        <f t="shared" si="2"/>
        <v>1531.4000000000024</v>
      </c>
      <c r="S10" t="b">
        <f t="shared" si="3"/>
        <v>1</v>
      </c>
      <c r="T10" s="76">
        <f>VLOOKUP(A10,VALO_PERSO!$F$4:$AF$49,27,0)</f>
        <v>1531.4000000000026</v>
      </c>
      <c r="V10" s="148">
        <f t="shared" si="4"/>
        <v>0</v>
      </c>
    </row>
    <row r="11" spans="1:22" x14ac:dyDescent="0.25">
      <c r="A11">
        <v>5</v>
      </c>
      <c r="B11" t="s">
        <v>882</v>
      </c>
      <c r="C11" t="s">
        <v>883</v>
      </c>
      <c r="D11" t="s">
        <v>884</v>
      </c>
      <c r="E11" s="472">
        <v>96.900000000000034</v>
      </c>
      <c r="F11" s="473"/>
      <c r="G11" s="474">
        <v>32.29999999999999</v>
      </c>
      <c r="H11" s="478"/>
      <c r="I11" s="475"/>
      <c r="J11" s="476"/>
      <c r="K11" s="477">
        <v>32.29999999999999</v>
      </c>
      <c r="L11" s="478">
        <v>96.900000000000034</v>
      </c>
      <c r="M11" s="478"/>
      <c r="N11" s="478"/>
      <c r="O11" s="479">
        <v>258.40000000000003</v>
      </c>
      <c r="P11" s="480">
        <f t="shared" si="0"/>
        <v>96.900000000000034</v>
      </c>
      <c r="Q11" s="489">
        <f t="shared" si="1"/>
        <v>96.900000000000034</v>
      </c>
      <c r="R11" s="76">
        <f t="shared" si="2"/>
        <v>258.40000000000003</v>
      </c>
      <c r="S11" t="b">
        <f t="shared" si="3"/>
        <v>0</v>
      </c>
      <c r="T11" s="76">
        <f>VLOOKUP(A11,VALO_PERSO!$F$4:$AF$49,27,0)</f>
        <v>651.58800000000019</v>
      </c>
      <c r="V11" s="148">
        <f t="shared" si="4"/>
        <v>-393.18800000000016</v>
      </c>
    </row>
    <row r="12" spans="1:22" x14ac:dyDescent="0.25">
      <c r="A12">
        <v>6</v>
      </c>
      <c r="B12" t="s">
        <v>887</v>
      </c>
      <c r="C12" t="s">
        <v>888</v>
      </c>
      <c r="D12" t="s">
        <v>889</v>
      </c>
      <c r="E12" s="472">
        <v>1026.000000000002</v>
      </c>
      <c r="F12" s="473">
        <v>7.6</v>
      </c>
      <c r="G12" s="474"/>
      <c r="H12" s="478"/>
      <c r="I12" s="475">
        <v>30.4</v>
      </c>
      <c r="J12" s="476">
        <v>38</v>
      </c>
      <c r="K12" s="477"/>
      <c r="L12" s="478">
        <v>38</v>
      </c>
      <c r="M12" s="478">
        <v>26.6</v>
      </c>
      <c r="N12" s="478"/>
      <c r="O12" s="479">
        <v>1166.600000000002</v>
      </c>
      <c r="P12" s="480">
        <f t="shared" si="0"/>
        <v>64.599999999999994</v>
      </c>
      <c r="Q12" s="489">
        <f t="shared" si="1"/>
        <v>1033.600000000002</v>
      </c>
      <c r="R12" s="76">
        <f t="shared" si="2"/>
        <v>1166.600000000002</v>
      </c>
      <c r="S12" t="b">
        <f t="shared" si="3"/>
        <v>1</v>
      </c>
      <c r="T12" s="76">
        <f>VLOOKUP(A12,VALO_PERSO!$F$4:$AF$49,27,0)</f>
        <v>1166.600000000002</v>
      </c>
      <c r="V12" s="148">
        <f t="shared" si="4"/>
        <v>0</v>
      </c>
    </row>
    <row r="13" spans="1:22" x14ac:dyDescent="0.25">
      <c r="A13">
        <v>7</v>
      </c>
      <c r="B13" t="s">
        <v>891</v>
      </c>
      <c r="C13" t="s">
        <v>892</v>
      </c>
      <c r="D13" t="s">
        <v>893</v>
      </c>
      <c r="E13" s="472">
        <v>547.20000000000095</v>
      </c>
      <c r="F13" s="473"/>
      <c r="G13" s="474"/>
      <c r="H13" s="478"/>
      <c r="I13" s="475">
        <v>490.20000000000078</v>
      </c>
      <c r="J13" s="476">
        <v>72.2</v>
      </c>
      <c r="K13" s="477"/>
      <c r="L13" s="478"/>
      <c r="M13" s="478"/>
      <c r="N13" s="478"/>
      <c r="O13" s="479">
        <v>1109.6000000000017</v>
      </c>
      <c r="P13" s="480">
        <f t="shared" si="0"/>
        <v>0</v>
      </c>
      <c r="Q13" s="489">
        <f t="shared" si="1"/>
        <v>547.20000000000095</v>
      </c>
      <c r="R13" s="76">
        <f t="shared" si="2"/>
        <v>1109.6000000000017</v>
      </c>
      <c r="S13" t="b">
        <f t="shared" si="3"/>
        <v>1</v>
      </c>
      <c r="T13" s="76">
        <f>VLOOKUP(A13,VALO_PERSO!$F$4:$AF$49,27,0)</f>
        <v>1109.6000000000017</v>
      </c>
      <c r="V13" s="148">
        <f t="shared" si="4"/>
        <v>0</v>
      </c>
    </row>
    <row r="14" spans="1:22" x14ac:dyDescent="0.25">
      <c r="A14">
        <v>8</v>
      </c>
      <c r="B14" t="s">
        <v>895</v>
      </c>
      <c r="C14" t="s">
        <v>896</v>
      </c>
      <c r="D14" t="s">
        <v>897</v>
      </c>
      <c r="E14" s="472">
        <v>1333.7999999999988</v>
      </c>
      <c r="F14" s="473"/>
      <c r="G14" s="474"/>
      <c r="H14" s="478"/>
      <c r="I14" s="475"/>
      <c r="J14" s="476"/>
      <c r="K14" s="477"/>
      <c r="L14" s="478">
        <v>7.6</v>
      </c>
      <c r="M14" s="478">
        <v>208.99999999999991</v>
      </c>
      <c r="N14" s="478"/>
      <c r="O14" s="479">
        <v>1550.3999999999987</v>
      </c>
      <c r="P14" s="480">
        <f t="shared" si="0"/>
        <v>216.59999999999991</v>
      </c>
      <c r="Q14" s="489">
        <f t="shared" si="1"/>
        <v>1333.7999999999988</v>
      </c>
      <c r="R14" s="76">
        <f t="shared" si="2"/>
        <v>1550.3999999999987</v>
      </c>
      <c r="S14" t="b">
        <f t="shared" si="3"/>
        <v>1</v>
      </c>
      <c r="T14" s="76">
        <f>VLOOKUP(A14,VALO_PERSO!$F$4:$AF$49,27,0)</f>
        <v>1550.3999999999987</v>
      </c>
      <c r="V14" s="148">
        <f t="shared" si="4"/>
        <v>0</v>
      </c>
    </row>
    <row r="15" spans="1:22" x14ac:dyDescent="0.25">
      <c r="A15">
        <v>11</v>
      </c>
      <c r="B15" t="s">
        <v>899</v>
      </c>
      <c r="C15" t="s">
        <v>900</v>
      </c>
      <c r="D15" t="s">
        <v>901</v>
      </c>
      <c r="E15" s="472"/>
      <c r="F15" s="473"/>
      <c r="G15" s="474">
        <v>15.2</v>
      </c>
      <c r="H15" s="478"/>
      <c r="I15" s="475">
        <v>1022.2000000000021</v>
      </c>
      <c r="J15" s="476"/>
      <c r="K15" s="477"/>
      <c r="L15" s="478"/>
      <c r="M15" s="478"/>
      <c r="N15" s="478"/>
      <c r="O15" s="479">
        <v>1037.4000000000021</v>
      </c>
      <c r="P15" s="480">
        <f t="shared" si="0"/>
        <v>0</v>
      </c>
      <c r="Q15" s="489">
        <f t="shared" si="1"/>
        <v>0</v>
      </c>
      <c r="R15" s="76">
        <f t="shared" si="2"/>
        <v>1037.4000000000021</v>
      </c>
      <c r="S15" t="b">
        <f t="shared" si="3"/>
        <v>1</v>
      </c>
      <c r="T15" s="76">
        <f>VLOOKUP(A15,VALO_PERSO!$F$4:$AF$49,27,0)</f>
        <v>1037.4000000000021</v>
      </c>
      <c r="V15" s="148">
        <f t="shared" si="4"/>
        <v>0</v>
      </c>
    </row>
    <row r="16" spans="1:22" x14ac:dyDescent="0.25">
      <c r="A16">
        <v>12</v>
      </c>
      <c r="B16" t="s">
        <v>904</v>
      </c>
      <c r="C16" t="s">
        <v>905</v>
      </c>
      <c r="D16" t="s">
        <v>906</v>
      </c>
      <c r="E16" s="472"/>
      <c r="F16" s="473"/>
      <c r="G16" s="474">
        <v>15.2</v>
      </c>
      <c r="H16" s="478"/>
      <c r="I16" s="475">
        <v>15.2</v>
      </c>
      <c r="J16" s="476"/>
      <c r="K16" s="477"/>
      <c r="L16" s="478"/>
      <c r="M16" s="478"/>
      <c r="N16" s="478">
        <v>1568.189999999998</v>
      </c>
      <c r="O16" s="479">
        <v>1598.5899999999981</v>
      </c>
      <c r="P16" s="480">
        <f t="shared" si="0"/>
        <v>1568.189999999998</v>
      </c>
      <c r="Q16" s="489">
        <f t="shared" si="1"/>
        <v>0</v>
      </c>
      <c r="R16" s="76">
        <f t="shared" si="2"/>
        <v>1598.5899999999981</v>
      </c>
      <c r="S16" t="b">
        <f t="shared" si="3"/>
        <v>1</v>
      </c>
      <c r="T16" s="76">
        <f>VLOOKUP(A16,VALO_PERSO!$F$4:$AF$49,27,0)</f>
        <v>1598.5899999999981</v>
      </c>
      <c r="V16" s="148">
        <f t="shared" si="4"/>
        <v>0</v>
      </c>
    </row>
    <row r="17" spans="1:22" x14ac:dyDescent="0.25">
      <c r="A17">
        <v>13</v>
      </c>
      <c r="B17" t="s">
        <v>909</v>
      </c>
      <c r="C17" t="s">
        <v>910</v>
      </c>
      <c r="D17" t="s">
        <v>911</v>
      </c>
      <c r="E17" s="472">
        <v>255.92999999999992</v>
      </c>
      <c r="F17" s="473">
        <v>3.8</v>
      </c>
      <c r="G17" s="474">
        <v>230.45000000000002</v>
      </c>
      <c r="H17" s="478"/>
      <c r="I17" s="475"/>
      <c r="J17" s="476"/>
      <c r="K17" s="477"/>
      <c r="L17" s="478">
        <v>108.99999999999996</v>
      </c>
      <c r="M17" s="478"/>
      <c r="N17" s="478">
        <v>688.93000000000143</v>
      </c>
      <c r="O17" s="479">
        <v>1288.1100000000015</v>
      </c>
      <c r="P17" s="480">
        <f t="shared" si="0"/>
        <v>797.93000000000143</v>
      </c>
      <c r="Q17" s="489">
        <f t="shared" si="1"/>
        <v>259.7299999999999</v>
      </c>
      <c r="R17" s="76">
        <f t="shared" si="2"/>
        <v>1288.1100000000015</v>
      </c>
      <c r="S17" t="b">
        <f t="shared" si="3"/>
        <v>1</v>
      </c>
      <c r="T17" s="76">
        <f>VLOOKUP(A17,VALO_PERSO!$F$4:$AF$49,27,0)</f>
        <v>1288.1100000000015</v>
      </c>
      <c r="V17" s="148">
        <f t="shared" si="4"/>
        <v>0</v>
      </c>
    </row>
    <row r="18" spans="1:22" x14ac:dyDescent="0.25">
      <c r="A18">
        <v>14</v>
      </c>
      <c r="B18" t="s">
        <v>914</v>
      </c>
      <c r="C18" t="s">
        <v>915</v>
      </c>
      <c r="D18" t="s">
        <v>916</v>
      </c>
      <c r="E18" s="472"/>
      <c r="F18" s="473"/>
      <c r="G18" s="474">
        <v>976.60000000000241</v>
      </c>
      <c r="H18" s="478"/>
      <c r="I18" s="475"/>
      <c r="J18" s="476"/>
      <c r="K18" s="477"/>
      <c r="L18" s="478"/>
      <c r="M18" s="478"/>
      <c r="N18" s="478"/>
      <c r="O18" s="479">
        <v>976.60000000000241</v>
      </c>
      <c r="P18" s="480">
        <f t="shared" si="0"/>
        <v>0</v>
      </c>
      <c r="Q18" s="489">
        <f t="shared" si="1"/>
        <v>0</v>
      </c>
      <c r="R18" s="76">
        <f t="shared" si="2"/>
        <v>976.60000000000241</v>
      </c>
      <c r="S18" t="b">
        <f t="shared" si="3"/>
        <v>1</v>
      </c>
      <c r="T18" s="76">
        <f>VLOOKUP(A18,VALO_PERSO!$F$4:$AF$49,27,0)</f>
        <v>976.60000000000241</v>
      </c>
      <c r="V18" s="148">
        <f t="shared" si="4"/>
        <v>0</v>
      </c>
    </row>
    <row r="19" spans="1:22" x14ac:dyDescent="0.25">
      <c r="A19">
        <v>16</v>
      </c>
      <c r="B19" t="s">
        <v>918</v>
      </c>
      <c r="C19" t="s">
        <v>919</v>
      </c>
      <c r="D19" t="s">
        <v>920</v>
      </c>
      <c r="E19" s="472"/>
      <c r="F19" s="473"/>
      <c r="G19" s="474"/>
      <c r="H19" s="478"/>
      <c r="I19" s="475"/>
      <c r="J19" s="476"/>
      <c r="K19" s="477">
        <v>1512.3999999999962</v>
      </c>
      <c r="L19" s="478"/>
      <c r="M19" s="478"/>
      <c r="N19" s="478"/>
      <c r="O19" s="479">
        <v>1512.3999999999962</v>
      </c>
      <c r="P19" s="480">
        <f t="shared" si="0"/>
        <v>0</v>
      </c>
      <c r="Q19" s="489">
        <f t="shared" si="1"/>
        <v>0</v>
      </c>
      <c r="R19" s="76">
        <f t="shared" si="2"/>
        <v>1512.3999999999962</v>
      </c>
      <c r="S19" t="b">
        <f t="shared" si="3"/>
        <v>1</v>
      </c>
      <c r="T19" s="76">
        <f>VLOOKUP(A19,VALO_PERSO!$F$4:$AF$49,27,0)</f>
        <v>1512.3999999999962</v>
      </c>
      <c r="V19" s="148">
        <f t="shared" si="4"/>
        <v>0</v>
      </c>
    </row>
    <row r="20" spans="1:22" x14ac:dyDescent="0.25">
      <c r="A20">
        <v>18</v>
      </c>
      <c r="B20" t="s">
        <v>923</v>
      </c>
      <c r="C20" t="s">
        <v>924</v>
      </c>
      <c r="D20" t="s">
        <v>925</v>
      </c>
      <c r="E20" s="472"/>
      <c r="F20" s="473"/>
      <c r="G20" s="474">
        <v>255.99999999999997</v>
      </c>
      <c r="H20" s="478"/>
      <c r="I20" s="475">
        <v>7.6</v>
      </c>
      <c r="J20" s="476"/>
      <c r="K20" s="477"/>
      <c r="L20" s="478"/>
      <c r="M20" s="478"/>
      <c r="N20" s="478">
        <v>1228.5000000000007</v>
      </c>
      <c r="O20" s="479">
        <v>1492.1000000000006</v>
      </c>
      <c r="P20" s="480">
        <f t="shared" si="0"/>
        <v>1228.5000000000007</v>
      </c>
      <c r="Q20" s="489">
        <f t="shared" si="1"/>
        <v>0</v>
      </c>
      <c r="R20" s="76">
        <f t="shared" si="2"/>
        <v>1492.1000000000006</v>
      </c>
      <c r="S20" t="b">
        <f t="shared" si="3"/>
        <v>1</v>
      </c>
      <c r="T20" s="76">
        <f>VLOOKUP(A20,VALO_PERSO!$F$4:$AF$49,27,0)</f>
        <v>1492.1000000000006</v>
      </c>
      <c r="V20" s="148">
        <f t="shared" si="4"/>
        <v>0</v>
      </c>
    </row>
    <row r="21" spans="1:22" x14ac:dyDescent="0.25">
      <c r="A21">
        <v>19</v>
      </c>
      <c r="B21" t="s">
        <v>927</v>
      </c>
      <c r="C21" t="s">
        <v>928</v>
      </c>
      <c r="D21" t="s">
        <v>929</v>
      </c>
      <c r="E21" s="472">
        <v>269.7999999999999</v>
      </c>
      <c r="F21" s="473">
        <v>8.6</v>
      </c>
      <c r="G21" s="474">
        <v>159.6</v>
      </c>
      <c r="H21" s="478"/>
      <c r="I21" s="475">
        <v>259.09999999999997</v>
      </c>
      <c r="J21" s="476"/>
      <c r="K21" s="477">
        <v>34.200000000000003</v>
      </c>
      <c r="L21" s="478"/>
      <c r="M21" s="478"/>
      <c r="N21" s="478">
        <v>453.90000000000089</v>
      </c>
      <c r="O21" s="479">
        <v>1185.2000000000007</v>
      </c>
      <c r="P21" s="480">
        <f t="shared" si="0"/>
        <v>453.90000000000089</v>
      </c>
      <c r="Q21" s="489">
        <f t="shared" si="1"/>
        <v>278.39999999999992</v>
      </c>
      <c r="R21" s="76">
        <f t="shared" si="2"/>
        <v>1185.2000000000007</v>
      </c>
      <c r="S21" t="b">
        <f t="shared" si="3"/>
        <v>1</v>
      </c>
      <c r="T21" s="76">
        <f>VLOOKUP(A21,VALO_PERSO!$F$4:$AF$49,27,0)</f>
        <v>1185.2000000000007</v>
      </c>
      <c r="V21" s="148">
        <f t="shared" si="4"/>
        <v>0</v>
      </c>
    </row>
    <row r="22" spans="1:22" x14ac:dyDescent="0.25">
      <c r="A22">
        <v>21</v>
      </c>
      <c r="B22" t="s">
        <v>932</v>
      </c>
      <c r="C22" t="s">
        <v>933</v>
      </c>
      <c r="D22" t="s">
        <v>934</v>
      </c>
      <c r="E22" s="472">
        <v>885.40000000000168</v>
      </c>
      <c r="F22" s="473"/>
      <c r="G22" s="474"/>
      <c r="H22" s="478"/>
      <c r="I22" s="475">
        <v>113.99999999999997</v>
      </c>
      <c r="J22" s="476">
        <v>98.799999999999983</v>
      </c>
      <c r="K22" s="477"/>
      <c r="L22" s="478"/>
      <c r="M22" s="478"/>
      <c r="N22" s="478">
        <v>11.399999999999999</v>
      </c>
      <c r="O22" s="479">
        <v>1109.6000000000017</v>
      </c>
      <c r="P22" s="480">
        <f t="shared" si="0"/>
        <v>11.399999999999999</v>
      </c>
      <c r="Q22" s="489">
        <f t="shared" si="1"/>
        <v>885.40000000000168</v>
      </c>
      <c r="R22" s="76">
        <f t="shared" si="2"/>
        <v>1109.6000000000017</v>
      </c>
      <c r="S22" t="b">
        <f t="shared" si="3"/>
        <v>1</v>
      </c>
      <c r="T22" s="76">
        <f>VLOOKUP(A22,VALO_PERSO!$F$4:$AF$49,27,0)</f>
        <v>1109.6000000000017</v>
      </c>
      <c r="V22" s="148">
        <f t="shared" si="4"/>
        <v>0</v>
      </c>
    </row>
    <row r="23" spans="1:22" x14ac:dyDescent="0.25">
      <c r="A23">
        <v>22</v>
      </c>
      <c r="B23" t="s">
        <v>936</v>
      </c>
      <c r="C23" t="s">
        <v>937</v>
      </c>
      <c r="D23" t="s">
        <v>938</v>
      </c>
      <c r="E23" s="472">
        <v>3.8</v>
      </c>
      <c r="F23" s="473"/>
      <c r="G23" s="474"/>
      <c r="H23" s="478">
        <v>254.59999999999988</v>
      </c>
      <c r="I23" s="475"/>
      <c r="J23" s="476"/>
      <c r="K23" s="477"/>
      <c r="L23" s="478"/>
      <c r="M23" s="478"/>
      <c r="N23" s="478">
        <v>386.7</v>
      </c>
      <c r="O23" s="479">
        <v>645.09999999999991</v>
      </c>
      <c r="P23" s="480">
        <f t="shared" si="0"/>
        <v>641.29999999999984</v>
      </c>
      <c r="Q23" s="489">
        <f t="shared" si="1"/>
        <v>3.8</v>
      </c>
      <c r="R23" s="76">
        <f t="shared" si="2"/>
        <v>645.0999999999998</v>
      </c>
      <c r="S23" t="b">
        <f t="shared" si="3"/>
        <v>1</v>
      </c>
      <c r="T23" s="76">
        <f>VLOOKUP(A23,VALO_PERSO!$F$4:$AF$49,27,0)</f>
        <v>645.0999999999998</v>
      </c>
      <c r="V23" s="148">
        <f t="shared" si="4"/>
        <v>0</v>
      </c>
    </row>
    <row r="24" spans="1:22" x14ac:dyDescent="0.25">
      <c r="A24">
        <v>23</v>
      </c>
      <c r="B24" t="s">
        <v>941</v>
      </c>
      <c r="C24" t="s">
        <v>942</v>
      </c>
      <c r="D24" t="s">
        <v>943</v>
      </c>
      <c r="E24" s="472">
        <v>243.19999999999987</v>
      </c>
      <c r="F24" s="473"/>
      <c r="G24" s="474"/>
      <c r="H24" s="478"/>
      <c r="I24" s="475"/>
      <c r="J24" s="476"/>
      <c r="K24" s="477"/>
      <c r="L24" s="478"/>
      <c r="M24" s="478"/>
      <c r="N24" s="478"/>
      <c r="O24" s="479">
        <v>243.19999999999987</v>
      </c>
      <c r="P24" s="480">
        <f t="shared" si="0"/>
        <v>0</v>
      </c>
      <c r="Q24" s="489">
        <f t="shared" si="1"/>
        <v>243.19999999999987</v>
      </c>
      <c r="R24" s="76">
        <f t="shared" si="2"/>
        <v>243.19999999999987</v>
      </c>
      <c r="S24" t="b">
        <f t="shared" si="3"/>
        <v>1</v>
      </c>
      <c r="T24" s="76">
        <f>VLOOKUP(A24,VALO_PERSO!$F$4:$AF$49,27,0)</f>
        <v>243.19999999999987</v>
      </c>
      <c r="V24" s="148">
        <f t="shared" si="4"/>
        <v>0</v>
      </c>
    </row>
    <row r="25" spans="1:22" x14ac:dyDescent="0.25">
      <c r="A25">
        <v>24</v>
      </c>
      <c r="B25" t="s">
        <v>946</v>
      </c>
      <c r="C25" t="s">
        <v>947</v>
      </c>
      <c r="D25" t="s">
        <v>948</v>
      </c>
      <c r="E25" s="472"/>
      <c r="F25" s="473"/>
      <c r="G25" s="474"/>
      <c r="H25" s="478"/>
      <c r="I25" s="475"/>
      <c r="J25" s="476"/>
      <c r="K25" s="477"/>
      <c r="L25" s="478"/>
      <c r="M25" s="478"/>
      <c r="N25" s="478">
        <v>1534.6999999999966</v>
      </c>
      <c r="O25" s="479">
        <v>1534.6999999999966</v>
      </c>
      <c r="P25" s="480">
        <f t="shared" si="0"/>
        <v>1534.6999999999966</v>
      </c>
      <c r="Q25" s="489">
        <f t="shared" si="1"/>
        <v>0</v>
      </c>
      <c r="R25" s="76">
        <f t="shared" si="2"/>
        <v>1534.6999999999966</v>
      </c>
      <c r="S25" t="b">
        <f t="shared" si="3"/>
        <v>1</v>
      </c>
      <c r="T25" s="76">
        <f>VLOOKUP(A25,VALO_PERSO!$F$4:$AF$49,27,0)</f>
        <v>1534.6999999999966</v>
      </c>
      <c r="V25" s="148">
        <f t="shared" si="4"/>
        <v>0</v>
      </c>
    </row>
    <row r="26" spans="1:22" x14ac:dyDescent="0.25">
      <c r="A26">
        <v>26</v>
      </c>
      <c r="B26" t="s">
        <v>950</v>
      </c>
      <c r="C26" t="s">
        <v>951</v>
      </c>
      <c r="D26" t="s">
        <v>952</v>
      </c>
      <c r="E26" s="472"/>
      <c r="F26" s="473"/>
      <c r="G26" s="474">
        <v>1565.7599999999995</v>
      </c>
      <c r="H26" s="478"/>
      <c r="I26" s="475"/>
      <c r="J26" s="476"/>
      <c r="K26" s="477"/>
      <c r="L26" s="478"/>
      <c r="M26" s="478"/>
      <c r="N26" s="478"/>
      <c r="O26" s="479">
        <v>1565.7599999999995</v>
      </c>
      <c r="P26" s="480">
        <f t="shared" si="0"/>
        <v>0</v>
      </c>
      <c r="Q26" s="489">
        <f t="shared" si="1"/>
        <v>0</v>
      </c>
      <c r="R26" s="76">
        <f t="shared" si="2"/>
        <v>1565.7599999999995</v>
      </c>
      <c r="S26" t="b">
        <f t="shared" si="3"/>
        <v>1</v>
      </c>
      <c r="T26" s="76">
        <f>VLOOKUP(A26,VALO_PERSO!$F$4:$AF$49,27,0)</f>
        <v>1565.7599999999995</v>
      </c>
      <c r="V26" s="148">
        <f t="shared" si="4"/>
        <v>0</v>
      </c>
    </row>
    <row r="27" spans="1:22" x14ac:dyDescent="0.25">
      <c r="A27">
        <v>31</v>
      </c>
      <c r="B27" t="s">
        <v>954</v>
      </c>
      <c r="C27" t="s">
        <v>955</v>
      </c>
      <c r="D27" t="s">
        <v>925</v>
      </c>
      <c r="E27" s="472"/>
      <c r="F27" s="473"/>
      <c r="G27" s="474">
        <v>383.85000000000036</v>
      </c>
      <c r="H27" s="478"/>
      <c r="I27" s="475">
        <v>87.399999999999963</v>
      </c>
      <c r="J27" s="476"/>
      <c r="K27" s="477"/>
      <c r="L27" s="478"/>
      <c r="M27" s="478"/>
      <c r="N27" s="478">
        <v>1074.270000000002</v>
      </c>
      <c r="O27" s="479">
        <v>1545.5200000000023</v>
      </c>
      <c r="P27" s="480">
        <f t="shared" si="0"/>
        <v>1074.270000000002</v>
      </c>
      <c r="Q27" s="489">
        <f t="shared" si="1"/>
        <v>0</v>
      </c>
      <c r="R27" s="76">
        <f t="shared" si="2"/>
        <v>1545.5200000000023</v>
      </c>
      <c r="S27" t="b">
        <f t="shared" si="3"/>
        <v>1</v>
      </c>
      <c r="T27" s="76">
        <f>VLOOKUP(A27,VALO_PERSO!$F$4:$AF$49,27,0)</f>
        <v>1545.5200000000023</v>
      </c>
      <c r="V27" s="148">
        <f t="shared" si="4"/>
        <v>0</v>
      </c>
    </row>
    <row r="28" spans="1:22" x14ac:dyDescent="0.25">
      <c r="A28">
        <v>32</v>
      </c>
      <c r="B28" t="s">
        <v>957</v>
      </c>
      <c r="C28" t="s">
        <v>958</v>
      </c>
      <c r="D28" t="s">
        <v>959</v>
      </c>
      <c r="E28" s="472"/>
      <c r="F28" s="473"/>
      <c r="G28" s="474">
        <v>402.80000000000075</v>
      </c>
      <c r="H28" s="478"/>
      <c r="I28" s="475">
        <v>34.200000000000003</v>
      </c>
      <c r="J28" s="476"/>
      <c r="K28" s="477"/>
      <c r="L28" s="478"/>
      <c r="M28" s="478"/>
      <c r="N28" s="478">
        <v>955.40000000000225</v>
      </c>
      <c r="O28" s="479">
        <v>1392.400000000003</v>
      </c>
      <c r="P28" s="480">
        <f t="shared" si="0"/>
        <v>955.40000000000225</v>
      </c>
      <c r="Q28" s="489">
        <f t="shared" si="1"/>
        <v>0</v>
      </c>
      <c r="R28" s="76">
        <f t="shared" si="2"/>
        <v>1392.400000000003</v>
      </c>
      <c r="S28" t="b">
        <f t="shared" si="3"/>
        <v>1</v>
      </c>
      <c r="T28" s="76">
        <f>VLOOKUP(A28,VALO_PERSO!$F$4:$AF$49,27,0)</f>
        <v>1392.400000000003</v>
      </c>
      <c r="V28" s="148">
        <f t="shared" si="4"/>
        <v>0</v>
      </c>
    </row>
    <row r="29" spans="1:22" x14ac:dyDescent="0.25">
      <c r="A29">
        <v>33</v>
      </c>
      <c r="B29" t="s">
        <v>961</v>
      </c>
      <c r="C29" t="s">
        <v>962</v>
      </c>
      <c r="D29" t="s">
        <v>963</v>
      </c>
      <c r="E29" s="472"/>
      <c r="F29" s="473"/>
      <c r="G29" s="474"/>
      <c r="H29" s="478"/>
      <c r="I29" s="475"/>
      <c r="J29" s="476"/>
      <c r="K29" s="477"/>
      <c r="L29" s="478"/>
      <c r="M29" s="478"/>
      <c r="N29" s="478">
        <v>1519.9999999999961</v>
      </c>
      <c r="O29" s="479">
        <v>1519.9999999999961</v>
      </c>
      <c r="P29" s="480">
        <f t="shared" si="0"/>
        <v>1519.9999999999961</v>
      </c>
      <c r="Q29" s="489">
        <f t="shared" si="1"/>
        <v>0</v>
      </c>
      <c r="R29" s="76">
        <f t="shared" si="2"/>
        <v>1519.9999999999961</v>
      </c>
      <c r="S29" t="b">
        <f t="shared" si="3"/>
        <v>1</v>
      </c>
      <c r="T29" s="76">
        <f>VLOOKUP(A29,VALO_PERSO!$F$4:$AF$49,27,0)</f>
        <v>1519.9999999999961</v>
      </c>
      <c r="V29" s="148">
        <f t="shared" si="4"/>
        <v>0</v>
      </c>
    </row>
    <row r="30" spans="1:22" x14ac:dyDescent="0.25">
      <c r="A30">
        <v>34</v>
      </c>
      <c r="B30" t="s">
        <v>965</v>
      </c>
      <c r="C30" t="s">
        <v>966</v>
      </c>
      <c r="D30" t="s">
        <v>943</v>
      </c>
      <c r="E30" s="472">
        <v>132.64999999999998</v>
      </c>
      <c r="F30" s="473"/>
      <c r="G30" s="474">
        <v>22.799999999999997</v>
      </c>
      <c r="H30" s="478"/>
      <c r="I30" s="475"/>
      <c r="J30" s="476"/>
      <c r="K30" s="477"/>
      <c r="L30" s="478">
        <v>484.14000000000038</v>
      </c>
      <c r="M30" s="478">
        <v>62.739999999999995</v>
      </c>
      <c r="N30" s="478">
        <v>802.92000000000144</v>
      </c>
      <c r="O30" s="479">
        <v>1505.2500000000018</v>
      </c>
      <c r="P30" s="480">
        <f t="shared" si="0"/>
        <v>1349.8000000000018</v>
      </c>
      <c r="Q30" s="489">
        <f t="shared" si="1"/>
        <v>132.64999999999998</v>
      </c>
      <c r="R30" s="76">
        <f t="shared" si="2"/>
        <v>1505.2500000000018</v>
      </c>
      <c r="S30" t="b">
        <f t="shared" si="3"/>
        <v>1</v>
      </c>
      <c r="T30" s="76">
        <f>VLOOKUP(A30,VALO_PERSO!$F$4:$AF$49,27,0)</f>
        <v>1505.2500000000018</v>
      </c>
      <c r="V30" s="148">
        <f t="shared" si="4"/>
        <v>0</v>
      </c>
    </row>
    <row r="31" spans="1:22" x14ac:dyDescent="0.25">
      <c r="A31">
        <v>35</v>
      </c>
      <c r="B31" t="s">
        <v>969</v>
      </c>
      <c r="C31" t="s">
        <v>970</v>
      </c>
      <c r="D31" t="s">
        <v>971</v>
      </c>
      <c r="E31" s="472">
        <v>162.14999999999998</v>
      </c>
      <c r="F31" s="473"/>
      <c r="G31" s="474"/>
      <c r="H31" s="478"/>
      <c r="I31" s="475"/>
      <c r="J31" s="476"/>
      <c r="K31" s="477"/>
      <c r="L31" s="478">
        <v>391.75000000000023</v>
      </c>
      <c r="M31" s="478">
        <v>113.58</v>
      </c>
      <c r="N31" s="478">
        <v>674.31000000000051</v>
      </c>
      <c r="O31" s="479">
        <v>1341.7900000000009</v>
      </c>
      <c r="P31" s="480">
        <f t="shared" si="0"/>
        <v>1179.6400000000008</v>
      </c>
      <c r="Q31" s="489">
        <f t="shared" si="1"/>
        <v>162.14999999999998</v>
      </c>
      <c r="R31" s="76">
        <f t="shared" si="2"/>
        <v>1341.7900000000009</v>
      </c>
      <c r="S31" t="b">
        <f t="shared" si="3"/>
        <v>1</v>
      </c>
      <c r="T31" s="76">
        <f>VLOOKUP(A31,VALO_PERSO!$F$4:$AF$49,27,0)</f>
        <v>1341.7900000000009</v>
      </c>
      <c r="V31" s="148">
        <f t="shared" si="4"/>
        <v>0</v>
      </c>
    </row>
    <row r="32" spans="1:22" x14ac:dyDescent="0.25">
      <c r="A32">
        <v>37</v>
      </c>
      <c r="B32" t="s">
        <v>977</v>
      </c>
      <c r="C32" t="s">
        <v>978</v>
      </c>
      <c r="D32" t="s">
        <v>979</v>
      </c>
      <c r="E32" s="472">
        <v>300.2</v>
      </c>
      <c r="F32" s="473">
        <v>15.2</v>
      </c>
      <c r="G32" s="474">
        <v>30.400000000000002</v>
      </c>
      <c r="H32" s="478"/>
      <c r="I32" s="475"/>
      <c r="J32" s="476">
        <v>79.799999999999969</v>
      </c>
      <c r="K32" s="477">
        <v>15.2</v>
      </c>
      <c r="L32" s="478">
        <v>334.40000000000032</v>
      </c>
      <c r="M32" s="478"/>
      <c r="N32" s="478">
        <v>577.60000000000093</v>
      </c>
      <c r="O32" s="479">
        <v>1352.8000000000011</v>
      </c>
      <c r="P32" s="480">
        <f t="shared" si="0"/>
        <v>912.00000000000125</v>
      </c>
      <c r="Q32" s="489">
        <f t="shared" si="1"/>
        <v>315.39999999999998</v>
      </c>
      <c r="R32" s="76">
        <f t="shared" si="2"/>
        <v>1352.8000000000011</v>
      </c>
      <c r="S32" t="b">
        <f t="shared" si="3"/>
        <v>1</v>
      </c>
      <c r="T32" s="76">
        <f>VLOOKUP(A32,VALO_PERSO!$F$4:$AF$49,27,0)</f>
        <v>1352.8000000000011</v>
      </c>
      <c r="V32" s="148">
        <f t="shared" si="4"/>
        <v>0</v>
      </c>
    </row>
    <row r="33" spans="1:22" x14ac:dyDescent="0.25">
      <c r="A33">
        <v>38</v>
      </c>
      <c r="B33" t="s">
        <v>982</v>
      </c>
      <c r="C33" t="s">
        <v>983</v>
      </c>
      <c r="D33" t="s">
        <v>984</v>
      </c>
      <c r="E33" s="472">
        <v>1284.399999999999</v>
      </c>
      <c r="F33" s="473"/>
      <c r="G33" s="474"/>
      <c r="H33" s="478"/>
      <c r="I33" s="475"/>
      <c r="J33" s="476"/>
      <c r="K33" s="477"/>
      <c r="L33" s="478"/>
      <c r="M33" s="478">
        <v>254.59999999999988</v>
      </c>
      <c r="N33" s="478"/>
      <c r="O33" s="479">
        <v>1538.9999999999989</v>
      </c>
      <c r="P33" s="480">
        <f t="shared" si="0"/>
        <v>254.59999999999988</v>
      </c>
      <c r="Q33" s="489">
        <f t="shared" si="1"/>
        <v>1284.399999999999</v>
      </c>
      <c r="R33" s="76">
        <f t="shared" si="2"/>
        <v>1538.9999999999989</v>
      </c>
      <c r="S33" t="b">
        <f t="shared" si="3"/>
        <v>1</v>
      </c>
      <c r="T33" s="76">
        <f>VLOOKUP(A33,VALO_PERSO!$F$4:$AF$49,27,0)</f>
        <v>1538.9999999999989</v>
      </c>
      <c r="V33" s="148">
        <f t="shared" si="4"/>
        <v>0</v>
      </c>
    </row>
    <row r="34" spans="1:22" x14ac:dyDescent="0.25">
      <c r="A34">
        <v>40</v>
      </c>
      <c r="B34" t="s">
        <v>986</v>
      </c>
      <c r="C34" t="s">
        <v>987</v>
      </c>
      <c r="D34" t="s">
        <v>988</v>
      </c>
      <c r="E34" s="472"/>
      <c r="F34" s="473"/>
      <c r="G34" s="474"/>
      <c r="H34" s="478"/>
      <c r="I34" s="475"/>
      <c r="J34" s="476"/>
      <c r="K34" s="477"/>
      <c r="L34" s="478">
        <v>425</v>
      </c>
      <c r="M34" s="478"/>
      <c r="N34" s="478"/>
      <c r="O34" s="479">
        <v>425</v>
      </c>
      <c r="P34" s="480">
        <f t="shared" si="0"/>
        <v>425</v>
      </c>
      <c r="Q34" s="489">
        <f t="shared" si="1"/>
        <v>0</v>
      </c>
      <c r="R34" s="76">
        <f t="shared" si="2"/>
        <v>425</v>
      </c>
      <c r="S34" t="b">
        <f t="shared" si="3"/>
        <v>1</v>
      </c>
      <c r="T34" s="76">
        <f>VLOOKUP(A34,VALO_PERSO!$F$4:$AF$49,27,0)</f>
        <v>425</v>
      </c>
      <c r="V34" s="148">
        <f t="shared" si="4"/>
        <v>0</v>
      </c>
    </row>
    <row r="35" spans="1:22" x14ac:dyDescent="0.25">
      <c r="A35">
        <v>41</v>
      </c>
      <c r="B35" t="s">
        <v>991</v>
      </c>
      <c r="C35" t="s">
        <v>992</v>
      </c>
      <c r="D35" t="s">
        <v>993</v>
      </c>
      <c r="E35" s="472"/>
      <c r="F35" s="473"/>
      <c r="G35" s="474"/>
      <c r="H35" s="478"/>
      <c r="I35" s="475"/>
      <c r="J35" s="476">
        <v>58.33</v>
      </c>
      <c r="K35" s="477"/>
      <c r="L35" s="478">
        <v>941.2</v>
      </c>
      <c r="M35" s="478"/>
      <c r="N35" s="478"/>
      <c r="O35" s="479">
        <v>999.53000000000009</v>
      </c>
      <c r="P35" s="480">
        <f t="shared" si="0"/>
        <v>941.2</v>
      </c>
      <c r="Q35" s="489">
        <f t="shared" si="1"/>
        <v>0</v>
      </c>
      <c r="R35" s="76">
        <f t="shared" si="2"/>
        <v>999.53000000000009</v>
      </c>
      <c r="S35" t="b">
        <f t="shared" si="3"/>
        <v>1</v>
      </c>
      <c r="T35" s="76">
        <f>VLOOKUP(A35,VALO_PERSO!$F$4:$AF$49,27,0)</f>
        <v>999.53000000000009</v>
      </c>
      <c r="V35" s="148">
        <f t="shared" si="4"/>
        <v>0</v>
      </c>
    </row>
    <row r="36" spans="1:22" x14ac:dyDescent="0.25">
      <c r="A36">
        <v>42</v>
      </c>
      <c r="B36" t="s">
        <v>995</v>
      </c>
      <c r="C36" t="s">
        <v>996</v>
      </c>
      <c r="D36" t="s">
        <v>997</v>
      </c>
      <c r="E36" s="472">
        <v>611.80000000000086</v>
      </c>
      <c r="F36" s="473"/>
      <c r="G36" s="474">
        <v>4.75</v>
      </c>
      <c r="H36" s="478"/>
      <c r="I36" s="475"/>
      <c r="J36" s="476">
        <v>145.58999999999997</v>
      </c>
      <c r="K36" s="477"/>
      <c r="L36" s="478">
        <v>422.48000000000025</v>
      </c>
      <c r="M36" s="478"/>
      <c r="N36" s="478">
        <v>46.550000000000004</v>
      </c>
      <c r="O36" s="479">
        <v>1231.170000000001</v>
      </c>
      <c r="P36" s="480">
        <f t="shared" si="0"/>
        <v>469.03000000000026</v>
      </c>
      <c r="Q36" s="489">
        <f t="shared" si="1"/>
        <v>611.80000000000086</v>
      </c>
      <c r="R36" s="76">
        <f t="shared" si="2"/>
        <v>1231.170000000001</v>
      </c>
      <c r="S36" t="b">
        <f t="shared" si="3"/>
        <v>0</v>
      </c>
      <c r="T36" s="76">
        <f>VLOOKUP(A36,VALO_PERSO!$F$4:$AF$49,27,0)</f>
        <v>1573.9980000000003</v>
      </c>
      <c r="V36" s="148">
        <f t="shared" si="4"/>
        <v>-342.82799999999929</v>
      </c>
    </row>
    <row r="37" spans="1:22" x14ac:dyDescent="0.25">
      <c r="A37">
        <v>43</v>
      </c>
      <c r="B37" t="s">
        <v>999</v>
      </c>
      <c r="C37" t="s">
        <v>1000</v>
      </c>
      <c r="D37" t="s">
        <v>1001</v>
      </c>
      <c r="E37" s="472"/>
      <c r="F37" s="473"/>
      <c r="G37" s="474"/>
      <c r="H37" s="478"/>
      <c r="I37" s="475"/>
      <c r="J37" s="476">
        <v>15.2</v>
      </c>
      <c r="K37" s="477"/>
      <c r="L37" s="478"/>
      <c r="M37" s="478"/>
      <c r="N37" s="478"/>
      <c r="O37" s="479">
        <v>15.2</v>
      </c>
      <c r="P37" s="480">
        <f t="shared" si="0"/>
        <v>0</v>
      </c>
      <c r="Q37" s="489">
        <f t="shared" si="1"/>
        <v>0</v>
      </c>
      <c r="R37" s="76">
        <f t="shared" si="2"/>
        <v>15.2</v>
      </c>
      <c r="S37" t="b">
        <f t="shared" si="3"/>
        <v>1</v>
      </c>
      <c r="T37" s="76">
        <f>VLOOKUP(A37,VALO_PERSO!$F$4:$AF$49,27,0)</f>
        <v>15.2</v>
      </c>
      <c r="V37" s="148">
        <f t="shared" si="4"/>
        <v>0</v>
      </c>
    </row>
    <row r="38" spans="1:22" x14ac:dyDescent="0.25">
      <c r="A38">
        <v>44</v>
      </c>
      <c r="B38" t="s">
        <v>1004</v>
      </c>
      <c r="C38" t="s">
        <v>1005</v>
      </c>
      <c r="D38" t="s">
        <v>1006</v>
      </c>
      <c r="E38" s="472">
        <v>307.8</v>
      </c>
      <c r="F38" s="473"/>
      <c r="G38" s="474"/>
      <c r="H38" s="478"/>
      <c r="I38" s="475"/>
      <c r="J38" s="476"/>
      <c r="K38" s="477"/>
      <c r="L38" s="478"/>
      <c r="M38" s="478">
        <v>125.39999999999996</v>
      </c>
      <c r="N38" s="478"/>
      <c r="O38" s="479">
        <v>433.2</v>
      </c>
      <c r="P38" s="480">
        <f t="shared" si="0"/>
        <v>125.39999999999996</v>
      </c>
      <c r="Q38" s="489">
        <f t="shared" si="1"/>
        <v>307.8</v>
      </c>
      <c r="R38" s="76">
        <f t="shared" si="2"/>
        <v>433.2</v>
      </c>
      <c r="S38" t="b">
        <f t="shared" si="3"/>
        <v>1</v>
      </c>
      <c r="T38" s="76">
        <f>VLOOKUP(A38,VALO_PERSO!$F$4:$AF$49,27,0)</f>
        <v>433.2</v>
      </c>
      <c r="V38" s="148">
        <f t="shared" si="4"/>
        <v>0</v>
      </c>
    </row>
    <row r="39" spans="1:22" x14ac:dyDescent="0.25">
      <c r="A39">
        <v>46</v>
      </c>
      <c r="B39" t="s">
        <v>1009</v>
      </c>
      <c r="C39" t="s">
        <v>1010</v>
      </c>
      <c r="D39" t="s">
        <v>1011</v>
      </c>
      <c r="E39" s="472">
        <v>22.799999999999997</v>
      </c>
      <c r="F39" s="473"/>
      <c r="G39" s="474">
        <v>148.19999999999996</v>
      </c>
      <c r="H39" s="478"/>
      <c r="I39" s="475">
        <v>83.6</v>
      </c>
      <c r="J39" s="476"/>
      <c r="K39" s="477">
        <v>3.8</v>
      </c>
      <c r="L39" s="478"/>
      <c r="M39" s="478"/>
      <c r="N39" s="478">
        <v>699.20000000000118</v>
      </c>
      <c r="O39" s="479">
        <v>957.60000000000105</v>
      </c>
      <c r="P39" s="480">
        <f t="shared" si="0"/>
        <v>699.20000000000118</v>
      </c>
      <c r="Q39" s="489">
        <f t="shared" si="1"/>
        <v>22.799999999999997</v>
      </c>
      <c r="R39" s="76">
        <f t="shared" si="2"/>
        <v>957.60000000000105</v>
      </c>
      <c r="S39" t="b">
        <f t="shared" si="3"/>
        <v>1</v>
      </c>
      <c r="T39" s="76">
        <f>VLOOKUP(A39,VALO_PERSO!$F$4:$AF$49,27,0)</f>
        <v>957.60000000000105</v>
      </c>
      <c r="V39" s="148">
        <f t="shared" si="4"/>
        <v>0</v>
      </c>
    </row>
    <row r="40" spans="1:22" x14ac:dyDescent="0.25">
      <c r="A40">
        <v>48</v>
      </c>
      <c r="B40" t="s">
        <v>1018</v>
      </c>
      <c r="C40" t="s">
        <v>1019</v>
      </c>
      <c r="D40" t="s">
        <v>1020</v>
      </c>
      <c r="E40" s="472">
        <v>334.40000000000009</v>
      </c>
      <c r="F40" s="473"/>
      <c r="G40" s="474"/>
      <c r="H40" s="478"/>
      <c r="I40" s="475"/>
      <c r="J40" s="476"/>
      <c r="K40" s="477"/>
      <c r="L40" s="478"/>
      <c r="M40" s="478"/>
      <c r="N40" s="478"/>
      <c r="O40" s="479">
        <v>334.40000000000009</v>
      </c>
      <c r="P40" s="480">
        <f t="shared" si="0"/>
        <v>0</v>
      </c>
      <c r="Q40" s="489">
        <f t="shared" si="1"/>
        <v>334.40000000000009</v>
      </c>
      <c r="R40" s="76">
        <f t="shared" si="2"/>
        <v>334.40000000000009</v>
      </c>
      <c r="S40" t="b">
        <f t="shared" si="3"/>
        <v>1</v>
      </c>
      <c r="T40" s="76">
        <f>VLOOKUP(A40,VALO_PERSO!$F$4:$AF$49,27,0)</f>
        <v>334.40000000000009</v>
      </c>
      <c r="V40" s="148">
        <f t="shared" si="4"/>
        <v>0</v>
      </c>
    </row>
    <row r="41" spans="1:22" x14ac:dyDescent="0.25">
      <c r="A41">
        <v>49</v>
      </c>
      <c r="B41" t="s">
        <v>1023</v>
      </c>
      <c r="C41" t="s">
        <v>1024</v>
      </c>
      <c r="D41" t="s">
        <v>1025</v>
      </c>
      <c r="E41" s="472">
        <v>172</v>
      </c>
      <c r="F41" s="473"/>
      <c r="G41" s="474">
        <v>34</v>
      </c>
      <c r="H41" s="478"/>
      <c r="I41" s="475">
        <v>22</v>
      </c>
      <c r="J41" s="476">
        <v>14</v>
      </c>
      <c r="K41" s="477">
        <v>38</v>
      </c>
      <c r="L41" s="478">
        <v>42</v>
      </c>
      <c r="M41" s="478">
        <v>16</v>
      </c>
      <c r="N41" s="478">
        <v>74</v>
      </c>
      <c r="O41" s="479">
        <v>412</v>
      </c>
      <c r="P41" s="480">
        <f t="shared" si="0"/>
        <v>132</v>
      </c>
      <c r="Q41" s="489">
        <f t="shared" si="1"/>
        <v>172</v>
      </c>
      <c r="R41" s="76">
        <f t="shared" si="2"/>
        <v>412</v>
      </c>
      <c r="S41" t="b">
        <f t="shared" si="3"/>
        <v>0</v>
      </c>
      <c r="T41" s="76">
        <f>VLOOKUP(A41,VALO_PERSO!$F$4:$AF$49,27,0)</f>
        <v>1333.8000000000004</v>
      </c>
      <c r="V41" s="148">
        <f t="shared" si="4"/>
        <v>-921.80000000000041</v>
      </c>
    </row>
    <row r="42" spans="1:22" x14ac:dyDescent="0.25">
      <c r="A42">
        <v>50</v>
      </c>
      <c r="B42" t="s">
        <v>1028</v>
      </c>
      <c r="C42" t="s">
        <v>1029</v>
      </c>
      <c r="D42" t="s">
        <v>1030</v>
      </c>
      <c r="E42" s="472">
        <v>349.60000000000048</v>
      </c>
      <c r="F42" s="473">
        <v>3.8</v>
      </c>
      <c r="G42" s="474">
        <v>15.2</v>
      </c>
      <c r="H42" s="478"/>
      <c r="I42" s="475"/>
      <c r="J42" s="476">
        <v>22.8</v>
      </c>
      <c r="K42" s="477"/>
      <c r="L42" s="478">
        <v>216.59999999999988</v>
      </c>
      <c r="M42" s="478">
        <v>68.400000000000006</v>
      </c>
      <c r="N42" s="478">
        <v>562.40000000000123</v>
      </c>
      <c r="O42" s="479">
        <v>1238.8000000000015</v>
      </c>
      <c r="P42" s="480">
        <f t="shared" si="0"/>
        <v>847.40000000000111</v>
      </c>
      <c r="Q42" s="489">
        <f t="shared" si="1"/>
        <v>353.40000000000049</v>
      </c>
      <c r="R42" s="76">
        <f t="shared" si="2"/>
        <v>1238.8000000000015</v>
      </c>
      <c r="S42" t="b">
        <f>R42=T42</f>
        <v>1</v>
      </c>
      <c r="T42" s="76">
        <f>VLOOKUP(A42,VALO_PERSO!$F$4:$AF$49,27,0)</f>
        <v>1238.8000000000015</v>
      </c>
      <c r="V42" s="148">
        <f t="shared" si="4"/>
        <v>0</v>
      </c>
    </row>
    <row r="43" spans="1:22" x14ac:dyDescent="0.25">
      <c r="A43">
        <v>51</v>
      </c>
      <c r="B43" t="s">
        <v>1033</v>
      </c>
      <c r="C43" t="s">
        <v>1034</v>
      </c>
      <c r="D43" t="s">
        <v>1035</v>
      </c>
      <c r="E43" s="472">
        <v>437.0000000000004</v>
      </c>
      <c r="F43" s="473">
        <v>3.8</v>
      </c>
      <c r="G43" s="474"/>
      <c r="H43" s="478"/>
      <c r="I43" s="475"/>
      <c r="J43" s="476"/>
      <c r="K43" s="477"/>
      <c r="L43" s="478"/>
      <c r="M43" s="478"/>
      <c r="N43" s="478"/>
      <c r="O43" s="479">
        <v>440.80000000000041</v>
      </c>
      <c r="P43" s="480">
        <f t="shared" si="0"/>
        <v>0</v>
      </c>
      <c r="Q43" s="489">
        <f t="shared" si="1"/>
        <v>440.80000000000041</v>
      </c>
      <c r="R43" s="76">
        <f t="shared" si="2"/>
        <v>440.80000000000041</v>
      </c>
      <c r="S43" t="b">
        <f t="shared" si="3"/>
        <v>1</v>
      </c>
      <c r="T43" s="76">
        <f>VLOOKUP(A43,VALO_PERSO!$F$4:$AF$49,27,0)</f>
        <v>440.80000000000041</v>
      </c>
      <c r="V43" s="148">
        <f t="shared" si="4"/>
        <v>0</v>
      </c>
    </row>
    <row r="44" spans="1:22" x14ac:dyDescent="0.25">
      <c r="A44">
        <v>53</v>
      </c>
      <c r="B44" t="s">
        <v>1239</v>
      </c>
      <c r="C44" t="s">
        <v>1200</v>
      </c>
      <c r="D44" t="s">
        <v>1201</v>
      </c>
      <c r="E44" s="472">
        <v>104</v>
      </c>
      <c r="F44" s="473"/>
      <c r="G44" s="474">
        <v>8</v>
      </c>
      <c r="H44" s="478"/>
      <c r="I44" s="475"/>
      <c r="J44" s="476"/>
      <c r="K44" s="477"/>
      <c r="L44" s="478">
        <v>8</v>
      </c>
      <c r="M44" s="478"/>
      <c r="N44" s="478">
        <v>204</v>
      </c>
      <c r="O44" s="479">
        <v>324</v>
      </c>
      <c r="P44" s="480">
        <f t="shared" si="0"/>
        <v>212</v>
      </c>
      <c r="Q44" s="489">
        <f t="shared" si="1"/>
        <v>104</v>
      </c>
      <c r="R44" s="76">
        <f t="shared" si="2"/>
        <v>324</v>
      </c>
      <c r="S44" t="b">
        <f t="shared" si="3"/>
        <v>1</v>
      </c>
      <c r="T44" s="76">
        <f>VLOOKUP(A44,VALO_PERSO!$F$4:$AF$49,27,0)</f>
        <v>324</v>
      </c>
      <c r="V44" s="148">
        <f t="shared" si="4"/>
        <v>0</v>
      </c>
    </row>
    <row r="45" spans="1:22" x14ac:dyDescent="0.25">
      <c r="A45">
        <v>54</v>
      </c>
      <c r="B45" t="s">
        <v>1037</v>
      </c>
      <c r="C45" t="s">
        <v>1038</v>
      </c>
      <c r="D45" t="s">
        <v>901</v>
      </c>
      <c r="E45" s="472">
        <v>630</v>
      </c>
      <c r="F45" s="473"/>
      <c r="G45" s="474"/>
      <c r="H45" s="478"/>
      <c r="I45" s="475"/>
      <c r="J45" s="476"/>
      <c r="K45" s="477"/>
      <c r="L45" s="478"/>
      <c r="M45" s="478">
        <v>105</v>
      </c>
      <c r="N45" s="478"/>
      <c r="O45" s="479">
        <v>735</v>
      </c>
      <c r="P45" s="480">
        <f t="shared" si="0"/>
        <v>105</v>
      </c>
      <c r="Q45" s="489">
        <f t="shared" si="1"/>
        <v>630</v>
      </c>
      <c r="R45" s="76">
        <f t="shared" si="2"/>
        <v>735</v>
      </c>
      <c r="S45" t="b">
        <f t="shared" si="3"/>
        <v>1</v>
      </c>
      <c r="T45" s="76">
        <f>VLOOKUP(A45,VALO_PERSO!$F$4:$AF$49,27,0)</f>
        <v>735</v>
      </c>
      <c r="V45" s="148">
        <f t="shared" si="4"/>
        <v>0</v>
      </c>
    </row>
    <row r="46" spans="1:22" x14ac:dyDescent="0.25">
      <c r="A46">
        <v>55</v>
      </c>
      <c r="B46" t="s">
        <v>1040</v>
      </c>
      <c r="C46" t="s">
        <v>1041</v>
      </c>
      <c r="D46" t="s">
        <v>1202</v>
      </c>
      <c r="E46" s="472">
        <v>602</v>
      </c>
      <c r="F46" s="473"/>
      <c r="G46" s="474"/>
      <c r="H46" s="478"/>
      <c r="I46" s="475">
        <v>35</v>
      </c>
      <c r="J46" s="476">
        <v>84</v>
      </c>
      <c r="K46" s="477"/>
      <c r="L46" s="478"/>
      <c r="M46" s="478"/>
      <c r="N46" s="478"/>
      <c r="O46" s="479">
        <v>721</v>
      </c>
      <c r="P46" s="480">
        <f t="shared" si="0"/>
        <v>0</v>
      </c>
      <c r="Q46" s="489">
        <f t="shared" si="1"/>
        <v>602</v>
      </c>
      <c r="R46" s="76">
        <f t="shared" si="2"/>
        <v>721</v>
      </c>
      <c r="S46" t="b">
        <f t="shared" si="3"/>
        <v>1</v>
      </c>
      <c r="T46" s="76">
        <f>VLOOKUP(A46,VALO_PERSO!$F$4:$AF$49,27,0)</f>
        <v>721</v>
      </c>
      <c r="V46" s="148">
        <f t="shared" si="4"/>
        <v>0</v>
      </c>
    </row>
    <row r="47" spans="1:22" x14ac:dyDescent="0.25">
      <c r="A47">
        <v>58</v>
      </c>
      <c r="B47" t="s">
        <v>1240</v>
      </c>
      <c r="C47" t="s">
        <v>1207</v>
      </c>
      <c r="D47" t="s">
        <v>1208</v>
      </c>
      <c r="E47" s="472"/>
      <c r="F47" s="473"/>
      <c r="G47" s="474">
        <v>273.59999999999991</v>
      </c>
      <c r="H47" s="478"/>
      <c r="I47" s="475">
        <v>30.4</v>
      </c>
      <c r="J47" s="476"/>
      <c r="K47" s="477"/>
      <c r="L47" s="478"/>
      <c r="M47" s="478"/>
      <c r="N47" s="478">
        <v>615.60000000000093</v>
      </c>
      <c r="O47" s="479">
        <v>919.60000000000082</v>
      </c>
      <c r="P47" s="480">
        <f t="shared" si="0"/>
        <v>615.60000000000093</v>
      </c>
      <c r="Q47" s="489">
        <f t="shared" si="1"/>
        <v>0</v>
      </c>
      <c r="R47" s="76">
        <f t="shared" si="2"/>
        <v>919.60000000000082</v>
      </c>
      <c r="S47" t="b">
        <f t="shared" si="3"/>
        <v>1</v>
      </c>
      <c r="T47" s="76">
        <f>VLOOKUP(A47,VALO_PERSO!$F$4:$AF$49,27,0)</f>
        <v>919.60000000000082</v>
      </c>
      <c r="V47" s="148">
        <f t="shared" si="4"/>
        <v>0</v>
      </c>
    </row>
    <row r="48" spans="1:22" x14ac:dyDescent="0.25">
      <c r="A48">
        <v>60</v>
      </c>
      <c r="B48" t="s">
        <v>1241</v>
      </c>
      <c r="C48" t="s">
        <v>966</v>
      </c>
      <c r="D48" t="s">
        <v>1211</v>
      </c>
      <c r="E48" s="472"/>
      <c r="F48" s="473"/>
      <c r="G48" s="474"/>
      <c r="H48" s="478"/>
      <c r="I48" s="475"/>
      <c r="J48" s="476"/>
      <c r="K48" s="477"/>
      <c r="L48" s="478"/>
      <c r="M48" s="478"/>
      <c r="N48" s="478">
        <v>121.59999999999997</v>
      </c>
      <c r="O48" s="479">
        <v>121.59999999999997</v>
      </c>
      <c r="P48" s="480">
        <f t="shared" si="0"/>
        <v>121.59999999999997</v>
      </c>
      <c r="Q48" s="489">
        <f t="shared" si="1"/>
        <v>0</v>
      </c>
      <c r="R48" s="76">
        <f t="shared" si="2"/>
        <v>121.59999999999997</v>
      </c>
      <c r="S48" t="b">
        <f t="shared" si="3"/>
        <v>1</v>
      </c>
      <c r="T48" s="76">
        <f>VLOOKUP(A48,VALO_PERSO!$F$4:$AF$49,27,0)</f>
        <v>121.59999999999997</v>
      </c>
      <c r="V48" s="148">
        <f t="shared" si="4"/>
        <v>0</v>
      </c>
    </row>
    <row r="49" spans="1:22" x14ac:dyDescent="0.25">
      <c r="A49">
        <v>61</v>
      </c>
      <c r="B49" t="s">
        <v>1242</v>
      </c>
      <c r="C49" t="s">
        <v>1235</v>
      </c>
      <c r="D49" t="s">
        <v>1213</v>
      </c>
      <c r="E49" s="472">
        <v>57.19</v>
      </c>
      <c r="F49" s="473"/>
      <c r="G49" s="474">
        <v>56</v>
      </c>
      <c r="H49" s="478"/>
      <c r="I49" s="475"/>
      <c r="J49" s="476"/>
      <c r="K49" s="477"/>
      <c r="L49" s="478"/>
      <c r="M49" s="478"/>
      <c r="N49" s="478">
        <v>51.639999999999993</v>
      </c>
      <c r="O49" s="479">
        <v>164.82999999999998</v>
      </c>
      <c r="P49" s="480">
        <f t="shared" si="0"/>
        <v>51.639999999999993</v>
      </c>
      <c r="Q49" s="489">
        <f t="shared" si="1"/>
        <v>57.19</v>
      </c>
      <c r="R49" s="76">
        <f t="shared" si="2"/>
        <v>164.82999999999998</v>
      </c>
      <c r="S49" t="b">
        <f t="shared" si="3"/>
        <v>1</v>
      </c>
      <c r="T49" s="76">
        <f>VLOOKUP(A49,VALO_PERSO!$F$4:$AF$49,27,0)</f>
        <v>164.82999999999998</v>
      </c>
      <c r="V49" s="148">
        <f t="shared" si="4"/>
        <v>0</v>
      </c>
    </row>
    <row r="50" spans="1:22" x14ac:dyDescent="0.25">
      <c r="A50">
        <v>62</v>
      </c>
      <c r="B50" t="s">
        <v>1243</v>
      </c>
      <c r="C50" t="s">
        <v>1214</v>
      </c>
      <c r="D50" t="s">
        <v>1215</v>
      </c>
      <c r="E50" s="472">
        <v>273</v>
      </c>
      <c r="F50" s="473"/>
      <c r="G50" s="474"/>
      <c r="H50" s="478"/>
      <c r="I50" s="475"/>
      <c r="J50" s="476"/>
      <c r="K50" s="477"/>
      <c r="L50" s="478"/>
      <c r="M50" s="478"/>
      <c r="N50" s="478"/>
      <c r="O50" s="479">
        <v>273</v>
      </c>
      <c r="P50" s="480">
        <f t="shared" si="0"/>
        <v>0</v>
      </c>
      <c r="Q50" s="489">
        <f t="shared" si="1"/>
        <v>273</v>
      </c>
      <c r="R50" s="76">
        <f t="shared" si="2"/>
        <v>273</v>
      </c>
      <c r="S50" t="b">
        <f t="shared" si="3"/>
        <v>1</v>
      </c>
      <c r="T50" s="76">
        <f>VLOOKUP(A50,VALO_PERSO!$F$4:$AF$49,27,0)</f>
        <v>273</v>
      </c>
      <c r="V50" s="148">
        <f t="shared" si="4"/>
        <v>0</v>
      </c>
    </row>
    <row r="51" spans="1:22" x14ac:dyDescent="0.25">
      <c r="A51">
        <v>63</v>
      </c>
      <c r="B51" t="s">
        <v>1244</v>
      </c>
      <c r="C51" t="s">
        <v>1216</v>
      </c>
      <c r="D51" t="s">
        <v>1217</v>
      </c>
      <c r="E51" s="472"/>
      <c r="F51" s="473"/>
      <c r="G51" s="474"/>
      <c r="H51" s="478"/>
      <c r="I51" s="475">
        <v>301</v>
      </c>
      <c r="J51" s="476"/>
      <c r="K51" s="477"/>
      <c r="L51" s="478"/>
      <c r="M51" s="478"/>
      <c r="N51" s="478"/>
      <c r="O51" s="479">
        <v>301</v>
      </c>
      <c r="P51" s="480">
        <f t="shared" si="0"/>
        <v>0</v>
      </c>
      <c r="Q51" s="489">
        <f t="shared" si="1"/>
        <v>0</v>
      </c>
      <c r="R51" s="76">
        <f>P51+K51+J51+I51+G51+Q51</f>
        <v>301</v>
      </c>
      <c r="S51" t="b">
        <f t="shared" si="3"/>
        <v>1</v>
      </c>
      <c r="T51" s="76">
        <f>VLOOKUP(A51,VALO_PERSO!$F$4:$AF$49,27,0)</f>
        <v>301</v>
      </c>
      <c r="V51" s="148">
        <f t="shared" si="4"/>
        <v>0</v>
      </c>
    </row>
    <row r="52" spans="1:22" x14ac:dyDescent="0.25">
      <c r="A52" t="s">
        <v>335</v>
      </c>
      <c r="B52" t="s">
        <v>335</v>
      </c>
      <c r="D52"/>
      <c r="E52" s="472">
        <v>10503.820000000003</v>
      </c>
      <c r="F52" s="473">
        <v>42.8</v>
      </c>
      <c r="G52" s="474">
        <v>5592.1100000000042</v>
      </c>
      <c r="H52" s="478">
        <v>254.59999999999988</v>
      </c>
      <c r="I52" s="475">
        <v>2748.9000000000028</v>
      </c>
      <c r="J52" s="476">
        <v>628.7199999999998</v>
      </c>
      <c r="K52" s="477">
        <v>1879.0999999999965</v>
      </c>
      <c r="L52" s="478">
        <v>3517.0700000000011</v>
      </c>
      <c r="M52" s="478">
        <v>981.31999999999971</v>
      </c>
      <c r="N52" s="478">
        <v>15747.330000000005</v>
      </c>
      <c r="O52" s="479">
        <v>41895.770000000011</v>
      </c>
      <c r="P52" s="480">
        <f t="shared" si="0"/>
        <v>20500.320000000007</v>
      </c>
      <c r="Q52" s="489">
        <f t="shared" si="1"/>
        <v>10546.620000000003</v>
      </c>
    </row>
    <row r="55" spans="1:22" x14ac:dyDescent="0.25">
      <c r="Q55" s="490"/>
    </row>
  </sheetData>
  <conditionalFormatting sqref="S8:S51">
    <cfRule type="cellIs" dxfId="206" priority="1" operator="equal">
      <formula>FALSE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3D55C-9347-4E7E-82AB-5E22468C322D}">
  <sheetPr>
    <tabColor rgb="FFFF99CC"/>
  </sheetPr>
  <dimension ref="A1:T59"/>
  <sheetViews>
    <sheetView workbookViewId="0"/>
  </sheetViews>
  <sheetFormatPr baseColWidth="10" defaultRowHeight="15" x14ac:dyDescent="0.25"/>
  <cols>
    <col min="1" max="1" width="26.85546875" bestFit="1" customWidth="1"/>
    <col min="2" max="2" width="23.85546875" bestFit="1" customWidth="1"/>
    <col min="3" max="3" width="17.140625" bestFit="1" customWidth="1"/>
    <col min="4" max="6" width="12" bestFit="1" customWidth="1"/>
    <col min="7" max="7" width="12.5703125" bestFit="1" customWidth="1"/>
    <col min="8" max="9" width="13.85546875" bestFit="1" customWidth="1"/>
    <col min="10" max="10" width="12.5703125" bestFit="1" customWidth="1"/>
    <col min="11" max="11" width="26.85546875" bestFit="1" customWidth="1"/>
    <col min="12" max="12" width="23.85546875" bestFit="1" customWidth="1"/>
    <col min="13" max="13" width="17.140625" bestFit="1" customWidth="1"/>
    <col min="14" max="18" width="12" bestFit="1" customWidth="1"/>
    <col min="19" max="19" width="12.5703125" bestFit="1" customWidth="1"/>
  </cols>
  <sheetData>
    <row r="1" spans="1:20" x14ac:dyDescent="0.25">
      <c r="A1" t="s">
        <v>566</v>
      </c>
      <c r="B1" t="s">
        <v>15</v>
      </c>
    </row>
    <row r="3" spans="1:20" x14ac:dyDescent="0.25">
      <c r="A3" t="s">
        <v>1168</v>
      </c>
      <c r="D3" t="s">
        <v>1169</v>
      </c>
      <c r="K3" t="s">
        <v>1168</v>
      </c>
      <c r="N3" t="s">
        <v>1169</v>
      </c>
    </row>
    <row r="4" spans="1:20" x14ac:dyDescent="0.25">
      <c r="A4" t="s">
        <v>366</v>
      </c>
      <c r="B4" t="s">
        <v>367</v>
      </c>
      <c r="C4" t="s">
        <v>368</v>
      </c>
      <c r="D4" t="s">
        <v>1170</v>
      </c>
      <c r="E4" t="s">
        <v>482</v>
      </c>
      <c r="F4" t="s">
        <v>1171</v>
      </c>
      <c r="G4" t="s">
        <v>335</v>
      </c>
      <c r="H4" t="s">
        <v>1172</v>
      </c>
      <c r="I4" t="s">
        <v>1173</v>
      </c>
      <c r="K4" t="s">
        <v>366</v>
      </c>
      <c r="L4" t="s">
        <v>367</v>
      </c>
      <c r="M4" t="s">
        <v>368</v>
      </c>
      <c r="N4" t="s">
        <v>1174</v>
      </c>
      <c r="O4" t="s">
        <v>1175</v>
      </c>
      <c r="P4" t="s">
        <v>1176</v>
      </c>
      <c r="Q4" t="s">
        <v>1177</v>
      </c>
      <c r="R4" t="s">
        <v>1178</v>
      </c>
      <c r="S4" t="s">
        <v>335</v>
      </c>
    </row>
    <row r="5" spans="1:20" x14ac:dyDescent="0.25">
      <c r="A5">
        <v>1</v>
      </c>
      <c r="B5" t="s">
        <v>1179</v>
      </c>
      <c r="C5" t="s">
        <v>875</v>
      </c>
      <c r="D5">
        <v>303</v>
      </c>
      <c r="E5">
        <v>24852.179999999993</v>
      </c>
      <c r="F5">
        <v>61368.02</v>
      </c>
      <c r="G5">
        <v>86523.199999999983</v>
      </c>
      <c r="H5">
        <v>25870.229999999996</v>
      </c>
      <c r="I5">
        <f>VLOOKUP(A5,K:T,10,0)</f>
        <v>1691.04</v>
      </c>
      <c r="K5">
        <v>1</v>
      </c>
      <c r="L5" t="s">
        <v>1179</v>
      </c>
      <c r="M5" t="s">
        <v>875</v>
      </c>
      <c r="O5">
        <v>-25.5</v>
      </c>
      <c r="P5">
        <v>12</v>
      </c>
      <c r="R5">
        <v>1976.04</v>
      </c>
      <c r="S5">
        <v>1962.54</v>
      </c>
      <c r="T5">
        <f>IF(ISBLANK(R5),Q5*8,R5+N5+O5*7.6+(-P5*7.6))</f>
        <v>1691.04</v>
      </c>
    </row>
    <row r="6" spans="1:20" x14ac:dyDescent="0.25">
      <c r="A6">
        <v>3</v>
      </c>
      <c r="B6" t="s">
        <v>1180</v>
      </c>
      <c r="C6" t="s">
        <v>1181</v>
      </c>
      <c r="E6">
        <v>50866.770000000004</v>
      </c>
      <c r="F6">
        <v>135562.20000000001</v>
      </c>
      <c r="G6">
        <v>186428.97000000003</v>
      </c>
      <c r="H6">
        <v>53036.69000000001</v>
      </c>
      <c r="I6" s="460">
        <v>1744</v>
      </c>
      <c r="K6">
        <v>4</v>
      </c>
      <c r="L6" t="s">
        <v>1182</v>
      </c>
      <c r="M6" t="s">
        <v>880</v>
      </c>
      <c r="N6">
        <v>-7.6</v>
      </c>
      <c r="O6">
        <v>-25</v>
      </c>
      <c r="P6">
        <v>13</v>
      </c>
      <c r="R6">
        <v>1976.04</v>
      </c>
      <c r="S6">
        <v>1956.44</v>
      </c>
      <c r="T6">
        <f t="shared" ref="T6:T15" si="0">IF(ISBLANK(R6),Q6*8,R6+N6+O6*7.6+(-P6*7.6))</f>
        <v>1679.64</v>
      </c>
    </row>
    <row r="7" spans="1:20" x14ac:dyDescent="0.25">
      <c r="A7">
        <v>4</v>
      </c>
      <c r="B7" t="s">
        <v>1182</v>
      </c>
      <c r="C7" t="s">
        <v>880</v>
      </c>
      <c r="D7">
        <v>815.5</v>
      </c>
      <c r="E7">
        <v>27288.7</v>
      </c>
      <c r="F7">
        <v>68495.59</v>
      </c>
      <c r="G7">
        <v>96599.79</v>
      </c>
      <c r="H7">
        <v>28419.450000000004</v>
      </c>
      <c r="I7">
        <f t="shared" ref="I7:I59" si="1">VLOOKUP(A7,K:T,10,0)</f>
        <v>1679.64</v>
      </c>
      <c r="K7">
        <v>5</v>
      </c>
      <c r="L7" t="s">
        <v>883</v>
      </c>
      <c r="M7" t="s">
        <v>884</v>
      </c>
      <c r="N7">
        <v>-22.8</v>
      </c>
      <c r="O7">
        <v>-21</v>
      </c>
      <c r="P7">
        <v>7</v>
      </c>
      <c r="R7">
        <v>1864.57</v>
      </c>
      <c r="S7">
        <v>1827.77</v>
      </c>
      <c r="T7">
        <f t="shared" si="0"/>
        <v>1628.97</v>
      </c>
    </row>
    <row r="8" spans="1:20" x14ac:dyDescent="0.25">
      <c r="A8">
        <v>5</v>
      </c>
      <c r="B8" t="s">
        <v>883</v>
      </c>
      <c r="C8" t="s">
        <v>884</v>
      </c>
      <c r="D8">
        <v>266.39999999999998</v>
      </c>
      <c r="E8">
        <v>56925.240000000005</v>
      </c>
      <c r="F8">
        <v>136214.53</v>
      </c>
      <c r="G8">
        <v>193406.17</v>
      </c>
      <c r="H8">
        <v>59127.3</v>
      </c>
      <c r="I8">
        <f t="shared" si="1"/>
        <v>1628.97</v>
      </c>
      <c r="K8">
        <v>6</v>
      </c>
      <c r="L8" t="s">
        <v>888</v>
      </c>
      <c r="M8" t="s">
        <v>889</v>
      </c>
      <c r="O8">
        <v>-20</v>
      </c>
      <c r="P8">
        <v>7</v>
      </c>
      <c r="R8">
        <v>1849.37</v>
      </c>
      <c r="S8">
        <v>1836.37</v>
      </c>
      <c r="T8">
        <f t="shared" si="0"/>
        <v>1644.1699999999998</v>
      </c>
    </row>
    <row r="9" spans="1:20" x14ac:dyDescent="0.25">
      <c r="A9">
        <v>6</v>
      </c>
      <c r="B9" t="s">
        <v>888</v>
      </c>
      <c r="C9" t="s">
        <v>889</v>
      </c>
      <c r="E9">
        <v>25862.51</v>
      </c>
      <c r="F9">
        <v>63921.65</v>
      </c>
      <c r="G9">
        <v>89784.16</v>
      </c>
      <c r="H9">
        <v>26920.879999999997</v>
      </c>
      <c r="I9">
        <f t="shared" si="1"/>
        <v>1644.1699999999998</v>
      </c>
      <c r="K9">
        <v>7</v>
      </c>
      <c r="L9" t="s">
        <v>892</v>
      </c>
      <c r="M9" t="s">
        <v>893</v>
      </c>
      <c r="O9">
        <v>-29</v>
      </c>
      <c r="P9">
        <v>12</v>
      </c>
      <c r="R9">
        <v>1960.84</v>
      </c>
      <c r="S9">
        <v>1943.84</v>
      </c>
      <c r="T9">
        <f t="shared" si="0"/>
        <v>1649.24</v>
      </c>
    </row>
    <row r="10" spans="1:20" x14ac:dyDescent="0.25">
      <c r="A10">
        <v>7</v>
      </c>
      <c r="B10" t="s">
        <v>892</v>
      </c>
      <c r="C10" t="s">
        <v>893</v>
      </c>
      <c r="E10">
        <v>25493.239999999998</v>
      </c>
      <c r="F10">
        <v>62989.04</v>
      </c>
      <c r="G10">
        <v>88482.28</v>
      </c>
      <c r="H10">
        <v>26536.83</v>
      </c>
      <c r="I10">
        <f t="shared" si="1"/>
        <v>1649.24</v>
      </c>
      <c r="K10">
        <v>8</v>
      </c>
      <c r="L10" t="s">
        <v>1183</v>
      </c>
      <c r="M10" t="s">
        <v>897</v>
      </c>
      <c r="N10">
        <v>-38</v>
      </c>
      <c r="O10">
        <v>-23</v>
      </c>
      <c r="P10">
        <v>12</v>
      </c>
      <c r="R10">
        <v>1976.04</v>
      </c>
      <c r="S10">
        <v>1927.04</v>
      </c>
      <c r="T10">
        <f t="shared" si="0"/>
        <v>1672.04</v>
      </c>
    </row>
    <row r="11" spans="1:20" x14ac:dyDescent="0.25">
      <c r="A11">
        <v>8</v>
      </c>
      <c r="B11" t="s">
        <v>1183</v>
      </c>
      <c r="C11" t="s">
        <v>897</v>
      </c>
      <c r="D11">
        <v>310.8</v>
      </c>
      <c r="E11">
        <v>24945.119999999999</v>
      </c>
      <c r="F11">
        <v>61604.34</v>
      </c>
      <c r="G11">
        <v>86860.26</v>
      </c>
      <c r="H11">
        <v>25966.920000000002</v>
      </c>
      <c r="I11">
        <f t="shared" si="1"/>
        <v>1672.04</v>
      </c>
      <c r="K11">
        <v>11</v>
      </c>
      <c r="L11" t="s">
        <v>900</v>
      </c>
      <c r="M11" t="s">
        <v>901</v>
      </c>
      <c r="N11">
        <v>-15.2</v>
      </c>
      <c r="O11">
        <v>-27</v>
      </c>
      <c r="P11">
        <v>1.5</v>
      </c>
      <c r="R11">
        <v>1436.43</v>
      </c>
      <c r="S11">
        <v>1395.73</v>
      </c>
      <c r="T11">
        <f t="shared" si="0"/>
        <v>1204.6299999999999</v>
      </c>
    </row>
    <row r="12" spans="1:20" x14ac:dyDescent="0.25">
      <c r="A12">
        <v>11</v>
      </c>
      <c r="B12" t="s">
        <v>900</v>
      </c>
      <c r="C12" t="s">
        <v>901</v>
      </c>
      <c r="E12">
        <v>21441.73</v>
      </c>
      <c r="F12">
        <v>53722.94</v>
      </c>
      <c r="G12">
        <v>75164.67</v>
      </c>
      <c r="H12">
        <v>22338.699999999997</v>
      </c>
      <c r="I12">
        <f t="shared" si="1"/>
        <v>1204.6299999999999</v>
      </c>
      <c r="K12">
        <v>12</v>
      </c>
      <c r="L12" t="s">
        <v>905</v>
      </c>
      <c r="M12" t="s">
        <v>906</v>
      </c>
      <c r="O12">
        <v>-22.5</v>
      </c>
      <c r="P12">
        <v>13</v>
      </c>
      <c r="R12">
        <v>1976.04</v>
      </c>
      <c r="S12">
        <v>1966.54</v>
      </c>
      <c r="T12">
        <f t="shared" si="0"/>
        <v>1706.24</v>
      </c>
    </row>
    <row r="13" spans="1:20" x14ac:dyDescent="0.25">
      <c r="A13">
        <v>12</v>
      </c>
      <c r="B13" t="s">
        <v>905</v>
      </c>
      <c r="C13" t="s">
        <v>906</v>
      </c>
      <c r="E13">
        <v>13950.950000000003</v>
      </c>
      <c r="F13">
        <v>39845.279999999999</v>
      </c>
      <c r="G13">
        <v>53796.23</v>
      </c>
      <c r="H13">
        <v>14606.790000000003</v>
      </c>
      <c r="I13">
        <f t="shared" si="1"/>
        <v>1706.24</v>
      </c>
      <c r="K13">
        <v>13</v>
      </c>
      <c r="L13" t="s">
        <v>910</v>
      </c>
      <c r="M13" t="s">
        <v>911</v>
      </c>
      <c r="O13">
        <v>-26</v>
      </c>
      <c r="P13">
        <v>12</v>
      </c>
      <c r="R13">
        <v>1938.04</v>
      </c>
      <c r="S13">
        <v>1924.04</v>
      </c>
      <c r="T13">
        <f t="shared" si="0"/>
        <v>1649.24</v>
      </c>
    </row>
    <row r="14" spans="1:20" x14ac:dyDescent="0.25">
      <c r="A14">
        <v>13</v>
      </c>
      <c r="B14" t="s">
        <v>910</v>
      </c>
      <c r="C14" t="s">
        <v>911</v>
      </c>
      <c r="E14">
        <v>24525.410000000003</v>
      </c>
      <c r="F14">
        <v>59572.69</v>
      </c>
      <c r="G14">
        <v>84098.1</v>
      </c>
      <c r="H14">
        <v>25515.040000000005</v>
      </c>
      <c r="I14">
        <f t="shared" si="1"/>
        <v>1649.24</v>
      </c>
      <c r="K14">
        <v>14</v>
      </c>
      <c r="L14" t="s">
        <v>915</v>
      </c>
      <c r="M14" t="s">
        <v>916</v>
      </c>
      <c r="N14">
        <v>-0.5</v>
      </c>
      <c r="O14">
        <v>-23</v>
      </c>
      <c r="P14">
        <v>12</v>
      </c>
      <c r="R14">
        <v>1302.1600000000001</v>
      </c>
      <c r="S14">
        <v>1290.6600000000001</v>
      </c>
      <c r="T14">
        <f t="shared" si="0"/>
        <v>1035.6600000000001</v>
      </c>
    </row>
    <row r="15" spans="1:20" x14ac:dyDescent="0.25">
      <c r="A15">
        <v>14</v>
      </c>
      <c r="B15" t="s">
        <v>915</v>
      </c>
      <c r="C15" t="s">
        <v>916</v>
      </c>
      <c r="E15">
        <v>19309.89</v>
      </c>
      <c r="F15">
        <v>45684.82</v>
      </c>
      <c r="G15">
        <v>64994.71</v>
      </c>
      <c r="H15">
        <v>20078.3</v>
      </c>
      <c r="I15">
        <f t="shared" si="1"/>
        <v>1035.6600000000001</v>
      </c>
      <c r="K15">
        <v>16</v>
      </c>
      <c r="L15" t="s">
        <v>1184</v>
      </c>
      <c r="M15" t="s">
        <v>920</v>
      </c>
      <c r="N15">
        <v>-30.4</v>
      </c>
      <c r="O15">
        <v>-26.5</v>
      </c>
      <c r="P15">
        <v>9.5</v>
      </c>
      <c r="R15">
        <v>1976.04</v>
      </c>
      <c r="S15">
        <v>1928.6399999999999</v>
      </c>
      <c r="T15">
        <f t="shared" si="0"/>
        <v>1672.0399999999997</v>
      </c>
    </row>
    <row r="16" spans="1:20" x14ac:dyDescent="0.25">
      <c r="A16">
        <v>16</v>
      </c>
      <c r="B16" t="s">
        <v>1184</v>
      </c>
      <c r="C16" t="s">
        <v>920</v>
      </c>
      <c r="E16">
        <v>23396.660000000003</v>
      </c>
      <c r="F16">
        <v>58661.4</v>
      </c>
      <c r="G16">
        <v>82058.06</v>
      </c>
      <c r="H16">
        <v>24371.88</v>
      </c>
      <c r="I16">
        <f t="shared" si="1"/>
        <v>1672.0399999999997</v>
      </c>
      <c r="K16">
        <v>17</v>
      </c>
      <c r="L16" t="s">
        <v>1185</v>
      </c>
      <c r="M16" t="s">
        <v>1186</v>
      </c>
      <c r="N16">
        <v>-22.8</v>
      </c>
      <c r="O16">
        <v>-18.5</v>
      </c>
      <c r="P16">
        <v>10.5</v>
      </c>
      <c r="Q16">
        <v>31</v>
      </c>
      <c r="R16">
        <v>1352.83</v>
      </c>
      <c r="S16">
        <v>1353.03</v>
      </c>
      <c r="T16" s="460">
        <f>R16+N16+O16*7.6+(-P16*7.6)+Q16*8</f>
        <v>1357.63</v>
      </c>
    </row>
    <row r="17" spans="1:20" x14ac:dyDescent="0.25">
      <c r="A17">
        <v>17</v>
      </c>
      <c r="B17" t="s">
        <v>1185</v>
      </c>
      <c r="C17" t="s">
        <v>1186</v>
      </c>
      <c r="D17">
        <v>532.79999999999995</v>
      </c>
      <c r="E17">
        <v>29302.790000000005</v>
      </c>
      <c r="F17">
        <v>70385.62</v>
      </c>
      <c r="G17">
        <v>100221.20999999999</v>
      </c>
      <c r="H17">
        <v>30463.379999999994</v>
      </c>
      <c r="I17">
        <f t="shared" si="1"/>
        <v>1357.63</v>
      </c>
      <c r="K17">
        <v>18</v>
      </c>
      <c r="L17" t="s">
        <v>924</v>
      </c>
      <c r="M17" t="s">
        <v>925</v>
      </c>
      <c r="N17">
        <v>-30.4</v>
      </c>
      <c r="O17">
        <v>-28.5</v>
      </c>
      <c r="P17">
        <v>12</v>
      </c>
      <c r="R17">
        <v>1976.04</v>
      </c>
      <c r="S17">
        <v>1929.1399999999999</v>
      </c>
      <c r="T17">
        <f>IF(ISBLANK(R17),Q17*8,R17+N17+O17*7.6-P17*7.6)</f>
        <v>1637.84</v>
      </c>
    </row>
    <row r="18" spans="1:20" x14ac:dyDescent="0.25">
      <c r="A18">
        <v>18</v>
      </c>
      <c r="B18" t="s">
        <v>924</v>
      </c>
      <c r="C18" t="s">
        <v>925</v>
      </c>
      <c r="E18">
        <v>24718.93</v>
      </c>
      <c r="F18">
        <v>60709.03</v>
      </c>
      <c r="G18">
        <v>85427.959999999992</v>
      </c>
      <c r="H18">
        <v>25726.519999999997</v>
      </c>
      <c r="I18">
        <f t="shared" si="1"/>
        <v>1637.84</v>
      </c>
      <c r="K18">
        <v>19</v>
      </c>
      <c r="L18" t="s">
        <v>928</v>
      </c>
      <c r="M18" t="s">
        <v>1187</v>
      </c>
      <c r="N18">
        <v>-12.16</v>
      </c>
      <c r="O18">
        <v>-25.1</v>
      </c>
      <c r="P18">
        <v>9.5</v>
      </c>
      <c r="R18">
        <v>1549.18</v>
      </c>
      <c r="S18">
        <v>1521.42</v>
      </c>
      <c r="T18">
        <f t="shared" ref="T18:T43" si="2">IF(ISBLANK(R18),Q18*8,R18+N18+O18*7.6-P18*7.6)</f>
        <v>1274.06</v>
      </c>
    </row>
    <row r="19" spans="1:20" x14ac:dyDescent="0.25">
      <c r="A19">
        <v>19</v>
      </c>
      <c r="B19" t="s">
        <v>928</v>
      </c>
      <c r="C19" t="s">
        <v>1187</v>
      </c>
      <c r="D19">
        <v>269.17</v>
      </c>
      <c r="E19">
        <v>11280.09</v>
      </c>
      <c r="F19">
        <v>31999.98</v>
      </c>
      <c r="G19">
        <v>43549.24</v>
      </c>
      <c r="H19">
        <v>11806.800000000001</v>
      </c>
      <c r="I19">
        <f t="shared" si="1"/>
        <v>1274.06</v>
      </c>
      <c r="K19">
        <v>21</v>
      </c>
      <c r="L19" t="s">
        <v>933</v>
      </c>
      <c r="M19" t="s">
        <v>934</v>
      </c>
      <c r="O19">
        <v>-32</v>
      </c>
      <c r="P19">
        <v>12</v>
      </c>
      <c r="R19">
        <v>1938.04</v>
      </c>
      <c r="S19">
        <v>1918.04</v>
      </c>
      <c r="T19">
        <f t="shared" si="2"/>
        <v>1603.6399999999999</v>
      </c>
    </row>
    <row r="20" spans="1:20" x14ac:dyDescent="0.25">
      <c r="A20">
        <v>21</v>
      </c>
      <c r="B20" t="s">
        <v>933</v>
      </c>
      <c r="C20" t="s">
        <v>934</v>
      </c>
      <c r="D20">
        <v>532.79999999999995</v>
      </c>
      <c r="E20">
        <v>15288.91</v>
      </c>
      <c r="F20">
        <v>43774.64</v>
      </c>
      <c r="G20">
        <v>59596.35</v>
      </c>
      <c r="H20">
        <v>16009.4</v>
      </c>
      <c r="I20">
        <f t="shared" si="1"/>
        <v>1603.6399999999999</v>
      </c>
      <c r="K20">
        <v>22</v>
      </c>
      <c r="L20" t="s">
        <v>937</v>
      </c>
      <c r="M20" t="s">
        <v>938</v>
      </c>
      <c r="O20">
        <v>-27.5</v>
      </c>
      <c r="P20">
        <v>13</v>
      </c>
      <c r="R20">
        <v>1976.04</v>
      </c>
      <c r="S20">
        <v>1961.54</v>
      </c>
      <c r="T20">
        <f t="shared" si="2"/>
        <v>1668.24</v>
      </c>
    </row>
    <row r="21" spans="1:20" x14ac:dyDescent="0.25">
      <c r="A21">
        <v>22</v>
      </c>
      <c r="B21" t="s">
        <v>937</v>
      </c>
      <c r="C21" t="s">
        <v>938</v>
      </c>
      <c r="D21">
        <v>320.60000000000002</v>
      </c>
      <c r="E21">
        <v>23649.119999999995</v>
      </c>
      <c r="F21">
        <v>58329.01</v>
      </c>
      <c r="G21">
        <v>82298.73</v>
      </c>
      <c r="H21">
        <v>24619.059999999998</v>
      </c>
      <c r="I21">
        <f t="shared" si="1"/>
        <v>1668.24</v>
      </c>
      <c r="K21">
        <v>23</v>
      </c>
      <c r="L21" t="s">
        <v>942</v>
      </c>
      <c r="M21" t="s">
        <v>943</v>
      </c>
      <c r="O21">
        <v>-2</v>
      </c>
      <c r="R21">
        <v>329.34</v>
      </c>
      <c r="S21">
        <v>327.33999999999997</v>
      </c>
      <c r="T21">
        <f t="shared" si="2"/>
        <v>314.14</v>
      </c>
    </row>
    <row r="22" spans="1:20" x14ac:dyDescent="0.25">
      <c r="A22">
        <v>23</v>
      </c>
      <c r="B22" t="s">
        <v>942</v>
      </c>
      <c r="C22" t="s">
        <v>943</v>
      </c>
      <c r="D22">
        <v>88.8</v>
      </c>
      <c r="E22">
        <v>2384.8399999999997</v>
      </c>
      <c r="F22">
        <v>6819.94</v>
      </c>
      <c r="G22">
        <v>9293.58</v>
      </c>
      <c r="H22">
        <v>2565.2899999999995</v>
      </c>
      <c r="I22">
        <f t="shared" si="1"/>
        <v>314.14</v>
      </c>
      <c r="K22">
        <v>24</v>
      </c>
      <c r="L22" t="s">
        <v>947</v>
      </c>
      <c r="M22" t="s">
        <v>948</v>
      </c>
      <c r="N22">
        <v>-12.4</v>
      </c>
      <c r="O22">
        <v>-24.5</v>
      </c>
      <c r="P22">
        <v>9.5</v>
      </c>
      <c r="R22">
        <v>1976.04</v>
      </c>
      <c r="S22">
        <v>1948.6399999999999</v>
      </c>
      <c r="T22">
        <f t="shared" si="2"/>
        <v>1705.2399999999998</v>
      </c>
    </row>
    <row r="23" spans="1:20" x14ac:dyDescent="0.25">
      <c r="A23">
        <v>24</v>
      </c>
      <c r="B23" t="s">
        <v>947</v>
      </c>
      <c r="C23" t="s">
        <v>948</v>
      </c>
      <c r="E23">
        <v>24882.940000000002</v>
      </c>
      <c r="F23">
        <v>61446.32</v>
      </c>
      <c r="G23">
        <v>86329.260000000009</v>
      </c>
      <c r="H23">
        <v>25902.21</v>
      </c>
      <c r="I23">
        <f t="shared" si="1"/>
        <v>1705.2399999999998</v>
      </c>
      <c r="K23">
        <v>26</v>
      </c>
      <c r="L23" t="s">
        <v>1188</v>
      </c>
      <c r="M23" t="s">
        <v>952</v>
      </c>
      <c r="O23">
        <v>-30</v>
      </c>
      <c r="P23">
        <v>12</v>
      </c>
      <c r="R23">
        <v>1976.04</v>
      </c>
      <c r="S23">
        <v>1958.04</v>
      </c>
      <c r="T23">
        <f t="shared" si="2"/>
        <v>1656.84</v>
      </c>
    </row>
    <row r="24" spans="1:20" x14ac:dyDescent="0.25">
      <c r="A24">
        <v>26</v>
      </c>
      <c r="B24" t="s">
        <v>1188</v>
      </c>
      <c r="C24" t="s">
        <v>952</v>
      </c>
      <c r="D24">
        <v>165.55</v>
      </c>
      <c r="E24">
        <v>13500.7</v>
      </c>
      <c r="F24">
        <v>38087.230000000003</v>
      </c>
      <c r="G24">
        <v>51753.48</v>
      </c>
      <c r="H24">
        <v>14127.600000000002</v>
      </c>
      <c r="I24">
        <f t="shared" si="1"/>
        <v>1656.84</v>
      </c>
      <c r="K24">
        <v>28</v>
      </c>
      <c r="L24" t="s">
        <v>1189</v>
      </c>
      <c r="M24" t="s">
        <v>1190</v>
      </c>
      <c r="O24">
        <v>-27</v>
      </c>
      <c r="R24">
        <v>987.96</v>
      </c>
      <c r="S24">
        <v>960.96</v>
      </c>
      <c r="T24">
        <f t="shared" si="2"/>
        <v>782.76</v>
      </c>
    </row>
    <row r="25" spans="1:20" x14ac:dyDescent="0.25">
      <c r="A25">
        <v>28</v>
      </c>
      <c r="B25" t="s">
        <v>1189</v>
      </c>
      <c r="C25" t="s">
        <v>1190</v>
      </c>
      <c r="D25">
        <v>222</v>
      </c>
      <c r="E25">
        <v>18111.350000000002</v>
      </c>
      <c r="F25">
        <v>42607.28</v>
      </c>
      <c r="G25">
        <v>60940.630000000005</v>
      </c>
      <c r="H25">
        <v>18811.04</v>
      </c>
      <c r="I25">
        <f t="shared" si="1"/>
        <v>782.76</v>
      </c>
      <c r="K25">
        <v>29</v>
      </c>
      <c r="L25" t="s">
        <v>1043</v>
      </c>
      <c r="M25" t="s">
        <v>1044</v>
      </c>
      <c r="N25">
        <v>-3.8</v>
      </c>
      <c r="O25">
        <v>-22</v>
      </c>
      <c r="P25">
        <v>14</v>
      </c>
      <c r="R25">
        <v>1922.84</v>
      </c>
      <c r="S25">
        <v>1911.04</v>
      </c>
      <c r="T25">
        <f t="shared" si="2"/>
        <v>1645.4399999999998</v>
      </c>
    </row>
    <row r="26" spans="1:20" x14ac:dyDescent="0.25">
      <c r="A26">
        <v>29</v>
      </c>
      <c r="B26" t="s">
        <v>1043</v>
      </c>
      <c r="C26" t="s">
        <v>1044</v>
      </c>
      <c r="D26">
        <v>867.6</v>
      </c>
      <c r="E26">
        <v>30752.240000000005</v>
      </c>
      <c r="F26">
        <v>71102.789999999994</v>
      </c>
      <c r="G26">
        <v>102722.63</v>
      </c>
      <c r="H26">
        <v>31924.149999999998</v>
      </c>
      <c r="I26">
        <f t="shared" si="1"/>
        <v>1645.4399999999998</v>
      </c>
      <c r="K26">
        <v>30</v>
      </c>
      <c r="L26" t="s">
        <v>1191</v>
      </c>
      <c r="M26" t="s">
        <v>1192</v>
      </c>
      <c r="O26">
        <v>-1</v>
      </c>
      <c r="R26">
        <v>329.34</v>
      </c>
      <c r="S26">
        <v>328.34</v>
      </c>
      <c r="T26">
        <f t="shared" si="2"/>
        <v>321.73999999999995</v>
      </c>
    </row>
    <row r="27" spans="1:20" x14ac:dyDescent="0.25">
      <c r="A27">
        <v>30</v>
      </c>
      <c r="B27" t="s">
        <v>1191</v>
      </c>
      <c r="C27" t="s">
        <v>1192</v>
      </c>
      <c r="E27">
        <v>13013.740000000002</v>
      </c>
      <c r="F27">
        <v>31392.38</v>
      </c>
      <c r="G27">
        <v>44406.12</v>
      </c>
      <c r="H27">
        <v>18378.239999999998</v>
      </c>
      <c r="I27">
        <f t="shared" si="1"/>
        <v>321.73999999999995</v>
      </c>
      <c r="K27">
        <v>31</v>
      </c>
      <c r="L27" t="s">
        <v>955</v>
      </c>
      <c r="M27" t="s">
        <v>925</v>
      </c>
      <c r="O27">
        <v>-24</v>
      </c>
      <c r="P27">
        <v>12.5</v>
      </c>
      <c r="R27">
        <v>1976.04</v>
      </c>
      <c r="S27">
        <v>1964.54</v>
      </c>
      <c r="T27">
        <f t="shared" si="2"/>
        <v>1698.6399999999999</v>
      </c>
    </row>
    <row r="28" spans="1:20" x14ac:dyDescent="0.25">
      <c r="A28">
        <v>31</v>
      </c>
      <c r="B28" t="s">
        <v>955</v>
      </c>
      <c r="C28" t="s">
        <v>925</v>
      </c>
      <c r="E28">
        <v>13812.83</v>
      </c>
      <c r="F28">
        <v>38311.83</v>
      </c>
      <c r="G28">
        <v>52124.66</v>
      </c>
      <c r="H28">
        <v>14443.43</v>
      </c>
      <c r="I28">
        <f t="shared" si="1"/>
        <v>1698.6399999999999</v>
      </c>
      <c r="K28">
        <v>32</v>
      </c>
      <c r="L28" t="s">
        <v>958</v>
      </c>
      <c r="M28" t="s">
        <v>959</v>
      </c>
      <c r="N28">
        <v>-30.4</v>
      </c>
      <c r="O28">
        <v>-27.5</v>
      </c>
      <c r="P28">
        <v>12</v>
      </c>
      <c r="R28">
        <v>1976.04</v>
      </c>
      <c r="S28">
        <v>1930.1399999999999</v>
      </c>
      <c r="T28">
        <f t="shared" si="2"/>
        <v>1645.4399999999998</v>
      </c>
    </row>
    <row r="29" spans="1:20" x14ac:dyDescent="0.25">
      <c r="A29">
        <v>32</v>
      </c>
      <c r="B29" t="s">
        <v>958</v>
      </c>
      <c r="C29" t="s">
        <v>959</v>
      </c>
      <c r="E29">
        <v>22990.989999999998</v>
      </c>
      <c r="F29">
        <v>56665.37</v>
      </c>
      <c r="G29">
        <v>79656.36</v>
      </c>
      <c r="H29">
        <v>23934.629999999997</v>
      </c>
      <c r="I29">
        <f t="shared" si="1"/>
        <v>1645.4399999999998</v>
      </c>
      <c r="K29">
        <v>33</v>
      </c>
      <c r="L29" t="s">
        <v>962</v>
      </c>
      <c r="M29" t="s">
        <v>963</v>
      </c>
      <c r="N29">
        <v>-7.6</v>
      </c>
      <c r="O29">
        <v>-35</v>
      </c>
      <c r="P29">
        <v>12</v>
      </c>
      <c r="R29">
        <v>1976.04</v>
      </c>
      <c r="S29">
        <v>1945.44</v>
      </c>
      <c r="T29">
        <f t="shared" si="2"/>
        <v>1611.24</v>
      </c>
    </row>
    <row r="30" spans="1:20" x14ac:dyDescent="0.25">
      <c r="A30">
        <v>33</v>
      </c>
      <c r="B30" t="s">
        <v>962</v>
      </c>
      <c r="C30" t="s">
        <v>963</v>
      </c>
      <c r="E30">
        <v>13814.29</v>
      </c>
      <c r="F30">
        <v>38315.9</v>
      </c>
      <c r="G30">
        <v>52130.19</v>
      </c>
      <c r="H30">
        <v>14444.98</v>
      </c>
      <c r="I30">
        <f t="shared" si="1"/>
        <v>1611.24</v>
      </c>
      <c r="K30">
        <v>34</v>
      </c>
      <c r="L30" t="s">
        <v>966</v>
      </c>
      <c r="M30" t="s">
        <v>943</v>
      </c>
      <c r="O30">
        <v>-30.5</v>
      </c>
      <c r="P30">
        <v>12</v>
      </c>
      <c r="R30">
        <v>1960.84</v>
      </c>
      <c r="S30">
        <v>1942.34</v>
      </c>
      <c r="T30">
        <f t="shared" si="2"/>
        <v>1637.84</v>
      </c>
    </row>
    <row r="31" spans="1:20" x14ac:dyDescent="0.25">
      <c r="A31">
        <v>34</v>
      </c>
      <c r="B31" t="s">
        <v>966</v>
      </c>
      <c r="C31" t="s">
        <v>943</v>
      </c>
      <c r="E31">
        <v>12536.34</v>
      </c>
      <c r="F31">
        <v>36818.67</v>
      </c>
      <c r="G31">
        <v>49355.009999999995</v>
      </c>
      <c r="H31">
        <v>13142.329999999998</v>
      </c>
      <c r="I31">
        <f t="shared" si="1"/>
        <v>1637.84</v>
      </c>
      <c r="K31">
        <v>35</v>
      </c>
      <c r="L31" t="s">
        <v>970</v>
      </c>
      <c r="M31" t="s">
        <v>971</v>
      </c>
      <c r="O31">
        <v>-32</v>
      </c>
      <c r="P31">
        <v>12</v>
      </c>
      <c r="R31">
        <v>1846.84</v>
      </c>
      <c r="S31">
        <v>1826.84</v>
      </c>
      <c r="T31">
        <f t="shared" si="2"/>
        <v>1512.4399999999998</v>
      </c>
    </row>
    <row r="32" spans="1:20" x14ac:dyDescent="0.25">
      <c r="A32">
        <v>35</v>
      </c>
      <c r="B32" t="s">
        <v>970</v>
      </c>
      <c r="C32" t="s">
        <v>971</v>
      </c>
      <c r="E32">
        <v>13591.119999999999</v>
      </c>
      <c r="F32">
        <v>38778.019999999997</v>
      </c>
      <c r="G32">
        <v>52369.14</v>
      </c>
      <c r="H32">
        <v>14229.429999999998</v>
      </c>
      <c r="I32">
        <f t="shared" si="1"/>
        <v>1512.4399999999998</v>
      </c>
      <c r="K32">
        <v>36</v>
      </c>
      <c r="L32" t="s">
        <v>973</v>
      </c>
      <c r="M32" t="s">
        <v>974</v>
      </c>
      <c r="O32">
        <v>-24</v>
      </c>
      <c r="P32">
        <v>4</v>
      </c>
      <c r="R32">
        <v>1953.24</v>
      </c>
      <c r="S32">
        <v>1933.24</v>
      </c>
      <c r="T32">
        <f t="shared" si="2"/>
        <v>1740.44</v>
      </c>
    </row>
    <row r="33" spans="1:20" x14ac:dyDescent="0.25">
      <c r="A33">
        <v>36</v>
      </c>
      <c r="B33" t="s">
        <v>973</v>
      </c>
      <c r="C33" t="s">
        <v>974</v>
      </c>
      <c r="E33">
        <v>57971.85</v>
      </c>
      <c r="F33">
        <v>138740.99</v>
      </c>
      <c r="G33">
        <v>196712.84</v>
      </c>
      <c r="H33">
        <v>60213.909999999996</v>
      </c>
      <c r="I33">
        <f t="shared" si="1"/>
        <v>1740.44</v>
      </c>
      <c r="K33">
        <v>37</v>
      </c>
      <c r="L33" t="s">
        <v>978</v>
      </c>
      <c r="M33" t="s">
        <v>979</v>
      </c>
      <c r="O33">
        <v>-30</v>
      </c>
      <c r="P33">
        <v>12</v>
      </c>
      <c r="R33">
        <v>1968.44</v>
      </c>
      <c r="S33">
        <v>1950.44</v>
      </c>
      <c r="T33">
        <f t="shared" si="2"/>
        <v>1649.24</v>
      </c>
    </row>
    <row r="34" spans="1:20" x14ac:dyDescent="0.25">
      <c r="A34">
        <v>37</v>
      </c>
      <c r="B34" t="s">
        <v>978</v>
      </c>
      <c r="C34" t="s">
        <v>979</v>
      </c>
      <c r="E34">
        <v>40948.959999999999</v>
      </c>
      <c r="F34">
        <v>96673.07</v>
      </c>
      <c r="G34">
        <v>137622.03</v>
      </c>
      <c r="H34">
        <v>42525.479999999996</v>
      </c>
      <c r="I34">
        <f t="shared" si="1"/>
        <v>1649.24</v>
      </c>
      <c r="K34">
        <v>38</v>
      </c>
      <c r="L34" t="s">
        <v>1193</v>
      </c>
      <c r="M34" t="s">
        <v>984</v>
      </c>
      <c r="O34">
        <v>-27.5</v>
      </c>
      <c r="P34">
        <v>12</v>
      </c>
      <c r="R34">
        <v>1976.04</v>
      </c>
      <c r="S34">
        <v>1960.54</v>
      </c>
      <c r="T34">
        <f t="shared" si="2"/>
        <v>1675.84</v>
      </c>
    </row>
    <row r="35" spans="1:20" x14ac:dyDescent="0.25">
      <c r="A35">
        <v>38</v>
      </c>
      <c r="B35" t="s">
        <v>1193</v>
      </c>
      <c r="C35" t="s">
        <v>984</v>
      </c>
      <c r="D35">
        <v>222</v>
      </c>
      <c r="E35">
        <v>13613.800000000001</v>
      </c>
      <c r="F35">
        <v>38855.14</v>
      </c>
      <c r="G35">
        <v>52690.94</v>
      </c>
      <c r="H35">
        <v>14253.380000000001</v>
      </c>
      <c r="I35">
        <f t="shared" si="1"/>
        <v>1675.84</v>
      </c>
      <c r="K35">
        <v>39</v>
      </c>
      <c r="L35" t="s">
        <v>1194</v>
      </c>
      <c r="M35" t="s">
        <v>1195</v>
      </c>
      <c r="O35">
        <v>-28</v>
      </c>
      <c r="P35">
        <v>12</v>
      </c>
      <c r="R35">
        <v>1960.84</v>
      </c>
      <c r="S35">
        <v>1944.84</v>
      </c>
      <c r="T35">
        <f t="shared" si="2"/>
        <v>1656.84</v>
      </c>
    </row>
    <row r="36" spans="1:20" x14ac:dyDescent="0.25">
      <c r="A36">
        <v>39</v>
      </c>
      <c r="B36" t="s">
        <v>1194</v>
      </c>
      <c r="C36" t="s">
        <v>1195</v>
      </c>
      <c r="E36">
        <v>19946.900000000001</v>
      </c>
      <c r="F36">
        <v>48974.5</v>
      </c>
      <c r="G36">
        <v>68921.399999999994</v>
      </c>
      <c r="H36">
        <v>20768.829999999998</v>
      </c>
      <c r="I36">
        <f t="shared" si="1"/>
        <v>1656.84</v>
      </c>
      <c r="K36">
        <v>40</v>
      </c>
      <c r="L36" t="s">
        <v>987</v>
      </c>
      <c r="M36" t="s">
        <v>988</v>
      </c>
      <c r="O36">
        <v>-24</v>
      </c>
      <c r="R36">
        <v>991.69</v>
      </c>
      <c r="S36">
        <v>967.69</v>
      </c>
      <c r="T36">
        <f t="shared" si="2"/>
        <v>809.29000000000008</v>
      </c>
    </row>
    <row r="37" spans="1:20" x14ac:dyDescent="0.25">
      <c r="A37">
        <v>40</v>
      </c>
      <c r="B37" t="s">
        <v>987</v>
      </c>
      <c r="C37" t="s">
        <v>988</v>
      </c>
      <c r="E37">
        <v>417.73</v>
      </c>
      <c r="F37">
        <v>7716.54</v>
      </c>
      <c r="G37">
        <v>8134.27</v>
      </c>
      <c r="H37">
        <v>544.72000000000014</v>
      </c>
      <c r="I37">
        <f t="shared" si="1"/>
        <v>809.29000000000008</v>
      </c>
      <c r="K37">
        <v>41</v>
      </c>
      <c r="L37" t="s">
        <v>992</v>
      </c>
      <c r="M37" t="s">
        <v>993</v>
      </c>
      <c r="O37">
        <v>-16.5</v>
      </c>
      <c r="P37">
        <v>7</v>
      </c>
      <c r="R37">
        <v>1442.26</v>
      </c>
      <c r="S37">
        <v>1432.76</v>
      </c>
      <c r="T37">
        <f t="shared" si="2"/>
        <v>1263.6599999999999</v>
      </c>
    </row>
    <row r="38" spans="1:20" x14ac:dyDescent="0.25">
      <c r="A38">
        <v>41</v>
      </c>
      <c r="B38" t="s">
        <v>992</v>
      </c>
      <c r="C38" t="s">
        <v>993</v>
      </c>
      <c r="D38">
        <v>124</v>
      </c>
      <c r="E38">
        <v>9597.7599999999984</v>
      </c>
      <c r="F38">
        <v>27357.07</v>
      </c>
      <c r="G38">
        <v>37078.83</v>
      </c>
      <c r="H38">
        <v>10048.049999999999</v>
      </c>
      <c r="I38">
        <f t="shared" si="1"/>
        <v>1263.6599999999999</v>
      </c>
      <c r="K38">
        <v>42</v>
      </c>
      <c r="L38" t="s">
        <v>996</v>
      </c>
      <c r="M38" t="s">
        <v>997</v>
      </c>
      <c r="O38">
        <v>-26.5</v>
      </c>
      <c r="P38">
        <v>13.5</v>
      </c>
      <c r="R38">
        <v>1960.84</v>
      </c>
      <c r="S38">
        <v>1947.84</v>
      </c>
      <c r="T38">
        <f t="shared" si="2"/>
        <v>1656.8400000000001</v>
      </c>
    </row>
    <row r="39" spans="1:20" x14ac:dyDescent="0.25">
      <c r="A39">
        <v>42</v>
      </c>
      <c r="B39" t="s">
        <v>996</v>
      </c>
      <c r="C39" t="s">
        <v>997</v>
      </c>
      <c r="D39">
        <v>915.1</v>
      </c>
      <c r="E39">
        <v>15696.449999999999</v>
      </c>
      <c r="F39">
        <v>45370.13</v>
      </c>
      <c r="G39">
        <v>61981.679999999993</v>
      </c>
      <c r="H39">
        <v>16459.59</v>
      </c>
      <c r="I39">
        <f t="shared" si="1"/>
        <v>1656.8400000000001</v>
      </c>
      <c r="K39">
        <v>43</v>
      </c>
      <c r="L39" t="s">
        <v>1000</v>
      </c>
      <c r="M39" t="s">
        <v>1001</v>
      </c>
      <c r="O39">
        <v>-7</v>
      </c>
      <c r="R39">
        <v>76</v>
      </c>
      <c r="S39">
        <v>69</v>
      </c>
      <c r="T39">
        <f t="shared" si="2"/>
        <v>22.800000000000004</v>
      </c>
    </row>
    <row r="40" spans="1:20" x14ac:dyDescent="0.25">
      <c r="A40">
        <v>43</v>
      </c>
      <c r="B40" t="s">
        <v>1000</v>
      </c>
      <c r="C40" t="s">
        <v>1001</v>
      </c>
      <c r="E40">
        <v>2489.1800000000003</v>
      </c>
      <c r="F40">
        <v>6077.96</v>
      </c>
      <c r="G40">
        <v>8567.14</v>
      </c>
      <c r="H40">
        <v>2645.6900000000005</v>
      </c>
      <c r="I40">
        <f t="shared" si="1"/>
        <v>22.800000000000004</v>
      </c>
      <c r="K40">
        <v>44</v>
      </c>
      <c r="L40" t="s">
        <v>1005</v>
      </c>
      <c r="M40" t="s">
        <v>1006</v>
      </c>
      <c r="O40">
        <v>-5.5</v>
      </c>
      <c r="P40">
        <v>7</v>
      </c>
      <c r="R40">
        <v>544.67999999999995</v>
      </c>
      <c r="S40">
        <v>546.17999999999995</v>
      </c>
      <c r="T40">
        <f t="shared" si="2"/>
        <v>449.67999999999995</v>
      </c>
    </row>
    <row r="41" spans="1:20" x14ac:dyDescent="0.25">
      <c r="A41">
        <v>44</v>
      </c>
      <c r="B41" t="s">
        <v>1005</v>
      </c>
      <c r="C41" t="s">
        <v>1006</v>
      </c>
      <c r="D41">
        <v>177.6</v>
      </c>
      <c r="E41">
        <v>7947.4299999999994</v>
      </c>
      <c r="F41">
        <v>19283.740000000002</v>
      </c>
      <c r="G41">
        <v>27408.77</v>
      </c>
      <c r="H41">
        <v>8457.6999999999989</v>
      </c>
      <c r="I41">
        <f t="shared" si="1"/>
        <v>449.67999999999995</v>
      </c>
      <c r="K41">
        <v>45</v>
      </c>
      <c r="L41" t="s">
        <v>1196</v>
      </c>
      <c r="M41" t="s">
        <v>1197</v>
      </c>
      <c r="O41">
        <v>-12</v>
      </c>
      <c r="P41">
        <v>2</v>
      </c>
      <c r="R41">
        <v>1041.22</v>
      </c>
      <c r="S41">
        <v>1031.22</v>
      </c>
      <c r="T41">
        <f t="shared" si="2"/>
        <v>934.81999999999994</v>
      </c>
    </row>
    <row r="42" spans="1:20" x14ac:dyDescent="0.25">
      <c r="A42">
        <v>45</v>
      </c>
      <c r="B42" t="s">
        <v>1196</v>
      </c>
      <c r="C42" t="s">
        <v>1197</v>
      </c>
      <c r="D42">
        <v>483.59999999999997</v>
      </c>
      <c r="E42">
        <v>10736</v>
      </c>
      <c r="F42">
        <v>26326.86</v>
      </c>
      <c r="G42">
        <v>37546.46</v>
      </c>
      <c r="H42">
        <v>11177.130000000001</v>
      </c>
      <c r="I42">
        <f t="shared" si="1"/>
        <v>934.81999999999994</v>
      </c>
      <c r="K42">
        <v>46</v>
      </c>
      <c r="L42" t="s">
        <v>1010</v>
      </c>
      <c r="M42" t="s">
        <v>1011</v>
      </c>
      <c r="N42">
        <v>-45.6</v>
      </c>
      <c r="O42">
        <v>-33</v>
      </c>
      <c r="P42">
        <v>5</v>
      </c>
      <c r="R42">
        <v>1416.11</v>
      </c>
      <c r="S42">
        <v>1342.51</v>
      </c>
      <c r="T42">
        <f t="shared" si="2"/>
        <v>1081.71</v>
      </c>
    </row>
    <row r="43" spans="1:20" x14ac:dyDescent="0.25">
      <c r="A43">
        <v>46</v>
      </c>
      <c r="B43" t="s">
        <v>1010</v>
      </c>
      <c r="C43" t="s">
        <v>1011</v>
      </c>
      <c r="E43">
        <v>16538.34</v>
      </c>
      <c r="F43">
        <v>40454.120000000003</v>
      </c>
      <c r="G43">
        <v>56992.460000000006</v>
      </c>
      <c r="H43">
        <v>17219.060000000001</v>
      </c>
      <c r="I43">
        <f t="shared" si="1"/>
        <v>1081.71</v>
      </c>
      <c r="K43">
        <v>48</v>
      </c>
      <c r="L43" t="s">
        <v>1019</v>
      </c>
      <c r="M43" t="s">
        <v>1020</v>
      </c>
      <c r="O43">
        <v>-5</v>
      </c>
      <c r="P43">
        <v>3</v>
      </c>
      <c r="R43">
        <v>405.34</v>
      </c>
      <c r="S43">
        <v>403.34</v>
      </c>
      <c r="T43">
        <f t="shared" si="2"/>
        <v>344.53999999999996</v>
      </c>
    </row>
    <row r="44" spans="1:20" s="467" customFormat="1" x14ac:dyDescent="0.25">
      <c r="A44" s="467">
        <v>48</v>
      </c>
      <c r="B44" s="467" t="s">
        <v>1019</v>
      </c>
      <c r="C44" s="467" t="s">
        <v>1020</v>
      </c>
      <c r="D44" s="467">
        <v>133.19999999999999</v>
      </c>
      <c r="E44" s="467">
        <v>4338.5200000000004</v>
      </c>
      <c r="F44" s="467">
        <v>10674.95</v>
      </c>
      <c r="G44" s="467">
        <v>15146.670000000002</v>
      </c>
      <c r="H44" s="467">
        <v>4623.7699999999995</v>
      </c>
      <c r="I44" s="467">
        <f t="shared" si="1"/>
        <v>344.53999999999996</v>
      </c>
      <c r="K44" s="467">
        <v>49</v>
      </c>
      <c r="L44" s="467" t="s">
        <v>1198</v>
      </c>
      <c r="M44" s="467" t="s">
        <v>1199</v>
      </c>
      <c r="O44" s="467">
        <v>-17.5</v>
      </c>
      <c r="P44" s="467">
        <v>6</v>
      </c>
      <c r="Q44" s="467">
        <v>175.5</v>
      </c>
      <c r="S44" s="467">
        <v>164</v>
      </c>
      <c r="T44" s="467">
        <f>IF(ISBLANK(R44),Q44*8,R44+N44+O44*7.6-P44*7.6)</f>
        <v>1404</v>
      </c>
    </row>
    <row r="45" spans="1:20" x14ac:dyDescent="0.25">
      <c r="A45">
        <v>49</v>
      </c>
      <c r="B45" t="s">
        <v>1198</v>
      </c>
      <c r="C45" t="s">
        <v>1199</v>
      </c>
      <c r="E45">
        <v>33862.619999999995</v>
      </c>
      <c r="F45">
        <v>79172.740000000005</v>
      </c>
      <c r="G45">
        <v>113035.36</v>
      </c>
      <c r="H45">
        <v>35162.29</v>
      </c>
      <c r="I45">
        <f t="shared" si="1"/>
        <v>1404</v>
      </c>
      <c r="K45">
        <v>50</v>
      </c>
      <c r="L45" t="s">
        <v>1029</v>
      </c>
      <c r="M45" t="s">
        <v>1030</v>
      </c>
      <c r="O45">
        <v>-12.5</v>
      </c>
      <c r="P45">
        <v>12.5</v>
      </c>
      <c r="R45">
        <v>1976.04</v>
      </c>
      <c r="S45">
        <v>1976.04</v>
      </c>
      <c r="T45">
        <f>IF(ISBLANK(R45),Q45*8,R45+N45+O45*7.6-P45*7.6)</f>
        <v>1786.04</v>
      </c>
    </row>
    <row r="46" spans="1:20" x14ac:dyDescent="0.25">
      <c r="A46">
        <v>50</v>
      </c>
      <c r="B46" t="s">
        <v>1029</v>
      </c>
      <c r="C46" t="s">
        <v>1030</v>
      </c>
      <c r="D46">
        <v>819.6</v>
      </c>
      <c r="E46">
        <v>23101.09</v>
      </c>
      <c r="F46">
        <v>56944.02</v>
      </c>
      <c r="G46">
        <v>80864.709999999992</v>
      </c>
      <c r="H46">
        <v>24267.360000000001</v>
      </c>
      <c r="I46">
        <f t="shared" si="1"/>
        <v>1786.04</v>
      </c>
      <c r="K46">
        <v>51</v>
      </c>
      <c r="L46" t="s">
        <v>1034</v>
      </c>
      <c r="M46" t="s">
        <v>1035</v>
      </c>
      <c r="O46">
        <v>-4</v>
      </c>
      <c r="R46">
        <v>481.34</v>
      </c>
      <c r="S46">
        <v>477.34</v>
      </c>
      <c r="T46">
        <f>IF(ISBLANK(R46),Q46*8,R46+N46+O46*7.6-P46*7.6)</f>
        <v>450.94</v>
      </c>
    </row>
    <row r="47" spans="1:20" s="467" customFormat="1" x14ac:dyDescent="0.25">
      <c r="A47" s="467">
        <v>51</v>
      </c>
      <c r="B47" s="467" t="s">
        <v>1034</v>
      </c>
      <c r="C47" s="467" t="s">
        <v>1035</v>
      </c>
      <c r="E47" s="467">
        <v>6103.7500000000009</v>
      </c>
      <c r="F47" s="467">
        <v>15076.95</v>
      </c>
      <c r="G47" s="467">
        <v>21180.7</v>
      </c>
      <c r="H47" s="467">
        <v>6504.45</v>
      </c>
      <c r="I47" s="467">
        <f t="shared" si="1"/>
        <v>450.94</v>
      </c>
      <c r="K47" s="467">
        <v>53</v>
      </c>
      <c r="L47" s="467" t="s">
        <v>1200</v>
      </c>
      <c r="M47" s="467" t="s">
        <v>1201</v>
      </c>
      <c r="O47" s="467">
        <v>-21.5</v>
      </c>
      <c r="P47" s="467">
        <v>5.5</v>
      </c>
      <c r="Q47" s="467">
        <v>187</v>
      </c>
      <c r="S47" s="467">
        <v>171</v>
      </c>
      <c r="T47" s="467">
        <f>IF(ISBLANK(R47),Q47*8,R47+N47+O47*7.6-P47*7.6)</f>
        <v>1496</v>
      </c>
    </row>
    <row r="48" spans="1:20" s="460" customFormat="1" x14ac:dyDescent="0.25">
      <c r="A48" s="460">
        <v>53</v>
      </c>
      <c r="B48" s="460" t="s">
        <v>1200</v>
      </c>
      <c r="C48" s="460" t="s">
        <v>1201</v>
      </c>
      <c r="E48" s="460">
        <v>25850.07</v>
      </c>
      <c r="F48" s="460">
        <v>59393.65</v>
      </c>
      <c r="G48" s="460">
        <v>85243.72</v>
      </c>
      <c r="H48" s="460">
        <v>26836.879999999997</v>
      </c>
      <c r="I48" s="460">
        <f t="shared" si="1"/>
        <v>1496</v>
      </c>
      <c r="K48" s="460">
        <v>54</v>
      </c>
      <c r="L48" s="460" t="s">
        <v>1038</v>
      </c>
      <c r="M48" s="460" t="s">
        <v>901</v>
      </c>
      <c r="O48" s="460">
        <v>-19</v>
      </c>
      <c r="R48" s="460">
        <v>1206.3599999999999</v>
      </c>
      <c r="S48" s="460">
        <v>1187.3599999999999</v>
      </c>
      <c r="T48" s="460">
        <f>IF(ISBLANK(R48),Q48*8,R48+N48+O48*7)</f>
        <v>1073.3599999999999</v>
      </c>
    </row>
    <row r="49" spans="1:20" s="460" customFormat="1" x14ac:dyDescent="0.25">
      <c r="A49" s="460">
        <v>54</v>
      </c>
      <c r="B49" s="460" t="s">
        <v>1038</v>
      </c>
      <c r="C49" s="460" t="s">
        <v>901</v>
      </c>
      <c r="D49" s="460">
        <v>354.40000000000003</v>
      </c>
      <c r="E49" s="460">
        <v>167.44000000000005</v>
      </c>
      <c r="F49" s="460">
        <v>7934.12</v>
      </c>
      <c r="G49" s="460">
        <v>8455.9599999999991</v>
      </c>
      <c r="H49" s="460">
        <v>298.04000000000025</v>
      </c>
      <c r="I49" s="460">
        <f t="shared" si="1"/>
        <v>1073.3599999999999</v>
      </c>
      <c r="K49" s="460">
        <v>55</v>
      </c>
      <c r="L49" s="460" t="s">
        <v>1041</v>
      </c>
      <c r="M49" s="460" t="s">
        <v>1202</v>
      </c>
      <c r="O49" s="460">
        <v>-19</v>
      </c>
      <c r="R49" s="460">
        <v>1192.3599999999999</v>
      </c>
      <c r="S49" s="460">
        <v>1173.3599999999999</v>
      </c>
      <c r="T49" s="460">
        <f>IF(ISBLANK(R49),Q49,R49+N49+O49*7)</f>
        <v>1059.3599999999999</v>
      </c>
    </row>
    <row r="50" spans="1:20" s="196" customFormat="1" x14ac:dyDescent="0.25">
      <c r="A50" s="196">
        <v>55</v>
      </c>
      <c r="B50" s="196" t="s">
        <v>1041</v>
      </c>
      <c r="C50" s="196" t="s">
        <v>1202</v>
      </c>
      <c r="D50" s="196">
        <v>278.89999999999998</v>
      </c>
      <c r="E50" s="196">
        <v>165.50000000000011</v>
      </c>
      <c r="F50" s="196">
        <v>7840.63</v>
      </c>
      <c r="G50" s="196">
        <v>8285.0300000000007</v>
      </c>
      <c r="H50" s="196">
        <v>294.55999999999983</v>
      </c>
      <c r="I50" s="196">
        <f t="shared" si="1"/>
        <v>1059.3599999999999</v>
      </c>
      <c r="K50" s="196">
        <v>56</v>
      </c>
      <c r="L50" s="196" t="s">
        <v>1203</v>
      </c>
      <c r="M50" s="196" t="s">
        <v>1204</v>
      </c>
      <c r="R50" s="196">
        <v>635.88</v>
      </c>
      <c r="S50" s="196">
        <v>635.88</v>
      </c>
      <c r="T50" s="196">
        <f>IF(ISBLANK(R50),Q50,R50+N50+O50*7.6-P50*7.6)</f>
        <v>635.88</v>
      </c>
    </row>
    <row r="51" spans="1:20" x14ac:dyDescent="0.25">
      <c r="A51">
        <v>56</v>
      </c>
      <c r="B51" t="s">
        <v>1203</v>
      </c>
      <c r="C51" t="s">
        <v>1204</v>
      </c>
      <c r="D51">
        <v>334.1</v>
      </c>
      <c r="E51">
        <v>10724.35</v>
      </c>
      <c r="F51">
        <v>25472.84</v>
      </c>
      <c r="G51">
        <v>36531.29</v>
      </c>
      <c r="H51">
        <v>11143.039999999999</v>
      </c>
      <c r="I51">
        <f t="shared" si="1"/>
        <v>635.88</v>
      </c>
      <c r="K51">
        <v>57</v>
      </c>
      <c r="L51" t="s">
        <v>1205</v>
      </c>
      <c r="M51" t="s">
        <v>1206</v>
      </c>
      <c r="R51">
        <v>389.67</v>
      </c>
      <c r="S51">
        <v>389.67</v>
      </c>
      <c r="T51">
        <f>IF(ISBLANK(R51),Q51*8,R51+N51+O51*7.6-P51*7.6)</f>
        <v>389.67</v>
      </c>
    </row>
    <row r="52" spans="1:20" x14ac:dyDescent="0.25">
      <c r="A52">
        <v>57</v>
      </c>
      <c r="B52" t="s">
        <v>1205</v>
      </c>
      <c r="C52" t="s">
        <v>1206</v>
      </c>
      <c r="D52">
        <v>88.8</v>
      </c>
      <c r="F52">
        <v>1695.06</v>
      </c>
      <c r="G52">
        <v>1783.86</v>
      </c>
      <c r="I52">
        <f t="shared" si="1"/>
        <v>389.67</v>
      </c>
      <c r="K52">
        <v>58</v>
      </c>
      <c r="L52" t="s">
        <v>1207</v>
      </c>
      <c r="M52" t="s">
        <v>1208</v>
      </c>
      <c r="O52">
        <v>-3.5</v>
      </c>
      <c r="P52">
        <v>7.5</v>
      </c>
      <c r="R52">
        <v>1071.6199999999999</v>
      </c>
      <c r="S52">
        <v>1075.6199999999999</v>
      </c>
      <c r="T52">
        <f>IF(ISBLANK(R52),Q52*8,R52+N52+O52*7.6-P52*7.6)</f>
        <v>988.02</v>
      </c>
    </row>
    <row r="53" spans="1:20" x14ac:dyDescent="0.25">
      <c r="A53">
        <v>58</v>
      </c>
      <c r="B53" t="s">
        <v>1207</v>
      </c>
      <c r="C53" t="s">
        <v>1208</v>
      </c>
      <c r="E53">
        <v>6361.7899999999991</v>
      </c>
      <c r="F53">
        <v>18490.8</v>
      </c>
      <c r="G53">
        <v>24852.589999999997</v>
      </c>
      <c r="H53">
        <v>6850.9799999999987</v>
      </c>
      <c r="I53">
        <f t="shared" si="1"/>
        <v>988.02</v>
      </c>
      <c r="K53">
        <v>59</v>
      </c>
      <c r="L53" t="s">
        <v>1209</v>
      </c>
      <c r="M53" t="s">
        <v>1210</v>
      </c>
      <c r="O53">
        <v>-5.5</v>
      </c>
      <c r="P53">
        <v>6</v>
      </c>
      <c r="R53">
        <v>1114.69</v>
      </c>
      <c r="S53">
        <v>1115.19</v>
      </c>
      <c r="T53">
        <f>IF(ISBLANK(R53),Q53*8,R53+N53+O53*7.6-P53*7.6)</f>
        <v>1027.2900000000002</v>
      </c>
    </row>
    <row r="54" spans="1:20" x14ac:dyDescent="0.25">
      <c r="A54">
        <v>59</v>
      </c>
      <c r="B54" t="s">
        <v>1209</v>
      </c>
      <c r="C54" t="s">
        <v>1210</v>
      </c>
      <c r="E54">
        <v>19003.060000000005</v>
      </c>
      <c r="F54">
        <v>45128.26</v>
      </c>
      <c r="G54">
        <v>64131.320000000007</v>
      </c>
      <c r="H54">
        <v>19743.71</v>
      </c>
      <c r="I54">
        <f t="shared" si="1"/>
        <v>1027.2900000000002</v>
      </c>
      <c r="K54">
        <v>60</v>
      </c>
      <c r="L54" t="s">
        <v>966</v>
      </c>
      <c r="M54" t="s">
        <v>1211</v>
      </c>
      <c r="N54">
        <v>-7.6</v>
      </c>
      <c r="R54">
        <v>164.67</v>
      </c>
      <c r="S54">
        <v>157.07</v>
      </c>
      <c r="T54">
        <f>IF(ISBLANK(R54),Q54*8,R54+N54+O54*7.6-P54*7.6)</f>
        <v>157.07</v>
      </c>
    </row>
    <row r="55" spans="1:20" s="460" customFormat="1" x14ac:dyDescent="0.25">
      <c r="A55" s="460">
        <v>60</v>
      </c>
      <c r="B55" s="460" t="s">
        <v>966</v>
      </c>
      <c r="C55" s="460" t="s">
        <v>1211</v>
      </c>
      <c r="E55" s="460">
        <v>1190.03</v>
      </c>
      <c r="F55" s="460">
        <v>3399.94</v>
      </c>
      <c r="G55" s="460">
        <v>4589.97</v>
      </c>
      <c r="H55" s="460">
        <v>1279.99</v>
      </c>
      <c r="I55" s="460">
        <f t="shared" si="1"/>
        <v>157.07</v>
      </c>
      <c r="K55" s="460">
        <v>61</v>
      </c>
      <c r="L55" s="460" t="s">
        <v>1212</v>
      </c>
      <c r="M55" s="460" t="s">
        <v>1213</v>
      </c>
      <c r="O55" s="460">
        <v>-2</v>
      </c>
      <c r="R55" s="460">
        <v>606.67999999999995</v>
      </c>
      <c r="S55" s="460">
        <v>604.67999999999995</v>
      </c>
      <c r="T55" s="460">
        <f>IF(ISBLANK(R55),Q55,R55+N55+O55*7)</f>
        <v>592.67999999999995</v>
      </c>
    </row>
    <row r="56" spans="1:20" s="460" customFormat="1" x14ac:dyDescent="0.25">
      <c r="A56" s="460">
        <v>61</v>
      </c>
      <c r="B56" s="460" t="s">
        <v>1212</v>
      </c>
      <c r="C56" s="460" t="s">
        <v>1213</v>
      </c>
      <c r="D56" s="460">
        <v>113.6</v>
      </c>
      <c r="E56" s="460">
        <v>230.88999999999982</v>
      </c>
      <c r="F56" s="460">
        <v>4828.92</v>
      </c>
      <c r="G56" s="460">
        <v>5173.41</v>
      </c>
      <c r="H56" s="460">
        <v>310.37000000000006</v>
      </c>
      <c r="I56" s="460">
        <f t="shared" si="1"/>
        <v>592.67999999999995</v>
      </c>
      <c r="K56" s="460">
        <v>62</v>
      </c>
      <c r="L56" s="460" t="s">
        <v>1214</v>
      </c>
      <c r="M56" s="460" t="s">
        <v>1215</v>
      </c>
      <c r="O56" s="460">
        <v>-5</v>
      </c>
      <c r="R56" s="460">
        <v>606.67999999999995</v>
      </c>
      <c r="S56" s="460">
        <v>601.67999999999995</v>
      </c>
      <c r="T56" s="460">
        <f>IF(ISBLANK(R56),Q56*8,R56+N56+O56*7)</f>
        <v>571.67999999999995</v>
      </c>
    </row>
    <row r="57" spans="1:20" s="460" customFormat="1" x14ac:dyDescent="0.25">
      <c r="A57" s="460">
        <v>62</v>
      </c>
      <c r="B57" s="460" t="s">
        <v>1214</v>
      </c>
      <c r="C57" s="460" t="s">
        <v>1215</v>
      </c>
      <c r="E57" s="460">
        <v>250.75000000000011</v>
      </c>
      <c r="F57" s="460">
        <v>5765.88</v>
      </c>
      <c r="G57" s="460">
        <v>6016.63</v>
      </c>
      <c r="H57" s="460">
        <v>345.63</v>
      </c>
      <c r="I57" s="460">
        <f t="shared" si="1"/>
        <v>571.67999999999995</v>
      </c>
      <c r="K57" s="460">
        <v>63</v>
      </c>
      <c r="L57" s="460" t="s">
        <v>1216</v>
      </c>
      <c r="M57" s="460" t="s">
        <v>1217</v>
      </c>
      <c r="O57" s="460">
        <v>-1</v>
      </c>
      <c r="R57" s="460">
        <v>606.67999999999995</v>
      </c>
      <c r="S57" s="460">
        <v>605.67999999999995</v>
      </c>
      <c r="T57" s="460">
        <f>IF(ISBLANK(R57),Q57*8,R57+N57+O57*7)</f>
        <v>599.67999999999995</v>
      </c>
    </row>
    <row r="58" spans="1:20" x14ac:dyDescent="0.25">
      <c r="A58">
        <v>63</v>
      </c>
      <c r="B58" t="s">
        <v>1216</v>
      </c>
      <c r="C58" t="s">
        <v>1217</v>
      </c>
      <c r="D58">
        <v>49.05</v>
      </c>
      <c r="E58">
        <v>122.75000000000011</v>
      </c>
      <c r="F58">
        <v>5765.88</v>
      </c>
      <c r="G58">
        <v>5937.68</v>
      </c>
      <c r="H58">
        <v>217.63000000000002</v>
      </c>
      <c r="I58">
        <f t="shared" si="1"/>
        <v>599.67999999999995</v>
      </c>
      <c r="K58" t="s">
        <v>335</v>
      </c>
      <c r="N58">
        <v>-287.26000000000005</v>
      </c>
      <c r="O58">
        <v>-1005.1</v>
      </c>
      <c r="P58">
        <v>379</v>
      </c>
      <c r="Q58">
        <v>393.5</v>
      </c>
      <c r="R58">
        <v>72070.469999999958</v>
      </c>
      <c r="S58">
        <v>71550.609999999971</v>
      </c>
      <c r="T58">
        <f>SUM(T5:T57)</f>
        <v>64823.45</v>
      </c>
    </row>
    <row r="59" spans="1:20" x14ac:dyDescent="0.25">
      <c r="A59" t="s">
        <v>335</v>
      </c>
      <c r="D59">
        <v>8788.9700000000012</v>
      </c>
      <c r="E59">
        <v>949866.63</v>
      </c>
      <c r="F59">
        <v>2416601.2699999996</v>
      </c>
      <c r="G59">
        <v>3375256.8699999996</v>
      </c>
      <c r="H59">
        <v>995509.74</v>
      </c>
      <c r="I59">
        <f t="shared" si="1"/>
        <v>64823.45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C9A-58EE-474B-B742-756A224D741F}">
  <sheetPr codeName="Feuil23">
    <tabColor rgb="FF2D44EA"/>
  </sheetPr>
  <dimension ref="A1:AW52"/>
  <sheetViews>
    <sheetView topLeftCell="I21" workbookViewId="0">
      <selection activeCell="O53" sqref="O53"/>
    </sheetView>
  </sheetViews>
  <sheetFormatPr baseColWidth="10" defaultColWidth="11.42578125" defaultRowHeight="15" outlineLevelCol="1" x14ac:dyDescent="0.25"/>
  <cols>
    <col min="2" max="2" width="7.28515625" customWidth="1"/>
    <col min="3" max="3" width="15.85546875" customWidth="1"/>
    <col min="4" max="4" width="15.85546875" customWidth="1" outlineLevel="1"/>
    <col min="5" max="5" width="22.28515625" bestFit="1" customWidth="1"/>
    <col min="7" max="7" width="10.140625" customWidth="1"/>
    <col min="8" max="8" width="10" style="76" customWidth="1"/>
    <col min="9" max="9" width="8.42578125" style="76" customWidth="1"/>
    <col min="10" max="10" width="8.28515625" customWidth="1"/>
    <col min="14" max="14" width="11.5703125" style="42" outlineLevel="1"/>
    <col min="15" max="19" width="11.42578125" style="42" outlineLevel="1"/>
    <col min="20" max="20" width="11.5703125" style="42" outlineLevel="1"/>
    <col min="21" max="21" width="1.7109375" customWidth="1"/>
    <col min="22" max="22" width="11.5703125" style="42" hidden="1" customWidth="1" outlineLevel="1"/>
    <col min="23" max="23" width="11.5703125" style="68" hidden="1" customWidth="1" outlineLevel="1"/>
    <col min="24" max="24" width="11.5703125" style="42" hidden="1" customWidth="1" outlineLevel="1"/>
    <col min="25" max="25" width="1.7109375" customWidth="1" collapsed="1"/>
    <col min="26" max="26" width="11.5703125" style="42" hidden="1" customWidth="1" outlineLevel="1"/>
    <col min="27" max="27" width="11.5703125" style="68" hidden="1" customWidth="1" outlineLevel="1"/>
    <col min="28" max="28" width="11.5703125" style="42" hidden="1" customWidth="1" outlineLevel="1"/>
    <col min="29" max="29" width="1.7109375" customWidth="1" collapsed="1"/>
    <col min="30" max="30" width="11.5703125" style="42" outlineLevel="1"/>
    <col min="31" max="35" width="11.42578125" style="42" outlineLevel="1"/>
    <col min="36" max="36" width="11.5703125" style="42" outlineLevel="1"/>
    <col min="37" max="37" width="1.7109375" customWidth="1"/>
    <col min="38" max="38" width="11.5703125" style="42" hidden="1" customWidth="1" outlineLevel="1"/>
    <col min="39" max="39" width="11.5703125" style="68" hidden="1" customWidth="1" outlineLevel="1"/>
    <col min="40" max="40" width="11.5703125" style="42" hidden="1" customWidth="1" outlineLevel="1"/>
    <col min="41" max="41" width="1.7109375" customWidth="1" collapsed="1"/>
    <col min="42" max="42" width="11.5703125" style="42" hidden="1" customWidth="1" outlineLevel="1"/>
    <col min="43" max="43" width="11.5703125" style="68" hidden="1" customWidth="1" outlineLevel="1"/>
    <col min="44" max="44" width="11.5703125" style="42" hidden="1" customWidth="1" outlineLevel="1"/>
    <col min="45" max="45" width="1.7109375" customWidth="1" collapsed="1"/>
    <col min="46" max="49" width="11.5703125" style="75"/>
  </cols>
  <sheetData>
    <row r="1" spans="1:49" ht="15.75" thickBot="1" x14ac:dyDescent="0.3">
      <c r="E1" s="98"/>
      <c r="F1" s="98"/>
      <c r="G1" s="98"/>
      <c r="H1"/>
      <c r="I1"/>
      <c r="N1" s="44" t="s">
        <v>13</v>
      </c>
      <c r="O1" s="44" t="s">
        <v>13</v>
      </c>
      <c r="P1" s="44" t="s">
        <v>13</v>
      </c>
      <c r="Q1" s="44" t="s">
        <v>13</v>
      </c>
      <c r="R1" s="44" t="s">
        <v>13</v>
      </c>
      <c r="S1" s="44" t="s">
        <v>13</v>
      </c>
      <c r="T1" s="44"/>
      <c r="V1" s="44" t="s">
        <v>27</v>
      </c>
      <c r="W1" s="69"/>
      <c r="X1" s="44"/>
      <c r="Z1" s="44" t="s">
        <v>38</v>
      </c>
      <c r="AA1" s="69"/>
      <c r="AB1" s="44"/>
      <c r="AD1" s="44" t="s">
        <v>13</v>
      </c>
      <c r="AE1" s="44" t="s">
        <v>13</v>
      </c>
      <c r="AF1" s="44" t="s">
        <v>13</v>
      </c>
      <c r="AG1" s="44" t="s">
        <v>13</v>
      </c>
      <c r="AH1" s="44" t="s">
        <v>13</v>
      </c>
      <c r="AI1" s="44" t="s">
        <v>13</v>
      </c>
      <c r="AJ1" s="44"/>
      <c r="AL1" s="44" t="s">
        <v>27</v>
      </c>
      <c r="AM1" s="69"/>
      <c r="AN1" s="44"/>
      <c r="AP1" s="44" t="s">
        <v>38</v>
      </c>
      <c r="AQ1" s="69"/>
      <c r="AR1" s="44"/>
    </row>
    <row r="2" spans="1:49" ht="45.75" thickBot="1" x14ac:dyDescent="0.3">
      <c r="B2" s="63" t="s">
        <v>472</v>
      </c>
      <c r="C2" s="63" t="s">
        <v>367</v>
      </c>
      <c r="D2" s="63" t="s">
        <v>368</v>
      </c>
      <c r="E2" s="63" t="s">
        <v>369</v>
      </c>
      <c r="F2" s="63" t="s">
        <v>473</v>
      </c>
      <c r="G2" s="63" t="s">
        <v>474</v>
      </c>
      <c r="H2" s="77" t="s">
        <v>479</v>
      </c>
      <c r="I2" s="77" t="s">
        <v>481</v>
      </c>
      <c r="J2" s="74" t="s">
        <v>482</v>
      </c>
      <c r="K2" s="74" t="s">
        <v>485</v>
      </c>
      <c r="L2" s="74" t="s">
        <v>486</v>
      </c>
      <c r="M2" s="74" t="s">
        <v>487</v>
      </c>
      <c r="N2" s="48" t="str">
        <f>'REP cout'!B4</f>
        <v>CHIC</v>
      </c>
      <c r="O2" s="48" t="str">
        <f>'REP cout'!C4</f>
        <v>PHOENIX</v>
      </c>
      <c r="P2" s="48" t="str">
        <f>'REP cout'!D4</f>
        <v>BIOPPIGMENT</v>
      </c>
      <c r="Q2" s="48" t="str">
        <f>'REP cout'!E4</f>
        <v>PALOMA</v>
      </c>
      <c r="R2" s="48" t="str">
        <f>'REP cout'!F4</f>
        <v>LISA</v>
      </c>
      <c r="S2" s="48" t="str">
        <f>'REP cout'!G4</f>
        <v>OASIS</v>
      </c>
      <c r="T2" s="46" t="s">
        <v>488</v>
      </c>
      <c r="V2" s="46" t="str">
        <f>'REP cout'!M32</f>
        <v>Projet 1</v>
      </c>
      <c r="W2" s="66" t="s">
        <v>456</v>
      </c>
      <c r="X2" s="46" t="s">
        <v>489</v>
      </c>
      <c r="Z2" s="46" t="str">
        <f>'REP cout'!S32</f>
        <v>Nom projet</v>
      </c>
      <c r="AA2" s="66" t="s">
        <v>456</v>
      </c>
      <c r="AB2" s="46" t="s">
        <v>490</v>
      </c>
      <c r="AD2" s="48" t="str">
        <f>'REP cout'!B4</f>
        <v>CHIC</v>
      </c>
      <c r="AE2" s="48" t="str">
        <f>'REP cout'!C4</f>
        <v>PHOENIX</v>
      </c>
      <c r="AF2" s="48" t="str">
        <f>'REP cout'!D4</f>
        <v>BIOPPIGMENT</v>
      </c>
      <c r="AG2" s="48" t="str">
        <f>'REP cout'!E4</f>
        <v>PALOMA</v>
      </c>
      <c r="AH2" s="48" t="str">
        <f>'REP cout'!F4</f>
        <v>LISA</v>
      </c>
      <c r="AI2" s="48" t="str">
        <f>'REP cout'!G4</f>
        <v>OASIS</v>
      </c>
      <c r="AJ2" s="46" t="s">
        <v>492</v>
      </c>
      <c r="AL2" s="46" t="str">
        <f>V2</f>
        <v>Projet 1</v>
      </c>
      <c r="AM2" s="66" t="s">
        <v>456</v>
      </c>
      <c r="AN2" s="46" t="s">
        <v>493</v>
      </c>
      <c r="AP2" s="46" t="str">
        <f>Z2</f>
        <v>Nom projet</v>
      </c>
      <c r="AQ2" s="66" t="s">
        <v>456</v>
      </c>
      <c r="AR2" s="46" t="s">
        <v>494</v>
      </c>
      <c r="AT2" s="91" t="s">
        <v>495</v>
      </c>
      <c r="AU2" s="91" t="s">
        <v>496</v>
      </c>
      <c r="AV2" s="91" t="s">
        <v>497</v>
      </c>
      <c r="AW2" s="91" t="s">
        <v>498</v>
      </c>
    </row>
    <row r="3" spans="1:49" ht="15.75" x14ac:dyDescent="0.3">
      <c r="A3" s="111"/>
      <c r="B3" s="11" t="str">
        <f>VALO_PERSO!F5</f>
        <v>mad</v>
      </c>
      <c r="C3" s="11" t="str">
        <f>VALO_PERSO!G5</f>
        <v>GHLAMI</v>
      </c>
      <c r="D3" s="11" t="str">
        <f>VALO_PERSO!H5</f>
        <v>Sephora</v>
      </c>
      <c r="E3" s="11" t="str">
        <f>VALO_PERSO!I5</f>
        <v>MAD</v>
      </c>
      <c r="F3" s="11">
        <f>VALO_PERSO!J5</f>
        <v>0</v>
      </c>
      <c r="G3" s="11">
        <f>VALO_PERSO!K5</f>
        <v>0</v>
      </c>
      <c r="H3" s="11">
        <f>VALO_PERSO!P5</f>
        <v>6268.8600000000015</v>
      </c>
      <c r="I3" s="11">
        <f>VALO_PERSO!R5</f>
        <v>2695.6098000000006</v>
      </c>
      <c r="J3" s="11">
        <f>VALO_PERSO!S5</f>
        <v>2587.7854080000006</v>
      </c>
      <c r="K3" s="28">
        <f>VALO_PERSO!V5</f>
        <v>8856.6454080000021</v>
      </c>
      <c r="L3" s="28">
        <f>VALO_PERSO!W5</f>
        <v>342</v>
      </c>
      <c r="M3" s="28">
        <f>VALO_PERSO!X5</f>
        <v>25.896624000000006</v>
      </c>
      <c r="N3" s="11">
        <f>VALO_PERSO!Y5</f>
        <v>0</v>
      </c>
      <c r="O3" s="11">
        <f>VALO_PERSO!Z5</f>
        <v>264</v>
      </c>
      <c r="P3" s="11">
        <f>VALO_PERSO!AA5</f>
        <v>60.800000000000004</v>
      </c>
      <c r="Q3" s="11">
        <f>VALO_PERSO!AB5</f>
        <v>0</v>
      </c>
      <c r="R3" s="11">
        <f>VALO_PERSO!AC5</f>
        <v>0</v>
      </c>
      <c r="S3" s="11">
        <f>VALO_PERSO!AD5</f>
        <v>0</v>
      </c>
      <c r="T3" s="81">
        <f>VALO_PERSO!AF5</f>
        <v>324.8</v>
      </c>
      <c r="V3" s="11">
        <f>VALO_PERSO!AI5</f>
        <v>0</v>
      </c>
      <c r="W3" s="40"/>
      <c r="X3" s="81">
        <f>VALO_PERSO!AK5</f>
        <v>0</v>
      </c>
      <c r="Z3" s="11">
        <f>VALO_PERSO!AN5</f>
        <v>0</v>
      </c>
      <c r="AA3" s="40"/>
      <c r="AB3" s="81">
        <f>VALO_PERSO!AP5</f>
        <v>0</v>
      </c>
      <c r="AD3" s="28">
        <f>VALO_PERSO!AS5</f>
        <v>0</v>
      </c>
      <c r="AE3" s="28">
        <f>VALO_PERSO!AT5</f>
        <v>6836.7087360000014</v>
      </c>
      <c r="AF3" s="28">
        <f>VALO_PERSO!AU5</f>
        <v>1574.5147392000003</v>
      </c>
      <c r="AG3" s="28">
        <f>VALO_PERSO!AV5</f>
        <v>0</v>
      </c>
      <c r="AH3" s="28">
        <f>VALO_PERSO!AW5</f>
        <v>0</v>
      </c>
      <c r="AI3" s="28">
        <f>VALO_PERSO!AX5</f>
        <v>0</v>
      </c>
      <c r="AJ3" s="81">
        <f>VALO_PERSO!AZ5</f>
        <v>8411.2234752000022</v>
      </c>
      <c r="AL3" s="11">
        <f>VALO_PERSO!BB5</f>
        <v>0</v>
      </c>
      <c r="AM3" s="40"/>
      <c r="AN3" s="81">
        <f>VALO_PERSO!BD5</f>
        <v>0</v>
      </c>
      <c r="AP3" s="11">
        <f>VALO_PERSO!BF5</f>
        <v>0</v>
      </c>
      <c r="AQ3" s="40"/>
      <c r="AR3" s="81">
        <f>VALO_PERSO!BH5</f>
        <v>0</v>
      </c>
      <c r="AT3" s="11">
        <f>VALO_PERSO!BJ5</f>
        <v>17.199999999999989</v>
      </c>
      <c r="AU3" s="11">
        <f>VALO_PERSO!BK5</f>
        <v>342</v>
      </c>
      <c r="AV3" s="11">
        <f>VALO_PERSO!BL5</f>
        <v>0</v>
      </c>
      <c r="AW3" s="11">
        <f>VALO_PERSO!BM5</f>
        <v>0</v>
      </c>
    </row>
    <row r="4" spans="1:49" ht="15.75" x14ac:dyDescent="0.3">
      <c r="B4" s="11">
        <f>VALO_PERSO!F6</f>
        <v>1</v>
      </c>
      <c r="C4" s="11" t="str">
        <f>VALO_PERSO!G6</f>
        <v>AMILLASTRE</v>
      </c>
      <c r="D4" s="11" t="str">
        <f>VALO_PERSO!H6</f>
        <v>Emilie</v>
      </c>
      <c r="E4" s="11" t="str">
        <f>VALO_PERSO!I6</f>
        <v>Experte Bioprocédés</v>
      </c>
      <c r="F4" s="11" t="str">
        <f>VALO_PERSO!J6</f>
        <v>Doctorat - INSA Toulouse</v>
      </c>
      <c r="G4" s="11">
        <f>VALO_PERSO!K6</f>
        <v>2013</v>
      </c>
      <c r="H4" s="11">
        <f>VALO_PERSO!P6</f>
        <v>61368.02</v>
      </c>
      <c r="I4" s="11">
        <f>VALO_PERSO!R6</f>
        <v>25870.229999999996</v>
      </c>
      <c r="J4" s="11">
        <f>VALO_PERSO!S6</f>
        <v>24852.179999999993</v>
      </c>
      <c r="K4" s="28">
        <f>VALO_PERSO!V6</f>
        <v>86523.199999999983</v>
      </c>
      <c r="L4" s="28">
        <f>VALO_PERSO!W6</f>
        <v>1691.04</v>
      </c>
      <c r="M4" s="28">
        <f>VALO_PERSO!X6</f>
        <v>51.165673195193484</v>
      </c>
      <c r="N4" s="11">
        <f>VALO_PERSO!Y6</f>
        <v>296.40000000000009</v>
      </c>
      <c r="O4" s="11">
        <f>VALO_PERSO!Z6</f>
        <v>1184.9200000000019</v>
      </c>
      <c r="P4" s="11">
        <f>VALO_PERSO!AA6</f>
        <v>0</v>
      </c>
      <c r="Q4" s="11">
        <f>VALO_PERSO!AB6</f>
        <v>0</v>
      </c>
      <c r="R4" s="11">
        <f>VALO_PERSO!AC6</f>
        <v>0</v>
      </c>
      <c r="S4" s="11">
        <f>VALO_PERSO!AD6</f>
        <v>0</v>
      </c>
      <c r="T4" s="81">
        <f>VALO_PERSO!AF6</f>
        <v>1481.320000000002</v>
      </c>
      <c r="V4" s="11">
        <f>VALO_PERSO!AI6</f>
        <v>0</v>
      </c>
      <c r="W4" s="40"/>
      <c r="X4" s="81">
        <f>VALO_PERSO!AK6</f>
        <v>0</v>
      </c>
      <c r="Z4" s="11">
        <f>VALO_PERSO!AN6</f>
        <v>0</v>
      </c>
      <c r="AA4" s="40"/>
      <c r="AB4" s="81">
        <f>VALO_PERSO!AP6</f>
        <v>0</v>
      </c>
      <c r="AD4" s="28">
        <f>VALO_PERSO!AS6</f>
        <v>15165.505535055354</v>
      </c>
      <c r="AE4" s="28">
        <f>VALO_PERSO!AT6</f>
        <v>60627.229482448754</v>
      </c>
      <c r="AF4" s="28">
        <f>VALO_PERSO!AU6</f>
        <v>0</v>
      </c>
      <c r="AG4" s="28">
        <f>VALO_PERSO!AV6</f>
        <v>0</v>
      </c>
      <c r="AH4" s="28">
        <f>VALO_PERSO!AW6</f>
        <v>0</v>
      </c>
      <c r="AI4" s="28">
        <f>VALO_PERSO!AX6</f>
        <v>0</v>
      </c>
      <c r="AJ4" s="81">
        <f>VALO_PERSO!AZ6</f>
        <v>75792.735017504107</v>
      </c>
      <c r="AL4" s="11">
        <f>VALO_PERSO!BB6</f>
        <v>0</v>
      </c>
      <c r="AM4" s="40"/>
      <c r="AN4" s="81">
        <f>VALO_PERSO!BD6</f>
        <v>0</v>
      </c>
      <c r="AP4" s="11">
        <f>VALO_PERSO!BF6</f>
        <v>0</v>
      </c>
      <c r="AQ4" s="40"/>
      <c r="AR4" s="81">
        <f>VALO_PERSO!BH6</f>
        <v>0</v>
      </c>
      <c r="AT4" s="11">
        <f>VALO_PERSO!BJ6</f>
        <v>209.71999999999798</v>
      </c>
      <c r="AU4" s="11">
        <f>VALO_PERSO!BK6</f>
        <v>1691.04</v>
      </c>
      <c r="AV4" s="11">
        <f>VALO_PERSO!BL6</f>
        <v>0</v>
      </c>
      <c r="AW4" s="11">
        <f>VALO_PERSO!BM6</f>
        <v>0</v>
      </c>
    </row>
    <row r="5" spans="1:49" ht="15.75" x14ac:dyDescent="0.3">
      <c r="B5" s="11">
        <f>VALO_PERSO!F7</f>
        <v>4</v>
      </c>
      <c r="C5" s="11" t="str">
        <f>VALO_PERSO!G7</f>
        <v>CREPIN</v>
      </c>
      <c r="D5" s="11" t="str">
        <f>VALO_PERSO!H7</f>
        <v>Lucie</v>
      </c>
      <c r="E5" s="11" t="str">
        <f>VALO_PERSO!I7</f>
        <v>Lead Scientist</v>
      </c>
      <c r="F5" s="11" t="str">
        <f>VALO_PERSO!J7</f>
        <v>Doctorat - Biotechnologie, microbilogie - Université Montpellier II</v>
      </c>
      <c r="G5" s="11">
        <f>VALO_PERSO!K7</f>
        <v>2013</v>
      </c>
      <c r="H5" s="11">
        <f>VALO_PERSO!P7</f>
        <v>68495.59</v>
      </c>
      <c r="I5" s="11">
        <f>VALO_PERSO!R7</f>
        <v>28419.450000000004</v>
      </c>
      <c r="J5" s="11">
        <f>VALO_PERSO!S7</f>
        <v>27288.7</v>
      </c>
      <c r="K5" s="28">
        <f>VALO_PERSO!V7</f>
        <v>96599.79</v>
      </c>
      <c r="L5" s="28">
        <f>VALO_PERSO!W7</f>
        <v>1679.64</v>
      </c>
      <c r="M5" s="28">
        <f>VALO_PERSO!X7</f>
        <v>57.512199042651993</v>
      </c>
      <c r="N5" s="11">
        <f>VALO_PERSO!Y7</f>
        <v>665.00000000000148</v>
      </c>
      <c r="O5" s="11">
        <f>VALO_PERSO!Z7</f>
        <v>406.60000000000076</v>
      </c>
      <c r="P5" s="11">
        <f>VALO_PERSO!AA7</f>
        <v>0</v>
      </c>
      <c r="Q5" s="11">
        <f>VALO_PERSO!AB7</f>
        <v>243.20000000000016</v>
      </c>
      <c r="R5" s="11">
        <f>VALO_PERSO!AC7</f>
        <v>216.60000000000011</v>
      </c>
      <c r="S5" s="11">
        <f>VALO_PERSO!AD7</f>
        <v>0</v>
      </c>
      <c r="T5" s="81">
        <f>VALO_PERSO!AF7</f>
        <v>1531.4000000000026</v>
      </c>
      <c r="V5" s="11">
        <f>VALO_PERSO!AI7</f>
        <v>0</v>
      </c>
      <c r="W5" s="40"/>
      <c r="X5" s="81">
        <f>VALO_PERSO!AK7</f>
        <v>0</v>
      </c>
      <c r="Z5" s="11">
        <f>VALO_PERSO!AN7</f>
        <v>0</v>
      </c>
      <c r="AA5" s="40"/>
      <c r="AB5" s="81">
        <f>VALO_PERSO!AP7</f>
        <v>0</v>
      </c>
      <c r="AD5" s="28">
        <f>VALO_PERSO!AS7</f>
        <v>38245.61236336366</v>
      </c>
      <c r="AE5" s="28">
        <f>VALO_PERSO!AT7</f>
        <v>23384.460130742344</v>
      </c>
      <c r="AF5" s="28">
        <f>VALO_PERSO!AU7</f>
        <v>0</v>
      </c>
      <c r="AG5" s="28">
        <f>VALO_PERSO!AV7</f>
        <v>13986.966807172974</v>
      </c>
      <c r="AH5" s="28">
        <f>VALO_PERSO!AW7</f>
        <v>12457.142312638427</v>
      </c>
      <c r="AI5" s="28">
        <f>VALO_PERSO!AX7</f>
        <v>0</v>
      </c>
      <c r="AJ5" s="81">
        <f>VALO_PERSO!AZ7</f>
        <v>88074.181613917404</v>
      </c>
      <c r="AL5" s="11">
        <f>VALO_PERSO!BB7</f>
        <v>0</v>
      </c>
      <c r="AM5" s="40"/>
      <c r="AN5" s="81">
        <f>VALO_PERSO!BD7</f>
        <v>0</v>
      </c>
      <c r="AP5" s="11">
        <f>VALO_PERSO!BF7</f>
        <v>0</v>
      </c>
      <c r="AQ5" s="40"/>
      <c r="AR5" s="81">
        <f>VALO_PERSO!BH7</f>
        <v>0</v>
      </c>
      <c r="AT5" s="11">
        <f>VALO_PERSO!BJ7</f>
        <v>148.23999999999751</v>
      </c>
      <c r="AU5" s="11">
        <f>VALO_PERSO!BK7</f>
        <v>1679.64</v>
      </c>
      <c r="AV5" s="11">
        <f>VALO_PERSO!BL7</f>
        <v>0</v>
      </c>
      <c r="AW5" s="11">
        <f>VALO_PERSO!BM7</f>
        <v>0</v>
      </c>
    </row>
    <row r="6" spans="1:49" ht="15.75" x14ac:dyDescent="0.3">
      <c r="B6" s="11">
        <f>VALO_PERSO!F8</f>
        <v>5</v>
      </c>
      <c r="C6" s="11" t="str">
        <f>VALO_PERSO!G8</f>
        <v>BOISSONNAT</v>
      </c>
      <c r="D6" s="11" t="str">
        <f>VALO_PERSO!H8</f>
        <v>Guillaume</v>
      </c>
      <c r="E6" s="11" t="str">
        <f>VALO_PERSO!I8</f>
        <v>Ingénieur Recherche</v>
      </c>
      <c r="F6" s="11" t="str">
        <f>VALO_PERSO!J8</f>
        <v>Doctorat Chimie moleculaire- Université Paris VI</v>
      </c>
      <c r="G6" s="11">
        <f>VALO_PERSO!K8</f>
        <v>2016</v>
      </c>
      <c r="H6" s="11">
        <f>VALO_PERSO!P8</f>
        <v>136214.53</v>
      </c>
      <c r="I6" s="11">
        <f>VALO_PERSO!R8</f>
        <v>59127.3</v>
      </c>
      <c r="J6" s="11">
        <f>VALO_PERSO!S8</f>
        <v>56925.240000000005</v>
      </c>
      <c r="K6" s="28">
        <f>VALO_PERSO!V8</f>
        <v>193406.16999999998</v>
      </c>
      <c r="L6" s="28">
        <f>VALO_PERSO!W8</f>
        <v>1628.97</v>
      </c>
      <c r="M6" s="28">
        <f>VALO_PERSO!X8</f>
        <v>118.72911717220083</v>
      </c>
      <c r="N6" s="11">
        <f>VALO_PERSO!Y8</f>
        <v>81.448499999999967</v>
      </c>
      <c r="O6" s="11">
        <f>VALO_PERSO!Z8</f>
        <v>244.3455000000001</v>
      </c>
      <c r="P6" s="11">
        <f>VALO_PERSO!AA8</f>
        <v>244.3455000000001</v>
      </c>
      <c r="Q6" s="11">
        <f>VALO_PERSO!AB8</f>
        <v>81.448499999999967</v>
      </c>
      <c r="R6" s="11">
        <f>VALO_PERSO!AC8</f>
        <v>0</v>
      </c>
      <c r="S6" s="11">
        <f>VALO_PERSO!AD8</f>
        <v>0</v>
      </c>
      <c r="T6" s="81">
        <f>VALO_PERSO!AF8</f>
        <v>651.58800000000019</v>
      </c>
      <c r="V6" s="11">
        <f>VALO_PERSO!AI8</f>
        <v>0</v>
      </c>
      <c r="W6" s="40"/>
      <c r="X6" s="81">
        <f>VALO_PERSO!AK8</f>
        <v>0</v>
      </c>
      <c r="Z6" s="11">
        <f>VALO_PERSO!AN8</f>
        <v>0</v>
      </c>
      <c r="AA6" s="40"/>
      <c r="AB6" s="81">
        <f>VALO_PERSO!AP8</f>
        <v>0</v>
      </c>
      <c r="AD6" s="28">
        <f>VALO_PERSO!AS8</f>
        <v>9670.3084999999955</v>
      </c>
      <c r="AE6" s="28">
        <f>VALO_PERSO!AT8</f>
        <v>29010.925500000012</v>
      </c>
      <c r="AF6" s="28">
        <f>VALO_PERSO!AU8</f>
        <v>29010.925500000012</v>
      </c>
      <c r="AG6" s="28">
        <f>VALO_PERSO!AV8</f>
        <v>9670.3084999999955</v>
      </c>
      <c r="AH6" s="28">
        <f>VALO_PERSO!AW8</f>
        <v>0</v>
      </c>
      <c r="AI6" s="28">
        <f>VALO_PERSO!AX8</f>
        <v>0</v>
      </c>
      <c r="AJ6" s="81">
        <f>VALO_PERSO!AZ8</f>
        <v>77362.468000000023</v>
      </c>
      <c r="AL6" s="11">
        <f>VALO_PERSO!BB8</f>
        <v>0</v>
      </c>
      <c r="AM6" s="40"/>
      <c r="AN6" s="81">
        <f>VALO_PERSO!BD8</f>
        <v>0</v>
      </c>
      <c r="AP6" s="11">
        <f>VALO_PERSO!BF8</f>
        <v>0</v>
      </c>
      <c r="AQ6" s="40"/>
      <c r="AR6" s="81">
        <f>VALO_PERSO!BH8</f>
        <v>0</v>
      </c>
      <c r="AT6" s="11">
        <f>VALO_PERSO!BJ8</f>
        <v>977.38199999999983</v>
      </c>
      <c r="AU6" s="11">
        <f>VALO_PERSO!BK8</f>
        <v>1628.97</v>
      </c>
      <c r="AV6" s="11">
        <f>VALO_PERSO!BL8</f>
        <v>0</v>
      </c>
      <c r="AW6" s="11">
        <f>VALO_PERSO!BM8</f>
        <v>0</v>
      </c>
    </row>
    <row r="7" spans="1:49" ht="15.75" x14ac:dyDescent="0.3">
      <c r="B7" s="11">
        <f>VALO_PERSO!F9</f>
        <v>6</v>
      </c>
      <c r="C7" s="11" t="str">
        <f>VALO_PERSO!G9</f>
        <v>COTTET</v>
      </c>
      <c r="D7" s="11" t="str">
        <f>VALO_PERSO!H9</f>
        <v>Kevin</v>
      </c>
      <c r="E7" s="11" t="str">
        <f>VALO_PERSO!I9</f>
        <v>Lead Scientist</v>
      </c>
      <c r="F7" s="11" t="str">
        <f>VALO_PERSO!J9</f>
        <v>Doctorat - Pharmacognosie - Université Paris Descartes</v>
      </c>
      <c r="G7" s="11">
        <f>VALO_PERSO!K9</f>
        <v>2015</v>
      </c>
      <c r="H7" s="11">
        <f>VALO_PERSO!P9</f>
        <v>63921.65</v>
      </c>
      <c r="I7" s="11">
        <f>VALO_PERSO!R9</f>
        <v>26920.879999999997</v>
      </c>
      <c r="J7" s="11">
        <f>VALO_PERSO!S9</f>
        <v>25862.51</v>
      </c>
      <c r="K7" s="28">
        <f>VALO_PERSO!V9</f>
        <v>89784.16</v>
      </c>
      <c r="L7" s="28">
        <f>VALO_PERSO!W9</f>
        <v>1644.1699999999998</v>
      </c>
      <c r="M7" s="28">
        <f>VALO_PERSO!X9</f>
        <v>54.60758923955553</v>
      </c>
      <c r="N7" s="11">
        <f>VALO_PERSO!Y9</f>
        <v>0</v>
      </c>
      <c r="O7" s="11">
        <f>VALO_PERSO!Z9</f>
        <v>64.599999999999994</v>
      </c>
      <c r="P7" s="11">
        <f>VALO_PERSO!AA9</f>
        <v>1033.600000000002</v>
      </c>
      <c r="Q7" s="11">
        <f>VALO_PERSO!AB9</f>
        <v>0</v>
      </c>
      <c r="R7" s="11">
        <f>VALO_PERSO!AC9</f>
        <v>30.4</v>
      </c>
      <c r="S7" s="11">
        <f>VALO_PERSO!AD9</f>
        <v>38</v>
      </c>
      <c r="T7" s="81">
        <f>VALO_PERSO!AF9</f>
        <v>1166.600000000002</v>
      </c>
      <c r="V7" s="11">
        <f>VALO_PERSO!AI9</f>
        <v>0</v>
      </c>
      <c r="W7" s="40"/>
      <c r="X7" s="81">
        <f>VALO_PERSO!AK9</f>
        <v>0</v>
      </c>
      <c r="Z7" s="11">
        <f>VALO_PERSO!AN9</f>
        <v>0</v>
      </c>
      <c r="AA7" s="40"/>
      <c r="AB7" s="81">
        <f>VALO_PERSO!AP9</f>
        <v>0</v>
      </c>
      <c r="AD7" s="28">
        <f>VALO_PERSO!AS9</f>
        <v>0</v>
      </c>
      <c r="AE7" s="28">
        <f>VALO_PERSO!AT9</f>
        <v>3527.6502648752867</v>
      </c>
      <c r="AF7" s="28">
        <f>VALO_PERSO!AU9</f>
        <v>56442.404238004696</v>
      </c>
      <c r="AG7" s="28">
        <f>VALO_PERSO!AV9</f>
        <v>0</v>
      </c>
      <c r="AH7" s="28">
        <f>VALO_PERSO!AW9</f>
        <v>1660.0707128824881</v>
      </c>
      <c r="AI7" s="28">
        <f>VALO_PERSO!AX9</f>
        <v>2075.0883911031101</v>
      </c>
      <c r="AJ7" s="81">
        <f>VALO_PERSO!AZ9</f>
        <v>63705.213606865582</v>
      </c>
      <c r="AL7" s="11">
        <f>VALO_PERSO!BB9</f>
        <v>0</v>
      </c>
      <c r="AM7" s="40"/>
      <c r="AN7" s="81">
        <f>VALO_PERSO!BD9</f>
        <v>0</v>
      </c>
      <c r="AP7" s="11">
        <f>VALO_PERSO!BF9</f>
        <v>0</v>
      </c>
      <c r="AQ7" s="40"/>
      <c r="AR7" s="81">
        <f>VALO_PERSO!BH9</f>
        <v>0</v>
      </c>
      <c r="AT7" s="11">
        <f>VALO_PERSO!BJ9</f>
        <v>477.56999999999789</v>
      </c>
      <c r="AU7" s="11">
        <f>VALO_PERSO!BK9</f>
        <v>1644.1699999999998</v>
      </c>
      <c r="AV7" s="11">
        <f>VALO_PERSO!BL9</f>
        <v>0</v>
      </c>
      <c r="AW7" s="11">
        <f>VALO_PERSO!BM9</f>
        <v>0</v>
      </c>
    </row>
    <row r="8" spans="1:49" ht="15.75" x14ac:dyDescent="0.3">
      <c r="B8" s="11">
        <f>VALO_PERSO!F10</f>
        <v>7</v>
      </c>
      <c r="C8" s="11" t="str">
        <f>VALO_PERSO!G10</f>
        <v>BLANCHARD-SLOOTMAN</v>
      </c>
      <c r="D8" s="11" t="str">
        <f>VALO_PERSO!H10</f>
        <v>Vincent</v>
      </c>
      <c r="E8" s="11" t="str">
        <f>VALO_PERSO!I10</f>
        <v>Ingénieur de Recherche</v>
      </c>
      <c r="F8" s="11" t="str">
        <f>VALO_PERSO!J10</f>
        <v>Doctorat - Ecole Nationale supérieure de chimie de Montpellier</v>
      </c>
      <c r="G8" s="11">
        <f>VALO_PERSO!K10</f>
        <v>2016</v>
      </c>
      <c r="H8" s="11">
        <f>VALO_PERSO!P10</f>
        <v>62989.04</v>
      </c>
      <c r="I8" s="11">
        <f>VALO_PERSO!R10</f>
        <v>26536.83</v>
      </c>
      <c r="J8" s="11">
        <f>VALO_PERSO!S10</f>
        <v>25493.239999999998</v>
      </c>
      <c r="K8" s="28">
        <f>VALO_PERSO!V10</f>
        <v>88482.28</v>
      </c>
      <c r="L8" s="28">
        <f>VALO_PERSO!W10</f>
        <v>1649.24</v>
      </c>
      <c r="M8" s="28">
        <f>VALO_PERSO!X10</f>
        <v>53.650335912298999</v>
      </c>
      <c r="N8" s="11">
        <f>VALO_PERSO!Y10</f>
        <v>0</v>
      </c>
      <c r="O8" s="11">
        <f>VALO_PERSO!Z10</f>
        <v>0</v>
      </c>
      <c r="P8" s="11">
        <f>VALO_PERSO!AA10</f>
        <v>547.20000000000095</v>
      </c>
      <c r="Q8" s="11">
        <f>VALO_PERSO!AB10</f>
        <v>0</v>
      </c>
      <c r="R8" s="11">
        <f>VALO_PERSO!AC10</f>
        <v>490.20000000000078</v>
      </c>
      <c r="S8" s="11">
        <f>VALO_PERSO!AD10</f>
        <v>72.2</v>
      </c>
      <c r="T8" s="81">
        <f>VALO_PERSO!AF10</f>
        <v>1109.6000000000017</v>
      </c>
      <c r="V8" s="11">
        <f>VALO_PERSO!AI10</f>
        <v>0</v>
      </c>
      <c r="W8" s="40"/>
      <c r="X8" s="81">
        <f>VALO_PERSO!AK10</f>
        <v>0</v>
      </c>
      <c r="Z8" s="11">
        <f>VALO_PERSO!AN10</f>
        <v>0</v>
      </c>
      <c r="AA8" s="40"/>
      <c r="AB8" s="81">
        <f>VALO_PERSO!AP10</f>
        <v>0</v>
      </c>
      <c r="AD8" s="28">
        <f>VALO_PERSO!AS10</f>
        <v>0</v>
      </c>
      <c r="AE8" s="28">
        <f>VALO_PERSO!AT10</f>
        <v>0</v>
      </c>
      <c r="AF8" s="28">
        <f>VALO_PERSO!AU10</f>
        <v>29357.463811210066</v>
      </c>
      <c r="AG8" s="28">
        <f>VALO_PERSO!AV10</f>
        <v>0</v>
      </c>
      <c r="AH8" s="28">
        <f>VALO_PERSO!AW10</f>
        <v>26299.394664209012</v>
      </c>
      <c r="AI8" s="28">
        <f>VALO_PERSO!AX10</f>
        <v>3873.554252867988</v>
      </c>
      <c r="AJ8" s="81">
        <f>VALO_PERSO!AZ10</f>
        <v>59530.412728287069</v>
      </c>
      <c r="AL8" s="11">
        <f>VALO_PERSO!BB10</f>
        <v>0</v>
      </c>
      <c r="AM8" s="40"/>
      <c r="AN8" s="81">
        <f>VALO_PERSO!BD10</f>
        <v>0</v>
      </c>
      <c r="AP8" s="11">
        <f>VALO_PERSO!BF10</f>
        <v>0</v>
      </c>
      <c r="AQ8" s="40"/>
      <c r="AR8" s="81">
        <f>VALO_PERSO!BH10</f>
        <v>0</v>
      </c>
      <c r="AT8" s="11">
        <f>VALO_PERSO!BJ10</f>
        <v>539.63999999999828</v>
      </c>
      <c r="AU8" s="11">
        <f>VALO_PERSO!BK10</f>
        <v>1649.24</v>
      </c>
      <c r="AV8" s="11">
        <f>VALO_PERSO!BL10</f>
        <v>0</v>
      </c>
      <c r="AW8" s="11">
        <f>VALO_PERSO!BM10</f>
        <v>0</v>
      </c>
    </row>
    <row r="9" spans="1:49" ht="15.75" x14ac:dyDescent="0.3">
      <c r="B9" s="11">
        <f>VALO_PERSO!F11</f>
        <v>8</v>
      </c>
      <c r="C9" s="11" t="str">
        <f>VALO_PERSO!G11</f>
        <v>GOMES-DA-CRUZ</v>
      </c>
      <c r="D9" s="11" t="str">
        <f>VALO_PERSO!H11</f>
        <v>Filipe</v>
      </c>
      <c r="E9" s="11" t="str">
        <f>VALO_PERSO!I11</f>
        <v>Ingénieur de Recherche</v>
      </c>
      <c r="F9" s="11" t="str">
        <f>VALO_PERSO!J11</f>
        <v>Doctorat - Chimie - Université Paris Saclay</v>
      </c>
      <c r="G9" s="11">
        <f>VALO_PERSO!K11</f>
        <v>2016</v>
      </c>
      <c r="H9" s="11">
        <f>VALO_PERSO!P11</f>
        <v>61604.34</v>
      </c>
      <c r="I9" s="11">
        <f>VALO_PERSO!R11</f>
        <v>25966.920000000002</v>
      </c>
      <c r="J9" s="11">
        <f>VALO_PERSO!S11</f>
        <v>24945.119999999999</v>
      </c>
      <c r="K9" s="28">
        <f>VALO_PERSO!V11</f>
        <v>86860.26</v>
      </c>
      <c r="L9" s="28">
        <f>VALO_PERSO!W11</f>
        <v>1672.04</v>
      </c>
      <c r="M9" s="28">
        <f>VALO_PERSO!X11</f>
        <v>51.948673476711079</v>
      </c>
      <c r="N9" s="11">
        <f>VALO_PERSO!Y11</f>
        <v>0</v>
      </c>
      <c r="O9" s="11">
        <f>VALO_PERSO!Z11</f>
        <v>216.59999999999991</v>
      </c>
      <c r="P9" s="11">
        <f>VALO_PERSO!AA11</f>
        <v>1333.7999999999988</v>
      </c>
      <c r="Q9" s="11">
        <f>VALO_PERSO!AB11</f>
        <v>0</v>
      </c>
      <c r="R9" s="11">
        <f>VALO_PERSO!AC11</f>
        <v>0</v>
      </c>
      <c r="S9" s="11">
        <f>VALO_PERSO!AD11</f>
        <v>0</v>
      </c>
      <c r="T9" s="81">
        <f>VALO_PERSO!AF11</f>
        <v>1550.3999999999987</v>
      </c>
      <c r="V9" s="11">
        <f>VALO_PERSO!AI11</f>
        <v>0</v>
      </c>
      <c r="W9" s="40"/>
      <c r="X9" s="81">
        <f>VALO_PERSO!AK11</f>
        <v>0</v>
      </c>
      <c r="Z9" s="11">
        <f>VALO_PERSO!AN11</f>
        <v>0</v>
      </c>
      <c r="AA9" s="40"/>
      <c r="AB9" s="81">
        <f>VALO_PERSO!AP11</f>
        <v>0</v>
      </c>
      <c r="AD9" s="28">
        <f>VALO_PERSO!AS11</f>
        <v>0</v>
      </c>
      <c r="AE9" s="28">
        <f>VALO_PERSO!AT11</f>
        <v>11252.082675055617</v>
      </c>
      <c r="AF9" s="28">
        <f>VALO_PERSO!AU11</f>
        <v>69289.140683237172</v>
      </c>
      <c r="AG9" s="28">
        <f>VALO_PERSO!AV11</f>
        <v>0</v>
      </c>
      <c r="AH9" s="28">
        <f>VALO_PERSO!AW11</f>
        <v>0</v>
      </c>
      <c r="AI9" s="28">
        <f>VALO_PERSO!AX11</f>
        <v>0</v>
      </c>
      <c r="AJ9" s="81">
        <f>VALO_PERSO!AZ11</f>
        <v>80541.223358292787</v>
      </c>
      <c r="AL9" s="11">
        <f>VALO_PERSO!BB11</f>
        <v>0</v>
      </c>
      <c r="AM9" s="40"/>
      <c r="AN9" s="81">
        <f>VALO_PERSO!BD11</f>
        <v>0</v>
      </c>
      <c r="AP9" s="11">
        <f>VALO_PERSO!BF11</f>
        <v>0</v>
      </c>
      <c r="AQ9" s="40"/>
      <c r="AR9" s="81">
        <f>VALO_PERSO!BH11</f>
        <v>0</v>
      </c>
      <c r="AT9" s="11">
        <f>VALO_PERSO!BJ11</f>
        <v>121.64000000000124</v>
      </c>
      <c r="AU9" s="11">
        <f>VALO_PERSO!BK11</f>
        <v>1672.04</v>
      </c>
      <c r="AV9" s="11">
        <f>VALO_PERSO!BL11</f>
        <v>0</v>
      </c>
      <c r="AW9" s="11">
        <f>VALO_PERSO!BM11</f>
        <v>0</v>
      </c>
    </row>
    <row r="10" spans="1:49" ht="15.75" x14ac:dyDescent="0.3">
      <c r="B10" s="11">
        <f>VALO_PERSO!F12</f>
        <v>11</v>
      </c>
      <c r="C10" s="11" t="str">
        <f>VALO_PERSO!G12</f>
        <v>BAYLAC</v>
      </c>
      <c r="D10" s="11" t="str">
        <f>VALO_PERSO!H12</f>
        <v>Audrey</v>
      </c>
      <c r="E10" s="11" t="str">
        <f>VALO_PERSO!I12</f>
        <v>Ingénieur</v>
      </c>
      <c r="F10" s="11" t="str">
        <f>VALO_PERSO!J12</f>
        <v>Master Biochimie et biotechnologies - Université de Toulouse III</v>
      </c>
      <c r="G10" s="11">
        <f>VALO_PERSO!K12</f>
        <v>2007</v>
      </c>
      <c r="H10" s="11">
        <f>VALO_PERSO!P12</f>
        <v>53722.94</v>
      </c>
      <c r="I10" s="11">
        <f>VALO_PERSO!R12</f>
        <v>22338.699999999997</v>
      </c>
      <c r="J10" s="11">
        <f>VALO_PERSO!S12</f>
        <v>21441.73</v>
      </c>
      <c r="K10" s="28">
        <f>VALO_PERSO!V12</f>
        <v>75164.67</v>
      </c>
      <c r="L10" s="28">
        <f>VALO_PERSO!W12</f>
        <v>1204.6299999999999</v>
      </c>
      <c r="M10" s="28">
        <f>VALO_PERSO!X12</f>
        <v>62.396478586785989</v>
      </c>
      <c r="N10" s="11">
        <f>VALO_PERSO!Y12</f>
        <v>15.2</v>
      </c>
      <c r="O10" s="11">
        <f>VALO_PERSO!Z12</f>
        <v>0</v>
      </c>
      <c r="P10" s="11">
        <f>VALO_PERSO!AA12</f>
        <v>0</v>
      </c>
      <c r="Q10" s="11">
        <f>VALO_PERSO!AB12</f>
        <v>0</v>
      </c>
      <c r="R10" s="11">
        <f>VALO_PERSO!AC12</f>
        <v>1022.2000000000021</v>
      </c>
      <c r="S10" s="11">
        <f>VALO_PERSO!AD12</f>
        <v>0</v>
      </c>
      <c r="T10" s="81">
        <f>VALO_PERSO!AF12</f>
        <v>1037.4000000000021</v>
      </c>
      <c r="V10" s="11">
        <f>VALO_PERSO!AI12</f>
        <v>0</v>
      </c>
      <c r="W10" s="40"/>
      <c r="X10" s="81">
        <f>VALO_PERSO!AK12</f>
        <v>0</v>
      </c>
      <c r="Z10" s="11">
        <f>VALO_PERSO!AN12</f>
        <v>0</v>
      </c>
      <c r="AA10" s="40"/>
      <c r="AB10" s="81">
        <f>VALO_PERSO!AP12</f>
        <v>0</v>
      </c>
      <c r="AD10" s="28">
        <f>VALO_PERSO!AS12</f>
        <v>948.42647451914695</v>
      </c>
      <c r="AE10" s="28">
        <f>VALO_PERSO!AT12</f>
        <v>0</v>
      </c>
      <c r="AF10" s="28">
        <f>VALO_PERSO!AU12</f>
        <v>0</v>
      </c>
      <c r="AG10" s="28">
        <f>VALO_PERSO!AV12</f>
        <v>0</v>
      </c>
      <c r="AH10" s="28">
        <f>VALO_PERSO!AW12</f>
        <v>63781.680411412774</v>
      </c>
      <c r="AI10" s="28">
        <f>VALO_PERSO!AX12</f>
        <v>0</v>
      </c>
      <c r="AJ10" s="81">
        <f>VALO_PERSO!AZ12</f>
        <v>64730.10688593192</v>
      </c>
      <c r="AL10" s="11">
        <f>VALO_PERSO!BB12</f>
        <v>0</v>
      </c>
      <c r="AM10" s="40"/>
      <c r="AN10" s="81">
        <f>VALO_PERSO!BD12</f>
        <v>0</v>
      </c>
      <c r="AP10" s="11">
        <f>VALO_PERSO!BF12</f>
        <v>0</v>
      </c>
      <c r="AQ10" s="40"/>
      <c r="AR10" s="81">
        <f>VALO_PERSO!BH12</f>
        <v>0</v>
      </c>
      <c r="AT10" s="11">
        <f>VALO_PERSO!BJ12</f>
        <v>167.22999999999774</v>
      </c>
      <c r="AU10" s="11">
        <f>VALO_PERSO!BK12</f>
        <v>1204.6299999999999</v>
      </c>
      <c r="AV10" s="11">
        <f>VALO_PERSO!BL12</f>
        <v>0</v>
      </c>
      <c r="AW10" s="11">
        <f>VALO_PERSO!BM12</f>
        <v>0</v>
      </c>
    </row>
    <row r="11" spans="1:49" ht="15.75" x14ac:dyDescent="0.3">
      <c r="B11" s="11">
        <f>VALO_PERSO!F13</f>
        <v>12</v>
      </c>
      <c r="C11" s="11" t="str">
        <f>VALO_PERSO!G13</f>
        <v>DENARD</v>
      </c>
      <c r="D11" s="11" t="str">
        <f>VALO_PERSO!H13</f>
        <v>Marjorie</v>
      </c>
      <c r="E11" s="11" t="str">
        <f>VALO_PERSO!I13</f>
        <v>Assistant Ingenieur</v>
      </c>
      <c r="F11" s="11" t="str">
        <f>VALO_PERSO!J13</f>
        <v>BTS - Bioanalyses et controles - Toulouse</v>
      </c>
      <c r="G11" s="11">
        <f>VALO_PERSO!K13</f>
        <v>2015</v>
      </c>
      <c r="H11" s="11">
        <f>VALO_PERSO!P13</f>
        <v>39845.279999999999</v>
      </c>
      <c r="I11" s="11">
        <f>VALO_PERSO!R13</f>
        <v>14606.790000000003</v>
      </c>
      <c r="J11" s="11">
        <f>VALO_PERSO!S13</f>
        <v>13950.950000000003</v>
      </c>
      <c r="K11" s="28">
        <f>VALO_PERSO!V13</f>
        <v>53796.23</v>
      </c>
      <c r="L11" s="28">
        <f>VALO_PERSO!W13</f>
        <v>1706.24</v>
      </c>
      <c r="M11" s="28">
        <f>VALO_PERSO!X13</f>
        <v>31.529110793323333</v>
      </c>
      <c r="N11" s="11">
        <f>VALO_PERSO!Y13</f>
        <v>15.2</v>
      </c>
      <c r="O11" s="11">
        <f>VALO_PERSO!Z13</f>
        <v>1568.189999999998</v>
      </c>
      <c r="P11" s="11">
        <f>VALO_PERSO!AA13</f>
        <v>0</v>
      </c>
      <c r="Q11" s="11">
        <f>VALO_PERSO!AB13</f>
        <v>0</v>
      </c>
      <c r="R11" s="11">
        <f>VALO_PERSO!AC13</f>
        <v>15.2</v>
      </c>
      <c r="S11" s="11">
        <f>VALO_PERSO!AD13</f>
        <v>0</v>
      </c>
      <c r="T11" s="81">
        <f>VALO_PERSO!AF13</f>
        <v>1598.5899999999981</v>
      </c>
      <c r="V11" s="11">
        <f>VALO_PERSO!AI13</f>
        <v>0</v>
      </c>
      <c r="W11" s="40"/>
      <c r="X11" s="81">
        <f>VALO_PERSO!AK13</f>
        <v>0</v>
      </c>
      <c r="Z11" s="11">
        <f>VALO_PERSO!AN13</f>
        <v>0</v>
      </c>
      <c r="AA11" s="40"/>
      <c r="AB11" s="81">
        <f>VALO_PERSO!AP13</f>
        <v>0</v>
      </c>
      <c r="AD11" s="28">
        <f>VALO_PERSO!AS13</f>
        <v>479.24248405851461</v>
      </c>
      <c r="AE11" s="28">
        <f>VALO_PERSO!AT13</f>
        <v>49443.636254981655</v>
      </c>
      <c r="AF11" s="28">
        <f>VALO_PERSO!AU13</f>
        <v>0</v>
      </c>
      <c r="AG11" s="28">
        <f>VALO_PERSO!AV13</f>
        <v>0</v>
      </c>
      <c r="AH11" s="28">
        <f>VALO_PERSO!AW13</f>
        <v>479.24248405851461</v>
      </c>
      <c r="AI11" s="28">
        <f>VALO_PERSO!AX13</f>
        <v>0</v>
      </c>
      <c r="AJ11" s="81">
        <f>VALO_PERSO!AZ13</f>
        <v>50402.121223098686</v>
      </c>
      <c r="AL11" s="11">
        <f>VALO_PERSO!BB13</f>
        <v>0</v>
      </c>
      <c r="AM11" s="40"/>
      <c r="AN11" s="81">
        <f>VALO_PERSO!BD13</f>
        <v>0</v>
      </c>
      <c r="AP11" s="11">
        <f>VALO_PERSO!BF13</f>
        <v>0</v>
      </c>
      <c r="AQ11" s="40"/>
      <c r="AR11" s="81">
        <f>VALO_PERSO!BH13</f>
        <v>0</v>
      </c>
      <c r="AT11" s="11">
        <f>VALO_PERSO!BJ13</f>
        <v>107.65000000000191</v>
      </c>
      <c r="AU11" s="11">
        <f>VALO_PERSO!BK13</f>
        <v>1706.24</v>
      </c>
      <c r="AV11" s="11">
        <f>VALO_PERSO!BL13</f>
        <v>0</v>
      </c>
      <c r="AW11" s="11">
        <f>VALO_PERSO!BM13</f>
        <v>0</v>
      </c>
    </row>
    <row r="12" spans="1:49" ht="15.75" x14ac:dyDescent="0.3">
      <c r="B12" s="11">
        <f>VALO_PERSO!F14</f>
        <v>13</v>
      </c>
      <c r="C12" s="11" t="str">
        <f>VALO_PERSO!G14</f>
        <v>FERNANDEZ</v>
      </c>
      <c r="D12" s="11" t="str">
        <f>VALO_PERSO!H14</f>
        <v>Bob</v>
      </c>
      <c r="E12" s="11" t="str">
        <f>VALO_PERSO!I14</f>
        <v>Ingénieur d'études</v>
      </c>
      <c r="F12" s="11" t="str">
        <f>VALO_PERSO!J14</f>
        <v>Ingénieur - Chimie Analytique - Université de Toulouse III</v>
      </c>
      <c r="G12" s="11">
        <f>VALO_PERSO!K14</f>
        <v>2014</v>
      </c>
      <c r="H12" s="11">
        <f>VALO_PERSO!P14</f>
        <v>59572.69</v>
      </c>
      <c r="I12" s="11">
        <f>VALO_PERSO!R14</f>
        <v>25515.040000000005</v>
      </c>
      <c r="J12" s="11">
        <f>VALO_PERSO!S14</f>
        <v>24525.410000000003</v>
      </c>
      <c r="K12" s="28">
        <f>VALO_PERSO!V14</f>
        <v>84098.1</v>
      </c>
      <c r="L12" s="28">
        <f>VALO_PERSO!W14</f>
        <v>1649.24</v>
      </c>
      <c r="M12" s="28">
        <f>VALO_PERSO!X14</f>
        <v>50.992032693846866</v>
      </c>
      <c r="N12" s="11">
        <f>VALO_PERSO!Y14</f>
        <v>230.45000000000002</v>
      </c>
      <c r="O12" s="11">
        <f>VALO_PERSO!Z14</f>
        <v>797.93000000000143</v>
      </c>
      <c r="P12" s="11">
        <f>VALO_PERSO!AA14</f>
        <v>259.7299999999999</v>
      </c>
      <c r="Q12" s="11">
        <f>VALO_PERSO!AB14</f>
        <v>0</v>
      </c>
      <c r="R12" s="11">
        <f>VALO_PERSO!AC14</f>
        <v>0</v>
      </c>
      <c r="S12" s="11">
        <f>VALO_PERSO!AD14</f>
        <v>0</v>
      </c>
      <c r="T12" s="81">
        <f>VALO_PERSO!AF14</f>
        <v>1288.1100000000015</v>
      </c>
      <c r="V12" s="11">
        <f>VALO_PERSO!AI14</f>
        <v>0</v>
      </c>
      <c r="W12" s="40"/>
      <c r="X12" s="81">
        <f>VALO_PERSO!AK14</f>
        <v>0</v>
      </c>
      <c r="Z12" s="11">
        <f>VALO_PERSO!AN14</f>
        <v>0</v>
      </c>
      <c r="AA12" s="40"/>
      <c r="AB12" s="81">
        <f>VALO_PERSO!AP14</f>
        <v>0</v>
      </c>
      <c r="AD12" s="28">
        <f>VALO_PERSO!AS14</f>
        <v>11751.113934297011</v>
      </c>
      <c r="AE12" s="28">
        <f>VALO_PERSO!AT14</f>
        <v>40688.072647401306</v>
      </c>
      <c r="AF12" s="28">
        <f>VALO_PERSO!AU14</f>
        <v>13244.160651572842</v>
      </c>
      <c r="AG12" s="28">
        <f>VALO_PERSO!AV14</f>
        <v>0</v>
      </c>
      <c r="AH12" s="28">
        <f>VALO_PERSO!AW14</f>
        <v>0</v>
      </c>
      <c r="AI12" s="28">
        <f>VALO_PERSO!AX14</f>
        <v>0</v>
      </c>
      <c r="AJ12" s="81">
        <f>VALO_PERSO!AZ14</f>
        <v>65683.347233271168</v>
      </c>
      <c r="AL12" s="11">
        <f>VALO_PERSO!BB14</f>
        <v>0</v>
      </c>
      <c r="AM12" s="40"/>
      <c r="AN12" s="81">
        <f>VALO_PERSO!BD14</f>
        <v>0</v>
      </c>
      <c r="AP12" s="11">
        <f>VALO_PERSO!BF14</f>
        <v>0</v>
      </c>
      <c r="AQ12" s="40"/>
      <c r="AR12" s="81">
        <f>VALO_PERSO!BH14</f>
        <v>0</v>
      </c>
      <c r="AT12" s="11">
        <f>VALO_PERSO!BJ14</f>
        <v>361.12999999999852</v>
      </c>
      <c r="AU12" s="11">
        <f>VALO_PERSO!BK14</f>
        <v>1649.24</v>
      </c>
      <c r="AV12" s="11">
        <f>VALO_PERSO!BL14</f>
        <v>0</v>
      </c>
      <c r="AW12" s="11">
        <f>VALO_PERSO!BM14</f>
        <v>0</v>
      </c>
    </row>
    <row r="13" spans="1:49" ht="15.75" x14ac:dyDescent="0.3">
      <c r="B13" s="11">
        <f>VALO_PERSO!F15</f>
        <v>14</v>
      </c>
      <c r="C13" s="11" t="str">
        <f>VALO_PERSO!G15</f>
        <v>SCHIAVON</v>
      </c>
      <c r="D13" s="11" t="str">
        <f>VALO_PERSO!H15</f>
        <v>Caroline</v>
      </c>
      <c r="E13" s="11" t="str">
        <f>VALO_PERSO!I15</f>
        <v>Ingénieur d'études</v>
      </c>
      <c r="F13" s="11" t="str">
        <f>VALO_PERSO!J15</f>
        <v>Ingénieur - Biochimie et biotechnologies  - Université de Toulouse III</v>
      </c>
      <c r="G13" s="11">
        <f>VALO_PERSO!K15</f>
        <v>2010</v>
      </c>
      <c r="H13" s="11">
        <f>VALO_PERSO!P15</f>
        <v>45684.82</v>
      </c>
      <c r="I13" s="11">
        <f>VALO_PERSO!R15</f>
        <v>20078.3</v>
      </c>
      <c r="J13" s="11">
        <f>VALO_PERSO!S15</f>
        <v>19309.89</v>
      </c>
      <c r="K13" s="28">
        <f>VALO_PERSO!V15</f>
        <v>64994.71</v>
      </c>
      <c r="L13" s="28">
        <f>VALO_PERSO!W15</f>
        <v>1035.6600000000001</v>
      </c>
      <c r="M13" s="28">
        <f>VALO_PERSO!X15</f>
        <v>62.756802425506436</v>
      </c>
      <c r="N13" s="11">
        <f>VALO_PERSO!Y15</f>
        <v>976.60000000000241</v>
      </c>
      <c r="O13" s="11">
        <f>VALO_PERSO!Z15</f>
        <v>0</v>
      </c>
      <c r="P13" s="11">
        <f>VALO_PERSO!AA15</f>
        <v>0</v>
      </c>
      <c r="Q13" s="11">
        <f>VALO_PERSO!AB15</f>
        <v>0</v>
      </c>
      <c r="R13" s="11">
        <f>VALO_PERSO!AC15</f>
        <v>0</v>
      </c>
      <c r="S13" s="11">
        <f>VALO_PERSO!AD15</f>
        <v>0</v>
      </c>
      <c r="T13" s="81">
        <f>VALO_PERSO!AF15</f>
        <v>976.60000000000241</v>
      </c>
      <c r="V13" s="11">
        <f>VALO_PERSO!AI15</f>
        <v>0</v>
      </c>
      <c r="W13" s="40"/>
      <c r="X13" s="81">
        <f>VALO_PERSO!AK15</f>
        <v>0</v>
      </c>
      <c r="Z13" s="11">
        <f>VALO_PERSO!AN15</f>
        <v>0</v>
      </c>
      <c r="AA13" s="40"/>
      <c r="AB13" s="81">
        <f>VALO_PERSO!AP15</f>
        <v>0</v>
      </c>
      <c r="AD13" s="28">
        <f>VALO_PERSO!AS15</f>
        <v>61288.293248749731</v>
      </c>
      <c r="AE13" s="28">
        <f>VALO_PERSO!AT15</f>
        <v>0</v>
      </c>
      <c r="AF13" s="28">
        <f>VALO_PERSO!AU15</f>
        <v>0</v>
      </c>
      <c r="AG13" s="28">
        <f>VALO_PERSO!AV15</f>
        <v>0</v>
      </c>
      <c r="AH13" s="28">
        <f>VALO_PERSO!AW15</f>
        <v>0</v>
      </c>
      <c r="AI13" s="28">
        <f>VALO_PERSO!AX15</f>
        <v>0</v>
      </c>
      <c r="AJ13" s="81">
        <f>VALO_PERSO!AZ15</f>
        <v>61288.293248749731</v>
      </c>
      <c r="AL13" s="11">
        <f>VALO_PERSO!BB15</f>
        <v>0</v>
      </c>
      <c r="AM13" s="40"/>
      <c r="AN13" s="81">
        <f>VALO_PERSO!BD15</f>
        <v>0</v>
      </c>
      <c r="AP13" s="11">
        <f>VALO_PERSO!BF15</f>
        <v>0</v>
      </c>
      <c r="AQ13" s="40"/>
      <c r="AR13" s="81">
        <f>VALO_PERSO!BH15</f>
        <v>0</v>
      </c>
      <c r="AT13" s="11">
        <f>VALO_PERSO!BJ15</f>
        <v>59.059999999997672</v>
      </c>
      <c r="AU13" s="11">
        <f>VALO_PERSO!BK15</f>
        <v>1035.6600000000001</v>
      </c>
      <c r="AV13" s="11">
        <f>VALO_PERSO!BL15</f>
        <v>0</v>
      </c>
      <c r="AW13" s="11">
        <f>VALO_PERSO!BM15</f>
        <v>0</v>
      </c>
    </row>
    <row r="14" spans="1:49" ht="15.75" x14ac:dyDescent="0.3">
      <c r="B14" s="11">
        <f>VALO_PERSO!F16</f>
        <v>16</v>
      </c>
      <c r="C14" s="11" t="str">
        <f>VALO_PERSO!G16</f>
        <v>RAMOS-AZNAR</v>
      </c>
      <c r="D14" s="11" t="str">
        <f>VALO_PERSO!H16</f>
        <v>Nuria</v>
      </c>
      <c r="E14" s="11" t="str">
        <f>VALO_PERSO!I16</f>
        <v>Ingenieur</v>
      </c>
      <c r="F14" s="11" t="str">
        <f>VALO_PERSO!J16</f>
        <v>Master Microbiologie - Université de Barcelone</v>
      </c>
      <c r="G14" s="11">
        <f>VALO_PERSO!K16</f>
        <v>2016</v>
      </c>
      <c r="H14" s="11">
        <f>VALO_PERSO!P16</f>
        <v>58661.4</v>
      </c>
      <c r="I14" s="11">
        <f>VALO_PERSO!R16</f>
        <v>24371.88</v>
      </c>
      <c r="J14" s="11">
        <f>VALO_PERSO!S16</f>
        <v>23396.660000000003</v>
      </c>
      <c r="K14" s="28">
        <f>VALO_PERSO!V16</f>
        <v>82058.06</v>
      </c>
      <c r="L14" s="28">
        <f>VALO_PERSO!W16</f>
        <v>1672.0399999999997</v>
      </c>
      <c r="M14" s="28">
        <f>VALO_PERSO!X16</f>
        <v>49.076612999689011</v>
      </c>
      <c r="N14" s="11">
        <f>VALO_PERSO!Y16</f>
        <v>0</v>
      </c>
      <c r="O14" s="11">
        <f>VALO_PERSO!Z16</f>
        <v>0</v>
      </c>
      <c r="P14" s="11">
        <f>VALO_PERSO!AA16</f>
        <v>0</v>
      </c>
      <c r="Q14" s="11">
        <f>VALO_PERSO!AB16</f>
        <v>1512.3999999999962</v>
      </c>
      <c r="R14" s="11">
        <f>VALO_PERSO!AC16</f>
        <v>0</v>
      </c>
      <c r="S14" s="11">
        <f>VALO_PERSO!AD16</f>
        <v>0</v>
      </c>
      <c r="T14" s="81">
        <f>VALO_PERSO!AF16</f>
        <v>1512.3999999999962</v>
      </c>
      <c r="V14" s="11">
        <f>VALO_PERSO!AI16</f>
        <v>0</v>
      </c>
      <c r="W14" s="40"/>
      <c r="X14" s="81">
        <f>VALO_PERSO!AK16</f>
        <v>0</v>
      </c>
      <c r="Z14" s="11">
        <f>VALO_PERSO!AN16</f>
        <v>0</v>
      </c>
      <c r="AA14" s="40"/>
      <c r="AB14" s="81">
        <f>VALO_PERSO!AP16</f>
        <v>0</v>
      </c>
      <c r="AD14" s="28">
        <f>VALO_PERSO!AS16</f>
        <v>0</v>
      </c>
      <c r="AE14" s="28">
        <f>VALO_PERSO!AT16</f>
        <v>0</v>
      </c>
      <c r="AF14" s="28">
        <f>VALO_PERSO!AU16</f>
        <v>0</v>
      </c>
      <c r="AG14" s="28">
        <f>VALO_PERSO!AV16</f>
        <v>74223.469500729479</v>
      </c>
      <c r="AH14" s="28">
        <f>VALO_PERSO!AW16</f>
        <v>0</v>
      </c>
      <c r="AI14" s="28">
        <f>VALO_PERSO!AX16</f>
        <v>0</v>
      </c>
      <c r="AJ14" s="81">
        <f>VALO_PERSO!AZ16</f>
        <v>74223.469500729479</v>
      </c>
      <c r="AL14" s="11">
        <f>VALO_PERSO!BB16</f>
        <v>0</v>
      </c>
      <c r="AM14" s="40"/>
      <c r="AN14" s="81">
        <f>VALO_PERSO!BD16</f>
        <v>0</v>
      </c>
      <c r="AP14" s="11">
        <f>VALO_PERSO!BF16</f>
        <v>0</v>
      </c>
      <c r="AQ14" s="40"/>
      <c r="AR14" s="81">
        <f>VALO_PERSO!BH16</f>
        <v>0</v>
      </c>
      <c r="AT14" s="11">
        <f>VALO_PERSO!BJ16</f>
        <v>159.64000000000351</v>
      </c>
      <c r="AU14" s="11">
        <f>VALO_PERSO!BK16</f>
        <v>1672.0399999999997</v>
      </c>
      <c r="AV14" s="11">
        <f>VALO_PERSO!BL16</f>
        <v>0</v>
      </c>
      <c r="AW14" s="11">
        <f>VALO_PERSO!BM16</f>
        <v>0</v>
      </c>
    </row>
    <row r="15" spans="1:49" ht="15.75" x14ac:dyDescent="0.3">
      <c r="A15" s="111" t="s">
        <v>813</v>
      </c>
      <c r="B15" s="11">
        <f>VALO_PERSO!F17</f>
        <v>18</v>
      </c>
      <c r="C15" s="11" t="str">
        <f>VALO_PERSO!G17</f>
        <v>BARRY</v>
      </c>
      <c r="D15" s="11" t="str">
        <f>VALO_PERSO!H17</f>
        <v>Benjamin</v>
      </c>
      <c r="E15" s="11" t="str">
        <f>VALO_PERSO!I17</f>
        <v>Ingenieur</v>
      </c>
      <c r="F15" s="11" t="str">
        <f>VALO_PERSO!J17</f>
        <v>Master procédés, biotechnologies, aliments - Université Paris - Saclay</v>
      </c>
      <c r="G15" s="11">
        <f>VALO_PERSO!K17</f>
        <v>2019</v>
      </c>
      <c r="H15" s="11">
        <f>VALO_PERSO!P17</f>
        <v>60709.03</v>
      </c>
      <c r="I15" s="11">
        <f>VALO_PERSO!R17</f>
        <v>25726.519999999997</v>
      </c>
      <c r="J15" s="11">
        <f>VALO_PERSO!S17</f>
        <v>24718.93</v>
      </c>
      <c r="K15" s="28">
        <f>VALO_PERSO!V17</f>
        <v>85427.959999999992</v>
      </c>
      <c r="L15" s="28">
        <f>VALO_PERSO!W17</f>
        <v>1637.84</v>
      </c>
      <c r="M15" s="28">
        <f>VALO_PERSO!X17</f>
        <v>52.158916621892246</v>
      </c>
      <c r="N15" s="11">
        <f>VALO_PERSO!Y17</f>
        <v>255.99999999999997</v>
      </c>
      <c r="O15" s="11">
        <f>VALO_PERSO!Z17</f>
        <v>1228.5000000000007</v>
      </c>
      <c r="P15" s="11">
        <f>VALO_PERSO!AA17</f>
        <v>0</v>
      </c>
      <c r="Q15" s="11">
        <f>VALO_PERSO!AB17</f>
        <v>0</v>
      </c>
      <c r="R15" s="11">
        <f>VALO_PERSO!AC17</f>
        <v>7.6</v>
      </c>
      <c r="S15" s="11">
        <f>VALO_PERSO!AD17</f>
        <v>0</v>
      </c>
      <c r="T15" s="81">
        <f>VALO_PERSO!AF17</f>
        <v>1492.1000000000006</v>
      </c>
      <c r="V15" s="11">
        <f>VALO_PERSO!AI17</f>
        <v>0</v>
      </c>
      <c r="W15" s="40"/>
      <c r="X15" s="81">
        <f>VALO_PERSO!AK17</f>
        <v>0</v>
      </c>
      <c r="Z15" s="11">
        <f>VALO_PERSO!AN17</f>
        <v>0</v>
      </c>
      <c r="AA15" s="40"/>
      <c r="AB15" s="81">
        <f>VALO_PERSO!AP17</f>
        <v>0</v>
      </c>
      <c r="AD15" s="28">
        <f>VALO_PERSO!AS17</f>
        <v>13352.682655204413</v>
      </c>
      <c r="AE15" s="28">
        <f>VALO_PERSO!AT17</f>
        <v>64077.229069994661</v>
      </c>
      <c r="AF15" s="28">
        <f>VALO_PERSO!AU17</f>
        <v>0</v>
      </c>
      <c r="AG15" s="28">
        <f>VALO_PERSO!AV17</f>
        <v>0</v>
      </c>
      <c r="AH15" s="28">
        <f>VALO_PERSO!AW17</f>
        <v>396.40776632638108</v>
      </c>
      <c r="AI15" s="28">
        <f>VALO_PERSO!AX17</f>
        <v>0</v>
      </c>
      <c r="AJ15" s="81">
        <f>VALO_PERSO!AZ17</f>
        <v>77826.319491525443</v>
      </c>
      <c r="AL15" s="11">
        <f>VALO_PERSO!BB17</f>
        <v>0</v>
      </c>
      <c r="AM15" s="40"/>
      <c r="AN15" s="81">
        <f>VALO_PERSO!BD17</f>
        <v>0</v>
      </c>
      <c r="AP15" s="11">
        <f>VALO_PERSO!BF17</f>
        <v>0</v>
      </c>
      <c r="AQ15" s="40"/>
      <c r="AR15" s="81">
        <f>VALO_PERSO!BH17</f>
        <v>0</v>
      </c>
      <c r="AT15" s="11">
        <f>VALO_PERSO!BJ17</f>
        <v>145.73999999999933</v>
      </c>
      <c r="AU15" s="11">
        <f>VALO_PERSO!BK17</f>
        <v>1637.84</v>
      </c>
      <c r="AV15" s="11">
        <f>VALO_PERSO!BL17</f>
        <v>0</v>
      </c>
      <c r="AW15" s="11">
        <f>VALO_PERSO!BM17</f>
        <v>0</v>
      </c>
    </row>
    <row r="16" spans="1:49" ht="15.75" x14ac:dyDescent="0.3">
      <c r="A16" s="111" t="s">
        <v>813</v>
      </c>
      <c r="B16" s="11">
        <f>VALO_PERSO!F18</f>
        <v>19</v>
      </c>
      <c r="C16" s="11" t="str">
        <f>VALO_PERSO!G18</f>
        <v>CHABRET</v>
      </c>
      <c r="D16" s="11" t="str">
        <f>VALO_PERSO!H18</f>
        <v>Oceane</v>
      </c>
      <c r="E16" s="11" t="str">
        <f>VALO_PERSO!I18</f>
        <v>Assistant Ingénieur</v>
      </c>
      <c r="F16" s="11" t="str">
        <f>VALO_PERSO!J18</f>
        <v>DUT - Génie Biologique - IUT Dijon</v>
      </c>
      <c r="G16" s="11">
        <f>VALO_PERSO!K18</f>
        <v>2016</v>
      </c>
      <c r="H16" s="11">
        <f>VALO_PERSO!P18</f>
        <v>31999.98</v>
      </c>
      <c r="I16" s="11">
        <f>VALO_PERSO!R18</f>
        <v>11806.800000000001</v>
      </c>
      <c r="J16" s="11">
        <f>VALO_PERSO!S18</f>
        <v>11280.09</v>
      </c>
      <c r="K16" s="28">
        <f>VALO_PERSO!V18</f>
        <v>43549.24</v>
      </c>
      <c r="L16" s="28">
        <f>VALO_PERSO!W18</f>
        <v>1274.06</v>
      </c>
      <c r="M16" s="28">
        <f>VALO_PERSO!X18</f>
        <v>34.181467120857732</v>
      </c>
      <c r="N16" s="11">
        <f>VALO_PERSO!Y18</f>
        <v>159.6</v>
      </c>
      <c r="O16" s="11">
        <f>VALO_PERSO!Z18</f>
        <v>453.90000000000089</v>
      </c>
      <c r="P16" s="11">
        <f>VALO_PERSO!AA18</f>
        <v>278.39999999999992</v>
      </c>
      <c r="Q16" s="11">
        <f>VALO_PERSO!AB18</f>
        <v>34.200000000000003</v>
      </c>
      <c r="R16" s="11">
        <f>VALO_PERSO!AC18</f>
        <v>259.09999999999997</v>
      </c>
      <c r="S16" s="11">
        <f>VALO_PERSO!AD18</f>
        <v>0</v>
      </c>
      <c r="T16" s="81">
        <f>VALO_PERSO!AF18</f>
        <v>1185.2000000000007</v>
      </c>
      <c r="V16" s="11">
        <f>VALO_PERSO!AI18</f>
        <v>0</v>
      </c>
      <c r="W16" s="40"/>
      <c r="X16" s="81">
        <f>VALO_PERSO!AK18</f>
        <v>0</v>
      </c>
      <c r="Z16" s="11">
        <f>VALO_PERSO!AN18</f>
        <v>0</v>
      </c>
      <c r="AA16" s="40"/>
      <c r="AB16" s="81">
        <f>VALO_PERSO!AP18</f>
        <v>0</v>
      </c>
      <c r="AD16" s="28">
        <f>VALO_PERSO!AS18</f>
        <v>5455.3621524888931</v>
      </c>
      <c r="AE16" s="28">
        <f>VALO_PERSO!AT18</f>
        <v>15514.967926157355</v>
      </c>
      <c r="AF16" s="28">
        <f>VALO_PERSO!AU18</f>
        <v>9516.1204464467883</v>
      </c>
      <c r="AG16" s="28">
        <f>VALO_PERSO!AV18</f>
        <v>1169.0061755333345</v>
      </c>
      <c r="AH16" s="28">
        <f>VALO_PERSO!AW18</f>
        <v>8856.4181310142376</v>
      </c>
      <c r="AI16" s="28">
        <f>VALO_PERSO!AX18</f>
        <v>0</v>
      </c>
      <c r="AJ16" s="81">
        <f>VALO_PERSO!AZ18</f>
        <v>40511.874831640613</v>
      </c>
      <c r="AL16" s="11">
        <f>VALO_PERSO!BB18</f>
        <v>0</v>
      </c>
      <c r="AM16" s="40"/>
      <c r="AN16" s="81">
        <f>VALO_PERSO!BD18</f>
        <v>0</v>
      </c>
      <c r="AP16" s="11">
        <f>VALO_PERSO!BF18</f>
        <v>0</v>
      </c>
      <c r="AQ16" s="40"/>
      <c r="AR16" s="81">
        <f>VALO_PERSO!BH18</f>
        <v>0</v>
      </c>
      <c r="AT16" s="11">
        <f>VALO_PERSO!BJ18</f>
        <v>88.859999999999218</v>
      </c>
      <c r="AU16" s="11">
        <f>VALO_PERSO!BK18</f>
        <v>1274.06</v>
      </c>
      <c r="AV16" s="11">
        <f>VALO_PERSO!BL18</f>
        <v>0</v>
      </c>
      <c r="AW16" s="11">
        <f>VALO_PERSO!BM18</f>
        <v>0</v>
      </c>
    </row>
    <row r="17" spans="1:49" ht="15.75" x14ac:dyDescent="0.3">
      <c r="A17" s="111" t="s">
        <v>813</v>
      </c>
      <c r="B17" s="11">
        <f>VALO_PERSO!F19</f>
        <v>21</v>
      </c>
      <c r="C17" s="11" t="str">
        <f>VALO_PERSO!G19</f>
        <v>MARTINEZ</v>
      </c>
      <c r="D17" s="11" t="str">
        <f>VALO_PERSO!H19</f>
        <v>Anthony</v>
      </c>
      <c r="E17" s="11" t="str">
        <f>VALO_PERSO!I19</f>
        <v>Assistant Ingénieur</v>
      </c>
      <c r="F17" s="11" t="str">
        <f>VALO_PERSO!J19</f>
        <v>DUT - Chimie Analytique et de Synthèse</v>
      </c>
      <c r="G17" s="11">
        <f>VALO_PERSO!K19</f>
        <v>2018</v>
      </c>
      <c r="H17" s="11">
        <f>VALO_PERSO!P19</f>
        <v>43774.64</v>
      </c>
      <c r="I17" s="11">
        <f>VALO_PERSO!R19</f>
        <v>16009.4</v>
      </c>
      <c r="J17" s="11">
        <f>VALO_PERSO!S19</f>
        <v>15288.91</v>
      </c>
      <c r="K17" s="28">
        <f>VALO_PERSO!V19</f>
        <v>59596.350000000006</v>
      </c>
      <c r="L17" s="28">
        <f>VALO_PERSO!W19</f>
        <v>1603.6399999999999</v>
      </c>
      <c r="M17" s="28">
        <f>VALO_PERSO!X19</f>
        <v>37.163172532488595</v>
      </c>
      <c r="N17" s="11">
        <f>VALO_PERSO!Y19</f>
        <v>0</v>
      </c>
      <c r="O17" s="11">
        <f>VALO_PERSO!Z19</f>
        <v>11.399999999999999</v>
      </c>
      <c r="P17" s="11">
        <f>VALO_PERSO!AA19</f>
        <v>885.40000000000168</v>
      </c>
      <c r="Q17" s="11">
        <f>VALO_PERSO!AB19</f>
        <v>0</v>
      </c>
      <c r="R17" s="11">
        <f>VALO_PERSO!AC19</f>
        <v>113.99999999999997</v>
      </c>
      <c r="S17" s="11">
        <f>VALO_PERSO!AD19</f>
        <v>98.799999999999983</v>
      </c>
      <c r="T17" s="81">
        <f>VALO_PERSO!AF19</f>
        <v>1109.6000000000017</v>
      </c>
      <c r="V17" s="11">
        <f>VALO_PERSO!AI19</f>
        <v>0</v>
      </c>
      <c r="W17" s="40"/>
      <c r="X17" s="81">
        <f>VALO_PERSO!AK19</f>
        <v>0</v>
      </c>
      <c r="Z17" s="11">
        <f>VALO_PERSO!AN19</f>
        <v>0</v>
      </c>
      <c r="AA17" s="40"/>
      <c r="AB17" s="81">
        <f>VALO_PERSO!AP19</f>
        <v>0</v>
      </c>
      <c r="AD17" s="28">
        <f>VALO_PERSO!AS19</f>
        <v>0</v>
      </c>
      <c r="AE17" s="28">
        <f>VALO_PERSO!AT19</f>
        <v>423.66016687036995</v>
      </c>
      <c r="AF17" s="28">
        <f>VALO_PERSO!AU19</f>
        <v>32904.272960265465</v>
      </c>
      <c r="AG17" s="28">
        <f>VALO_PERSO!AV19</f>
        <v>0</v>
      </c>
      <c r="AH17" s="28">
        <f>VALO_PERSO!AW19</f>
        <v>4236.6016687036981</v>
      </c>
      <c r="AI17" s="28">
        <f>VALO_PERSO!AX19</f>
        <v>3671.7214462098727</v>
      </c>
      <c r="AJ17" s="81">
        <f>VALO_PERSO!AZ19</f>
        <v>41236.256242049407</v>
      </c>
      <c r="AL17" s="11">
        <f>VALO_PERSO!BB19</f>
        <v>0</v>
      </c>
      <c r="AM17" s="40"/>
      <c r="AN17" s="81">
        <f>VALO_PERSO!BD19</f>
        <v>0</v>
      </c>
      <c r="AP17" s="11">
        <f>VALO_PERSO!BF19</f>
        <v>0</v>
      </c>
      <c r="AQ17" s="40"/>
      <c r="AR17" s="81">
        <f>VALO_PERSO!BH19</f>
        <v>0</v>
      </c>
      <c r="AT17" s="11">
        <f>VALO_PERSO!BJ19</f>
        <v>494.03999999999814</v>
      </c>
      <c r="AU17" s="11">
        <f>VALO_PERSO!BK19</f>
        <v>1603.6399999999999</v>
      </c>
      <c r="AV17" s="11">
        <f>VALO_PERSO!BL19</f>
        <v>0</v>
      </c>
      <c r="AW17" s="11">
        <f>VALO_PERSO!BM19</f>
        <v>0</v>
      </c>
    </row>
    <row r="18" spans="1:49" ht="15.75" x14ac:dyDescent="0.3">
      <c r="A18" s="111" t="s">
        <v>813</v>
      </c>
      <c r="B18" s="11">
        <f>VALO_PERSO!F20</f>
        <v>22</v>
      </c>
      <c r="C18" s="11" t="str">
        <f>VALO_PERSO!G20</f>
        <v>REZEAU</v>
      </c>
      <c r="D18" s="11" t="str">
        <f>VALO_PERSO!H20</f>
        <v>Marie</v>
      </c>
      <c r="E18" s="11" t="str">
        <f>VALO_PERSO!I20</f>
        <v>Ingénieur Procédés</v>
      </c>
      <c r="F18" s="11" t="str">
        <f>VALO_PERSO!J20</f>
        <v>Ingénieur - Ecole Nationale de Chimie de Montpellier</v>
      </c>
      <c r="G18" s="11">
        <f>VALO_PERSO!K20</f>
        <v>2017</v>
      </c>
      <c r="H18" s="11">
        <f>VALO_PERSO!P20</f>
        <v>58329.01</v>
      </c>
      <c r="I18" s="11">
        <f>VALO_PERSO!R20</f>
        <v>24619.059999999998</v>
      </c>
      <c r="J18" s="11">
        <f>VALO_PERSO!S20</f>
        <v>23649.119999999995</v>
      </c>
      <c r="K18" s="28">
        <f>VALO_PERSO!V20</f>
        <v>82298.73</v>
      </c>
      <c r="L18" s="28">
        <f>VALO_PERSO!W20</f>
        <v>1668.24</v>
      </c>
      <c r="M18" s="28">
        <f>VALO_PERSO!X20</f>
        <v>49.332667961444393</v>
      </c>
      <c r="N18" s="11">
        <f>VALO_PERSO!Y20</f>
        <v>0</v>
      </c>
      <c r="O18" s="11">
        <f>VALO_PERSO!Z20</f>
        <v>641.29999999999984</v>
      </c>
      <c r="P18" s="11">
        <f>VALO_PERSO!AA20</f>
        <v>3.8</v>
      </c>
      <c r="Q18" s="11">
        <f>VALO_PERSO!AB20</f>
        <v>0</v>
      </c>
      <c r="R18" s="11">
        <f>VALO_PERSO!AC20</f>
        <v>0</v>
      </c>
      <c r="S18" s="11">
        <f>VALO_PERSO!AD20</f>
        <v>0</v>
      </c>
      <c r="T18" s="81">
        <f>VALO_PERSO!AF20</f>
        <v>645.0999999999998</v>
      </c>
      <c r="V18" s="11">
        <f>VALO_PERSO!AI20</f>
        <v>0</v>
      </c>
      <c r="W18" s="40"/>
      <c r="X18" s="81">
        <f>VALO_PERSO!AK20</f>
        <v>0</v>
      </c>
      <c r="Z18" s="11">
        <f>VALO_PERSO!AN20</f>
        <v>0</v>
      </c>
      <c r="AA18" s="40"/>
      <c r="AB18" s="81">
        <f>VALO_PERSO!AP20</f>
        <v>0</v>
      </c>
      <c r="AD18" s="28">
        <f>VALO_PERSO!AS20</f>
        <v>0</v>
      </c>
      <c r="AE18" s="28">
        <f>VALO_PERSO!AT20</f>
        <v>31637.039963674284</v>
      </c>
      <c r="AF18" s="28">
        <f>VALO_PERSO!AU20</f>
        <v>187.46413825348867</v>
      </c>
      <c r="AG18" s="28">
        <f>VALO_PERSO!AV20</f>
        <v>0</v>
      </c>
      <c r="AH18" s="28">
        <f>VALO_PERSO!AW20</f>
        <v>0</v>
      </c>
      <c r="AI18" s="28">
        <f>VALO_PERSO!AX20</f>
        <v>0</v>
      </c>
      <c r="AJ18" s="81">
        <f>VALO_PERSO!AZ20</f>
        <v>31824.504101927774</v>
      </c>
      <c r="AL18" s="11">
        <f>VALO_PERSO!BB20</f>
        <v>0</v>
      </c>
      <c r="AM18" s="40"/>
      <c r="AN18" s="81">
        <f>VALO_PERSO!BD20</f>
        <v>0</v>
      </c>
      <c r="AP18" s="11">
        <f>VALO_PERSO!BF20</f>
        <v>0</v>
      </c>
      <c r="AQ18" s="40"/>
      <c r="AR18" s="81">
        <f>VALO_PERSO!BH20</f>
        <v>0</v>
      </c>
      <c r="AT18" s="11">
        <f>VALO_PERSO!BJ20</f>
        <v>1023.1400000000002</v>
      </c>
      <c r="AU18" s="11">
        <f>VALO_PERSO!BK20</f>
        <v>1668.24</v>
      </c>
      <c r="AV18" s="11">
        <f>VALO_PERSO!BL20</f>
        <v>0</v>
      </c>
      <c r="AW18" s="11">
        <f>VALO_PERSO!BM20</f>
        <v>0</v>
      </c>
    </row>
    <row r="19" spans="1:49" ht="15.75" x14ac:dyDescent="0.3">
      <c r="A19" s="111" t="s">
        <v>813</v>
      </c>
      <c r="B19" s="11">
        <f>VALO_PERSO!F21</f>
        <v>23</v>
      </c>
      <c r="C19" s="11" t="str">
        <f>VALO_PERSO!G21</f>
        <v>ZIMBERLIN</v>
      </c>
      <c r="D19" s="11" t="str">
        <f>VALO_PERSO!H21</f>
        <v>Pierre</v>
      </c>
      <c r="E19" s="11" t="str">
        <f>VALO_PERSO!I21</f>
        <v>Salarié doctorant</v>
      </c>
      <c r="F19" s="11" t="str">
        <f>VALO_PERSO!J21</f>
        <v>Ingénieur - INSA Lyon</v>
      </c>
      <c r="G19" s="11">
        <f>VALO_PERSO!K21</f>
        <v>2021</v>
      </c>
      <c r="H19" s="11">
        <f>VALO_PERSO!P21</f>
        <v>6819.94</v>
      </c>
      <c r="I19" s="11">
        <f>VALO_PERSO!R21</f>
        <v>2565.2899999999995</v>
      </c>
      <c r="J19" s="11">
        <f>VALO_PERSO!S21</f>
        <v>2384.8399999999997</v>
      </c>
      <c r="K19" s="28">
        <f>VALO_PERSO!V21</f>
        <v>9293.58</v>
      </c>
      <c r="L19" s="28">
        <f>VALO_PERSO!W21</f>
        <v>314.14</v>
      </c>
      <c r="M19" s="28">
        <f>VALO_PERSO!X21</f>
        <v>29.584198128223086</v>
      </c>
      <c r="N19" s="11">
        <f>VALO_PERSO!Y21</f>
        <v>0</v>
      </c>
      <c r="O19" s="11">
        <f>VALO_PERSO!Z21</f>
        <v>0</v>
      </c>
      <c r="P19" s="11">
        <f>VALO_PERSO!AA21</f>
        <v>243.19999999999987</v>
      </c>
      <c r="Q19" s="11">
        <f>VALO_PERSO!AB21</f>
        <v>0</v>
      </c>
      <c r="R19" s="11">
        <f>VALO_PERSO!AC21</f>
        <v>0</v>
      </c>
      <c r="S19" s="11">
        <f>VALO_PERSO!AD21</f>
        <v>0</v>
      </c>
      <c r="T19" s="81">
        <f>VALO_PERSO!AF21</f>
        <v>243.19999999999987</v>
      </c>
      <c r="V19" s="11">
        <f>VALO_PERSO!AI21</f>
        <v>0</v>
      </c>
      <c r="W19" s="40"/>
      <c r="X19" s="81">
        <f>VALO_PERSO!AK21</f>
        <v>0</v>
      </c>
      <c r="Z19" s="11">
        <f>VALO_PERSO!AN21</f>
        <v>0</v>
      </c>
      <c r="AA19" s="40"/>
      <c r="AB19" s="81">
        <f>VALO_PERSO!AP21</f>
        <v>0</v>
      </c>
      <c r="AD19" s="28">
        <f>VALO_PERSO!AS21</f>
        <v>0</v>
      </c>
      <c r="AE19" s="28">
        <f>VALO_PERSO!AT21</f>
        <v>0</v>
      </c>
      <c r="AF19" s="28">
        <f>VALO_PERSO!AU21</f>
        <v>7194.8769847838512</v>
      </c>
      <c r="AG19" s="28">
        <f>VALO_PERSO!AV21</f>
        <v>0</v>
      </c>
      <c r="AH19" s="28">
        <f>VALO_PERSO!AW21</f>
        <v>0</v>
      </c>
      <c r="AI19" s="28">
        <f>VALO_PERSO!AX21</f>
        <v>0</v>
      </c>
      <c r="AJ19" s="81">
        <f>VALO_PERSO!AZ21</f>
        <v>7194.8769847838512</v>
      </c>
      <c r="AL19" s="11">
        <f>VALO_PERSO!BB21</f>
        <v>0</v>
      </c>
      <c r="AM19" s="40"/>
      <c r="AN19" s="81">
        <f>VALO_PERSO!BD21</f>
        <v>0</v>
      </c>
      <c r="AP19" s="11">
        <f>VALO_PERSO!BF21</f>
        <v>0</v>
      </c>
      <c r="AQ19" s="40"/>
      <c r="AR19" s="81">
        <f>VALO_PERSO!BH21</f>
        <v>0</v>
      </c>
      <c r="AT19" s="11">
        <f>VALO_PERSO!BJ21</f>
        <v>70.940000000000111</v>
      </c>
      <c r="AU19" s="11">
        <f>VALO_PERSO!BK21</f>
        <v>314.14</v>
      </c>
      <c r="AV19" s="11">
        <f>VALO_PERSO!BL21</f>
        <v>0</v>
      </c>
      <c r="AW19" s="11">
        <f>VALO_PERSO!BM21</f>
        <v>0</v>
      </c>
    </row>
    <row r="20" spans="1:49" ht="15.75" x14ac:dyDescent="0.3">
      <c r="A20" s="111" t="s">
        <v>813</v>
      </c>
      <c r="B20" s="11">
        <f>VALO_PERSO!F22</f>
        <v>24</v>
      </c>
      <c r="C20" s="11" t="str">
        <f>VALO_PERSO!G22</f>
        <v>CANU</v>
      </c>
      <c r="D20" s="11" t="str">
        <f>VALO_PERSO!H22</f>
        <v>Nicolas</v>
      </c>
      <c r="E20" s="11" t="str">
        <f>VALO_PERSO!I22</f>
        <v>Ingénieur de Recherche</v>
      </c>
      <c r="F20" s="11" t="str">
        <f>VALO_PERSO!J22</f>
        <v>Doctorat - Biochimie et Biologie Structurale - Université Paris Saclay</v>
      </c>
      <c r="G20" s="11">
        <f>VALO_PERSO!K22</f>
        <v>2020</v>
      </c>
      <c r="H20" s="11">
        <f>VALO_PERSO!P22</f>
        <v>61446.32</v>
      </c>
      <c r="I20" s="11">
        <f>VALO_PERSO!R22</f>
        <v>25902.21</v>
      </c>
      <c r="J20" s="11">
        <f>VALO_PERSO!S22</f>
        <v>24882.940000000002</v>
      </c>
      <c r="K20" s="28">
        <f>VALO_PERSO!V22</f>
        <v>86329.260000000009</v>
      </c>
      <c r="L20" s="28">
        <f>VALO_PERSO!W22</f>
        <v>1705.2399999999998</v>
      </c>
      <c r="M20" s="28">
        <f>VALO_PERSO!X22</f>
        <v>50.625870845159639</v>
      </c>
      <c r="N20" s="11">
        <f>VALO_PERSO!Y22</f>
        <v>0</v>
      </c>
      <c r="O20" s="11">
        <f>VALO_PERSO!Z22</f>
        <v>1534.6999999999966</v>
      </c>
      <c r="P20" s="11">
        <f>VALO_PERSO!AA22</f>
        <v>0</v>
      </c>
      <c r="Q20" s="11">
        <f>VALO_PERSO!AB22</f>
        <v>0</v>
      </c>
      <c r="R20" s="11">
        <f>VALO_PERSO!AC22</f>
        <v>0</v>
      </c>
      <c r="S20" s="11">
        <f>VALO_PERSO!AD22</f>
        <v>0</v>
      </c>
      <c r="T20" s="81">
        <f>VALO_PERSO!AF22</f>
        <v>1534.6999999999966</v>
      </c>
      <c r="V20" s="11">
        <f>VALO_PERSO!AI22</f>
        <v>0</v>
      </c>
      <c r="W20" s="40"/>
      <c r="X20" s="81">
        <f>VALO_PERSO!AK22</f>
        <v>0</v>
      </c>
      <c r="Z20" s="11">
        <f>VALO_PERSO!AN22</f>
        <v>0</v>
      </c>
      <c r="AA20" s="40"/>
      <c r="AB20" s="81">
        <f>VALO_PERSO!AP22</f>
        <v>0</v>
      </c>
      <c r="AD20" s="28">
        <f>VALO_PERSO!AS22</f>
        <v>0</v>
      </c>
      <c r="AE20" s="28">
        <f>VALO_PERSO!AT22</f>
        <v>77695.523986066328</v>
      </c>
      <c r="AF20" s="28">
        <f>VALO_PERSO!AU22</f>
        <v>0</v>
      </c>
      <c r="AG20" s="28">
        <f>VALO_PERSO!AV22</f>
        <v>0</v>
      </c>
      <c r="AH20" s="28">
        <f>VALO_PERSO!AW22</f>
        <v>0</v>
      </c>
      <c r="AI20" s="28">
        <f>VALO_PERSO!AX22</f>
        <v>0</v>
      </c>
      <c r="AJ20" s="81">
        <f>VALO_PERSO!AZ22</f>
        <v>77695.523986066328</v>
      </c>
      <c r="AL20" s="11">
        <f>VALO_PERSO!BB22</f>
        <v>0</v>
      </c>
      <c r="AM20" s="40"/>
      <c r="AN20" s="81">
        <f>VALO_PERSO!BD22</f>
        <v>0</v>
      </c>
      <c r="AP20" s="11">
        <f>VALO_PERSO!BF22</f>
        <v>0</v>
      </c>
      <c r="AQ20" s="40"/>
      <c r="AR20" s="81">
        <f>VALO_PERSO!BH22</f>
        <v>0</v>
      </c>
      <c r="AT20" s="11">
        <f>VALO_PERSO!BJ22</f>
        <v>170.54000000000315</v>
      </c>
      <c r="AU20" s="11">
        <f>VALO_PERSO!BK22</f>
        <v>1705.2399999999998</v>
      </c>
      <c r="AV20" s="11">
        <f>VALO_PERSO!BL22</f>
        <v>0</v>
      </c>
      <c r="AW20" s="11">
        <f>VALO_PERSO!BM22</f>
        <v>0</v>
      </c>
    </row>
    <row r="21" spans="1:49" ht="15.75" x14ac:dyDescent="0.3">
      <c r="A21" s="111" t="s">
        <v>813</v>
      </c>
      <c r="B21" s="11">
        <f>VALO_PERSO!F23</f>
        <v>26</v>
      </c>
      <c r="C21" s="11" t="str">
        <f>VALO_PERSO!G23</f>
        <v>DE-ALMEIDA</v>
      </c>
      <c r="D21" s="11" t="str">
        <f>VALO_PERSO!H23</f>
        <v>Marie-Léa</v>
      </c>
      <c r="E21" s="11" t="str">
        <f>VALO_PERSO!I23</f>
        <v>Assistant Ingénieur</v>
      </c>
      <c r="F21" s="11" t="str">
        <f>VALO_PERSO!J23</f>
        <v>DUT - Bio-Industrie et Biotechnologies -IUT Pau</v>
      </c>
      <c r="G21" s="11">
        <f>VALO_PERSO!K23</f>
        <v>2017</v>
      </c>
      <c r="H21" s="11">
        <f>VALO_PERSO!P23</f>
        <v>38087.230000000003</v>
      </c>
      <c r="I21" s="11">
        <f>VALO_PERSO!R23</f>
        <v>14127.600000000002</v>
      </c>
      <c r="J21" s="11">
        <f>VALO_PERSO!S23</f>
        <v>13500.7</v>
      </c>
      <c r="K21" s="28">
        <f>VALO_PERSO!V23</f>
        <v>51753.48000000001</v>
      </c>
      <c r="L21" s="28">
        <f>VALO_PERSO!W23</f>
        <v>1656.84</v>
      </c>
      <c r="M21" s="28">
        <f>VALO_PERSO!X23</f>
        <v>31.236256971101621</v>
      </c>
      <c r="N21" s="11">
        <f>VALO_PERSO!Y23</f>
        <v>1565.7599999999995</v>
      </c>
      <c r="O21" s="11">
        <f>VALO_PERSO!Z23</f>
        <v>0</v>
      </c>
      <c r="P21" s="11">
        <f>VALO_PERSO!AA23</f>
        <v>0</v>
      </c>
      <c r="Q21" s="11">
        <f>VALO_PERSO!AB23</f>
        <v>0</v>
      </c>
      <c r="R21" s="11">
        <f>VALO_PERSO!AC23</f>
        <v>0</v>
      </c>
      <c r="S21" s="11">
        <f>VALO_PERSO!AD23</f>
        <v>0</v>
      </c>
      <c r="T21" s="81">
        <f>VALO_PERSO!AF23</f>
        <v>1565.7599999999995</v>
      </c>
      <c r="V21" s="11">
        <f>VALO_PERSO!AI23</f>
        <v>0</v>
      </c>
      <c r="W21" s="40"/>
      <c r="X21" s="81">
        <f>VALO_PERSO!AK23</f>
        <v>0</v>
      </c>
      <c r="Z21" s="11">
        <f>VALO_PERSO!AN23</f>
        <v>0</v>
      </c>
      <c r="AA21" s="40"/>
      <c r="AB21" s="81">
        <f>VALO_PERSO!AP23</f>
        <v>0</v>
      </c>
      <c r="AD21" s="28">
        <f>VALO_PERSO!AS23</f>
        <v>48908.481715072063</v>
      </c>
      <c r="AE21" s="28">
        <f>VALO_PERSO!AT23</f>
        <v>0</v>
      </c>
      <c r="AF21" s="28">
        <f>VALO_PERSO!AU23</f>
        <v>0</v>
      </c>
      <c r="AG21" s="28">
        <f>VALO_PERSO!AV23</f>
        <v>0</v>
      </c>
      <c r="AH21" s="28">
        <f>VALO_PERSO!AW23</f>
        <v>0</v>
      </c>
      <c r="AI21" s="28">
        <f>VALO_PERSO!AX23</f>
        <v>0</v>
      </c>
      <c r="AJ21" s="81">
        <f>VALO_PERSO!AZ23</f>
        <v>48908.481715072063</v>
      </c>
      <c r="AL21" s="11">
        <f>VALO_PERSO!BB23</f>
        <v>0</v>
      </c>
      <c r="AM21" s="40"/>
      <c r="AN21" s="81">
        <f>VALO_PERSO!BD23</f>
        <v>0</v>
      </c>
      <c r="AP21" s="11">
        <f>VALO_PERSO!BF23</f>
        <v>0</v>
      </c>
      <c r="AQ21" s="40"/>
      <c r="AR21" s="81">
        <f>VALO_PERSO!BH23</f>
        <v>0</v>
      </c>
      <c r="AT21" s="11">
        <f>VALO_PERSO!BJ23</f>
        <v>91.080000000000382</v>
      </c>
      <c r="AU21" s="11">
        <f>VALO_PERSO!BK23</f>
        <v>1656.84</v>
      </c>
      <c r="AV21" s="11">
        <f>VALO_PERSO!BL23</f>
        <v>0</v>
      </c>
      <c r="AW21" s="11">
        <f>VALO_PERSO!BM23</f>
        <v>0</v>
      </c>
    </row>
    <row r="22" spans="1:49" ht="15.75" x14ac:dyDescent="0.3">
      <c r="A22" s="111" t="s">
        <v>813</v>
      </c>
      <c r="B22" s="11">
        <f>VALO_PERSO!F24</f>
        <v>31</v>
      </c>
      <c r="C22" s="11" t="str">
        <f>VALO_PERSO!G24</f>
        <v>GIL</v>
      </c>
      <c r="D22" s="11" t="str">
        <f>VALO_PERSO!H24</f>
        <v>Benjamin</v>
      </c>
      <c r="E22" s="11" t="str">
        <f>VALO_PERSO!I24</f>
        <v>Assistant ingénieur</v>
      </c>
      <c r="F22" s="11" t="str">
        <f>VALO_PERSO!J24</f>
        <v>Licence Professionnelle Biotechnologies - IUT Montpellier</v>
      </c>
      <c r="G22" s="11">
        <f>VALO_PERSO!K24</f>
        <v>2012</v>
      </c>
      <c r="H22" s="11">
        <f>VALO_PERSO!P24</f>
        <v>38311.83</v>
      </c>
      <c r="I22" s="11">
        <f>VALO_PERSO!R24</f>
        <v>14443.43</v>
      </c>
      <c r="J22" s="11">
        <f>VALO_PERSO!S24</f>
        <v>13812.83</v>
      </c>
      <c r="K22" s="28">
        <f>VALO_PERSO!V24</f>
        <v>52124.66</v>
      </c>
      <c r="L22" s="28">
        <f>VALO_PERSO!W24</f>
        <v>1698.6399999999999</v>
      </c>
      <c r="M22" s="28">
        <f>VALO_PERSO!X24</f>
        <v>30.686113596759764</v>
      </c>
      <c r="N22" s="11">
        <f>VALO_PERSO!Y24</f>
        <v>383.85000000000036</v>
      </c>
      <c r="O22" s="11">
        <f>VALO_PERSO!Z24</f>
        <v>1074.270000000002</v>
      </c>
      <c r="P22" s="11">
        <f>VALO_PERSO!AA24</f>
        <v>0</v>
      </c>
      <c r="Q22" s="11">
        <f>VALO_PERSO!AB24</f>
        <v>0</v>
      </c>
      <c r="R22" s="11">
        <f>VALO_PERSO!AC24</f>
        <v>87.399999999999963</v>
      </c>
      <c r="S22" s="11">
        <f>VALO_PERSO!AD24</f>
        <v>0</v>
      </c>
      <c r="T22" s="81">
        <f>VALO_PERSO!AF24</f>
        <v>1545.5200000000023</v>
      </c>
      <c r="V22" s="11">
        <f>VALO_PERSO!AI24</f>
        <v>0</v>
      </c>
      <c r="W22" s="40"/>
      <c r="X22" s="81">
        <f>VALO_PERSO!AK24</f>
        <v>0</v>
      </c>
      <c r="Z22" s="11">
        <f>VALO_PERSO!AN24</f>
        <v>0</v>
      </c>
      <c r="AA22" s="40"/>
      <c r="AB22" s="81">
        <f>VALO_PERSO!AP24</f>
        <v>0</v>
      </c>
      <c r="AD22" s="28">
        <f>VALO_PERSO!AS24</f>
        <v>11778.864704116246</v>
      </c>
      <c r="AE22" s="28">
        <f>VALO_PERSO!AT24</f>
        <v>32965.171253591179</v>
      </c>
      <c r="AF22" s="28">
        <f>VALO_PERSO!AU24</f>
        <v>0</v>
      </c>
      <c r="AG22" s="28">
        <f>VALO_PERSO!AV24</f>
        <v>0</v>
      </c>
      <c r="AH22" s="28">
        <f>VALO_PERSO!AW24</f>
        <v>2681.966328356802</v>
      </c>
      <c r="AI22" s="28">
        <f>VALO_PERSO!AX24</f>
        <v>0</v>
      </c>
      <c r="AJ22" s="81">
        <f>VALO_PERSO!AZ24</f>
        <v>47426.002286064228</v>
      </c>
      <c r="AL22" s="11">
        <f>VALO_PERSO!BB24</f>
        <v>0</v>
      </c>
      <c r="AM22" s="40"/>
      <c r="AN22" s="81">
        <f>VALO_PERSO!BD24</f>
        <v>0</v>
      </c>
      <c r="AP22" s="11">
        <f>VALO_PERSO!BF24</f>
        <v>0</v>
      </c>
      <c r="AQ22" s="40"/>
      <c r="AR22" s="81">
        <f>VALO_PERSO!BH24</f>
        <v>0</v>
      </c>
      <c r="AT22" s="11">
        <f>VALO_PERSO!BJ24</f>
        <v>153.11999999999762</v>
      </c>
      <c r="AU22" s="11">
        <f>VALO_PERSO!BK24</f>
        <v>1698.6399999999999</v>
      </c>
      <c r="AV22" s="11">
        <f>VALO_PERSO!BL24</f>
        <v>0</v>
      </c>
      <c r="AW22" s="11">
        <f>VALO_PERSO!BM24</f>
        <v>0</v>
      </c>
    </row>
    <row r="23" spans="1:49" ht="15.75" x14ac:dyDescent="0.3">
      <c r="A23" s="111" t="s">
        <v>813</v>
      </c>
      <c r="B23" s="11">
        <f>VALO_PERSO!F25</f>
        <v>32</v>
      </c>
      <c r="C23" s="11" t="str">
        <f>VALO_PERSO!G25</f>
        <v>BONNAUD</v>
      </c>
      <c r="D23" s="11" t="str">
        <f>VALO_PERSO!H25</f>
        <v>Marine</v>
      </c>
      <c r="E23" s="11" t="str">
        <f>VALO_PERSO!I25</f>
        <v>Ingénieur</v>
      </c>
      <c r="F23" s="11" t="str">
        <f>VALO_PERSO!J25</f>
        <v>Ingénieur - Génie Biologique - Polytechnique Marseille</v>
      </c>
      <c r="G23" s="11">
        <f>VALO_PERSO!K25</f>
        <v>2017</v>
      </c>
      <c r="H23" s="11">
        <f>VALO_PERSO!P25</f>
        <v>56665.37</v>
      </c>
      <c r="I23" s="11">
        <f>VALO_PERSO!R25</f>
        <v>23934.629999999997</v>
      </c>
      <c r="J23" s="11">
        <f>VALO_PERSO!S25</f>
        <v>22990.989999999998</v>
      </c>
      <c r="K23" s="28">
        <f>VALO_PERSO!V25</f>
        <v>79656.36</v>
      </c>
      <c r="L23" s="28">
        <f>VALO_PERSO!W25</f>
        <v>1645.4399999999998</v>
      </c>
      <c r="M23" s="28">
        <f>VALO_PERSO!X25</f>
        <v>48.410370478413071</v>
      </c>
      <c r="N23" s="11">
        <f>VALO_PERSO!Y25</f>
        <v>402.80000000000075</v>
      </c>
      <c r="O23" s="11">
        <f>VALO_PERSO!Z25</f>
        <v>955.40000000000225</v>
      </c>
      <c r="P23" s="11">
        <f>VALO_PERSO!AA25</f>
        <v>0</v>
      </c>
      <c r="Q23" s="11">
        <f>VALO_PERSO!AB25</f>
        <v>0</v>
      </c>
      <c r="R23" s="11">
        <f>VALO_PERSO!AC25</f>
        <v>34.200000000000003</v>
      </c>
      <c r="S23" s="11">
        <f>VALO_PERSO!AD25</f>
        <v>0</v>
      </c>
      <c r="T23" s="81">
        <f>VALO_PERSO!AF25</f>
        <v>1392.400000000003</v>
      </c>
      <c r="V23" s="11">
        <f>VALO_PERSO!AI25</f>
        <v>0</v>
      </c>
      <c r="W23" s="40"/>
      <c r="X23" s="81">
        <f>VALO_PERSO!AK25</f>
        <v>0</v>
      </c>
      <c r="Z23" s="11">
        <f>VALO_PERSO!AN25</f>
        <v>0</v>
      </c>
      <c r="AA23" s="40"/>
      <c r="AB23" s="81">
        <f>VALO_PERSO!AP25</f>
        <v>0</v>
      </c>
      <c r="AD23" s="28">
        <f>VALO_PERSO!AS25</f>
        <v>19499.697228704823</v>
      </c>
      <c r="AE23" s="28">
        <f>VALO_PERSO!AT25</f>
        <v>46251.267955075957</v>
      </c>
      <c r="AF23" s="28">
        <f>VALO_PERSO!AU25</f>
        <v>0</v>
      </c>
      <c r="AG23" s="28">
        <f>VALO_PERSO!AV25</f>
        <v>0</v>
      </c>
      <c r="AH23" s="28">
        <f>VALO_PERSO!AW25</f>
        <v>1655.6346703617271</v>
      </c>
      <c r="AI23" s="28">
        <f>VALO_PERSO!AX25</f>
        <v>0</v>
      </c>
      <c r="AJ23" s="81">
        <f>VALO_PERSO!AZ25</f>
        <v>67406.599854142507</v>
      </c>
      <c r="AL23" s="11">
        <f>VALO_PERSO!BB25</f>
        <v>0</v>
      </c>
      <c r="AM23" s="40"/>
      <c r="AN23" s="81">
        <f>VALO_PERSO!BD25</f>
        <v>0</v>
      </c>
      <c r="AP23" s="11">
        <f>VALO_PERSO!BF25</f>
        <v>0</v>
      </c>
      <c r="AQ23" s="40"/>
      <c r="AR23" s="81">
        <f>VALO_PERSO!BH25</f>
        <v>0</v>
      </c>
      <c r="AT23" s="11">
        <f>VALO_PERSO!BJ25</f>
        <v>253.03999999999678</v>
      </c>
      <c r="AU23" s="11">
        <f>VALO_PERSO!BK25</f>
        <v>1645.4399999999998</v>
      </c>
      <c r="AV23" s="11">
        <f>VALO_PERSO!BL25</f>
        <v>0</v>
      </c>
      <c r="AW23" s="11">
        <f>VALO_PERSO!BM25</f>
        <v>0</v>
      </c>
    </row>
    <row r="24" spans="1:49" ht="15.75" x14ac:dyDescent="0.3">
      <c r="A24" s="111" t="s">
        <v>813</v>
      </c>
      <c r="B24" s="11">
        <f>VALO_PERSO!F26</f>
        <v>33</v>
      </c>
      <c r="C24" s="11" t="str">
        <f>VALO_PERSO!G26</f>
        <v>MENANTEAU</v>
      </c>
      <c r="D24" s="11" t="str">
        <f>VALO_PERSO!H26</f>
        <v>Mylène</v>
      </c>
      <c r="E24" s="11" t="str">
        <f>VALO_PERSO!I26</f>
        <v>Assistante Ingénieur</v>
      </c>
      <c r="F24" s="11" t="str">
        <f>VALO_PERSO!J26</f>
        <v>Licence Professionnelle - Génie Biotechnologies -  Université Paris XI</v>
      </c>
      <c r="G24" s="11">
        <f>VALO_PERSO!K26</f>
        <v>2014</v>
      </c>
      <c r="H24" s="11">
        <f>VALO_PERSO!P26</f>
        <v>38315.9</v>
      </c>
      <c r="I24" s="11">
        <f>VALO_PERSO!R26</f>
        <v>14444.98</v>
      </c>
      <c r="J24" s="11">
        <f>VALO_PERSO!S26</f>
        <v>13814.29</v>
      </c>
      <c r="K24" s="28">
        <f>VALO_PERSO!V26</f>
        <v>52130.19</v>
      </c>
      <c r="L24" s="28">
        <f>VALO_PERSO!W26</f>
        <v>1611.24</v>
      </c>
      <c r="M24" s="28">
        <f>VALO_PERSO!X26</f>
        <v>32.354081328666119</v>
      </c>
      <c r="N24" s="11">
        <f>VALO_PERSO!Y26</f>
        <v>0</v>
      </c>
      <c r="O24" s="11">
        <f>VALO_PERSO!Z26</f>
        <v>1519.9999999999961</v>
      </c>
      <c r="P24" s="11">
        <f>VALO_PERSO!AA26</f>
        <v>0</v>
      </c>
      <c r="Q24" s="11">
        <f>VALO_PERSO!AB26</f>
        <v>0</v>
      </c>
      <c r="R24" s="11">
        <f>VALO_PERSO!AC26</f>
        <v>0</v>
      </c>
      <c r="S24" s="11">
        <f>VALO_PERSO!AD26</f>
        <v>0</v>
      </c>
      <c r="T24" s="81">
        <f>VALO_PERSO!AF26</f>
        <v>1519.9999999999961</v>
      </c>
      <c r="V24" s="11">
        <f>VALO_PERSO!AI26</f>
        <v>0</v>
      </c>
      <c r="W24" s="40"/>
      <c r="X24" s="81">
        <f>VALO_PERSO!AK26</f>
        <v>0</v>
      </c>
      <c r="Z24" s="11">
        <f>VALO_PERSO!AN26</f>
        <v>0</v>
      </c>
      <c r="AA24" s="40"/>
      <c r="AB24" s="81">
        <f>VALO_PERSO!AP26</f>
        <v>0</v>
      </c>
      <c r="AD24" s="28">
        <f>VALO_PERSO!AS26</f>
        <v>0</v>
      </c>
      <c r="AE24" s="28">
        <f>VALO_PERSO!AT26</f>
        <v>49178.203619572378</v>
      </c>
      <c r="AF24" s="28">
        <f>VALO_PERSO!AU26</f>
        <v>0</v>
      </c>
      <c r="AG24" s="28">
        <f>VALO_PERSO!AV26</f>
        <v>0</v>
      </c>
      <c r="AH24" s="28">
        <f>VALO_PERSO!AW26</f>
        <v>0</v>
      </c>
      <c r="AI24" s="28">
        <f>VALO_PERSO!AX26</f>
        <v>0</v>
      </c>
      <c r="AJ24" s="81">
        <f>VALO_PERSO!AZ26</f>
        <v>49178.203619572378</v>
      </c>
      <c r="AL24" s="11">
        <f>VALO_PERSO!BB26</f>
        <v>0</v>
      </c>
      <c r="AM24" s="40"/>
      <c r="AN24" s="81">
        <f>VALO_PERSO!BD26</f>
        <v>0</v>
      </c>
      <c r="AP24" s="11">
        <f>VALO_PERSO!BF26</f>
        <v>0</v>
      </c>
      <c r="AQ24" s="40"/>
      <c r="AR24" s="81">
        <f>VALO_PERSO!BH26</f>
        <v>0</v>
      </c>
      <c r="AT24" s="11">
        <f>VALO_PERSO!BJ26</f>
        <v>91.240000000003874</v>
      </c>
      <c r="AU24" s="11">
        <f>VALO_PERSO!BK26</f>
        <v>1611.24</v>
      </c>
      <c r="AV24" s="11">
        <f>VALO_PERSO!BL26</f>
        <v>0</v>
      </c>
      <c r="AW24" s="11">
        <f>VALO_PERSO!BM26</f>
        <v>0</v>
      </c>
    </row>
    <row r="25" spans="1:49" ht="15.75" x14ac:dyDescent="0.3">
      <c r="A25" s="111" t="s">
        <v>813</v>
      </c>
      <c r="B25" s="11">
        <f>VALO_PERSO!F27</f>
        <v>34</v>
      </c>
      <c r="C25" s="11" t="str">
        <f>VALO_PERSO!G27</f>
        <v>THOMAS</v>
      </c>
      <c r="D25" s="11" t="str">
        <f>VALO_PERSO!H27</f>
        <v>Pierre</v>
      </c>
      <c r="E25" s="11" t="str">
        <f>VALO_PERSO!I27</f>
        <v>Technicien Pilote</v>
      </c>
      <c r="F25" s="11" t="str">
        <f>VALO_PERSO!J27</f>
        <v>DUT - Chimie industrielle - IUT Rennes</v>
      </c>
      <c r="G25" s="11">
        <f>VALO_PERSO!K27</f>
        <v>2022</v>
      </c>
      <c r="H25" s="11">
        <f>VALO_PERSO!P27</f>
        <v>36818.67</v>
      </c>
      <c r="I25" s="11">
        <f>VALO_PERSO!R27</f>
        <v>13142.329999999998</v>
      </c>
      <c r="J25" s="11">
        <f>VALO_PERSO!S27</f>
        <v>12536.34</v>
      </c>
      <c r="K25" s="28">
        <f>VALO_PERSO!V27</f>
        <v>49355.009999999995</v>
      </c>
      <c r="L25" s="28">
        <f>VALO_PERSO!W27</f>
        <v>1637.84</v>
      </c>
      <c r="M25" s="28">
        <f>VALO_PERSO!X27</f>
        <v>30.134207248571286</v>
      </c>
      <c r="N25" s="11">
        <f>VALO_PERSO!Y27</f>
        <v>22.799999999999997</v>
      </c>
      <c r="O25" s="11">
        <f>VALO_PERSO!Z27</f>
        <v>1349.8000000000018</v>
      </c>
      <c r="P25" s="11">
        <f>VALO_PERSO!AA27</f>
        <v>132.64999999999998</v>
      </c>
      <c r="Q25" s="11">
        <f>VALO_PERSO!AB27</f>
        <v>0</v>
      </c>
      <c r="R25" s="11">
        <f>VALO_PERSO!AC27</f>
        <v>0</v>
      </c>
      <c r="S25" s="11">
        <f>VALO_PERSO!AD27</f>
        <v>0</v>
      </c>
      <c r="T25" s="81">
        <f>VALO_PERSO!AF27</f>
        <v>1505.2500000000018</v>
      </c>
      <c r="V25" s="11">
        <f>VALO_PERSO!AI27</f>
        <v>0</v>
      </c>
      <c r="W25" s="40"/>
      <c r="X25" s="81">
        <f>VALO_PERSO!AK27</f>
        <v>0</v>
      </c>
      <c r="Z25" s="11">
        <f>VALO_PERSO!AN27</f>
        <v>0</v>
      </c>
      <c r="AA25" s="40"/>
      <c r="AB25" s="81">
        <f>VALO_PERSO!AP27</f>
        <v>0</v>
      </c>
      <c r="AD25" s="28">
        <f>VALO_PERSO!AS27</f>
        <v>687.05992526742523</v>
      </c>
      <c r="AE25" s="28">
        <f>VALO_PERSO!AT27</f>
        <v>40675.152944121575</v>
      </c>
      <c r="AF25" s="28">
        <f>VALO_PERSO!AU27</f>
        <v>3997.3025915229809</v>
      </c>
      <c r="AG25" s="28">
        <f>VALO_PERSO!AV27</f>
        <v>0</v>
      </c>
      <c r="AH25" s="28">
        <f>VALO_PERSO!AW27</f>
        <v>0</v>
      </c>
      <c r="AI25" s="28">
        <f>VALO_PERSO!AX27</f>
        <v>0</v>
      </c>
      <c r="AJ25" s="81">
        <f>VALO_PERSO!AZ27</f>
        <v>45359.515460911978</v>
      </c>
      <c r="AL25" s="11">
        <f>VALO_PERSO!BB27</f>
        <v>0</v>
      </c>
      <c r="AM25" s="40"/>
      <c r="AN25" s="81">
        <f>VALO_PERSO!BD27</f>
        <v>0</v>
      </c>
      <c r="AP25" s="11">
        <f>VALO_PERSO!BF27</f>
        <v>0</v>
      </c>
      <c r="AQ25" s="40"/>
      <c r="AR25" s="81">
        <f>VALO_PERSO!BH27</f>
        <v>0</v>
      </c>
      <c r="AT25" s="11">
        <f>VALO_PERSO!BJ27</f>
        <v>132.5899999999981</v>
      </c>
      <c r="AU25" s="11">
        <f>VALO_PERSO!BK27</f>
        <v>1637.84</v>
      </c>
      <c r="AV25" s="11">
        <f>VALO_PERSO!BL27</f>
        <v>0</v>
      </c>
      <c r="AW25" s="11">
        <f>VALO_PERSO!BM27</f>
        <v>0</v>
      </c>
    </row>
    <row r="26" spans="1:49" ht="15.75" x14ac:dyDescent="0.3">
      <c r="A26" s="111" t="s">
        <v>813</v>
      </c>
      <c r="B26" s="11">
        <f>VALO_PERSO!F28</f>
        <v>35</v>
      </c>
      <c r="C26" s="11" t="str">
        <f>VALO_PERSO!G28</f>
        <v>PEROCHEAU</v>
      </c>
      <c r="D26" s="11" t="str">
        <f>VALO_PERSO!H28</f>
        <v>Clément</v>
      </c>
      <c r="E26" s="11" t="str">
        <f>VALO_PERSO!I28</f>
        <v>Technicien Pilote</v>
      </c>
      <c r="F26" s="11" t="str">
        <f>VALO_PERSO!J28</f>
        <v>Baccalauréat Professionnel Chimie</v>
      </c>
      <c r="G26" s="11">
        <f>VALO_PERSO!K28</f>
        <v>2007</v>
      </c>
      <c r="H26" s="11">
        <f>VALO_PERSO!P28</f>
        <v>38778.019999999997</v>
      </c>
      <c r="I26" s="11">
        <f>VALO_PERSO!R28</f>
        <v>14229.429999999998</v>
      </c>
      <c r="J26" s="11">
        <f>VALO_PERSO!S28</f>
        <v>13591.119999999999</v>
      </c>
      <c r="K26" s="28">
        <f>VALO_PERSO!V28</f>
        <v>52369.14</v>
      </c>
      <c r="L26" s="28">
        <f>VALO_PERSO!W28</f>
        <v>1512.4399999999998</v>
      </c>
      <c r="M26" s="28">
        <f>VALO_PERSO!X28</f>
        <v>34.625598370844465</v>
      </c>
      <c r="N26" s="11">
        <f>VALO_PERSO!Y28</f>
        <v>0</v>
      </c>
      <c r="O26" s="11">
        <f>VALO_PERSO!Z28</f>
        <v>1179.6400000000008</v>
      </c>
      <c r="P26" s="11">
        <f>VALO_PERSO!AA28</f>
        <v>162.14999999999998</v>
      </c>
      <c r="Q26" s="11">
        <f>VALO_PERSO!AB28</f>
        <v>0</v>
      </c>
      <c r="R26" s="11">
        <f>VALO_PERSO!AC28</f>
        <v>0</v>
      </c>
      <c r="S26" s="11">
        <f>VALO_PERSO!AD28</f>
        <v>0</v>
      </c>
      <c r="T26" s="81">
        <f>VALO_PERSO!AF28</f>
        <v>1341.7900000000009</v>
      </c>
      <c r="V26" s="11">
        <f>VALO_PERSO!AI28</f>
        <v>0</v>
      </c>
      <c r="W26" s="40"/>
      <c r="X26" s="81">
        <f>VALO_PERSO!AK28</f>
        <v>0</v>
      </c>
      <c r="Z26" s="11">
        <f>VALO_PERSO!AN28</f>
        <v>0</v>
      </c>
      <c r="AA26" s="40"/>
      <c r="AB26" s="81">
        <f>VALO_PERSO!AP28</f>
        <v>0</v>
      </c>
      <c r="AD26" s="28">
        <f>VALO_PERSO!AS28</f>
        <v>0</v>
      </c>
      <c r="AE26" s="28">
        <f>VALO_PERSO!AT28</f>
        <v>40845.740862182996</v>
      </c>
      <c r="AF26" s="28">
        <f>VALO_PERSO!AU28</f>
        <v>5614.54077583243</v>
      </c>
      <c r="AG26" s="28">
        <f>VALO_PERSO!AV28</f>
        <v>0</v>
      </c>
      <c r="AH26" s="28">
        <f>VALO_PERSO!AW28</f>
        <v>0</v>
      </c>
      <c r="AI26" s="28">
        <f>VALO_PERSO!AX28</f>
        <v>0</v>
      </c>
      <c r="AJ26" s="81">
        <f>VALO_PERSO!AZ28</f>
        <v>46460.281638015425</v>
      </c>
      <c r="AL26" s="11">
        <f>VALO_PERSO!BB28</f>
        <v>0</v>
      </c>
      <c r="AM26" s="40"/>
      <c r="AN26" s="81">
        <f>VALO_PERSO!BD28</f>
        <v>0</v>
      </c>
      <c r="AP26" s="11">
        <f>VALO_PERSO!BF28</f>
        <v>0</v>
      </c>
      <c r="AQ26" s="40"/>
      <c r="AR26" s="81">
        <f>VALO_PERSO!BH28</f>
        <v>0</v>
      </c>
      <c r="AT26" s="11">
        <f>VALO_PERSO!BJ28</f>
        <v>170.64999999999895</v>
      </c>
      <c r="AU26" s="11">
        <f>VALO_PERSO!BK28</f>
        <v>1512.4399999999998</v>
      </c>
      <c r="AV26" s="11">
        <f>VALO_PERSO!BL28</f>
        <v>0</v>
      </c>
      <c r="AW26" s="11">
        <f>VALO_PERSO!BM28</f>
        <v>0</v>
      </c>
    </row>
    <row r="27" spans="1:49" ht="15.75" x14ac:dyDescent="0.3">
      <c r="A27" s="111" t="s">
        <v>813</v>
      </c>
      <c r="B27" s="11">
        <f>VALO_PERSO!F29</f>
        <v>36</v>
      </c>
      <c r="C27" s="11" t="str">
        <f>VALO_PERSO!G29</f>
        <v>PINCHART</v>
      </c>
      <c r="D27" s="11" t="str">
        <f>VALO_PERSO!H29</f>
        <v>Alain</v>
      </c>
      <c r="E27" s="11" t="str">
        <f>VALO_PERSO!I29</f>
        <v>Directeur des opérations</v>
      </c>
      <c r="F27" s="11" t="str">
        <f>VALO_PERSO!J29</f>
        <v>Doctorat - Sciences - Université Libre de Bruxelles</v>
      </c>
      <c r="G27" s="11">
        <f>VALO_PERSO!K29</f>
        <v>2000</v>
      </c>
      <c r="H27" s="11">
        <f>VALO_PERSO!P29</f>
        <v>138740.99</v>
      </c>
      <c r="I27" s="11">
        <f>VALO_PERSO!R29</f>
        <v>60213.909999999996</v>
      </c>
      <c r="J27" s="11">
        <f>VALO_PERSO!S29</f>
        <v>57971.85</v>
      </c>
      <c r="K27" s="28">
        <f>VALO_PERSO!V29</f>
        <v>196712.84</v>
      </c>
      <c r="L27" s="28">
        <f>VALO_PERSO!W29</f>
        <v>1740.44</v>
      </c>
      <c r="M27" s="28">
        <f>VALO_PERSO!X29</f>
        <v>113.02477534416583</v>
      </c>
      <c r="N27" s="11">
        <f>VALO_PERSO!Y29</f>
        <v>0</v>
      </c>
      <c r="O27" s="11">
        <f>VALO_PERSO!Z29</f>
        <v>870.22</v>
      </c>
      <c r="P27" s="11">
        <f>VALO_PERSO!AA29</f>
        <v>0</v>
      </c>
      <c r="Q27" s="11">
        <f>VALO_PERSO!AB29</f>
        <v>0</v>
      </c>
      <c r="R27" s="11">
        <f>VALO_PERSO!AC29</f>
        <v>0</v>
      </c>
      <c r="S27" s="11">
        <f>VALO_PERSO!AD29</f>
        <v>0</v>
      </c>
      <c r="T27" s="81">
        <f>VALO_PERSO!AF29</f>
        <v>870.22</v>
      </c>
      <c r="V27" s="11">
        <f>VALO_PERSO!AI29</f>
        <v>0</v>
      </c>
      <c r="W27" s="40"/>
      <c r="X27" s="81">
        <f>VALO_PERSO!AK29</f>
        <v>0</v>
      </c>
      <c r="Z27" s="11">
        <f>VALO_PERSO!AN29</f>
        <v>0</v>
      </c>
      <c r="AA27" s="40"/>
      <c r="AB27" s="81">
        <f>VALO_PERSO!AP29</f>
        <v>0</v>
      </c>
      <c r="AD27" s="28">
        <f>VALO_PERSO!AS29</f>
        <v>0</v>
      </c>
      <c r="AE27" s="28">
        <f>VALO_PERSO!AT29</f>
        <v>98356.42</v>
      </c>
      <c r="AF27" s="28">
        <f>VALO_PERSO!AU29</f>
        <v>0</v>
      </c>
      <c r="AG27" s="28">
        <f>VALO_PERSO!AV29</f>
        <v>0</v>
      </c>
      <c r="AH27" s="28">
        <f>VALO_PERSO!AW29</f>
        <v>0</v>
      </c>
      <c r="AI27" s="28">
        <f>VALO_PERSO!AX29</f>
        <v>0</v>
      </c>
      <c r="AJ27" s="81">
        <f>VALO_PERSO!AZ29</f>
        <v>98356.42</v>
      </c>
      <c r="AL27" s="11">
        <f>VALO_PERSO!BB29</f>
        <v>0</v>
      </c>
      <c r="AM27" s="40"/>
      <c r="AN27" s="81">
        <f>VALO_PERSO!BD29</f>
        <v>0</v>
      </c>
      <c r="AP27" s="11">
        <f>VALO_PERSO!BF29</f>
        <v>0</v>
      </c>
      <c r="AQ27" s="40"/>
      <c r="AR27" s="81">
        <f>VALO_PERSO!BH29</f>
        <v>0</v>
      </c>
      <c r="AT27" s="11">
        <f>VALO_PERSO!BJ29</f>
        <v>870.22</v>
      </c>
      <c r="AU27" s="11">
        <f>VALO_PERSO!BK29</f>
        <v>1740.44</v>
      </c>
      <c r="AV27" s="11">
        <f>VALO_PERSO!BL29</f>
        <v>0</v>
      </c>
      <c r="AW27" s="11">
        <f>VALO_PERSO!BM29</f>
        <v>0</v>
      </c>
    </row>
    <row r="28" spans="1:49" ht="15.75" x14ac:dyDescent="0.3">
      <c r="A28" s="111" t="s">
        <v>813</v>
      </c>
      <c r="B28" s="11">
        <f>VALO_PERSO!F30</f>
        <v>37</v>
      </c>
      <c r="C28" s="11" t="str">
        <f>VALO_PERSO!G30</f>
        <v>COMBRET</v>
      </c>
      <c r="D28" s="11" t="str">
        <f>VALO_PERSO!H30</f>
        <v>Yves</v>
      </c>
      <c r="E28" s="11" t="str">
        <f>VALO_PERSO!I30</f>
        <v>Responsable Industrialisation</v>
      </c>
      <c r="F28" s="11" t="str">
        <f>VALO_PERSO!J30</f>
        <v>Doctorat - Sciences Physiques - Université de Rouen</v>
      </c>
      <c r="G28" s="11">
        <f>VALO_PERSO!K30</f>
        <v>1992</v>
      </c>
      <c r="H28" s="11">
        <f>VALO_PERSO!P30</f>
        <v>96673.07</v>
      </c>
      <c r="I28" s="11">
        <f>VALO_PERSO!R30</f>
        <v>42525.479999999996</v>
      </c>
      <c r="J28" s="11">
        <f>VALO_PERSO!S30</f>
        <v>40948.959999999999</v>
      </c>
      <c r="K28" s="28">
        <f>VALO_PERSO!V30</f>
        <v>137622.03</v>
      </c>
      <c r="L28" s="28">
        <f>VALO_PERSO!W30</f>
        <v>1649.24</v>
      </c>
      <c r="M28" s="28">
        <f>VALO_PERSO!X30</f>
        <v>83.445726516456062</v>
      </c>
      <c r="N28" s="11">
        <f>VALO_PERSO!Y30</f>
        <v>30.400000000000002</v>
      </c>
      <c r="O28" s="11">
        <f>VALO_PERSO!Z30</f>
        <v>912.00000000000125</v>
      </c>
      <c r="P28" s="11">
        <f>VALO_PERSO!AA30</f>
        <v>315.39999999999998</v>
      </c>
      <c r="Q28" s="11">
        <f>VALO_PERSO!AB30</f>
        <v>15.2</v>
      </c>
      <c r="R28" s="11">
        <f>VALO_PERSO!AC30</f>
        <v>0</v>
      </c>
      <c r="S28" s="11">
        <f>VALO_PERSO!AD30</f>
        <v>79.799999999999969</v>
      </c>
      <c r="T28" s="81">
        <f>VALO_PERSO!AF30</f>
        <v>1352.8000000000011</v>
      </c>
      <c r="V28" s="11">
        <f>VALO_PERSO!AI30</f>
        <v>0</v>
      </c>
      <c r="W28" s="40"/>
      <c r="X28" s="81">
        <f>VALO_PERSO!AK30</f>
        <v>0</v>
      </c>
      <c r="Z28" s="11">
        <f>VALO_PERSO!AN30</f>
        <v>0</v>
      </c>
      <c r="AA28" s="40"/>
      <c r="AB28" s="81">
        <f>VALO_PERSO!AP30</f>
        <v>0</v>
      </c>
      <c r="AD28" s="28">
        <f>VALO_PERSO!AS30</f>
        <v>2536.7500861002645</v>
      </c>
      <c r="AE28" s="28">
        <f>VALO_PERSO!AT30</f>
        <v>76102.502583008041</v>
      </c>
      <c r="AF28" s="28">
        <f>VALO_PERSO!AU30</f>
        <v>26318.782143290238</v>
      </c>
      <c r="AG28" s="28">
        <f>VALO_PERSO!AV30</f>
        <v>1268.375043050132</v>
      </c>
      <c r="AH28" s="28">
        <f>VALO_PERSO!AW30</f>
        <v>0</v>
      </c>
      <c r="AI28" s="28">
        <f>VALO_PERSO!AX30</f>
        <v>6658.9689760131914</v>
      </c>
      <c r="AJ28" s="81">
        <f>VALO_PERSO!AZ30</f>
        <v>112885.37883146187</v>
      </c>
      <c r="AL28" s="11">
        <f>VALO_PERSO!BB30</f>
        <v>0</v>
      </c>
      <c r="AM28" s="40"/>
      <c r="AN28" s="81">
        <f>VALO_PERSO!BD30</f>
        <v>0</v>
      </c>
      <c r="AP28" s="11">
        <f>VALO_PERSO!BF30</f>
        <v>0</v>
      </c>
      <c r="AQ28" s="40"/>
      <c r="AR28" s="81">
        <f>VALO_PERSO!BH30</f>
        <v>0</v>
      </c>
      <c r="AT28" s="11">
        <f>VALO_PERSO!BJ30</f>
        <v>296.43999999999892</v>
      </c>
      <c r="AU28" s="11">
        <f>VALO_PERSO!BK30</f>
        <v>1649.24</v>
      </c>
      <c r="AV28" s="11">
        <f>VALO_PERSO!BL30</f>
        <v>0</v>
      </c>
      <c r="AW28" s="11">
        <f>VALO_PERSO!BM30</f>
        <v>0</v>
      </c>
    </row>
    <row r="29" spans="1:49" ht="15.75" x14ac:dyDescent="0.3">
      <c r="A29" s="111" t="s">
        <v>813</v>
      </c>
      <c r="B29" s="11">
        <f>VALO_PERSO!F31</f>
        <v>38</v>
      </c>
      <c r="C29" s="11" t="str">
        <f>VALO_PERSO!G31</f>
        <v>DRAME</v>
      </c>
      <c r="D29" s="11" t="str">
        <f>VALO_PERSO!H31</f>
        <v>Aisatou</v>
      </c>
      <c r="E29" s="11" t="str">
        <f>VALO_PERSO!I31</f>
        <v>Assistant Ingénieur</v>
      </c>
      <c r="F29" s="11" t="str">
        <f>VALO_PERSO!J31</f>
        <v>Licence Profesionnelle - Chimie de Synthèse - Université Paris-Saclay</v>
      </c>
      <c r="G29" s="11">
        <f>VALO_PERSO!K31</f>
        <v>2020</v>
      </c>
      <c r="H29" s="11">
        <f>VALO_PERSO!P31</f>
        <v>38855.14</v>
      </c>
      <c r="I29" s="11">
        <f>VALO_PERSO!R31</f>
        <v>14253.380000000001</v>
      </c>
      <c r="J29" s="11">
        <f>VALO_PERSO!S31</f>
        <v>13613.800000000001</v>
      </c>
      <c r="K29" s="28">
        <f>VALO_PERSO!V31</f>
        <v>52690.94</v>
      </c>
      <c r="L29" s="28">
        <f>VALO_PERSO!W31</f>
        <v>1675.84</v>
      </c>
      <c r="M29" s="28">
        <f>VALO_PERSO!X31</f>
        <v>31.441509929348868</v>
      </c>
      <c r="N29" s="11">
        <f>VALO_PERSO!Y31</f>
        <v>0</v>
      </c>
      <c r="O29" s="11">
        <f>VALO_PERSO!Z31</f>
        <v>254.59999999999988</v>
      </c>
      <c r="P29" s="11">
        <f>VALO_PERSO!AA31</f>
        <v>1284.399999999999</v>
      </c>
      <c r="Q29" s="11">
        <f>VALO_PERSO!AB31</f>
        <v>0</v>
      </c>
      <c r="R29" s="11">
        <f>VALO_PERSO!AC31</f>
        <v>0</v>
      </c>
      <c r="S29" s="11">
        <f>VALO_PERSO!AD31</f>
        <v>0</v>
      </c>
      <c r="T29" s="81">
        <f>VALO_PERSO!AF31</f>
        <v>1538.9999999999989</v>
      </c>
      <c r="V29" s="11">
        <f>VALO_PERSO!AI31</f>
        <v>0</v>
      </c>
      <c r="W29" s="40"/>
      <c r="X29" s="81">
        <f>VALO_PERSO!AK31</f>
        <v>0</v>
      </c>
      <c r="Z29" s="11">
        <f>VALO_PERSO!AN31</f>
        <v>0</v>
      </c>
      <c r="AA29" s="40"/>
      <c r="AB29" s="81">
        <f>VALO_PERSO!AP31</f>
        <v>0</v>
      </c>
      <c r="AD29" s="28">
        <f>VALO_PERSO!AS31</f>
        <v>0</v>
      </c>
      <c r="AE29" s="28">
        <f>VALO_PERSO!AT31</f>
        <v>8005.0084280122173</v>
      </c>
      <c r="AF29" s="28">
        <f>VALO_PERSO!AU31</f>
        <v>40383.475353255657</v>
      </c>
      <c r="AG29" s="28">
        <f>VALO_PERSO!AV31</f>
        <v>0</v>
      </c>
      <c r="AH29" s="28">
        <f>VALO_PERSO!AW31</f>
        <v>0</v>
      </c>
      <c r="AI29" s="28">
        <f>VALO_PERSO!AX31</f>
        <v>0</v>
      </c>
      <c r="AJ29" s="81">
        <f>VALO_PERSO!AZ31</f>
        <v>48388.483781267874</v>
      </c>
      <c r="AL29" s="11">
        <f>VALO_PERSO!BB31</f>
        <v>0</v>
      </c>
      <c r="AM29" s="40"/>
      <c r="AN29" s="81">
        <f>VALO_PERSO!BD31</f>
        <v>0</v>
      </c>
      <c r="AP29" s="11">
        <f>VALO_PERSO!BF31</f>
        <v>0</v>
      </c>
      <c r="AQ29" s="40"/>
      <c r="AR29" s="81">
        <f>VALO_PERSO!BH31</f>
        <v>0</v>
      </c>
      <c r="AT29" s="11">
        <f>VALO_PERSO!BJ31</f>
        <v>136.84000000000106</v>
      </c>
      <c r="AU29" s="11">
        <f>VALO_PERSO!BK31</f>
        <v>1675.84</v>
      </c>
      <c r="AV29" s="11">
        <f>VALO_PERSO!BL31</f>
        <v>0</v>
      </c>
      <c r="AW29" s="11">
        <f>VALO_PERSO!BM31</f>
        <v>0</v>
      </c>
    </row>
    <row r="30" spans="1:49" ht="15.75" x14ac:dyDescent="0.3">
      <c r="A30" s="111" t="s">
        <v>813</v>
      </c>
      <c r="B30" s="11">
        <f>VALO_PERSO!F32</f>
        <v>40</v>
      </c>
      <c r="C30" s="11" t="str">
        <f>VALO_PERSO!G32</f>
        <v>SLIMANE</v>
      </c>
      <c r="D30" s="11" t="str">
        <f>VALO_PERSO!H32</f>
        <v>Mehdi</v>
      </c>
      <c r="E30" s="11" t="str">
        <f>VALO_PERSO!I32</f>
        <v>Apprenti</v>
      </c>
      <c r="F30" s="11" t="str">
        <f>VALO_PERSO!J32</f>
        <v>Baccalauréat Profesionnel - Procédés de la Chimie, de l'eau et des papiers-cartons</v>
      </c>
      <c r="G30" s="11">
        <f>VALO_PERSO!K32</f>
        <v>2023</v>
      </c>
      <c r="H30" s="11">
        <f>VALO_PERSO!P32</f>
        <v>7716.54</v>
      </c>
      <c r="I30" s="11">
        <f>VALO_PERSO!R32</f>
        <v>544.72000000000014</v>
      </c>
      <c r="J30" s="11">
        <f>VALO_PERSO!S32</f>
        <v>417.73</v>
      </c>
      <c r="K30" s="28">
        <f>VALO_PERSO!V32</f>
        <v>8134.27</v>
      </c>
      <c r="L30" s="28">
        <f>VALO_PERSO!W32</f>
        <v>809.29000000000008</v>
      </c>
      <c r="M30" s="28">
        <f>VALO_PERSO!X32</f>
        <v>10.051118881982973</v>
      </c>
      <c r="N30" s="11">
        <f>VALO_PERSO!Y32</f>
        <v>0</v>
      </c>
      <c r="O30" s="11">
        <f>VALO_PERSO!Z32</f>
        <v>425</v>
      </c>
      <c r="P30" s="11">
        <f>VALO_PERSO!AA32</f>
        <v>0</v>
      </c>
      <c r="Q30" s="11">
        <f>VALO_PERSO!AB32</f>
        <v>0</v>
      </c>
      <c r="R30" s="11">
        <f>VALO_PERSO!AC32</f>
        <v>0</v>
      </c>
      <c r="S30" s="11">
        <f>VALO_PERSO!AD32</f>
        <v>0</v>
      </c>
      <c r="T30" s="81">
        <f>VALO_PERSO!AF32</f>
        <v>425</v>
      </c>
      <c r="V30" s="11">
        <f>VALO_PERSO!AI32</f>
        <v>0</v>
      </c>
      <c r="W30" s="40"/>
      <c r="X30" s="81">
        <f>VALO_PERSO!AK32</f>
        <v>0</v>
      </c>
      <c r="Z30" s="11">
        <f>VALO_PERSO!AN32</f>
        <v>0</v>
      </c>
      <c r="AA30" s="40"/>
      <c r="AB30" s="81">
        <f>VALO_PERSO!AP32</f>
        <v>0</v>
      </c>
      <c r="AD30" s="28">
        <f>VALO_PERSO!AS32</f>
        <v>0</v>
      </c>
      <c r="AE30" s="28">
        <f>VALO_PERSO!AT32</f>
        <v>4271.7255248427628</v>
      </c>
      <c r="AF30" s="28">
        <f>VALO_PERSO!AU32</f>
        <v>0</v>
      </c>
      <c r="AG30" s="28">
        <f>VALO_PERSO!AV32</f>
        <v>0</v>
      </c>
      <c r="AH30" s="28">
        <f>VALO_PERSO!AW32</f>
        <v>0</v>
      </c>
      <c r="AI30" s="28">
        <f>VALO_PERSO!AX32</f>
        <v>0</v>
      </c>
      <c r="AJ30" s="81">
        <f>VALO_PERSO!AZ32</f>
        <v>4271.7255248427628</v>
      </c>
      <c r="AL30" s="11">
        <f>VALO_PERSO!BB32</f>
        <v>0</v>
      </c>
      <c r="AM30" s="40"/>
      <c r="AN30" s="81">
        <f>VALO_PERSO!BD32</f>
        <v>0</v>
      </c>
      <c r="AP30" s="11">
        <f>VALO_PERSO!BF32</f>
        <v>0</v>
      </c>
      <c r="AQ30" s="40"/>
      <c r="AR30" s="81">
        <f>VALO_PERSO!BH32</f>
        <v>0</v>
      </c>
      <c r="AT30" s="11">
        <f>VALO_PERSO!BJ32</f>
        <v>384.29000000000008</v>
      </c>
      <c r="AU30" s="11">
        <f>VALO_PERSO!BK32</f>
        <v>809.29000000000008</v>
      </c>
      <c r="AV30" s="11">
        <f>VALO_PERSO!BL32</f>
        <v>0</v>
      </c>
      <c r="AW30" s="11">
        <f>VALO_PERSO!BM32</f>
        <v>0</v>
      </c>
    </row>
    <row r="31" spans="1:49" ht="15.75" x14ac:dyDescent="0.3">
      <c r="A31" s="111" t="s">
        <v>813</v>
      </c>
      <c r="B31" s="11">
        <f>VALO_PERSO!F33</f>
        <v>41</v>
      </c>
      <c r="C31" s="11" t="str">
        <f>VALO_PERSO!G33</f>
        <v>BROQUAIRE</v>
      </c>
      <c r="D31" s="11" t="str">
        <f>VALO_PERSO!H33</f>
        <v>Ameline</v>
      </c>
      <c r="E31" s="11" t="str">
        <f>VALO_PERSO!I33</f>
        <v>Technicienne Chimie Procédés - Chimie Industrielle</v>
      </c>
      <c r="F31" s="11" t="str">
        <f>VALO_PERSO!J33</f>
        <v>Licence Professionnelle - Chimie de Synthèse - Ecole Universitaire de Premier Cycle Paris-Saclay</v>
      </c>
      <c r="G31" s="11">
        <f>VALO_PERSO!K33</f>
        <v>2022</v>
      </c>
      <c r="H31" s="11">
        <f>VALO_PERSO!P33</f>
        <v>27357.07</v>
      </c>
      <c r="I31" s="11">
        <f>VALO_PERSO!R33</f>
        <v>10048.049999999999</v>
      </c>
      <c r="J31" s="11">
        <f>VALO_PERSO!S33</f>
        <v>9597.7599999999984</v>
      </c>
      <c r="K31" s="28">
        <f>VALO_PERSO!V33</f>
        <v>37078.83</v>
      </c>
      <c r="L31" s="28">
        <f>VALO_PERSO!W33</f>
        <v>1263.6599999999999</v>
      </c>
      <c r="M31" s="28">
        <f>VALO_PERSO!X33</f>
        <v>29.342410141968571</v>
      </c>
      <c r="N31" s="11">
        <f>VALO_PERSO!Y33</f>
        <v>0</v>
      </c>
      <c r="O31" s="11">
        <f>VALO_PERSO!Z33</f>
        <v>941.2</v>
      </c>
      <c r="P31" s="11">
        <f>VALO_PERSO!AA33</f>
        <v>0</v>
      </c>
      <c r="Q31" s="11">
        <f>VALO_PERSO!AB33</f>
        <v>0</v>
      </c>
      <c r="R31" s="11">
        <f>VALO_PERSO!AC33</f>
        <v>0</v>
      </c>
      <c r="S31" s="11">
        <f>VALO_PERSO!AD33</f>
        <v>58.33</v>
      </c>
      <c r="T31" s="81">
        <f>VALO_PERSO!AF33</f>
        <v>999.53000000000009</v>
      </c>
      <c r="V31" s="11">
        <f>VALO_PERSO!AI33</f>
        <v>0</v>
      </c>
      <c r="W31" s="40"/>
      <c r="X31" s="81">
        <f>VALO_PERSO!AK33</f>
        <v>0</v>
      </c>
      <c r="Z31" s="11">
        <f>VALO_PERSO!AN33</f>
        <v>0</v>
      </c>
      <c r="AA31" s="40"/>
      <c r="AB31" s="81">
        <f>VALO_PERSO!AP33</f>
        <v>0</v>
      </c>
      <c r="AD31" s="28">
        <f>VALO_PERSO!AS33</f>
        <v>0</v>
      </c>
      <c r="AE31" s="28">
        <f>VALO_PERSO!AT33</f>
        <v>27617.07642562082</v>
      </c>
      <c r="AF31" s="28">
        <f>VALO_PERSO!AU33</f>
        <v>0</v>
      </c>
      <c r="AG31" s="28">
        <f>VALO_PERSO!AV33</f>
        <v>0</v>
      </c>
      <c r="AH31" s="28">
        <f>VALO_PERSO!AW33</f>
        <v>0</v>
      </c>
      <c r="AI31" s="28">
        <f>VALO_PERSO!AX33</f>
        <v>1711.5427835810269</v>
      </c>
      <c r="AJ31" s="81">
        <f>VALO_PERSO!AZ33</f>
        <v>29328.619209201846</v>
      </c>
      <c r="AL31" s="11">
        <f>VALO_PERSO!BB33</f>
        <v>0</v>
      </c>
      <c r="AM31" s="40"/>
      <c r="AN31" s="81">
        <f>VALO_PERSO!BD33</f>
        <v>0</v>
      </c>
      <c r="AP31" s="11">
        <f>VALO_PERSO!BF33</f>
        <v>0</v>
      </c>
      <c r="AQ31" s="40"/>
      <c r="AR31" s="81">
        <f>VALO_PERSO!BH33</f>
        <v>0</v>
      </c>
      <c r="AT31" s="11">
        <f>VALO_PERSO!BJ33</f>
        <v>264.12999999999977</v>
      </c>
      <c r="AU31" s="11">
        <f>VALO_PERSO!BK33</f>
        <v>1263.6599999999999</v>
      </c>
      <c r="AV31" s="11">
        <f>VALO_PERSO!BL33</f>
        <v>0</v>
      </c>
      <c r="AW31" s="11">
        <f>VALO_PERSO!BM33</f>
        <v>0</v>
      </c>
    </row>
    <row r="32" spans="1:49" ht="15.75" x14ac:dyDescent="0.3">
      <c r="A32" s="111" t="s">
        <v>813</v>
      </c>
      <c r="B32" s="11">
        <f>VALO_PERSO!F34</f>
        <v>42</v>
      </c>
      <c r="C32" s="11" t="str">
        <f>VALO_PERSO!G34</f>
        <v>BAMOGO</v>
      </c>
      <c r="D32" s="11" t="str">
        <f>VALO_PERSO!H34</f>
        <v>Lionel</v>
      </c>
      <c r="E32" s="11" t="str">
        <f>VALO_PERSO!I34</f>
        <v>Ingénieur</v>
      </c>
      <c r="F32" s="11" t="str">
        <f>VALO_PERSO!J34</f>
        <v>Ingénieur - Master Sciences du médicament et de produits de santé</v>
      </c>
      <c r="G32" s="11">
        <f>VALO_PERSO!K34</f>
        <v>2022</v>
      </c>
      <c r="H32" s="11">
        <f>VALO_PERSO!P34</f>
        <v>45370.13</v>
      </c>
      <c r="I32" s="11">
        <f>VALO_PERSO!R34</f>
        <v>16459.59</v>
      </c>
      <c r="J32" s="11">
        <f>VALO_PERSO!S34</f>
        <v>15696.449999999999</v>
      </c>
      <c r="K32" s="28">
        <f>VALO_PERSO!V34</f>
        <v>61981.679999999993</v>
      </c>
      <c r="L32" s="28">
        <f>VALO_PERSO!W34</f>
        <v>1656.8400000000001</v>
      </c>
      <c r="M32" s="28">
        <f>VALO_PERSO!X34</f>
        <v>37.409574853335258</v>
      </c>
      <c r="N32" s="11">
        <f>VALO_PERSO!Y34</f>
        <v>6.0726711177172881</v>
      </c>
      <c r="O32" s="11">
        <f>VALO_PERSO!Z34</f>
        <v>599.63472301956665</v>
      </c>
      <c r="P32" s="11">
        <f>VALO_PERSO!AA34</f>
        <v>782.16003996198788</v>
      </c>
      <c r="Q32" s="11">
        <f>VALO_PERSO!AB34</f>
        <v>0</v>
      </c>
      <c r="R32" s="11">
        <f>VALO_PERSO!AC34</f>
        <v>0</v>
      </c>
      <c r="S32" s="11">
        <f>VALO_PERSO!AD34</f>
        <v>186.13056590072841</v>
      </c>
      <c r="T32" s="81">
        <f>VALO_PERSO!AF34</f>
        <v>1573.9980000000003</v>
      </c>
      <c r="V32" s="11">
        <f>VALO_PERSO!AI34</f>
        <v>0</v>
      </c>
      <c r="W32" s="40"/>
      <c r="X32" s="81">
        <f>VALO_PERSO!AK34</f>
        <v>0</v>
      </c>
      <c r="Z32" s="11">
        <f>VALO_PERSO!AN34</f>
        <v>0</v>
      </c>
      <c r="AA32" s="40"/>
      <c r="AB32" s="81">
        <f>VALO_PERSO!AP34</f>
        <v>0</v>
      </c>
      <c r="AD32" s="28">
        <f>VALO_PERSO!AS34</f>
        <v>227.17604473793199</v>
      </c>
      <c r="AE32" s="28">
        <f>VALO_PERSO!AT34</f>
        <v>22432.080055459435</v>
      </c>
      <c r="AF32" s="28">
        <f>VALO_PERSO!AU34</f>
        <v>29260.274562245682</v>
      </c>
      <c r="AG32" s="28">
        <f>VALO_PERSO!AV34</f>
        <v>0</v>
      </c>
      <c r="AH32" s="28">
        <f>VALO_PERSO!AW34</f>
        <v>0</v>
      </c>
      <c r="AI32" s="28">
        <f>VALO_PERSO!AX34</f>
        <v>6963.0653375569509</v>
      </c>
      <c r="AJ32" s="81">
        <f>VALO_PERSO!AZ34</f>
        <v>58882.596000000005</v>
      </c>
      <c r="AL32" s="11">
        <f>VALO_PERSO!BB34</f>
        <v>0</v>
      </c>
      <c r="AM32" s="40"/>
      <c r="AN32" s="81">
        <f>VALO_PERSO!BD34</f>
        <v>0</v>
      </c>
      <c r="AP32" s="11">
        <f>VALO_PERSO!BF34</f>
        <v>0</v>
      </c>
      <c r="AQ32" s="40"/>
      <c r="AR32" s="81">
        <f>VALO_PERSO!BH34</f>
        <v>0</v>
      </c>
      <c r="AT32" s="11">
        <f>VALO_PERSO!BJ34</f>
        <v>82.841999999999871</v>
      </c>
      <c r="AU32" s="11">
        <f>VALO_PERSO!BK34</f>
        <v>1656.8400000000001</v>
      </c>
      <c r="AV32" s="11">
        <f>VALO_PERSO!BL34</f>
        <v>0</v>
      </c>
      <c r="AW32" s="11">
        <f>VALO_PERSO!BM34</f>
        <v>0</v>
      </c>
    </row>
    <row r="33" spans="1:49" ht="15.75" x14ac:dyDescent="0.3">
      <c r="A33" s="111" t="s">
        <v>813</v>
      </c>
      <c r="B33" s="11">
        <f>VALO_PERSO!F35</f>
        <v>43</v>
      </c>
      <c r="C33" s="11" t="str">
        <f>VALO_PERSO!G35</f>
        <v>TRAORE</v>
      </c>
      <c r="D33" s="11" t="str">
        <f>VALO_PERSO!H35</f>
        <v>Hatouma</v>
      </c>
      <c r="E33" s="11" t="str">
        <f>VALO_PERSO!I35</f>
        <v>Assistant Ingénieur</v>
      </c>
      <c r="F33" s="11" t="str">
        <f>VALO_PERSO!J35</f>
        <v>DUT - Chimie Analytique et de Synthèse - Institut Universitaire de Technologie d'Orsay</v>
      </c>
      <c r="G33" s="11">
        <f>VALO_PERSO!K35</f>
        <v>2019</v>
      </c>
      <c r="H33" s="11">
        <f>VALO_PERSO!P35</f>
        <v>6077.96</v>
      </c>
      <c r="I33" s="11">
        <f>VALO_PERSO!R35</f>
        <v>2645.6900000000005</v>
      </c>
      <c r="J33" s="11">
        <f>VALO_PERSO!S35</f>
        <v>2489.1800000000003</v>
      </c>
      <c r="K33" s="28">
        <f>VALO_PERSO!V35</f>
        <v>8567.14</v>
      </c>
      <c r="L33" s="28">
        <f>VALO_PERSO!W35</f>
        <v>22.800000000000004</v>
      </c>
      <c r="M33" s="28">
        <f>VALO_PERSO!X35</f>
        <v>375.75175438596483</v>
      </c>
      <c r="N33" s="11">
        <f>VALO_PERSO!Y35</f>
        <v>0</v>
      </c>
      <c r="O33" s="11">
        <f>VALO_PERSO!Z35</f>
        <v>0</v>
      </c>
      <c r="P33" s="11">
        <f>VALO_PERSO!AA35</f>
        <v>0</v>
      </c>
      <c r="Q33" s="11">
        <f>VALO_PERSO!AB35</f>
        <v>0</v>
      </c>
      <c r="R33" s="11">
        <f>VALO_PERSO!AC35</f>
        <v>0</v>
      </c>
      <c r="S33" s="11">
        <f>VALO_PERSO!AD35</f>
        <v>15.2</v>
      </c>
      <c r="T33" s="81">
        <f>VALO_PERSO!AF35</f>
        <v>15.2</v>
      </c>
      <c r="V33" s="11">
        <f>VALO_PERSO!AI35</f>
        <v>0</v>
      </c>
      <c r="W33" s="40"/>
      <c r="X33" s="81">
        <f>VALO_PERSO!AK35</f>
        <v>0</v>
      </c>
      <c r="Z33" s="11">
        <f>VALO_PERSO!AN35</f>
        <v>0</v>
      </c>
      <c r="AA33" s="40"/>
      <c r="AB33" s="81">
        <f>VALO_PERSO!AP35</f>
        <v>0</v>
      </c>
      <c r="AD33" s="28">
        <f>VALO_PERSO!AS35</f>
        <v>0</v>
      </c>
      <c r="AE33" s="28">
        <f>VALO_PERSO!AT35</f>
        <v>0</v>
      </c>
      <c r="AF33" s="28">
        <f>VALO_PERSO!AU35</f>
        <v>0</v>
      </c>
      <c r="AG33" s="28">
        <f>VALO_PERSO!AV35</f>
        <v>0</v>
      </c>
      <c r="AH33" s="28">
        <f>VALO_PERSO!AW35</f>
        <v>0</v>
      </c>
      <c r="AI33" s="28">
        <f>VALO_PERSO!AX35</f>
        <v>5711.4266666666654</v>
      </c>
      <c r="AJ33" s="81">
        <f>VALO_PERSO!AZ35</f>
        <v>5711.4266666666654</v>
      </c>
      <c r="AL33" s="11">
        <f>VALO_PERSO!BB35</f>
        <v>0</v>
      </c>
      <c r="AM33" s="40"/>
      <c r="AN33" s="81">
        <f>VALO_PERSO!BD35</f>
        <v>0</v>
      </c>
      <c r="AP33" s="11">
        <f>VALO_PERSO!BF35</f>
        <v>0</v>
      </c>
      <c r="AQ33" s="40"/>
      <c r="AR33" s="81">
        <f>VALO_PERSO!BH35</f>
        <v>0</v>
      </c>
      <c r="AT33" s="11">
        <f>VALO_PERSO!BJ35</f>
        <v>7.600000000000005</v>
      </c>
      <c r="AU33" s="11">
        <f>VALO_PERSO!BK35</f>
        <v>22.800000000000004</v>
      </c>
      <c r="AV33" s="11">
        <f>VALO_PERSO!BL35</f>
        <v>0</v>
      </c>
      <c r="AW33" s="11">
        <f>VALO_PERSO!BM35</f>
        <v>0</v>
      </c>
    </row>
    <row r="34" spans="1:49" ht="15.75" x14ac:dyDescent="0.3">
      <c r="A34" s="111" t="s">
        <v>813</v>
      </c>
      <c r="B34" s="11">
        <f>VALO_PERSO!F36</f>
        <v>44</v>
      </c>
      <c r="C34" s="11" t="str">
        <f>VALO_PERSO!G36</f>
        <v>BABA-HAMED</v>
      </c>
      <c r="D34" s="11" t="str">
        <f>VALO_PERSO!H36</f>
        <v>Walid</v>
      </c>
      <c r="E34" s="11" t="str">
        <f>VALO_PERSO!I36</f>
        <v>Technicien en chimie organique</v>
      </c>
      <c r="F34" s="11" t="str">
        <f>VALO_PERSO!J36</f>
        <v>DUT - Chimie Analytique et de Synthèse - IUT de Creteil</v>
      </c>
      <c r="G34" s="11">
        <f>VALO_PERSO!K36</f>
        <v>2022</v>
      </c>
      <c r="H34" s="11">
        <f>VALO_PERSO!P36</f>
        <v>19283.740000000002</v>
      </c>
      <c r="I34" s="11">
        <f>VALO_PERSO!R36</f>
        <v>8457.6999999999989</v>
      </c>
      <c r="J34" s="11">
        <f>VALO_PERSO!S36</f>
        <v>7947.4299999999994</v>
      </c>
      <c r="K34" s="28">
        <f>VALO_PERSO!V36</f>
        <v>27408.77</v>
      </c>
      <c r="L34" s="28">
        <f>VALO_PERSO!W36</f>
        <v>449.67999999999995</v>
      </c>
      <c r="M34" s="28">
        <f>VALO_PERSO!X36</f>
        <v>60.951721223981508</v>
      </c>
      <c r="N34" s="11">
        <f>VALO_PERSO!Y36</f>
        <v>0</v>
      </c>
      <c r="O34" s="11">
        <f>VALO_PERSO!Z36</f>
        <v>125.39999999999996</v>
      </c>
      <c r="P34" s="11">
        <f>VALO_PERSO!AA36</f>
        <v>307.8</v>
      </c>
      <c r="Q34" s="11">
        <f>VALO_PERSO!AB36</f>
        <v>0</v>
      </c>
      <c r="R34" s="11">
        <f>VALO_PERSO!AC36</f>
        <v>0</v>
      </c>
      <c r="S34" s="11">
        <f>VALO_PERSO!AD36</f>
        <v>0</v>
      </c>
      <c r="T34" s="81">
        <f>VALO_PERSO!AF36</f>
        <v>433.2</v>
      </c>
      <c r="V34" s="11">
        <f>VALO_PERSO!AI36</f>
        <v>0</v>
      </c>
      <c r="W34" s="40"/>
      <c r="X34" s="81">
        <f>VALO_PERSO!AK36</f>
        <v>0</v>
      </c>
      <c r="Z34" s="11">
        <f>VALO_PERSO!AN36</f>
        <v>0</v>
      </c>
      <c r="AA34" s="40"/>
      <c r="AB34" s="81">
        <f>VALO_PERSO!AP36</f>
        <v>0</v>
      </c>
      <c r="AD34" s="28">
        <f>VALO_PERSO!AS36</f>
        <v>0</v>
      </c>
      <c r="AE34" s="28">
        <f>VALO_PERSO!AT36</f>
        <v>7643.3458414872784</v>
      </c>
      <c r="AF34" s="28">
        <f>VALO_PERSO!AU36</f>
        <v>18760.939792741508</v>
      </c>
      <c r="AG34" s="28">
        <f>VALO_PERSO!AV36</f>
        <v>0</v>
      </c>
      <c r="AH34" s="28">
        <f>VALO_PERSO!AW36</f>
        <v>0</v>
      </c>
      <c r="AI34" s="28">
        <f>VALO_PERSO!AX36</f>
        <v>0</v>
      </c>
      <c r="AJ34" s="81">
        <f>VALO_PERSO!AZ36</f>
        <v>26404.285634228785</v>
      </c>
      <c r="AL34" s="11">
        <f>VALO_PERSO!BB36</f>
        <v>0</v>
      </c>
      <c r="AM34" s="40"/>
      <c r="AN34" s="81">
        <f>VALO_PERSO!BD36</f>
        <v>0</v>
      </c>
      <c r="AP34" s="11">
        <f>VALO_PERSO!BF36</f>
        <v>0</v>
      </c>
      <c r="AQ34" s="40"/>
      <c r="AR34" s="81">
        <f>VALO_PERSO!BH36</f>
        <v>0</v>
      </c>
      <c r="AT34" s="11">
        <f>VALO_PERSO!BJ36</f>
        <v>16.479999999999961</v>
      </c>
      <c r="AU34" s="11">
        <f>VALO_PERSO!BK36</f>
        <v>449.67999999999995</v>
      </c>
      <c r="AV34" s="11">
        <f>VALO_PERSO!BL36</f>
        <v>0</v>
      </c>
      <c r="AW34" s="11">
        <f>VALO_PERSO!BM36</f>
        <v>0</v>
      </c>
    </row>
    <row r="35" spans="1:49" ht="15.75" x14ac:dyDescent="0.3">
      <c r="A35" s="111" t="s">
        <v>813</v>
      </c>
      <c r="B35" s="11">
        <f>VALO_PERSO!F37</f>
        <v>46</v>
      </c>
      <c r="C35" s="11" t="str">
        <f>VALO_PERSO!G37</f>
        <v>BUCHE</v>
      </c>
      <c r="D35" s="11" t="str">
        <f>VALO_PERSO!H37</f>
        <v>Gaëlle</v>
      </c>
      <c r="E35" s="11" t="str">
        <f>VALO_PERSO!I37</f>
        <v>Responsable Chimie Analytique</v>
      </c>
      <c r="F35" s="11" t="str">
        <f>VALO_PERSO!J37</f>
        <v>Ingénieur - Chimie Bioactifs et Cosmétiques - Université d'Orléans</v>
      </c>
      <c r="G35" s="11">
        <f>VALO_PERSO!K37</f>
        <v>2018</v>
      </c>
      <c r="H35" s="11">
        <f>VALO_PERSO!P37</f>
        <v>40454.120000000003</v>
      </c>
      <c r="I35" s="11">
        <f>VALO_PERSO!R37</f>
        <v>17219.060000000001</v>
      </c>
      <c r="J35" s="11">
        <f>VALO_PERSO!S37</f>
        <v>16538.34</v>
      </c>
      <c r="K35" s="28">
        <f>VALO_PERSO!V37</f>
        <v>56992.460000000006</v>
      </c>
      <c r="L35" s="28">
        <f>VALO_PERSO!W37</f>
        <v>1081.71</v>
      </c>
      <c r="M35" s="28">
        <f>VALO_PERSO!X37</f>
        <v>52.687374619814925</v>
      </c>
      <c r="N35" s="11">
        <f>VALO_PERSO!Y37</f>
        <v>148.19999999999996</v>
      </c>
      <c r="O35" s="11">
        <f>VALO_PERSO!Z37</f>
        <v>699.20000000000118</v>
      </c>
      <c r="P35" s="11">
        <f>VALO_PERSO!AA37</f>
        <v>22.799999999999997</v>
      </c>
      <c r="Q35" s="11">
        <f>VALO_PERSO!AB37</f>
        <v>3.8</v>
      </c>
      <c r="R35" s="11">
        <f>VALO_PERSO!AC37</f>
        <v>83.6</v>
      </c>
      <c r="S35" s="11">
        <f>VALO_PERSO!AD37</f>
        <v>0</v>
      </c>
      <c r="T35" s="81">
        <f>VALO_PERSO!AF37</f>
        <v>957.60000000000105</v>
      </c>
      <c r="V35" s="11">
        <f>VALO_PERSO!AI37</f>
        <v>0</v>
      </c>
      <c r="W35" s="40"/>
      <c r="X35" s="81">
        <f>VALO_PERSO!AK37</f>
        <v>0</v>
      </c>
      <c r="Z35" s="11">
        <f>VALO_PERSO!AN37</f>
        <v>0</v>
      </c>
      <c r="AA35" s="40"/>
      <c r="AB35" s="81">
        <f>VALO_PERSO!AP37</f>
        <v>0</v>
      </c>
      <c r="AD35" s="28">
        <f>VALO_PERSO!AS37</f>
        <v>7808.2689186565703</v>
      </c>
      <c r="AE35" s="28">
        <f>VALO_PERSO!AT37</f>
        <v>36839.012334174658</v>
      </c>
      <c r="AF35" s="28">
        <f>VALO_PERSO!AU37</f>
        <v>1201.2721413317802</v>
      </c>
      <c r="AG35" s="28">
        <f>VALO_PERSO!AV37</f>
        <v>200.21202355529672</v>
      </c>
      <c r="AH35" s="28">
        <f>VALO_PERSO!AW37</f>
        <v>4404.6645182165275</v>
      </c>
      <c r="AI35" s="28">
        <f>VALO_PERSO!AX37</f>
        <v>0</v>
      </c>
      <c r="AJ35" s="81">
        <f>VALO_PERSO!AZ37</f>
        <v>50453.42993593483</v>
      </c>
      <c r="AL35" s="11">
        <f>VALO_PERSO!BB37</f>
        <v>0</v>
      </c>
      <c r="AM35" s="40"/>
      <c r="AN35" s="81">
        <f>VALO_PERSO!BD37</f>
        <v>0</v>
      </c>
      <c r="AP35" s="11">
        <f>VALO_PERSO!BF37</f>
        <v>0</v>
      </c>
      <c r="AQ35" s="40"/>
      <c r="AR35" s="81">
        <f>VALO_PERSO!BH37</f>
        <v>0</v>
      </c>
      <c r="AT35" s="11">
        <f>VALO_PERSO!BJ37</f>
        <v>124.10999999999899</v>
      </c>
      <c r="AU35" s="11">
        <f>VALO_PERSO!BK37</f>
        <v>1081.71</v>
      </c>
      <c r="AV35" s="11">
        <f>VALO_PERSO!BL37</f>
        <v>0</v>
      </c>
      <c r="AW35" s="11">
        <f>VALO_PERSO!BM37</f>
        <v>0</v>
      </c>
    </row>
    <row r="36" spans="1:49" ht="15.75" x14ac:dyDescent="0.3">
      <c r="A36" s="111" t="s">
        <v>813</v>
      </c>
      <c r="B36" s="11">
        <f>VALO_PERSO!F38</f>
        <v>48</v>
      </c>
      <c r="C36" s="11" t="str">
        <f>VALO_PERSO!G38</f>
        <v>GHANEM</v>
      </c>
      <c r="D36" s="11" t="str">
        <f>VALO_PERSO!H38</f>
        <v>Tatiana</v>
      </c>
      <c r="E36" s="11" t="str">
        <f>VALO_PERSO!I38</f>
        <v>Ingénieur de recherche en chimie organique</v>
      </c>
      <c r="F36" s="11" t="str">
        <f>VALO_PERSO!J38</f>
        <v>Doctorat - Matière, Molécules, Matériaux et Géosciences - Université d'Angers</v>
      </c>
      <c r="G36" s="11">
        <f>VALO_PERSO!K38</f>
        <v>2023</v>
      </c>
      <c r="H36" s="11">
        <f>VALO_PERSO!P38</f>
        <v>10674.95</v>
      </c>
      <c r="I36" s="11">
        <f>VALO_PERSO!R38</f>
        <v>4623.7699999999995</v>
      </c>
      <c r="J36" s="11">
        <f>VALO_PERSO!S38</f>
        <v>4338.5200000000004</v>
      </c>
      <c r="K36" s="28">
        <f>VALO_PERSO!V38</f>
        <v>15146.670000000002</v>
      </c>
      <c r="L36" s="28">
        <f>VALO_PERSO!W38</f>
        <v>344.53999999999996</v>
      </c>
      <c r="M36" s="28">
        <f>VALO_PERSO!X38</f>
        <v>43.962007314099971</v>
      </c>
      <c r="N36" s="11">
        <f>VALO_PERSO!Y38</f>
        <v>0</v>
      </c>
      <c r="O36" s="11">
        <f>VALO_PERSO!Z38</f>
        <v>0</v>
      </c>
      <c r="P36" s="11">
        <f>VALO_PERSO!AA38</f>
        <v>334.40000000000009</v>
      </c>
      <c r="Q36" s="11">
        <f>VALO_PERSO!AB38</f>
        <v>0</v>
      </c>
      <c r="R36" s="11">
        <f>VALO_PERSO!AC38</f>
        <v>0</v>
      </c>
      <c r="S36" s="11">
        <f>VALO_PERSO!AD38</f>
        <v>0</v>
      </c>
      <c r="T36" s="81">
        <f>VALO_PERSO!AF38</f>
        <v>334.40000000000009</v>
      </c>
      <c r="V36" s="11">
        <f>VALO_PERSO!AI38</f>
        <v>0</v>
      </c>
      <c r="W36" s="40"/>
      <c r="X36" s="81">
        <f>VALO_PERSO!AK38</f>
        <v>0</v>
      </c>
      <c r="Z36" s="11">
        <f>VALO_PERSO!AN38</f>
        <v>0</v>
      </c>
      <c r="AA36" s="40"/>
      <c r="AB36" s="81">
        <f>VALO_PERSO!AP38</f>
        <v>0</v>
      </c>
      <c r="AD36" s="28">
        <f>VALO_PERSO!AS38</f>
        <v>0</v>
      </c>
      <c r="AE36" s="28">
        <f>VALO_PERSO!AT38</f>
        <v>0</v>
      </c>
      <c r="AF36" s="28">
        <f>VALO_PERSO!AU38</f>
        <v>14700.895245835032</v>
      </c>
      <c r="AG36" s="28">
        <f>VALO_PERSO!AV38</f>
        <v>0</v>
      </c>
      <c r="AH36" s="28">
        <f>VALO_PERSO!AW38</f>
        <v>0</v>
      </c>
      <c r="AI36" s="28">
        <f>VALO_PERSO!AX38</f>
        <v>0</v>
      </c>
      <c r="AJ36" s="81">
        <f>VALO_PERSO!AZ38</f>
        <v>14700.895245835032</v>
      </c>
      <c r="AL36" s="11">
        <f>VALO_PERSO!BB38</f>
        <v>0</v>
      </c>
      <c r="AM36" s="40"/>
      <c r="AN36" s="81">
        <f>VALO_PERSO!BD38</f>
        <v>0</v>
      </c>
      <c r="AP36" s="11">
        <f>VALO_PERSO!BF38</f>
        <v>0</v>
      </c>
      <c r="AQ36" s="40"/>
      <c r="AR36" s="81">
        <f>VALO_PERSO!BH38</f>
        <v>0</v>
      </c>
      <c r="AT36" s="11">
        <f>VALO_PERSO!BJ38</f>
        <v>10.139999999999873</v>
      </c>
      <c r="AU36" s="11">
        <f>VALO_PERSO!BK38</f>
        <v>344.53999999999996</v>
      </c>
      <c r="AV36" s="11">
        <f>VALO_PERSO!BL38</f>
        <v>0</v>
      </c>
      <c r="AW36" s="11">
        <f>VALO_PERSO!BM38</f>
        <v>0</v>
      </c>
    </row>
    <row r="37" spans="1:49" ht="15.75" x14ac:dyDescent="0.3">
      <c r="A37" s="111" t="s">
        <v>813</v>
      </c>
      <c r="B37" s="11">
        <f>VALO_PERSO!F39</f>
        <v>49</v>
      </c>
      <c r="C37" s="11" t="str">
        <f>VALO_PERSO!G39</f>
        <v>RULLIERE</v>
      </c>
      <c r="D37" s="11" t="str">
        <f>VALO_PERSO!H39</f>
        <v>PAULINE</v>
      </c>
      <c r="E37" s="11" t="str">
        <f>VALO_PERSO!I39</f>
        <v>Directrice R&amp;D</v>
      </c>
      <c r="F37" s="11" t="str">
        <f>VALO_PERSO!J39</f>
        <v>Doctorat - Chimie Organique - Université de Grenoble</v>
      </c>
      <c r="G37" s="11">
        <f>VALO_PERSO!K39</f>
        <v>2014</v>
      </c>
      <c r="H37" s="11">
        <f>VALO_PERSO!P39</f>
        <v>79172.740000000005</v>
      </c>
      <c r="I37" s="11">
        <f>VALO_PERSO!R39</f>
        <v>35162.29</v>
      </c>
      <c r="J37" s="11">
        <f>VALO_PERSO!S39</f>
        <v>33862.619999999995</v>
      </c>
      <c r="K37" s="28">
        <f>VALO_PERSO!V39</f>
        <v>113035.36</v>
      </c>
      <c r="L37" s="28">
        <f>VALO_PERSO!W39</f>
        <v>1404</v>
      </c>
      <c r="M37" s="28">
        <f>VALO_PERSO!X39</f>
        <v>80.509515669515665</v>
      </c>
      <c r="N37" s="11">
        <f>VALO_PERSO!Y39</f>
        <v>110.07087378640776</v>
      </c>
      <c r="O37" s="11">
        <f>VALO_PERSO!Z39</f>
        <v>427.3339805825243</v>
      </c>
      <c r="P37" s="11">
        <f>VALO_PERSO!AA39</f>
        <v>556.8291262135923</v>
      </c>
      <c r="Q37" s="11">
        <f>VALO_PERSO!AB39</f>
        <v>123.02038834951456</v>
      </c>
      <c r="R37" s="11">
        <f>VALO_PERSO!AC39</f>
        <v>71.222330097087379</v>
      </c>
      <c r="S37" s="11">
        <f>VALO_PERSO!AD39</f>
        <v>45.323300970873788</v>
      </c>
      <c r="T37" s="81">
        <f>VALO_PERSO!AF39</f>
        <v>1333.8000000000004</v>
      </c>
      <c r="V37" s="11">
        <f>VALO_PERSO!AI39</f>
        <v>0</v>
      </c>
      <c r="W37" s="40"/>
      <c r="X37" s="81">
        <f>VALO_PERSO!AK39</f>
        <v>0</v>
      </c>
      <c r="Z37" s="11">
        <f>VALO_PERSO!AN39</f>
        <v>0</v>
      </c>
      <c r="AA37" s="40"/>
      <c r="AB37" s="81">
        <f>VALO_PERSO!AP39</f>
        <v>0</v>
      </c>
      <c r="AD37" s="28">
        <f>VALO_PERSO!AS39</f>
        <v>8861.7527378640771</v>
      </c>
      <c r="AE37" s="28">
        <f>VALO_PERSO!AT39</f>
        <v>34404.451805825251</v>
      </c>
      <c r="AF37" s="28">
        <f>VALO_PERSO!AU39</f>
        <v>44830.043262135929</v>
      </c>
      <c r="AG37" s="28">
        <f>VALO_PERSO!AV39</f>
        <v>9904.3118834951456</v>
      </c>
      <c r="AH37" s="28">
        <f>VALO_PERSO!AW39</f>
        <v>5734.0753009708733</v>
      </c>
      <c r="AI37" s="28">
        <f>VALO_PERSO!AX39</f>
        <v>3648.9570097087376</v>
      </c>
      <c r="AJ37" s="81">
        <f>VALO_PERSO!AZ39</f>
        <v>107383.59200000002</v>
      </c>
      <c r="AL37" s="11">
        <f>VALO_PERSO!BB39</f>
        <v>0</v>
      </c>
      <c r="AM37" s="40"/>
      <c r="AN37" s="81">
        <f>VALO_PERSO!BD39</f>
        <v>0</v>
      </c>
      <c r="AP37" s="11">
        <f>VALO_PERSO!BF39</f>
        <v>0</v>
      </c>
      <c r="AQ37" s="40"/>
      <c r="AR37" s="81">
        <f>VALO_PERSO!BH39</f>
        <v>0</v>
      </c>
      <c r="AT37" s="11">
        <f>VALO_PERSO!BJ39</f>
        <v>70.199999999999591</v>
      </c>
      <c r="AU37" s="11">
        <f>VALO_PERSO!BK39</f>
        <v>1404</v>
      </c>
      <c r="AV37" s="11">
        <f>VALO_PERSO!BL39</f>
        <v>0</v>
      </c>
      <c r="AW37" s="11">
        <f>VALO_PERSO!BM39</f>
        <v>0</v>
      </c>
    </row>
    <row r="38" spans="1:49" ht="15.75" x14ac:dyDescent="0.3">
      <c r="A38" s="111" t="s">
        <v>813</v>
      </c>
      <c r="B38" s="11">
        <f>VALO_PERSO!F40</f>
        <v>50</v>
      </c>
      <c r="C38" s="11" t="str">
        <f>VALO_PERSO!G40</f>
        <v>SANCHEZ</v>
      </c>
      <c r="D38" s="11" t="str">
        <f>VALO_PERSO!H40</f>
        <v>Maud</v>
      </c>
      <c r="E38" s="11" t="str">
        <f>VALO_PERSO!I40</f>
        <v>Responsable Développement</v>
      </c>
      <c r="F38" s="11" t="str">
        <f>VALO_PERSO!J40</f>
        <v>Ingénieur - Ecole Nationale Supérieure de Chimie de Lille</v>
      </c>
      <c r="G38" s="11">
        <f>VALO_PERSO!K40</f>
        <v>2017</v>
      </c>
      <c r="H38" s="11">
        <f>VALO_PERSO!P40</f>
        <v>56944.02</v>
      </c>
      <c r="I38" s="11">
        <f>VALO_PERSO!R40</f>
        <v>24267.360000000001</v>
      </c>
      <c r="J38" s="11">
        <f>VALO_PERSO!S40</f>
        <v>23101.09</v>
      </c>
      <c r="K38" s="28">
        <f>VALO_PERSO!V40</f>
        <v>80864.709999999992</v>
      </c>
      <c r="L38" s="28">
        <f>VALO_PERSO!W40</f>
        <v>1786.04</v>
      </c>
      <c r="M38" s="28">
        <f>VALO_PERSO!X40</f>
        <v>45.275979261382723</v>
      </c>
      <c r="N38" s="11">
        <f>VALO_PERSO!Y40</f>
        <v>15.2</v>
      </c>
      <c r="O38" s="11">
        <f>VALO_PERSO!Z40</f>
        <v>847.40000000000111</v>
      </c>
      <c r="P38" s="11">
        <f>VALO_PERSO!AA40</f>
        <v>353.40000000000049</v>
      </c>
      <c r="Q38" s="11">
        <f>VALO_PERSO!AB40</f>
        <v>0</v>
      </c>
      <c r="R38" s="11">
        <f>VALO_PERSO!AC40</f>
        <v>0</v>
      </c>
      <c r="S38" s="11">
        <f>VALO_PERSO!AD40</f>
        <v>22.8</v>
      </c>
      <c r="T38" s="81">
        <f>VALO_PERSO!AF40</f>
        <v>1238.8000000000015</v>
      </c>
      <c r="V38" s="11">
        <f>VALO_PERSO!AI40</f>
        <v>0</v>
      </c>
      <c r="W38" s="40"/>
      <c r="X38" s="81">
        <f>VALO_PERSO!AK40</f>
        <v>0</v>
      </c>
      <c r="Z38" s="11">
        <f>VALO_PERSO!AN40</f>
        <v>0</v>
      </c>
      <c r="AA38" s="40"/>
      <c r="AB38" s="81">
        <f>VALO_PERSO!AP40</f>
        <v>0</v>
      </c>
      <c r="AD38" s="28">
        <f>VALO_PERSO!AS40</f>
        <v>688.19488477301729</v>
      </c>
      <c r="AE38" s="28">
        <f>VALO_PERSO!AT40</f>
        <v>38366.864826095771</v>
      </c>
      <c r="AF38" s="28">
        <f>VALO_PERSO!AU40</f>
        <v>16000.531070972675</v>
      </c>
      <c r="AG38" s="28">
        <f>VALO_PERSO!AV40</f>
        <v>0</v>
      </c>
      <c r="AH38" s="28">
        <f>VALO_PERSO!AW40</f>
        <v>0</v>
      </c>
      <c r="AI38" s="28">
        <f>VALO_PERSO!AX40</f>
        <v>1032.2923271595259</v>
      </c>
      <c r="AJ38" s="81">
        <f>VALO_PERSO!AZ40</f>
        <v>56087.883109000992</v>
      </c>
      <c r="AL38" s="11">
        <f>VALO_PERSO!BB40</f>
        <v>0</v>
      </c>
      <c r="AM38" s="40"/>
      <c r="AN38" s="81">
        <f>VALO_PERSO!BD40</f>
        <v>0</v>
      </c>
      <c r="AP38" s="11">
        <f>VALO_PERSO!BF40</f>
        <v>0</v>
      </c>
      <c r="AQ38" s="40"/>
      <c r="AR38" s="81">
        <f>VALO_PERSO!BH40</f>
        <v>0</v>
      </c>
      <c r="AT38" s="11">
        <f>VALO_PERSO!BJ40</f>
        <v>547.23999999999842</v>
      </c>
      <c r="AU38" s="11">
        <f>VALO_PERSO!BK40</f>
        <v>1786.04</v>
      </c>
      <c r="AV38" s="11">
        <f>VALO_PERSO!BL40</f>
        <v>0</v>
      </c>
      <c r="AW38" s="11">
        <f>VALO_PERSO!BM40</f>
        <v>0</v>
      </c>
    </row>
    <row r="39" spans="1:49" ht="15.75" x14ac:dyDescent="0.3">
      <c r="A39" s="111" t="s">
        <v>813</v>
      </c>
      <c r="B39" s="11">
        <f>VALO_PERSO!F41</f>
        <v>51</v>
      </c>
      <c r="C39" s="11" t="str">
        <f>VALO_PERSO!G41</f>
        <v>AUDIC</v>
      </c>
      <c r="D39" s="11" t="str">
        <f>VALO_PERSO!H41</f>
        <v>Benoît</v>
      </c>
      <c r="E39" s="11" t="str">
        <f>VALO_PERSO!I41</f>
        <v>Ingénieur de recherche en chimie organique</v>
      </c>
      <c r="F39" s="11" t="str">
        <f>VALO_PERSO!J41</f>
        <v>Doctorat Sciences - Ecole Polytechnique fédérale de Lausanne</v>
      </c>
      <c r="G39" s="11">
        <f>VALO_PERSO!K41</f>
        <v>2021</v>
      </c>
      <c r="H39" s="11">
        <f>VALO_PERSO!P41</f>
        <v>15076.95</v>
      </c>
      <c r="I39" s="11">
        <f>VALO_PERSO!R41</f>
        <v>6504.45</v>
      </c>
      <c r="J39" s="11">
        <f>VALO_PERSO!S41</f>
        <v>6103.7500000000009</v>
      </c>
      <c r="K39" s="28">
        <f>VALO_PERSO!V41</f>
        <v>21180.7</v>
      </c>
      <c r="L39" s="28">
        <f>VALO_PERSO!W41</f>
        <v>450.94</v>
      </c>
      <c r="M39" s="28">
        <f>VALO_PERSO!X41</f>
        <v>46.970106887834305</v>
      </c>
      <c r="N39" s="11">
        <f>VALO_PERSO!Y41</f>
        <v>0</v>
      </c>
      <c r="O39" s="11">
        <f>VALO_PERSO!Z41</f>
        <v>0</v>
      </c>
      <c r="P39" s="11">
        <f>VALO_PERSO!AA41</f>
        <v>440.80000000000041</v>
      </c>
      <c r="Q39" s="11">
        <f>VALO_PERSO!AB41</f>
        <v>0</v>
      </c>
      <c r="R39" s="11">
        <f>VALO_PERSO!AC41</f>
        <v>0</v>
      </c>
      <c r="S39" s="11">
        <f>VALO_PERSO!AD41</f>
        <v>0</v>
      </c>
      <c r="T39" s="81">
        <f>VALO_PERSO!AF41</f>
        <v>440.80000000000041</v>
      </c>
      <c r="V39" s="11">
        <f>VALO_PERSO!AI41</f>
        <v>0</v>
      </c>
      <c r="W39" s="40"/>
      <c r="X39" s="81">
        <f>VALO_PERSO!AK41</f>
        <v>0</v>
      </c>
      <c r="Z39" s="11">
        <f>VALO_PERSO!AN41</f>
        <v>0</v>
      </c>
      <c r="AA39" s="40"/>
      <c r="AB39" s="81">
        <f>VALO_PERSO!AP41</f>
        <v>0</v>
      </c>
      <c r="AD39" s="28">
        <f>VALO_PERSO!AS41</f>
        <v>0</v>
      </c>
      <c r="AE39" s="28">
        <f>VALO_PERSO!AT41</f>
        <v>0</v>
      </c>
      <c r="AF39" s="28">
        <f>VALO_PERSO!AU41</f>
        <v>20704.423116157381</v>
      </c>
      <c r="AG39" s="28">
        <f>VALO_PERSO!AV41</f>
        <v>0</v>
      </c>
      <c r="AH39" s="28">
        <f>VALO_PERSO!AW41</f>
        <v>0</v>
      </c>
      <c r="AI39" s="28">
        <f>VALO_PERSO!AX41</f>
        <v>0</v>
      </c>
      <c r="AJ39" s="81">
        <f>VALO_PERSO!AZ41</f>
        <v>20704.423116157381</v>
      </c>
      <c r="AL39" s="11">
        <f>VALO_PERSO!BB41</f>
        <v>0</v>
      </c>
      <c r="AM39" s="40"/>
      <c r="AN39" s="81">
        <f>VALO_PERSO!BD41</f>
        <v>0</v>
      </c>
      <c r="AP39" s="11">
        <f>VALO_PERSO!BF41</f>
        <v>0</v>
      </c>
      <c r="AQ39" s="40"/>
      <c r="AR39" s="81">
        <f>VALO_PERSO!BH41</f>
        <v>0</v>
      </c>
      <c r="AT39" s="11">
        <f>VALO_PERSO!BJ41</f>
        <v>10.139999999999588</v>
      </c>
      <c r="AU39" s="11">
        <f>VALO_PERSO!BK41</f>
        <v>450.94</v>
      </c>
      <c r="AV39" s="11">
        <f>VALO_PERSO!BL41</f>
        <v>0</v>
      </c>
      <c r="AW39" s="11">
        <f>VALO_PERSO!BM41</f>
        <v>0</v>
      </c>
    </row>
    <row r="40" spans="1:49" ht="15.75" x14ac:dyDescent="0.3">
      <c r="A40" s="111" t="s">
        <v>813</v>
      </c>
      <c r="B40" s="11">
        <f>VALO_PERSO!F42</f>
        <v>53</v>
      </c>
      <c r="C40" s="11" t="str">
        <f>VALO_PERSO!G42</f>
        <v>GOUTIERRE</v>
      </c>
      <c r="D40" s="11" t="str">
        <f>VALO_PERSO!H42</f>
        <v>Anne-Sophie</v>
      </c>
      <c r="E40" s="11" t="str">
        <f>VALO_PERSO!I42</f>
        <v>Responsable de site</v>
      </c>
      <c r="F40" s="11">
        <f>VALO_PERSO!J42</f>
        <v>0</v>
      </c>
      <c r="G40" s="11">
        <f>VALO_PERSO!K42</f>
        <v>0</v>
      </c>
      <c r="H40" s="11">
        <f>VALO_PERSO!P42</f>
        <v>59393.65</v>
      </c>
      <c r="I40" s="11">
        <f>VALO_PERSO!R42</f>
        <v>26836.879999999997</v>
      </c>
      <c r="J40" s="11">
        <f>VALO_PERSO!S42</f>
        <v>25850.07</v>
      </c>
      <c r="K40" s="28">
        <f>VALO_PERSO!V42</f>
        <v>85243.72</v>
      </c>
      <c r="L40" s="28">
        <f>VALO_PERSO!W42</f>
        <v>1496</v>
      </c>
      <c r="M40" s="28">
        <f>VALO_PERSO!X42</f>
        <v>56.981096256684495</v>
      </c>
      <c r="N40" s="11">
        <f>VALO_PERSO!Y42</f>
        <v>8</v>
      </c>
      <c r="O40" s="11">
        <f>VALO_PERSO!Z42</f>
        <v>212</v>
      </c>
      <c r="P40" s="11">
        <f>VALO_PERSO!AA42</f>
        <v>104</v>
      </c>
      <c r="Q40" s="11">
        <f>VALO_PERSO!AB42</f>
        <v>0</v>
      </c>
      <c r="R40" s="11">
        <f>VALO_PERSO!AC42</f>
        <v>0</v>
      </c>
      <c r="S40" s="11">
        <f>VALO_PERSO!AD42</f>
        <v>0</v>
      </c>
      <c r="T40" s="81">
        <f>VALO_PERSO!AF42</f>
        <v>324</v>
      </c>
      <c r="V40" s="11">
        <f>VALO_PERSO!AI42</f>
        <v>0</v>
      </c>
      <c r="W40" s="40"/>
      <c r="X40" s="81">
        <f>VALO_PERSO!AK42</f>
        <v>0</v>
      </c>
      <c r="Z40" s="11">
        <f>VALO_PERSO!AN42</f>
        <v>0</v>
      </c>
      <c r="AA40" s="40"/>
      <c r="AB40" s="81">
        <f>VALO_PERSO!AP42</f>
        <v>0</v>
      </c>
      <c r="AD40" s="28">
        <f>VALO_PERSO!AS42</f>
        <v>455.84877005347596</v>
      </c>
      <c r="AE40" s="28">
        <f>VALO_PERSO!AT42</f>
        <v>12079.992406417112</v>
      </c>
      <c r="AF40" s="28">
        <f>VALO_PERSO!AU42</f>
        <v>5926.034010695188</v>
      </c>
      <c r="AG40" s="28">
        <f>VALO_PERSO!AV42</f>
        <v>0</v>
      </c>
      <c r="AH40" s="28">
        <f>VALO_PERSO!AW42</f>
        <v>0</v>
      </c>
      <c r="AI40" s="28">
        <f>VALO_PERSO!AX42</f>
        <v>0</v>
      </c>
      <c r="AJ40" s="81">
        <f>VALO_PERSO!AZ42</f>
        <v>18461.875187165773</v>
      </c>
      <c r="AL40" s="11">
        <f>VALO_PERSO!BB42</f>
        <v>0</v>
      </c>
      <c r="AM40" s="40"/>
      <c r="AN40" s="81">
        <f>VALO_PERSO!BD42</f>
        <v>0</v>
      </c>
      <c r="AP40" s="11">
        <f>VALO_PERSO!BF42</f>
        <v>0</v>
      </c>
      <c r="AQ40" s="40"/>
      <c r="AR40" s="81">
        <f>VALO_PERSO!BH42</f>
        <v>0</v>
      </c>
      <c r="AT40" s="11">
        <f>VALO_PERSO!BJ42</f>
        <v>1172</v>
      </c>
      <c r="AU40" s="11">
        <f>VALO_PERSO!BK42</f>
        <v>1496</v>
      </c>
      <c r="AV40" s="11">
        <f>VALO_PERSO!BL42</f>
        <v>0</v>
      </c>
      <c r="AW40" s="11">
        <f>VALO_PERSO!BM42</f>
        <v>0</v>
      </c>
    </row>
    <row r="41" spans="1:49" ht="15.75" x14ac:dyDescent="0.3">
      <c r="A41" s="111" t="s">
        <v>813</v>
      </c>
      <c r="B41" s="11">
        <f>VALO_PERSO!F43</f>
        <v>54</v>
      </c>
      <c r="C41" s="11" t="str">
        <f>VALO_PERSO!G43</f>
        <v>DENIZET</v>
      </c>
      <c r="D41" s="11" t="str">
        <f>VALO_PERSO!H43</f>
        <v>Audrey</v>
      </c>
      <c r="E41" s="11" t="str">
        <f>VALO_PERSO!I43</f>
        <v>Apprenti</v>
      </c>
      <c r="F41" s="11" t="str">
        <f>VALO_PERSO!J43</f>
        <v>Baccalauréat Technologique</v>
      </c>
      <c r="G41" s="11">
        <f>VALO_PERSO!K43</f>
        <v>2022</v>
      </c>
      <c r="H41" s="11">
        <f>VALO_PERSO!P43</f>
        <v>7934.12</v>
      </c>
      <c r="I41" s="11">
        <f>VALO_PERSO!R43</f>
        <v>298.04000000000025</v>
      </c>
      <c r="J41" s="11">
        <f>VALO_PERSO!S43</f>
        <v>167.44000000000005</v>
      </c>
      <c r="K41" s="28">
        <f>VALO_PERSO!V43</f>
        <v>8455.9600000000009</v>
      </c>
      <c r="L41" s="28">
        <f>VALO_PERSO!W43</f>
        <v>1073.3599999999999</v>
      </c>
      <c r="M41" s="28">
        <f>VALO_PERSO!X43</f>
        <v>7.8780278750838502</v>
      </c>
      <c r="N41" s="11">
        <f>VALO_PERSO!Y43</f>
        <v>0</v>
      </c>
      <c r="O41" s="11">
        <f>VALO_PERSO!Z43</f>
        <v>105</v>
      </c>
      <c r="P41" s="11">
        <f>VALO_PERSO!AA43</f>
        <v>630</v>
      </c>
      <c r="Q41" s="11">
        <f>VALO_PERSO!AB43</f>
        <v>0</v>
      </c>
      <c r="R41" s="11">
        <f>VALO_PERSO!AC43</f>
        <v>0</v>
      </c>
      <c r="S41" s="11">
        <f>VALO_PERSO!AD43</f>
        <v>0</v>
      </c>
      <c r="T41" s="81">
        <f>VALO_PERSO!AF43</f>
        <v>735</v>
      </c>
      <c r="V41" s="11">
        <f>VALO_PERSO!AI43</f>
        <v>0</v>
      </c>
      <c r="W41" s="40"/>
      <c r="X41" s="81">
        <f>VALO_PERSO!AK43</f>
        <v>0</v>
      </c>
      <c r="Z41" s="11">
        <f>VALO_PERSO!AN43</f>
        <v>0</v>
      </c>
      <c r="AA41" s="40"/>
      <c r="AB41" s="81">
        <f>VALO_PERSO!AP43</f>
        <v>0</v>
      </c>
      <c r="AD41" s="28">
        <f>VALO_PERSO!AS43</f>
        <v>0</v>
      </c>
      <c r="AE41" s="28">
        <f>VALO_PERSO!AT43</f>
        <v>827.19292688380426</v>
      </c>
      <c r="AF41" s="28">
        <f>VALO_PERSO!AU43</f>
        <v>4963.1575613028263</v>
      </c>
      <c r="AG41" s="28">
        <f>VALO_PERSO!AV43</f>
        <v>0</v>
      </c>
      <c r="AH41" s="28">
        <f>VALO_PERSO!AW43</f>
        <v>0</v>
      </c>
      <c r="AI41" s="28">
        <f>VALO_PERSO!AX43</f>
        <v>0</v>
      </c>
      <c r="AJ41" s="81">
        <f>VALO_PERSO!AZ43</f>
        <v>5790.3504881866302</v>
      </c>
      <c r="AL41" s="11">
        <f>VALO_PERSO!BB43</f>
        <v>0</v>
      </c>
      <c r="AM41" s="40"/>
      <c r="AN41" s="81">
        <f>VALO_PERSO!BD43</f>
        <v>0</v>
      </c>
      <c r="AP41" s="11">
        <f>VALO_PERSO!BF43</f>
        <v>0</v>
      </c>
      <c r="AQ41" s="40"/>
      <c r="AR41" s="81">
        <f>VALO_PERSO!BH43</f>
        <v>0</v>
      </c>
      <c r="AT41" s="11">
        <f>VALO_PERSO!BJ43</f>
        <v>338.3599999999999</v>
      </c>
      <c r="AU41" s="11">
        <f>VALO_PERSO!BK43</f>
        <v>1073.3599999999999</v>
      </c>
      <c r="AV41" s="11">
        <f>VALO_PERSO!BL43</f>
        <v>0</v>
      </c>
      <c r="AW41" s="11">
        <f>VALO_PERSO!BM43</f>
        <v>0</v>
      </c>
    </row>
    <row r="42" spans="1:49" ht="15.75" x14ac:dyDescent="0.3">
      <c r="A42" s="111" t="s">
        <v>813</v>
      </c>
      <c r="B42" s="11">
        <f>VALO_PERSO!F44</f>
        <v>55</v>
      </c>
      <c r="C42" s="11" t="str">
        <f>VALO_PERSO!G44</f>
        <v>TERRANGLE</v>
      </c>
      <c r="D42" s="11" t="str">
        <f>VALO_PERSO!H44</f>
        <v>Garance</v>
      </c>
      <c r="E42" s="11" t="str">
        <f>VALO_PERSO!I44</f>
        <v>Apprenti</v>
      </c>
      <c r="F42" s="11" t="str">
        <f>VALO_PERSO!J44</f>
        <v>Baccalauréat Technologique</v>
      </c>
      <c r="G42" s="11">
        <f>VALO_PERSO!K44</f>
        <v>2021</v>
      </c>
      <c r="H42" s="11">
        <f>VALO_PERSO!P44</f>
        <v>7840.63</v>
      </c>
      <c r="I42" s="11">
        <f>VALO_PERSO!R44</f>
        <v>294.55999999999983</v>
      </c>
      <c r="J42" s="11">
        <f>VALO_PERSO!S44</f>
        <v>165.50000000000011</v>
      </c>
      <c r="K42" s="28">
        <f>VALO_PERSO!V44</f>
        <v>8285.0300000000007</v>
      </c>
      <c r="L42" s="28">
        <f>VALO_PERSO!W44</f>
        <v>1059.3599999999999</v>
      </c>
      <c r="M42" s="28">
        <f>VALO_PERSO!X44</f>
        <v>7.8207880229572586</v>
      </c>
      <c r="N42" s="11">
        <f>VALO_PERSO!Y44</f>
        <v>0</v>
      </c>
      <c r="O42" s="11">
        <f>VALO_PERSO!Z44</f>
        <v>0</v>
      </c>
      <c r="P42" s="11">
        <f>VALO_PERSO!AA44</f>
        <v>602</v>
      </c>
      <c r="Q42" s="11">
        <f>VALO_PERSO!AB44</f>
        <v>0</v>
      </c>
      <c r="R42" s="11">
        <f>VALO_PERSO!AC44</f>
        <v>35</v>
      </c>
      <c r="S42" s="11">
        <f>VALO_PERSO!AD44</f>
        <v>84</v>
      </c>
      <c r="T42" s="81">
        <f>VALO_PERSO!AF44</f>
        <v>721</v>
      </c>
      <c r="V42" s="11">
        <f>VALO_PERSO!AI44</f>
        <v>0</v>
      </c>
      <c r="W42" s="40"/>
      <c r="X42" s="81">
        <f>VALO_PERSO!AK44</f>
        <v>0</v>
      </c>
      <c r="Z42" s="11">
        <f>VALO_PERSO!AN44</f>
        <v>0</v>
      </c>
      <c r="AA42" s="40"/>
      <c r="AB42" s="81">
        <f>VALO_PERSO!AP44</f>
        <v>0</v>
      </c>
      <c r="AD42" s="28">
        <f>VALO_PERSO!AS44</f>
        <v>0</v>
      </c>
      <c r="AE42" s="28">
        <f>VALO_PERSO!AT44</f>
        <v>0</v>
      </c>
      <c r="AF42" s="28">
        <f>VALO_PERSO!AU44</f>
        <v>4708.1143898202699</v>
      </c>
      <c r="AG42" s="28">
        <f>VALO_PERSO!AV44</f>
        <v>0</v>
      </c>
      <c r="AH42" s="28">
        <f>VALO_PERSO!AW44</f>
        <v>273.72758080350405</v>
      </c>
      <c r="AI42" s="28">
        <f>VALO_PERSO!AX44</f>
        <v>656.94619392840968</v>
      </c>
      <c r="AJ42" s="81">
        <f>VALO_PERSO!AZ44</f>
        <v>5638.7881645521829</v>
      </c>
      <c r="AL42" s="11">
        <f>VALO_PERSO!BB44</f>
        <v>0</v>
      </c>
      <c r="AM42" s="40"/>
      <c r="AN42" s="81">
        <f>VALO_PERSO!BD44</f>
        <v>0</v>
      </c>
      <c r="AP42" s="11">
        <f>VALO_PERSO!BF44</f>
        <v>0</v>
      </c>
      <c r="AQ42" s="40"/>
      <c r="AR42" s="81">
        <f>VALO_PERSO!BH44</f>
        <v>0</v>
      </c>
      <c r="AT42" s="11">
        <f>VALO_PERSO!BJ44</f>
        <v>338.3599999999999</v>
      </c>
      <c r="AU42" s="11">
        <f>VALO_PERSO!BK44</f>
        <v>1059.3599999999999</v>
      </c>
      <c r="AV42" s="11">
        <f>VALO_PERSO!BL44</f>
        <v>0</v>
      </c>
      <c r="AW42" s="11">
        <f>VALO_PERSO!BM44</f>
        <v>0</v>
      </c>
    </row>
    <row r="43" spans="1:49" ht="15.75" x14ac:dyDescent="0.3">
      <c r="A43" s="111" t="s">
        <v>813</v>
      </c>
      <c r="B43" s="11">
        <f>VALO_PERSO!F45</f>
        <v>58</v>
      </c>
      <c r="C43" s="11" t="str">
        <f>VALO_PERSO!G45</f>
        <v>POUDEROUX</v>
      </c>
      <c r="D43" s="11" t="str">
        <f>VALO_PERSO!H45</f>
        <v>Jules</v>
      </c>
      <c r="E43" s="11" t="str">
        <f>VALO_PERSO!I45</f>
        <v>Technicien</v>
      </c>
      <c r="F43" s="11">
        <f>VALO_PERSO!J45</f>
        <v>0</v>
      </c>
      <c r="G43" s="11">
        <f>VALO_PERSO!K45</f>
        <v>0</v>
      </c>
      <c r="H43" s="11">
        <f>VALO_PERSO!P45</f>
        <v>18490.8</v>
      </c>
      <c r="I43" s="11">
        <f>VALO_PERSO!R45</f>
        <v>6850.9799999999987</v>
      </c>
      <c r="J43" s="11">
        <f>VALO_PERSO!S45</f>
        <v>6361.7899999999991</v>
      </c>
      <c r="K43" s="28">
        <f>VALO_PERSO!V45</f>
        <v>24852.589999999997</v>
      </c>
      <c r="L43" s="28">
        <f>VALO_PERSO!W45</f>
        <v>988.02</v>
      </c>
      <c r="M43" s="28">
        <f>VALO_PERSO!X45</f>
        <v>25.153934130888036</v>
      </c>
      <c r="N43" s="11">
        <f>VALO_PERSO!Y45</f>
        <v>273.59999999999991</v>
      </c>
      <c r="O43" s="11">
        <f>VALO_PERSO!Z45</f>
        <v>615.60000000000093</v>
      </c>
      <c r="P43" s="11">
        <f>VALO_PERSO!AA45</f>
        <v>0</v>
      </c>
      <c r="Q43" s="11">
        <f>VALO_PERSO!AB45</f>
        <v>0</v>
      </c>
      <c r="R43" s="11">
        <f>VALO_PERSO!AC45</f>
        <v>30.4</v>
      </c>
      <c r="S43" s="11">
        <f>VALO_PERSO!AD45</f>
        <v>0</v>
      </c>
      <c r="T43" s="81">
        <f>VALO_PERSO!AF45</f>
        <v>919.60000000000082</v>
      </c>
      <c r="V43" s="11">
        <f>VALO_PERSO!AI45</f>
        <v>0</v>
      </c>
      <c r="W43" s="40"/>
      <c r="X43" s="81">
        <f>VALO_PERSO!AK45</f>
        <v>0</v>
      </c>
      <c r="Z43" s="11">
        <f>VALO_PERSO!AN45</f>
        <v>0</v>
      </c>
      <c r="AA43" s="40"/>
      <c r="AB43" s="81">
        <f>VALO_PERSO!AP45</f>
        <v>0</v>
      </c>
      <c r="AD43" s="28">
        <f>VALO_PERSO!AS45</f>
        <v>6882.1163782109643</v>
      </c>
      <c r="AE43" s="28">
        <f>VALO_PERSO!AT45</f>
        <v>15484.761850974699</v>
      </c>
      <c r="AF43" s="28">
        <f>VALO_PERSO!AU45</f>
        <v>0</v>
      </c>
      <c r="AG43" s="28">
        <f>VALO_PERSO!AV45</f>
        <v>0</v>
      </c>
      <c r="AH43" s="28">
        <f>VALO_PERSO!AW45</f>
        <v>764.67959757899621</v>
      </c>
      <c r="AI43" s="28">
        <f>VALO_PERSO!AX45</f>
        <v>0</v>
      </c>
      <c r="AJ43" s="81">
        <f>VALO_PERSO!AZ45</f>
        <v>23131.55782676466</v>
      </c>
      <c r="AL43" s="11">
        <f>VALO_PERSO!BB45</f>
        <v>0</v>
      </c>
      <c r="AM43" s="40"/>
      <c r="AN43" s="81">
        <f>VALO_PERSO!BD45</f>
        <v>0</v>
      </c>
      <c r="AP43" s="11">
        <f>VALO_PERSO!BF45</f>
        <v>0</v>
      </c>
      <c r="AQ43" s="40"/>
      <c r="AR43" s="81">
        <f>VALO_PERSO!BH45</f>
        <v>0</v>
      </c>
      <c r="AT43" s="11">
        <f>VALO_PERSO!BJ45</f>
        <v>68.419999999999163</v>
      </c>
      <c r="AU43" s="11">
        <f>VALO_PERSO!BK45</f>
        <v>988.02</v>
      </c>
      <c r="AV43" s="11">
        <f>VALO_PERSO!BL45</f>
        <v>0</v>
      </c>
      <c r="AW43" s="11">
        <f>VALO_PERSO!BM45</f>
        <v>0</v>
      </c>
    </row>
    <row r="44" spans="1:49" ht="15.75" x14ac:dyDescent="0.3">
      <c r="A44" s="111" t="s">
        <v>813</v>
      </c>
      <c r="B44" s="11">
        <f>VALO_PERSO!F46</f>
        <v>60</v>
      </c>
      <c r="C44" s="11" t="str">
        <f>VALO_PERSO!G46</f>
        <v>THOMAS</v>
      </c>
      <c r="D44" s="11" t="str">
        <f>VALO_PERSO!H46</f>
        <v>Paul</v>
      </c>
      <c r="E44" s="11" t="str">
        <f>VALO_PERSO!I46</f>
        <v>Technicien</v>
      </c>
      <c r="F44" s="11">
        <f>VALO_PERSO!J46</f>
        <v>0</v>
      </c>
      <c r="G44" s="11">
        <f>VALO_PERSO!K46</f>
        <v>0</v>
      </c>
      <c r="H44" s="11">
        <f>VALO_PERSO!P46</f>
        <v>3399.94</v>
      </c>
      <c r="I44" s="11">
        <f>VALO_PERSO!R46</f>
        <v>1279.99</v>
      </c>
      <c r="J44" s="11">
        <f>VALO_PERSO!S46</f>
        <v>1190.03</v>
      </c>
      <c r="K44" s="28">
        <f>VALO_PERSO!V46</f>
        <v>4589.97</v>
      </c>
      <c r="L44" s="28">
        <f>VALO_PERSO!W46</f>
        <v>157.07</v>
      </c>
      <c r="M44" s="28">
        <f>VALO_PERSO!X46</f>
        <v>29.222448589800727</v>
      </c>
      <c r="N44" s="11">
        <f>VALO_PERSO!Y46</f>
        <v>0</v>
      </c>
      <c r="O44" s="11">
        <f>VALO_PERSO!Z46</f>
        <v>121.59999999999997</v>
      </c>
      <c r="P44" s="11">
        <f>VALO_PERSO!AA46</f>
        <v>0</v>
      </c>
      <c r="Q44" s="11">
        <f>VALO_PERSO!AB46</f>
        <v>0</v>
      </c>
      <c r="R44" s="11">
        <f>VALO_PERSO!AC46</f>
        <v>0</v>
      </c>
      <c r="S44" s="11">
        <f>VALO_PERSO!AD46</f>
        <v>0</v>
      </c>
      <c r="T44" s="81">
        <f>VALO_PERSO!AF46</f>
        <v>121.59999999999997</v>
      </c>
      <c r="V44" s="11">
        <f>VALO_PERSO!AI46</f>
        <v>0</v>
      </c>
      <c r="W44" s="40"/>
      <c r="X44" s="81">
        <f>VALO_PERSO!AK46</f>
        <v>0</v>
      </c>
      <c r="Z44" s="11">
        <f>VALO_PERSO!AN46</f>
        <v>0</v>
      </c>
      <c r="AA44" s="40"/>
      <c r="AB44" s="81">
        <f>VALO_PERSO!AP46</f>
        <v>0</v>
      </c>
      <c r="AD44" s="28">
        <f>VALO_PERSO!AS46</f>
        <v>0</v>
      </c>
      <c r="AE44" s="28">
        <f>VALO_PERSO!AT46</f>
        <v>3553.4497485197676</v>
      </c>
      <c r="AF44" s="28">
        <f>VALO_PERSO!AU46</f>
        <v>0</v>
      </c>
      <c r="AG44" s="28">
        <f>VALO_PERSO!AV46</f>
        <v>0</v>
      </c>
      <c r="AH44" s="28">
        <f>VALO_PERSO!AW46</f>
        <v>0</v>
      </c>
      <c r="AI44" s="28">
        <f>VALO_PERSO!AX46</f>
        <v>0</v>
      </c>
      <c r="AJ44" s="81">
        <f>VALO_PERSO!AZ46</f>
        <v>3553.4497485197676</v>
      </c>
      <c r="AL44" s="11">
        <f>VALO_PERSO!BB46</f>
        <v>0</v>
      </c>
      <c r="AM44" s="40"/>
      <c r="AN44" s="81">
        <f>VALO_PERSO!BD46</f>
        <v>0</v>
      </c>
      <c r="AP44" s="11">
        <f>VALO_PERSO!BF46</f>
        <v>0</v>
      </c>
      <c r="AQ44" s="40"/>
      <c r="AR44" s="81">
        <f>VALO_PERSO!BH46</f>
        <v>0</v>
      </c>
      <c r="AT44" s="11">
        <f>VALO_PERSO!BJ46</f>
        <v>35.470000000000027</v>
      </c>
      <c r="AU44" s="11">
        <f>VALO_PERSO!BK46</f>
        <v>157.07</v>
      </c>
      <c r="AV44" s="11">
        <f>VALO_PERSO!BL46</f>
        <v>0</v>
      </c>
      <c r="AW44" s="11">
        <f>VALO_PERSO!BM46</f>
        <v>0</v>
      </c>
    </row>
    <row r="45" spans="1:49" ht="15.75" x14ac:dyDescent="0.3">
      <c r="A45" s="111" t="s">
        <v>813</v>
      </c>
      <c r="B45" s="11">
        <f>VALO_PERSO!F47</f>
        <v>61</v>
      </c>
      <c r="C45" s="11" t="str">
        <f>VALO_PERSO!G47</f>
        <v>AATILA-EL-HAMSI</v>
      </c>
      <c r="D45" s="11" t="str">
        <f>VALO_PERSO!H47</f>
        <v>Hajar</v>
      </c>
      <c r="E45" s="11" t="str">
        <f>VALO_PERSO!I47</f>
        <v>Apprenti</v>
      </c>
      <c r="F45" s="11">
        <f>VALO_PERSO!J47</f>
        <v>0</v>
      </c>
      <c r="G45" s="11">
        <f>VALO_PERSO!K47</f>
        <v>0</v>
      </c>
      <c r="H45" s="11">
        <f>VALO_PERSO!P47</f>
        <v>4828.92</v>
      </c>
      <c r="I45" s="11">
        <f>VALO_PERSO!R47</f>
        <v>310.37000000000006</v>
      </c>
      <c r="J45" s="11">
        <f>VALO_PERSO!S47</f>
        <v>230.88999999999982</v>
      </c>
      <c r="K45" s="28">
        <f>VALO_PERSO!V47</f>
        <v>5173.41</v>
      </c>
      <c r="L45" s="28">
        <f>VALO_PERSO!W47</f>
        <v>592.67999999999995</v>
      </c>
      <c r="M45" s="28">
        <f>VALO_PERSO!X47</f>
        <v>8.7288418708240538</v>
      </c>
      <c r="N45" s="11">
        <f>VALO_PERSO!Y47</f>
        <v>56</v>
      </c>
      <c r="O45" s="11">
        <f>VALO_PERSO!Z47</f>
        <v>51.639999999999993</v>
      </c>
      <c r="P45" s="11">
        <f>VALO_PERSO!AA47</f>
        <v>57.19</v>
      </c>
      <c r="Q45" s="11">
        <f>VALO_PERSO!AB47</f>
        <v>0</v>
      </c>
      <c r="R45" s="11">
        <f>VALO_PERSO!AC47</f>
        <v>0</v>
      </c>
      <c r="S45" s="11">
        <f>VALO_PERSO!AD47</f>
        <v>0</v>
      </c>
      <c r="T45" s="81">
        <f>VALO_PERSO!AF47</f>
        <v>164.82999999999998</v>
      </c>
      <c r="V45" s="11">
        <f>VALO_PERSO!AI47</f>
        <v>0</v>
      </c>
      <c r="W45" s="40"/>
      <c r="X45" s="81">
        <f>VALO_PERSO!AK47</f>
        <v>0</v>
      </c>
      <c r="Z45" s="11">
        <f>VALO_PERSO!AN47</f>
        <v>0</v>
      </c>
      <c r="AA45" s="40"/>
      <c r="AB45" s="81">
        <f>VALO_PERSO!AP47</f>
        <v>0</v>
      </c>
      <c r="AD45" s="28">
        <f>VALO_PERSO!AS47</f>
        <v>488.815144766147</v>
      </c>
      <c r="AE45" s="28">
        <f>VALO_PERSO!AT47</f>
        <v>450.75739420935406</v>
      </c>
      <c r="AF45" s="28">
        <f>VALO_PERSO!AU47</f>
        <v>499.20246659242758</v>
      </c>
      <c r="AG45" s="28">
        <f>VALO_PERSO!AV47</f>
        <v>0</v>
      </c>
      <c r="AH45" s="28">
        <f>VALO_PERSO!AW47</f>
        <v>0</v>
      </c>
      <c r="AI45" s="28">
        <f>VALO_PERSO!AX47</f>
        <v>0</v>
      </c>
      <c r="AJ45" s="81">
        <f>VALO_PERSO!AZ47</f>
        <v>1438.7750055679287</v>
      </c>
      <c r="AL45" s="11">
        <f>VALO_PERSO!BB47</f>
        <v>0</v>
      </c>
      <c r="AM45" s="40"/>
      <c r="AN45" s="81">
        <f>VALO_PERSO!BD47</f>
        <v>0</v>
      </c>
      <c r="AP45" s="11">
        <f>VALO_PERSO!BF47</f>
        <v>0</v>
      </c>
      <c r="AQ45" s="40"/>
      <c r="AR45" s="81">
        <f>VALO_PERSO!BH47</f>
        <v>0</v>
      </c>
      <c r="AT45" s="11">
        <f>VALO_PERSO!BJ47</f>
        <v>427.84999999999997</v>
      </c>
      <c r="AU45" s="11">
        <f>VALO_PERSO!BK47</f>
        <v>592.67999999999995</v>
      </c>
      <c r="AV45" s="11">
        <f>VALO_PERSO!BL47</f>
        <v>0</v>
      </c>
      <c r="AW45" s="11">
        <f>VALO_PERSO!BM47</f>
        <v>0</v>
      </c>
    </row>
    <row r="46" spans="1:49" ht="15.75" x14ac:dyDescent="0.3">
      <c r="A46" s="111" t="s">
        <v>813</v>
      </c>
      <c r="B46" s="11">
        <f>VALO_PERSO!F48</f>
        <v>62</v>
      </c>
      <c r="C46" s="11" t="str">
        <f>VALO_PERSO!G48</f>
        <v>CHOTARD</v>
      </c>
      <c r="D46" s="11" t="str">
        <f>VALO_PERSO!H48</f>
        <v>Tilio</v>
      </c>
      <c r="E46" s="11" t="str">
        <f>VALO_PERSO!I48</f>
        <v>Apprenti</v>
      </c>
      <c r="F46" s="11">
        <f>VALO_PERSO!J48</f>
        <v>0</v>
      </c>
      <c r="G46" s="11">
        <f>VALO_PERSO!K48</f>
        <v>0</v>
      </c>
      <c r="H46" s="11">
        <f>VALO_PERSO!P48</f>
        <v>5765.88</v>
      </c>
      <c r="I46" s="11">
        <f>VALO_PERSO!R48</f>
        <v>345.63</v>
      </c>
      <c r="J46" s="11">
        <f>VALO_PERSO!S48</f>
        <v>250.75000000000011</v>
      </c>
      <c r="K46" s="28">
        <f>VALO_PERSO!V48</f>
        <v>6016.63</v>
      </c>
      <c r="L46" s="28">
        <f>VALO_PERSO!W48</f>
        <v>571.67999999999995</v>
      </c>
      <c r="M46" s="28">
        <f>VALO_PERSO!X48</f>
        <v>10.524471732437728</v>
      </c>
      <c r="N46" s="11">
        <f>VALO_PERSO!Y48</f>
        <v>0</v>
      </c>
      <c r="O46" s="11">
        <f>VALO_PERSO!Z48</f>
        <v>0</v>
      </c>
      <c r="P46" s="11">
        <f>VALO_PERSO!AA48</f>
        <v>273</v>
      </c>
      <c r="Q46" s="11">
        <f>VALO_PERSO!AB48</f>
        <v>0</v>
      </c>
      <c r="R46" s="11">
        <f>VALO_PERSO!AC48</f>
        <v>0</v>
      </c>
      <c r="S46" s="11">
        <f>VALO_PERSO!AD48</f>
        <v>0</v>
      </c>
      <c r="T46" s="81">
        <f>VALO_PERSO!AF48</f>
        <v>273</v>
      </c>
      <c r="V46" s="11">
        <f>VALO_PERSO!AI48</f>
        <v>0</v>
      </c>
      <c r="W46" s="40"/>
      <c r="X46" s="81">
        <f>VALO_PERSO!AK48</f>
        <v>0</v>
      </c>
      <c r="Z46" s="11">
        <f>VALO_PERSO!AN48</f>
        <v>0</v>
      </c>
      <c r="AA46" s="40"/>
      <c r="AB46" s="81">
        <f>VALO_PERSO!AP48</f>
        <v>0</v>
      </c>
      <c r="AD46" s="28">
        <f>VALO_PERSO!AS48</f>
        <v>0</v>
      </c>
      <c r="AE46" s="28">
        <f>VALO_PERSO!AT48</f>
        <v>0</v>
      </c>
      <c r="AF46" s="28">
        <f>VALO_PERSO!AU48</f>
        <v>2873.1807829555</v>
      </c>
      <c r="AG46" s="28">
        <f>VALO_PERSO!AV48</f>
        <v>0</v>
      </c>
      <c r="AH46" s="28">
        <f>VALO_PERSO!AW48</f>
        <v>0</v>
      </c>
      <c r="AI46" s="28">
        <f>VALO_PERSO!AX48</f>
        <v>0</v>
      </c>
      <c r="AJ46" s="81">
        <f>VALO_PERSO!AZ48</f>
        <v>2873.1807829555</v>
      </c>
      <c r="AL46" s="11">
        <f>VALO_PERSO!BB48</f>
        <v>0</v>
      </c>
      <c r="AM46" s="40"/>
      <c r="AN46" s="81">
        <f>VALO_PERSO!BD48</f>
        <v>0</v>
      </c>
      <c r="AP46" s="11">
        <f>VALO_PERSO!BF48</f>
        <v>0</v>
      </c>
      <c r="AQ46" s="40"/>
      <c r="AR46" s="81">
        <f>VALO_PERSO!BH48</f>
        <v>0</v>
      </c>
      <c r="AT46" s="11">
        <f>VALO_PERSO!BJ48</f>
        <v>298.67999999999995</v>
      </c>
      <c r="AU46" s="11">
        <f>VALO_PERSO!BK48</f>
        <v>571.67999999999995</v>
      </c>
      <c r="AV46" s="11">
        <f>VALO_PERSO!BL48</f>
        <v>0</v>
      </c>
      <c r="AW46" s="11">
        <f>VALO_PERSO!BM48</f>
        <v>0</v>
      </c>
    </row>
    <row r="47" spans="1:49" ht="15.75" x14ac:dyDescent="0.3">
      <c r="A47" s="111" t="s">
        <v>813</v>
      </c>
      <c r="B47" s="11">
        <f>VALO_PERSO!F49</f>
        <v>63</v>
      </c>
      <c r="C47" s="11" t="str">
        <f>VALO_PERSO!G49</f>
        <v>MOALIC</v>
      </c>
      <c r="D47" s="11" t="str">
        <f>VALO_PERSO!H49</f>
        <v>Briac</v>
      </c>
      <c r="E47" s="11" t="str">
        <f>VALO_PERSO!I49</f>
        <v>Apprenti</v>
      </c>
      <c r="F47" s="11">
        <f>VALO_PERSO!J49</f>
        <v>0</v>
      </c>
      <c r="G47" s="11">
        <f>VALO_PERSO!K49</f>
        <v>0</v>
      </c>
      <c r="H47" s="11">
        <f>VALO_PERSO!P49</f>
        <v>5765.88</v>
      </c>
      <c r="I47" s="11">
        <f>VALO_PERSO!R49</f>
        <v>217.63000000000002</v>
      </c>
      <c r="J47" s="11">
        <f>VALO_PERSO!S49</f>
        <v>122.75000000000011</v>
      </c>
      <c r="K47" s="28">
        <f>VALO_PERSO!V49</f>
        <v>5937.68</v>
      </c>
      <c r="L47" s="28">
        <f>VALO_PERSO!W49</f>
        <v>599.67999999999995</v>
      </c>
      <c r="M47" s="28">
        <f>VALO_PERSO!X49</f>
        <v>9.9014140875133414</v>
      </c>
      <c r="N47" s="11">
        <f>VALO_PERSO!Y49</f>
        <v>0</v>
      </c>
      <c r="O47" s="11">
        <f>VALO_PERSO!Z49</f>
        <v>0</v>
      </c>
      <c r="P47" s="11">
        <f>VALO_PERSO!AA49</f>
        <v>0</v>
      </c>
      <c r="Q47" s="11">
        <f>VALO_PERSO!AB49</f>
        <v>0</v>
      </c>
      <c r="R47" s="11">
        <f>VALO_PERSO!AC49</f>
        <v>301</v>
      </c>
      <c r="S47" s="11">
        <f>VALO_PERSO!AD49</f>
        <v>0</v>
      </c>
      <c r="T47" s="81">
        <f>VALO_PERSO!AF49</f>
        <v>301</v>
      </c>
      <c r="V47" s="11">
        <f>VALO_PERSO!AI49</f>
        <v>0</v>
      </c>
      <c r="W47" s="40"/>
      <c r="X47" s="81">
        <f>VALO_PERSO!AK49</f>
        <v>0</v>
      </c>
      <c r="Z47" s="11">
        <f>VALO_PERSO!AN49</f>
        <v>0</v>
      </c>
      <c r="AA47" s="40"/>
      <c r="AB47" s="81">
        <f>VALO_PERSO!AP49</f>
        <v>0</v>
      </c>
      <c r="AD47" s="28">
        <f>VALO_PERSO!AS49</f>
        <v>0</v>
      </c>
      <c r="AE47" s="28">
        <f>VALO_PERSO!AT49</f>
        <v>0</v>
      </c>
      <c r="AF47" s="28">
        <f>VALO_PERSO!AU49</f>
        <v>0</v>
      </c>
      <c r="AG47" s="28">
        <f>VALO_PERSO!AV49</f>
        <v>0</v>
      </c>
      <c r="AH47" s="28">
        <f>VALO_PERSO!AW49</f>
        <v>2980.3256403415162</v>
      </c>
      <c r="AI47" s="28">
        <f>VALO_PERSO!AX49</f>
        <v>0</v>
      </c>
      <c r="AJ47" s="81">
        <f>VALO_PERSO!AZ49</f>
        <v>2980.3256403415162</v>
      </c>
      <c r="AL47" s="11">
        <f>VALO_PERSO!BB49</f>
        <v>0</v>
      </c>
      <c r="AM47" s="40"/>
      <c r="AN47" s="81">
        <f>VALO_PERSO!BD49</f>
        <v>0</v>
      </c>
      <c r="AP47" s="11">
        <f>VALO_PERSO!BF49</f>
        <v>0</v>
      </c>
      <c r="AQ47" s="40"/>
      <c r="AR47" s="81">
        <f>VALO_PERSO!BH49</f>
        <v>0</v>
      </c>
      <c r="AT47" s="11">
        <f>VALO_PERSO!BJ49</f>
        <v>298.67999999999995</v>
      </c>
      <c r="AU47" s="11">
        <f>VALO_PERSO!BK49</f>
        <v>599.67999999999995</v>
      </c>
      <c r="AV47" s="11">
        <f>VALO_PERSO!BL49</f>
        <v>0</v>
      </c>
      <c r="AW47" s="11">
        <f>VALO_PERSO!BM49</f>
        <v>0</v>
      </c>
    </row>
    <row r="48" spans="1:49" ht="15.75" thickBot="1" x14ac:dyDescent="0.3"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4" t="s">
        <v>360</v>
      </c>
      <c r="N48" s="65">
        <f t="shared" ref="N48:T48" si="0">SUM(N3:N47)</f>
        <v>5718.6520449041291</v>
      </c>
      <c r="O48" s="65">
        <f t="shared" si="0"/>
        <v>21903.924203602095</v>
      </c>
      <c r="P48" s="65">
        <f t="shared" si="0"/>
        <v>11249.254666175582</v>
      </c>
      <c r="Q48" s="65">
        <f t="shared" si="0"/>
        <v>2013.2688883495109</v>
      </c>
      <c r="R48" s="65">
        <f t="shared" si="0"/>
        <v>2798.1223300970901</v>
      </c>
      <c r="S48" s="65">
        <f t="shared" si="0"/>
        <v>700.58386687160214</v>
      </c>
      <c r="T48" s="65">
        <f t="shared" si="0"/>
        <v>44383.806000000011</v>
      </c>
      <c r="V48" s="65">
        <f>SUM(V3:V47)</f>
        <v>0</v>
      </c>
      <c r="W48" s="67">
        <f>SUM(W3:W47)</f>
        <v>0</v>
      </c>
      <c r="X48" s="65">
        <f>SUM(X3:X47)</f>
        <v>0</v>
      </c>
      <c r="Z48" s="65">
        <f>SUM(Z3:Z47)</f>
        <v>0</v>
      </c>
      <c r="AA48" s="67">
        <f>SUM(AA3:AA47)</f>
        <v>0</v>
      </c>
      <c r="AB48" s="65">
        <f>SUM(AB3:AB47)</f>
        <v>0</v>
      </c>
      <c r="AD48" s="65">
        <f t="shared" ref="AD48:AJ48" si="1">SUM(AD3:AD47)</f>
        <v>265179.57388605969</v>
      </c>
      <c r="AE48" s="65">
        <f t="shared" si="1"/>
        <v>1010469.3655903434</v>
      </c>
      <c r="AF48" s="65">
        <f t="shared" si="1"/>
        <v>489463.51341966179</v>
      </c>
      <c r="AG48" s="65">
        <f t="shared" si="1"/>
        <v>110422.64993353636</v>
      </c>
      <c r="AH48" s="65">
        <f t="shared" si="1"/>
        <v>136662.03178787552</v>
      </c>
      <c r="AI48" s="65">
        <f t="shared" si="1"/>
        <v>36003.563384795474</v>
      </c>
      <c r="AJ48" s="65">
        <f t="shared" si="1"/>
        <v>2048200.6980022709</v>
      </c>
      <c r="AL48" s="65">
        <f>SUM(AL3:AL47)</f>
        <v>0</v>
      </c>
      <c r="AM48" s="67">
        <f>SUM(AM3:AM47)</f>
        <v>0</v>
      </c>
      <c r="AN48" s="65">
        <f>SUM(AN3:AN47)</f>
        <v>0</v>
      </c>
      <c r="AP48" s="65">
        <f>SUM(AP3:AP47)</f>
        <v>0</v>
      </c>
      <c r="AQ48" s="67">
        <f>SUM(AQ3:AQ47)</f>
        <v>0</v>
      </c>
      <c r="AR48" s="65">
        <f>SUM(AR3:AR47)</f>
        <v>0</v>
      </c>
      <c r="AT48" s="65">
        <f>SUM(AT3:AT47)</f>
        <v>12029.573999999982</v>
      </c>
      <c r="AU48" s="65">
        <f>SUM(AU3:AU47)</f>
        <v>56413.38</v>
      </c>
      <c r="AV48" s="65">
        <f>SUM(AV3:AV47)</f>
        <v>0</v>
      </c>
      <c r="AW48" s="65">
        <f>SUM(AW3:AW47)</f>
        <v>0</v>
      </c>
    </row>
    <row r="50" spans="11:36" ht="15.75" thickBot="1" x14ac:dyDescent="0.3">
      <c r="K50" s="214"/>
      <c r="L50" s="214"/>
      <c r="M50" s="215" t="s">
        <v>499</v>
      </c>
      <c r="AD50" s="65">
        <f>VALO_PERSO!AS52</f>
        <v>0</v>
      </c>
      <c r="AE50" s="65">
        <f>VALO_PERSO!AT52</f>
        <v>0</v>
      </c>
      <c r="AF50" s="65">
        <f>VALO_PERSO!AU52</f>
        <v>0</v>
      </c>
      <c r="AG50" s="65">
        <f>VALO_PERSO!AV52</f>
        <v>0</v>
      </c>
      <c r="AH50" s="65">
        <f>VALO_PERSO!AW52</f>
        <v>0</v>
      </c>
      <c r="AI50" s="65">
        <f>VALO_PERSO!AX52</f>
        <v>0</v>
      </c>
      <c r="AJ50" s="65">
        <f>VALO_PERSO!AZ52</f>
        <v>0</v>
      </c>
    </row>
    <row r="52" spans="11:36" ht="15.75" thickBot="1" x14ac:dyDescent="0.3">
      <c r="K52" s="61"/>
      <c r="L52" s="61"/>
      <c r="M52" s="64" t="s">
        <v>500</v>
      </c>
      <c r="AD52" s="65">
        <f>VALO_PERSO!AS54</f>
        <v>265179.57388605969</v>
      </c>
      <c r="AE52" s="65">
        <f>VALO_PERSO!AT54</f>
        <v>1010469.3655903434</v>
      </c>
      <c r="AF52" s="65">
        <f>VALO_PERSO!AU54</f>
        <v>489463.51341966179</v>
      </c>
      <c r="AG52" s="65">
        <f>VALO_PERSO!AV54</f>
        <v>110422.64993353636</v>
      </c>
      <c r="AH52" s="65">
        <f>VALO_PERSO!AW54</f>
        <v>136662.03178787552</v>
      </c>
      <c r="AI52" s="65">
        <f>VALO_PERSO!AX54</f>
        <v>36003.563384795474</v>
      </c>
      <c r="AJ52" s="65">
        <f>VALO_PERSO!AZ54</f>
        <v>2048200.6980022721</v>
      </c>
    </row>
  </sheetData>
  <conditionalFormatting sqref="L1">
    <cfRule type="duplicateValues" dxfId="66" priority="1"/>
  </conditionalFormatting>
  <conditionalFormatting sqref="B3:G47">
    <cfRule type="expression" dxfId="65" priority="104">
      <formula>#REF!&gt;0</formula>
    </cfRule>
  </conditionalFormatting>
  <conditionalFormatting sqref="H1:J1">
    <cfRule type="duplicateValues" dxfId="64" priority="105"/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0AB8-05BE-4152-8C8E-0FF24DD17EDC}">
  <sheetPr codeName="Feuil16">
    <tabColor theme="2" tint="-0.249977111117893"/>
  </sheetPr>
  <dimension ref="A2:R15"/>
  <sheetViews>
    <sheetView workbookViewId="0"/>
  </sheetViews>
  <sheetFormatPr baseColWidth="10" defaultColWidth="11.42578125" defaultRowHeight="12.75" x14ac:dyDescent="0.2"/>
  <cols>
    <col min="1" max="1" width="11.42578125" style="203"/>
    <col min="2" max="2" width="72" style="203" customWidth="1"/>
    <col min="3" max="3" width="35" style="203" bestFit="1" customWidth="1"/>
    <col min="4" max="4" width="44.85546875" style="203" customWidth="1"/>
    <col min="5" max="5" width="20.42578125" style="206" customWidth="1"/>
    <col min="6" max="6" width="55.42578125" style="203" customWidth="1"/>
    <col min="7" max="7" width="15.5703125" style="203" bestFit="1" customWidth="1"/>
    <col min="8" max="13" width="11.42578125" style="203"/>
    <col min="14" max="14" width="19.28515625" style="203" bestFit="1" customWidth="1"/>
    <col min="15" max="15" width="25.7109375" style="203" bestFit="1" customWidth="1"/>
    <col min="16" max="16" width="17.42578125" style="203" customWidth="1"/>
    <col min="17" max="17" width="22.5703125" style="203" bestFit="1" customWidth="1"/>
    <col min="18" max="16384" width="11.42578125" style="203"/>
  </cols>
  <sheetData>
    <row r="2" spans="1:18" ht="38.25" x14ac:dyDescent="0.2">
      <c r="A2" s="202" t="s">
        <v>835</v>
      </c>
      <c r="B2" s="202" t="s">
        <v>501</v>
      </c>
      <c r="C2" s="202" t="s">
        <v>502</v>
      </c>
      <c r="D2" s="202" t="s">
        <v>503</v>
      </c>
      <c r="E2" s="441" t="s">
        <v>504</v>
      </c>
      <c r="F2" s="441" t="s">
        <v>505</v>
      </c>
      <c r="H2" s="204"/>
    </row>
    <row r="3" spans="1:18" ht="25.5" x14ac:dyDescent="0.2">
      <c r="A3" s="437" t="s">
        <v>506</v>
      </c>
      <c r="B3" s="438" t="s">
        <v>507</v>
      </c>
      <c r="C3" s="438" t="s">
        <v>508</v>
      </c>
      <c r="D3" s="438" t="s">
        <v>509</v>
      </c>
      <c r="E3" s="442">
        <f>7*5*52</f>
        <v>1820</v>
      </c>
      <c r="F3" s="438" t="s">
        <v>510</v>
      </c>
      <c r="G3" s="205"/>
      <c r="H3" s="204"/>
      <c r="R3" s="203" t="s">
        <v>506</v>
      </c>
    </row>
    <row r="4" spans="1:18" ht="25.5" x14ac:dyDescent="0.2">
      <c r="A4" s="437" t="s">
        <v>506</v>
      </c>
      <c r="B4" s="438" t="s">
        <v>511</v>
      </c>
      <c r="C4" s="438" t="s">
        <v>508</v>
      </c>
      <c r="D4" s="438" t="s">
        <v>509</v>
      </c>
      <c r="E4" s="442">
        <f>7.8*5*52</f>
        <v>2028</v>
      </c>
      <c r="F4" s="438"/>
      <c r="G4" s="205"/>
      <c r="H4" s="204"/>
      <c r="R4" s="203" t="s">
        <v>512</v>
      </c>
    </row>
    <row r="5" spans="1:18" ht="25.5" x14ac:dyDescent="0.2">
      <c r="A5" s="437" t="s">
        <v>506</v>
      </c>
      <c r="B5" s="438" t="s">
        <v>513</v>
      </c>
      <c r="C5" s="438" t="s">
        <v>508</v>
      </c>
      <c r="D5" s="438" t="s">
        <v>509</v>
      </c>
      <c r="E5" s="442">
        <f>8*5*52</f>
        <v>2080</v>
      </c>
      <c r="F5" s="438"/>
      <c r="G5" s="205"/>
      <c r="H5" s="204"/>
      <c r="R5" s="203" t="s">
        <v>514</v>
      </c>
    </row>
    <row r="6" spans="1:18" ht="25.5" x14ac:dyDescent="0.2">
      <c r="A6" s="437" t="s">
        <v>512</v>
      </c>
      <c r="B6" s="438" t="s">
        <v>515</v>
      </c>
      <c r="C6" s="438" t="s">
        <v>508</v>
      </c>
      <c r="D6" s="438" t="s">
        <v>509</v>
      </c>
      <c r="E6" s="442">
        <f>7*5*52</f>
        <v>1820</v>
      </c>
      <c r="F6" s="438" t="s">
        <v>510</v>
      </c>
      <c r="R6" s="203" t="s">
        <v>516</v>
      </c>
    </row>
    <row r="7" spans="1:18" x14ac:dyDescent="0.2">
      <c r="A7" s="437" t="s">
        <v>512</v>
      </c>
      <c r="B7" s="438" t="s">
        <v>517</v>
      </c>
      <c r="C7" s="438" t="s">
        <v>508</v>
      </c>
      <c r="D7" s="438" t="s">
        <v>509</v>
      </c>
      <c r="E7" s="442">
        <f>7.8*5*52</f>
        <v>2028</v>
      </c>
      <c r="F7" s="438"/>
      <c r="R7" s="203" t="s">
        <v>518</v>
      </c>
    </row>
    <row r="8" spans="1:18" x14ac:dyDescent="0.2">
      <c r="A8" s="437" t="s">
        <v>512</v>
      </c>
      <c r="B8" s="438" t="s">
        <v>519</v>
      </c>
      <c r="C8" s="438" t="s">
        <v>508</v>
      </c>
      <c r="D8" s="438" t="s">
        <v>509</v>
      </c>
      <c r="E8" s="442">
        <f>8*5*52</f>
        <v>2080</v>
      </c>
      <c r="F8" s="438"/>
    </row>
    <row r="9" spans="1:18" ht="25.5" x14ac:dyDescent="0.2">
      <c r="A9" s="437" t="s">
        <v>514</v>
      </c>
      <c r="B9" s="438" t="s">
        <v>520</v>
      </c>
      <c r="C9" s="438" t="s">
        <v>521</v>
      </c>
      <c r="D9" s="438" t="s">
        <v>522</v>
      </c>
      <c r="E9" s="442" t="s">
        <v>523</v>
      </c>
      <c r="F9" s="438" t="s">
        <v>524</v>
      </c>
    </row>
    <row r="10" spans="1:18" ht="25.5" x14ac:dyDescent="0.2">
      <c r="A10" s="437" t="s">
        <v>514</v>
      </c>
      <c r="B10" s="438" t="s">
        <v>525</v>
      </c>
      <c r="C10" s="438" t="s">
        <v>521</v>
      </c>
      <c r="D10" s="438" t="s">
        <v>526</v>
      </c>
      <c r="E10" s="442" t="s">
        <v>523</v>
      </c>
      <c r="F10" s="438" t="s">
        <v>524</v>
      </c>
    </row>
    <row r="11" spans="1:18" ht="25.5" x14ac:dyDescent="0.2">
      <c r="A11" s="437" t="s">
        <v>514</v>
      </c>
      <c r="B11" s="438" t="s">
        <v>527</v>
      </c>
      <c r="C11" s="438" t="s">
        <v>521</v>
      </c>
      <c r="D11" s="438" t="s">
        <v>528</v>
      </c>
      <c r="E11" s="442" t="s">
        <v>523</v>
      </c>
      <c r="F11" s="438" t="s">
        <v>524</v>
      </c>
    </row>
    <row r="12" spans="1:18" ht="25.5" x14ac:dyDescent="0.2">
      <c r="A12" s="437" t="s">
        <v>516</v>
      </c>
      <c r="B12" s="438" t="s">
        <v>529</v>
      </c>
      <c r="C12" s="438" t="s">
        <v>530</v>
      </c>
      <c r="D12" s="438" t="s">
        <v>531</v>
      </c>
      <c r="E12" s="442" t="s">
        <v>523</v>
      </c>
      <c r="F12" s="438" t="s">
        <v>532</v>
      </c>
    </row>
    <row r="13" spans="1:18" ht="25.5" x14ac:dyDescent="0.2">
      <c r="A13" s="437" t="s">
        <v>516</v>
      </c>
      <c r="B13" s="438" t="s">
        <v>533</v>
      </c>
      <c r="C13" s="438" t="s">
        <v>530</v>
      </c>
      <c r="D13" s="438" t="s">
        <v>534</v>
      </c>
      <c r="E13" s="442" t="s">
        <v>523</v>
      </c>
      <c r="F13" s="438" t="s">
        <v>532</v>
      </c>
    </row>
    <row r="14" spans="1:18" ht="25.5" x14ac:dyDescent="0.2">
      <c r="A14" s="437" t="s">
        <v>518</v>
      </c>
      <c r="B14" s="438" t="s">
        <v>535</v>
      </c>
      <c r="C14" s="438" t="s">
        <v>536</v>
      </c>
      <c r="D14" s="438" t="s">
        <v>537</v>
      </c>
      <c r="E14" s="442">
        <f>218*8</f>
        <v>1744</v>
      </c>
      <c r="F14" s="438" t="s">
        <v>532</v>
      </c>
    </row>
    <row r="15" spans="1:18" x14ac:dyDescent="0.2">
      <c r="A15" s="437" t="s">
        <v>518</v>
      </c>
      <c r="B15" s="439" t="s">
        <v>538</v>
      </c>
      <c r="C15" s="439" t="s">
        <v>536</v>
      </c>
      <c r="D15" s="439" t="s">
        <v>539</v>
      </c>
      <c r="E15" s="440">
        <f>47*35</f>
        <v>1645</v>
      </c>
      <c r="F15" s="439" t="s">
        <v>532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2FBC3-F9B6-4004-AE39-341737472FC3}">
  <sheetPr>
    <tabColor rgb="FFFF99CC"/>
  </sheetPr>
  <dimension ref="A1:AN50"/>
  <sheetViews>
    <sheetView topLeftCell="AG1" workbookViewId="0">
      <selection activeCell="AT35" sqref="AT35"/>
    </sheetView>
  </sheetViews>
  <sheetFormatPr baseColWidth="10" defaultRowHeight="15" x14ac:dyDescent="0.25"/>
  <cols>
    <col min="2" max="2" width="27.28515625" bestFit="1" customWidth="1"/>
    <col min="3" max="3" width="24.42578125" bestFit="1" customWidth="1"/>
    <col min="4" max="4" width="12.140625" bestFit="1" customWidth="1"/>
    <col min="5" max="5" width="20.7109375" bestFit="1" customWidth="1"/>
    <col min="6" max="25" width="21.140625" bestFit="1" customWidth="1"/>
    <col min="26" max="35" width="8" bestFit="1" customWidth="1"/>
    <col min="36" max="36" width="12.5703125" bestFit="1" customWidth="1"/>
    <col min="37" max="231" width="10.42578125" bestFit="1" customWidth="1"/>
    <col min="232" max="232" width="12.5703125" bestFit="1" customWidth="1"/>
  </cols>
  <sheetData>
    <row r="1" spans="1:40" x14ac:dyDescent="0.25">
      <c r="B1" t="s">
        <v>1225</v>
      </c>
      <c r="C1" t="s">
        <v>1245</v>
      </c>
    </row>
    <row r="3" spans="1:40" x14ac:dyDescent="0.25">
      <c r="B3" t="s">
        <v>1224</v>
      </c>
      <c r="E3" t="s">
        <v>1246</v>
      </c>
      <c r="F3" t="s">
        <v>1247</v>
      </c>
    </row>
    <row r="4" spans="1:40" x14ac:dyDescent="0.25">
      <c r="E4" t="s">
        <v>1248</v>
      </c>
      <c r="F4" t="s">
        <v>1249</v>
      </c>
      <c r="Z4" t="s">
        <v>1250</v>
      </c>
      <c r="AA4" t="s">
        <v>1251</v>
      </c>
      <c r="AB4" t="s">
        <v>1252</v>
      </c>
      <c r="AC4" t="s">
        <v>1253</v>
      </c>
      <c r="AD4" t="s">
        <v>1254</v>
      </c>
      <c r="AE4" t="s">
        <v>1255</v>
      </c>
      <c r="AF4" t="s">
        <v>1256</v>
      </c>
      <c r="AG4" t="s">
        <v>1257</v>
      </c>
      <c r="AH4" t="s">
        <v>1258</v>
      </c>
      <c r="AI4" t="s">
        <v>1259</v>
      </c>
      <c r="AJ4" t="s">
        <v>335</v>
      </c>
    </row>
    <row r="5" spans="1:40" x14ac:dyDescent="0.25">
      <c r="B5" t="s">
        <v>366</v>
      </c>
      <c r="C5" t="s">
        <v>367</v>
      </c>
      <c r="D5" t="s">
        <v>1226</v>
      </c>
      <c r="F5" t="s">
        <v>1260</v>
      </c>
      <c r="G5" t="s">
        <v>1261</v>
      </c>
      <c r="H5" t="s">
        <v>1262</v>
      </c>
      <c r="I5" t="s">
        <v>1263</v>
      </c>
      <c r="J5" t="s">
        <v>1264</v>
      </c>
      <c r="K5" t="s">
        <v>1265</v>
      </c>
      <c r="L5" t="s">
        <v>1266</v>
      </c>
      <c r="M5" t="s">
        <v>1267</v>
      </c>
      <c r="N5" t="s">
        <v>1268</v>
      </c>
      <c r="O5" t="s">
        <v>1269</v>
      </c>
      <c r="P5" t="s">
        <v>1270</v>
      </c>
      <c r="Q5" t="s">
        <v>1271</v>
      </c>
      <c r="R5" t="s">
        <v>1272</v>
      </c>
      <c r="S5" t="s">
        <v>1273</v>
      </c>
      <c r="T5" t="s">
        <v>1274</v>
      </c>
      <c r="U5" t="s">
        <v>1275</v>
      </c>
      <c r="V5" t="s">
        <v>1276</v>
      </c>
      <c r="W5" t="s">
        <v>1277</v>
      </c>
      <c r="X5" t="s">
        <v>1278</v>
      </c>
      <c r="Y5" t="s">
        <v>1279</v>
      </c>
      <c r="AK5" t="s">
        <v>1280</v>
      </c>
      <c r="AL5" t="s">
        <v>1281</v>
      </c>
    </row>
    <row r="6" spans="1:40" x14ac:dyDescent="0.25">
      <c r="A6">
        <v>0</v>
      </c>
      <c r="B6" t="s">
        <v>1238</v>
      </c>
      <c r="C6" t="s">
        <v>1236</v>
      </c>
      <c r="D6" t="s">
        <v>1237</v>
      </c>
      <c r="E6" s="479"/>
      <c r="F6" s="479"/>
      <c r="G6" s="479"/>
      <c r="H6" s="479"/>
      <c r="I6" s="479"/>
      <c r="J6" s="479"/>
      <c r="K6" s="479"/>
      <c r="L6" s="479"/>
      <c r="M6" s="479"/>
      <c r="N6" s="479"/>
      <c r="O6" s="479"/>
      <c r="P6" s="479"/>
      <c r="Q6" s="479"/>
      <c r="R6" s="479"/>
      <c r="S6" s="479"/>
      <c r="T6" s="479"/>
      <c r="U6" s="479"/>
      <c r="V6" s="479"/>
      <c r="W6" s="479"/>
      <c r="X6" s="479"/>
      <c r="Y6" s="479"/>
      <c r="Z6" s="479"/>
      <c r="AA6" s="479"/>
      <c r="AB6" s="479"/>
      <c r="AC6" s="479"/>
      <c r="AD6" s="479"/>
      <c r="AE6" s="479"/>
      <c r="AF6" s="479"/>
      <c r="AG6" s="479">
        <v>76</v>
      </c>
      <c r="AH6" s="479">
        <v>136.79999999999995</v>
      </c>
      <c r="AI6" s="479">
        <v>151.99999999999994</v>
      </c>
      <c r="AJ6" s="479">
        <v>364.7999999999999</v>
      </c>
      <c r="AK6" s="76">
        <f>SUM(E6:O6)</f>
        <v>0</v>
      </c>
      <c r="AL6" s="483">
        <f>+SUM(P6:AI6)</f>
        <v>364.7999999999999</v>
      </c>
    </row>
    <row r="7" spans="1:40" x14ac:dyDescent="0.25">
      <c r="A7">
        <v>1</v>
      </c>
      <c r="B7" t="s">
        <v>873</v>
      </c>
      <c r="C7" t="s">
        <v>874</v>
      </c>
      <c r="D7" t="s">
        <v>875</v>
      </c>
      <c r="E7" s="479">
        <v>140.59999999999994</v>
      </c>
      <c r="F7" s="479">
        <v>7.6</v>
      </c>
      <c r="G7" s="479">
        <v>7.6</v>
      </c>
      <c r="H7" s="479">
        <v>7.6</v>
      </c>
      <c r="I7" s="479">
        <v>7.6</v>
      </c>
      <c r="J7" s="479">
        <v>7.6</v>
      </c>
      <c r="K7" s="479"/>
      <c r="L7" s="479"/>
      <c r="M7" s="479">
        <v>7.6</v>
      </c>
      <c r="N7" s="479"/>
      <c r="O7" s="479">
        <v>7.6</v>
      </c>
      <c r="P7" s="479"/>
      <c r="Q7" s="479"/>
      <c r="R7" s="479"/>
      <c r="S7" s="479"/>
      <c r="T7" s="479"/>
      <c r="U7" s="479"/>
      <c r="V7" s="479"/>
      <c r="W7" s="479"/>
      <c r="X7" s="479"/>
      <c r="Y7" s="479"/>
      <c r="Z7" s="479">
        <v>102.59999999999998</v>
      </c>
      <c r="AA7" s="479">
        <v>169.19999999999996</v>
      </c>
      <c r="AB7" s="479">
        <v>136.79999999999995</v>
      </c>
      <c r="AC7" s="479">
        <v>146.39999999999995</v>
      </c>
      <c r="AD7" s="479">
        <v>63.000000000000007</v>
      </c>
      <c r="AE7" s="479">
        <v>121.59999999999997</v>
      </c>
      <c r="AF7" s="479">
        <v>156.79999999999998</v>
      </c>
      <c r="AG7" s="479">
        <v>174.39999999999995</v>
      </c>
      <c r="AH7" s="479">
        <v>114.11999999999998</v>
      </c>
      <c r="AI7" s="479">
        <v>102.59999999999998</v>
      </c>
      <c r="AJ7" s="479">
        <v>1481.3199999999993</v>
      </c>
      <c r="AK7" s="76">
        <f t="shared" ref="AK7:AK50" si="0">SUM(E7:O7)</f>
        <v>193.7999999999999</v>
      </c>
      <c r="AL7" s="483">
        <f t="shared" ref="AL7:AL50" si="1">+SUM(P7:AI7)</f>
        <v>1287.5199999999995</v>
      </c>
    </row>
    <row r="8" spans="1:40" x14ac:dyDescent="0.25">
      <c r="A8">
        <v>4</v>
      </c>
      <c r="B8" t="s">
        <v>878</v>
      </c>
      <c r="C8" t="s">
        <v>879</v>
      </c>
      <c r="D8" t="s">
        <v>880</v>
      </c>
      <c r="E8" s="479">
        <v>148.19999999999996</v>
      </c>
      <c r="F8" s="479">
        <v>7.6</v>
      </c>
      <c r="G8" s="479">
        <v>7.6</v>
      </c>
      <c r="H8" s="479">
        <v>3.8</v>
      </c>
      <c r="I8" s="479">
        <v>7.6</v>
      </c>
      <c r="J8" s="479">
        <v>7.6</v>
      </c>
      <c r="K8" s="479">
        <v>7.6</v>
      </c>
      <c r="L8" s="479">
        <v>7.6</v>
      </c>
      <c r="M8" s="479">
        <v>7.6</v>
      </c>
      <c r="N8" s="479">
        <v>7.6</v>
      </c>
      <c r="O8" s="479">
        <v>7.6</v>
      </c>
      <c r="P8" s="479">
        <v>7.6</v>
      </c>
      <c r="Q8" s="479">
        <v>7.6</v>
      </c>
      <c r="R8" s="479">
        <v>7.6</v>
      </c>
      <c r="S8" s="479"/>
      <c r="T8" s="479">
        <v>7.6</v>
      </c>
      <c r="U8" s="479">
        <v>7.6</v>
      </c>
      <c r="V8" s="479">
        <v>7.6</v>
      </c>
      <c r="W8" s="479">
        <v>7.6</v>
      </c>
      <c r="X8" s="479">
        <v>7.6</v>
      </c>
      <c r="Y8" s="479">
        <v>7.6</v>
      </c>
      <c r="Z8" s="479">
        <v>151.99999999999991</v>
      </c>
      <c r="AA8" s="479">
        <v>121.59999999999994</v>
      </c>
      <c r="AB8" s="479">
        <v>98.799999999999955</v>
      </c>
      <c r="AC8" s="479">
        <v>151.99999999999994</v>
      </c>
      <c r="AD8" s="479">
        <v>163.39999999999998</v>
      </c>
      <c r="AE8" s="479">
        <v>38</v>
      </c>
      <c r="AF8" s="479">
        <v>144.39999999999992</v>
      </c>
      <c r="AG8" s="479">
        <v>144.39999999999992</v>
      </c>
      <c r="AH8" s="479">
        <v>113.99999999999994</v>
      </c>
      <c r="AI8" s="479">
        <v>113.99999999999994</v>
      </c>
      <c r="AJ8" s="479">
        <v>1531.3999999999996</v>
      </c>
      <c r="AK8" s="76">
        <f t="shared" si="0"/>
        <v>220.39999999999992</v>
      </c>
      <c r="AL8" s="483">
        <f t="shared" si="1"/>
        <v>1310.9999999999995</v>
      </c>
    </row>
    <row r="9" spans="1:40" s="196" customFormat="1" x14ac:dyDescent="0.25">
      <c r="A9" s="196">
        <v>5</v>
      </c>
      <c r="B9" s="196" t="s">
        <v>882</v>
      </c>
      <c r="C9" s="196" t="s">
        <v>883</v>
      </c>
      <c r="D9" s="196" t="s">
        <v>884</v>
      </c>
      <c r="E9" s="476">
        <v>60.800000000000011</v>
      </c>
      <c r="F9" s="476">
        <v>5.7</v>
      </c>
      <c r="G9" s="476"/>
      <c r="H9" s="476">
        <v>5.7</v>
      </c>
      <c r="I9" s="476">
        <v>3.8</v>
      </c>
      <c r="J9" s="476"/>
      <c r="K9" s="476">
        <v>7.6</v>
      </c>
      <c r="L9" s="476">
        <v>1.9</v>
      </c>
      <c r="M9" s="476">
        <v>1.9</v>
      </c>
      <c r="N9" s="476">
        <v>3.8</v>
      </c>
      <c r="O9" s="476"/>
      <c r="P9" s="476">
        <v>7.6</v>
      </c>
      <c r="Q9" s="476"/>
      <c r="R9" s="476">
        <v>1.9</v>
      </c>
      <c r="S9" s="476"/>
      <c r="T9" s="476">
        <v>5.7</v>
      </c>
      <c r="U9" s="476">
        <v>1.9</v>
      </c>
      <c r="V9" s="476">
        <v>1.9</v>
      </c>
      <c r="W9" s="476">
        <v>7.6</v>
      </c>
      <c r="X9" s="476">
        <v>3.8</v>
      </c>
      <c r="Y9" s="476"/>
      <c r="Z9" s="476">
        <v>64.600000000000023</v>
      </c>
      <c r="AA9" s="476">
        <v>62.700000000000017</v>
      </c>
      <c r="AB9" s="476">
        <v>9.5</v>
      </c>
      <c r="AC9" s="476"/>
      <c r="AD9" s="476"/>
      <c r="AE9" s="476"/>
      <c r="AF9" s="476"/>
      <c r="AG9" s="476"/>
      <c r="AH9" s="476"/>
      <c r="AI9" s="476"/>
      <c r="AJ9" s="476">
        <v>258.40000000000009</v>
      </c>
      <c r="AK9" s="518">
        <f t="shared" si="0"/>
        <v>91.200000000000017</v>
      </c>
      <c r="AL9" s="519">
        <f t="shared" si="1"/>
        <v>167.20000000000005</v>
      </c>
      <c r="AN9" s="520">
        <f>VALO_PERSO!AF8</f>
        <v>651.58800000000019</v>
      </c>
    </row>
    <row r="10" spans="1:40" x14ac:dyDescent="0.25">
      <c r="A10">
        <v>6</v>
      </c>
      <c r="B10" t="s">
        <v>887</v>
      </c>
      <c r="C10" t="s">
        <v>888</v>
      </c>
      <c r="D10" t="s">
        <v>889</v>
      </c>
      <c r="E10" s="479">
        <v>60.800000000000004</v>
      </c>
      <c r="F10" s="479">
        <v>3.8</v>
      </c>
      <c r="G10" s="479">
        <v>7.6</v>
      </c>
      <c r="H10" s="479">
        <v>3.8</v>
      </c>
      <c r="I10" s="479"/>
      <c r="J10" s="479"/>
      <c r="K10" s="479">
        <v>7.6</v>
      </c>
      <c r="L10" s="479">
        <v>7.6</v>
      </c>
      <c r="M10" s="479">
        <v>7.6</v>
      </c>
      <c r="N10" s="479">
        <v>3.8</v>
      </c>
      <c r="O10" s="479"/>
      <c r="P10" s="479">
        <v>7.6</v>
      </c>
      <c r="Q10" s="479">
        <v>7.6</v>
      </c>
      <c r="R10" s="479">
        <v>7.6</v>
      </c>
      <c r="S10" s="479">
        <v>3.8</v>
      </c>
      <c r="T10" s="479"/>
      <c r="U10" s="479"/>
      <c r="V10" s="479"/>
      <c r="W10" s="479"/>
      <c r="X10" s="479"/>
      <c r="Y10" s="479"/>
      <c r="Z10" s="479">
        <v>68.400000000000006</v>
      </c>
      <c r="AA10" s="479">
        <v>91.199999999999989</v>
      </c>
      <c r="AB10" s="479">
        <v>113.99999999999997</v>
      </c>
      <c r="AC10" s="479">
        <v>94.999999999999986</v>
      </c>
      <c r="AD10" s="479">
        <v>91.199999999999989</v>
      </c>
      <c r="AE10" s="479">
        <v>129.19999999999996</v>
      </c>
      <c r="AF10" s="479">
        <v>144.39999999999995</v>
      </c>
      <c r="AG10" s="479">
        <v>121.59999999999997</v>
      </c>
      <c r="AH10" s="479">
        <v>136.79999999999995</v>
      </c>
      <c r="AI10" s="479">
        <v>38</v>
      </c>
      <c r="AJ10" s="479">
        <v>1158.9999999999998</v>
      </c>
      <c r="AK10" s="76">
        <f t="shared" si="0"/>
        <v>102.59999999999998</v>
      </c>
      <c r="AL10" s="483">
        <f t="shared" si="1"/>
        <v>1056.3999999999999</v>
      </c>
    </row>
    <row r="11" spans="1:40" x14ac:dyDescent="0.25">
      <c r="A11">
        <v>7</v>
      </c>
      <c r="B11" t="s">
        <v>891</v>
      </c>
      <c r="C11" t="s">
        <v>892</v>
      </c>
      <c r="D11" t="s">
        <v>893</v>
      </c>
      <c r="E11" s="479">
        <v>79.799999999999983</v>
      </c>
      <c r="F11" s="479">
        <v>3.8</v>
      </c>
      <c r="G11" s="479">
        <v>3.8</v>
      </c>
      <c r="H11" s="479">
        <v>7.6</v>
      </c>
      <c r="I11" s="479">
        <v>7.6</v>
      </c>
      <c r="J11" s="479">
        <v>3.8</v>
      </c>
      <c r="K11" s="479">
        <v>3.8</v>
      </c>
      <c r="L11" s="479">
        <v>7.6</v>
      </c>
      <c r="M11" s="479"/>
      <c r="N11" s="479">
        <v>7.6</v>
      </c>
      <c r="O11" s="479">
        <v>7.6</v>
      </c>
      <c r="P11" s="479">
        <v>3.8</v>
      </c>
      <c r="Q11" s="479">
        <v>7.6</v>
      </c>
      <c r="R11" s="479">
        <v>7.6</v>
      </c>
      <c r="S11" s="479">
        <v>7.6</v>
      </c>
      <c r="T11" s="479">
        <v>3.8</v>
      </c>
      <c r="U11" s="479"/>
      <c r="V11" s="479">
        <v>7.6</v>
      </c>
      <c r="W11" s="479">
        <v>7.6</v>
      </c>
      <c r="X11" s="479">
        <v>7.6</v>
      </c>
      <c r="Y11" s="479">
        <v>7.6</v>
      </c>
      <c r="Z11" s="479">
        <v>121.59999999999997</v>
      </c>
      <c r="AA11" s="479">
        <v>79.8</v>
      </c>
      <c r="AB11" s="479">
        <v>30.4</v>
      </c>
      <c r="AC11" s="479">
        <v>102.59999999999998</v>
      </c>
      <c r="AD11" s="479">
        <v>121.59999999999994</v>
      </c>
      <c r="AE11" s="479">
        <v>30.4</v>
      </c>
      <c r="AF11" s="479">
        <v>113.99999999999997</v>
      </c>
      <c r="AG11" s="479">
        <v>148.19999999999993</v>
      </c>
      <c r="AH11" s="479">
        <v>83.6</v>
      </c>
      <c r="AI11" s="479">
        <v>83.6</v>
      </c>
      <c r="AJ11" s="479">
        <v>1109.5999999999995</v>
      </c>
      <c r="AK11" s="76">
        <f t="shared" si="0"/>
        <v>132.99999999999994</v>
      </c>
      <c r="AL11" s="483">
        <f t="shared" si="1"/>
        <v>976.5999999999998</v>
      </c>
    </row>
    <row r="12" spans="1:40" x14ac:dyDescent="0.25">
      <c r="A12">
        <v>8</v>
      </c>
      <c r="B12" t="s">
        <v>895</v>
      </c>
      <c r="C12" t="s">
        <v>896</v>
      </c>
      <c r="D12" t="s">
        <v>897</v>
      </c>
      <c r="E12" s="479">
        <v>132.99999999999997</v>
      </c>
      <c r="F12" s="479">
        <v>7.6</v>
      </c>
      <c r="G12" s="479">
        <v>7.6</v>
      </c>
      <c r="H12" s="479">
        <v>7.6</v>
      </c>
      <c r="I12" s="479">
        <v>7.6</v>
      </c>
      <c r="J12" s="479">
        <v>7.6</v>
      </c>
      <c r="K12" s="479">
        <v>7.6</v>
      </c>
      <c r="L12" s="479">
        <v>7.6</v>
      </c>
      <c r="M12" s="479">
        <v>7.6</v>
      </c>
      <c r="N12" s="479">
        <v>7.6</v>
      </c>
      <c r="O12" s="479">
        <v>7.6</v>
      </c>
      <c r="P12" s="479">
        <v>7.6</v>
      </c>
      <c r="Q12" s="479">
        <v>7.6</v>
      </c>
      <c r="R12" s="479">
        <v>7.6</v>
      </c>
      <c r="S12" s="479">
        <v>7.6</v>
      </c>
      <c r="T12" s="479">
        <v>7.6</v>
      </c>
      <c r="U12" s="479">
        <v>7.6</v>
      </c>
      <c r="V12" s="479">
        <v>7.6</v>
      </c>
      <c r="W12" s="479">
        <v>7.6</v>
      </c>
      <c r="X12" s="479">
        <v>7.6</v>
      </c>
      <c r="Y12" s="479">
        <v>7.6</v>
      </c>
      <c r="Z12" s="479">
        <v>144.39999999999995</v>
      </c>
      <c r="AA12" s="479">
        <v>136.79999999999995</v>
      </c>
      <c r="AB12" s="479">
        <v>91.199999999999989</v>
      </c>
      <c r="AC12" s="479">
        <v>113.99999999999997</v>
      </c>
      <c r="AD12" s="479">
        <v>167.19999999999993</v>
      </c>
      <c r="AE12" s="479">
        <v>148.19999999999996</v>
      </c>
      <c r="AF12" s="479">
        <v>136.79999999999995</v>
      </c>
      <c r="AG12" s="479">
        <v>91.199999999999989</v>
      </c>
      <c r="AH12" s="479">
        <v>136.79999999999998</v>
      </c>
      <c r="AI12" s="479">
        <v>98.799999999999983</v>
      </c>
      <c r="AJ12" s="479">
        <v>1550.3999999999996</v>
      </c>
      <c r="AK12" s="76">
        <f t="shared" si="0"/>
        <v>208.99999999999991</v>
      </c>
      <c r="AL12" s="483">
        <f t="shared" si="1"/>
        <v>1341.3999999999996</v>
      </c>
    </row>
    <row r="13" spans="1:40" x14ac:dyDescent="0.25">
      <c r="A13">
        <v>11</v>
      </c>
      <c r="B13" t="s">
        <v>899</v>
      </c>
      <c r="C13" t="s">
        <v>900</v>
      </c>
      <c r="D13" t="s">
        <v>901</v>
      </c>
      <c r="E13" s="479">
        <v>140.59999999999994</v>
      </c>
      <c r="F13" s="479">
        <v>3.8</v>
      </c>
      <c r="G13" s="479">
        <v>7.6</v>
      </c>
      <c r="H13" s="479">
        <v>7.6</v>
      </c>
      <c r="I13" s="479">
        <v>7.6</v>
      </c>
      <c r="J13" s="479">
        <v>7.6</v>
      </c>
      <c r="K13" s="479"/>
      <c r="L13" s="479"/>
      <c r="M13" s="479">
        <v>7.6</v>
      </c>
      <c r="N13" s="479"/>
      <c r="O13" s="479">
        <v>7.6</v>
      </c>
      <c r="P13" s="479">
        <v>7.6</v>
      </c>
      <c r="Q13" s="479">
        <v>7.6</v>
      </c>
      <c r="R13" s="479">
        <v>7.6</v>
      </c>
      <c r="S13" s="479">
        <v>7.6</v>
      </c>
      <c r="T13" s="479">
        <v>7.6</v>
      </c>
      <c r="U13" s="479"/>
      <c r="V13" s="479"/>
      <c r="W13" s="479"/>
      <c r="X13" s="479"/>
      <c r="Y13" s="479"/>
      <c r="Z13" s="479">
        <v>151.99999999999994</v>
      </c>
      <c r="AA13" s="479">
        <v>117.79999999999997</v>
      </c>
      <c r="AB13" s="479">
        <v>102.59999999999998</v>
      </c>
      <c r="AC13" s="479">
        <v>144.39999999999995</v>
      </c>
      <c r="AD13" s="479">
        <v>159.59999999999994</v>
      </c>
      <c r="AE13" s="479">
        <v>41.800000000000004</v>
      </c>
      <c r="AF13" s="479">
        <v>91.199999999999989</v>
      </c>
      <c r="AG13" s="479"/>
      <c r="AH13" s="479"/>
      <c r="AI13" s="479"/>
      <c r="AJ13" s="479">
        <v>1037.3999999999996</v>
      </c>
      <c r="AK13" s="76">
        <f t="shared" si="0"/>
        <v>189.99999999999991</v>
      </c>
      <c r="AL13" s="483">
        <f t="shared" si="1"/>
        <v>847.39999999999964</v>
      </c>
    </row>
    <row r="14" spans="1:40" x14ac:dyDescent="0.25">
      <c r="A14">
        <v>12</v>
      </c>
      <c r="B14" t="s">
        <v>904</v>
      </c>
      <c r="C14" t="s">
        <v>905</v>
      </c>
      <c r="D14" t="s">
        <v>906</v>
      </c>
      <c r="E14" s="479">
        <v>145.75</v>
      </c>
      <c r="F14" s="479">
        <v>7.6</v>
      </c>
      <c r="G14" s="479">
        <v>7.6</v>
      </c>
      <c r="H14" s="479">
        <v>7.6</v>
      </c>
      <c r="I14" s="479">
        <v>7.6</v>
      </c>
      <c r="J14" s="479">
        <v>7.6</v>
      </c>
      <c r="K14" s="479">
        <v>7.6</v>
      </c>
      <c r="L14" s="479">
        <v>7.6</v>
      </c>
      <c r="M14" s="479">
        <v>7.6</v>
      </c>
      <c r="N14" s="479">
        <v>7.6</v>
      </c>
      <c r="O14" s="479">
        <v>7.6</v>
      </c>
      <c r="P14" s="479">
        <v>7.6</v>
      </c>
      <c r="Q14" s="479">
        <v>7.6</v>
      </c>
      <c r="R14" s="479">
        <v>7.6</v>
      </c>
      <c r="S14" s="479">
        <v>7.6</v>
      </c>
      <c r="T14" s="479">
        <v>7.6</v>
      </c>
      <c r="U14" s="479">
        <v>7.6</v>
      </c>
      <c r="V14" s="479">
        <v>7.6</v>
      </c>
      <c r="W14" s="479">
        <v>7.6</v>
      </c>
      <c r="X14" s="479">
        <v>7.6</v>
      </c>
      <c r="Y14" s="479"/>
      <c r="Z14" s="479">
        <v>148.19999999999996</v>
      </c>
      <c r="AA14" s="479">
        <v>144.56999999999996</v>
      </c>
      <c r="AB14" s="479">
        <v>94.999999999999986</v>
      </c>
      <c r="AC14" s="479">
        <v>135.01999999999998</v>
      </c>
      <c r="AD14" s="479">
        <v>111.82</v>
      </c>
      <c r="AE14" s="479">
        <v>148.19999999999996</v>
      </c>
      <c r="AF14" s="479">
        <v>122.84999999999998</v>
      </c>
      <c r="AG14" s="479">
        <v>165.19999999999993</v>
      </c>
      <c r="AH14" s="479">
        <v>136.79999999999995</v>
      </c>
      <c r="AI14" s="479">
        <v>100.77999999999999</v>
      </c>
      <c r="AJ14" s="479">
        <v>1598.5899999999997</v>
      </c>
      <c r="AK14" s="76">
        <f t="shared" si="0"/>
        <v>221.74999999999994</v>
      </c>
      <c r="AL14" s="483">
        <f t="shared" si="1"/>
        <v>1376.8399999999997</v>
      </c>
    </row>
    <row r="15" spans="1:40" x14ac:dyDescent="0.25">
      <c r="A15">
        <v>13</v>
      </c>
      <c r="B15" t="s">
        <v>909</v>
      </c>
      <c r="C15" t="s">
        <v>910</v>
      </c>
      <c r="D15" t="s">
        <v>911</v>
      </c>
      <c r="E15" s="479">
        <v>7.6</v>
      </c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>
        <v>3.8</v>
      </c>
      <c r="Q15" s="479">
        <v>7.6</v>
      </c>
      <c r="R15" s="479">
        <v>7.6</v>
      </c>
      <c r="S15" s="479">
        <v>3.8</v>
      </c>
      <c r="T15" s="479">
        <v>3.8</v>
      </c>
      <c r="U15" s="479">
        <v>7.6</v>
      </c>
      <c r="V15" s="479">
        <v>7.6</v>
      </c>
      <c r="W15" s="479">
        <v>7.6</v>
      </c>
      <c r="X15" s="479">
        <v>7.6</v>
      </c>
      <c r="Y15" s="479">
        <v>7.6</v>
      </c>
      <c r="Z15" s="479">
        <v>113.99999999999994</v>
      </c>
      <c r="AA15" s="479">
        <v>134.24999999999994</v>
      </c>
      <c r="AB15" s="479">
        <v>117.79999999999994</v>
      </c>
      <c r="AC15" s="479">
        <v>132.99999999999994</v>
      </c>
      <c r="AD15" s="479">
        <v>74.599999999999994</v>
      </c>
      <c r="AE15" s="479">
        <v>144.09999999999997</v>
      </c>
      <c r="AF15" s="479">
        <v>146.39999999999998</v>
      </c>
      <c r="AG15" s="479">
        <v>173.15999999999991</v>
      </c>
      <c r="AH15" s="479">
        <v>57.000000000000007</v>
      </c>
      <c r="AI15" s="479">
        <v>117.79999999999994</v>
      </c>
      <c r="AJ15" s="479">
        <v>1284.3099999999997</v>
      </c>
      <c r="AK15" s="76">
        <f t="shared" si="0"/>
        <v>7.6</v>
      </c>
      <c r="AL15" s="483">
        <f t="shared" si="1"/>
        <v>1276.7099999999998</v>
      </c>
    </row>
    <row r="16" spans="1:40" x14ac:dyDescent="0.25">
      <c r="A16">
        <v>14</v>
      </c>
      <c r="B16" t="s">
        <v>914</v>
      </c>
      <c r="C16" t="s">
        <v>915</v>
      </c>
      <c r="D16" t="s">
        <v>916</v>
      </c>
      <c r="E16" s="479">
        <v>110.19999999999995</v>
      </c>
      <c r="F16" s="479">
        <v>7.6</v>
      </c>
      <c r="G16" s="479">
        <v>7.6</v>
      </c>
      <c r="H16" s="479">
        <v>7.6</v>
      </c>
      <c r="I16" s="479">
        <v>7.6</v>
      </c>
      <c r="J16" s="479">
        <v>7.6</v>
      </c>
      <c r="K16" s="479">
        <v>7.6</v>
      </c>
      <c r="L16" s="479">
        <v>3.8</v>
      </c>
      <c r="M16" s="479">
        <v>7.6</v>
      </c>
      <c r="N16" s="479">
        <v>7.6</v>
      </c>
      <c r="O16" s="479">
        <v>7.6</v>
      </c>
      <c r="P16" s="479">
        <v>7.6</v>
      </c>
      <c r="Q16" s="479">
        <v>7.6</v>
      </c>
      <c r="R16" s="479">
        <v>7.6</v>
      </c>
      <c r="S16" s="479"/>
      <c r="T16" s="479"/>
      <c r="U16" s="479">
        <v>7.6</v>
      </c>
      <c r="V16" s="479">
        <v>7.6</v>
      </c>
      <c r="W16" s="479">
        <v>7.6</v>
      </c>
      <c r="X16" s="479">
        <v>7.6</v>
      </c>
      <c r="Y16" s="479">
        <v>7.6</v>
      </c>
      <c r="Z16" s="479">
        <v>151.99999999999994</v>
      </c>
      <c r="AA16" s="479">
        <v>121.59999999999997</v>
      </c>
      <c r="AB16" s="479"/>
      <c r="AC16" s="479"/>
      <c r="AD16" s="479"/>
      <c r="AE16" s="479"/>
      <c r="AF16" s="479">
        <v>83.6</v>
      </c>
      <c r="AG16" s="479">
        <v>132.99999999999997</v>
      </c>
      <c r="AH16" s="479">
        <v>132.99999999999997</v>
      </c>
      <c r="AI16" s="479">
        <v>110.19999999999997</v>
      </c>
      <c r="AJ16" s="479">
        <v>976.59999999999968</v>
      </c>
      <c r="AK16" s="76">
        <f t="shared" si="0"/>
        <v>182.39999999999992</v>
      </c>
      <c r="AL16" s="483">
        <f t="shared" si="1"/>
        <v>794.19999999999982</v>
      </c>
    </row>
    <row r="17" spans="1:38" x14ac:dyDescent="0.25">
      <c r="A17">
        <v>16</v>
      </c>
      <c r="B17" t="s">
        <v>918</v>
      </c>
      <c r="C17" t="s">
        <v>919</v>
      </c>
      <c r="D17" t="s">
        <v>920</v>
      </c>
      <c r="E17" s="479">
        <v>129.19999999999996</v>
      </c>
      <c r="F17" s="479">
        <v>7.6</v>
      </c>
      <c r="G17" s="479">
        <v>7.6</v>
      </c>
      <c r="H17" s="479">
        <v>7.6</v>
      </c>
      <c r="I17" s="479">
        <v>7.6</v>
      </c>
      <c r="J17" s="479">
        <v>7.6</v>
      </c>
      <c r="K17" s="479"/>
      <c r="L17" s="479"/>
      <c r="M17" s="479">
        <v>3.8</v>
      </c>
      <c r="N17" s="479">
        <v>3.8</v>
      </c>
      <c r="O17" s="479"/>
      <c r="P17" s="479">
        <v>7.6</v>
      </c>
      <c r="Q17" s="479">
        <v>7.6</v>
      </c>
      <c r="R17" s="479">
        <v>7.6</v>
      </c>
      <c r="S17" s="479">
        <v>7.6</v>
      </c>
      <c r="T17" s="479">
        <v>7.6</v>
      </c>
      <c r="U17" s="479">
        <v>7.6</v>
      </c>
      <c r="V17" s="479">
        <v>7.6</v>
      </c>
      <c r="W17" s="479">
        <v>7.6</v>
      </c>
      <c r="X17" s="479">
        <v>7.6</v>
      </c>
      <c r="Y17" s="479">
        <v>7.6</v>
      </c>
      <c r="Z17" s="479">
        <v>110.19999999999997</v>
      </c>
      <c r="AA17" s="479">
        <v>140.59999999999997</v>
      </c>
      <c r="AB17" s="479">
        <v>98.799999999999983</v>
      </c>
      <c r="AC17" s="479">
        <v>148.19999999999996</v>
      </c>
      <c r="AD17" s="479">
        <v>136.79999999999995</v>
      </c>
      <c r="AE17" s="479">
        <v>151.99999999999994</v>
      </c>
      <c r="AF17" s="479">
        <v>68.400000000000006</v>
      </c>
      <c r="AG17" s="479">
        <v>174.79999999999993</v>
      </c>
      <c r="AH17" s="479">
        <v>129.19999999999996</v>
      </c>
      <c r="AI17" s="479">
        <v>102.59999999999998</v>
      </c>
      <c r="AJ17" s="479">
        <v>1512.3999999999996</v>
      </c>
      <c r="AK17" s="76">
        <f t="shared" si="0"/>
        <v>174.79999999999995</v>
      </c>
      <c r="AL17" s="483">
        <f t="shared" si="1"/>
        <v>1337.5999999999995</v>
      </c>
    </row>
    <row r="18" spans="1:38" x14ac:dyDescent="0.25">
      <c r="A18">
        <v>18</v>
      </c>
      <c r="B18" t="s">
        <v>923</v>
      </c>
      <c r="C18" t="s">
        <v>924</v>
      </c>
      <c r="D18" t="s">
        <v>925</v>
      </c>
      <c r="E18" s="479">
        <v>150.59999999999994</v>
      </c>
      <c r="F18" s="479">
        <v>7.6</v>
      </c>
      <c r="G18" s="479">
        <v>7.6</v>
      </c>
      <c r="H18" s="479">
        <v>7.6</v>
      </c>
      <c r="I18" s="479">
        <v>7.6</v>
      </c>
      <c r="J18" s="479">
        <v>4.5999999999999996</v>
      </c>
      <c r="K18" s="479">
        <v>7.6</v>
      </c>
      <c r="L18" s="479">
        <v>7.6</v>
      </c>
      <c r="M18" s="479">
        <v>7.6</v>
      </c>
      <c r="N18" s="479">
        <v>7.6</v>
      </c>
      <c r="O18" s="479">
        <v>7.6</v>
      </c>
      <c r="P18" s="479">
        <v>7.6</v>
      </c>
      <c r="Q18" s="479">
        <v>7.6</v>
      </c>
      <c r="R18" s="479">
        <v>7.6</v>
      </c>
      <c r="S18" s="479">
        <v>7.6</v>
      </c>
      <c r="T18" s="479">
        <v>7.6</v>
      </c>
      <c r="U18" s="479">
        <v>7.6</v>
      </c>
      <c r="V18" s="479">
        <v>7.6</v>
      </c>
      <c r="W18" s="479">
        <v>7.6</v>
      </c>
      <c r="X18" s="479">
        <v>7.6</v>
      </c>
      <c r="Y18" s="479">
        <v>7.6</v>
      </c>
      <c r="Z18" s="479">
        <v>142.99999999999997</v>
      </c>
      <c r="AA18" s="479">
        <v>57.000000000000007</v>
      </c>
      <c r="AB18" s="479">
        <v>98.799999999999983</v>
      </c>
      <c r="AC18" s="479">
        <v>148.99999999999994</v>
      </c>
      <c r="AD18" s="479">
        <v>158.19999999999999</v>
      </c>
      <c r="AE18" s="479">
        <v>60.800000000000004</v>
      </c>
      <c r="AF18" s="479">
        <v>136.79999999999995</v>
      </c>
      <c r="AG18" s="479">
        <v>131.19999999999999</v>
      </c>
      <c r="AH18" s="479">
        <v>136.79999999999995</v>
      </c>
      <c r="AI18" s="479">
        <v>120.89999999999996</v>
      </c>
      <c r="AJ18" s="479">
        <v>1492.0999999999997</v>
      </c>
      <c r="AK18" s="76">
        <f t="shared" si="0"/>
        <v>223.59999999999988</v>
      </c>
      <c r="AL18" s="483">
        <f t="shared" si="1"/>
        <v>1268.4999999999998</v>
      </c>
    </row>
    <row r="19" spans="1:38" x14ac:dyDescent="0.25">
      <c r="A19">
        <v>19</v>
      </c>
      <c r="B19" t="s">
        <v>927</v>
      </c>
      <c r="C19" t="s">
        <v>928</v>
      </c>
      <c r="D19" t="s">
        <v>929</v>
      </c>
      <c r="E19" s="479">
        <v>121.59999999999994</v>
      </c>
      <c r="F19" s="479">
        <v>7.6</v>
      </c>
      <c r="G19" s="479">
        <v>3.8</v>
      </c>
      <c r="H19" s="479">
        <v>7.6</v>
      </c>
      <c r="I19" s="479">
        <v>7.6</v>
      </c>
      <c r="J19" s="479">
        <v>3.8</v>
      </c>
      <c r="K19" s="479">
        <v>7.6</v>
      </c>
      <c r="L19" s="479">
        <v>3.8</v>
      </c>
      <c r="M19" s="479">
        <v>7.6</v>
      </c>
      <c r="N19" s="479">
        <v>7.6</v>
      </c>
      <c r="O19" s="479"/>
      <c r="P19" s="479"/>
      <c r="Q19" s="479">
        <v>3.8</v>
      </c>
      <c r="R19" s="479">
        <v>7.6</v>
      </c>
      <c r="S19" s="479">
        <v>7.6</v>
      </c>
      <c r="T19" s="479">
        <v>3.8</v>
      </c>
      <c r="U19" s="479">
        <v>7.6</v>
      </c>
      <c r="V19" s="479">
        <v>3.8</v>
      </c>
      <c r="W19" s="479">
        <v>7.6</v>
      </c>
      <c r="X19" s="479">
        <v>7.6</v>
      </c>
      <c r="Y19" s="479">
        <v>3.8</v>
      </c>
      <c r="Z19" s="479">
        <v>117.79999999999994</v>
      </c>
      <c r="AA19" s="479">
        <v>106.39999999999995</v>
      </c>
      <c r="AB19" s="479">
        <v>83.599999999999966</v>
      </c>
      <c r="AC19" s="479">
        <v>123.99999999999994</v>
      </c>
      <c r="AD19" s="479">
        <v>148.19999999999993</v>
      </c>
      <c r="AE19" s="479">
        <v>121.59999999999994</v>
      </c>
      <c r="AF19" s="479">
        <v>91.199999999999974</v>
      </c>
      <c r="AG19" s="479">
        <v>151.99999999999991</v>
      </c>
      <c r="AH19" s="479"/>
      <c r="AI19" s="479"/>
      <c r="AJ19" s="479">
        <v>1176.5999999999997</v>
      </c>
      <c r="AK19" s="76">
        <f t="shared" si="0"/>
        <v>178.59999999999994</v>
      </c>
      <c r="AL19" s="483">
        <f t="shared" si="1"/>
        <v>997.99999999999943</v>
      </c>
    </row>
    <row r="20" spans="1:38" x14ac:dyDescent="0.25">
      <c r="A20">
        <v>21</v>
      </c>
      <c r="B20" t="s">
        <v>932</v>
      </c>
      <c r="C20" t="s">
        <v>933</v>
      </c>
      <c r="D20" t="s">
        <v>934</v>
      </c>
      <c r="E20" s="479">
        <v>113.99999999999997</v>
      </c>
      <c r="F20" s="479">
        <v>7.6</v>
      </c>
      <c r="G20" s="479">
        <v>7.6</v>
      </c>
      <c r="H20" s="479">
        <v>7.6</v>
      </c>
      <c r="I20" s="479">
        <v>7.6</v>
      </c>
      <c r="J20" s="479"/>
      <c r="K20" s="479"/>
      <c r="L20" s="479">
        <v>7.6</v>
      </c>
      <c r="M20" s="479">
        <v>7.6</v>
      </c>
      <c r="N20" s="479">
        <v>7.6</v>
      </c>
      <c r="O20" s="479"/>
      <c r="P20" s="479">
        <v>7.6</v>
      </c>
      <c r="Q20" s="479">
        <v>7.6</v>
      </c>
      <c r="R20" s="479">
        <v>7.6</v>
      </c>
      <c r="S20" s="479">
        <v>7.6</v>
      </c>
      <c r="T20" s="479"/>
      <c r="U20" s="479">
        <v>3.8</v>
      </c>
      <c r="V20" s="479">
        <v>7.6</v>
      </c>
      <c r="W20" s="479">
        <v>7.6</v>
      </c>
      <c r="X20" s="479">
        <v>7.6</v>
      </c>
      <c r="Y20" s="479">
        <v>7.6</v>
      </c>
      <c r="Z20" s="479">
        <v>110.19999999999997</v>
      </c>
      <c r="AA20" s="479">
        <v>113.99999999999997</v>
      </c>
      <c r="AB20" s="479">
        <v>30.4</v>
      </c>
      <c r="AC20" s="479">
        <v>129.19999999999996</v>
      </c>
      <c r="AD20" s="479">
        <v>110.19999999999997</v>
      </c>
      <c r="AE20" s="479">
        <v>30.4</v>
      </c>
      <c r="AF20" s="479">
        <v>72.2</v>
      </c>
      <c r="AG20" s="479">
        <v>132.99999999999997</v>
      </c>
      <c r="AH20" s="479">
        <v>79.8</v>
      </c>
      <c r="AI20" s="479">
        <v>68.400000000000006</v>
      </c>
      <c r="AJ20" s="479">
        <v>1109.5999999999999</v>
      </c>
      <c r="AK20" s="76">
        <f t="shared" si="0"/>
        <v>167.19999999999993</v>
      </c>
      <c r="AL20" s="483">
        <f t="shared" si="1"/>
        <v>942.39999999999975</v>
      </c>
    </row>
    <row r="21" spans="1:38" x14ac:dyDescent="0.25">
      <c r="A21">
        <v>22</v>
      </c>
      <c r="B21" t="s">
        <v>936</v>
      </c>
      <c r="C21" t="s">
        <v>937</v>
      </c>
      <c r="D21" t="s">
        <v>938</v>
      </c>
      <c r="E21" s="479"/>
      <c r="F21" s="479"/>
      <c r="G21" s="479"/>
      <c r="H21" s="479"/>
      <c r="I21" s="479"/>
      <c r="J21" s="479"/>
      <c r="K21" s="479"/>
      <c r="L21" s="479"/>
      <c r="M21" s="479"/>
      <c r="N21" s="479"/>
      <c r="O21" s="479"/>
      <c r="P21" s="479"/>
      <c r="Q21" s="479"/>
      <c r="R21" s="479"/>
      <c r="S21" s="479"/>
      <c r="T21" s="479"/>
      <c r="U21" s="479"/>
      <c r="V21" s="479"/>
      <c r="W21" s="479"/>
      <c r="X21" s="479"/>
      <c r="Y21" s="479"/>
      <c r="Z21" s="479">
        <v>29.1</v>
      </c>
      <c r="AA21" s="479">
        <v>22.799999999999997</v>
      </c>
      <c r="AB21" s="479">
        <v>30.4</v>
      </c>
      <c r="AC21" s="479">
        <v>22.799999999999997</v>
      </c>
      <c r="AD21" s="479">
        <v>51.8</v>
      </c>
      <c r="AE21" s="479">
        <v>19</v>
      </c>
      <c r="AF21" s="479">
        <v>19</v>
      </c>
      <c r="AG21" s="479">
        <v>89.2</v>
      </c>
      <c r="AH21" s="479">
        <v>72.2</v>
      </c>
      <c r="AI21" s="479">
        <v>34.200000000000003</v>
      </c>
      <c r="AJ21" s="479">
        <v>390.49999999999994</v>
      </c>
      <c r="AK21" s="76">
        <f t="shared" si="0"/>
        <v>0</v>
      </c>
      <c r="AL21" s="483">
        <f t="shared" si="1"/>
        <v>390.49999999999994</v>
      </c>
    </row>
    <row r="22" spans="1:38" x14ac:dyDescent="0.25">
      <c r="A22">
        <v>23</v>
      </c>
      <c r="B22" t="s">
        <v>941</v>
      </c>
      <c r="C22" t="s">
        <v>942</v>
      </c>
      <c r="D22" t="s">
        <v>943</v>
      </c>
      <c r="E22" s="479">
        <v>121.59999999999997</v>
      </c>
      <c r="F22" s="479"/>
      <c r="G22" s="479">
        <v>7.6</v>
      </c>
      <c r="H22" s="479">
        <v>7.6</v>
      </c>
      <c r="I22" s="479">
        <v>7.6</v>
      </c>
      <c r="J22" s="479">
        <v>7.6</v>
      </c>
      <c r="K22" s="479"/>
      <c r="L22" s="479">
        <v>7.6</v>
      </c>
      <c r="M22" s="479">
        <v>7.6</v>
      </c>
      <c r="N22" s="479">
        <v>7.6</v>
      </c>
      <c r="O22" s="479">
        <v>7.6</v>
      </c>
      <c r="P22" s="479"/>
      <c r="Q22" s="479">
        <v>7.6</v>
      </c>
      <c r="R22" s="479">
        <v>7.6</v>
      </c>
      <c r="S22" s="479">
        <v>7.6</v>
      </c>
      <c r="T22" s="479">
        <v>7.6</v>
      </c>
      <c r="U22" s="479"/>
      <c r="V22" s="479">
        <v>7.6</v>
      </c>
      <c r="W22" s="479">
        <v>7.6</v>
      </c>
      <c r="X22" s="479">
        <v>7.6</v>
      </c>
      <c r="Y22" s="479">
        <v>7.6</v>
      </c>
      <c r="Z22" s="479"/>
      <c r="AA22" s="479"/>
      <c r="AB22" s="479"/>
      <c r="AC22" s="479"/>
      <c r="AD22" s="479"/>
      <c r="AE22" s="479"/>
      <c r="AF22" s="479"/>
      <c r="AG22" s="479"/>
      <c r="AH22" s="479"/>
      <c r="AI22" s="479"/>
      <c r="AJ22" s="479">
        <v>243.19999999999987</v>
      </c>
      <c r="AK22" s="76">
        <f t="shared" si="0"/>
        <v>182.39999999999992</v>
      </c>
      <c r="AL22" s="483">
        <f t="shared" si="1"/>
        <v>60.800000000000004</v>
      </c>
    </row>
    <row r="23" spans="1:38" x14ac:dyDescent="0.25">
      <c r="A23">
        <v>24</v>
      </c>
      <c r="B23" t="s">
        <v>946</v>
      </c>
      <c r="C23" t="s">
        <v>947</v>
      </c>
      <c r="D23" t="s">
        <v>948</v>
      </c>
      <c r="E23" s="479">
        <v>148.19999999999996</v>
      </c>
      <c r="F23" s="479">
        <v>7.6</v>
      </c>
      <c r="G23" s="479"/>
      <c r="H23" s="479">
        <v>7.6</v>
      </c>
      <c r="I23" s="479">
        <v>7.6</v>
      </c>
      <c r="J23" s="479">
        <v>7.6</v>
      </c>
      <c r="K23" s="479"/>
      <c r="L23" s="479">
        <v>7.6</v>
      </c>
      <c r="M23" s="479">
        <v>7.6</v>
      </c>
      <c r="N23" s="479">
        <v>7.6</v>
      </c>
      <c r="O23" s="479">
        <v>7.6</v>
      </c>
      <c r="P23" s="479">
        <v>7.6</v>
      </c>
      <c r="Q23" s="479">
        <v>7.6</v>
      </c>
      <c r="R23" s="479">
        <v>7.6</v>
      </c>
      <c r="S23" s="479">
        <v>7.6</v>
      </c>
      <c r="T23" s="479">
        <v>7.6</v>
      </c>
      <c r="U23" s="479">
        <v>7.6</v>
      </c>
      <c r="V23" s="479">
        <v>7.6</v>
      </c>
      <c r="W23" s="479">
        <v>7.6</v>
      </c>
      <c r="X23" s="479">
        <v>7.6</v>
      </c>
      <c r="Y23" s="479">
        <v>7.6</v>
      </c>
      <c r="Z23" s="479">
        <v>121.59999999999997</v>
      </c>
      <c r="AA23" s="479">
        <v>169.19999999999996</v>
      </c>
      <c r="AB23" s="479">
        <v>98.799999999999983</v>
      </c>
      <c r="AC23" s="479">
        <v>149.49999999999994</v>
      </c>
      <c r="AD23" s="479">
        <v>148.19999999999996</v>
      </c>
      <c r="AE23" s="479">
        <v>45.6</v>
      </c>
      <c r="AF23" s="479">
        <v>140.59999999999997</v>
      </c>
      <c r="AG23" s="479">
        <v>167.19999999999993</v>
      </c>
      <c r="AH23" s="479">
        <v>102.59999999999998</v>
      </c>
      <c r="AI23" s="479">
        <v>106.39999999999998</v>
      </c>
      <c r="AJ23" s="479">
        <v>1534.6999999999994</v>
      </c>
      <c r="AK23" s="76">
        <f t="shared" si="0"/>
        <v>208.99999999999991</v>
      </c>
      <c r="AL23" s="483">
        <f t="shared" si="1"/>
        <v>1325.6999999999998</v>
      </c>
    </row>
    <row r="24" spans="1:38" x14ac:dyDescent="0.25">
      <c r="A24">
        <v>26</v>
      </c>
      <c r="B24" t="s">
        <v>950</v>
      </c>
      <c r="C24" t="s">
        <v>951</v>
      </c>
      <c r="D24" t="s">
        <v>952</v>
      </c>
      <c r="E24" s="479">
        <v>114.01</v>
      </c>
      <c r="F24" s="479">
        <v>7.75</v>
      </c>
      <c r="G24" s="479">
        <v>7.84</v>
      </c>
      <c r="H24" s="479">
        <v>7.66</v>
      </c>
      <c r="I24" s="479">
        <v>7.5</v>
      </c>
      <c r="J24" s="479">
        <v>7.25</v>
      </c>
      <c r="K24" s="479">
        <v>7.05</v>
      </c>
      <c r="L24" s="479">
        <v>8.17</v>
      </c>
      <c r="M24" s="479">
        <v>7.67</v>
      </c>
      <c r="N24" s="479">
        <v>7.84</v>
      </c>
      <c r="O24" s="479">
        <v>7.28</v>
      </c>
      <c r="P24" s="479">
        <v>7.5</v>
      </c>
      <c r="Q24" s="479">
        <v>7.5</v>
      </c>
      <c r="R24" s="479">
        <v>8.08</v>
      </c>
      <c r="S24" s="479">
        <v>7.58</v>
      </c>
      <c r="T24" s="479">
        <v>7.34</v>
      </c>
      <c r="U24" s="479">
        <v>7.58</v>
      </c>
      <c r="V24" s="479">
        <v>8.08</v>
      </c>
      <c r="W24" s="479">
        <v>7.25</v>
      </c>
      <c r="X24" s="479">
        <v>7.5</v>
      </c>
      <c r="Y24" s="479">
        <v>7.59</v>
      </c>
      <c r="Z24" s="479">
        <v>151.91</v>
      </c>
      <c r="AA24" s="479">
        <v>152.12</v>
      </c>
      <c r="AB24" s="479">
        <v>121.67</v>
      </c>
      <c r="AC24" s="479">
        <v>148.38999999999999</v>
      </c>
      <c r="AD24" s="479">
        <v>159.46</v>
      </c>
      <c r="AE24" s="479">
        <v>76</v>
      </c>
      <c r="AF24" s="479">
        <v>129.19</v>
      </c>
      <c r="AG24" s="479">
        <v>114.01</v>
      </c>
      <c r="AH24" s="479">
        <v>132.99</v>
      </c>
      <c r="AI24" s="479">
        <v>114</v>
      </c>
      <c r="AJ24" s="479">
        <v>1565.7600000000002</v>
      </c>
      <c r="AK24" s="76">
        <f t="shared" si="0"/>
        <v>190.01999999999998</v>
      </c>
      <c r="AL24" s="483">
        <f t="shared" si="1"/>
        <v>1375.74</v>
      </c>
    </row>
    <row r="25" spans="1:38" x14ac:dyDescent="0.25">
      <c r="A25">
        <v>31</v>
      </c>
      <c r="B25" t="s">
        <v>954</v>
      </c>
      <c r="C25" t="s">
        <v>955</v>
      </c>
      <c r="D25" t="s">
        <v>925</v>
      </c>
      <c r="E25" s="479">
        <v>136.79999999999995</v>
      </c>
      <c r="F25" s="479">
        <v>7.6</v>
      </c>
      <c r="G25" s="479">
        <v>7.6</v>
      </c>
      <c r="H25" s="479">
        <v>7.6</v>
      </c>
      <c r="I25" s="479">
        <v>7.6</v>
      </c>
      <c r="J25" s="479">
        <v>7.6</v>
      </c>
      <c r="K25" s="479">
        <v>7.6</v>
      </c>
      <c r="L25" s="479">
        <v>7.6</v>
      </c>
      <c r="M25" s="479">
        <v>7.6</v>
      </c>
      <c r="N25" s="479">
        <v>7.6</v>
      </c>
      <c r="O25" s="479">
        <v>7.6</v>
      </c>
      <c r="P25" s="479">
        <v>7.6</v>
      </c>
      <c r="Q25" s="479">
        <v>7.6</v>
      </c>
      <c r="R25" s="479">
        <v>7.6</v>
      </c>
      <c r="S25" s="479">
        <v>7.6</v>
      </c>
      <c r="T25" s="479">
        <v>7.6</v>
      </c>
      <c r="U25" s="479"/>
      <c r="V25" s="479"/>
      <c r="W25" s="479"/>
      <c r="X25" s="479"/>
      <c r="Y25" s="479"/>
      <c r="Z25" s="479">
        <v>144.39999999999995</v>
      </c>
      <c r="AA25" s="479">
        <v>140.59999999999994</v>
      </c>
      <c r="AB25" s="479">
        <v>106.39999999999996</v>
      </c>
      <c r="AC25" s="479">
        <v>149.34999999999997</v>
      </c>
      <c r="AD25" s="479">
        <v>129.34999999999997</v>
      </c>
      <c r="AE25" s="479">
        <v>68.400000000000006</v>
      </c>
      <c r="AF25" s="479">
        <v>168.16999999999993</v>
      </c>
      <c r="AG25" s="479">
        <v>142.39999999999995</v>
      </c>
      <c r="AH25" s="479">
        <v>145.27999999999997</v>
      </c>
      <c r="AI25" s="479">
        <v>100.36999999999998</v>
      </c>
      <c r="AJ25" s="479">
        <v>1545.5199999999993</v>
      </c>
      <c r="AK25" s="76">
        <f t="shared" si="0"/>
        <v>212.7999999999999</v>
      </c>
      <c r="AL25" s="483">
        <f t="shared" si="1"/>
        <v>1332.7199999999993</v>
      </c>
    </row>
    <row r="26" spans="1:38" x14ac:dyDescent="0.25">
      <c r="A26">
        <v>32</v>
      </c>
      <c r="B26" t="s">
        <v>957</v>
      </c>
      <c r="C26" t="s">
        <v>958</v>
      </c>
      <c r="D26" t="s">
        <v>959</v>
      </c>
      <c r="E26" s="479">
        <v>136.79999999999993</v>
      </c>
      <c r="F26" s="479">
        <v>3.8</v>
      </c>
      <c r="G26" s="479">
        <v>7.6</v>
      </c>
      <c r="H26" s="479">
        <v>7.6</v>
      </c>
      <c r="I26" s="479">
        <v>7.6</v>
      </c>
      <c r="J26" s="479">
        <v>3.8</v>
      </c>
      <c r="K26" s="479"/>
      <c r="L26" s="479"/>
      <c r="M26" s="479">
        <v>3.8</v>
      </c>
      <c r="N26" s="479"/>
      <c r="O26" s="479">
        <v>7.6</v>
      </c>
      <c r="P26" s="479">
        <v>7.6</v>
      </c>
      <c r="Q26" s="479">
        <v>3.8</v>
      </c>
      <c r="R26" s="479"/>
      <c r="S26" s="479"/>
      <c r="T26" s="479"/>
      <c r="U26" s="479"/>
      <c r="V26" s="479"/>
      <c r="W26" s="479">
        <v>7.6</v>
      </c>
      <c r="X26" s="479">
        <v>3.8</v>
      </c>
      <c r="Y26" s="479">
        <v>7.6</v>
      </c>
      <c r="Z26" s="479">
        <v>110.19999999999995</v>
      </c>
      <c r="AA26" s="479">
        <v>79.8</v>
      </c>
      <c r="AB26" s="479">
        <v>136.79999999999993</v>
      </c>
      <c r="AC26" s="479">
        <v>151.99999999999994</v>
      </c>
      <c r="AD26" s="479">
        <v>79.799999999999983</v>
      </c>
      <c r="AE26" s="479">
        <v>136.79999999999995</v>
      </c>
      <c r="AF26" s="479">
        <v>138.39999999999998</v>
      </c>
      <c r="AG26" s="479">
        <v>125.39999999999996</v>
      </c>
      <c r="AH26" s="479">
        <v>136.79999999999993</v>
      </c>
      <c r="AI26" s="479">
        <v>87.399999999999963</v>
      </c>
      <c r="AJ26" s="479">
        <v>1392.3999999999994</v>
      </c>
      <c r="AK26" s="76">
        <f t="shared" si="0"/>
        <v>178.59999999999994</v>
      </c>
      <c r="AL26" s="483">
        <f t="shared" si="1"/>
        <v>1213.7999999999995</v>
      </c>
    </row>
    <row r="27" spans="1:38" x14ac:dyDescent="0.25">
      <c r="A27">
        <v>33</v>
      </c>
      <c r="B27" t="s">
        <v>961</v>
      </c>
      <c r="C27" t="s">
        <v>962</v>
      </c>
      <c r="D27" t="s">
        <v>963</v>
      </c>
      <c r="E27" s="479">
        <v>144.39999999999995</v>
      </c>
      <c r="F27" s="479"/>
      <c r="G27" s="479">
        <v>7.6</v>
      </c>
      <c r="H27" s="479">
        <v>7.6</v>
      </c>
      <c r="I27" s="479">
        <v>7.6</v>
      </c>
      <c r="J27" s="479">
        <v>7.6</v>
      </c>
      <c r="K27" s="479">
        <v>7.6</v>
      </c>
      <c r="L27" s="479">
        <v>7.6</v>
      </c>
      <c r="M27" s="479">
        <v>7.6</v>
      </c>
      <c r="N27" s="479">
        <v>7.6</v>
      </c>
      <c r="O27" s="479">
        <v>7.6</v>
      </c>
      <c r="P27" s="479">
        <v>7.6</v>
      </c>
      <c r="Q27" s="479">
        <v>7.6</v>
      </c>
      <c r="R27" s="479">
        <v>7.6</v>
      </c>
      <c r="S27" s="479">
        <v>7.6</v>
      </c>
      <c r="T27" s="479">
        <v>7.6</v>
      </c>
      <c r="U27" s="479">
        <v>7.6</v>
      </c>
      <c r="V27" s="479">
        <v>7.6</v>
      </c>
      <c r="W27" s="479">
        <v>7.6</v>
      </c>
      <c r="X27" s="479">
        <v>7.6</v>
      </c>
      <c r="Y27" s="479">
        <v>7.6</v>
      </c>
      <c r="Z27" s="479">
        <v>151.99999999999994</v>
      </c>
      <c r="AA27" s="479">
        <v>106.39999999999998</v>
      </c>
      <c r="AB27" s="479">
        <v>68.400000000000006</v>
      </c>
      <c r="AC27" s="479">
        <v>151.99999999999994</v>
      </c>
      <c r="AD27" s="479">
        <v>151.99999999999994</v>
      </c>
      <c r="AE27" s="479">
        <v>113.99999999999997</v>
      </c>
      <c r="AF27" s="479">
        <v>121.59999999999997</v>
      </c>
      <c r="AG27" s="479">
        <v>113.99999999999997</v>
      </c>
      <c r="AH27" s="479">
        <v>136.79999999999995</v>
      </c>
      <c r="AI27" s="479">
        <v>113.99999999999997</v>
      </c>
      <c r="AJ27" s="479">
        <v>1519.9999999999995</v>
      </c>
      <c r="AK27" s="76">
        <f t="shared" si="0"/>
        <v>212.7999999999999</v>
      </c>
      <c r="AL27" s="483">
        <f t="shared" si="1"/>
        <v>1307.1999999999998</v>
      </c>
    </row>
    <row r="28" spans="1:38" x14ac:dyDescent="0.25">
      <c r="A28">
        <v>34</v>
      </c>
      <c r="B28" t="s">
        <v>965</v>
      </c>
      <c r="C28" t="s">
        <v>966</v>
      </c>
      <c r="D28" t="s">
        <v>943</v>
      </c>
      <c r="E28" s="479">
        <v>128.18</v>
      </c>
      <c r="F28" s="479">
        <v>7.25</v>
      </c>
      <c r="G28" s="479">
        <v>7</v>
      </c>
      <c r="H28" s="479">
        <v>8</v>
      </c>
      <c r="I28" s="479">
        <v>7.75</v>
      </c>
      <c r="J28" s="479">
        <v>8</v>
      </c>
      <c r="K28" s="479">
        <v>7.6</v>
      </c>
      <c r="L28" s="479">
        <v>7.6</v>
      </c>
      <c r="M28" s="479">
        <v>7.6</v>
      </c>
      <c r="N28" s="479">
        <v>7.6</v>
      </c>
      <c r="O28" s="479">
        <v>7.6</v>
      </c>
      <c r="P28" s="479">
        <v>7.6</v>
      </c>
      <c r="Q28" s="479">
        <v>7.6</v>
      </c>
      <c r="R28" s="479">
        <v>7.6</v>
      </c>
      <c r="S28" s="479">
        <v>7.6</v>
      </c>
      <c r="T28" s="479">
        <v>7.6</v>
      </c>
      <c r="U28" s="479">
        <v>7.6</v>
      </c>
      <c r="V28" s="479">
        <v>7.6</v>
      </c>
      <c r="W28" s="479">
        <v>7.6</v>
      </c>
      <c r="X28" s="479">
        <v>7.6</v>
      </c>
      <c r="Y28" s="479"/>
      <c r="Z28" s="479">
        <v>155.79999999999995</v>
      </c>
      <c r="AA28" s="479">
        <v>144.39999999999995</v>
      </c>
      <c r="AB28" s="479">
        <v>83.6</v>
      </c>
      <c r="AC28" s="479">
        <v>144.39999999999995</v>
      </c>
      <c r="AD28" s="479">
        <v>45.6</v>
      </c>
      <c r="AE28" s="479">
        <v>136.46999999999997</v>
      </c>
      <c r="AF28" s="479">
        <v>136.79999999999995</v>
      </c>
      <c r="AG28" s="479">
        <v>174.79999999999993</v>
      </c>
      <c r="AH28" s="479">
        <v>140.04999999999995</v>
      </c>
      <c r="AI28" s="479">
        <v>70.75</v>
      </c>
      <c r="AJ28" s="479">
        <v>1505.2499999999998</v>
      </c>
      <c r="AK28" s="76">
        <f t="shared" si="0"/>
        <v>204.17999999999998</v>
      </c>
      <c r="AL28" s="483">
        <f t="shared" si="1"/>
        <v>1301.0699999999997</v>
      </c>
    </row>
    <row r="29" spans="1:38" x14ac:dyDescent="0.25">
      <c r="A29">
        <v>35</v>
      </c>
      <c r="B29" t="s">
        <v>969</v>
      </c>
      <c r="C29" t="s">
        <v>970</v>
      </c>
      <c r="D29" t="s">
        <v>971</v>
      </c>
      <c r="E29" s="479">
        <v>144.32999999999998</v>
      </c>
      <c r="F29" s="479"/>
      <c r="G29" s="479"/>
      <c r="H29" s="479"/>
      <c r="I29" s="479"/>
      <c r="J29" s="479"/>
      <c r="K29" s="479">
        <v>7.6</v>
      </c>
      <c r="L29" s="479">
        <v>7.6</v>
      </c>
      <c r="M29" s="479">
        <v>7.6</v>
      </c>
      <c r="N29" s="479">
        <v>7.6</v>
      </c>
      <c r="O29" s="479">
        <v>7.6</v>
      </c>
      <c r="P29" s="479">
        <v>7.6</v>
      </c>
      <c r="Q29" s="479">
        <v>7.6</v>
      </c>
      <c r="R29" s="479">
        <v>7.6</v>
      </c>
      <c r="S29" s="479">
        <v>7.6</v>
      </c>
      <c r="T29" s="479">
        <v>7.6</v>
      </c>
      <c r="U29" s="479"/>
      <c r="V29" s="479"/>
      <c r="W29" s="479"/>
      <c r="X29" s="479"/>
      <c r="Y29" s="479"/>
      <c r="Z29" s="479">
        <v>117.79999999999997</v>
      </c>
      <c r="AA29" s="479">
        <v>129.19999999999996</v>
      </c>
      <c r="AB29" s="479">
        <v>83.6</v>
      </c>
      <c r="AC29" s="479">
        <v>129.41999999999999</v>
      </c>
      <c r="AD29" s="479">
        <v>103.38</v>
      </c>
      <c r="AE29" s="479">
        <v>37.9</v>
      </c>
      <c r="AF29" s="479">
        <v>159.90999999999997</v>
      </c>
      <c r="AG29" s="479">
        <v>174.95</v>
      </c>
      <c r="AH29" s="479">
        <v>101.37</v>
      </c>
      <c r="AI29" s="479">
        <v>83.93</v>
      </c>
      <c r="AJ29" s="479">
        <v>1341.7899999999997</v>
      </c>
      <c r="AK29" s="76">
        <f t="shared" si="0"/>
        <v>182.32999999999996</v>
      </c>
      <c r="AL29" s="483">
        <f t="shared" si="1"/>
        <v>1159.4599999999998</v>
      </c>
    </row>
    <row r="30" spans="1:38" x14ac:dyDescent="0.25">
      <c r="A30">
        <v>37</v>
      </c>
      <c r="B30" t="s">
        <v>977</v>
      </c>
      <c r="C30" t="s">
        <v>978</v>
      </c>
      <c r="D30" t="s">
        <v>979</v>
      </c>
      <c r="E30" s="479">
        <v>113.99999999999994</v>
      </c>
      <c r="F30" s="479">
        <v>7.6</v>
      </c>
      <c r="G30" s="479">
        <v>7.6</v>
      </c>
      <c r="H30" s="479">
        <v>3.8</v>
      </c>
      <c r="I30" s="479">
        <v>7.6</v>
      </c>
      <c r="J30" s="479"/>
      <c r="K30" s="479">
        <v>3.8</v>
      </c>
      <c r="L30" s="479">
        <v>3.8</v>
      </c>
      <c r="M30" s="479"/>
      <c r="N30" s="479">
        <v>7.6</v>
      </c>
      <c r="O30" s="479">
        <v>3.8</v>
      </c>
      <c r="P30" s="479">
        <v>3.8</v>
      </c>
      <c r="Q30" s="479">
        <v>7.6</v>
      </c>
      <c r="R30" s="479">
        <v>7.6</v>
      </c>
      <c r="S30" s="479">
        <v>7.6</v>
      </c>
      <c r="T30" s="479">
        <v>3.8</v>
      </c>
      <c r="U30" s="479">
        <v>7.6</v>
      </c>
      <c r="V30" s="479"/>
      <c r="W30" s="479">
        <v>3.8</v>
      </c>
      <c r="X30" s="479">
        <v>7.6</v>
      </c>
      <c r="Y30" s="479">
        <v>7.6</v>
      </c>
      <c r="Z30" s="479">
        <v>98.799999999999969</v>
      </c>
      <c r="AA30" s="479">
        <v>98.799999999999955</v>
      </c>
      <c r="AB30" s="479">
        <v>68.399999999999991</v>
      </c>
      <c r="AC30" s="479">
        <v>94.999999999999972</v>
      </c>
      <c r="AD30" s="479">
        <v>136.79999999999995</v>
      </c>
      <c r="AE30" s="479">
        <v>64.600000000000009</v>
      </c>
      <c r="AF30" s="479">
        <v>167.19999999999993</v>
      </c>
      <c r="AG30" s="479">
        <v>155.79999999999993</v>
      </c>
      <c r="AH30" s="479">
        <v>129.19999999999996</v>
      </c>
      <c r="AI30" s="479">
        <v>106.39999999999998</v>
      </c>
      <c r="AJ30" s="479">
        <v>1337.5999999999995</v>
      </c>
      <c r="AK30" s="76">
        <f t="shared" si="0"/>
        <v>159.59999999999997</v>
      </c>
      <c r="AL30" s="483">
        <f t="shared" si="1"/>
        <v>1177.9999999999995</v>
      </c>
    </row>
    <row r="31" spans="1:38" x14ac:dyDescent="0.25">
      <c r="A31">
        <v>38</v>
      </c>
      <c r="B31" t="s">
        <v>982</v>
      </c>
      <c r="C31" t="s">
        <v>983</v>
      </c>
      <c r="D31" t="s">
        <v>984</v>
      </c>
      <c r="E31" s="479">
        <v>140.59999999999997</v>
      </c>
      <c r="F31" s="479">
        <v>7.6</v>
      </c>
      <c r="G31" s="479">
        <v>7.6</v>
      </c>
      <c r="H31" s="479">
        <v>7.6</v>
      </c>
      <c r="I31" s="479">
        <v>7.6</v>
      </c>
      <c r="J31" s="479">
        <v>7.6</v>
      </c>
      <c r="K31" s="479">
        <v>7.6</v>
      </c>
      <c r="L31" s="479">
        <v>7.6</v>
      </c>
      <c r="M31" s="479">
        <v>7.6</v>
      </c>
      <c r="N31" s="479">
        <v>7.6</v>
      </c>
      <c r="O31" s="479">
        <v>7.6</v>
      </c>
      <c r="P31" s="479">
        <v>7.6</v>
      </c>
      <c r="Q31" s="479">
        <v>7.6</v>
      </c>
      <c r="R31" s="479">
        <v>7.6</v>
      </c>
      <c r="S31" s="479">
        <v>7.6</v>
      </c>
      <c r="T31" s="479">
        <v>7.6</v>
      </c>
      <c r="U31" s="479">
        <v>7.6</v>
      </c>
      <c r="V31" s="479">
        <v>7.6</v>
      </c>
      <c r="W31" s="479">
        <v>7.6</v>
      </c>
      <c r="X31" s="479">
        <v>7.6</v>
      </c>
      <c r="Y31" s="479">
        <v>7.6</v>
      </c>
      <c r="Z31" s="479">
        <v>144.39999999999995</v>
      </c>
      <c r="AA31" s="479">
        <v>129.19999999999996</v>
      </c>
      <c r="AB31" s="479">
        <v>125.39999999999996</v>
      </c>
      <c r="AC31" s="479">
        <v>144.39999999999995</v>
      </c>
      <c r="AD31" s="479">
        <v>64.600000000000009</v>
      </c>
      <c r="AE31" s="479">
        <v>151.99999999999994</v>
      </c>
      <c r="AF31" s="479">
        <v>144.39999999999995</v>
      </c>
      <c r="AG31" s="479">
        <v>167.19999999999993</v>
      </c>
      <c r="AH31" s="479">
        <v>60.800000000000004</v>
      </c>
      <c r="AI31" s="479">
        <v>113.99999999999997</v>
      </c>
      <c r="AJ31" s="479">
        <v>1538.9999999999993</v>
      </c>
      <c r="AK31" s="76">
        <f t="shared" si="0"/>
        <v>216.59999999999991</v>
      </c>
      <c r="AL31" s="483">
        <f t="shared" si="1"/>
        <v>1322.3999999999996</v>
      </c>
    </row>
    <row r="32" spans="1:38" x14ac:dyDescent="0.25">
      <c r="A32">
        <v>40</v>
      </c>
      <c r="B32" t="s">
        <v>986</v>
      </c>
      <c r="C32" t="s">
        <v>987</v>
      </c>
      <c r="D32" t="s">
        <v>988</v>
      </c>
      <c r="E32" s="479">
        <v>70</v>
      </c>
      <c r="F32" s="479">
        <v>7.5</v>
      </c>
      <c r="G32" s="479">
        <v>7.5</v>
      </c>
      <c r="H32" s="479">
        <v>7.5</v>
      </c>
      <c r="I32" s="479">
        <v>7.5</v>
      </c>
      <c r="J32" s="479">
        <v>5</v>
      </c>
      <c r="K32" s="479"/>
      <c r="L32" s="479"/>
      <c r="M32" s="479"/>
      <c r="N32" s="479"/>
      <c r="O32" s="479"/>
      <c r="P32" s="479"/>
      <c r="Q32" s="479"/>
      <c r="R32" s="479"/>
      <c r="S32" s="479"/>
      <c r="T32" s="479"/>
      <c r="U32" s="479">
        <v>7.5</v>
      </c>
      <c r="V32" s="479">
        <v>7.5</v>
      </c>
      <c r="W32" s="479">
        <v>7.5</v>
      </c>
      <c r="X32" s="479">
        <v>7.5</v>
      </c>
      <c r="Y32" s="479"/>
      <c r="Z32" s="479">
        <v>112.5</v>
      </c>
      <c r="AA32" s="479">
        <v>97.5</v>
      </c>
      <c r="AB32" s="479">
        <v>40</v>
      </c>
      <c r="AC32" s="479">
        <v>40</v>
      </c>
      <c r="AD32" s="479"/>
      <c r="AE32" s="479"/>
      <c r="AF32" s="479"/>
      <c r="AG32" s="479"/>
      <c r="AH32" s="479"/>
      <c r="AI32" s="479"/>
      <c r="AJ32" s="479">
        <v>425</v>
      </c>
      <c r="AK32" s="76">
        <f t="shared" si="0"/>
        <v>105</v>
      </c>
      <c r="AL32" s="483">
        <f t="shared" si="1"/>
        <v>320</v>
      </c>
    </row>
    <row r="33" spans="1:40" x14ac:dyDescent="0.25">
      <c r="A33">
        <v>41</v>
      </c>
      <c r="B33" t="s">
        <v>991</v>
      </c>
      <c r="C33" t="s">
        <v>992</v>
      </c>
      <c r="D33" t="s">
        <v>993</v>
      </c>
      <c r="E33" s="479">
        <v>140.60999999999999</v>
      </c>
      <c r="F33" s="479">
        <v>7.66</v>
      </c>
      <c r="G33" s="479">
        <v>7.66</v>
      </c>
      <c r="H33" s="479">
        <v>7.33</v>
      </c>
      <c r="I33" s="479">
        <v>3.88</v>
      </c>
      <c r="J33" s="479">
        <v>7.66</v>
      </c>
      <c r="K33" s="479">
        <v>7.75</v>
      </c>
      <c r="L33" s="479">
        <v>7.75</v>
      </c>
      <c r="M33" s="479">
        <v>7.33</v>
      </c>
      <c r="N33" s="479">
        <v>7.67</v>
      </c>
      <c r="O33" s="479"/>
      <c r="P33" s="479">
        <v>7.58</v>
      </c>
      <c r="Q33" s="479">
        <v>7.75</v>
      </c>
      <c r="R33" s="479">
        <v>7.17</v>
      </c>
      <c r="S33" s="479">
        <v>7.75</v>
      </c>
      <c r="T33" s="479">
        <v>7.75</v>
      </c>
      <c r="U33" s="479">
        <v>7.75</v>
      </c>
      <c r="V33" s="479">
        <v>7.58</v>
      </c>
      <c r="W33" s="479">
        <v>7.25</v>
      </c>
      <c r="X33" s="479">
        <v>7.75</v>
      </c>
      <c r="Y33" s="479">
        <v>7.75</v>
      </c>
      <c r="Z33" s="479">
        <v>155.38000000000002</v>
      </c>
      <c r="AA33" s="479">
        <v>144.80000000000001</v>
      </c>
      <c r="AB33" s="479">
        <v>121.39999999999999</v>
      </c>
      <c r="AC33" s="479">
        <v>127.03999999999999</v>
      </c>
      <c r="AD33" s="479">
        <v>44.61</v>
      </c>
      <c r="AE33" s="479">
        <v>94.519999999999982</v>
      </c>
      <c r="AF33" s="479">
        <v>30.4</v>
      </c>
      <c r="AG33" s="479"/>
      <c r="AH33" s="479"/>
      <c r="AI33" s="479"/>
      <c r="AJ33" s="479">
        <v>999.52999999999986</v>
      </c>
      <c r="AK33" s="76">
        <f t="shared" si="0"/>
        <v>205.29999999999998</v>
      </c>
      <c r="AL33" s="483">
        <f t="shared" si="1"/>
        <v>794.23</v>
      </c>
    </row>
    <row r="34" spans="1:40" x14ac:dyDescent="0.25">
      <c r="A34">
        <v>42</v>
      </c>
      <c r="B34" t="s">
        <v>995</v>
      </c>
      <c r="C34" t="s">
        <v>996</v>
      </c>
      <c r="D34" t="s">
        <v>997</v>
      </c>
      <c r="E34" s="479">
        <v>123.78999999999999</v>
      </c>
      <c r="F34" s="479">
        <v>7.5</v>
      </c>
      <c r="G34" s="479">
        <v>7.5</v>
      </c>
      <c r="H34" s="479">
        <v>7.5</v>
      </c>
      <c r="I34" s="479">
        <v>7.5</v>
      </c>
      <c r="J34" s="479">
        <v>7.5</v>
      </c>
      <c r="K34" s="479"/>
      <c r="L34" s="479">
        <v>7.5</v>
      </c>
      <c r="M34" s="479">
        <v>7.5</v>
      </c>
      <c r="N34" s="479">
        <v>7.5</v>
      </c>
      <c r="O34" s="479">
        <v>8.08</v>
      </c>
      <c r="P34" s="479">
        <v>7.5</v>
      </c>
      <c r="Q34" s="479">
        <v>7.5</v>
      </c>
      <c r="R34" s="479">
        <v>8.8000000000000007</v>
      </c>
      <c r="S34" s="479">
        <v>8</v>
      </c>
      <c r="T34" s="479">
        <v>7</v>
      </c>
      <c r="U34" s="479">
        <v>8</v>
      </c>
      <c r="V34" s="479">
        <v>7.5</v>
      </c>
      <c r="W34" s="479">
        <v>8</v>
      </c>
      <c r="X34" s="479">
        <v>7.52</v>
      </c>
      <c r="Y34" s="479">
        <v>7</v>
      </c>
      <c r="Z34" s="479">
        <v>157.16</v>
      </c>
      <c r="AA34" s="479">
        <v>128.91999999999996</v>
      </c>
      <c r="AB34" s="479"/>
      <c r="AC34" s="479">
        <v>10.45</v>
      </c>
      <c r="AD34" s="479">
        <v>68.400000000000006</v>
      </c>
      <c r="AE34" s="479">
        <v>144.39999999999995</v>
      </c>
      <c r="AF34" s="479">
        <v>118.74999999999996</v>
      </c>
      <c r="AG34" s="479">
        <v>151.99999999999994</v>
      </c>
      <c r="AH34" s="479">
        <v>129.19999999999996</v>
      </c>
      <c r="AI34" s="479">
        <v>53.2</v>
      </c>
      <c r="AJ34" s="479">
        <v>1231.17</v>
      </c>
      <c r="AK34" s="76">
        <f t="shared" si="0"/>
        <v>191.87</v>
      </c>
      <c r="AL34" s="483">
        <f t="shared" si="1"/>
        <v>1039.2999999999997</v>
      </c>
    </row>
    <row r="35" spans="1:40" x14ac:dyDescent="0.25">
      <c r="A35">
        <v>43</v>
      </c>
      <c r="B35" t="s">
        <v>999</v>
      </c>
      <c r="C35" t="s">
        <v>1000</v>
      </c>
      <c r="D35" t="s">
        <v>1001</v>
      </c>
      <c r="E35" s="479">
        <v>15.2</v>
      </c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479"/>
      <c r="T35" s="479"/>
      <c r="U35" s="479"/>
      <c r="V35" s="479"/>
      <c r="W35" s="479"/>
      <c r="X35" s="479"/>
      <c r="Y35" s="479"/>
      <c r="Z35" s="479"/>
      <c r="AA35" s="479"/>
      <c r="AB35" s="479"/>
      <c r="AC35" s="479"/>
      <c r="AD35" s="479"/>
      <c r="AE35" s="479"/>
      <c r="AF35" s="479"/>
      <c r="AG35" s="479"/>
      <c r="AH35" s="479"/>
      <c r="AI35" s="479"/>
      <c r="AJ35" s="479">
        <v>15.2</v>
      </c>
      <c r="AK35" s="76">
        <f t="shared" si="0"/>
        <v>15.2</v>
      </c>
      <c r="AL35" s="483">
        <f t="shared" si="1"/>
        <v>0</v>
      </c>
    </row>
    <row r="36" spans="1:40" x14ac:dyDescent="0.25">
      <c r="A36">
        <v>44</v>
      </c>
      <c r="B36" t="s">
        <v>1004</v>
      </c>
      <c r="C36" t="s">
        <v>1005</v>
      </c>
      <c r="D36" t="s">
        <v>1006</v>
      </c>
      <c r="E36" s="479">
        <v>57.000000000000007</v>
      </c>
      <c r="F36" s="479"/>
      <c r="G36" s="479"/>
      <c r="H36" s="479"/>
      <c r="I36" s="479"/>
      <c r="J36" s="479"/>
      <c r="K36" s="479">
        <v>7.6</v>
      </c>
      <c r="L36" s="479">
        <v>7.6</v>
      </c>
      <c r="M36" s="479">
        <v>7.6</v>
      </c>
      <c r="N36" s="479">
        <v>7.6</v>
      </c>
      <c r="O36" s="479">
        <v>7.6</v>
      </c>
      <c r="P36" s="479">
        <v>7.6</v>
      </c>
      <c r="Q36" s="479">
        <v>7.6</v>
      </c>
      <c r="R36" s="479">
        <v>7.6</v>
      </c>
      <c r="S36" s="479">
        <v>7.6</v>
      </c>
      <c r="T36" s="479"/>
      <c r="U36" s="479">
        <v>7.6</v>
      </c>
      <c r="V36" s="479"/>
      <c r="W36" s="479"/>
      <c r="X36" s="479"/>
      <c r="Y36" s="479"/>
      <c r="Z36" s="479"/>
      <c r="AA36" s="479">
        <v>53.2</v>
      </c>
      <c r="AB36" s="479">
        <v>121.59999999999997</v>
      </c>
      <c r="AC36" s="479">
        <v>121.59999999999997</v>
      </c>
      <c r="AD36" s="479">
        <v>3.8</v>
      </c>
      <c r="AE36" s="479"/>
      <c r="AF36" s="479"/>
      <c r="AG36" s="479"/>
      <c r="AH36" s="479"/>
      <c r="AI36" s="479"/>
      <c r="AJ36" s="479">
        <v>433.19999999999993</v>
      </c>
      <c r="AK36" s="76">
        <f t="shared" si="0"/>
        <v>94.999999999999986</v>
      </c>
      <c r="AL36" s="483">
        <f t="shared" si="1"/>
        <v>338.19999999999993</v>
      </c>
    </row>
    <row r="37" spans="1:40" x14ac:dyDescent="0.25">
      <c r="A37">
        <v>46</v>
      </c>
      <c r="B37" t="s">
        <v>1009</v>
      </c>
      <c r="C37" t="s">
        <v>1010</v>
      </c>
      <c r="D37" t="s">
        <v>1011</v>
      </c>
      <c r="E37" s="479"/>
      <c r="F37" s="479"/>
      <c r="G37" s="479"/>
      <c r="H37" s="479"/>
      <c r="I37" s="479"/>
      <c r="J37" s="479"/>
      <c r="K37" s="479"/>
      <c r="L37" s="479"/>
      <c r="M37" s="479"/>
      <c r="N37" s="479"/>
      <c r="O37" s="479"/>
      <c r="P37" s="479"/>
      <c r="Q37" s="479"/>
      <c r="R37" s="479"/>
      <c r="S37" s="479"/>
      <c r="T37" s="479"/>
      <c r="U37" s="479"/>
      <c r="V37" s="479"/>
      <c r="W37" s="479"/>
      <c r="X37" s="479"/>
      <c r="Y37" s="479"/>
      <c r="Z37" s="479">
        <v>113.99999999999997</v>
      </c>
      <c r="AA37" s="479">
        <v>106.39999999999998</v>
      </c>
      <c r="AB37" s="479">
        <v>79.8</v>
      </c>
      <c r="AC37" s="479">
        <v>121.59999999999997</v>
      </c>
      <c r="AD37" s="479">
        <v>94.999999999999986</v>
      </c>
      <c r="AE37" s="479">
        <v>53.2</v>
      </c>
      <c r="AF37" s="479">
        <v>98.799999999999983</v>
      </c>
      <c r="AG37" s="479">
        <v>83.6</v>
      </c>
      <c r="AH37" s="479">
        <v>106.39999999999998</v>
      </c>
      <c r="AI37" s="479">
        <v>98.799999999999983</v>
      </c>
      <c r="AJ37" s="479">
        <v>957.5999999999998</v>
      </c>
      <c r="AK37" s="76">
        <f t="shared" si="0"/>
        <v>0</v>
      </c>
      <c r="AL37" s="483">
        <f t="shared" si="1"/>
        <v>957.5999999999998</v>
      </c>
    </row>
    <row r="38" spans="1:40" x14ac:dyDescent="0.25">
      <c r="A38">
        <v>48</v>
      </c>
      <c r="B38" t="s">
        <v>1018</v>
      </c>
      <c r="C38" t="s">
        <v>1019</v>
      </c>
      <c r="D38" t="s">
        <v>1020</v>
      </c>
      <c r="E38" s="479">
        <v>151.99999999999994</v>
      </c>
      <c r="F38" s="479">
        <v>7.6</v>
      </c>
      <c r="G38" s="479">
        <v>7.6</v>
      </c>
      <c r="H38" s="479">
        <v>7.6</v>
      </c>
      <c r="I38" s="479">
        <v>7.6</v>
      </c>
      <c r="J38" s="479">
        <v>7.6</v>
      </c>
      <c r="K38" s="479">
        <v>7.6</v>
      </c>
      <c r="L38" s="479">
        <v>7.6</v>
      </c>
      <c r="M38" s="479">
        <v>7.6</v>
      </c>
      <c r="N38" s="479">
        <v>7.6</v>
      </c>
      <c r="O38" s="479"/>
      <c r="P38" s="479"/>
      <c r="Q38" s="479">
        <v>7.6</v>
      </c>
      <c r="R38" s="479">
        <v>7.6</v>
      </c>
      <c r="S38" s="479">
        <v>7.6</v>
      </c>
      <c r="T38" s="479">
        <v>7.6</v>
      </c>
      <c r="U38" s="479"/>
      <c r="V38" s="479">
        <v>7.6</v>
      </c>
      <c r="W38" s="479">
        <v>7.6</v>
      </c>
      <c r="X38" s="479"/>
      <c r="Y38" s="479"/>
      <c r="Z38" s="479">
        <v>68.400000000000006</v>
      </c>
      <c r="AA38" s="479"/>
      <c r="AB38" s="479"/>
      <c r="AC38" s="479"/>
      <c r="AD38" s="479"/>
      <c r="AE38" s="479"/>
      <c r="AF38" s="479"/>
      <c r="AG38" s="479"/>
      <c r="AH38" s="479"/>
      <c r="AI38" s="479"/>
      <c r="AJ38" s="479">
        <v>334.39999999999986</v>
      </c>
      <c r="AK38" s="76">
        <f t="shared" si="0"/>
        <v>220.39999999999989</v>
      </c>
      <c r="AL38" s="483">
        <f t="shared" si="1"/>
        <v>114</v>
      </c>
    </row>
    <row r="39" spans="1:40" s="196" customFormat="1" x14ac:dyDescent="0.25">
      <c r="A39" s="196">
        <v>49</v>
      </c>
      <c r="B39" s="196" t="s">
        <v>1023</v>
      </c>
      <c r="C39" s="196" t="s">
        <v>1024</v>
      </c>
      <c r="D39" s="196" t="s">
        <v>1025</v>
      </c>
      <c r="E39" s="476">
        <v>132</v>
      </c>
      <c r="F39" s="476"/>
      <c r="G39" s="476"/>
      <c r="H39" s="476"/>
      <c r="I39" s="476">
        <v>8</v>
      </c>
      <c r="J39" s="476"/>
      <c r="K39" s="476"/>
      <c r="L39" s="476"/>
      <c r="M39" s="476">
        <v>8</v>
      </c>
      <c r="N39" s="476">
        <v>8</v>
      </c>
      <c r="O39" s="476"/>
      <c r="P39" s="476"/>
      <c r="Q39" s="476"/>
      <c r="R39" s="476">
        <v>8</v>
      </c>
      <c r="S39" s="476"/>
      <c r="T39" s="476">
        <v>8</v>
      </c>
      <c r="U39" s="476"/>
      <c r="V39" s="476"/>
      <c r="W39" s="476"/>
      <c r="X39" s="476"/>
      <c r="Y39" s="476"/>
      <c r="Z39" s="476">
        <v>88</v>
      </c>
      <c r="AA39" s="476">
        <v>64</v>
      </c>
      <c r="AB39" s="476">
        <v>88</v>
      </c>
      <c r="AC39" s="476"/>
      <c r="AD39" s="476"/>
      <c r="AE39" s="476"/>
      <c r="AF39" s="476"/>
      <c r="AG39" s="476"/>
      <c r="AH39" s="476"/>
      <c r="AI39" s="476"/>
      <c r="AJ39" s="476">
        <v>412</v>
      </c>
      <c r="AK39" s="518">
        <f t="shared" si="0"/>
        <v>156</v>
      </c>
      <c r="AL39" s="519">
        <f t="shared" si="1"/>
        <v>256</v>
      </c>
      <c r="AN39" s="521">
        <f>VALO_PERSO!AF39</f>
        <v>1333.8000000000004</v>
      </c>
    </row>
    <row r="40" spans="1:40" x14ac:dyDescent="0.25">
      <c r="A40">
        <v>50</v>
      </c>
      <c r="B40" t="s">
        <v>1028</v>
      </c>
      <c r="C40" t="s">
        <v>1029</v>
      </c>
      <c r="D40" t="s">
        <v>1030</v>
      </c>
      <c r="E40" s="479">
        <v>117.79999999999994</v>
      </c>
      <c r="F40" s="479">
        <v>7.6</v>
      </c>
      <c r="G40" s="479">
        <v>7.6</v>
      </c>
      <c r="H40" s="479">
        <v>3.8</v>
      </c>
      <c r="I40" s="479">
        <v>7.6</v>
      </c>
      <c r="J40" s="479">
        <v>7.6</v>
      </c>
      <c r="K40" s="479">
        <v>7.6</v>
      </c>
      <c r="L40" s="479">
        <v>3.8</v>
      </c>
      <c r="M40" s="479"/>
      <c r="N40" s="479"/>
      <c r="O40" s="479"/>
      <c r="P40" s="479">
        <v>3.8</v>
      </c>
      <c r="Q40" s="479">
        <v>7.6</v>
      </c>
      <c r="R40" s="479">
        <v>7.6</v>
      </c>
      <c r="S40" s="479">
        <v>7.6</v>
      </c>
      <c r="T40" s="479">
        <v>7.6</v>
      </c>
      <c r="U40" s="479">
        <v>7.6</v>
      </c>
      <c r="V40" s="479">
        <v>7.6</v>
      </c>
      <c r="W40" s="479">
        <v>7.6</v>
      </c>
      <c r="X40" s="479">
        <v>7.6</v>
      </c>
      <c r="Y40" s="479">
        <v>3.8</v>
      </c>
      <c r="Z40" s="479">
        <v>125.39999999999993</v>
      </c>
      <c r="AA40" s="479">
        <v>72.199999999999974</v>
      </c>
      <c r="AB40" s="479">
        <v>76</v>
      </c>
      <c r="AC40" s="479">
        <v>49.4</v>
      </c>
      <c r="AD40" s="479">
        <v>91.199999999999974</v>
      </c>
      <c r="AE40" s="479">
        <v>125.39999999999995</v>
      </c>
      <c r="AF40" s="479">
        <v>117.79999999999994</v>
      </c>
      <c r="AG40" s="479">
        <v>148.19999999999993</v>
      </c>
      <c r="AH40" s="479">
        <v>91.199999999999989</v>
      </c>
      <c r="AI40" s="479">
        <v>106.39999999999995</v>
      </c>
      <c r="AJ40" s="479">
        <v>1234.9999999999995</v>
      </c>
      <c r="AK40" s="76">
        <f t="shared" si="0"/>
        <v>163.39999999999995</v>
      </c>
      <c r="AL40" s="483">
        <f t="shared" si="1"/>
        <v>1071.5999999999997</v>
      </c>
    </row>
    <row r="41" spans="1:40" x14ac:dyDescent="0.25">
      <c r="A41">
        <v>51</v>
      </c>
      <c r="B41" t="s">
        <v>1033</v>
      </c>
      <c r="C41" t="s">
        <v>1034</v>
      </c>
      <c r="D41" t="s">
        <v>1035</v>
      </c>
      <c r="E41" s="479">
        <v>148.19999999999996</v>
      </c>
      <c r="F41" s="479">
        <v>7.6</v>
      </c>
      <c r="G41" s="479">
        <v>7.6</v>
      </c>
      <c r="H41" s="479">
        <v>7.6</v>
      </c>
      <c r="I41" s="479">
        <v>7.6</v>
      </c>
      <c r="J41" s="479">
        <v>7.6</v>
      </c>
      <c r="K41" s="479"/>
      <c r="L41" s="479">
        <v>7.6</v>
      </c>
      <c r="M41" s="479">
        <v>7.6</v>
      </c>
      <c r="N41" s="479">
        <v>7.6</v>
      </c>
      <c r="O41" s="479">
        <v>7.6</v>
      </c>
      <c r="P41" s="479">
        <v>7.6</v>
      </c>
      <c r="Q41" s="479">
        <v>7.6</v>
      </c>
      <c r="R41" s="479">
        <v>7.6</v>
      </c>
      <c r="S41" s="479">
        <v>7.6</v>
      </c>
      <c r="T41" s="479">
        <v>7.6</v>
      </c>
      <c r="U41" s="479">
        <v>7.6</v>
      </c>
      <c r="V41" s="479">
        <v>7.6</v>
      </c>
      <c r="W41" s="479">
        <v>7.6</v>
      </c>
      <c r="X41" s="479">
        <v>7.6</v>
      </c>
      <c r="Y41" s="479"/>
      <c r="Z41" s="479">
        <v>151.99999999999994</v>
      </c>
      <c r="AA41" s="479"/>
      <c r="AB41" s="479"/>
      <c r="AC41" s="479"/>
      <c r="AD41" s="479"/>
      <c r="AE41" s="479"/>
      <c r="AF41" s="479"/>
      <c r="AG41" s="479"/>
      <c r="AH41" s="479"/>
      <c r="AI41" s="479"/>
      <c r="AJ41" s="479">
        <v>436.99999999999989</v>
      </c>
      <c r="AK41" s="76">
        <f t="shared" si="0"/>
        <v>216.59999999999991</v>
      </c>
      <c r="AL41" s="483">
        <f t="shared" si="1"/>
        <v>220.39999999999995</v>
      </c>
    </row>
    <row r="42" spans="1:40" x14ac:dyDescent="0.25">
      <c r="A42">
        <v>53</v>
      </c>
      <c r="B42" t="s">
        <v>1239</v>
      </c>
      <c r="C42" t="s">
        <v>1200</v>
      </c>
      <c r="D42" t="s">
        <v>1201</v>
      </c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479"/>
      <c r="T42" s="479"/>
      <c r="U42" s="479"/>
      <c r="V42" s="479"/>
      <c r="W42" s="479"/>
      <c r="X42" s="479"/>
      <c r="Y42" s="479"/>
      <c r="Z42" s="479"/>
      <c r="AA42" s="479"/>
      <c r="AB42" s="479"/>
      <c r="AC42" s="479"/>
      <c r="AD42" s="479">
        <v>40</v>
      </c>
      <c r="AE42" s="479">
        <v>24</v>
      </c>
      <c r="AF42" s="479">
        <v>96</v>
      </c>
      <c r="AG42" s="479">
        <v>64</v>
      </c>
      <c r="AH42" s="479">
        <v>60</v>
      </c>
      <c r="AI42" s="479">
        <v>40</v>
      </c>
      <c r="AJ42" s="479">
        <v>324</v>
      </c>
      <c r="AK42" s="76">
        <f t="shared" si="0"/>
        <v>0</v>
      </c>
      <c r="AL42" s="483">
        <f t="shared" si="1"/>
        <v>324</v>
      </c>
    </row>
    <row r="43" spans="1:40" x14ac:dyDescent="0.25">
      <c r="A43">
        <v>54</v>
      </c>
      <c r="B43" t="s">
        <v>1037</v>
      </c>
      <c r="C43" t="s">
        <v>1038</v>
      </c>
      <c r="D43" t="s">
        <v>901</v>
      </c>
      <c r="E43" s="479">
        <v>105</v>
      </c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479"/>
      <c r="T43" s="479"/>
      <c r="U43" s="479">
        <v>7</v>
      </c>
      <c r="V43" s="479">
        <v>7</v>
      </c>
      <c r="W43" s="479">
        <v>7</v>
      </c>
      <c r="X43" s="479">
        <v>7</v>
      </c>
      <c r="Y43" s="479">
        <v>7</v>
      </c>
      <c r="Z43" s="479">
        <v>70</v>
      </c>
      <c r="AA43" s="479">
        <v>77</v>
      </c>
      <c r="AB43" s="479">
        <v>105</v>
      </c>
      <c r="AC43" s="479">
        <v>140</v>
      </c>
      <c r="AD43" s="479">
        <v>147</v>
      </c>
      <c r="AE43" s="479">
        <v>56</v>
      </c>
      <c r="AF43" s="479"/>
      <c r="AG43" s="479"/>
      <c r="AH43" s="479"/>
      <c r="AI43" s="479"/>
      <c r="AJ43" s="479">
        <v>735</v>
      </c>
      <c r="AK43" s="76">
        <f t="shared" si="0"/>
        <v>105</v>
      </c>
      <c r="AL43" s="483">
        <f t="shared" si="1"/>
        <v>630</v>
      </c>
    </row>
    <row r="44" spans="1:40" x14ac:dyDescent="0.25">
      <c r="A44">
        <v>55</v>
      </c>
      <c r="B44" t="s">
        <v>1040</v>
      </c>
      <c r="C44" t="s">
        <v>1041</v>
      </c>
      <c r="D44" t="s">
        <v>1202</v>
      </c>
      <c r="E44" s="479">
        <v>84</v>
      </c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479"/>
      <c r="T44" s="479"/>
      <c r="U44" s="479">
        <v>7</v>
      </c>
      <c r="V44" s="479">
        <v>7</v>
      </c>
      <c r="W44" s="479">
        <v>7</v>
      </c>
      <c r="X44" s="479">
        <v>7</v>
      </c>
      <c r="Y44" s="479">
        <v>7</v>
      </c>
      <c r="Z44" s="479">
        <v>70</v>
      </c>
      <c r="AA44" s="479">
        <v>56</v>
      </c>
      <c r="AB44" s="479">
        <v>112</v>
      </c>
      <c r="AC44" s="479">
        <v>133</v>
      </c>
      <c r="AD44" s="479">
        <v>154</v>
      </c>
      <c r="AE44" s="479">
        <v>77</v>
      </c>
      <c r="AF44" s="479"/>
      <c r="AG44" s="479"/>
      <c r="AH44" s="479"/>
      <c r="AI44" s="479"/>
      <c r="AJ44" s="479">
        <v>721</v>
      </c>
      <c r="AK44" s="76">
        <f t="shared" si="0"/>
        <v>84</v>
      </c>
      <c r="AL44" s="483">
        <f t="shared" si="1"/>
        <v>637</v>
      </c>
    </row>
    <row r="45" spans="1:40" x14ac:dyDescent="0.25">
      <c r="A45">
        <v>58</v>
      </c>
      <c r="B45" t="s">
        <v>1240</v>
      </c>
      <c r="C45" t="s">
        <v>1207</v>
      </c>
      <c r="D45" t="s">
        <v>1208</v>
      </c>
      <c r="E45" s="479"/>
      <c r="F45" s="479"/>
      <c r="G45" s="479"/>
      <c r="H45" s="479"/>
      <c r="I45" s="479"/>
      <c r="J45" s="479"/>
      <c r="K45" s="479"/>
      <c r="L45" s="479"/>
      <c r="M45" s="479"/>
      <c r="N45" s="479"/>
      <c r="O45" s="479"/>
      <c r="P45" s="479"/>
      <c r="Q45" s="479"/>
      <c r="R45" s="479"/>
      <c r="S45" s="479"/>
      <c r="T45" s="479"/>
      <c r="U45" s="479"/>
      <c r="V45" s="479"/>
      <c r="W45" s="479"/>
      <c r="X45" s="479"/>
      <c r="Y45" s="479"/>
      <c r="Z45" s="479"/>
      <c r="AA45" s="479"/>
      <c r="AB45" s="479"/>
      <c r="AC45" s="479">
        <v>83.6</v>
      </c>
      <c r="AD45" s="479">
        <v>167.19999999999993</v>
      </c>
      <c r="AE45" s="479">
        <v>136.79999999999995</v>
      </c>
      <c r="AF45" s="479">
        <v>136.79999999999995</v>
      </c>
      <c r="AG45" s="479">
        <v>144.39999999999995</v>
      </c>
      <c r="AH45" s="479">
        <v>136.79999999999995</v>
      </c>
      <c r="AI45" s="479">
        <v>113.99999999999997</v>
      </c>
      <c r="AJ45" s="479">
        <v>919.5999999999998</v>
      </c>
      <c r="AK45" s="76">
        <f t="shared" si="0"/>
        <v>0</v>
      </c>
      <c r="AL45" s="483">
        <f t="shared" si="1"/>
        <v>919.5999999999998</v>
      </c>
    </row>
    <row r="46" spans="1:40" x14ac:dyDescent="0.25">
      <c r="A46">
        <v>60</v>
      </c>
      <c r="B46" t="s">
        <v>1241</v>
      </c>
      <c r="C46" t="s">
        <v>966</v>
      </c>
      <c r="D46" t="s">
        <v>1211</v>
      </c>
      <c r="E46" s="479"/>
      <c r="F46" s="479"/>
      <c r="G46" s="479"/>
      <c r="H46" s="479"/>
      <c r="I46" s="479"/>
      <c r="J46" s="479"/>
      <c r="K46" s="479"/>
      <c r="L46" s="479"/>
      <c r="M46" s="479"/>
      <c r="N46" s="479"/>
      <c r="O46" s="479"/>
      <c r="P46" s="479"/>
      <c r="Q46" s="479"/>
      <c r="R46" s="479"/>
      <c r="S46" s="479"/>
      <c r="T46" s="479"/>
      <c r="U46" s="479"/>
      <c r="V46" s="479"/>
      <c r="W46" s="479"/>
      <c r="X46" s="479"/>
      <c r="Y46" s="479"/>
      <c r="Z46" s="479"/>
      <c r="AA46" s="479"/>
      <c r="AB46" s="479"/>
      <c r="AC46" s="479"/>
      <c r="AD46" s="479"/>
      <c r="AE46" s="479"/>
      <c r="AF46" s="479">
        <v>121.59999999999997</v>
      </c>
      <c r="AG46" s="479"/>
      <c r="AH46" s="479"/>
      <c r="AI46" s="479"/>
      <c r="AJ46" s="479">
        <v>121.59999999999997</v>
      </c>
      <c r="AK46" s="76">
        <f t="shared" si="0"/>
        <v>0</v>
      </c>
      <c r="AL46" s="483">
        <f t="shared" si="1"/>
        <v>121.59999999999997</v>
      </c>
    </row>
    <row r="47" spans="1:40" x14ac:dyDescent="0.25">
      <c r="A47">
        <v>61</v>
      </c>
      <c r="B47" t="s">
        <v>1242</v>
      </c>
      <c r="C47" t="s">
        <v>1235</v>
      </c>
      <c r="D47" t="s">
        <v>1213</v>
      </c>
      <c r="E47" s="479"/>
      <c r="F47" s="479"/>
      <c r="G47" s="479"/>
      <c r="H47" s="479"/>
      <c r="I47" s="479"/>
      <c r="J47" s="479"/>
      <c r="K47" s="479"/>
      <c r="L47" s="479"/>
      <c r="M47" s="479"/>
      <c r="N47" s="479"/>
      <c r="O47" s="479"/>
      <c r="P47" s="479"/>
      <c r="Q47" s="479"/>
      <c r="R47" s="479"/>
      <c r="S47" s="479"/>
      <c r="T47" s="479"/>
      <c r="U47" s="479"/>
      <c r="V47" s="479"/>
      <c r="W47" s="479"/>
      <c r="X47" s="479"/>
      <c r="Y47" s="479"/>
      <c r="Z47" s="479"/>
      <c r="AA47" s="479"/>
      <c r="AB47" s="479"/>
      <c r="AC47" s="479"/>
      <c r="AD47" s="479"/>
      <c r="AE47" s="479"/>
      <c r="AF47" s="479"/>
      <c r="AG47" s="479">
        <v>70</v>
      </c>
      <c r="AH47" s="479">
        <v>35</v>
      </c>
      <c r="AI47" s="479">
        <v>59.83</v>
      </c>
      <c r="AJ47" s="479">
        <v>164.82999999999998</v>
      </c>
      <c r="AK47" s="76">
        <f t="shared" si="0"/>
        <v>0</v>
      </c>
      <c r="AL47" s="483">
        <f t="shared" si="1"/>
        <v>164.82999999999998</v>
      </c>
    </row>
    <row r="48" spans="1:40" x14ac:dyDescent="0.25">
      <c r="A48">
        <v>62</v>
      </c>
      <c r="B48" t="s">
        <v>1243</v>
      </c>
      <c r="C48" t="s">
        <v>1214</v>
      </c>
      <c r="D48" t="s">
        <v>1215</v>
      </c>
      <c r="E48" s="479"/>
      <c r="F48" s="479"/>
      <c r="G48" s="479"/>
      <c r="H48" s="479"/>
      <c r="I48" s="479"/>
      <c r="J48" s="479"/>
      <c r="K48" s="479"/>
      <c r="L48" s="479"/>
      <c r="M48" s="479"/>
      <c r="N48" s="479"/>
      <c r="O48" s="479"/>
      <c r="P48" s="479"/>
      <c r="Q48" s="479"/>
      <c r="R48" s="479"/>
      <c r="S48" s="479"/>
      <c r="T48" s="479"/>
      <c r="U48" s="479"/>
      <c r="V48" s="479"/>
      <c r="W48" s="479"/>
      <c r="X48" s="479"/>
      <c r="Y48" s="479"/>
      <c r="Z48" s="479"/>
      <c r="AA48" s="479"/>
      <c r="AB48" s="479"/>
      <c r="AC48" s="479"/>
      <c r="AD48" s="479"/>
      <c r="AE48" s="479"/>
      <c r="AF48" s="479">
        <v>14</v>
      </c>
      <c r="AG48" s="479">
        <v>161</v>
      </c>
      <c r="AH48" s="479"/>
      <c r="AI48" s="479">
        <v>98</v>
      </c>
      <c r="AJ48" s="479">
        <v>273</v>
      </c>
      <c r="AK48" s="76">
        <f t="shared" si="0"/>
        <v>0</v>
      </c>
      <c r="AL48" s="483">
        <f t="shared" si="1"/>
        <v>273</v>
      </c>
    </row>
    <row r="49" spans="1:38" x14ac:dyDescent="0.25">
      <c r="A49">
        <v>63</v>
      </c>
      <c r="B49" t="s">
        <v>1244</v>
      </c>
      <c r="C49" t="s">
        <v>1216</v>
      </c>
      <c r="D49" t="s">
        <v>1217</v>
      </c>
      <c r="E49" s="479"/>
      <c r="F49" s="479"/>
      <c r="G49" s="479"/>
      <c r="H49" s="479"/>
      <c r="I49" s="479"/>
      <c r="J49" s="479"/>
      <c r="K49" s="479"/>
      <c r="L49" s="479"/>
      <c r="M49" s="479"/>
      <c r="N49" s="479"/>
      <c r="O49" s="479"/>
      <c r="P49" s="479"/>
      <c r="Q49" s="479"/>
      <c r="R49" s="479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  <c r="AD49" s="479"/>
      <c r="AE49" s="479"/>
      <c r="AF49" s="479">
        <v>14</v>
      </c>
      <c r="AG49" s="479">
        <v>161</v>
      </c>
      <c r="AH49" s="479"/>
      <c r="AI49" s="479">
        <v>126</v>
      </c>
      <c r="AJ49" s="479">
        <v>301</v>
      </c>
      <c r="AK49" s="76">
        <f t="shared" si="0"/>
        <v>0</v>
      </c>
      <c r="AL49" s="483">
        <f t="shared" si="1"/>
        <v>301</v>
      </c>
    </row>
    <row r="50" spans="1:38" x14ac:dyDescent="0.25">
      <c r="A50" t="s">
        <v>335</v>
      </c>
      <c r="B50" t="s">
        <v>335</v>
      </c>
      <c r="E50" s="479">
        <v>4017.2699999999986</v>
      </c>
      <c r="F50" s="479">
        <v>180.15999999999994</v>
      </c>
      <c r="G50" s="479">
        <v>189.49999999999994</v>
      </c>
      <c r="H50" s="479">
        <v>195.68999999999997</v>
      </c>
      <c r="I50" s="479">
        <v>205.52999999999994</v>
      </c>
      <c r="J50" s="479">
        <v>165.40999999999997</v>
      </c>
      <c r="K50" s="479">
        <v>143.99999999999994</v>
      </c>
      <c r="L50" s="479">
        <v>169.71999999999994</v>
      </c>
      <c r="M50" s="479">
        <v>191.99999999999994</v>
      </c>
      <c r="N50" s="479">
        <v>186.80999999999992</v>
      </c>
      <c r="O50" s="479">
        <v>155.95999999999998</v>
      </c>
      <c r="P50" s="479">
        <v>182.17999999999998</v>
      </c>
      <c r="Q50" s="479">
        <v>205.14999999999992</v>
      </c>
      <c r="R50" s="479">
        <v>216.34999999999994</v>
      </c>
      <c r="S50" s="479">
        <v>182.92999999999995</v>
      </c>
      <c r="T50" s="479">
        <v>172.58999999999995</v>
      </c>
      <c r="U50" s="479">
        <v>172.12999999999997</v>
      </c>
      <c r="V50" s="479">
        <v>179.55999999999997</v>
      </c>
      <c r="W50" s="479">
        <v>199.79999999999995</v>
      </c>
      <c r="X50" s="479">
        <v>188.66999999999996</v>
      </c>
      <c r="Y50" s="479">
        <v>150.33999999999997</v>
      </c>
      <c r="Z50" s="479">
        <v>4039.85</v>
      </c>
      <c r="AA50" s="479">
        <v>3570.059999999999</v>
      </c>
      <c r="AB50" s="479">
        <v>2774.97</v>
      </c>
      <c r="AC50" s="479">
        <v>3686.7699999999995</v>
      </c>
      <c r="AD50" s="479">
        <v>3388.02</v>
      </c>
      <c r="AE50" s="479">
        <v>2728.3899999999994</v>
      </c>
      <c r="AF50" s="479">
        <v>3582.4699999999989</v>
      </c>
      <c r="AG50" s="479">
        <v>4227.3199999999988</v>
      </c>
      <c r="AH50" s="479">
        <v>3111.4099999999989</v>
      </c>
      <c r="AI50" s="479">
        <v>2837.3599999999997</v>
      </c>
      <c r="AJ50" s="479">
        <v>41598.369999999981</v>
      </c>
      <c r="AK50" s="76">
        <f t="shared" si="0"/>
        <v>5802.0499999999975</v>
      </c>
      <c r="AL50" s="483">
        <f t="shared" si="1"/>
        <v>35796.319999999992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143D-AF21-49F5-B30E-B2C40FE280BA}">
  <sheetPr codeName="Feuil12">
    <tabColor theme="4" tint="-0.249977111117893"/>
  </sheetPr>
  <dimension ref="A1:P75"/>
  <sheetViews>
    <sheetView workbookViewId="0">
      <selection activeCell="P21" sqref="P21"/>
    </sheetView>
  </sheetViews>
  <sheetFormatPr baseColWidth="10" defaultColWidth="11.42578125" defaultRowHeight="15" x14ac:dyDescent="0.25"/>
  <cols>
    <col min="4" max="4" width="13" bestFit="1" customWidth="1"/>
    <col min="5" max="5" width="15.5703125" bestFit="1" customWidth="1"/>
    <col min="6" max="6" width="12.85546875" bestFit="1" customWidth="1"/>
    <col min="7" max="8" width="20.5703125" customWidth="1"/>
    <col min="9" max="9" width="22.140625" bestFit="1" customWidth="1"/>
    <col min="11" max="12" width="15.42578125" bestFit="1" customWidth="1"/>
  </cols>
  <sheetData>
    <row r="1" spans="1:16" ht="18.75" x14ac:dyDescent="0.3">
      <c r="A1" s="455" t="s">
        <v>846</v>
      </c>
      <c r="B1" s="455"/>
      <c r="C1" s="455"/>
      <c r="G1" s="72"/>
      <c r="K1" s="72">
        <v>45658</v>
      </c>
      <c r="L1" s="72">
        <v>45703</v>
      </c>
      <c r="M1" s="72">
        <v>46022</v>
      </c>
    </row>
    <row r="3" spans="1:16" x14ac:dyDescent="0.25">
      <c r="A3" s="443"/>
      <c r="B3" s="444" t="s">
        <v>540</v>
      </c>
      <c r="C3" s="443"/>
      <c r="D3" s="111"/>
    </row>
    <row r="4" spans="1:16" x14ac:dyDescent="0.25">
      <c r="A4" s="445"/>
      <c r="B4" s="445"/>
      <c r="C4" s="445"/>
    </row>
    <row r="5" spans="1:16" x14ac:dyDescent="0.25">
      <c r="A5" s="445" t="s">
        <v>366</v>
      </c>
      <c r="B5" s="445" t="s">
        <v>541</v>
      </c>
      <c r="C5" s="445" t="s">
        <v>368</v>
      </c>
      <c r="D5" t="s">
        <v>842</v>
      </c>
      <c r="E5" t="s">
        <v>836</v>
      </c>
      <c r="F5" t="s">
        <v>837</v>
      </c>
      <c r="G5" t="s">
        <v>849</v>
      </c>
      <c r="H5" t="s">
        <v>850</v>
      </c>
      <c r="I5" t="s">
        <v>838</v>
      </c>
      <c r="J5" t="s">
        <v>839</v>
      </c>
      <c r="K5" t="s">
        <v>840</v>
      </c>
      <c r="L5" t="s">
        <v>841</v>
      </c>
    </row>
    <row r="6" spans="1:16" x14ac:dyDescent="0.25">
      <c r="A6" s="445">
        <v>36</v>
      </c>
      <c r="B6" s="445" t="s">
        <v>973</v>
      </c>
      <c r="C6" s="445" t="s">
        <v>974</v>
      </c>
      <c r="D6" t="str">
        <f>VLOOKUP(A6,VALO_PERSO!F:L,7,0)</f>
        <v>Chercheur</v>
      </c>
      <c r="E6" s="72">
        <f>IF(VLOOKUP(A6,VALO_PERSO!$F:$M,8,0)&lt;='Calcul FF'!$K$1,'Calcul FF'!$K$1,VLOOKUP(A6,VALO_PERSO!$F:$M,8,0))</f>
        <v>45658</v>
      </c>
      <c r="F6" s="72">
        <f>IF(ISBLANK(VLOOKUP(A6,VALO_PERSO!$F:$N,9,0)),'Calcul FF'!$M$1,VLOOKUP(A6,VALO_PERSO!$F:$N,9,0))</f>
        <v>46022</v>
      </c>
      <c r="G6" s="460">
        <f>IFERROR(IF(NETWORKDAYS(E6,$L$1)&lt;0,0,NETWORKDAYS(E6,$L$1)),0)</f>
        <v>33</v>
      </c>
      <c r="H6" s="460">
        <f>IFERROR(IF(NETWORKDAYS($L$1,F6)&lt;0,0,NETWORKDAYS($L$1,F6)),0)</f>
        <v>228</v>
      </c>
      <c r="I6" s="76">
        <f>IFERROR(IF(VLOOKUP(A6,VALO_PERSO!F:L,7,0)="jeune docteur",VLOOKUP(A6,VALO_PERSO!F:AZ,47,0)*2*'Calcul FF'!G6/('Calcul FF'!G6+'Calcul FF'!H6),VLOOKUP(A6,VALO_PERSO!F:AZ,47,0)*'Calcul FF'!G6/('Calcul FF'!G6+'Calcul FF'!H6)),0)</f>
        <v>12435.869195402298</v>
      </c>
      <c r="J6" s="76">
        <f>IFERROR(VLOOKUP(A6,VALO_PERSO!F:AZ,47,0)*'Calcul FF'!H6/('Calcul FF'!G6+'Calcul FF'!H6),0)</f>
        <v>85920.550804597689</v>
      </c>
      <c r="K6" s="76">
        <f>IFERROR(IF(D6="jeune docteur",I6,I6*0.43),0)</f>
        <v>5347.4237540229879</v>
      </c>
      <c r="L6" s="76">
        <f>IFERROR(J6*0.4,0)</f>
        <v>34368.220321839079</v>
      </c>
    </row>
    <row r="7" spans="1:16" x14ac:dyDescent="0.25">
      <c r="A7" t="s">
        <v>1399</v>
      </c>
      <c r="B7" t="s">
        <v>1354</v>
      </c>
      <c r="C7" t="s">
        <v>1237</v>
      </c>
      <c r="D7" t="str">
        <f>VLOOKUP(A7,VALO_PERSO!F:L,7,0)</f>
        <v>Profil à risque (acheteur, qualité)</v>
      </c>
      <c r="E7" s="72">
        <f>IF(VLOOKUP(A7,VALO_PERSO!$F:$M,8,0)&lt;='Calcul FF'!$K$1,'Calcul FF'!$K$1,VLOOKUP(A7,VALO_PERSO!$F:$M,8,0))</f>
        <v>45950</v>
      </c>
      <c r="F7" s="72">
        <f>IF(ISBLANK(VLOOKUP(A7,VALO_PERSO!$F:$N,9,0)),'Calcul FF'!$M$1,VLOOKUP(A7,VALO_PERSO!$F:$N,9,0))</f>
        <v>46022</v>
      </c>
      <c r="G7" s="460">
        <f>IFERROR(IF(NETWORKDAYS(E7,$L$1)&lt;0,0,NETWORKDAYS(E7,$L$1)),0)</f>
        <v>0</v>
      </c>
      <c r="H7" s="460">
        <f>IFERROR(IF(NETWORKDAYS($L$1,F7)&lt;0,0,NETWORKDAYS($L$1,F7)),0)</f>
        <v>228</v>
      </c>
      <c r="I7" s="76">
        <f>IFERROR(IF(VLOOKUP(A7,VALO_PERSO!F:L,7,0)="jeune docteur",VLOOKUP(A7,VALO_PERSO!F:AZ,47,0)*2*'Calcul FF'!G7/('Calcul FF'!G7+'Calcul FF'!H7),VLOOKUP(A7,VALO_PERSO!F:AZ,47,0)*'Calcul FF'!G7/('Calcul FF'!G7+'Calcul FF'!H7)),0)</f>
        <v>0</v>
      </c>
      <c r="J7" s="76">
        <f>IFERROR(VLOOKUP(A7,VALO_PERSO!F:AZ,47,0)*'Calcul FF'!H7/('Calcul FF'!G7+'Calcul FF'!H7),0)</f>
        <v>8411.2234752000022</v>
      </c>
      <c r="K7" s="76">
        <f>IFERROR(IF(D7="jeune docteur",I7,I7*0.43),0)</f>
        <v>0</v>
      </c>
      <c r="L7" s="76">
        <f>IFERROR(J7*0.4,0)</f>
        <v>3364.4893900800012</v>
      </c>
    </row>
    <row r="8" spans="1:16" s="456" customFormat="1" x14ac:dyDescent="0.25">
      <c r="B8" s="457"/>
      <c r="C8" s="457"/>
      <c r="D8" s="457"/>
      <c r="E8" s="457"/>
      <c r="F8" s="457"/>
      <c r="G8" s="457"/>
      <c r="H8" s="458" t="s">
        <v>435</v>
      </c>
      <c r="I8" s="459">
        <f>SUM(I6:I7)</f>
        <v>12435.869195402298</v>
      </c>
      <c r="J8" s="459">
        <f>SUM(J6:J7)</f>
        <v>94331.774279797697</v>
      </c>
      <c r="K8" s="459">
        <f>SUM(K6:K7)</f>
        <v>5347.4237540229879</v>
      </c>
      <c r="L8" s="459">
        <f>SUM(L6:L7)</f>
        <v>37732.70971191908</v>
      </c>
    </row>
    <row r="9" spans="1:16" x14ac:dyDescent="0.25">
      <c r="A9" s="445"/>
      <c r="B9" s="445"/>
      <c r="C9" s="445"/>
      <c r="E9" s="72"/>
      <c r="F9" s="72"/>
    </row>
    <row r="10" spans="1:16" x14ac:dyDescent="0.25">
      <c r="A10" s="445"/>
      <c r="B10" s="445"/>
      <c r="C10" s="445"/>
      <c r="E10" s="72"/>
      <c r="F10" s="72"/>
    </row>
    <row r="11" spans="1:16" x14ac:dyDescent="0.25">
      <c r="A11" s="445"/>
      <c r="B11" s="445"/>
      <c r="C11" s="445"/>
      <c r="E11" s="72"/>
      <c r="F11" s="72"/>
    </row>
    <row r="12" spans="1:16" x14ac:dyDescent="0.25">
      <c r="A12" s="445"/>
      <c r="B12" s="445"/>
      <c r="C12" s="445"/>
      <c r="E12" s="72"/>
      <c r="F12" s="72"/>
    </row>
    <row r="14" spans="1:16" x14ac:dyDescent="0.25">
      <c r="P14" t="s">
        <v>845</v>
      </c>
    </row>
    <row r="15" spans="1:16" x14ac:dyDescent="0.25">
      <c r="N15" t="s">
        <v>843</v>
      </c>
      <c r="O15" s="76">
        <f>SUMIF(D:D,"jeune docteur",I:I)</f>
        <v>0</v>
      </c>
      <c r="P15" t="b">
        <f>O15/2+O16=VALO_PERSO!AZ50</f>
        <v>1</v>
      </c>
    </row>
    <row r="16" spans="1:16" x14ac:dyDescent="0.25">
      <c r="N16" t="s">
        <v>844</v>
      </c>
      <c r="O16" s="76">
        <f>I75+I8-O15+J8+J75</f>
        <v>2048200.6980022721</v>
      </c>
    </row>
    <row r="17" spans="1:16" ht="18.75" x14ac:dyDescent="0.3">
      <c r="A17" s="455" t="s">
        <v>847</v>
      </c>
    </row>
    <row r="20" spans="1:16" x14ac:dyDescent="0.25">
      <c r="A20" s="445" t="s">
        <v>366</v>
      </c>
      <c r="B20" s="445" t="s">
        <v>541</v>
      </c>
      <c r="C20" s="445" t="s">
        <v>368</v>
      </c>
      <c r="D20" t="s">
        <v>842</v>
      </c>
      <c r="E20" t="s">
        <v>836</v>
      </c>
      <c r="F20" t="s">
        <v>837</v>
      </c>
      <c r="G20" t="s">
        <v>848</v>
      </c>
      <c r="H20" t="s">
        <v>851</v>
      </c>
      <c r="I20" t="s">
        <v>838</v>
      </c>
      <c r="J20" t="s">
        <v>839</v>
      </c>
      <c r="K20" t="s">
        <v>840</v>
      </c>
      <c r="L20" t="s">
        <v>841</v>
      </c>
    </row>
    <row r="21" spans="1:16" x14ac:dyDescent="0.25">
      <c r="A21" s="445">
        <v>1</v>
      </c>
      <c r="B21" s="445" t="s">
        <v>1179</v>
      </c>
      <c r="C21" s="445" t="s">
        <v>875</v>
      </c>
      <c r="D21" t="str">
        <f>VLOOKUP(A21,VALO_PERSO!F:L,7,0)</f>
        <v>Chercheur</v>
      </c>
      <c r="E21" s="72">
        <f>IF(VLOOKUP(A21,VALO_PERSO!$F:$M,8,0)&lt;='Calcul FF'!$K$1,'Calcul FF'!$K$1,VLOOKUP(A21,VALO_PERSO!$F:$M,8,0))</f>
        <v>45658</v>
      </c>
      <c r="F21" s="72">
        <f>IF(ISBLANK(VLOOKUP(A21,VALO_PERSO!$F:$N,9,0)),'Calcul FF'!$M$1,VLOOKUP(A21,VALO_PERSO!$F:$N,9,0))</f>
        <v>46022</v>
      </c>
      <c r="G21" s="76">
        <f>VLOOKUP(A21,FF!A:AL,37,0)</f>
        <v>193.7999999999999</v>
      </c>
      <c r="H21" s="76">
        <f>VLOOKUP(A21,FF!A:AL,38,0)</f>
        <v>1287.5199999999995</v>
      </c>
      <c r="I21" s="76">
        <f>IFERROR(IF(VLOOKUP(A21,VALO_PERSO!F:L,7,0)="jeune docteur",VLOOKUP(A21,VALO_PERSO!F:AZ,VALO_PERSO!$AZ$2,0)*2*'Calcul FF'!G21/('Calcul FF'!G21+'Calcul FF'!H21),VLOOKUP(A21,VALO_PERSO!F:AZ,VALO_PERSO!$AZ$2,0)*'Calcul FF'!G21/('Calcul FF'!G21+'Calcul FF'!H21)),0)</f>
        <v>9915.9074652285071</v>
      </c>
      <c r="J21" s="76">
        <f>IFERROR(VLOOKUP(A21,VALO_PERSO!F:AZ,VALO_PERSO!$AZ$2,0)*'Calcul FF'!H21/('Calcul FF'!G21+'Calcul FF'!H21),0)</f>
        <v>65876.827552275601</v>
      </c>
      <c r="K21" s="76">
        <f>IFERROR(IF(D21="jeune docteur",I21,I21*0.43),0)</f>
        <v>4263.8402100482581</v>
      </c>
      <c r="L21" s="76">
        <f>IFERROR(J21*0.4,0)</f>
        <v>26350.731020910243</v>
      </c>
      <c r="N21" s="148">
        <f>I21+J21</f>
        <v>75792.735017504107</v>
      </c>
      <c r="O21" s="76">
        <f>VLOOKUP(A21,VALO_PERSO!F:AZ,47,0)</f>
        <v>75792.735017504107</v>
      </c>
      <c r="P21" t="b">
        <f>N21=O21</f>
        <v>1</v>
      </c>
    </row>
    <row r="22" spans="1:16" x14ac:dyDescent="0.25">
      <c r="A22" s="445">
        <v>3</v>
      </c>
      <c r="B22" s="445" t="s">
        <v>1180</v>
      </c>
      <c r="C22" s="445" t="s">
        <v>1181</v>
      </c>
      <c r="D22" t="e">
        <f>VLOOKUP(A22,VALO_PERSO!F:L,7,0)</f>
        <v>#N/A</v>
      </c>
      <c r="E22" s="72" t="e">
        <f>IF(VLOOKUP(A22,VALO_PERSO!$F:$M,8,0)&lt;='Calcul FF'!$K$1,'Calcul FF'!$K$1,VLOOKUP(A22,VALO_PERSO!$F:$M,8,0))</f>
        <v>#N/A</v>
      </c>
      <c r="F22" s="72" t="e">
        <f>IF(ISBLANK(VLOOKUP(A22,VALO_PERSO!$F:$N,9,0)),'Calcul FF'!$M$1,VLOOKUP(A22,VALO_PERSO!$F:$N,9,0))</f>
        <v>#N/A</v>
      </c>
      <c r="G22" s="76"/>
      <c r="H22" s="76"/>
      <c r="I22" s="76">
        <f>IFERROR(IF(VLOOKUP(A22,VALO_PERSO!F:L,7,0)="jeune docteur",VLOOKUP(A22,VALO_PERSO!F:AZ,VALO_PERSO!$AZ$2,0)*2*'Calcul FF'!G22/('Calcul FF'!G22+'Calcul FF'!H22),VLOOKUP(A22,VALO_PERSO!F:AZ,VALO_PERSO!$AZ$2,0)*'Calcul FF'!G22/('Calcul FF'!G22+'Calcul FF'!H22)),0)</f>
        <v>0</v>
      </c>
      <c r="J22" s="76">
        <f>IFERROR(VLOOKUP(A22,VALO_PERSO!F:AZ,VALO_PERSO!$AZ$2,0)*'Calcul FF'!H22/('Calcul FF'!G22+'Calcul FF'!H22),0)</f>
        <v>0</v>
      </c>
      <c r="K22" s="76">
        <f t="shared" ref="K22:K73" si="0">IFERROR(IF(D22="jeune docteur",I22,I22*0.43),0)</f>
        <v>0</v>
      </c>
      <c r="L22" s="76">
        <f t="shared" ref="L22:L73" si="1">IFERROR(J22*0.4,0)</f>
        <v>0</v>
      </c>
      <c r="N22" s="148">
        <f t="shared" ref="N22:N73" si="2">I22+J22</f>
        <v>0</v>
      </c>
      <c r="O22" s="76" t="e">
        <f>VLOOKUP(A22,VALO_PERSO!F:AZ,47,0)</f>
        <v>#N/A</v>
      </c>
      <c r="P22" t="e">
        <f t="shared" ref="P22:P73" si="3">N22=O22</f>
        <v>#N/A</v>
      </c>
    </row>
    <row r="23" spans="1:16" x14ac:dyDescent="0.25">
      <c r="A23" s="445">
        <v>4</v>
      </c>
      <c r="B23" s="445" t="s">
        <v>1182</v>
      </c>
      <c r="C23" s="445" t="s">
        <v>880</v>
      </c>
      <c r="D23" t="str">
        <f>VLOOKUP(A23,VALO_PERSO!F:L,7,0)</f>
        <v>Chercheur</v>
      </c>
      <c r="E23" s="72">
        <f>IF(VLOOKUP(A23,VALO_PERSO!$F:$M,8,0)&lt;='Calcul FF'!$K$1,'Calcul FF'!$K$1,VLOOKUP(A23,VALO_PERSO!$F:$M,8,0))</f>
        <v>45658</v>
      </c>
      <c r="F23" s="72">
        <f>IF(ISBLANK(VLOOKUP(A23,VALO_PERSO!$F:$N,9,0)),'Calcul FF'!$M$1,VLOOKUP(A23,VALO_PERSO!$F:$N,9,0))</f>
        <v>46022</v>
      </c>
      <c r="G23" s="76">
        <f>VLOOKUP(A23,FF!A:AL,37,0)</f>
        <v>220.39999999999992</v>
      </c>
      <c r="H23" s="76">
        <f>VLOOKUP(A23,FF!A:AL,38,0)</f>
        <v>1310.9999999999995</v>
      </c>
      <c r="I23" s="76">
        <f>IFERROR(IF(VLOOKUP(A23,VALO_PERSO!F:L,7,0)="jeune docteur",VLOOKUP(A23,VALO_PERSO!F:AZ,VALO_PERSO!$AZ$2,0)*2*'Calcul FF'!G23/('Calcul FF'!G23+'Calcul FF'!H23),VLOOKUP(A23,VALO_PERSO!F:AZ,VALO_PERSO!$AZ$2,0)*'Calcul FF'!G23/('Calcul FF'!G23+'Calcul FF'!H23)),0)</f>
        <v>12675.688669000519</v>
      </c>
      <c r="J23" s="76">
        <f>IFERROR(VLOOKUP(A23,VALO_PERSO!F:AZ,VALO_PERSO!$AZ$2,0)*'Calcul FF'!H23/('Calcul FF'!G23+'Calcul FF'!H23),0)</f>
        <v>75398.492944916899</v>
      </c>
      <c r="K23" s="76">
        <f t="shared" si="0"/>
        <v>5450.5461276702235</v>
      </c>
      <c r="L23" s="76">
        <f t="shared" si="1"/>
        <v>30159.397177966763</v>
      </c>
      <c r="N23" s="148">
        <f t="shared" si="2"/>
        <v>88074.181613917419</v>
      </c>
      <c r="O23" s="76">
        <f>VLOOKUP(A23,VALO_PERSO!F:AZ,47,0)</f>
        <v>88074.181613917404</v>
      </c>
      <c r="P23" t="b">
        <f t="shared" si="3"/>
        <v>1</v>
      </c>
    </row>
    <row r="24" spans="1:16" x14ac:dyDescent="0.25">
      <c r="A24" s="445">
        <v>5</v>
      </c>
      <c r="B24" s="445" t="s">
        <v>883</v>
      </c>
      <c r="C24" s="445" t="s">
        <v>884</v>
      </c>
      <c r="D24" t="str">
        <f>VLOOKUP(A24,VALO_PERSO!F:L,7,0)</f>
        <v>Chercheur</v>
      </c>
      <c r="E24" s="72">
        <f>IF(VLOOKUP(A24,VALO_PERSO!$F:$M,8,0)&lt;='Calcul FF'!$K$1,'Calcul FF'!$K$1,VLOOKUP(A24,VALO_PERSO!$F:$M,8,0))</f>
        <v>45658</v>
      </c>
      <c r="F24" s="72">
        <f>IF(ISBLANK(VLOOKUP(A24,VALO_PERSO!$F:$N,9,0)),'Calcul FF'!$M$1,VLOOKUP(A24,VALO_PERSO!$F:$N,9,0))</f>
        <v>46022</v>
      </c>
      <c r="G24" s="76">
        <f>VLOOKUP(A24,FF!A:AL,37,0)</f>
        <v>91.200000000000017</v>
      </c>
      <c r="H24" s="76">
        <f>VLOOKUP(A24,FF!A:AL,38,0)</f>
        <v>167.20000000000005</v>
      </c>
      <c r="I24" s="76">
        <f>IFERROR(IF(VLOOKUP(A24,VALO_PERSO!F:L,7,0)="jeune docteur",VLOOKUP(A24,VALO_PERSO!F:AZ,VALO_PERSO!$AZ$2,0)*2*'Calcul FF'!G24/('Calcul FF'!G24+'Calcul FF'!H24),VLOOKUP(A24,VALO_PERSO!F:AZ,VALO_PERSO!$AZ$2,0)*'Calcul FF'!G24/('Calcul FF'!G24+'Calcul FF'!H24)),0)</f>
        <v>27304.400470588236</v>
      </c>
      <c r="J24" s="76">
        <f>IFERROR(VLOOKUP(A24,VALO_PERSO!F:AZ,VALO_PERSO!$AZ$2,0)*'Calcul FF'!H24/('Calcul FF'!G24+'Calcul FF'!H24),0)</f>
        <v>50058.067529411775</v>
      </c>
      <c r="K24" s="76">
        <f t="shared" si="0"/>
        <v>11740.892202352941</v>
      </c>
      <c r="L24" s="76">
        <f t="shared" si="1"/>
        <v>20023.227011764713</v>
      </c>
      <c r="N24" s="148">
        <f t="shared" si="2"/>
        <v>77362.468000000008</v>
      </c>
      <c r="O24" s="76">
        <f>VLOOKUP(A24,VALO_PERSO!F:AZ,47,0)</f>
        <v>77362.468000000023</v>
      </c>
      <c r="P24" t="b">
        <f t="shared" si="3"/>
        <v>1</v>
      </c>
    </row>
    <row r="25" spans="1:16" x14ac:dyDescent="0.25">
      <c r="A25" s="445">
        <v>6</v>
      </c>
      <c r="B25" s="445" t="s">
        <v>888</v>
      </c>
      <c r="C25" s="445" t="s">
        <v>889</v>
      </c>
      <c r="D25" t="str">
        <f>VLOOKUP(A25,VALO_PERSO!F:L,7,0)</f>
        <v>Chercheur</v>
      </c>
      <c r="E25" s="72">
        <f>IF(VLOOKUP(A25,VALO_PERSO!$F:$M,8,0)&lt;='Calcul FF'!$K$1,'Calcul FF'!$K$1,VLOOKUP(A25,VALO_PERSO!$F:$M,8,0))</f>
        <v>45658</v>
      </c>
      <c r="F25" s="72">
        <f>IF(ISBLANK(VLOOKUP(A25,VALO_PERSO!$F:$N,9,0)),'Calcul FF'!$M$1,VLOOKUP(A25,VALO_PERSO!$F:$N,9,0))</f>
        <v>46022</v>
      </c>
      <c r="G25" s="76">
        <f>VLOOKUP(A25,FF!A:AL,37,0)</f>
        <v>102.59999999999998</v>
      </c>
      <c r="H25" s="76">
        <f>VLOOKUP(A25,FF!A:AL,38,0)</f>
        <v>1056.3999999999999</v>
      </c>
      <c r="I25" s="76">
        <f>IFERROR(IF(VLOOKUP(A25,VALO_PERSO!F:L,7,0)="jeune docteur",VLOOKUP(A25,VALO_PERSO!F:AZ,VALO_PERSO!$AZ$2,0)*2*'Calcul FF'!G25/('Calcul FF'!G25+'Calcul FF'!H25),VLOOKUP(A25,VALO_PERSO!F:AZ,VALO_PERSO!$AZ$2,0)*'Calcul FF'!G25/('Calcul FF'!G25+'Calcul FF'!H25)),0)</f>
        <v>5639.4779258536746</v>
      </c>
      <c r="J25" s="76">
        <f>IFERROR(VLOOKUP(A25,VALO_PERSO!F:AZ,VALO_PERSO!$AZ$2,0)*'Calcul FF'!H25/('Calcul FF'!G25+'Calcul FF'!H25),0)</f>
        <v>58065.735681011909</v>
      </c>
      <c r="K25" s="76">
        <f t="shared" si="0"/>
        <v>2424.9755081170802</v>
      </c>
      <c r="L25" s="76">
        <f t="shared" si="1"/>
        <v>23226.294272404764</v>
      </c>
      <c r="N25" s="148">
        <f t="shared" si="2"/>
        <v>63705.213606865582</v>
      </c>
      <c r="O25" s="76">
        <f>VLOOKUP(A25,VALO_PERSO!F:AZ,47,0)</f>
        <v>63705.213606865582</v>
      </c>
      <c r="P25" t="b">
        <f t="shared" si="3"/>
        <v>1</v>
      </c>
    </row>
    <row r="26" spans="1:16" x14ac:dyDescent="0.25">
      <c r="A26" s="445">
        <v>7</v>
      </c>
      <c r="B26" s="445" t="s">
        <v>892</v>
      </c>
      <c r="C26" s="445" t="s">
        <v>893</v>
      </c>
      <c r="D26" t="str">
        <f>VLOOKUP(A26,VALO_PERSO!F:L,7,0)</f>
        <v>Chercheur</v>
      </c>
      <c r="E26" s="72">
        <f>IF(VLOOKUP(A26,VALO_PERSO!$F:$M,8,0)&lt;='Calcul FF'!$K$1,'Calcul FF'!$K$1,VLOOKUP(A26,VALO_PERSO!$F:$M,8,0))</f>
        <v>45658</v>
      </c>
      <c r="F26" s="72">
        <f>IF(ISBLANK(VLOOKUP(A26,VALO_PERSO!$F:$N,9,0)),'Calcul FF'!$M$1,VLOOKUP(A26,VALO_PERSO!$F:$N,9,0))</f>
        <v>46022</v>
      </c>
      <c r="G26" s="76">
        <f>VLOOKUP(A26,FF!A:AL,37,0)</f>
        <v>132.99999999999994</v>
      </c>
      <c r="H26" s="76">
        <f>VLOOKUP(A26,FF!A:AL,38,0)</f>
        <v>976.5999999999998</v>
      </c>
      <c r="I26" s="76">
        <f>IFERROR(IF(VLOOKUP(A26,VALO_PERSO!F:L,7,0)="jeune docteur",VLOOKUP(A26,VALO_PERSO!F:AZ,VALO_PERSO!$AZ$2,0)*2*'Calcul FF'!G26/('Calcul FF'!G26+'Calcul FF'!H26),VLOOKUP(A26,VALO_PERSO!F:AZ,VALO_PERSO!$AZ$2,0)*'Calcul FF'!G26/('Calcul FF'!G26+'Calcul FF'!H26)),0)</f>
        <v>7135.4946763357775</v>
      </c>
      <c r="J26" s="76">
        <f>IFERROR(VLOOKUP(A26,VALO_PERSO!F:AZ,VALO_PERSO!$AZ$2,0)*'Calcul FF'!H26/('Calcul FF'!G26+'Calcul FF'!H26),0)</f>
        <v>52394.918051951296</v>
      </c>
      <c r="K26" s="76">
        <f t="shared" si="0"/>
        <v>3068.2627108243842</v>
      </c>
      <c r="L26" s="76">
        <f t="shared" si="1"/>
        <v>20957.96722078052</v>
      </c>
      <c r="N26" s="148">
        <f t="shared" si="2"/>
        <v>59530.412728287076</v>
      </c>
      <c r="O26" s="76">
        <f>VLOOKUP(A26,VALO_PERSO!F:AZ,47,0)</f>
        <v>59530.412728287069</v>
      </c>
      <c r="P26" t="b">
        <f t="shared" si="3"/>
        <v>1</v>
      </c>
    </row>
    <row r="27" spans="1:16" x14ac:dyDescent="0.25">
      <c r="A27" s="445">
        <v>8</v>
      </c>
      <c r="B27" s="445" t="s">
        <v>1183</v>
      </c>
      <c r="C27" s="445" t="s">
        <v>897</v>
      </c>
      <c r="D27" t="str">
        <f>VLOOKUP(A27,VALO_PERSO!F:L,7,0)</f>
        <v>Chercheur</v>
      </c>
      <c r="E27" s="72">
        <f>IF(VLOOKUP(A27,VALO_PERSO!$F:$M,8,0)&lt;='Calcul FF'!$K$1,'Calcul FF'!$K$1,VLOOKUP(A27,VALO_PERSO!$F:$M,8,0))</f>
        <v>45658</v>
      </c>
      <c r="F27" s="72">
        <f>IF(ISBLANK(VLOOKUP(A27,VALO_PERSO!$F:$N,9,0)),'Calcul FF'!$M$1,VLOOKUP(A27,VALO_PERSO!$F:$N,9,0))</f>
        <v>46022</v>
      </c>
      <c r="G27" s="76">
        <f>VLOOKUP(A27,FF!A:AL,37,0)</f>
        <v>208.99999999999991</v>
      </c>
      <c r="H27" s="76">
        <f>VLOOKUP(A27,FF!A:AL,38,0)</f>
        <v>1341.3999999999996</v>
      </c>
      <c r="I27" s="76">
        <f>IFERROR(IF(VLOOKUP(A27,VALO_PERSO!F:L,7,0)="jeune docteur",VLOOKUP(A27,VALO_PERSO!F:AZ,VALO_PERSO!$AZ$2,0)*2*'Calcul FF'!G27/('Calcul FF'!G27+'Calcul FF'!H27),VLOOKUP(A27,VALO_PERSO!F:AZ,VALO_PERSO!$AZ$2,0)*'Calcul FF'!G27/('Calcul FF'!G27+'Calcul FF'!H27)),0)</f>
        <v>10857.272756632605</v>
      </c>
      <c r="J27" s="76">
        <f>IFERROR(VLOOKUP(A27,VALO_PERSO!F:AZ,VALO_PERSO!$AZ$2,0)*'Calcul FF'!H27/('Calcul FF'!G27+'Calcul FF'!H27),0)</f>
        <v>69683.950601660181</v>
      </c>
      <c r="K27" s="76">
        <f t="shared" si="0"/>
        <v>4668.6272853520204</v>
      </c>
      <c r="L27" s="76">
        <f t="shared" si="1"/>
        <v>27873.580240664072</v>
      </c>
      <c r="N27" s="148">
        <f t="shared" si="2"/>
        <v>80541.223358292787</v>
      </c>
      <c r="O27" s="76">
        <f>VLOOKUP(A27,VALO_PERSO!F:AZ,47,0)</f>
        <v>80541.223358292787</v>
      </c>
      <c r="P27" t="b">
        <f t="shared" si="3"/>
        <v>1</v>
      </c>
    </row>
    <row r="28" spans="1:16" x14ac:dyDescent="0.25">
      <c r="A28" s="445">
        <v>11</v>
      </c>
      <c r="B28" s="445" t="s">
        <v>900</v>
      </c>
      <c r="C28" s="445" t="s">
        <v>901</v>
      </c>
      <c r="D28" t="str">
        <f>VLOOKUP(A28,VALO_PERSO!F:L,7,0)</f>
        <v>Chercheur</v>
      </c>
      <c r="E28" s="72">
        <f>IF(VLOOKUP(A28,VALO_PERSO!$F:$M,8,0)&lt;='Calcul FF'!$K$1,'Calcul FF'!$K$1,VLOOKUP(A28,VALO_PERSO!$F:$M,8,0))</f>
        <v>45658</v>
      </c>
      <c r="F28" s="72">
        <f>IF(ISBLANK(VLOOKUP(A28,VALO_PERSO!$F:$N,9,0)),'Calcul FF'!$M$1,VLOOKUP(A28,VALO_PERSO!$F:$N,9,0))</f>
        <v>46022</v>
      </c>
      <c r="G28" s="76">
        <f>VLOOKUP(A28,FF!A:AL,37,0)</f>
        <v>189.99999999999991</v>
      </c>
      <c r="H28" s="76">
        <f>VLOOKUP(A28,FF!A:AL,38,0)</f>
        <v>847.39999999999964</v>
      </c>
      <c r="I28" s="76">
        <f>IFERROR(IF(VLOOKUP(A28,VALO_PERSO!F:L,7,0)="jeune docteur",VLOOKUP(A28,VALO_PERSO!F:AZ,VALO_PERSO!$AZ$2,0)*2*'Calcul FF'!G28/('Calcul FF'!G28+'Calcul FF'!H28),VLOOKUP(A28,VALO_PERSO!F:AZ,VALO_PERSO!$AZ$2,0)*'Calcul FF'!G28/('Calcul FF'!G28+'Calcul FF'!H28)),0)</f>
        <v>11855.330931489363</v>
      </c>
      <c r="J28" s="76">
        <f>IFERROR(VLOOKUP(A28,VALO_PERSO!F:AZ,VALO_PERSO!$AZ$2,0)*'Calcul FF'!H28/('Calcul FF'!G28+'Calcul FF'!H28),0)</f>
        <v>52874.775954442557</v>
      </c>
      <c r="K28" s="76">
        <f t="shared" si="0"/>
        <v>5097.7923005404264</v>
      </c>
      <c r="L28" s="76">
        <f t="shared" si="1"/>
        <v>21149.910381777023</v>
      </c>
      <c r="N28" s="148">
        <f t="shared" si="2"/>
        <v>64730.10688593192</v>
      </c>
      <c r="O28" s="76">
        <f>VLOOKUP(A28,VALO_PERSO!F:AZ,47,0)</f>
        <v>64730.10688593192</v>
      </c>
      <c r="P28" t="b">
        <f t="shared" si="3"/>
        <v>1</v>
      </c>
    </row>
    <row r="29" spans="1:16" x14ac:dyDescent="0.25">
      <c r="A29" s="445">
        <v>12</v>
      </c>
      <c r="B29" s="445" t="s">
        <v>905</v>
      </c>
      <c r="C29" s="445" t="s">
        <v>906</v>
      </c>
      <c r="D29" t="str">
        <f>VLOOKUP(A29,VALO_PERSO!F:L,7,0)</f>
        <v>Technicien</v>
      </c>
      <c r="E29" s="72">
        <f>IF(VLOOKUP(A29,VALO_PERSO!$F:$M,8,0)&lt;='Calcul FF'!$K$1,'Calcul FF'!$K$1,VLOOKUP(A29,VALO_PERSO!$F:$M,8,0))</f>
        <v>45658</v>
      </c>
      <c r="F29" s="72">
        <f>IF(ISBLANK(VLOOKUP(A29,VALO_PERSO!$F:$N,9,0)),'Calcul FF'!$M$1,VLOOKUP(A29,VALO_PERSO!$F:$N,9,0))</f>
        <v>46022</v>
      </c>
      <c r="G29" s="76">
        <f>VLOOKUP(A29,FF!A:AL,37,0)</f>
        <v>221.74999999999994</v>
      </c>
      <c r="H29" s="76">
        <f>VLOOKUP(A29,FF!A:AL,38,0)</f>
        <v>1376.8399999999997</v>
      </c>
      <c r="I29" s="76">
        <f>IFERROR(IF(VLOOKUP(A29,VALO_PERSO!F:L,7,0)="jeune docteur",VLOOKUP(A29,VALO_PERSO!F:AZ,VALO_PERSO!$AZ$2,0)*2*'Calcul FF'!G29/('Calcul FF'!G29+'Calcul FF'!H29),VLOOKUP(A29,VALO_PERSO!F:AZ,VALO_PERSO!$AZ$2,0)*'Calcul FF'!G29/('Calcul FF'!G29+'Calcul FF'!H29)),0)</f>
        <v>6991.5803184194401</v>
      </c>
      <c r="J29" s="76">
        <f>IFERROR(VLOOKUP(A29,VALO_PERSO!F:AZ,VALO_PERSO!$AZ$2,0)*'Calcul FF'!H29/('Calcul FF'!G29+'Calcul FF'!H29),0)</f>
        <v>43410.540904679248</v>
      </c>
      <c r="K29" s="76">
        <f t="shared" si="0"/>
        <v>3006.379536920359</v>
      </c>
      <c r="L29" s="76">
        <f t="shared" si="1"/>
        <v>17364.216361871699</v>
      </c>
      <c r="N29" s="148">
        <f t="shared" si="2"/>
        <v>50402.121223098686</v>
      </c>
      <c r="O29" s="76">
        <f>VLOOKUP(A29,VALO_PERSO!F:AZ,47,0)</f>
        <v>50402.121223098686</v>
      </c>
      <c r="P29" t="b">
        <f t="shared" si="3"/>
        <v>1</v>
      </c>
    </row>
    <row r="30" spans="1:16" x14ac:dyDescent="0.25">
      <c r="A30" s="445">
        <v>13</v>
      </c>
      <c r="B30" s="445" t="s">
        <v>910</v>
      </c>
      <c r="C30" s="445" t="s">
        <v>911</v>
      </c>
      <c r="D30" t="str">
        <f>VLOOKUP(A30,VALO_PERSO!F:L,7,0)</f>
        <v>Chercheur</v>
      </c>
      <c r="E30" s="72">
        <f>IF(VLOOKUP(A30,VALO_PERSO!$F:$M,8,0)&lt;='Calcul FF'!$K$1,'Calcul FF'!$K$1,VLOOKUP(A30,VALO_PERSO!$F:$M,8,0))</f>
        <v>45658</v>
      </c>
      <c r="F30" s="72">
        <f>IF(ISBLANK(VLOOKUP(A30,VALO_PERSO!$F:$N,9,0)),'Calcul FF'!$M$1,VLOOKUP(A30,VALO_PERSO!$F:$N,9,0))</f>
        <v>46022</v>
      </c>
      <c r="G30" s="76">
        <f>VLOOKUP(A30,FF!A:AL,37,0)</f>
        <v>7.6</v>
      </c>
      <c r="H30" s="76">
        <f>VLOOKUP(A30,FF!A:AL,38,0)</f>
        <v>1276.7099999999998</v>
      </c>
      <c r="I30" s="76">
        <f>IFERROR(IF(VLOOKUP(A30,VALO_PERSO!F:L,7,0)="jeune docteur",VLOOKUP(A30,VALO_PERSO!F:AZ,VALO_PERSO!$AZ$2,0)*2*'Calcul FF'!G30/('Calcul FF'!G30+'Calcul FF'!H30),VLOOKUP(A30,VALO_PERSO!F:AZ,VALO_PERSO!$AZ$2,0)*'Calcul FF'!G30/('Calcul FF'!G30+'Calcul FF'!H30)),0)</f>
        <v>388.68609523624434</v>
      </c>
      <c r="J30" s="76">
        <f>IFERROR(VLOOKUP(A30,VALO_PERSO!F:AZ,VALO_PERSO!$AZ$2,0)*'Calcul FF'!H30/('Calcul FF'!G30+'Calcul FF'!H30),0)</f>
        <v>65294.661138034928</v>
      </c>
      <c r="K30" s="76">
        <f t="shared" si="0"/>
        <v>167.13502095158506</v>
      </c>
      <c r="L30" s="76">
        <f t="shared" si="1"/>
        <v>26117.864455213974</v>
      </c>
      <c r="N30" s="148">
        <f t="shared" si="2"/>
        <v>65683.347233271168</v>
      </c>
      <c r="O30" s="76">
        <f>VLOOKUP(A30,VALO_PERSO!F:AZ,47,0)</f>
        <v>65683.347233271168</v>
      </c>
      <c r="P30" t="b">
        <f t="shared" si="3"/>
        <v>1</v>
      </c>
    </row>
    <row r="31" spans="1:16" x14ac:dyDescent="0.25">
      <c r="A31" s="445">
        <v>14</v>
      </c>
      <c r="B31" s="445" t="s">
        <v>915</v>
      </c>
      <c r="C31" s="445" t="s">
        <v>916</v>
      </c>
      <c r="D31" t="str">
        <f>VLOOKUP(A31,VALO_PERSO!F:L,7,0)</f>
        <v>Chercheur</v>
      </c>
      <c r="E31" s="72">
        <f>IF(VLOOKUP(A31,VALO_PERSO!$F:$M,8,0)&lt;='Calcul FF'!$K$1,'Calcul FF'!$K$1,VLOOKUP(A31,VALO_PERSO!$F:$M,8,0))</f>
        <v>45658</v>
      </c>
      <c r="F31" s="72">
        <f>IF(ISBLANK(VLOOKUP(A31,VALO_PERSO!$F:$N,9,0)),'Calcul FF'!$M$1,VLOOKUP(A31,VALO_PERSO!$F:$N,9,0))</f>
        <v>46022</v>
      </c>
      <c r="G31" s="76">
        <f>VLOOKUP(A31,FF!A:AL,37,0)</f>
        <v>182.39999999999992</v>
      </c>
      <c r="H31" s="76">
        <f>VLOOKUP(A31,FF!A:AL,38,0)</f>
        <v>794.19999999999982</v>
      </c>
      <c r="I31" s="76">
        <f>IFERROR(IF(VLOOKUP(A31,VALO_PERSO!F:L,7,0)="jeune docteur",VLOOKUP(A31,VALO_PERSO!F:AZ,VALO_PERSO!$AZ$2,0)*2*'Calcul FF'!G31/('Calcul FF'!G31+'Calcul FF'!H31),VLOOKUP(A31,VALO_PERSO!F:AZ,VALO_PERSO!$AZ$2,0)*'Calcul FF'!G31/('Calcul FF'!G31+'Calcul FF'!H31)),0)</f>
        <v>11446.840762412401</v>
      </c>
      <c r="J31" s="76">
        <f>IFERROR(VLOOKUP(A31,VALO_PERSO!F:AZ,VALO_PERSO!$AZ$2,0)*'Calcul FF'!H31/('Calcul FF'!G31+'Calcul FF'!H31),0)</f>
        <v>49841.452486337337</v>
      </c>
      <c r="K31" s="76">
        <f t="shared" si="0"/>
        <v>4922.1415278373324</v>
      </c>
      <c r="L31" s="76">
        <f t="shared" si="1"/>
        <v>19936.580994534936</v>
      </c>
      <c r="N31" s="148">
        <f t="shared" si="2"/>
        <v>61288.293248749738</v>
      </c>
      <c r="O31" s="76">
        <f>VLOOKUP(A31,VALO_PERSO!F:AZ,47,0)</f>
        <v>61288.293248749731</v>
      </c>
      <c r="P31" t="b">
        <f t="shared" si="3"/>
        <v>1</v>
      </c>
    </row>
    <row r="32" spans="1:16" x14ac:dyDescent="0.25">
      <c r="A32" s="445">
        <v>16</v>
      </c>
      <c r="B32" s="445" t="s">
        <v>1184</v>
      </c>
      <c r="C32" s="445" t="s">
        <v>920</v>
      </c>
      <c r="D32" t="str">
        <f>VLOOKUP(A32,VALO_PERSO!F:L,7,0)</f>
        <v>Chercheur</v>
      </c>
      <c r="E32" s="72">
        <f>IF(VLOOKUP(A32,VALO_PERSO!$F:$M,8,0)&lt;='Calcul FF'!$K$1,'Calcul FF'!$K$1,VLOOKUP(A32,VALO_PERSO!$F:$M,8,0))</f>
        <v>45658</v>
      </c>
      <c r="F32" s="72">
        <f>IF(ISBLANK(VLOOKUP(A32,VALO_PERSO!$F:$N,9,0)),'Calcul FF'!$M$1,VLOOKUP(A32,VALO_PERSO!$F:$N,9,0))</f>
        <v>46022</v>
      </c>
      <c r="G32" s="76">
        <f>VLOOKUP(A32,FF!A:AL,37,0)</f>
        <v>174.79999999999995</v>
      </c>
      <c r="H32" s="76">
        <f>VLOOKUP(A32,FF!A:AL,38,0)</f>
        <v>1337.5999999999995</v>
      </c>
      <c r="I32" s="76">
        <f>IFERROR(IF(VLOOKUP(A32,VALO_PERSO!F:L,7,0)="jeune docteur",VLOOKUP(A32,VALO_PERSO!F:AZ,VALO_PERSO!$AZ$2,0)*2*'Calcul FF'!G32/('Calcul FF'!G32+'Calcul FF'!H32),VLOOKUP(A32,VALO_PERSO!F:AZ,VALO_PERSO!$AZ$2,0)*'Calcul FF'!G32/('Calcul FF'!G32+'Calcul FF'!H32)),0)</f>
        <v>8578.5919523456196</v>
      </c>
      <c r="J32" s="76">
        <f>IFERROR(VLOOKUP(A32,VALO_PERSO!F:AZ,VALO_PERSO!$AZ$2,0)*'Calcul FF'!H32/('Calcul FF'!G32+'Calcul FF'!H32),0)</f>
        <v>65644.877548383854</v>
      </c>
      <c r="K32" s="76">
        <f t="shared" si="0"/>
        <v>3688.7945395086163</v>
      </c>
      <c r="L32" s="76">
        <f t="shared" si="1"/>
        <v>26257.951019353543</v>
      </c>
      <c r="N32" s="148">
        <f t="shared" si="2"/>
        <v>74223.469500729479</v>
      </c>
      <c r="O32" s="76">
        <f>VLOOKUP(A32,VALO_PERSO!F:AZ,47,0)</f>
        <v>74223.469500729479</v>
      </c>
      <c r="P32" t="b">
        <f t="shared" si="3"/>
        <v>1</v>
      </c>
    </row>
    <row r="33" spans="1:16" x14ac:dyDescent="0.25">
      <c r="A33" s="445">
        <v>17</v>
      </c>
      <c r="B33" s="445" t="s">
        <v>1185</v>
      </c>
      <c r="C33" s="445" t="s">
        <v>1186</v>
      </c>
      <c r="D33" t="e">
        <f>VLOOKUP(A33,VALO_PERSO!F:L,7,0)</f>
        <v>#N/A</v>
      </c>
      <c r="E33" s="72" t="e">
        <f>IF(VLOOKUP(A33,VALO_PERSO!$F:$M,8,0)&lt;='Calcul FF'!$K$1,'Calcul FF'!$K$1,VLOOKUP(A33,VALO_PERSO!$F:$M,8,0))</f>
        <v>#N/A</v>
      </c>
      <c r="F33" s="72" t="e">
        <f>IF(ISBLANK(VLOOKUP(A33,VALO_PERSO!$F:$N,9,0)),'Calcul FF'!$M$1,VLOOKUP(A33,VALO_PERSO!$F:$N,9,0))</f>
        <v>#N/A</v>
      </c>
      <c r="G33" s="76"/>
      <c r="H33" s="76"/>
      <c r="I33" s="76">
        <f>IFERROR(IF(VLOOKUP(A33,VALO_PERSO!F:L,7,0)="jeune docteur",VLOOKUP(A33,VALO_PERSO!F:AZ,VALO_PERSO!$AZ$2,0)*2*'Calcul FF'!G33/('Calcul FF'!G33+'Calcul FF'!H33),VLOOKUP(A33,VALO_PERSO!F:AZ,VALO_PERSO!$AZ$2,0)*'Calcul FF'!G33/('Calcul FF'!G33+'Calcul FF'!H33)),0)</f>
        <v>0</v>
      </c>
      <c r="J33" s="76">
        <f>IFERROR(VLOOKUP(A33,VALO_PERSO!F:AZ,VALO_PERSO!$AZ$2,0)*'Calcul FF'!H33/('Calcul FF'!G33+'Calcul FF'!H33),0)</f>
        <v>0</v>
      </c>
      <c r="K33" s="76">
        <f t="shared" si="0"/>
        <v>0</v>
      </c>
      <c r="L33" s="76">
        <f t="shared" si="1"/>
        <v>0</v>
      </c>
      <c r="N33" s="148">
        <f t="shared" si="2"/>
        <v>0</v>
      </c>
      <c r="O33" s="76" t="e">
        <f>VLOOKUP(A33,VALO_PERSO!F:AZ,47,0)</f>
        <v>#N/A</v>
      </c>
      <c r="P33" t="e">
        <f t="shared" si="3"/>
        <v>#N/A</v>
      </c>
    </row>
    <row r="34" spans="1:16" x14ac:dyDescent="0.25">
      <c r="A34" s="445">
        <v>18</v>
      </c>
      <c r="B34" s="445" t="s">
        <v>924</v>
      </c>
      <c r="C34" s="445" t="s">
        <v>925</v>
      </c>
      <c r="D34" t="str">
        <f>VLOOKUP(A34,VALO_PERSO!F:L,7,0)</f>
        <v>Chercheur</v>
      </c>
      <c r="E34" s="72">
        <f>IF(VLOOKUP(A34,VALO_PERSO!$F:$M,8,0)&lt;='Calcul FF'!$K$1,'Calcul FF'!$K$1,VLOOKUP(A34,VALO_PERSO!$F:$M,8,0))</f>
        <v>45658</v>
      </c>
      <c r="F34" s="72">
        <f>IF(ISBLANK(VLOOKUP(A34,VALO_PERSO!$F:$N,9,0)),'Calcul FF'!$M$1,VLOOKUP(A34,VALO_PERSO!$F:$N,9,0))</f>
        <v>46022</v>
      </c>
      <c r="G34" s="76">
        <f>VLOOKUP(A34,FF!A:AL,37,0)</f>
        <v>223.59999999999988</v>
      </c>
      <c r="H34" s="76">
        <f>VLOOKUP(A34,FF!A:AL,38,0)</f>
        <v>1268.4999999999998</v>
      </c>
      <c r="I34" s="76">
        <f>IFERROR(IF(VLOOKUP(A34,VALO_PERSO!F:L,7,0)="jeune docteur",VLOOKUP(A34,VALO_PERSO!F:AZ,VALO_PERSO!$AZ$2,0)*2*'Calcul FF'!G34/('Calcul FF'!G34+'Calcul FF'!H34),VLOOKUP(A34,VALO_PERSO!F:AZ,VALO_PERSO!$AZ$2,0)*'Calcul FF'!G34/('Calcul FF'!G34+'Calcul FF'!H34)),0)</f>
        <v>11662.733756655107</v>
      </c>
      <c r="J34" s="76">
        <f>IFERROR(VLOOKUP(A34,VALO_PERSO!F:AZ,VALO_PERSO!$AZ$2,0)*'Calcul FF'!H34/('Calcul FF'!G34+'Calcul FF'!H34),0)</f>
        <v>66163.585734870328</v>
      </c>
      <c r="K34" s="76">
        <f t="shared" si="0"/>
        <v>5014.9755153616961</v>
      </c>
      <c r="L34" s="76">
        <f t="shared" si="1"/>
        <v>26465.434293948132</v>
      </c>
      <c r="N34" s="148">
        <f t="shared" si="2"/>
        <v>77826.319491525443</v>
      </c>
      <c r="O34" s="76">
        <f>VLOOKUP(A34,VALO_PERSO!F:AZ,47,0)</f>
        <v>77826.319491525443</v>
      </c>
      <c r="P34" t="b">
        <f t="shared" si="3"/>
        <v>1</v>
      </c>
    </row>
    <row r="35" spans="1:16" x14ac:dyDescent="0.25">
      <c r="A35" s="445">
        <v>19</v>
      </c>
      <c r="B35" s="445" t="s">
        <v>928</v>
      </c>
      <c r="C35" s="445" t="s">
        <v>1187</v>
      </c>
      <c r="D35" t="str">
        <f>VLOOKUP(A35,VALO_PERSO!F:L,7,0)</f>
        <v>Technicien</v>
      </c>
      <c r="E35" s="72">
        <f>IF(VLOOKUP(A35,VALO_PERSO!$F:$M,8,0)&lt;='Calcul FF'!$K$1,'Calcul FF'!$K$1,VLOOKUP(A35,VALO_PERSO!$F:$M,8,0))</f>
        <v>45658</v>
      </c>
      <c r="F35" s="72">
        <f>IF(ISBLANK(VLOOKUP(A35,VALO_PERSO!$F:$N,9,0)),'Calcul FF'!$M$1,VLOOKUP(A35,VALO_PERSO!$F:$N,9,0))</f>
        <v>46022</v>
      </c>
      <c r="G35" s="76">
        <f>VLOOKUP(A35,FF!A:AL,37,0)</f>
        <v>178.59999999999994</v>
      </c>
      <c r="H35" s="76">
        <f>VLOOKUP(A35,FF!A:AL,38,0)</f>
        <v>997.99999999999943</v>
      </c>
      <c r="I35" s="76">
        <f>IFERROR(IF(VLOOKUP(A35,VALO_PERSO!F:L,7,0)="jeune docteur",VLOOKUP(A35,VALO_PERSO!F:AZ,VALO_PERSO!$AZ$2,0)*2*'Calcul FF'!G35/('Calcul FF'!G35+'Calcul FF'!H35),VLOOKUP(A35,VALO_PERSO!F:AZ,VALO_PERSO!$AZ$2,0)*'Calcul FF'!G35/('Calcul FF'!G35+'Calcul FF'!H35)),0)</f>
        <v>6149.4312807504793</v>
      </c>
      <c r="J35" s="76">
        <f>IFERROR(VLOOKUP(A35,VALO_PERSO!F:AZ,VALO_PERSO!$AZ$2,0)*'Calcul FF'!H35/('Calcul FF'!G35+'Calcul FF'!H35),0)</f>
        <v>34362.44355089013</v>
      </c>
      <c r="K35" s="76">
        <f t="shared" si="0"/>
        <v>2644.255450722706</v>
      </c>
      <c r="L35" s="76">
        <f t="shared" si="1"/>
        <v>13744.977420356052</v>
      </c>
      <c r="N35" s="148">
        <f t="shared" si="2"/>
        <v>40511.874831640613</v>
      </c>
      <c r="O35" s="76">
        <f>VLOOKUP(A35,VALO_PERSO!F:AZ,47,0)</f>
        <v>40511.874831640613</v>
      </c>
      <c r="P35" t="b">
        <f t="shared" si="3"/>
        <v>1</v>
      </c>
    </row>
    <row r="36" spans="1:16" x14ac:dyDescent="0.25">
      <c r="A36" s="445">
        <v>21</v>
      </c>
      <c r="B36" s="445" t="s">
        <v>933</v>
      </c>
      <c r="C36" s="445" t="s">
        <v>934</v>
      </c>
      <c r="D36" t="str">
        <f>VLOOKUP(A36,VALO_PERSO!F:L,7,0)</f>
        <v>Technicien</v>
      </c>
      <c r="E36" s="72">
        <f>IF(VLOOKUP(A36,VALO_PERSO!$F:$M,8,0)&lt;='Calcul FF'!$K$1,'Calcul FF'!$K$1,VLOOKUP(A36,VALO_PERSO!$F:$M,8,0))</f>
        <v>45658</v>
      </c>
      <c r="F36" s="72">
        <f>IF(ISBLANK(VLOOKUP(A36,VALO_PERSO!$F:$N,9,0)),'Calcul FF'!$M$1,VLOOKUP(A36,VALO_PERSO!$F:$N,9,0))</f>
        <v>46022</v>
      </c>
      <c r="G36" s="76">
        <f>VLOOKUP(A36,FF!A:AL,37,0)</f>
        <v>167.19999999999993</v>
      </c>
      <c r="H36" s="76">
        <f>VLOOKUP(A36,FF!A:AL,38,0)</f>
        <v>942.39999999999975</v>
      </c>
      <c r="I36" s="76">
        <f>IFERROR(IF(VLOOKUP(A36,VALO_PERSO!F:L,7,0)="jeune docteur",VLOOKUP(A36,VALO_PERSO!F:AZ,VALO_PERSO!$AZ$2,0)*2*'Calcul FF'!G36/('Calcul FF'!G36+'Calcul FF'!H36),VLOOKUP(A36,VALO_PERSO!F:AZ,VALO_PERSO!$AZ$2,0)*'Calcul FF'!G36/('Calcul FF'!G36+'Calcul FF'!H36)),0)</f>
        <v>6213.682447432102</v>
      </c>
      <c r="J36" s="76">
        <f>IFERROR(VLOOKUP(A36,VALO_PERSO!F:AZ,VALO_PERSO!$AZ$2,0)*'Calcul FF'!H36/('Calcul FF'!G36+'Calcul FF'!H36),0)</f>
        <v>35022.57379461731</v>
      </c>
      <c r="K36" s="76">
        <f t="shared" si="0"/>
        <v>2671.8834523958039</v>
      </c>
      <c r="L36" s="76">
        <f t="shared" si="1"/>
        <v>14009.029517846924</v>
      </c>
      <c r="N36" s="148">
        <f t="shared" si="2"/>
        <v>41236.256242049414</v>
      </c>
      <c r="O36" s="76">
        <f>VLOOKUP(A36,VALO_PERSO!F:AZ,47,0)</f>
        <v>41236.256242049407</v>
      </c>
      <c r="P36" t="b">
        <f t="shared" si="3"/>
        <v>1</v>
      </c>
    </row>
    <row r="37" spans="1:16" x14ac:dyDescent="0.25">
      <c r="A37" s="445">
        <v>22</v>
      </c>
      <c r="B37" s="445" t="s">
        <v>937</v>
      </c>
      <c r="C37" s="445" t="s">
        <v>938</v>
      </c>
      <c r="D37" t="str">
        <f>VLOOKUP(A37,VALO_PERSO!F:L,7,0)</f>
        <v>Chercheur</v>
      </c>
      <c r="E37" s="72">
        <f>IF(VLOOKUP(A37,VALO_PERSO!$F:$M,8,0)&lt;='Calcul FF'!$K$1,'Calcul FF'!$K$1,VLOOKUP(A37,VALO_PERSO!$F:$M,8,0))</f>
        <v>45658</v>
      </c>
      <c r="F37" s="72">
        <f>IF(ISBLANK(VLOOKUP(A37,VALO_PERSO!$F:$N,9,0)),'Calcul FF'!$M$1,VLOOKUP(A37,VALO_PERSO!$F:$N,9,0))</f>
        <v>46022</v>
      </c>
      <c r="G37" s="76">
        <f>VLOOKUP(A37,FF!A:AL,37,0)</f>
        <v>0</v>
      </c>
      <c r="H37" s="76">
        <f>VLOOKUP(A37,FF!A:AL,38,0)</f>
        <v>390.49999999999994</v>
      </c>
      <c r="I37" s="76">
        <f>IFERROR(IF(VLOOKUP(A37,VALO_PERSO!F:L,7,0)="jeune docteur",VLOOKUP(A37,VALO_PERSO!F:AZ,VALO_PERSO!$AZ$2,0)*2*'Calcul FF'!G37/('Calcul FF'!G37+'Calcul FF'!H37),VLOOKUP(A37,VALO_PERSO!F:AZ,VALO_PERSO!$AZ$2,0)*'Calcul FF'!G37/('Calcul FF'!G37+'Calcul FF'!H37)),0)</f>
        <v>0</v>
      </c>
      <c r="J37" s="76">
        <f>IFERROR(VLOOKUP(A37,VALO_PERSO!F:AZ,VALO_PERSO!$AZ$2,0)*'Calcul FF'!H37/('Calcul FF'!G37+'Calcul FF'!H37),0)</f>
        <v>31824.504101927774</v>
      </c>
      <c r="K37" s="76">
        <f t="shared" si="0"/>
        <v>0</v>
      </c>
      <c r="L37" s="76">
        <f t="shared" si="1"/>
        <v>12729.801640771111</v>
      </c>
      <c r="N37" s="148">
        <f t="shared" si="2"/>
        <v>31824.504101927774</v>
      </c>
      <c r="O37" s="76">
        <f>VLOOKUP(A37,VALO_PERSO!F:AZ,47,0)</f>
        <v>31824.504101927774</v>
      </c>
      <c r="P37" t="b">
        <f t="shared" si="3"/>
        <v>1</v>
      </c>
    </row>
    <row r="38" spans="1:16" x14ac:dyDescent="0.25">
      <c r="A38" s="445">
        <v>23</v>
      </c>
      <c r="B38" s="445" t="s">
        <v>942</v>
      </c>
      <c r="C38" s="445" t="s">
        <v>943</v>
      </c>
      <c r="D38" t="str">
        <f>VLOOKUP(A38,VALO_PERSO!F:L,7,0)</f>
        <v>Thésard</v>
      </c>
      <c r="E38" s="72">
        <f>IF(VLOOKUP(A38,VALO_PERSO!$F:$M,8,0)&lt;='Calcul FF'!$K$1,'Calcul FF'!$K$1,VLOOKUP(A38,VALO_PERSO!$F:$M,8,0))</f>
        <v>45658</v>
      </c>
      <c r="F38" s="72">
        <f>IF(ISBLANK(VLOOKUP(A38,VALO_PERSO!$F:$N,9,0)),'Calcul FF'!$M$1,VLOOKUP(A38,VALO_PERSO!$F:$N,9,0))</f>
        <v>45716</v>
      </c>
      <c r="G38" s="76">
        <f>VLOOKUP(A38,FF!A:AL,37,0)</f>
        <v>182.39999999999992</v>
      </c>
      <c r="H38" s="76">
        <f>VLOOKUP(A38,FF!A:AL,38,0)</f>
        <v>60.800000000000004</v>
      </c>
      <c r="I38" s="76">
        <f>IFERROR(IF(VLOOKUP(A38,VALO_PERSO!F:L,7,0)="jeune docteur",VLOOKUP(A38,VALO_PERSO!F:AZ,VALO_PERSO!$AZ$2,0)*2*'Calcul FF'!G38/('Calcul FF'!G38+'Calcul FF'!H38),VLOOKUP(A38,VALO_PERSO!F:AZ,VALO_PERSO!$AZ$2,0)*'Calcul FF'!G38/('Calcul FF'!G38+'Calcul FF'!H38)),0)</f>
        <v>5396.1577385878873</v>
      </c>
      <c r="J38" s="76">
        <f>IFERROR(VLOOKUP(A38,VALO_PERSO!F:AZ,VALO_PERSO!$AZ$2,0)*'Calcul FF'!H38/('Calcul FF'!G38+'Calcul FF'!H38),0)</f>
        <v>1798.7192461959635</v>
      </c>
      <c r="K38" s="76">
        <f t="shared" si="0"/>
        <v>2320.3478275927914</v>
      </c>
      <c r="L38" s="76">
        <f t="shared" si="1"/>
        <v>719.48769847838548</v>
      </c>
      <c r="N38" s="148">
        <f t="shared" si="2"/>
        <v>7194.8769847838503</v>
      </c>
      <c r="O38" s="76">
        <f>VLOOKUP(A38,VALO_PERSO!F:AZ,47,0)</f>
        <v>7194.8769847838512</v>
      </c>
      <c r="P38" t="b">
        <f t="shared" si="3"/>
        <v>1</v>
      </c>
    </row>
    <row r="39" spans="1:16" x14ac:dyDescent="0.25">
      <c r="A39" s="445">
        <v>24</v>
      </c>
      <c r="B39" s="445" t="s">
        <v>947</v>
      </c>
      <c r="C39" s="445" t="s">
        <v>948</v>
      </c>
      <c r="D39" t="str">
        <f>VLOOKUP(A39,VALO_PERSO!F:L,7,0)</f>
        <v>Chercheur</v>
      </c>
      <c r="E39" s="72">
        <f>IF(VLOOKUP(A39,VALO_PERSO!$F:$M,8,0)&lt;='Calcul FF'!$K$1,'Calcul FF'!$K$1,VLOOKUP(A39,VALO_PERSO!$F:$M,8,0))</f>
        <v>45658</v>
      </c>
      <c r="F39" s="72">
        <f>IF(ISBLANK(VLOOKUP(A39,VALO_PERSO!$F:$N,9,0)),'Calcul FF'!$M$1,VLOOKUP(A39,VALO_PERSO!$F:$N,9,0))</f>
        <v>46022</v>
      </c>
      <c r="G39" s="76">
        <f>VLOOKUP(A39,FF!A:AL,37,0)</f>
        <v>208.99999999999991</v>
      </c>
      <c r="H39" s="76">
        <f>VLOOKUP(A39,FF!A:AL,38,0)</f>
        <v>1325.6999999999998</v>
      </c>
      <c r="I39" s="76">
        <f>IFERROR(IF(VLOOKUP(A39,VALO_PERSO!F:L,7,0)="jeune docteur",VLOOKUP(A39,VALO_PERSO!F:AZ,VALO_PERSO!$AZ$2,0)*2*'Calcul FF'!G39/('Calcul FF'!G39+'Calcul FF'!H39),VLOOKUP(A39,VALO_PERSO!F:AZ,VALO_PERSO!$AZ$2,0)*'Calcul FF'!G39/('Calcul FF'!G39+'Calcul FF'!H39)),0)</f>
        <v>10580.807006638339</v>
      </c>
      <c r="J39" s="76">
        <f>IFERROR(VLOOKUP(A39,VALO_PERSO!F:AZ,VALO_PERSO!$AZ$2,0)*'Calcul FF'!H39/('Calcul FF'!G39+'Calcul FF'!H39),0)</f>
        <v>67114.716979427976</v>
      </c>
      <c r="K39" s="76">
        <f t="shared" si="0"/>
        <v>4549.7470128544855</v>
      </c>
      <c r="L39" s="76">
        <f t="shared" si="1"/>
        <v>26845.88679177119</v>
      </c>
      <c r="N39" s="148">
        <f t="shared" si="2"/>
        <v>77695.523986066313</v>
      </c>
      <c r="O39" s="76">
        <f>VLOOKUP(A39,VALO_PERSO!F:AZ,47,0)</f>
        <v>77695.523986066328</v>
      </c>
      <c r="P39" t="b">
        <f t="shared" si="3"/>
        <v>1</v>
      </c>
    </row>
    <row r="40" spans="1:16" x14ac:dyDescent="0.25">
      <c r="A40" s="445">
        <v>26</v>
      </c>
      <c r="B40" s="445" t="s">
        <v>1188</v>
      </c>
      <c r="C40" s="445" t="s">
        <v>952</v>
      </c>
      <c r="D40" t="str">
        <f>VLOOKUP(A40,VALO_PERSO!F:L,7,0)</f>
        <v>Technicien</v>
      </c>
      <c r="E40" s="72">
        <f>IF(VLOOKUP(A40,VALO_PERSO!$F:$M,8,0)&lt;='Calcul FF'!$K$1,'Calcul FF'!$K$1,VLOOKUP(A40,VALO_PERSO!$F:$M,8,0))</f>
        <v>45658</v>
      </c>
      <c r="F40" s="72">
        <f>IF(ISBLANK(VLOOKUP(A40,VALO_PERSO!$F:$N,9,0)),'Calcul FF'!$M$1,VLOOKUP(A40,VALO_PERSO!$F:$N,9,0))</f>
        <v>46022</v>
      </c>
      <c r="G40" s="76">
        <f>VLOOKUP(A40,FF!A:AL,37,0)</f>
        <v>190.01999999999998</v>
      </c>
      <c r="H40" s="76">
        <f>VLOOKUP(A40,FF!A:AL,38,0)</f>
        <v>1375.74</v>
      </c>
      <c r="I40" s="76">
        <f>IFERROR(IF(VLOOKUP(A40,VALO_PERSO!F:L,7,0)="jeune docteur",VLOOKUP(A40,VALO_PERSO!F:AZ,VALO_PERSO!$AZ$2,0)*2*'Calcul FF'!G40/('Calcul FF'!G40+'Calcul FF'!H40),VLOOKUP(A40,VALO_PERSO!F:AZ,VALO_PERSO!$AZ$2,0)*'Calcul FF'!G40/('Calcul FF'!G40+'Calcul FF'!H40)),0)</f>
        <v>5935.5135496487283</v>
      </c>
      <c r="J40" s="76">
        <f>IFERROR(VLOOKUP(A40,VALO_PERSO!F:AZ,VALO_PERSO!$AZ$2,0)*'Calcul FF'!H40/('Calcul FF'!G40+'Calcul FF'!H40),0)</f>
        <v>42972.968165423328</v>
      </c>
      <c r="K40" s="76">
        <f t="shared" si="0"/>
        <v>2552.2708263489531</v>
      </c>
      <c r="L40" s="76">
        <f t="shared" si="1"/>
        <v>17189.187266169331</v>
      </c>
      <c r="N40" s="148">
        <f t="shared" si="2"/>
        <v>48908.481715072056</v>
      </c>
      <c r="O40" s="76">
        <f>VLOOKUP(A40,VALO_PERSO!F:AZ,47,0)</f>
        <v>48908.481715072063</v>
      </c>
      <c r="P40" t="b">
        <f t="shared" si="3"/>
        <v>1</v>
      </c>
    </row>
    <row r="41" spans="1:16" x14ac:dyDescent="0.25">
      <c r="A41" s="445">
        <v>28</v>
      </c>
      <c r="B41" s="445" t="s">
        <v>1189</v>
      </c>
      <c r="C41" s="445" t="s">
        <v>1190</v>
      </c>
      <c r="D41" t="e">
        <f>VLOOKUP(A41,VALO_PERSO!F:L,7,0)</f>
        <v>#N/A</v>
      </c>
      <c r="E41" s="72" t="e">
        <f>IF(VLOOKUP(A41,VALO_PERSO!$F:$M,8,0)&lt;='Calcul FF'!$K$1,'Calcul FF'!$K$1,VLOOKUP(A41,VALO_PERSO!$F:$M,8,0))</f>
        <v>#N/A</v>
      </c>
      <c r="F41" s="72" t="e">
        <f>IF(ISBLANK(VLOOKUP(A41,VALO_PERSO!$F:$N,9,0)),'Calcul FF'!$M$1,VLOOKUP(A41,VALO_PERSO!$F:$N,9,0))</f>
        <v>#N/A</v>
      </c>
      <c r="G41" s="76"/>
      <c r="H41" s="76"/>
      <c r="I41" s="76">
        <f>IFERROR(IF(VLOOKUP(A41,VALO_PERSO!F:L,7,0)="jeune docteur",VLOOKUP(A41,VALO_PERSO!F:AZ,VALO_PERSO!$AZ$2,0)*2*'Calcul FF'!G41/('Calcul FF'!G41+'Calcul FF'!H41),VLOOKUP(A41,VALO_PERSO!F:AZ,VALO_PERSO!$AZ$2,0)*'Calcul FF'!G41/('Calcul FF'!G41+'Calcul FF'!H41)),0)</f>
        <v>0</v>
      </c>
      <c r="J41" s="76">
        <f>IFERROR(VLOOKUP(A41,VALO_PERSO!F:AZ,VALO_PERSO!$AZ$2,0)*'Calcul FF'!H41/('Calcul FF'!G41+'Calcul FF'!H41),0)</f>
        <v>0</v>
      </c>
      <c r="K41" s="76">
        <f t="shared" si="0"/>
        <v>0</v>
      </c>
      <c r="L41" s="76">
        <f t="shared" si="1"/>
        <v>0</v>
      </c>
      <c r="N41" s="148">
        <f t="shared" si="2"/>
        <v>0</v>
      </c>
      <c r="O41" s="76" t="e">
        <f>VLOOKUP(A41,VALO_PERSO!F:AZ,47,0)</f>
        <v>#N/A</v>
      </c>
      <c r="P41" t="e">
        <f t="shared" si="3"/>
        <v>#N/A</v>
      </c>
    </row>
    <row r="42" spans="1:16" x14ac:dyDescent="0.25">
      <c r="A42" s="445">
        <v>29</v>
      </c>
      <c r="B42" s="445" t="s">
        <v>1043</v>
      </c>
      <c r="C42" s="445" t="s">
        <v>1044</v>
      </c>
      <c r="D42" t="e">
        <f>VLOOKUP(A42,VALO_PERSO!F:L,7,0)</f>
        <v>#N/A</v>
      </c>
      <c r="E42" s="72" t="e">
        <f>IF(VLOOKUP(A42,VALO_PERSO!$F:$M,8,0)&lt;='Calcul FF'!$K$1,'Calcul FF'!$K$1,VLOOKUP(A42,VALO_PERSO!$F:$M,8,0))</f>
        <v>#N/A</v>
      </c>
      <c r="F42" s="72" t="e">
        <f>IF(ISBLANK(VLOOKUP(A42,VALO_PERSO!$F:$N,9,0)),'Calcul FF'!$M$1,VLOOKUP(A42,VALO_PERSO!$F:$N,9,0))</f>
        <v>#N/A</v>
      </c>
      <c r="G42" s="76"/>
      <c r="H42" s="76"/>
      <c r="I42" s="76">
        <f>IFERROR(IF(VLOOKUP(A42,VALO_PERSO!F:L,7,0)="jeune docteur",VLOOKUP(A42,VALO_PERSO!F:AZ,VALO_PERSO!$AZ$2,0)*2*'Calcul FF'!G42/('Calcul FF'!G42+'Calcul FF'!H42),VLOOKUP(A42,VALO_PERSO!F:AZ,VALO_PERSO!$AZ$2,0)*'Calcul FF'!G42/('Calcul FF'!G42+'Calcul FF'!H42)),0)</f>
        <v>0</v>
      </c>
      <c r="J42" s="76">
        <f>IFERROR(VLOOKUP(A42,VALO_PERSO!F:AZ,VALO_PERSO!$AZ$2,0)*'Calcul FF'!H42/('Calcul FF'!G42+'Calcul FF'!H42),0)</f>
        <v>0</v>
      </c>
      <c r="K42" s="76">
        <f t="shared" si="0"/>
        <v>0</v>
      </c>
      <c r="L42" s="76">
        <f t="shared" si="1"/>
        <v>0</v>
      </c>
      <c r="N42" s="148">
        <f t="shared" si="2"/>
        <v>0</v>
      </c>
      <c r="O42" s="76" t="e">
        <f>VLOOKUP(A42,VALO_PERSO!F:AZ,47,0)</f>
        <v>#N/A</v>
      </c>
      <c r="P42" t="e">
        <f t="shared" si="3"/>
        <v>#N/A</v>
      </c>
    </row>
    <row r="43" spans="1:16" x14ac:dyDescent="0.25">
      <c r="A43" s="445">
        <v>30</v>
      </c>
      <c r="B43" s="445" t="s">
        <v>1191</v>
      </c>
      <c r="C43" s="445" t="s">
        <v>1192</v>
      </c>
      <c r="D43" t="e">
        <f>VLOOKUP(A43,VALO_PERSO!F:L,7,0)</f>
        <v>#N/A</v>
      </c>
      <c r="E43" s="72" t="e">
        <f>IF(VLOOKUP(A43,VALO_PERSO!$F:$M,8,0)&lt;='Calcul FF'!$K$1,'Calcul FF'!$K$1,VLOOKUP(A43,VALO_PERSO!$F:$M,8,0))</f>
        <v>#N/A</v>
      </c>
      <c r="F43" s="72" t="e">
        <f>IF(ISBLANK(VLOOKUP(A43,VALO_PERSO!$F:$N,9,0)),'Calcul FF'!$M$1,VLOOKUP(A43,VALO_PERSO!$F:$N,9,0))</f>
        <v>#N/A</v>
      </c>
      <c r="G43" s="76"/>
      <c r="H43" s="76"/>
      <c r="I43" s="76">
        <f>IFERROR(IF(VLOOKUP(A43,VALO_PERSO!F:L,7,0)="jeune docteur",VLOOKUP(A43,VALO_PERSO!F:AZ,VALO_PERSO!$AZ$2,0)*2*'Calcul FF'!G43/('Calcul FF'!G43+'Calcul FF'!H43),VLOOKUP(A43,VALO_PERSO!F:AZ,VALO_PERSO!$AZ$2,0)*'Calcul FF'!G43/('Calcul FF'!G43+'Calcul FF'!H43)),0)</f>
        <v>0</v>
      </c>
      <c r="J43" s="76">
        <f>IFERROR(VLOOKUP(A43,VALO_PERSO!F:AZ,VALO_PERSO!$AZ$2,0)*'Calcul FF'!H43/('Calcul FF'!G43+'Calcul FF'!H43),0)</f>
        <v>0</v>
      </c>
      <c r="K43" s="76">
        <f t="shared" si="0"/>
        <v>0</v>
      </c>
      <c r="L43" s="76">
        <f t="shared" si="1"/>
        <v>0</v>
      </c>
      <c r="N43" s="148">
        <f t="shared" si="2"/>
        <v>0</v>
      </c>
      <c r="O43" s="76" t="e">
        <f>VLOOKUP(A43,VALO_PERSO!F:AZ,47,0)</f>
        <v>#N/A</v>
      </c>
      <c r="P43" t="e">
        <f t="shared" si="3"/>
        <v>#N/A</v>
      </c>
    </row>
    <row r="44" spans="1:16" x14ac:dyDescent="0.25">
      <c r="A44" s="445">
        <v>31</v>
      </c>
      <c r="B44" s="445" t="s">
        <v>955</v>
      </c>
      <c r="C44" s="445" t="s">
        <v>925</v>
      </c>
      <c r="D44" t="str">
        <f>VLOOKUP(A44,VALO_PERSO!F:L,7,0)</f>
        <v>Technicien</v>
      </c>
      <c r="E44" s="72">
        <f>IF(VLOOKUP(A44,VALO_PERSO!$F:$M,8,0)&lt;='Calcul FF'!$K$1,'Calcul FF'!$K$1,VLOOKUP(A44,VALO_PERSO!$F:$M,8,0))</f>
        <v>45658</v>
      </c>
      <c r="F44" s="72">
        <f>IF(ISBLANK(VLOOKUP(A44,VALO_PERSO!$F:$N,9,0)),'Calcul FF'!$M$1,VLOOKUP(A44,VALO_PERSO!$F:$N,9,0))</f>
        <v>46022</v>
      </c>
      <c r="G44" s="76">
        <f>VLOOKUP(A44,FF!A:AL,37,0)</f>
        <v>212.7999999999999</v>
      </c>
      <c r="H44" s="76">
        <f>VLOOKUP(A44,FF!A:AL,38,0)</f>
        <v>1332.7199999999993</v>
      </c>
      <c r="I44" s="76">
        <f>IFERROR(IF(VLOOKUP(A44,VALO_PERSO!F:L,7,0)="jeune docteur",VLOOKUP(A44,VALO_PERSO!F:AZ,VALO_PERSO!$AZ$2,0)*2*'Calcul FF'!G44/('Calcul FF'!G44+'Calcul FF'!H44),VLOOKUP(A44,VALO_PERSO!F:AZ,VALO_PERSO!$AZ$2,0)*'Calcul FF'!G44/('Calcul FF'!G44+'Calcul FF'!H44)),0)</f>
        <v>6530.004973390488</v>
      </c>
      <c r="J44" s="76">
        <f>IFERROR(VLOOKUP(A44,VALO_PERSO!F:AZ,VALO_PERSO!$AZ$2,0)*'Calcul FF'!H44/('Calcul FF'!G44+'Calcul FF'!H44),0)</f>
        <v>40895.997312673739</v>
      </c>
      <c r="K44" s="76">
        <f t="shared" si="0"/>
        <v>2807.9021385579099</v>
      </c>
      <c r="L44" s="76">
        <f t="shared" si="1"/>
        <v>16358.398925069496</v>
      </c>
      <c r="N44" s="148">
        <f t="shared" si="2"/>
        <v>47426.002286064228</v>
      </c>
      <c r="O44" s="76">
        <f>VLOOKUP(A44,VALO_PERSO!F:AZ,47,0)</f>
        <v>47426.002286064228</v>
      </c>
      <c r="P44" t="b">
        <f t="shared" si="3"/>
        <v>1</v>
      </c>
    </row>
    <row r="45" spans="1:16" x14ac:dyDescent="0.25">
      <c r="A45" s="445">
        <v>32</v>
      </c>
      <c r="B45" s="445" t="s">
        <v>958</v>
      </c>
      <c r="C45" s="445" t="s">
        <v>959</v>
      </c>
      <c r="D45" t="str">
        <f>VLOOKUP(A45,VALO_PERSO!F:L,7,0)</f>
        <v>Chercheur</v>
      </c>
      <c r="E45" s="72">
        <f>IF(VLOOKUP(A45,VALO_PERSO!$F:$M,8,0)&lt;='Calcul FF'!$K$1,'Calcul FF'!$K$1,VLOOKUP(A45,VALO_PERSO!$F:$M,8,0))</f>
        <v>45658</v>
      </c>
      <c r="F45" s="72">
        <f>IF(ISBLANK(VLOOKUP(A45,VALO_PERSO!$F:$N,9,0)),'Calcul FF'!$M$1,VLOOKUP(A45,VALO_PERSO!$F:$N,9,0))</f>
        <v>46022</v>
      </c>
      <c r="G45" s="76">
        <f>VLOOKUP(A45,FF!A:AL,37,0)</f>
        <v>178.59999999999994</v>
      </c>
      <c r="H45" s="76">
        <f>VLOOKUP(A45,FF!A:AL,38,0)</f>
        <v>1213.7999999999995</v>
      </c>
      <c r="I45" s="76">
        <f>IFERROR(IF(VLOOKUP(A45,VALO_PERSO!F:L,7,0)="jeune docteur",VLOOKUP(A45,VALO_PERSO!F:AZ,VALO_PERSO!$AZ$2,0)*2*'Calcul FF'!G45/('Calcul FF'!G45+'Calcul FF'!H45),VLOOKUP(A45,VALO_PERSO!F:AZ,VALO_PERSO!$AZ$2,0)*'Calcul FF'!G45/('Calcul FF'!G45+'Calcul FF'!H45)),0)</f>
        <v>8646.0921674445945</v>
      </c>
      <c r="J45" s="76">
        <f>IFERROR(VLOOKUP(A45,VALO_PERSO!F:AZ,VALO_PERSO!$AZ$2,0)*'Calcul FF'!H45/('Calcul FF'!G45+'Calcul FF'!H45),0)</f>
        <v>58760.507686697914</v>
      </c>
      <c r="K45" s="76">
        <f t="shared" si="0"/>
        <v>3717.8196320011757</v>
      </c>
      <c r="L45" s="76">
        <f t="shared" si="1"/>
        <v>23504.203074679168</v>
      </c>
      <c r="N45" s="148">
        <f t="shared" si="2"/>
        <v>67406.599854142507</v>
      </c>
      <c r="O45" s="76">
        <f>VLOOKUP(A45,VALO_PERSO!F:AZ,47,0)</f>
        <v>67406.599854142507</v>
      </c>
      <c r="P45" t="b">
        <f t="shared" si="3"/>
        <v>1</v>
      </c>
    </row>
    <row r="46" spans="1:16" x14ac:dyDescent="0.25">
      <c r="A46" s="445">
        <v>33</v>
      </c>
      <c r="B46" s="445" t="s">
        <v>962</v>
      </c>
      <c r="C46" s="445" t="s">
        <v>963</v>
      </c>
      <c r="D46" t="str">
        <f>VLOOKUP(A46,VALO_PERSO!F:L,7,0)</f>
        <v>Technicien</v>
      </c>
      <c r="E46" s="72">
        <f>IF(VLOOKUP(A46,VALO_PERSO!$F:$M,8,0)&lt;='Calcul FF'!$K$1,'Calcul FF'!$K$1,VLOOKUP(A46,VALO_PERSO!$F:$M,8,0))</f>
        <v>45658</v>
      </c>
      <c r="F46" s="72">
        <f>IF(ISBLANK(VLOOKUP(A46,VALO_PERSO!$F:$N,9,0)),'Calcul FF'!$M$1,VLOOKUP(A46,VALO_PERSO!$F:$N,9,0))</f>
        <v>46022</v>
      </c>
      <c r="G46" s="76">
        <f>VLOOKUP(A46,FF!A:AL,37,0)</f>
        <v>212.7999999999999</v>
      </c>
      <c r="H46" s="76">
        <f>VLOOKUP(A46,FF!A:AL,38,0)</f>
        <v>1307.1999999999998</v>
      </c>
      <c r="I46" s="76">
        <f>IFERROR(IF(VLOOKUP(A46,VALO_PERSO!F:L,7,0)="jeune docteur",VLOOKUP(A46,VALO_PERSO!F:AZ,VALO_PERSO!$AZ$2,0)*2*'Calcul FF'!G46/('Calcul FF'!G46+'Calcul FF'!H46),VLOOKUP(A46,VALO_PERSO!F:AZ,VALO_PERSO!$AZ$2,0)*'Calcul FF'!G46/('Calcul FF'!G46+'Calcul FF'!H46)),0)</f>
        <v>6884.9485067401301</v>
      </c>
      <c r="J46" s="76">
        <f>IFERROR(VLOOKUP(A46,VALO_PERSO!F:AZ,VALO_PERSO!$AZ$2,0)*'Calcul FF'!H46/('Calcul FF'!G46+'Calcul FF'!H46),0)</f>
        <v>42293.255112832245</v>
      </c>
      <c r="K46" s="76">
        <f t="shared" si="0"/>
        <v>2960.5278578982561</v>
      </c>
      <c r="L46" s="76">
        <f t="shared" si="1"/>
        <v>16917.302045132899</v>
      </c>
      <c r="N46" s="148">
        <f t="shared" si="2"/>
        <v>49178.203619572378</v>
      </c>
      <c r="O46" s="76">
        <f>VLOOKUP(A46,VALO_PERSO!F:AZ,47,0)</f>
        <v>49178.203619572378</v>
      </c>
      <c r="P46" t="b">
        <f t="shared" si="3"/>
        <v>1</v>
      </c>
    </row>
    <row r="47" spans="1:16" x14ac:dyDescent="0.25">
      <c r="A47" s="445">
        <v>34</v>
      </c>
      <c r="B47" s="445" t="s">
        <v>966</v>
      </c>
      <c r="C47" s="445" t="s">
        <v>943</v>
      </c>
      <c r="D47" t="str">
        <f>VLOOKUP(A47,VALO_PERSO!F:L,7,0)</f>
        <v>Technicien</v>
      </c>
      <c r="E47" s="72">
        <f>IF(VLOOKUP(A47,VALO_PERSO!$F:$M,8,0)&lt;='Calcul FF'!$K$1,'Calcul FF'!$K$1,VLOOKUP(A47,VALO_PERSO!$F:$M,8,0))</f>
        <v>45658</v>
      </c>
      <c r="F47" s="72">
        <f>IF(ISBLANK(VLOOKUP(A47,VALO_PERSO!$F:$N,9,0)),'Calcul FF'!$M$1,VLOOKUP(A47,VALO_PERSO!$F:$N,9,0))</f>
        <v>46022</v>
      </c>
      <c r="G47" s="76">
        <f>VLOOKUP(A47,FF!A:AL,37,0)</f>
        <v>204.17999999999998</v>
      </c>
      <c r="H47" s="76">
        <f>VLOOKUP(A47,FF!A:AL,38,0)</f>
        <v>1301.0699999999997</v>
      </c>
      <c r="I47" s="76">
        <f>IFERROR(IF(VLOOKUP(A47,VALO_PERSO!F:L,7,0)="jeune docteur",VLOOKUP(A47,VALO_PERSO!F:AZ,VALO_PERSO!$AZ$2,0)*2*'Calcul FF'!G47/('Calcul FF'!G47+'Calcul FF'!H47),VLOOKUP(A47,VALO_PERSO!F:AZ,VALO_PERSO!$AZ$2,0)*'Calcul FF'!G47/('Calcul FF'!G47+'Calcul FF'!H47)),0)</f>
        <v>6152.8024360132922</v>
      </c>
      <c r="J47" s="76">
        <f>IFERROR(VLOOKUP(A47,VALO_PERSO!F:AZ,VALO_PERSO!$AZ$2,0)*'Calcul FF'!H47/('Calcul FF'!G47+'Calcul FF'!H47),0)</f>
        <v>39206.713024898687</v>
      </c>
      <c r="K47" s="76">
        <f t="shared" si="0"/>
        <v>2645.7050474857156</v>
      </c>
      <c r="L47" s="76">
        <f t="shared" si="1"/>
        <v>15682.685209959476</v>
      </c>
      <c r="N47" s="148">
        <f t="shared" si="2"/>
        <v>45359.515460911978</v>
      </c>
      <c r="O47" s="76">
        <f>VLOOKUP(A47,VALO_PERSO!F:AZ,47,0)</f>
        <v>45359.515460911978</v>
      </c>
      <c r="P47" t="b">
        <f t="shared" si="3"/>
        <v>1</v>
      </c>
    </row>
    <row r="48" spans="1:16" x14ac:dyDescent="0.25">
      <c r="A48" s="445">
        <v>35</v>
      </c>
      <c r="B48" s="445" t="s">
        <v>970</v>
      </c>
      <c r="C48" s="445" t="s">
        <v>971</v>
      </c>
      <c r="D48" t="str">
        <f>VLOOKUP(A48,VALO_PERSO!F:L,7,0)</f>
        <v>Technicien</v>
      </c>
      <c r="E48" s="72">
        <f>IF(VLOOKUP(A48,VALO_PERSO!$F:$M,8,0)&lt;='Calcul FF'!$K$1,'Calcul FF'!$K$1,VLOOKUP(A48,VALO_PERSO!$F:$M,8,0))</f>
        <v>45658</v>
      </c>
      <c r="F48" s="72">
        <f>IF(ISBLANK(VLOOKUP(A48,VALO_PERSO!$F:$N,9,0)),'Calcul FF'!$M$1,VLOOKUP(A48,VALO_PERSO!$F:$N,9,0))</f>
        <v>46022</v>
      </c>
      <c r="G48" s="76">
        <f>VLOOKUP(A48,FF!A:AL,37,0)</f>
        <v>182.32999999999996</v>
      </c>
      <c r="H48" s="76">
        <f>VLOOKUP(A48,FF!A:AL,38,0)</f>
        <v>1159.4599999999998</v>
      </c>
      <c r="I48" s="76">
        <f>IFERROR(IF(VLOOKUP(A48,VALO_PERSO!F:L,7,0)="jeune docteur",VLOOKUP(A48,VALO_PERSO!F:AZ,VALO_PERSO!$AZ$2,0)*2*'Calcul FF'!G48/('Calcul FF'!G48+'Calcul FF'!H48),VLOOKUP(A48,VALO_PERSO!F:AZ,VALO_PERSO!$AZ$2,0)*'Calcul FF'!G48/('Calcul FF'!G48+'Calcul FF'!H48)),0)</f>
        <v>6313.2853509560746</v>
      </c>
      <c r="J48" s="76">
        <f>IFERROR(VLOOKUP(A48,VALO_PERSO!F:AZ,VALO_PERSO!$AZ$2,0)*'Calcul FF'!H48/('Calcul FF'!G48+'Calcul FF'!H48),0)</f>
        <v>40146.996287059352</v>
      </c>
      <c r="K48" s="76">
        <f t="shared" si="0"/>
        <v>2714.7127009111118</v>
      </c>
      <c r="L48" s="76">
        <f t="shared" si="1"/>
        <v>16058.798514823742</v>
      </c>
      <c r="N48" s="148">
        <f t="shared" si="2"/>
        <v>46460.281638015425</v>
      </c>
      <c r="O48" s="76">
        <f>VLOOKUP(A48,VALO_PERSO!F:AZ,47,0)</f>
        <v>46460.281638015425</v>
      </c>
      <c r="P48" t="b">
        <f t="shared" si="3"/>
        <v>1</v>
      </c>
    </row>
    <row r="49" spans="1:16" x14ac:dyDescent="0.25">
      <c r="A49" s="445">
        <v>37</v>
      </c>
      <c r="B49" s="445" t="s">
        <v>978</v>
      </c>
      <c r="C49" s="445" t="s">
        <v>979</v>
      </c>
      <c r="D49" t="str">
        <f>VLOOKUP(A49,VALO_PERSO!F:L,7,0)</f>
        <v>Chercheur</v>
      </c>
      <c r="E49" s="72">
        <f>IF(VLOOKUP(A49,VALO_PERSO!$F:$M,8,0)&lt;='Calcul FF'!$K$1,'Calcul FF'!$K$1,VLOOKUP(A49,VALO_PERSO!$F:$M,8,0))</f>
        <v>45658</v>
      </c>
      <c r="F49" s="72">
        <f>IF(ISBLANK(VLOOKUP(A49,VALO_PERSO!$F:$N,9,0)),'Calcul FF'!$M$1,VLOOKUP(A49,VALO_PERSO!$F:$N,9,0))</f>
        <v>46022</v>
      </c>
      <c r="G49" s="76">
        <f>VLOOKUP(A49,FF!A:AL,37,0)</f>
        <v>159.59999999999997</v>
      </c>
      <c r="H49" s="76">
        <f>VLOOKUP(A49,FF!A:AL,38,0)</f>
        <v>1177.9999999999995</v>
      </c>
      <c r="I49" s="76">
        <f>IFERROR(IF(VLOOKUP(A49,VALO_PERSO!F:L,7,0)="jeune docteur",VLOOKUP(A49,VALO_PERSO!F:AZ,VALO_PERSO!$AZ$2,0)*2*'Calcul FF'!G49/('Calcul FF'!G49+'Calcul FF'!H49),VLOOKUP(A49,VALO_PERSO!F:AZ,VALO_PERSO!$AZ$2,0)*'Calcul FF'!G49/('Calcul FF'!G49+'Calcul FF'!H49)),0)</f>
        <v>13469.278156026703</v>
      </c>
      <c r="J49" s="76">
        <f>IFERROR(VLOOKUP(A49,VALO_PERSO!F:AZ,VALO_PERSO!$AZ$2,0)*'Calcul FF'!H49/('Calcul FF'!G49+'Calcul FF'!H49),0)</f>
        <v>99416.100675435169</v>
      </c>
      <c r="K49" s="76">
        <f t="shared" si="0"/>
        <v>5791.7896070914821</v>
      </c>
      <c r="L49" s="76">
        <f t="shared" si="1"/>
        <v>39766.440270174069</v>
      </c>
      <c r="N49" s="148">
        <f t="shared" si="2"/>
        <v>112885.37883146187</v>
      </c>
      <c r="O49" s="76">
        <f>VLOOKUP(A49,VALO_PERSO!F:AZ,47,0)</f>
        <v>112885.37883146187</v>
      </c>
      <c r="P49" t="b">
        <f t="shared" si="3"/>
        <v>1</v>
      </c>
    </row>
    <row r="50" spans="1:16" x14ac:dyDescent="0.25">
      <c r="A50" s="445">
        <v>38</v>
      </c>
      <c r="B50" s="445" t="s">
        <v>1193</v>
      </c>
      <c r="C50" s="445" t="s">
        <v>984</v>
      </c>
      <c r="D50" t="str">
        <f>VLOOKUP(A50,VALO_PERSO!F:L,7,0)</f>
        <v>Technicien</v>
      </c>
      <c r="E50" s="72">
        <f>IF(VLOOKUP(A50,VALO_PERSO!$F:$M,8,0)&lt;='Calcul FF'!$K$1,'Calcul FF'!$K$1,VLOOKUP(A50,VALO_PERSO!$F:$M,8,0))</f>
        <v>45658</v>
      </c>
      <c r="F50" s="72">
        <f>IF(ISBLANK(VLOOKUP(A50,VALO_PERSO!$F:$N,9,0)),'Calcul FF'!$M$1,VLOOKUP(A50,VALO_PERSO!$F:$N,9,0))</f>
        <v>46022</v>
      </c>
      <c r="G50" s="76">
        <f>VLOOKUP(A50,FF!A:AL,37,0)</f>
        <v>216.59999999999991</v>
      </c>
      <c r="H50" s="76">
        <f>VLOOKUP(A50,FF!A:AL,38,0)</f>
        <v>1322.3999999999996</v>
      </c>
      <c r="I50" s="76">
        <f>IFERROR(IF(VLOOKUP(A50,VALO_PERSO!F:L,7,0)="jeune docteur",VLOOKUP(A50,VALO_PERSO!F:AZ,VALO_PERSO!$AZ$2,0)*2*'Calcul FF'!G50/('Calcul FF'!G50+'Calcul FF'!H50),VLOOKUP(A50,VALO_PERSO!F:AZ,VALO_PERSO!$AZ$2,0)*'Calcul FF'!G50/('Calcul FF'!G50+'Calcul FF'!H50)),0)</f>
        <v>6810.2310506969598</v>
      </c>
      <c r="J50" s="76">
        <f>IFERROR(VLOOKUP(A50,VALO_PERSO!F:AZ,VALO_PERSO!$AZ$2,0)*'Calcul FF'!H50/('Calcul FF'!G50+'Calcul FF'!H50),0)</f>
        <v>41578.252730570915</v>
      </c>
      <c r="K50" s="76">
        <f t="shared" si="0"/>
        <v>2928.3993517996928</v>
      </c>
      <c r="L50" s="76">
        <f t="shared" si="1"/>
        <v>16631.301092228368</v>
      </c>
      <c r="N50" s="148">
        <f t="shared" si="2"/>
        <v>48388.483781267874</v>
      </c>
      <c r="O50" s="76">
        <f>VLOOKUP(A50,VALO_PERSO!F:AZ,47,0)</f>
        <v>48388.483781267874</v>
      </c>
      <c r="P50" t="b">
        <f t="shared" si="3"/>
        <v>1</v>
      </c>
    </row>
    <row r="51" spans="1:16" x14ac:dyDescent="0.25">
      <c r="A51" s="445">
        <v>39</v>
      </c>
      <c r="B51" s="445" t="s">
        <v>1194</v>
      </c>
      <c r="C51" s="445" t="s">
        <v>1195</v>
      </c>
      <c r="D51" t="e">
        <f>VLOOKUP(A51,VALO_PERSO!F:L,7,0)</f>
        <v>#N/A</v>
      </c>
      <c r="E51" s="72" t="e">
        <f>IF(VLOOKUP(A51,VALO_PERSO!$F:$M,8,0)&lt;='Calcul FF'!$K$1,'Calcul FF'!$K$1,VLOOKUP(A51,VALO_PERSO!$F:$M,8,0))</f>
        <v>#N/A</v>
      </c>
      <c r="F51" s="72" t="e">
        <f>IF(ISBLANK(VLOOKUP(A51,VALO_PERSO!$F:$N,9,0)),'Calcul FF'!$M$1,VLOOKUP(A51,VALO_PERSO!$F:$N,9,0))</f>
        <v>#N/A</v>
      </c>
      <c r="G51" s="76"/>
      <c r="H51" s="76"/>
      <c r="I51" s="76">
        <f>IFERROR(IF(VLOOKUP(A51,VALO_PERSO!F:L,7,0)="jeune docteur",VLOOKUP(A51,VALO_PERSO!F:AZ,VALO_PERSO!$AZ$2,0)*2*'Calcul FF'!G51/('Calcul FF'!G51+'Calcul FF'!H51),VLOOKUP(A51,VALO_PERSO!F:AZ,VALO_PERSO!$AZ$2,0)*'Calcul FF'!G51/('Calcul FF'!G51+'Calcul FF'!H51)),0)</f>
        <v>0</v>
      </c>
      <c r="J51" s="76">
        <f>IFERROR(VLOOKUP(A51,VALO_PERSO!F:AZ,VALO_PERSO!$AZ$2,0)*'Calcul FF'!H51/('Calcul FF'!G51+'Calcul FF'!H51),0)</f>
        <v>0</v>
      </c>
      <c r="K51" s="76">
        <f t="shared" si="0"/>
        <v>0</v>
      </c>
      <c r="L51" s="76">
        <f t="shared" si="1"/>
        <v>0</v>
      </c>
      <c r="N51" s="148">
        <f t="shared" si="2"/>
        <v>0</v>
      </c>
      <c r="O51" s="76" t="e">
        <f>VLOOKUP(A51,VALO_PERSO!F:AZ,47,0)</f>
        <v>#N/A</v>
      </c>
      <c r="P51" t="e">
        <f t="shared" si="3"/>
        <v>#N/A</v>
      </c>
    </row>
    <row r="52" spans="1:16" x14ac:dyDescent="0.25">
      <c r="A52" s="445">
        <v>40</v>
      </c>
      <c r="B52" s="445" t="s">
        <v>987</v>
      </c>
      <c r="C52" s="445" t="s">
        <v>988</v>
      </c>
      <c r="D52" t="str">
        <f>VLOOKUP(A52,VALO_PERSO!F:L,7,0)</f>
        <v>Stagiaire/apprenti</v>
      </c>
      <c r="E52" s="72">
        <f>IF(VLOOKUP(A52,VALO_PERSO!$F:$M,8,0)&lt;='Calcul FF'!$K$1,'Calcul FF'!$K$1,VLOOKUP(A52,VALO_PERSO!$F:$M,8,0))</f>
        <v>45658</v>
      </c>
      <c r="F52" s="72">
        <f>IF(ISBLANK(VLOOKUP(A52,VALO_PERSO!$F:$N,9,0)),'Calcul FF'!$M$1,VLOOKUP(A52,VALO_PERSO!$F:$N,9,0))</f>
        <v>45898</v>
      </c>
      <c r="G52" s="76">
        <f>VLOOKUP(A52,FF!A:AL,37,0)</f>
        <v>105</v>
      </c>
      <c r="H52" s="76">
        <f>VLOOKUP(A52,FF!A:AL,38,0)</f>
        <v>320</v>
      </c>
      <c r="I52" s="76">
        <f>IFERROR(IF(VLOOKUP(A52,VALO_PERSO!F:L,7,0)="jeune docteur",VLOOKUP(A52,VALO_PERSO!F:AZ,VALO_PERSO!$AZ$2,0)*2*'Calcul FF'!G52/('Calcul FF'!G52+'Calcul FF'!H52),VLOOKUP(A52,VALO_PERSO!F:AZ,VALO_PERSO!$AZ$2,0)*'Calcul FF'!G52/('Calcul FF'!G52+'Calcul FF'!H52)),0)</f>
        <v>1055.367482608212</v>
      </c>
      <c r="J52" s="76">
        <f>IFERROR(VLOOKUP(A52,VALO_PERSO!F:AZ,VALO_PERSO!$AZ$2,0)*'Calcul FF'!H52/('Calcul FF'!G52+'Calcul FF'!H52),0)</f>
        <v>3216.3580422345503</v>
      </c>
      <c r="K52" s="76">
        <f t="shared" si="0"/>
        <v>453.80801752153116</v>
      </c>
      <c r="L52" s="76">
        <f t="shared" si="1"/>
        <v>1286.5432168938203</v>
      </c>
      <c r="N52" s="148">
        <f t="shared" si="2"/>
        <v>4271.7255248427628</v>
      </c>
      <c r="O52" s="76">
        <f>VLOOKUP(A52,VALO_PERSO!F:AZ,47,0)</f>
        <v>4271.7255248427628</v>
      </c>
      <c r="P52" t="b">
        <f t="shared" si="3"/>
        <v>1</v>
      </c>
    </row>
    <row r="53" spans="1:16" x14ac:dyDescent="0.25">
      <c r="A53" s="445">
        <v>41</v>
      </c>
      <c r="B53" s="445" t="s">
        <v>992</v>
      </c>
      <c r="C53" s="445" t="s">
        <v>993</v>
      </c>
      <c r="D53" t="str">
        <f>VLOOKUP(A53,VALO_PERSO!F:L,7,0)</f>
        <v>Technicien</v>
      </c>
      <c r="E53" s="72">
        <f>IF(VLOOKUP(A53,VALO_PERSO!$F:$M,8,0)&lt;='Calcul FF'!$K$1,'Calcul FF'!$K$1,VLOOKUP(A53,VALO_PERSO!$F:$M,8,0))</f>
        <v>45658</v>
      </c>
      <c r="F53" s="72">
        <f>IF(ISBLANK(VLOOKUP(A53,VALO_PERSO!$F:$N,9,0)),'Calcul FF'!$M$1,VLOOKUP(A53,VALO_PERSO!$F:$N,9,0))</f>
        <v>45926</v>
      </c>
      <c r="G53" s="76">
        <f>VLOOKUP(A53,FF!A:AL,37,0)</f>
        <v>205.29999999999998</v>
      </c>
      <c r="H53" s="76">
        <f>VLOOKUP(A53,FF!A:AL,38,0)</f>
        <v>794.23</v>
      </c>
      <c r="I53" s="76">
        <f>IFERROR(IF(VLOOKUP(A53,VALO_PERSO!F:L,7,0)="jeune docteur",VLOOKUP(A53,VALO_PERSO!F:AZ,VALO_PERSO!$AZ$2,0)*2*'Calcul FF'!G53/('Calcul FF'!G53+'Calcul FF'!H53),VLOOKUP(A53,VALO_PERSO!F:AZ,VALO_PERSO!$AZ$2,0)*'Calcul FF'!G53/('Calcul FF'!G53+'Calcul FF'!H53)),0)</f>
        <v>6023.9968021461473</v>
      </c>
      <c r="J53" s="76">
        <f>IFERROR(VLOOKUP(A53,VALO_PERSO!F:AZ,VALO_PERSO!$AZ$2,0)*'Calcul FF'!H53/('Calcul FF'!G53+'Calcul FF'!H53),0)</f>
        <v>23304.6224070557</v>
      </c>
      <c r="K53" s="76">
        <f t="shared" si="0"/>
        <v>2590.3186249228434</v>
      </c>
      <c r="L53" s="76">
        <f t="shared" si="1"/>
        <v>9321.8489628222796</v>
      </c>
      <c r="N53" s="148">
        <f t="shared" si="2"/>
        <v>29328.619209201846</v>
      </c>
      <c r="O53" s="76">
        <f>VLOOKUP(A53,VALO_PERSO!F:AZ,47,0)</f>
        <v>29328.619209201846</v>
      </c>
      <c r="P53" t="b">
        <f t="shared" si="3"/>
        <v>1</v>
      </c>
    </row>
    <row r="54" spans="1:16" x14ac:dyDescent="0.25">
      <c r="A54" s="445">
        <v>42</v>
      </c>
      <c r="B54" s="445" t="s">
        <v>996</v>
      </c>
      <c r="C54" s="445" t="s">
        <v>997</v>
      </c>
      <c r="D54" t="str">
        <f>VLOOKUP(A54,VALO_PERSO!F:L,7,0)</f>
        <v>Chercheur</v>
      </c>
      <c r="E54" s="72">
        <f>IF(VLOOKUP(A54,VALO_PERSO!$F:$M,8,0)&lt;='Calcul FF'!$K$1,'Calcul FF'!$K$1,VLOOKUP(A54,VALO_PERSO!$F:$M,8,0))</f>
        <v>45658</v>
      </c>
      <c r="F54" s="72">
        <f>IF(ISBLANK(VLOOKUP(A54,VALO_PERSO!$F:$N,9,0)),'Calcul FF'!$M$1,VLOOKUP(A54,VALO_PERSO!$F:$N,9,0))</f>
        <v>46022</v>
      </c>
      <c r="G54" s="76">
        <f>VLOOKUP(A54,FF!A:AL,37,0)</f>
        <v>191.87</v>
      </c>
      <c r="H54" s="76">
        <f>VLOOKUP(A54,FF!A:AL,38,0)</f>
        <v>1039.2999999999997</v>
      </c>
      <c r="I54" s="76">
        <f>IFERROR(IF(VLOOKUP(A54,VALO_PERSO!F:L,7,0)="jeune docteur",VLOOKUP(A54,VALO_PERSO!F:AZ,VALO_PERSO!$AZ$2,0)*2*'Calcul FF'!G54/('Calcul FF'!G54+'Calcul FF'!H54),VLOOKUP(A54,VALO_PERSO!F:AZ,VALO_PERSO!$AZ$2,0)*'Calcul FF'!G54/('Calcul FF'!G54+'Calcul FF'!H54)),0)</f>
        <v>9176.4774113404346</v>
      </c>
      <c r="J54" s="76">
        <f>IFERROR(VLOOKUP(A54,VALO_PERSO!F:AZ,VALO_PERSO!$AZ$2,0)*'Calcul FF'!H54/('Calcul FF'!G54+'Calcul FF'!H54),0)</f>
        <v>49706.118588659578</v>
      </c>
      <c r="K54" s="76">
        <f t="shared" si="0"/>
        <v>3945.885286876387</v>
      </c>
      <c r="L54" s="76">
        <f t="shared" si="1"/>
        <v>19882.447435463833</v>
      </c>
      <c r="N54" s="148">
        <f t="shared" si="2"/>
        <v>58882.596000000012</v>
      </c>
      <c r="O54" s="76">
        <f>VLOOKUP(A54,VALO_PERSO!F:AZ,47,0)</f>
        <v>58882.596000000005</v>
      </c>
      <c r="P54" t="b">
        <f t="shared" si="3"/>
        <v>1</v>
      </c>
    </row>
    <row r="55" spans="1:16" x14ac:dyDescent="0.25">
      <c r="A55" s="445">
        <v>43</v>
      </c>
      <c r="B55" s="445" t="s">
        <v>1000</v>
      </c>
      <c r="C55" s="445" t="s">
        <v>1001</v>
      </c>
      <c r="D55" t="str">
        <f>VLOOKUP(A55,VALO_PERSO!F:L,7,0)</f>
        <v>Technicien</v>
      </c>
      <c r="E55" s="72">
        <f>IF(VLOOKUP(A55,VALO_PERSO!$F:$M,8,0)&lt;='Calcul FF'!$K$1,'Calcul FF'!$K$1,VLOOKUP(A55,VALO_PERSO!$F:$M,8,0))</f>
        <v>45658</v>
      </c>
      <c r="F55" s="72">
        <f>IF(ISBLANK(VLOOKUP(A55,VALO_PERSO!$F:$N,9,0)),'Calcul FF'!$M$1,VLOOKUP(A55,VALO_PERSO!$F:$N,9,0))</f>
        <v>45671</v>
      </c>
      <c r="G55" s="76">
        <f>VLOOKUP(A55,FF!A:AL,37,0)</f>
        <v>15.2</v>
      </c>
      <c r="H55" s="76">
        <f>VLOOKUP(A55,FF!A:AL,38,0)</f>
        <v>0</v>
      </c>
      <c r="I55" s="76">
        <f>IFERROR(IF(VLOOKUP(A55,VALO_PERSO!F:L,7,0)="jeune docteur",VLOOKUP(A55,VALO_PERSO!F:AZ,VALO_PERSO!$AZ$2,0)*2*'Calcul FF'!G55/('Calcul FF'!G55+'Calcul FF'!H55),VLOOKUP(A55,VALO_PERSO!F:AZ,VALO_PERSO!$AZ$2,0)*'Calcul FF'!G55/('Calcul FF'!G55+'Calcul FF'!H55)),0)</f>
        <v>5711.4266666666654</v>
      </c>
      <c r="J55" s="76">
        <f>IFERROR(VLOOKUP(A55,VALO_PERSO!F:AZ,VALO_PERSO!$AZ$2,0)*'Calcul FF'!H55/('Calcul FF'!G55+'Calcul FF'!H55),0)</f>
        <v>0</v>
      </c>
      <c r="K55" s="76">
        <f t="shared" si="0"/>
        <v>2455.913466666666</v>
      </c>
      <c r="L55" s="76">
        <f t="shared" si="1"/>
        <v>0</v>
      </c>
      <c r="N55" s="148">
        <f t="shared" si="2"/>
        <v>5711.4266666666654</v>
      </c>
      <c r="O55" s="76">
        <f>VLOOKUP(A55,VALO_PERSO!F:AZ,47,0)</f>
        <v>5711.4266666666654</v>
      </c>
      <c r="P55" t="b">
        <f t="shared" si="3"/>
        <v>1</v>
      </c>
    </row>
    <row r="56" spans="1:16" x14ac:dyDescent="0.25">
      <c r="A56" s="445">
        <v>44</v>
      </c>
      <c r="B56" s="445" t="s">
        <v>1005</v>
      </c>
      <c r="C56" s="445" t="s">
        <v>1006</v>
      </c>
      <c r="D56" t="str">
        <f>VLOOKUP(A56,VALO_PERSO!F:L,7,0)</f>
        <v>Technicien</v>
      </c>
      <c r="E56" s="72">
        <f>IF(VLOOKUP(A56,VALO_PERSO!$F:$M,8,0)&lt;='Calcul FF'!$K$1,'Calcul FF'!$K$1,VLOOKUP(A56,VALO_PERSO!$F:$M,8,0))</f>
        <v>45658</v>
      </c>
      <c r="F56" s="72">
        <f>IF(ISBLANK(VLOOKUP(A56,VALO_PERSO!$F:$N,9,0)),'Calcul FF'!$M$1,VLOOKUP(A56,VALO_PERSO!$F:$N,9,0))</f>
        <v>45851</v>
      </c>
      <c r="G56" s="76">
        <f>VLOOKUP(A56,FF!A:AL,37,0)</f>
        <v>94.999999999999986</v>
      </c>
      <c r="H56" s="76">
        <f>VLOOKUP(A56,FF!A:AL,38,0)</f>
        <v>338.19999999999993</v>
      </c>
      <c r="I56" s="76">
        <f>IFERROR(IF(VLOOKUP(A56,VALO_PERSO!F:L,7,0)="jeune docteur",VLOOKUP(A56,VALO_PERSO!F:AZ,VALO_PERSO!$AZ$2,0)*2*'Calcul FF'!G56/('Calcul FF'!G56+'Calcul FF'!H56),VLOOKUP(A56,VALO_PERSO!F:AZ,VALO_PERSO!$AZ$2,0)*'Calcul FF'!G56/('Calcul FF'!G56+'Calcul FF'!H56)),0)</f>
        <v>5790.4135162782432</v>
      </c>
      <c r="J56" s="76">
        <f>IFERROR(VLOOKUP(A56,VALO_PERSO!F:AZ,VALO_PERSO!$AZ$2,0)*'Calcul FF'!H56/('Calcul FF'!G56+'Calcul FF'!H56),0)</f>
        <v>20613.872117950545</v>
      </c>
      <c r="K56" s="76">
        <f t="shared" si="0"/>
        <v>2489.8778119996446</v>
      </c>
      <c r="L56" s="76">
        <f t="shared" si="1"/>
        <v>8245.5488471802182</v>
      </c>
      <c r="N56" s="148">
        <f t="shared" si="2"/>
        <v>26404.285634228789</v>
      </c>
      <c r="O56" s="76">
        <f>VLOOKUP(A56,VALO_PERSO!F:AZ,47,0)</f>
        <v>26404.285634228785</v>
      </c>
      <c r="P56" t="b">
        <f t="shared" si="3"/>
        <v>1</v>
      </c>
    </row>
    <row r="57" spans="1:16" x14ac:dyDescent="0.25">
      <c r="A57" s="445">
        <v>45</v>
      </c>
      <c r="B57" s="445" t="s">
        <v>1196</v>
      </c>
      <c r="C57" s="445" t="s">
        <v>1197</v>
      </c>
      <c r="D57" t="e">
        <f>VLOOKUP(A57,VALO_PERSO!F:L,7,0)</f>
        <v>#N/A</v>
      </c>
      <c r="E57" s="72" t="e">
        <f>IF(VLOOKUP(A57,VALO_PERSO!$F:$M,8,0)&lt;='Calcul FF'!$K$1,'Calcul FF'!$K$1,VLOOKUP(A57,VALO_PERSO!$F:$M,8,0))</f>
        <v>#N/A</v>
      </c>
      <c r="F57" s="72" t="e">
        <f>IF(ISBLANK(VLOOKUP(A57,VALO_PERSO!$F:$N,9,0)),'Calcul FF'!$M$1,VLOOKUP(A57,VALO_PERSO!$F:$N,9,0))</f>
        <v>#N/A</v>
      </c>
      <c r="G57" s="76"/>
      <c r="H57" s="76"/>
      <c r="I57" s="76">
        <f>IFERROR(IF(VLOOKUP(A57,VALO_PERSO!F:L,7,0)="jeune docteur",VLOOKUP(A57,VALO_PERSO!F:AZ,VALO_PERSO!$AZ$2,0)*2*'Calcul FF'!G57/('Calcul FF'!G57+'Calcul FF'!H57),VLOOKUP(A57,VALO_PERSO!F:AZ,VALO_PERSO!$AZ$2,0)*'Calcul FF'!G57/('Calcul FF'!G57+'Calcul FF'!H57)),0)</f>
        <v>0</v>
      </c>
      <c r="J57" s="76">
        <f>IFERROR(VLOOKUP(A57,VALO_PERSO!F:AZ,VALO_PERSO!$AZ$2,0)*'Calcul FF'!H57/('Calcul FF'!G57+'Calcul FF'!H57),0)</f>
        <v>0</v>
      </c>
      <c r="K57" s="76">
        <f t="shared" si="0"/>
        <v>0</v>
      </c>
      <c r="L57" s="76">
        <f t="shared" si="1"/>
        <v>0</v>
      </c>
      <c r="N57" s="148">
        <f t="shared" si="2"/>
        <v>0</v>
      </c>
      <c r="O57" s="76" t="e">
        <f>VLOOKUP(A57,VALO_PERSO!F:AZ,47,0)</f>
        <v>#N/A</v>
      </c>
      <c r="P57" t="e">
        <f t="shared" si="3"/>
        <v>#N/A</v>
      </c>
    </row>
    <row r="58" spans="1:16" x14ac:dyDescent="0.25">
      <c r="A58" s="445">
        <v>46</v>
      </c>
      <c r="B58" s="445" t="s">
        <v>1010</v>
      </c>
      <c r="C58" s="445" t="s">
        <v>1011</v>
      </c>
      <c r="D58" t="str">
        <f>VLOOKUP(A58,VALO_PERSO!F:L,7,0)</f>
        <v>Chercheur</v>
      </c>
      <c r="E58" s="72">
        <f>IF(VLOOKUP(A58,VALO_PERSO!$F:$M,8,0)&lt;='Calcul FF'!$K$1,'Calcul FF'!$K$1,VLOOKUP(A58,VALO_PERSO!$F:$M,8,0))</f>
        <v>45658</v>
      </c>
      <c r="F58" s="72">
        <f>IF(ISBLANK(VLOOKUP(A58,VALO_PERSO!$F:$N,9,0)),'Calcul FF'!$M$1,VLOOKUP(A58,VALO_PERSO!$F:$N,9,0))</f>
        <v>46022</v>
      </c>
      <c r="G58" s="76">
        <f>VLOOKUP(A58,FF!A:AL,37,0)</f>
        <v>0</v>
      </c>
      <c r="H58" s="76">
        <f>VLOOKUP(A58,FF!A:AL,38,0)</f>
        <v>957.5999999999998</v>
      </c>
      <c r="I58" s="76">
        <f>IFERROR(IF(VLOOKUP(A58,VALO_PERSO!F:L,7,0)="jeune docteur",VLOOKUP(A58,VALO_PERSO!F:AZ,VALO_PERSO!$AZ$2,0)*2*'Calcul FF'!G58/('Calcul FF'!G58+'Calcul FF'!H58),VLOOKUP(A58,VALO_PERSO!F:AZ,VALO_PERSO!$AZ$2,0)*'Calcul FF'!G58/('Calcul FF'!G58+'Calcul FF'!H58)),0)</f>
        <v>0</v>
      </c>
      <c r="J58" s="76">
        <f>IFERROR(VLOOKUP(A58,VALO_PERSO!F:AZ,VALO_PERSO!$AZ$2,0)*'Calcul FF'!H58/('Calcul FF'!G58+'Calcul FF'!H58),0)</f>
        <v>50453.42993593483</v>
      </c>
      <c r="K58" s="76">
        <f t="shared" si="0"/>
        <v>0</v>
      </c>
      <c r="L58" s="76">
        <f t="shared" si="1"/>
        <v>20181.371974373935</v>
      </c>
      <c r="N58" s="148">
        <f t="shared" si="2"/>
        <v>50453.42993593483</v>
      </c>
      <c r="O58" s="76">
        <f>VLOOKUP(A58,VALO_PERSO!F:AZ,47,0)</f>
        <v>50453.42993593483</v>
      </c>
      <c r="P58" t="b">
        <f t="shared" si="3"/>
        <v>1</v>
      </c>
    </row>
    <row r="59" spans="1:16" x14ac:dyDescent="0.25">
      <c r="A59" s="445">
        <v>48</v>
      </c>
      <c r="B59" s="445" t="s">
        <v>1019</v>
      </c>
      <c r="C59" s="445" t="s">
        <v>1020</v>
      </c>
      <c r="D59" t="str">
        <f>VLOOKUP(A59,VALO_PERSO!F:L,7,0)</f>
        <v>Chercheur</v>
      </c>
      <c r="E59" s="72">
        <f>IF(VLOOKUP(A59,VALO_PERSO!$F:$M,8,0)&lt;='Calcul FF'!$K$1,'Calcul FF'!$K$1,VLOOKUP(A59,VALO_PERSO!$F:$M,8,0))</f>
        <v>45658</v>
      </c>
      <c r="F59" s="72">
        <f>IF(ISBLANK(VLOOKUP(A59,VALO_PERSO!$F:$N,9,0)),'Calcul FF'!$M$1,VLOOKUP(A59,VALO_PERSO!$F:$N,9,0))</f>
        <v>45730</v>
      </c>
      <c r="G59" s="76">
        <f>VLOOKUP(A59,FF!A:AL,37,0)</f>
        <v>220.39999999999989</v>
      </c>
      <c r="H59" s="76">
        <f>VLOOKUP(A59,FF!A:AL,38,0)</f>
        <v>114</v>
      </c>
      <c r="I59" s="76">
        <f>IFERROR(IF(VLOOKUP(A59,VALO_PERSO!F:L,7,0)="jeune docteur",VLOOKUP(A59,VALO_PERSO!F:AZ,VALO_PERSO!$AZ$2,0)*2*'Calcul FF'!G59/('Calcul FF'!G59+'Calcul FF'!H59),VLOOKUP(A59,VALO_PERSO!F:AZ,VALO_PERSO!$AZ$2,0)*'Calcul FF'!G59/('Calcul FF'!G59+'Calcul FF'!H59)),0)</f>
        <v>9689.2264120276341</v>
      </c>
      <c r="J59" s="76">
        <f>IFERROR(VLOOKUP(A59,VALO_PERSO!F:AZ,VALO_PERSO!$AZ$2,0)*'Calcul FF'!H59/('Calcul FF'!G59+'Calcul FF'!H59),0)</f>
        <v>5011.6688338073991</v>
      </c>
      <c r="K59" s="76">
        <f t="shared" si="0"/>
        <v>4166.3673571718828</v>
      </c>
      <c r="L59" s="76">
        <f t="shared" si="1"/>
        <v>2004.6675335229597</v>
      </c>
      <c r="N59" s="148">
        <f t="shared" si="2"/>
        <v>14700.895245835032</v>
      </c>
      <c r="O59" s="76">
        <f>VLOOKUP(A59,VALO_PERSO!F:AZ,47,0)</f>
        <v>14700.895245835032</v>
      </c>
      <c r="P59" t="b">
        <f t="shared" si="3"/>
        <v>1</v>
      </c>
    </row>
    <row r="60" spans="1:16" x14ac:dyDescent="0.25">
      <c r="A60" s="445">
        <v>49</v>
      </c>
      <c r="B60" s="445" t="s">
        <v>1198</v>
      </c>
      <c r="C60" s="445" t="s">
        <v>1199</v>
      </c>
      <c r="D60" t="str">
        <f>VLOOKUP(A60,VALO_PERSO!F:L,7,0)</f>
        <v>Chercheur</v>
      </c>
      <c r="E60" s="72">
        <f>IF(VLOOKUP(A60,VALO_PERSO!$F:$M,8,0)&lt;='Calcul FF'!$K$1,'Calcul FF'!$K$1,VLOOKUP(A60,VALO_PERSO!$F:$M,8,0))</f>
        <v>45658</v>
      </c>
      <c r="F60" s="72">
        <f>IF(ISBLANK(VLOOKUP(A60,VALO_PERSO!$F:$N,9,0)),'Calcul FF'!$M$1,VLOOKUP(A60,VALO_PERSO!$F:$N,9,0))</f>
        <v>46022</v>
      </c>
      <c r="G60" s="76">
        <f>VLOOKUP(A60,FF!A:AL,37,0)</f>
        <v>156</v>
      </c>
      <c r="H60" s="76">
        <f>VLOOKUP(A60,FF!A:AL,38,0)</f>
        <v>256</v>
      </c>
      <c r="I60" s="76">
        <f>IFERROR(IF(VLOOKUP(A60,VALO_PERSO!F:L,7,0)="jeune docteur",VLOOKUP(A60,VALO_PERSO!F:AZ,VALO_PERSO!$AZ$2,0)*2*'Calcul FF'!G60/('Calcul FF'!G60+'Calcul FF'!H60),VLOOKUP(A60,VALO_PERSO!F:AZ,VALO_PERSO!$AZ$2,0)*'Calcul FF'!G60/('Calcul FF'!G60+'Calcul FF'!H60)),0)</f>
        <v>40659.806679611662</v>
      </c>
      <c r="J60" s="76">
        <f>IFERROR(VLOOKUP(A60,VALO_PERSO!F:AZ,VALO_PERSO!$AZ$2,0)*'Calcul FF'!H60/('Calcul FF'!G60+'Calcul FF'!H60),0)</f>
        <v>66723.785320388357</v>
      </c>
      <c r="K60" s="76">
        <f t="shared" si="0"/>
        <v>17483.716872233013</v>
      </c>
      <c r="L60" s="76">
        <f t="shared" si="1"/>
        <v>26689.514128155344</v>
      </c>
      <c r="N60" s="148">
        <f t="shared" si="2"/>
        <v>107383.59200000002</v>
      </c>
      <c r="O60" s="76">
        <f>VLOOKUP(A60,VALO_PERSO!F:AZ,47,0)</f>
        <v>107383.59200000002</v>
      </c>
      <c r="P60" t="b">
        <f t="shared" si="3"/>
        <v>1</v>
      </c>
    </row>
    <row r="61" spans="1:16" x14ac:dyDescent="0.25">
      <c r="A61" s="445">
        <v>50</v>
      </c>
      <c r="B61" s="445" t="s">
        <v>1029</v>
      </c>
      <c r="C61" s="445" t="s">
        <v>1030</v>
      </c>
      <c r="D61" t="str">
        <f>VLOOKUP(A61,VALO_PERSO!F:L,7,0)</f>
        <v>Chercheur</v>
      </c>
      <c r="E61" s="72">
        <f>IF(VLOOKUP(A61,VALO_PERSO!$F:$M,8,0)&lt;='Calcul FF'!$K$1,'Calcul FF'!$K$1,VLOOKUP(A61,VALO_PERSO!$F:$M,8,0))</f>
        <v>45790</v>
      </c>
      <c r="F61" s="72">
        <f>IF(ISBLANK(VLOOKUP(A61,VALO_PERSO!$F:$N,9,0)),'Calcul FF'!$M$1,VLOOKUP(A61,VALO_PERSO!$F:$N,9,0))</f>
        <v>46022</v>
      </c>
      <c r="G61" s="76">
        <f>VLOOKUP(A61,FF!A:AL,37,0)</f>
        <v>163.39999999999995</v>
      </c>
      <c r="H61" s="76">
        <f>VLOOKUP(A61,FF!A:AL,38,0)</f>
        <v>1071.5999999999997</v>
      </c>
      <c r="I61" s="76">
        <f>IFERROR(IF(VLOOKUP(A61,VALO_PERSO!F:L,7,0)="jeune docteur",VLOOKUP(A61,VALO_PERSO!F:AZ,VALO_PERSO!$AZ$2,0)*2*'Calcul FF'!G61/('Calcul FF'!G61+'Calcul FF'!H61),VLOOKUP(A61,VALO_PERSO!F:AZ,VALO_PERSO!$AZ$2,0)*'Calcul FF'!G61/('Calcul FF'!G61+'Calcul FF'!H61)),0)</f>
        <v>7420.8583805755152</v>
      </c>
      <c r="J61" s="76">
        <f>IFERROR(VLOOKUP(A61,VALO_PERSO!F:AZ,VALO_PERSO!$AZ$2,0)*'Calcul FF'!H61/('Calcul FF'!G61+'Calcul FF'!H61),0)</f>
        <v>48667.02472842548</v>
      </c>
      <c r="K61" s="76">
        <f t="shared" si="0"/>
        <v>3190.9691036474715</v>
      </c>
      <c r="L61" s="76">
        <f t="shared" si="1"/>
        <v>19466.809891370194</v>
      </c>
      <c r="N61" s="148">
        <f t="shared" si="2"/>
        <v>56087.883109000992</v>
      </c>
      <c r="O61" s="76">
        <f>VLOOKUP(A61,VALO_PERSO!F:AZ,47,0)</f>
        <v>56087.883109000992</v>
      </c>
      <c r="P61" t="b">
        <f t="shared" si="3"/>
        <v>1</v>
      </c>
    </row>
    <row r="62" spans="1:16" x14ac:dyDescent="0.25">
      <c r="A62" s="445">
        <v>51</v>
      </c>
      <c r="B62" s="445" t="s">
        <v>1034</v>
      </c>
      <c r="C62" s="445" t="s">
        <v>1035</v>
      </c>
      <c r="D62" t="str">
        <f>VLOOKUP(A62,VALO_PERSO!F:L,7,0)</f>
        <v>Chercheur</v>
      </c>
      <c r="E62" s="72">
        <f>IF(VLOOKUP(A62,VALO_PERSO!$F:$M,8,0)&lt;='Calcul FF'!$K$1,'Calcul FF'!$K$1,VLOOKUP(A62,VALO_PERSO!$F:$M,8,0))</f>
        <v>45658</v>
      </c>
      <c r="F62" s="72">
        <f>IF(ISBLANK(VLOOKUP(A62,VALO_PERSO!$F:$N,9,0)),'Calcul FF'!$M$1,VLOOKUP(A62,VALO_PERSO!$F:$N,9,0))</f>
        <v>45744</v>
      </c>
      <c r="G62" s="76">
        <f>VLOOKUP(A62,FF!A:AL,37,0)</f>
        <v>216.59999999999991</v>
      </c>
      <c r="H62" s="76">
        <f>VLOOKUP(A62,FF!A:AL,38,0)</f>
        <v>220.39999999999995</v>
      </c>
      <c r="I62" s="76">
        <f>IFERROR(IF(VLOOKUP(A62,VALO_PERSO!F:L,7,0)="jeune docteur",VLOOKUP(A62,VALO_PERSO!F:AZ,VALO_PERSO!$AZ$2,0)*2*'Calcul FF'!G62/('Calcul FF'!G62+'Calcul FF'!H62),VLOOKUP(A62,VALO_PERSO!F:AZ,VALO_PERSO!$AZ$2,0)*'Calcul FF'!G62/('Calcul FF'!G62+'Calcul FF'!H62)),0)</f>
        <v>10262.192327138875</v>
      </c>
      <c r="J62" s="76">
        <f>IFERROR(VLOOKUP(A62,VALO_PERSO!F:AZ,VALO_PERSO!$AZ$2,0)*'Calcul FF'!H62/('Calcul FF'!G62+'Calcul FF'!H62),0)</f>
        <v>10442.230789018506</v>
      </c>
      <c r="K62" s="76">
        <f t="shared" si="0"/>
        <v>4412.7427006697162</v>
      </c>
      <c r="L62" s="76">
        <f t="shared" si="1"/>
        <v>4176.8923156074025</v>
      </c>
      <c r="N62" s="148">
        <f t="shared" si="2"/>
        <v>20704.423116157381</v>
      </c>
      <c r="O62" s="76">
        <f>VLOOKUP(A62,VALO_PERSO!F:AZ,47,0)</f>
        <v>20704.423116157381</v>
      </c>
      <c r="P62" t="b">
        <f t="shared" si="3"/>
        <v>1</v>
      </c>
    </row>
    <row r="63" spans="1:16" x14ac:dyDescent="0.25">
      <c r="A63" s="445">
        <v>53</v>
      </c>
      <c r="B63" s="445" t="s">
        <v>1200</v>
      </c>
      <c r="C63" s="445" t="s">
        <v>1201</v>
      </c>
      <c r="D63" t="str">
        <f>VLOOKUP(A63,VALO_PERSO!F:L,7,0)</f>
        <v>Chercheur</v>
      </c>
      <c r="E63" s="72">
        <f>IF(VLOOKUP(A63,VALO_PERSO!$F:$M,8,0)&lt;='Calcul FF'!$K$1,'Calcul FF'!$K$1,VLOOKUP(A63,VALO_PERSO!$F:$M,8,0))</f>
        <v>45658</v>
      </c>
      <c r="F63" s="72">
        <f>IF(ISBLANK(VLOOKUP(A63,VALO_PERSO!$F:$N,9,0)),'Calcul FF'!$M$1,VLOOKUP(A63,VALO_PERSO!$F:$N,9,0))</f>
        <v>46022</v>
      </c>
      <c r="G63" s="76">
        <f>VLOOKUP(A63,FF!A:AL,37,0)</f>
        <v>0</v>
      </c>
      <c r="H63" s="76">
        <f>VLOOKUP(A63,FF!A:AL,38,0)</f>
        <v>324</v>
      </c>
      <c r="I63" s="76">
        <f>IFERROR(IF(VLOOKUP(A63,VALO_PERSO!F:L,7,0)="jeune docteur",VLOOKUP(A63,VALO_PERSO!F:AZ,VALO_PERSO!$AZ$2,0)*2*'Calcul FF'!G63/('Calcul FF'!G63+'Calcul FF'!H63),VLOOKUP(A63,VALO_PERSO!F:AZ,VALO_PERSO!$AZ$2,0)*'Calcul FF'!G63/('Calcul FF'!G63+'Calcul FF'!H63)),0)</f>
        <v>0</v>
      </c>
      <c r="J63" s="76">
        <f>IFERROR(VLOOKUP(A63,VALO_PERSO!F:AZ,VALO_PERSO!$AZ$2,0)*'Calcul FF'!H63/('Calcul FF'!G63+'Calcul FF'!H63),0)</f>
        <v>18461.875187165773</v>
      </c>
      <c r="K63" s="76">
        <f t="shared" si="0"/>
        <v>0</v>
      </c>
      <c r="L63" s="76">
        <f t="shared" si="1"/>
        <v>7384.7500748663097</v>
      </c>
      <c r="N63" s="148">
        <f t="shared" si="2"/>
        <v>18461.875187165773</v>
      </c>
      <c r="O63" s="76">
        <f>VLOOKUP(A63,VALO_PERSO!F:AZ,47,0)</f>
        <v>18461.875187165773</v>
      </c>
      <c r="P63" t="b">
        <f t="shared" si="3"/>
        <v>1</v>
      </c>
    </row>
    <row r="64" spans="1:16" x14ac:dyDescent="0.25">
      <c r="A64" s="445">
        <v>54</v>
      </c>
      <c r="B64" s="445" t="s">
        <v>1038</v>
      </c>
      <c r="C64" s="445" t="s">
        <v>901</v>
      </c>
      <c r="D64" t="str">
        <f>VLOOKUP(A64,VALO_PERSO!F:L,7,0)</f>
        <v>Stagiaire/apprenti</v>
      </c>
      <c r="E64" s="72">
        <f>IF(VLOOKUP(A64,VALO_PERSO!$F:$M,8,0)&lt;='Calcul FF'!$K$1,'Calcul FF'!$K$1,VLOOKUP(A64,VALO_PERSO!$F:$M,8,0))</f>
        <v>45658</v>
      </c>
      <c r="F64" s="72">
        <f>IF(ISBLANK(VLOOKUP(A64,VALO_PERSO!$F:$N,9,0)),'Calcul FF'!$M$1,VLOOKUP(A64,VALO_PERSO!$F:$N,9,0))</f>
        <v>45898</v>
      </c>
      <c r="G64" s="76">
        <f>VLOOKUP(A64,FF!A:AL,37,0)</f>
        <v>105</v>
      </c>
      <c r="H64" s="76">
        <f>VLOOKUP(A64,FF!A:AL,38,0)</f>
        <v>630</v>
      </c>
      <c r="I64" s="76">
        <f>IFERROR(IF(VLOOKUP(A64,VALO_PERSO!F:L,7,0)="jeune docteur",VLOOKUP(A64,VALO_PERSO!F:AZ,VALO_PERSO!$AZ$2,0)*2*'Calcul FF'!G64/('Calcul FF'!G64+'Calcul FF'!H64),VLOOKUP(A64,VALO_PERSO!F:AZ,VALO_PERSO!$AZ$2,0)*'Calcul FF'!G64/('Calcul FF'!G64+'Calcul FF'!H64)),0)</f>
        <v>827.19292688380426</v>
      </c>
      <c r="J64" s="76">
        <f>IFERROR(VLOOKUP(A64,VALO_PERSO!F:AZ,VALO_PERSO!$AZ$2,0)*'Calcul FF'!H64/('Calcul FF'!G64+'Calcul FF'!H64),0)</f>
        <v>4963.1575613028253</v>
      </c>
      <c r="K64" s="76">
        <f t="shared" si="0"/>
        <v>355.69295856003583</v>
      </c>
      <c r="L64" s="76">
        <f t="shared" si="1"/>
        <v>1985.2630245211303</v>
      </c>
      <c r="N64" s="148">
        <f t="shared" si="2"/>
        <v>5790.3504881866293</v>
      </c>
      <c r="O64" s="76">
        <f>VLOOKUP(A64,VALO_PERSO!F:AZ,47,0)</f>
        <v>5790.3504881866302</v>
      </c>
      <c r="P64" t="b">
        <f t="shared" si="3"/>
        <v>1</v>
      </c>
    </row>
    <row r="65" spans="1:16" x14ac:dyDescent="0.25">
      <c r="A65" s="445">
        <v>55</v>
      </c>
      <c r="B65" s="445" t="s">
        <v>1041</v>
      </c>
      <c r="C65" s="445" t="s">
        <v>1202</v>
      </c>
      <c r="D65" t="str">
        <f>VLOOKUP(A65,VALO_PERSO!F:L,7,0)</f>
        <v>Stagiaire/apprenti</v>
      </c>
      <c r="E65" s="72">
        <f>IF(VLOOKUP(A65,VALO_PERSO!$F:$M,8,0)&lt;='Calcul FF'!$K$1,'Calcul FF'!$K$1,VLOOKUP(A65,VALO_PERSO!$F:$M,8,0))</f>
        <v>45658</v>
      </c>
      <c r="F65" s="72">
        <f>IF(ISBLANK(VLOOKUP(A65,VALO_PERSO!$F:$N,9,0)),'Calcul FF'!$M$1,VLOOKUP(A65,VALO_PERSO!$F:$N,9,0))</f>
        <v>45900</v>
      </c>
      <c r="G65" s="76">
        <f>VLOOKUP(A65,FF!A:AL,37,0)</f>
        <v>84</v>
      </c>
      <c r="H65" s="76">
        <f>VLOOKUP(A65,FF!A:AL,38,0)</f>
        <v>637</v>
      </c>
      <c r="I65" s="76">
        <f>IFERROR(IF(VLOOKUP(A65,VALO_PERSO!F:L,7,0)="jeune docteur",VLOOKUP(A65,VALO_PERSO!F:AZ,VALO_PERSO!$AZ$2,0)*2*'Calcul FF'!G65/('Calcul FF'!G65+'Calcul FF'!H65),VLOOKUP(A65,VALO_PERSO!F:AZ,VALO_PERSO!$AZ$2,0)*'Calcul FF'!G65/('Calcul FF'!G65+'Calcul FF'!H65)),0)</f>
        <v>656.94619392840968</v>
      </c>
      <c r="J65" s="76">
        <f>IFERROR(VLOOKUP(A65,VALO_PERSO!F:AZ,VALO_PERSO!$AZ$2,0)*'Calcul FF'!H65/('Calcul FF'!G65+'Calcul FF'!H65),0)</f>
        <v>4981.8419706237728</v>
      </c>
      <c r="K65" s="76">
        <f t="shared" si="0"/>
        <v>282.48686338921618</v>
      </c>
      <c r="L65" s="76">
        <f t="shared" si="1"/>
        <v>1992.7367882495091</v>
      </c>
      <c r="N65" s="148">
        <f t="shared" si="2"/>
        <v>5638.7881645521829</v>
      </c>
      <c r="O65" s="76">
        <f>VLOOKUP(A65,VALO_PERSO!F:AZ,47,0)</f>
        <v>5638.7881645521829</v>
      </c>
      <c r="P65" t="b">
        <f t="shared" si="3"/>
        <v>1</v>
      </c>
    </row>
    <row r="66" spans="1:16" x14ac:dyDescent="0.25">
      <c r="A66" s="445">
        <v>56</v>
      </c>
      <c r="B66" s="445" t="s">
        <v>1203</v>
      </c>
      <c r="C66" s="445" t="s">
        <v>1204</v>
      </c>
      <c r="D66" t="e">
        <f>VLOOKUP(A66,VALO_PERSO!F:L,7,0)</f>
        <v>#N/A</v>
      </c>
      <c r="E66" s="72" t="e">
        <f>IF(VLOOKUP(A66,VALO_PERSO!$F:$M,8,0)&lt;='Calcul FF'!$K$1,'Calcul FF'!$K$1,VLOOKUP(A66,VALO_PERSO!$F:$M,8,0))</f>
        <v>#N/A</v>
      </c>
      <c r="F66" s="72" t="e">
        <f>IF(ISBLANK(VLOOKUP(A66,VALO_PERSO!$F:$N,9,0)),'Calcul FF'!$M$1,VLOOKUP(A66,VALO_PERSO!$F:$N,9,0))</f>
        <v>#N/A</v>
      </c>
      <c r="G66" s="76"/>
      <c r="H66" s="76"/>
      <c r="I66" s="76">
        <f>IFERROR(IF(VLOOKUP(A66,VALO_PERSO!F:L,7,0)="jeune docteur",VLOOKUP(A66,VALO_PERSO!F:AZ,VALO_PERSO!$AZ$2,0)*2*'Calcul FF'!G66/('Calcul FF'!G66+'Calcul FF'!H66),VLOOKUP(A66,VALO_PERSO!F:AZ,VALO_PERSO!$AZ$2,0)*'Calcul FF'!G66/('Calcul FF'!G66+'Calcul FF'!H66)),0)</f>
        <v>0</v>
      </c>
      <c r="J66" s="76">
        <f>IFERROR(VLOOKUP(A66,VALO_PERSO!F:AZ,VALO_PERSO!$AZ$2,0)*'Calcul FF'!H66/('Calcul FF'!G66+'Calcul FF'!H66),0)</f>
        <v>0</v>
      </c>
      <c r="K66" s="76">
        <f t="shared" si="0"/>
        <v>0</v>
      </c>
      <c r="L66" s="76">
        <f t="shared" si="1"/>
        <v>0</v>
      </c>
      <c r="N66" s="148">
        <f t="shared" si="2"/>
        <v>0</v>
      </c>
      <c r="O66" s="76" t="e">
        <f>VLOOKUP(A66,VALO_PERSO!F:AZ,47,0)</f>
        <v>#N/A</v>
      </c>
      <c r="P66" t="e">
        <f t="shared" si="3"/>
        <v>#N/A</v>
      </c>
    </row>
    <row r="67" spans="1:16" x14ac:dyDescent="0.25">
      <c r="A67" s="445">
        <v>57</v>
      </c>
      <c r="B67" s="445" t="s">
        <v>1205</v>
      </c>
      <c r="C67" s="445" t="s">
        <v>1206</v>
      </c>
      <c r="D67" t="e">
        <f>VLOOKUP(A67,VALO_PERSO!F:L,7,0)</f>
        <v>#N/A</v>
      </c>
      <c r="E67" s="72" t="e">
        <f>IF(VLOOKUP(A67,VALO_PERSO!$F:$M,8,0)&lt;='Calcul FF'!$K$1,'Calcul FF'!$K$1,VLOOKUP(A67,VALO_PERSO!$F:$M,8,0))</f>
        <v>#N/A</v>
      </c>
      <c r="F67" s="72" t="e">
        <f>IF(ISBLANK(VLOOKUP(A67,VALO_PERSO!$F:$N,9,0)),'Calcul FF'!$M$1,VLOOKUP(A67,VALO_PERSO!$F:$N,9,0))</f>
        <v>#N/A</v>
      </c>
      <c r="G67" s="76"/>
      <c r="H67" s="76"/>
      <c r="I67" s="76">
        <f>IFERROR(IF(VLOOKUP(A67,VALO_PERSO!F:L,7,0)="jeune docteur",VLOOKUP(A67,VALO_PERSO!F:AZ,VALO_PERSO!$AZ$2,0)*2*'Calcul FF'!G67/('Calcul FF'!G67+'Calcul FF'!H67),VLOOKUP(A67,VALO_PERSO!F:AZ,VALO_PERSO!$AZ$2,0)*'Calcul FF'!G67/('Calcul FF'!G67+'Calcul FF'!H67)),0)</f>
        <v>0</v>
      </c>
      <c r="J67" s="76">
        <f>IFERROR(VLOOKUP(A67,VALO_PERSO!F:AZ,VALO_PERSO!$AZ$2,0)*'Calcul FF'!H67/('Calcul FF'!G67+'Calcul FF'!H67),0)</f>
        <v>0</v>
      </c>
      <c r="K67" s="76">
        <f t="shared" si="0"/>
        <v>0</v>
      </c>
      <c r="L67" s="76">
        <f t="shared" si="1"/>
        <v>0</v>
      </c>
      <c r="N67" s="148">
        <f t="shared" si="2"/>
        <v>0</v>
      </c>
      <c r="O67" s="76" t="e">
        <f>VLOOKUP(A67,VALO_PERSO!F:AZ,47,0)</f>
        <v>#N/A</v>
      </c>
      <c r="P67" t="e">
        <f t="shared" si="3"/>
        <v>#N/A</v>
      </c>
    </row>
    <row r="68" spans="1:16" x14ac:dyDescent="0.25">
      <c r="A68" s="445">
        <v>58</v>
      </c>
      <c r="B68" s="445" t="s">
        <v>1207</v>
      </c>
      <c r="C68" s="445" t="s">
        <v>1208</v>
      </c>
      <c r="D68" t="str">
        <f>VLOOKUP(A68,VALO_PERSO!F:L,7,0)</f>
        <v>Technicien</v>
      </c>
      <c r="E68" s="72">
        <f>IF(VLOOKUP(A68,VALO_PERSO!$F:$M,8,0)&lt;='Calcul FF'!$K$1,'Calcul FF'!$K$1,VLOOKUP(A68,VALO_PERSO!$F:$M,8,0))</f>
        <v>45824</v>
      </c>
      <c r="F68" s="72">
        <f>IF(ISBLANK(VLOOKUP(A68,VALO_PERSO!$F:$N,9,0)),'Calcul FF'!$M$1,VLOOKUP(A68,VALO_PERSO!$F:$N,9,0))</f>
        <v>46022</v>
      </c>
      <c r="G68" s="76">
        <f>VLOOKUP(A68,FF!A:AL,37,0)</f>
        <v>0</v>
      </c>
      <c r="H68" s="76">
        <f>VLOOKUP(A68,FF!A:AL,38,0)</f>
        <v>919.5999999999998</v>
      </c>
      <c r="I68" s="76">
        <f>IFERROR(IF(VLOOKUP(A68,VALO_PERSO!F:L,7,0)="jeune docteur",VLOOKUP(A68,VALO_PERSO!F:AZ,VALO_PERSO!$AZ$2,0)*2*'Calcul FF'!G68/('Calcul FF'!G68+'Calcul FF'!H68),VLOOKUP(A68,VALO_PERSO!F:AZ,VALO_PERSO!$AZ$2,0)*'Calcul FF'!G68/('Calcul FF'!G68+'Calcul FF'!H68)),0)</f>
        <v>0</v>
      </c>
      <c r="J68" s="76">
        <f>IFERROR(VLOOKUP(A68,VALO_PERSO!F:AZ,VALO_PERSO!$AZ$2,0)*'Calcul FF'!H68/('Calcul FF'!G68+'Calcul FF'!H68),0)</f>
        <v>23131.55782676466</v>
      </c>
      <c r="K68" s="76">
        <f t="shared" si="0"/>
        <v>0</v>
      </c>
      <c r="L68" s="76">
        <f t="shared" si="1"/>
        <v>9252.6231307058642</v>
      </c>
      <c r="N68" s="148">
        <f t="shared" si="2"/>
        <v>23131.55782676466</v>
      </c>
      <c r="O68" s="76">
        <f>VLOOKUP(A68,VALO_PERSO!F:AZ,47,0)</f>
        <v>23131.55782676466</v>
      </c>
      <c r="P68" t="b">
        <f t="shared" si="3"/>
        <v>1</v>
      </c>
    </row>
    <row r="69" spans="1:16" x14ac:dyDescent="0.25">
      <c r="A69" s="445">
        <v>59</v>
      </c>
      <c r="B69" s="445" t="s">
        <v>1209</v>
      </c>
      <c r="C69" s="445" t="s">
        <v>1210</v>
      </c>
      <c r="D69" t="e">
        <f>VLOOKUP(A69,VALO_PERSO!F:L,7,0)</f>
        <v>#N/A</v>
      </c>
      <c r="E69" s="72" t="e">
        <f>IF(VLOOKUP(A69,VALO_PERSO!$F:$M,8,0)&lt;='Calcul FF'!$K$1,'Calcul FF'!$K$1,VLOOKUP(A69,VALO_PERSO!$F:$M,8,0))</f>
        <v>#N/A</v>
      </c>
      <c r="F69" s="72" t="e">
        <f>IF(ISBLANK(VLOOKUP(A69,VALO_PERSO!$F:$N,9,0)),'Calcul FF'!$M$1,VLOOKUP(A69,VALO_PERSO!$F:$N,9,0))</f>
        <v>#N/A</v>
      </c>
      <c r="G69" s="76"/>
      <c r="H69" s="76"/>
      <c r="I69" s="76">
        <f>IFERROR(IF(VLOOKUP(A69,VALO_PERSO!F:L,7,0)="jeune docteur",VLOOKUP(A69,VALO_PERSO!F:AZ,VALO_PERSO!$AZ$2,0)*2*'Calcul FF'!G69/('Calcul FF'!G69+'Calcul FF'!H69),VLOOKUP(A69,VALO_PERSO!F:AZ,VALO_PERSO!$AZ$2,0)*'Calcul FF'!G69/('Calcul FF'!G69+'Calcul FF'!H69)),0)</f>
        <v>0</v>
      </c>
      <c r="J69" s="76">
        <f>IFERROR(VLOOKUP(A69,VALO_PERSO!F:AZ,VALO_PERSO!$AZ$2,0)*'Calcul FF'!H69/('Calcul FF'!G69+'Calcul FF'!H69),0)</f>
        <v>0</v>
      </c>
      <c r="K69" s="76">
        <f t="shared" si="0"/>
        <v>0</v>
      </c>
      <c r="L69" s="76">
        <f t="shared" si="1"/>
        <v>0</v>
      </c>
      <c r="N69" s="148">
        <f t="shared" si="2"/>
        <v>0</v>
      </c>
      <c r="O69" s="76" t="e">
        <f>VLOOKUP(A69,VALO_PERSO!F:AZ,47,0)</f>
        <v>#N/A</v>
      </c>
      <c r="P69" t="e">
        <f t="shared" si="3"/>
        <v>#N/A</v>
      </c>
    </row>
    <row r="70" spans="1:16" x14ac:dyDescent="0.25">
      <c r="A70" s="445">
        <v>60</v>
      </c>
      <c r="B70" s="445" t="s">
        <v>966</v>
      </c>
      <c r="C70" s="445" t="s">
        <v>1211</v>
      </c>
      <c r="D70" t="str">
        <f>VLOOKUP(A70,VALO_PERSO!F:L,7,0)</f>
        <v>Technicien</v>
      </c>
      <c r="E70" s="72">
        <f>IF(VLOOKUP(A70,VALO_PERSO!$F:$M,8,0)&lt;='Calcul FF'!$K$1,'Calcul FF'!$K$1,VLOOKUP(A70,VALO_PERSO!$F:$M,8,0))</f>
        <v>45901</v>
      </c>
      <c r="F70" s="72">
        <f>IF(ISBLANK(VLOOKUP(A70,VALO_PERSO!$F:$N,9,0)),'Calcul FF'!$M$1,VLOOKUP(A70,VALO_PERSO!$F:$N,9,0))</f>
        <v>45930</v>
      </c>
      <c r="G70" s="76">
        <f>VLOOKUP(A70,FF!A:AL,37,0)</f>
        <v>0</v>
      </c>
      <c r="H70" s="76">
        <f>VLOOKUP(A70,FF!A:AL,38,0)</f>
        <v>121.59999999999997</v>
      </c>
      <c r="I70" s="76">
        <f>IFERROR(IF(VLOOKUP(A70,VALO_PERSO!F:L,7,0)="jeune docteur",VLOOKUP(A70,VALO_PERSO!F:AZ,VALO_PERSO!$AZ$2,0)*2*'Calcul FF'!G70/('Calcul FF'!G70+'Calcul FF'!H70),VLOOKUP(A70,VALO_PERSO!F:AZ,VALO_PERSO!$AZ$2,0)*'Calcul FF'!G70/('Calcul FF'!G70+'Calcul FF'!H70)),0)</f>
        <v>0</v>
      </c>
      <c r="J70" s="76">
        <f>IFERROR(VLOOKUP(A70,VALO_PERSO!F:AZ,VALO_PERSO!$AZ$2,0)*'Calcul FF'!H70/('Calcul FF'!G70+'Calcul FF'!H70),0)</f>
        <v>3553.4497485197676</v>
      </c>
      <c r="K70" s="76">
        <f t="shared" si="0"/>
        <v>0</v>
      </c>
      <c r="L70" s="76">
        <f t="shared" si="1"/>
        <v>1421.379899407907</v>
      </c>
      <c r="N70" s="148">
        <f t="shared" si="2"/>
        <v>3553.4497485197676</v>
      </c>
      <c r="O70" s="76">
        <f>VLOOKUP(A70,VALO_PERSO!F:AZ,47,0)</f>
        <v>3553.4497485197676</v>
      </c>
      <c r="P70" t="b">
        <f t="shared" si="3"/>
        <v>1</v>
      </c>
    </row>
    <row r="71" spans="1:16" x14ac:dyDescent="0.25">
      <c r="A71" s="445">
        <v>61</v>
      </c>
      <c r="B71" s="445" t="s">
        <v>1212</v>
      </c>
      <c r="C71" s="445" t="s">
        <v>1213</v>
      </c>
      <c r="D71" t="str">
        <f>VLOOKUP(A71,VALO_PERSO!F:L,7,0)</f>
        <v>Stagiaire/apprenti</v>
      </c>
      <c r="E71" s="72">
        <f>IF(VLOOKUP(A71,VALO_PERSO!$F:$M,8,0)&lt;='Calcul FF'!$K$1,'Calcul FF'!$K$1,VLOOKUP(A71,VALO_PERSO!$F:$M,8,0))</f>
        <v>45901</v>
      </c>
      <c r="F71" s="72">
        <f>IF(ISBLANK(VLOOKUP(A71,VALO_PERSO!$F:$N,9,0)),'Calcul FF'!$M$1,VLOOKUP(A71,VALO_PERSO!$F:$N,9,0))</f>
        <v>46022</v>
      </c>
      <c r="G71" s="76">
        <f>VLOOKUP(A71,FF!A:AL,37,0)</f>
        <v>0</v>
      </c>
      <c r="H71" s="76">
        <f>VLOOKUP(A71,FF!A:AL,38,0)</f>
        <v>164.82999999999998</v>
      </c>
      <c r="I71" s="76">
        <f>IFERROR(IF(VLOOKUP(A71,VALO_PERSO!F:L,7,0)="jeune docteur",VLOOKUP(A71,VALO_PERSO!F:AZ,VALO_PERSO!$AZ$2,0)*2*'Calcul FF'!G71/('Calcul FF'!G71+'Calcul FF'!H71),VLOOKUP(A71,VALO_PERSO!F:AZ,VALO_PERSO!$AZ$2,0)*'Calcul FF'!G71/('Calcul FF'!G71+'Calcul FF'!H71)),0)</f>
        <v>0</v>
      </c>
      <c r="J71" s="76">
        <f>IFERROR(VLOOKUP(A71,VALO_PERSO!F:AZ,VALO_PERSO!$AZ$2,0)*'Calcul FF'!H71/('Calcul FF'!G71+'Calcul FF'!H71),0)</f>
        <v>1438.7750055679287</v>
      </c>
      <c r="K71" s="76">
        <f t="shared" si="0"/>
        <v>0</v>
      </c>
      <c r="L71" s="76">
        <f t="shared" si="1"/>
        <v>575.51000222717153</v>
      </c>
      <c r="N71" s="148">
        <f t="shared" si="2"/>
        <v>1438.7750055679287</v>
      </c>
      <c r="O71" s="76">
        <f>VLOOKUP(A71,VALO_PERSO!F:AZ,47,0)</f>
        <v>1438.7750055679287</v>
      </c>
      <c r="P71" t="b">
        <f t="shared" si="3"/>
        <v>1</v>
      </c>
    </row>
    <row r="72" spans="1:16" x14ac:dyDescent="0.25">
      <c r="A72" s="445">
        <v>62</v>
      </c>
      <c r="B72" s="445" t="s">
        <v>1214</v>
      </c>
      <c r="C72" s="445" t="s">
        <v>1215</v>
      </c>
      <c r="D72" t="str">
        <f>VLOOKUP(A72,VALO_PERSO!F:L,7,0)</f>
        <v>Stagiaire/apprenti</v>
      </c>
      <c r="E72" s="72">
        <f>IF(VLOOKUP(A72,VALO_PERSO!$F:$M,8,0)&lt;='Calcul FF'!$K$1,'Calcul FF'!$K$1,VLOOKUP(A72,VALO_PERSO!$F:$M,8,0))</f>
        <v>45901</v>
      </c>
      <c r="F72" s="72">
        <f>IF(ISBLANK(VLOOKUP(A72,VALO_PERSO!$F:$N,9,0)),'Calcul FF'!$M$1,VLOOKUP(A72,VALO_PERSO!$F:$N,9,0))</f>
        <v>46022</v>
      </c>
      <c r="G72" s="76">
        <f>VLOOKUP(A72,FF!A:AL,37,0)</f>
        <v>0</v>
      </c>
      <c r="H72" s="76">
        <f>VLOOKUP(A72,FF!A:AL,38,0)</f>
        <v>273</v>
      </c>
      <c r="I72" s="76">
        <f>IFERROR(IF(VLOOKUP(A72,VALO_PERSO!F:L,7,0)="jeune docteur",VLOOKUP(A72,VALO_PERSO!F:AZ,VALO_PERSO!$AZ$2,0)*2*'Calcul FF'!G72/('Calcul FF'!G72+'Calcul FF'!H72),VLOOKUP(A72,VALO_PERSO!F:AZ,VALO_PERSO!$AZ$2,0)*'Calcul FF'!G72/('Calcul FF'!G72+'Calcul FF'!H72)),0)</f>
        <v>0</v>
      </c>
      <c r="J72" s="76">
        <f>IFERROR(VLOOKUP(A72,VALO_PERSO!F:AZ,VALO_PERSO!$AZ$2,0)*'Calcul FF'!H72/('Calcul FF'!G72+'Calcul FF'!H72),0)</f>
        <v>2873.1807829555</v>
      </c>
      <c r="K72" s="76">
        <f t="shared" si="0"/>
        <v>0</v>
      </c>
      <c r="L72" s="76">
        <f t="shared" si="1"/>
        <v>1149.2723131822002</v>
      </c>
      <c r="N72" s="148">
        <f t="shared" si="2"/>
        <v>2873.1807829555</v>
      </c>
      <c r="O72" s="76">
        <f>VLOOKUP(A72,VALO_PERSO!F:AZ,47,0)</f>
        <v>2873.1807829555</v>
      </c>
      <c r="P72" t="b">
        <f t="shared" si="3"/>
        <v>1</v>
      </c>
    </row>
    <row r="73" spans="1:16" x14ac:dyDescent="0.25">
      <c r="A73" s="445">
        <v>63</v>
      </c>
      <c r="B73" s="445" t="s">
        <v>1216</v>
      </c>
      <c r="C73" s="445" t="s">
        <v>1217</v>
      </c>
      <c r="D73" t="str">
        <f>VLOOKUP(A73,VALO_PERSO!F:L,7,0)</f>
        <v>Stagiaire/apprenti</v>
      </c>
      <c r="E73" s="72">
        <f>IF(VLOOKUP(A73,VALO_PERSO!$F:$M,8,0)&lt;='Calcul FF'!$K$1,'Calcul FF'!$K$1,VLOOKUP(A73,VALO_PERSO!$F:$M,8,0))</f>
        <v>45901</v>
      </c>
      <c r="F73" s="72">
        <f>IF(ISBLANK(VLOOKUP(A73,VALO_PERSO!$F:$N,9,0)),'Calcul FF'!$M$1,VLOOKUP(A73,VALO_PERSO!$F:$N,9,0))</f>
        <v>46022</v>
      </c>
      <c r="G73" s="76">
        <f>VLOOKUP(A73,FF!A:AL,37,0)</f>
        <v>0</v>
      </c>
      <c r="H73" s="76">
        <f>VLOOKUP(A73,FF!A:AL,38,0)</f>
        <v>301</v>
      </c>
      <c r="I73" s="76">
        <f>IFERROR(IF(VLOOKUP(A73,VALO_PERSO!F:L,7,0)="jeune docteur",VLOOKUP(A73,VALO_PERSO!F:AZ,VALO_PERSO!$AZ$2,0)*2*'Calcul FF'!G73/('Calcul FF'!G73+'Calcul FF'!H73),VLOOKUP(A73,VALO_PERSO!F:AZ,VALO_PERSO!$AZ$2,0)*'Calcul FF'!G73/('Calcul FF'!G73+'Calcul FF'!H73)),0)</f>
        <v>0</v>
      </c>
      <c r="J73" s="76">
        <f>IFERROR(VLOOKUP(A73,VALO_PERSO!F:AZ,VALO_PERSO!$AZ$2,0)*'Calcul FF'!H73/('Calcul FF'!G73+'Calcul FF'!H73),0)</f>
        <v>2980.3256403415162</v>
      </c>
      <c r="K73" s="76">
        <f t="shared" si="0"/>
        <v>0</v>
      </c>
      <c r="L73" s="76">
        <f t="shared" si="1"/>
        <v>1192.1302561366065</v>
      </c>
      <c r="N73" s="148">
        <f t="shared" si="2"/>
        <v>2980.3256403415162</v>
      </c>
      <c r="O73" s="76">
        <f>VLOOKUP(A73,VALO_PERSO!F:AZ,47,0)</f>
        <v>2980.3256403415162</v>
      </c>
      <c r="P73" t="b">
        <f t="shared" si="3"/>
        <v>1</v>
      </c>
    </row>
    <row r="74" spans="1:16" x14ac:dyDescent="0.25">
      <c r="E74" s="72"/>
      <c r="F74" s="72"/>
      <c r="G74" s="76"/>
      <c r="H74" s="76"/>
      <c r="I74" s="76"/>
      <c r="J74" s="76"/>
      <c r="K74" s="76"/>
      <c r="L74" s="76"/>
      <c r="N74" s="148"/>
      <c r="O74" s="148"/>
    </row>
    <row r="75" spans="1:16" s="456" customFormat="1" x14ac:dyDescent="0.25">
      <c r="B75" s="457"/>
      <c r="C75" s="457"/>
      <c r="D75" s="457"/>
      <c r="E75" s="457"/>
      <c r="F75" s="457"/>
      <c r="G75" s="457"/>
      <c r="H75" s="458" t="s">
        <v>435</v>
      </c>
      <c r="I75" s="459">
        <f>SUM(I21:I73)</f>
        <v>310808.14524372882</v>
      </c>
      <c r="J75" s="459">
        <f>SUM(J21:J73)</f>
        <v>1630624.9092833432</v>
      </c>
      <c r="K75" s="459">
        <f>SUM(K21:K73)</f>
        <v>133647.50245480338</v>
      </c>
      <c r="L75" s="459">
        <f>SUM(L21:L73)</f>
        <v>652249.9637133372</v>
      </c>
    </row>
  </sheetData>
  <conditionalFormatting sqref="B76:B1048576 B1:B7 B9:B74">
    <cfRule type="duplicateValues" dxfId="55" priority="4"/>
  </conditionalFormatting>
  <conditionalFormatting sqref="P15">
    <cfRule type="containsText" dxfId="54" priority="1" operator="containsText" text="faux">
      <formula>NOT(ISERROR(SEARCH("faux",P15)))</formula>
    </cfRule>
    <cfRule type="containsText" dxfId="53" priority="2" operator="containsText" text="VRAI">
      <formula>NOT(ISERROR(SEARCH("VRAI",P15)))</formula>
    </cfRule>
  </conditionalFormatting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6879-BD85-461E-BC57-1D31037F846C}">
  <sheetPr codeName="Feuil13">
    <tabColor theme="7" tint="0.79998168889431442"/>
  </sheetPr>
  <dimension ref="A3:T33"/>
  <sheetViews>
    <sheetView showGridLines="0" topLeftCell="C1" workbookViewId="0">
      <selection activeCell="P40" sqref="P40"/>
    </sheetView>
  </sheetViews>
  <sheetFormatPr baseColWidth="10" defaultColWidth="11.42578125" defaultRowHeight="15" outlineLevelCol="1" x14ac:dyDescent="0.25"/>
  <cols>
    <col min="2" max="2" width="3.5703125" customWidth="1"/>
    <col min="7" max="7" width="13.7109375" customWidth="1"/>
    <col min="9" max="9" width="29.85546875" bestFit="1" customWidth="1"/>
    <col min="10" max="10" width="13.5703125" customWidth="1"/>
    <col min="13" max="13" width="0" hidden="1" customWidth="1"/>
    <col min="16" max="16" width="11.5703125" customWidth="1" outlineLevel="1"/>
    <col min="17" max="17" width="1.7109375" customWidth="1"/>
    <col min="18" max="18" width="11.5703125" customWidth="1" outlineLevel="1"/>
    <col min="19" max="19" width="1.7109375" customWidth="1"/>
    <col min="20" max="20" width="11.5703125" outlineLevel="1"/>
  </cols>
  <sheetData>
    <row r="3" spans="2:20" ht="15.75" thickBot="1" x14ac:dyDescent="0.3">
      <c r="C3" s="98"/>
      <c r="D3" s="99"/>
      <c r="E3" s="99"/>
      <c r="F3" s="98"/>
      <c r="G3" s="99"/>
      <c r="H3" s="98"/>
      <c r="I3" s="98"/>
      <c r="J3" s="99"/>
      <c r="K3" s="98"/>
      <c r="L3" s="98"/>
      <c r="M3" s="98"/>
      <c r="N3" s="98"/>
      <c r="O3" s="99"/>
      <c r="P3" s="98"/>
      <c r="R3" s="98"/>
      <c r="T3" s="98"/>
    </row>
    <row r="4" spans="2:20" ht="45.75" thickBot="1" x14ac:dyDescent="0.3">
      <c r="C4" s="63" t="s">
        <v>449</v>
      </c>
      <c r="D4" s="63" t="s">
        <v>451</v>
      </c>
      <c r="E4" s="63" t="s">
        <v>542</v>
      </c>
      <c r="F4" s="63" t="s">
        <v>543</v>
      </c>
      <c r="G4" s="63" t="s">
        <v>544</v>
      </c>
      <c r="H4" s="63" t="s">
        <v>545</v>
      </c>
      <c r="I4" s="63" t="s">
        <v>546</v>
      </c>
      <c r="J4" s="63" t="s">
        <v>391</v>
      </c>
      <c r="K4" s="63" t="s">
        <v>547</v>
      </c>
      <c r="L4" s="63" t="s">
        <v>548</v>
      </c>
      <c r="M4" s="63" t="s">
        <v>549</v>
      </c>
      <c r="N4" s="63" t="s">
        <v>550</v>
      </c>
      <c r="O4" s="63" t="s">
        <v>551</v>
      </c>
      <c r="P4" s="63" t="s">
        <v>552</v>
      </c>
      <c r="R4" s="63" t="s">
        <v>553</v>
      </c>
      <c r="T4" s="63" t="s">
        <v>554</v>
      </c>
    </row>
    <row r="5" spans="2:20" ht="15.75" x14ac:dyDescent="0.3">
      <c r="B5" s="59">
        <f t="shared" ref="B5:B25" si="0">IF((P5+R5+T5)&gt;O5,1,0)</f>
        <v>0</v>
      </c>
      <c r="C5" s="83" t="b">
        <v>0</v>
      </c>
      <c r="D5" s="11"/>
      <c r="E5" s="11">
        <v>250156</v>
      </c>
      <c r="F5" s="11"/>
      <c r="G5" s="11"/>
      <c r="H5" s="94">
        <v>45677</v>
      </c>
      <c r="I5" s="11" t="s">
        <v>23</v>
      </c>
      <c r="J5" s="11" t="s">
        <v>1349</v>
      </c>
      <c r="K5" s="11" t="s">
        <v>1352</v>
      </c>
      <c r="L5" s="11" t="s">
        <v>1350</v>
      </c>
      <c r="M5" s="11" t="s">
        <v>1351</v>
      </c>
      <c r="N5" s="11" t="s">
        <v>24</v>
      </c>
      <c r="O5" s="11">
        <v>1118.3</v>
      </c>
      <c r="P5" s="11">
        <f>O5</f>
        <v>1118.3</v>
      </c>
      <c r="R5" s="11"/>
      <c r="T5" s="11"/>
    </row>
    <row r="6" spans="2:20" ht="15.75" hidden="1" x14ac:dyDescent="0.3">
      <c r="B6" s="59">
        <f t="shared" si="0"/>
        <v>0</v>
      </c>
      <c r="C6" s="83" t="b">
        <v>0</v>
      </c>
      <c r="D6" s="11"/>
      <c r="E6" s="11"/>
      <c r="F6" s="11"/>
      <c r="G6" s="11"/>
      <c r="H6" s="94"/>
      <c r="I6" s="11"/>
      <c r="J6" s="11"/>
      <c r="K6" s="11"/>
      <c r="L6" s="11"/>
      <c r="M6" s="11"/>
      <c r="N6" s="11"/>
      <c r="O6" s="11"/>
      <c r="P6" s="11"/>
      <c r="R6" s="11"/>
      <c r="T6" s="11"/>
    </row>
    <row r="7" spans="2:20" ht="15.75" hidden="1" x14ac:dyDescent="0.3">
      <c r="B7" s="59">
        <f t="shared" si="0"/>
        <v>0</v>
      </c>
      <c r="C7" s="83" t="b">
        <v>0</v>
      </c>
      <c r="D7" s="11"/>
      <c r="E7" s="11"/>
      <c r="F7" s="11"/>
      <c r="G7" s="11"/>
      <c r="H7" s="94"/>
      <c r="I7" s="11"/>
      <c r="J7" s="11"/>
      <c r="K7" s="11"/>
      <c r="L7" s="11"/>
      <c r="M7" s="11"/>
      <c r="N7" s="11"/>
      <c r="O7" s="11"/>
      <c r="P7" s="11"/>
      <c r="R7" s="11"/>
      <c r="T7" s="11"/>
    </row>
    <row r="8" spans="2:20" ht="15.75" hidden="1" x14ac:dyDescent="0.3">
      <c r="B8" s="59">
        <f t="shared" si="0"/>
        <v>0</v>
      </c>
      <c r="C8" s="83" t="b">
        <v>0</v>
      </c>
      <c r="D8" s="11"/>
      <c r="E8" s="11"/>
      <c r="F8" s="11"/>
      <c r="G8" s="11"/>
      <c r="H8" s="94"/>
      <c r="I8" s="11"/>
      <c r="J8" s="11"/>
      <c r="K8" s="11"/>
      <c r="L8" s="11"/>
      <c r="M8" s="11"/>
      <c r="N8" s="11"/>
      <c r="O8" s="11"/>
      <c r="P8" s="11"/>
      <c r="R8" s="11"/>
      <c r="T8" s="11"/>
    </row>
    <row r="9" spans="2:20" ht="15.75" hidden="1" x14ac:dyDescent="0.3">
      <c r="B9" s="59">
        <f t="shared" si="0"/>
        <v>0</v>
      </c>
      <c r="C9" s="83" t="b">
        <v>0</v>
      </c>
      <c r="D9" s="11"/>
      <c r="E9" s="11"/>
      <c r="F9" s="11"/>
      <c r="G9" s="11"/>
      <c r="H9" s="94"/>
      <c r="I9" s="11"/>
      <c r="J9" s="11"/>
      <c r="K9" s="11"/>
      <c r="L9" s="11"/>
      <c r="M9" s="11"/>
      <c r="N9" s="11"/>
      <c r="O9" s="11"/>
      <c r="P9" s="11"/>
      <c r="R9" s="11"/>
      <c r="T9" s="11"/>
    </row>
    <row r="10" spans="2:20" ht="15.75" hidden="1" x14ac:dyDescent="0.3">
      <c r="B10" s="59">
        <f t="shared" si="0"/>
        <v>0</v>
      </c>
      <c r="C10" s="83" t="b">
        <v>0</v>
      </c>
      <c r="D10" s="11"/>
      <c r="E10" s="11"/>
      <c r="F10" s="11"/>
      <c r="G10" s="11"/>
      <c r="H10" s="94"/>
      <c r="I10" s="11"/>
      <c r="J10" s="11"/>
      <c r="K10" s="11"/>
      <c r="L10" s="11"/>
      <c r="M10" s="11"/>
      <c r="N10" s="11"/>
      <c r="O10" s="11"/>
      <c r="P10" s="11"/>
      <c r="R10" s="11"/>
      <c r="T10" s="11"/>
    </row>
    <row r="11" spans="2:20" ht="15.75" hidden="1" x14ac:dyDescent="0.3">
      <c r="B11" s="59">
        <f t="shared" si="0"/>
        <v>0</v>
      </c>
      <c r="C11" s="83" t="b">
        <v>0</v>
      </c>
      <c r="D11" s="11"/>
      <c r="E11" s="11"/>
      <c r="F11" s="11"/>
      <c r="G11" s="11"/>
      <c r="H11" s="94"/>
      <c r="I11" s="11"/>
      <c r="J11" s="11"/>
      <c r="K11" s="11"/>
      <c r="L11" s="11"/>
      <c r="M11" s="11"/>
      <c r="N11" s="11"/>
      <c r="O11" s="11"/>
      <c r="P11" s="11"/>
      <c r="R11" s="11"/>
      <c r="T11" s="11"/>
    </row>
    <row r="12" spans="2:20" ht="15.75" hidden="1" x14ac:dyDescent="0.3">
      <c r="B12" s="59">
        <f t="shared" si="0"/>
        <v>0</v>
      </c>
      <c r="C12" s="83" t="b">
        <v>0</v>
      </c>
      <c r="D12" s="11"/>
      <c r="E12" s="11"/>
      <c r="F12" s="11"/>
      <c r="G12" s="11"/>
      <c r="H12" s="94"/>
      <c r="I12" s="11"/>
      <c r="J12" s="11"/>
      <c r="K12" s="11"/>
      <c r="L12" s="11"/>
      <c r="M12" s="11"/>
      <c r="N12" s="11"/>
      <c r="O12" s="11"/>
      <c r="P12" s="11"/>
      <c r="R12" s="11"/>
      <c r="T12" s="11"/>
    </row>
    <row r="13" spans="2:20" ht="15.75" hidden="1" x14ac:dyDescent="0.3">
      <c r="B13" s="59">
        <f t="shared" si="0"/>
        <v>0</v>
      </c>
      <c r="C13" s="83" t="b">
        <v>0</v>
      </c>
      <c r="D13" s="11"/>
      <c r="E13" s="11"/>
      <c r="F13" s="11"/>
      <c r="G13" s="11"/>
      <c r="H13" s="94"/>
      <c r="I13" s="11"/>
      <c r="J13" s="11"/>
      <c r="K13" s="11"/>
      <c r="L13" s="11"/>
      <c r="M13" s="11"/>
      <c r="N13" s="11"/>
      <c r="O13" s="11"/>
      <c r="P13" s="11"/>
      <c r="R13" s="11"/>
      <c r="T13" s="11"/>
    </row>
    <row r="14" spans="2:20" ht="15.75" hidden="1" x14ac:dyDescent="0.3">
      <c r="B14" s="59">
        <f t="shared" si="0"/>
        <v>0</v>
      </c>
      <c r="C14" s="83" t="b">
        <v>0</v>
      </c>
      <c r="D14" s="11"/>
      <c r="E14" s="11"/>
      <c r="F14" s="11"/>
      <c r="G14" s="11"/>
      <c r="H14" s="94"/>
      <c r="I14" s="11"/>
      <c r="J14" s="11"/>
      <c r="K14" s="11"/>
      <c r="L14" s="11"/>
      <c r="M14" s="11"/>
      <c r="N14" s="11"/>
      <c r="O14" s="11"/>
      <c r="P14" s="11"/>
      <c r="R14" s="11"/>
      <c r="T14" s="11"/>
    </row>
    <row r="15" spans="2:20" ht="15.75" hidden="1" x14ac:dyDescent="0.3">
      <c r="B15" s="59">
        <f t="shared" si="0"/>
        <v>0</v>
      </c>
      <c r="C15" s="83" t="b">
        <v>0</v>
      </c>
      <c r="D15" s="11"/>
      <c r="E15" s="11"/>
      <c r="F15" s="11"/>
      <c r="G15" s="11"/>
      <c r="H15" s="94"/>
      <c r="I15" s="11"/>
      <c r="J15" s="11"/>
      <c r="K15" s="11"/>
      <c r="L15" s="11"/>
      <c r="M15" s="11"/>
      <c r="N15" s="11"/>
      <c r="O15" s="11"/>
      <c r="P15" s="11"/>
      <c r="R15" s="11"/>
      <c r="T15" s="11"/>
    </row>
    <row r="16" spans="2:20" ht="15.75" hidden="1" x14ac:dyDescent="0.3">
      <c r="B16" s="59">
        <f t="shared" si="0"/>
        <v>0</v>
      </c>
      <c r="C16" s="83" t="b">
        <v>0</v>
      </c>
      <c r="D16" s="11"/>
      <c r="E16" s="11"/>
      <c r="F16" s="11"/>
      <c r="G16" s="11"/>
      <c r="H16" s="94"/>
      <c r="I16" s="11"/>
      <c r="J16" s="11"/>
      <c r="K16" s="11"/>
      <c r="L16" s="11"/>
      <c r="M16" s="11"/>
      <c r="N16" s="11"/>
      <c r="O16" s="11"/>
      <c r="P16" s="11"/>
      <c r="R16" s="11"/>
      <c r="T16" s="11"/>
    </row>
    <row r="17" spans="1:20" ht="15.75" hidden="1" x14ac:dyDescent="0.3">
      <c r="B17" s="59">
        <f t="shared" si="0"/>
        <v>0</v>
      </c>
      <c r="C17" s="83" t="b">
        <v>0</v>
      </c>
      <c r="D17" s="11"/>
      <c r="E17" s="11"/>
      <c r="F17" s="11"/>
      <c r="G17" s="11"/>
      <c r="H17" s="94"/>
      <c r="I17" s="11"/>
      <c r="J17" s="11"/>
      <c r="K17" s="11"/>
      <c r="L17" s="11"/>
      <c r="M17" s="11"/>
      <c r="N17" s="11"/>
      <c r="O17" s="11"/>
      <c r="P17" s="11"/>
      <c r="R17" s="11"/>
      <c r="T17" s="11"/>
    </row>
    <row r="18" spans="1:20" ht="15.75" hidden="1" x14ac:dyDescent="0.3">
      <c r="B18" s="59">
        <f t="shared" si="0"/>
        <v>0</v>
      </c>
      <c r="C18" s="83" t="b">
        <v>0</v>
      </c>
      <c r="D18" s="11"/>
      <c r="E18" s="11"/>
      <c r="F18" s="11"/>
      <c r="G18" s="11"/>
      <c r="H18" s="94"/>
      <c r="I18" s="11"/>
      <c r="J18" s="11"/>
      <c r="K18" s="11"/>
      <c r="L18" s="11"/>
      <c r="M18" s="11"/>
      <c r="N18" s="11"/>
      <c r="O18" s="11"/>
      <c r="P18" s="11"/>
      <c r="R18" s="11"/>
      <c r="T18" s="11"/>
    </row>
    <row r="19" spans="1:20" ht="15.75" hidden="1" x14ac:dyDescent="0.3">
      <c r="B19" s="59">
        <f t="shared" si="0"/>
        <v>0</v>
      </c>
      <c r="C19" s="83" t="b">
        <v>0</v>
      </c>
      <c r="D19" s="11"/>
      <c r="E19" s="11"/>
      <c r="F19" s="11"/>
      <c r="G19" s="11"/>
      <c r="H19" s="94"/>
      <c r="I19" s="11"/>
      <c r="J19" s="11"/>
      <c r="K19" s="11"/>
      <c r="L19" s="11"/>
      <c r="M19" s="11"/>
      <c r="N19" s="11"/>
      <c r="O19" s="11"/>
      <c r="P19" s="11"/>
      <c r="R19" s="11"/>
      <c r="T19" s="11"/>
    </row>
    <row r="20" spans="1:20" ht="15.75" hidden="1" x14ac:dyDescent="0.3">
      <c r="B20" s="59">
        <f t="shared" si="0"/>
        <v>0</v>
      </c>
      <c r="C20" s="83" t="b">
        <v>0</v>
      </c>
      <c r="D20" s="11"/>
      <c r="E20" s="11"/>
      <c r="F20" s="11"/>
      <c r="G20" s="11"/>
      <c r="H20" s="94"/>
      <c r="I20" s="11"/>
      <c r="J20" s="11"/>
      <c r="K20" s="11"/>
      <c r="L20" s="11"/>
      <c r="M20" s="11"/>
      <c r="N20" s="11"/>
      <c r="O20" s="11"/>
      <c r="P20" s="11"/>
      <c r="R20" s="11"/>
      <c r="T20" s="11"/>
    </row>
    <row r="21" spans="1:20" ht="15.75" hidden="1" x14ac:dyDescent="0.3">
      <c r="B21" s="59">
        <f t="shared" si="0"/>
        <v>0</v>
      </c>
      <c r="C21" s="83" t="b">
        <v>0</v>
      </c>
      <c r="D21" s="11"/>
      <c r="E21" s="11"/>
      <c r="F21" s="11"/>
      <c r="G21" s="11"/>
      <c r="H21" s="94"/>
      <c r="I21" s="11"/>
      <c r="J21" s="11"/>
      <c r="K21" s="11"/>
      <c r="L21" s="11"/>
      <c r="M21" s="11"/>
      <c r="N21" s="11"/>
      <c r="O21" s="11"/>
      <c r="P21" s="11"/>
      <c r="R21" s="11"/>
      <c r="T21" s="11"/>
    </row>
    <row r="22" spans="1:20" ht="15.75" hidden="1" x14ac:dyDescent="0.3">
      <c r="B22" s="59">
        <f t="shared" si="0"/>
        <v>0</v>
      </c>
      <c r="C22" s="83" t="b">
        <v>0</v>
      </c>
      <c r="D22" s="11"/>
      <c r="E22" s="11"/>
      <c r="F22" s="11"/>
      <c r="G22" s="11"/>
      <c r="H22" s="94"/>
      <c r="I22" s="11"/>
      <c r="J22" s="11"/>
      <c r="K22" s="11"/>
      <c r="L22" s="11"/>
      <c r="M22" s="11"/>
      <c r="N22" s="11"/>
      <c r="O22" s="11"/>
      <c r="P22" s="11"/>
      <c r="R22" s="11"/>
      <c r="T22" s="11"/>
    </row>
    <row r="23" spans="1:20" ht="15.75" hidden="1" x14ac:dyDescent="0.3">
      <c r="B23" s="59">
        <f t="shared" si="0"/>
        <v>0</v>
      </c>
      <c r="C23" s="83" t="b">
        <v>0</v>
      </c>
      <c r="D23" s="11"/>
      <c r="E23" s="11"/>
      <c r="F23" s="11"/>
      <c r="G23" s="11"/>
      <c r="H23" s="94"/>
      <c r="I23" s="11"/>
      <c r="J23" s="11"/>
      <c r="K23" s="11"/>
      <c r="L23" s="11"/>
      <c r="M23" s="11"/>
      <c r="N23" s="11"/>
      <c r="O23" s="11"/>
      <c r="P23" s="11"/>
      <c r="R23" s="11"/>
      <c r="T23" s="11"/>
    </row>
    <row r="24" spans="1:20" ht="15.75" hidden="1" x14ac:dyDescent="0.3">
      <c r="A24" t="s">
        <v>864</v>
      </c>
      <c r="B24" s="59">
        <f t="shared" si="0"/>
        <v>0</v>
      </c>
      <c r="C24" s="83" t="b">
        <v>0</v>
      </c>
      <c r="D24" s="11"/>
      <c r="E24" s="11"/>
      <c r="F24" s="11"/>
      <c r="G24" s="11"/>
      <c r="H24" s="94"/>
      <c r="I24" s="11"/>
      <c r="J24" s="11"/>
      <c r="K24" s="11"/>
      <c r="L24" s="11"/>
      <c r="M24" s="11"/>
      <c r="N24" s="11"/>
      <c r="O24" s="11"/>
      <c r="P24" s="11"/>
      <c r="R24" s="11"/>
      <c r="T24" s="11"/>
    </row>
    <row r="25" spans="1:20" ht="15.75" hidden="1" x14ac:dyDescent="0.3">
      <c r="B25" s="59">
        <f t="shared" si="0"/>
        <v>0</v>
      </c>
      <c r="C25" s="83" t="b">
        <v>0</v>
      </c>
      <c r="D25" s="11"/>
      <c r="E25" s="11"/>
      <c r="F25" s="11"/>
      <c r="G25" s="11"/>
      <c r="H25" s="94"/>
      <c r="I25" s="11"/>
      <c r="J25" s="11"/>
      <c r="K25" s="11"/>
      <c r="L25" s="11"/>
      <c r="M25" s="11"/>
      <c r="N25" s="11"/>
      <c r="O25" s="11"/>
      <c r="P25" s="11"/>
      <c r="R25" s="11"/>
      <c r="T25" s="11"/>
    </row>
    <row r="26" spans="1:20" ht="15.75" thickBot="1" x14ac:dyDescent="0.3"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147"/>
      <c r="N26" s="64" t="s">
        <v>555</v>
      </c>
      <c r="O26" s="97">
        <f>SUM(O5:O25)</f>
        <v>1118.3</v>
      </c>
      <c r="P26" s="514">
        <f>SUM(P5:P25)</f>
        <v>1118.3</v>
      </c>
      <c r="Q26" s="75"/>
      <c r="R26" s="97">
        <f>SUM(R5:R25)</f>
        <v>0</v>
      </c>
      <c r="S26" s="75"/>
      <c r="T26" s="97">
        <f>SUM(T5:T25)</f>
        <v>0</v>
      </c>
    </row>
    <row r="27" spans="1:20" x14ac:dyDescent="0.25">
      <c r="P27" s="148"/>
    </row>
    <row r="28" spans="1:20" ht="15.75" thickBot="1" x14ac:dyDescent="0.3">
      <c r="K28" s="61"/>
      <c r="L28" s="61"/>
      <c r="M28" s="61"/>
      <c r="N28" s="61"/>
      <c r="O28" s="147" t="s">
        <v>556</v>
      </c>
      <c r="P28" s="515">
        <f>SUMIF(I:I,parametrage!$Q$2,VALO_BREVET!P:P)</f>
        <v>1118.3</v>
      </c>
      <c r="R28" s="446">
        <f>SUMIF(I:I,parametrage!$Q$2,VALO_BREVET!R:R)</f>
        <v>0</v>
      </c>
      <c r="S28" s="448"/>
      <c r="T28" s="446">
        <f>SUMIF(I:I,parametrage!$Q$2,VALO_BREVET!T:T)</f>
        <v>0</v>
      </c>
    </row>
    <row r="29" spans="1:20" ht="15.75" thickBot="1" x14ac:dyDescent="0.3">
      <c r="K29" s="61"/>
      <c r="L29" s="61"/>
      <c r="M29" s="61"/>
      <c r="N29" s="61"/>
      <c r="O29" s="147" t="s">
        <v>557</v>
      </c>
      <c r="P29" s="446">
        <f>SUMIF(I:I,parametrage!$Q$3,VALO_BREVET!P:P)</f>
        <v>0</v>
      </c>
      <c r="R29" s="446">
        <f>SUMIF(I:I,parametrage!$Q$3,VALO_BREVET!R:R)</f>
        <v>0</v>
      </c>
      <c r="S29" s="448"/>
      <c r="T29" s="446">
        <f>IF(SUMIF(I:I,parametrage!$Q$3,VALO_BREVET!T:T)&gt;60000,60000,SUMIF(I:I,parametrage!$Q$3,VALO_BREVET!T:T))</f>
        <v>0</v>
      </c>
    </row>
    <row r="30" spans="1:20" ht="15.75" thickBot="1" x14ac:dyDescent="0.3">
      <c r="K30" s="61"/>
      <c r="L30" s="61"/>
      <c r="M30" s="61"/>
      <c r="N30" s="61"/>
      <c r="O30" s="147" t="s">
        <v>558</v>
      </c>
      <c r="P30" s="446">
        <f>SUMIF(I:I,parametrage!$Q$4,VALO_BREVET!P:P)</f>
        <v>0</v>
      </c>
      <c r="R30" s="447"/>
      <c r="T30" s="447"/>
    </row>
    <row r="33" spans="16:20" x14ac:dyDescent="0.25">
      <c r="P33" t="b">
        <f>P26=SUM(P28:P30)</f>
        <v>1</v>
      </c>
      <c r="R33" t="b">
        <f>R26=SUM(R28:R30)</f>
        <v>1</v>
      </c>
      <c r="T33" t="b">
        <f>T26=SUM(T28:T30)</f>
        <v>1</v>
      </c>
    </row>
  </sheetData>
  <conditionalFormatting sqref="C5:L25">
    <cfRule type="expression" dxfId="52" priority="12">
      <formula>$B5&gt;0</formula>
    </cfRule>
  </conditionalFormatting>
  <conditionalFormatting sqref="P33:T33">
    <cfRule type="containsText" dxfId="51" priority="2" operator="containsText" text="FAUX">
      <formula>NOT(ISERROR(SEARCH("FAUX",P33)))</formula>
    </cfRule>
    <cfRule type="containsText" dxfId="50" priority="3" operator="containsText" text="VRAI">
      <formula>NOT(ISERROR(SEARCH("VRAI",P33)))</formula>
    </cfRule>
  </conditionalFormatting>
  <conditionalFormatting sqref="E1:E1048576">
    <cfRule type="duplicateValues" dxfId="4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Module15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4BB2858-50DD-4F32-9504-B4C35CEDF1ED}">
            <xm:f>N5=parametrage!$S$3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DC2380DF-D8D8-437F-9C0A-A8A80E5A93D7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352A7A7C-ABDC-4A80-92C5-1A3086D522E1}">
            <xm:f>N5=parametrage!$S$2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ECC754A7-C819-4400-A709-0CC8473D27B9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T5:T25</xm:sqref>
        </x14:conditionalFormatting>
        <x14:conditionalFormatting xmlns:xm="http://schemas.microsoft.com/office/excel/2006/main">
          <x14:cfRule type="expression" priority="6" id="{BE224037-E8F6-4043-BEF0-E3E5D251303A}">
            <xm:f>N5=parametrage!$S$4</xm:f>
            <x14:dxf>
              <fill>
                <patternFill>
                  <bgColor rgb="FFFF0000"/>
                </patternFill>
              </fill>
            </x14:dxf>
          </x14:cfRule>
          <x14:cfRule type="expression" priority="7" id="{5A233F2A-4D0D-43ED-828B-049D98D24198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P5:P25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A8EA21-121B-4A15-ABF1-08874BEF6887}">
          <x14:formula1>
            <xm:f>parametrage!$Q$2:$Q$4</xm:f>
          </x14:formula1>
          <xm:sqref>I5:I25</xm:sqref>
        </x14:dataValidation>
        <x14:dataValidation type="list" allowBlank="1" showInputMessage="1" showErrorMessage="1" xr:uid="{DE6100E1-19D4-4ABB-A4DA-6F3443F18E10}">
          <x14:formula1>
            <xm:f>parametrage!$S$2:$S$4</xm:f>
          </x14:formula1>
          <xm:sqref>N5:N25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03D1-C835-4110-8C46-166E62C31DB1}">
  <sheetPr codeName="Feuil24">
    <tabColor rgb="FF2D44EA"/>
  </sheetPr>
  <dimension ref="A1:N27"/>
  <sheetViews>
    <sheetView workbookViewId="0">
      <selection activeCell="I36" sqref="I36"/>
    </sheetView>
  </sheetViews>
  <sheetFormatPr baseColWidth="10" defaultColWidth="11.42578125" defaultRowHeight="15" outlineLevelCol="1" x14ac:dyDescent="0.25"/>
  <cols>
    <col min="5" max="5" width="13.5703125" customWidth="1"/>
    <col min="9" max="9" width="11.5703125" customWidth="1" outlineLevel="1"/>
    <col min="10" max="10" width="1.7109375" customWidth="1"/>
    <col min="11" max="11" width="11.5703125" hidden="1" customWidth="1" outlineLevel="1"/>
    <col min="12" max="12" width="1.7109375" customWidth="1" collapsed="1"/>
    <col min="13" max="13" width="0" hidden="1" customWidth="1" outlineLevel="1"/>
    <col min="14" max="14" width="11.42578125" collapsed="1"/>
  </cols>
  <sheetData>
    <row r="1" spans="2:13" ht="30.75" thickBot="1" x14ac:dyDescent="0.3">
      <c r="B1" s="63" t="s">
        <v>542</v>
      </c>
      <c r="C1" s="63" t="s">
        <v>545</v>
      </c>
      <c r="D1" s="63" t="s">
        <v>546</v>
      </c>
      <c r="E1" s="63" t="s">
        <v>329</v>
      </c>
      <c r="F1" s="63" t="s">
        <v>547</v>
      </c>
      <c r="G1" s="63" t="s">
        <v>548</v>
      </c>
      <c r="H1" s="63" t="s">
        <v>551</v>
      </c>
      <c r="I1" s="63" t="s">
        <v>552</v>
      </c>
      <c r="K1" s="63" t="s">
        <v>553</v>
      </c>
      <c r="M1" s="63" t="s">
        <v>554</v>
      </c>
    </row>
    <row r="2" spans="2:13" ht="15.75" x14ac:dyDescent="0.3">
      <c r="B2" s="11">
        <f>VALO_BREVET!E5</f>
        <v>250156</v>
      </c>
      <c r="C2" s="94">
        <f>VALO_BREVET!H5</f>
        <v>45677</v>
      </c>
      <c r="D2" s="11" t="str">
        <f>VALO_BREVET!I5</f>
        <v>Prise et Maintenance de brevets</v>
      </c>
      <c r="E2" s="11" t="str">
        <f>VALO_BREVET!J5</f>
        <v>Becker</v>
      </c>
      <c r="F2" s="11" t="str">
        <f>VALO_BREVET!K5</f>
        <v>B4300EP00</v>
      </c>
      <c r="G2" s="11" t="str">
        <f>VALO_BREVET!L5</f>
        <v>24 306188.4</v>
      </c>
      <c r="H2" s="11">
        <f>VALO_BREVET!O5</f>
        <v>1118.3</v>
      </c>
      <c r="I2" s="11">
        <f>VALO_BREVET!P5</f>
        <v>1118.3</v>
      </c>
      <c r="K2" s="11">
        <f>VALO_BREVET!R5</f>
        <v>0</v>
      </c>
      <c r="M2" s="11">
        <f>VALO_BREVET!T5</f>
        <v>0</v>
      </c>
    </row>
    <row r="3" spans="2:13" ht="15.75" hidden="1" x14ac:dyDescent="0.3">
      <c r="B3" s="11">
        <f>VALO_BREVET!E6</f>
        <v>0</v>
      </c>
      <c r="C3" s="11">
        <f>VALO_BREVET!H6</f>
        <v>0</v>
      </c>
      <c r="D3" s="11">
        <f>VALO_BREVET!I6</f>
        <v>0</v>
      </c>
      <c r="E3" s="11">
        <f>VALO_BREVET!J6</f>
        <v>0</v>
      </c>
      <c r="F3" s="11">
        <f>VALO_BREVET!K6</f>
        <v>0</v>
      </c>
      <c r="G3" s="11">
        <f>VALO_BREVET!L6</f>
        <v>0</v>
      </c>
      <c r="H3" s="11">
        <f>VALO_BREVET!O6</f>
        <v>0</v>
      </c>
      <c r="I3" s="11">
        <f>VALO_BREVET!P6</f>
        <v>0</v>
      </c>
      <c r="K3" s="11">
        <f>VALO_BREVET!R6</f>
        <v>0</v>
      </c>
      <c r="M3" s="11">
        <f>VALO_BREVET!T6</f>
        <v>0</v>
      </c>
    </row>
    <row r="4" spans="2:13" ht="15.75" hidden="1" x14ac:dyDescent="0.3">
      <c r="B4" s="11">
        <f>VALO_BREVET!E7</f>
        <v>0</v>
      </c>
      <c r="C4" s="11">
        <f>VALO_BREVET!H7</f>
        <v>0</v>
      </c>
      <c r="D4" s="11">
        <f>VALO_BREVET!I7</f>
        <v>0</v>
      </c>
      <c r="E4" s="11">
        <f>VALO_BREVET!J7</f>
        <v>0</v>
      </c>
      <c r="F4" s="11">
        <f>VALO_BREVET!K7</f>
        <v>0</v>
      </c>
      <c r="G4" s="11">
        <f>VALO_BREVET!L7</f>
        <v>0</v>
      </c>
      <c r="H4" s="11">
        <f>VALO_BREVET!O7</f>
        <v>0</v>
      </c>
      <c r="I4" s="11">
        <f>VALO_BREVET!P7</f>
        <v>0</v>
      </c>
      <c r="K4" s="11">
        <f>VALO_BREVET!R7</f>
        <v>0</v>
      </c>
      <c r="M4" s="11">
        <f>VALO_BREVET!T7</f>
        <v>0</v>
      </c>
    </row>
    <row r="5" spans="2:13" ht="15.75" hidden="1" x14ac:dyDescent="0.3">
      <c r="B5" s="11">
        <f>VALO_BREVET!E8</f>
        <v>0</v>
      </c>
      <c r="C5" s="11">
        <f>VALO_BREVET!H8</f>
        <v>0</v>
      </c>
      <c r="D5" s="11">
        <f>VALO_BREVET!I8</f>
        <v>0</v>
      </c>
      <c r="E5" s="11">
        <f>VALO_BREVET!J8</f>
        <v>0</v>
      </c>
      <c r="F5" s="11">
        <f>VALO_BREVET!K8</f>
        <v>0</v>
      </c>
      <c r="G5" s="11">
        <f>VALO_BREVET!L8</f>
        <v>0</v>
      </c>
      <c r="H5" s="11">
        <f>VALO_BREVET!O8</f>
        <v>0</v>
      </c>
      <c r="I5" s="11">
        <f>VALO_BREVET!P8</f>
        <v>0</v>
      </c>
      <c r="K5" s="11">
        <f>VALO_BREVET!R8</f>
        <v>0</v>
      </c>
      <c r="M5" s="11">
        <f>VALO_BREVET!T8</f>
        <v>0</v>
      </c>
    </row>
    <row r="6" spans="2:13" ht="15.75" hidden="1" x14ac:dyDescent="0.3">
      <c r="B6" s="11">
        <f>VALO_BREVET!E9</f>
        <v>0</v>
      </c>
      <c r="C6" s="11">
        <f>VALO_BREVET!H9</f>
        <v>0</v>
      </c>
      <c r="D6" s="11">
        <f>VALO_BREVET!I9</f>
        <v>0</v>
      </c>
      <c r="E6" s="11">
        <f>VALO_BREVET!J9</f>
        <v>0</v>
      </c>
      <c r="F6" s="11">
        <f>VALO_BREVET!K9</f>
        <v>0</v>
      </c>
      <c r="G6" s="11">
        <f>VALO_BREVET!L9</f>
        <v>0</v>
      </c>
      <c r="H6" s="11">
        <f>VALO_BREVET!O9</f>
        <v>0</v>
      </c>
      <c r="I6" s="11">
        <f>VALO_BREVET!P9</f>
        <v>0</v>
      </c>
      <c r="K6" s="11">
        <f>VALO_BREVET!R9</f>
        <v>0</v>
      </c>
      <c r="M6" s="11">
        <f>VALO_BREVET!T9</f>
        <v>0</v>
      </c>
    </row>
    <row r="7" spans="2:13" ht="15.75" hidden="1" x14ac:dyDescent="0.3">
      <c r="B7" s="11">
        <f>VALO_BREVET!E10</f>
        <v>0</v>
      </c>
      <c r="C7" s="11">
        <f>VALO_BREVET!H10</f>
        <v>0</v>
      </c>
      <c r="D7" s="11">
        <f>VALO_BREVET!I10</f>
        <v>0</v>
      </c>
      <c r="E7" s="11">
        <f>VALO_BREVET!J10</f>
        <v>0</v>
      </c>
      <c r="F7" s="11">
        <f>VALO_BREVET!K10</f>
        <v>0</v>
      </c>
      <c r="G7" s="11">
        <f>VALO_BREVET!L10</f>
        <v>0</v>
      </c>
      <c r="H7" s="11">
        <f>VALO_BREVET!O10</f>
        <v>0</v>
      </c>
      <c r="I7" s="11">
        <f>VALO_BREVET!P10</f>
        <v>0</v>
      </c>
      <c r="K7" s="11">
        <f>VALO_BREVET!R10</f>
        <v>0</v>
      </c>
      <c r="M7" s="11">
        <f>VALO_BREVET!T10</f>
        <v>0</v>
      </c>
    </row>
    <row r="8" spans="2:13" ht="15.75" hidden="1" x14ac:dyDescent="0.3">
      <c r="B8" s="11">
        <f>VALO_BREVET!E11</f>
        <v>0</v>
      </c>
      <c r="C8" s="11">
        <f>VALO_BREVET!H11</f>
        <v>0</v>
      </c>
      <c r="D8" s="11">
        <f>VALO_BREVET!I11</f>
        <v>0</v>
      </c>
      <c r="E8" s="11">
        <f>VALO_BREVET!J11</f>
        <v>0</v>
      </c>
      <c r="F8" s="11">
        <f>VALO_BREVET!K11</f>
        <v>0</v>
      </c>
      <c r="G8" s="11">
        <f>VALO_BREVET!L11</f>
        <v>0</v>
      </c>
      <c r="H8" s="11">
        <f>VALO_BREVET!O11</f>
        <v>0</v>
      </c>
      <c r="I8" s="11">
        <f>VALO_BREVET!P11</f>
        <v>0</v>
      </c>
      <c r="K8" s="11">
        <f>VALO_BREVET!R11</f>
        <v>0</v>
      </c>
      <c r="M8" s="11">
        <f>VALO_BREVET!T11</f>
        <v>0</v>
      </c>
    </row>
    <row r="9" spans="2:13" ht="15.75" hidden="1" x14ac:dyDescent="0.3">
      <c r="B9" s="11">
        <f>VALO_BREVET!E12</f>
        <v>0</v>
      </c>
      <c r="C9" s="11">
        <f>VALO_BREVET!H12</f>
        <v>0</v>
      </c>
      <c r="D9" s="11">
        <f>VALO_BREVET!I12</f>
        <v>0</v>
      </c>
      <c r="E9" s="11">
        <f>VALO_BREVET!J12</f>
        <v>0</v>
      </c>
      <c r="F9" s="11">
        <f>VALO_BREVET!K12</f>
        <v>0</v>
      </c>
      <c r="G9" s="11">
        <f>VALO_BREVET!L12</f>
        <v>0</v>
      </c>
      <c r="H9" s="11">
        <f>VALO_BREVET!O12</f>
        <v>0</v>
      </c>
      <c r="I9" s="11">
        <f>VALO_BREVET!P12</f>
        <v>0</v>
      </c>
      <c r="K9" s="11">
        <f>VALO_BREVET!R12</f>
        <v>0</v>
      </c>
      <c r="M9" s="11">
        <f>VALO_BREVET!T12</f>
        <v>0</v>
      </c>
    </row>
    <row r="10" spans="2:13" ht="15.75" hidden="1" x14ac:dyDescent="0.3">
      <c r="B10" s="11">
        <f>VALO_BREVET!E13</f>
        <v>0</v>
      </c>
      <c r="C10" s="11">
        <f>VALO_BREVET!H13</f>
        <v>0</v>
      </c>
      <c r="D10" s="11">
        <f>VALO_BREVET!I13</f>
        <v>0</v>
      </c>
      <c r="E10" s="11">
        <f>VALO_BREVET!J13</f>
        <v>0</v>
      </c>
      <c r="F10" s="11">
        <f>VALO_BREVET!K13</f>
        <v>0</v>
      </c>
      <c r="G10" s="11">
        <f>VALO_BREVET!L13</f>
        <v>0</v>
      </c>
      <c r="H10" s="11">
        <f>VALO_BREVET!O13</f>
        <v>0</v>
      </c>
      <c r="I10" s="11">
        <f>VALO_BREVET!P13</f>
        <v>0</v>
      </c>
      <c r="K10" s="11">
        <f>VALO_BREVET!R13</f>
        <v>0</v>
      </c>
      <c r="M10" s="11">
        <f>VALO_BREVET!T13</f>
        <v>0</v>
      </c>
    </row>
    <row r="11" spans="2:13" ht="15.75" hidden="1" x14ac:dyDescent="0.3">
      <c r="B11" s="11">
        <f>VALO_BREVET!E14</f>
        <v>0</v>
      </c>
      <c r="C11" s="11">
        <f>VALO_BREVET!H14</f>
        <v>0</v>
      </c>
      <c r="D11" s="11">
        <f>VALO_BREVET!I14</f>
        <v>0</v>
      </c>
      <c r="E11" s="11">
        <f>VALO_BREVET!J14</f>
        <v>0</v>
      </c>
      <c r="F11" s="11">
        <f>VALO_BREVET!K14</f>
        <v>0</v>
      </c>
      <c r="G11" s="11">
        <f>VALO_BREVET!L14</f>
        <v>0</v>
      </c>
      <c r="H11" s="11">
        <f>VALO_BREVET!O14</f>
        <v>0</v>
      </c>
      <c r="I11" s="11">
        <f>VALO_BREVET!P14</f>
        <v>0</v>
      </c>
      <c r="K11" s="11">
        <f>VALO_BREVET!R14</f>
        <v>0</v>
      </c>
      <c r="M11" s="11">
        <f>VALO_BREVET!T14</f>
        <v>0</v>
      </c>
    </row>
    <row r="12" spans="2:13" ht="15.75" hidden="1" x14ac:dyDescent="0.3">
      <c r="B12" s="11">
        <f>VALO_BREVET!E15</f>
        <v>0</v>
      </c>
      <c r="C12" s="11">
        <f>VALO_BREVET!H15</f>
        <v>0</v>
      </c>
      <c r="D12" s="11">
        <f>VALO_BREVET!I15</f>
        <v>0</v>
      </c>
      <c r="E12" s="11">
        <f>VALO_BREVET!J15</f>
        <v>0</v>
      </c>
      <c r="F12" s="11">
        <f>VALO_BREVET!K15</f>
        <v>0</v>
      </c>
      <c r="G12" s="11">
        <f>VALO_BREVET!L15</f>
        <v>0</v>
      </c>
      <c r="H12" s="11">
        <f>VALO_BREVET!O15</f>
        <v>0</v>
      </c>
      <c r="I12" s="11">
        <f>VALO_BREVET!P15</f>
        <v>0</v>
      </c>
      <c r="K12" s="11">
        <f>VALO_BREVET!R15</f>
        <v>0</v>
      </c>
      <c r="M12" s="11">
        <f>VALO_BREVET!T15</f>
        <v>0</v>
      </c>
    </row>
    <row r="13" spans="2:13" ht="15.75" hidden="1" x14ac:dyDescent="0.3">
      <c r="B13" s="11">
        <f>VALO_BREVET!E16</f>
        <v>0</v>
      </c>
      <c r="C13" s="11">
        <f>VALO_BREVET!H16</f>
        <v>0</v>
      </c>
      <c r="D13" s="11">
        <f>VALO_BREVET!I16</f>
        <v>0</v>
      </c>
      <c r="E13" s="11">
        <f>VALO_BREVET!J16</f>
        <v>0</v>
      </c>
      <c r="F13" s="11">
        <f>VALO_BREVET!K16</f>
        <v>0</v>
      </c>
      <c r="G13" s="11">
        <f>VALO_BREVET!L16</f>
        <v>0</v>
      </c>
      <c r="H13" s="11">
        <f>VALO_BREVET!O16</f>
        <v>0</v>
      </c>
      <c r="I13" s="11">
        <f>VALO_BREVET!P16</f>
        <v>0</v>
      </c>
      <c r="K13" s="11">
        <f>VALO_BREVET!R16</f>
        <v>0</v>
      </c>
      <c r="M13" s="11">
        <f>VALO_BREVET!T16</f>
        <v>0</v>
      </c>
    </row>
    <row r="14" spans="2:13" ht="15.75" hidden="1" x14ac:dyDescent="0.3">
      <c r="B14" s="11">
        <f>VALO_BREVET!E17</f>
        <v>0</v>
      </c>
      <c r="C14" s="11">
        <f>VALO_BREVET!H17</f>
        <v>0</v>
      </c>
      <c r="D14" s="11">
        <f>VALO_BREVET!I17</f>
        <v>0</v>
      </c>
      <c r="E14" s="11">
        <f>VALO_BREVET!J17</f>
        <v>0</v>
      </c>
      <c r="F14" s="11">
        <f>VALO_BREVET!K17</f>
        <v>0</v>
      </c>
      <c r="G14" s="11">
        <f>VALO_BREVET!L17</f>
        <v>0</v>
      </c>
      <c r="H14" s="11">
        <f>VALO_BREVET!O17</f>
        <v>0</v>
      </c>
      <c r="I14" s="11">
        <f>VALO_BREVET!P17</f>
        <v>0</v>
      </c>
      <c r="K14" s="11">
        <f>VALO_BREVET!R17</f>
        <v>0</v>
      </c>
      <c r="M14" s="11">
        <f>VALO_BREVET!T17</f>
        <v>0</v>
      </c>
    </row>
    <row r="15" spans="2:13" ht="15.75" hidden="1" x14ac:dyDescent="0.3">
      <c r="B15" s="11">
        <f>VALO_BREVET!E18</f>
        <v>0</v>
      </c>
      <c r="C15" s="11">
        <f>VALO_BREVET!H18</f>
        <v>0</v>
      </c>
      <c r="D15" s="11">
        <f>VALO_BREVET!I18</f>
        <v>0</v>
      </c>
      <c r="E15" s="11">
        <f>VALO_BREVET!J18</f>
        <v>0</v>
      </c>
      <c r="F15" s="11">
        <f>VALO_BREVET!K18</f>
        <v>0</v>
      </c>
      <c r="G15" s="11">
        <f>VALO_BREVET!L18</f>
        <v>0</v>
      </c>
      <c r="H15" s="11">
        <f>VALO_BREVET!O18</f>
        <v>0</v>
      </c>
      <c r="I15" s="11">
        <f>VALO_BREVET!P18</f>
        <v>0</v>
      </c>
      <c r="K15" s="11">
        <f>VALO_BREVET!R18</f>
        <v>0</v>
      </c>
      <c r="M15" s="11">
        <f>VALO_BREVET!T18</f>
        <v>0</v>
      </c>
    </row>
    <row r="16" spans="2:13" ht="15.75" hidden="1" x14ac:dyDescent="0.3">
      <c r="B16" s="11">
        <f>VALO_BREVET!E19</f>
        <v>0</v>
      </c>
      <c r="C16" s="11">
        <f>VALO_BREVET!H19</f>
        <v>0</v>
      </c>
      <c r="D16" s="11">
        <f>VALO_BREVET!I19</f>
        <v>0</v>
      </c>
      <c r="E16" s="11">
        <f>VALO_BREVET!J19</f>
        <v>0</v>
      </c>
      <c r="F16" s="11">
        <f>VALO_BREVET!K19</f>
        <v>0</v>
      </c>
      <c r="G16" s="11">
        <f>VALO_BREVET!L19</f>
        <v>0</v>
      </c>
      <c r="H16" s="11">
        <f>VALO_BREVET!O19</f>
        <v>0</v>
      </c>
      <c r="I16" s="11">
        <f>VALO_BREVET!P19</f>
        <v>0</v>
      </c>
      <c r="K16" s="11">
        <f>VALO_BREVET!R19</f>
        <v>0</v>
      </c>
      <c r="M16" s="11">
        <f>VALO_BREVET!T19</f>
        <v>0</v>
      </c>
    </row>
    <row r="17" spans="1:13" ht="15.75" hidden="1" x14ac:dyDescent="0.3">
      <c r="B17" s="11">
        <f>VALO_BREVET!E20</f>
        <v>0</v>
      </c>
      <c r="C17" s="11">
        <f>VALO_BREVET!H20</f>
        <v>0</v>
      </c>
      <c r="D17" s="11">
        <f>VALO_BREVET!I20</f>
        <v>0</v>
      </c>
      <c r="E17" s="11">
        <f>VALO_BREVET!J20</f>
        <v>0</v>
      </c>
      <c r="F17" s="11">
        <f>VALO_BREVET!K20</f>
        <v>0</v>
      </c>
      <c r="G17" s="11">
        <f>VALO_BREVET!L20</f>
        <v>0</v>
      </c>
      <c r="H17" s="11">
        <f>VALO_BREVET!O20</f>
        <v>0</v>
      </c>
      <c r="I17" s="11">
        <f>VALO_BREVET!P20</f>
        <v>0</v>
      </c>
      <c r="K17" s="11">
        <f>VALO_BREVET!R20</f>
        <v>0</v>
      </c>
      <c r="M17" s="11">
        <f>VALO_BREVET!T20</f>
        <v>0</v>
      </c>
    </row>
    <row r="18" spans="1:13" ht="15.75" hidden="1" x14ac:dyDescent="0.3">
      <c r="B18" s="11">
        <f>VALO_BREVET!E21</f>
        <v>0</v>
      </c>
      <c r="C18" s="11">
        <f>VALO_BREVET!H21</f>
        <v>0</v>
      </c>
      <c r="D18" s="11">
        <f>VALO_BREVET!I21</f>
        <v>0</v>
      </c>
      <c r="E18" s="11">
        <f>VALO_BREVET!J21</f>
        <v>0</v>
      </c>
      <c r="F18" s="11">
        <f>VALO_BREVET!K21</f>
        <v>0</v>
      </c>
      <c r="G18" s="11">
        <f>VALO_BREVET!L21</f>
        <v>0</v>
      </c>
      <c r="H18" s="11">
        <f>VALO_BREVET!O21</f>
        <v>0</v>
      </c>
      <c r="I18" s="11">
        <f>VALO_BREVET!P21</f>
        <v>0</v>
      </c>
      <c r="K18" s="11">
        <f>VALO_BREVET!R21</f>
        <v>0</v>
      </c>
      <c r="M18" s="11">
        <f>VALO_BREVET!T21</f>
        <v>0</v>
      </c>
    </row>
    <row r="19" spans="1:13" ht="15.75" hidden="1" x14ac:dyDescent="0.3">
      <c r="B19" s="11">
        <f>VALO_BREVET!E22</f>
        <v>0</v>
      </c>
      <c r="C19" s="11">
        <f>VALO_BREVET!H22</f>
        <v>0</v>
      </c>
      <c r="D19" s="11">
        <f>VALO_BREVET!I22</f>
        <v>0</v>
      </c>
      <c r="E19" s="11">
        <f>VALO_BREVET!J22</f>
        <v>0</v>
      </c>
      <c r="F19" s="11">
        <f>VALO_BREVET!K22</f>
        <v>0</v>
      </c>
      <c r="G19" s="11">
        <f>VALO_BREVET!L22</f>
        <v>0</v>
      </c>
      <c r="H19" s="11">
        <f>VALO_BREVET!O22</f>
        <v>0</v>
      </c>
      <c r="I19" s="11">
        <f>VALO_BREVET!P22</f>
        <v>0</v>
      </c>
      <c r="K19" s="11">
        <f>VALO_BREVET!R22</f>
        <v>0</v>
      </c>
      <c r="M19" s="11">
        <f>VALO_BREVET!T22</f>
        <v>0</v>
      </c>
    </row>
    <row r="20" spans="1:13" ht="15.75" hidden="1" x14ac:dyDescent="0.3">
      <c r="B20" s="11">
        <f>VALO_BREVET!E23</f>
        <v>0</v>
      </c>
      <c r="C20" s="11">
        <f>VALO_BREVET!H23</f>
        <v>0</v>
      </c>
      <c r="D20" s="11">
        <f>VALO_BREVET!I23</f>
        <v>0</v>
      </c>
      <c r="E20" s="11">
        <f>VALO_BREVET!J23</f>
        <v>0</v>
      </c>
      <c r="F20" s="11">
        <f>VALO_BREVET!K23</f>
        <v>0</v>
      </c>
      <c r="G20" s="11">
        <f>VALO_BREVET!L23</f>
        <v>0</v>
      </c>
      <c r="H20" s="11">
        <f>VALO_BREVET!O23</f>
        <v>0</v>
      </c>
      <c r="I20" s="11">
        <f>VALO_BREVET!P23</f>
        <v>0</v>
      </c>
      <c r="K20" s="11">
        <f>VALO_BREVET!R23</f>
        <v>0</v>
      </c>
      <c r="M20" s="11">
        <f>VALO_BREVET!T23</f>
        <v>0</v>
      </c>
    </row>
    <row r="21" spans="1:13" ht="15.75" hidden="1" x14ac:dyDescent="0.3">
      <c r="A21" t="s">
        <v>864</v>
      </c>
      <c r="B21" s="11">
        <f>VALO_BREVET!E24</f>
        <v>0</v>
      </c>
      <c r="C21" s="11">
        <f>VALO_BREVET!H24</f>
        <v>0</v>
      </c>
      <c r="D21" s="11">
        <f>VALO_BREVET!I24</f>
        <v>0</v>
      </c>
      <c r="E21" s="11">
        <f>VALO_BREVET!J24</f>
        <v>0</v>
      </c>
      <c r="F21" s="11">
        <f>VALO_BREVET!K24</f>
        <v>0</v>
      </c>
      <c r="G21" s="11">
        <f>VALO_BREVET!L24</f>
        <v>0</v>
      </c>
      <c r="H21" s="11">
        <f>VALO_BREVET!O24</f>
        <v>0</v>
      </c>
      <c r="I21" s="11">
        <f>VALO_BREVET!P24</f>
        <v>0</v>
      </c>
      <c r="K21" s="11">
        <f>VALO_BREVET!R24</f>
        <v>0</v>
      </c>
      <c r="M21" s="11">
        <f>VALO_BREVET!T24</f>
        <v>0</v>
      </c>
    </row>
    <row r="22" spans="1:13" ht="15.75" hidden="1" x14ac:dyDescent="0.3">
      <c r="B22" s="11">
        <f>VALO_BREVET!E25</f>
        <v>0</v>
      </c>
      <c r="C22" s="11">
        <f>VALO_BREVET!H25</f>
        <v>0</v>
      </c>
      <c r="D22" s="11">
        <f>VALO_BREVET!I25</f>
        <v>0</v>
      </c>
      <c r="E22" s="11">
        <f>VALO_BREVET!J25</f>
        <v>0</v>
      </c>
      <c r="F22" s="11">
        <f>VALO_BREVET!K25</f>
        <v>0</v>
      </c>
      <c r="G22" s="11">
        <f>VALO_BREVET!L25</f>
        <v>0</v>
      </c>
      <c r="H22" s="11">
        <f>VALO_BREVET!O25</f>
        <v>0</v>
      </c>
      <c r="I22" s="11">
        <f>VALO_BREVET!P25</f>
        <v>0</v>
      </c>
      <c r="K22" s="11">
        <f>VALO_BREVET!R25</f>
        <v>0</v>
      </c>
      <c r="M22" s="11">
        <f>VALO_BREVET!T25</f>
        <v>0</v>
      </c>
    </row>
    <row r="23" spans="1:13" ht="15.75" thickBot="1" x14ac:dyDescent="0.3">
      <c r="B23" s="61"/>
      <c r="C23" s="61"/>
      <c r="D23" s="61"/>
      <c r="E23" s="61"/>
      <c r="F23" s="61"/>
      <c r="G23" s="61"/>
      <c r="H23" s="97">
        <f>SUM(H2:H22)</f>
        <v>1118.3</v>
      </c>
      <c r="I23" s="97">
        <f>SUM(I2:I22)</f>
        <v>1118.3</v>
      </c>
      <c r="J23" s="75"/>
      <c r="K23" s="97">
        <f>SUM(K2:K22)</f>
        <v>0</v>
      </c>
      <c r="L23" s="75"/>
      <c r="M23" s="97">
        <f>SUM(M2:M22)</f>
        <v>0</v>
      </c>
    </row>
    <row r="25" spans="1:13" ht="15.75" thickBot="1" x14ac:dyDescent="0.3">
      <c r="F25" s="61"/>
      <c r="G25" s="61"/>
      <c r="H25" s="64" t="s">
        <v>556</v>
      </c>
      <c r="I25" s="446">
        <f>SUMIF(D:D,parametrage!$Q$2,BREVET_TS!I:I)</f>
        <v>1118.3</v>
      </c>
      <c r="K25" s="446">
        <f>SUMIF(D:D,parametrage!$Q$2,BREVET_TS!K:K)</f>
        <v>0</v>
      </c>
      <c r="L25" s="448"/>
      <c r="M25" s="446">
        <f>SUMIF(D:D,parametrage!$Q$2,BREVET_TS!M:M)</f>
        <v>0</v>
      </c>
    </row>
    <row r="26" spans="1:13" ht="15.75" thickBot="1" x14ac:dyDescent="0.3">
      <c r="F26" s="61"/>
      <c r="G26" s="61"/>
      <c r="H26" s="64" t="s">
        <v>557</v>
      </c>
      <c r="I26" s="446">
        <f>SUMIF(D:D,parametrage!$Q$3,BREVET_TS!I:I)</f>
        <v>0</v>
      </c>
      <c r="K26" s="446">
        <f>SUMIF(D:D,parametrage!$Q$3,BREVET_TS!K:K)</f>
        <v>0</v>
      </c>
      <c r="L26" s="448"/>
      <c r="M26" s="446">
        <f>IF(SUMIF(D:D,parametrage!$Q$3,BREVET_TS!M:M)&gt;60000,60000,SUMIF(D:D,parametrage!$Q$3,BREVET_TS!M:M))</f>
        <v>0</v>
      </c>
    </row>
    <row r="27" spans="1:13" ht="15.75" thickBot="1" x14ac:dyDescent="0.3">
      <c r="F27" s="61"/>
      <c r="G27" s="61"/>
      <c r="H27" s="64" t="s">
        <v>558</v>
      </c>
      <c r="I27" s="446">
        <f>SUMIF(D:D,parametrage!$Q$4,BREVET_TS!I:I)</f>
        <v>0</v>
      </c>
      <c r="K27" s="447"/>
      <c r="M27" s="447"/>
    </row>
  </sheetData>
  <conditionalFormatting sqref="B23:B1048576">
    <cfRule type="duplicateValues" dxfId="42" priority="1"/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6C24-3F29-467C-9502-1667F00C6350}">
  <sheetPr codeName="Feuil14">
    <tabColor theme="7" tint="0.79998168889431442"/>
  </sheetPr>
  <dimension ref="A3:AE47"/>
  <sheetViews>
    <sheetView showGridLines="0" topLeftCell="G22" workbookViewId="0">
      <selection activeCell="AB40" sqref="AB40"/>
    </sheetView>
  </sheetViews>
  <sheetFormatPr baseColWidth="10" defaultColWidth="11.42578125" defaultRowHeight="15" outlineLevelCol="1" x14ac:dyDescent="0.25"/>
  <cols>
    <col min="2" max="2" width="4.5703125" style="59" customWidth="1"/>
    <col min="6" max="6" width="15.28515625" customWidth="1"/>
    <col min="8" max="8" width="12.5703125" bestFit="1" customWidth="1"/>
    <col min="9" max="9" width="14.5703125" hidden="1" customWidth="1"/>
    <col min="10" max="10" width="25.140625" bestFit="1" customWidth="1"/>
    <col min="11" max="11" width="19" bestFit="1" customWidth="1"/>
    <col min="12" max="12" width="42.5703125" customWidth="1"/>
    <col min="13" max="13" width="13.7109375" hidden="1" customWidth="1"/>
    <col min="14" max="15" width="0" hidden="1" customWidth="1"/>
    <col min="16" max="16" width="13" hidden="1" customWidth="1"/>
    <col min="20" max="21" width="12.85546875" customWidth="1"/>
    <col min="22" max="22" width="12.85546875" customWidth="1" outlineLevel="1"/>
    <col min="23" max="23" width="1.7109375" hidden="1" customWidth="1"/>
    <col min="24" max="24" width="11.7109375" hidden="1" customWidth="1" outlineLevel="1"/>
    <col min="25" max="25" width="1.5703125" hidden="1" customWidth="1" collapsed="1"/>
    <col min="26" max="26" width="11.7109375" hidden="1" customWidth="1" outlineLevel="1"/>
    <col min="27" max="27" width="1.7109375" hidden="1" customWidth="1" collapsed="1"/>
    <col min="28" max="28" width="14.42578125" customWidth="1" outlineLevel="1"/>
    <col min="29" max="29" width="4.28515625" customWidth="1"/>
  </cols>
  <sheetData>
    <row r="3" spans="2:31" ht="15.75" thickBot="1" x14ac:dyDescent="0.3">
      <c r="C3" s="98"/>
      <c r="D3" s="99"/>
      <c r="E3" s="99"/>
      <c r="F3" s="98"/>
      <c r="G3" s="99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9"/>
      <c r="U3" s="99"/>
      <c r="V3" s="98"/>
      <c r="X3" s="98"/>
      <c r="Z3" s="98"/>
      <c r="AB3" s="98"/>
    </row>
    <row r="4" spans="2:31" ht="45.75" thickBot="1" x14ac:dyDescent="0.3">
      <c r="C4" s="63" t="s">
        <v>449</v>
      </c>
      <c r="D4" s="63" t="s">
        <v>451</v>
      </c>
      <c r="E4" s="63" t="s">
        <v>542</v>
      </c>
      <c r="F4" s="63" t="s">
        <v>543</v>
      </c>
      <c r="G4" s="63" t="s">
        <v>544</v>
      </c>
      <c r="H4" s="63" t="s">
        <v>545</v>
      </c>
      <c r="I4" s="63" t="s">
        <v>328</v>
      </c>
      <c r="J4" s="63" t="s">
        <v>329</v>
      </c>
      <c r="K4" s="46" t="s">
        <v>559</v>
      </c>
      <c r="L4" s="46" t="s">
        <v>560</v>
      </c>
      <c r="M4" s="46" t="s">
        <v>561</v>
      </c>
      <c r="N4" s="46" t="s">
        <v>330</v>
      </c>
      <c r="O4" s="46" t="s">
        <v>562</v>
      </c>
      <c r="P4" s="46" t="s">
        <v>563</v>
      </c>
      <c r="Q4" s="46" t="s">
        <v>331</v>
      </c>
      <c r="R4" s="46" t="s">
        <v>564</v>
      </c>
      <c r="S4" s="46" t="s">
        <v>565</v>
      </c>
      <c r="T4" s="46" t="s">
        <v>551</v>
      </c>
      <c r="U4" s="46" t="s">
        <v>566</v>
      </c>
      <c r="V4" s="46" t="s">
        <v>567</v>
      </c>
      <c r="W4" s="181" t="s">
        <v>568</v>
      </c>
      <c r="X4" s="46" t="s">
        <v>569</v>
      </c>
      <c r="Y4" s="181" t="s">
        <v>568</v>
      </c>
      <c r="Z4" s="46" t="s">
        <v>554</v>
      </c>
      <c r="AA4" s="181" t="s">
        <v>568</v>
      </c>
      <c r="AB4" s="46" t="s">
        <v>570</v>
      </c>
      <c r="AC4" s="181" t="s">
        <v>568</v>
      </c>
      <c r="AD4" s="449" t="s">
        <v>332</v>
      </c>
      <c r="AE4" s="449" t="s">
        <v>571</v>
      </c>
    </row>
    <row r="5" spans="2:31" ht="15.75" x14ac:dyDescent="0.3">
      <c r="B5" s="59">
        <f t="shared" ref="B5:B39" si="0">IF((V5+X5+Z5+AB5)&gt;T5,1,0)</f>
        <v>0</v>
      </c>
      <c r="C5" s="83" t="b">
        <v>1</v>
      </c>
      <c r="D5" s="11"/>
      <c r="E5" s="11"/>
      <c r="F5" s="11" t="s">
        <v>1293</v>
      </c>
      <c r="G5" s="94"/>
      <c r="H5" s="94">
        <v>45734</v>
      </c>
      <c r="I5" s="11">
        <v>451416747</v>
      </c>
      <c r="J5" s="11" t="s">
        <v>1290</v>
      </c>
      <c r="K5" s="400" t="s">
        <v>1218</v>
      </c>
      <c r="L5" s="11" t="s">
        <v>1291</v>
      </c>
      <c r="M5" s="11" t="s">
        <v>16</v>
      </c>
      <c r="N5" s="11" t="s">
        <v>1292</v>
      </c>
      <c r="O5" s="11" t="s">
        <v>25</v>
      </c>
      <c r="P5" s="11" t="s">
        <v>28</v>
      </c>
      <c r="Q5" s="11" t="s">
        <v>13</v>
      </c>
      <c r="R5" s="11">
        <v>2023</v>
      </c>
      <c r="S5" s="11">
        <v>2027</v>
      </c>
      <c r="T5" s="11">
        <v>14020</v>
      </c>
      <c r="U5" s="11" t="s">
        <v>15</v>
      </c>
      <c r="V5" s="227">
        <f>IF(AND(VALO_ST!$U5=parametrage!$K$13,VALO_ST!$Q5=parametrage!$U$2),VALO_ST!$T5,IF(AND(VALO_ST!$U5=parametrage!$K$14,VALO_ST!$Q5=parametrage!$U$2),0,IF(AND(VALO_ST!$U5=parametrage!$K$15,VALO_ST!$Q5=parametrage!$U$2),"Montant à définir",0)))</f>
        <v>14020</v>
      </c>
      <c r="W5" s="76"/>
      <c r="X5" s="227">
        <f>IF(AND(VALO_ST!$U5=parametrage!$K$13,VALO_ST!$Q5=parametrage!$U$4),VALO_ST!$T5,IF(AND(VALO_ST!$U5=parametrage!$K$14,VALO_ST!$Q5=parametrage!$U$4),0,IF(AND(VALO_ST!$U5=parametrage!$K$15,VALO_ST!$Q5=parametrage!$U$4),"Montant à définir",0)))</f>
        <v>0</v>
      </c>
      <c r="Y5" s="76"/>
      <c r="Z5" s="227">
        <f>IF(AND(VALO_ST!$U5=parametrage!$K$13,VALO_ST!$Q5=parametrage!$U$3),VALO_ST!$T5,IF(AND(VALO_ST!$U5=parametrage!$K$14,VALO_ST!$Q5=parametrage!$U$3),0,IF(AND(VALO_ST!$U5=parametrage!$K$15,VALO_ST!$Q5=parametrage!$U$3),"Montant à définir",0)))</f>
        <v>0</v>
      </c>
      <c r="AA5" s="76"/>
      <c r="AB5" s="227">
        <f>IF(AND(VALO_ST!$U5=parametrage!$K$13,VALO_ST!$Q5=parametrage!$U$5),VALO_ST!$T5,IF(AND(VALO_ST!$U5=parametrage!$K$14,VALO_ST!$Q5=parametrage!$U$5),0,IF(AND(VALO_ST!$U5=parametrage!$K$15,VALO_ST!$Q5=parametrage!$U$5),"Montant à définir",0)))</f>
        <v>0</v>
      </c>
      <c r="AD5" s="445" t="str">
        <f t="shared" ref="AD5:AD39" si="1">IF(Q5="CIC","",IF(Q5="CII",69,IF(AND(Q5="CICO",O5="française"),"82a",IF(AND(Q5="CICO",O5="européenne"),"82b",IF(AND(Q5="CIR",O5="française",P5="oui"),"15a",IF(AND(Q5="CIR",O5="européenne",P5="oui"),"15b",IF(AND(Q5="CIR",O5="française",P5="non"),"16a",IF(AND(Q5="CIR",O5="européenne",P5="non"),"16b",""))))))))</f>
        <v>16a</v>
      </c>
      <c r="AE5" s="450">
        <f>V5+X5+Z5</f>
        <v>14020</v>
      </c>
    </row>
    <row r="6" spans="2:31" ht="15.75" x14ac:dyDescent="0.3">
      <c r="B6" s="59">
        <f t="shared" si="0"/>
        <v>0</v>
      </c>
      <c r="C6" s="83" t="b">
        <v>1</v>
      </c>
      <c r="D6" s="11"/>
      <c r="E6" s="11"/>
      <c r="F6" s="11" t="s">
        <v>1294</v>
      </c>
      <c r="G6" s="94"/>
      <c r="H6" s="94">
        <v>45734</v>
      </c>
      <c r="I6" s="11">
        <v>451416747</v>
      </c>
      <c r="J6" s="11" t="s">
        <v>1290</v>
      </c>
      <c r="K6" s="400" t="s">
        <v>1218</v>
      </c>
      <c r="L6" s="11" t="s">
        <v>1291</v>
      </c>
      <c r="M6" s="11" t="s">
        <v>16</v>
      </c>
      <c r="N6" s="11" t="s">
        <v>1292</v>
      </c>
      <c r="O6" s="11" t="s">
        <v>25</v>
      </c>
      <c r="P6" s="11" t="s">
        <v>28</v>
      </c>
      <c r="Q6" s="11" t="s">
        <v>13</v>
      </c>
      <c r="R6" s="11">
        <v>2023</v>
      </c>
      <c r="S6" s="11">
        <v>2027</v>
      </c>
      <c r="T6" s="11">
        <v>9380</v>
      </c>
      <c r="U6" s="11" t="s">
        <v>15</v>
      </c>
      <c r="V6" s="227">
        <f>IF(AND(VALO_ST!$U6=parametrage!$K$13,VALO_ST!$Q6=parametrage!$U$2),VALO_ST!$T6,IF(AND(VALO_ST!$U6=parametrage!$K$14,VALO_ST!$Q6=parametrage!$U$2),0,IF(AND(VALO_ST!$U6=parametrage!$K$15,VALO_ST!$Q6=parametrage!$U$2),"Montant à définir",0)))</f>
        <v>9380</v>
      </c>
      <c r="W6" s="76"/>
      <c r="X6" s="227">
        <f>IF(AND(VALO_ST!$U6=parametrage!$K$13,VALO_ST!$Q6=parametrage!$U$4),VALO_ST!$T6,IF(AND(VALO_ST!$U6=parametrage!$K$14,VALO_ST!$Q6=parametrage!$U$4),0,IF(AND(VALO_ST!$U6=parametrage!$K$15,VALO_ST!$Q6=parametrage!$U$4),"Montant à définir",0)))</f>
        <v>0</v>
      </c>
      <c r="Y6" s="76"/>
      <c r="Z6" s="227">
        <f>IF(AND(VALO_ST!$U6=parametrage!$K$13,VALO_ST!$Q6=parametrage!$U$3),VALO_ST!$T6,IF(AND(VALO_ST!$U6=parametrage!$K$14,VALO_ST!$Q6=parametrage!$U$3),0,IF(AND(VALO_ST!$U6=parametrage!$K$15,VALO_ST!$Q6=parametrage!$U$3),"Montant à définir",0)))</f>
        <v>0</v>
      </c>
      <c r="AA6" s="76"/>
      <c r="AB6" s="227">
        <f>IF(AND(VALO_ST!$U6=parametrage!$K$13,VALO_ST!$Q6=parametrage!$U$5),VALO_ST!$T6,IF(AND(VALO_ST!$U6=parametrage!$K$14,VALO_ST!$Q6=parametrage!$U$5),0,IF(AND(VALO_ST!$U6=parametrage!$K$15,VALO_ST!$Q6=parametrage!$U$5),"Montant à définir",0)))</f>
        <v>0</v>
      </c>
      <c r="AD6" s="445" t="str">
        <f t="shared" si="1"/>
        <v>16a</v>
      </c>
      <c r="AE6" s="450">
        <f t="shared" ref="AE6:AE39" si="2">V6+X6+Z6</f>
        <v>9380</v>
      </c>
    </row>
    <row r="7" spans="2:31" ht="15.75" x14ac:dyDescent="0.3">
      <c r="B7" s="59">
        <f t="shared" si="0"/>
        <v>0</v>
      </c>
      <c r="C7" s="83" t="b">
        <v>1</v>
      </c>
      <c r="D7" s="11"/>
      <c r="E7" s="11"/>
      <c r="F7" s="11" t="s">
        <v>1295</v>
      </c>
      <c r="G7" s="94"/>
      <c r="H7" s="94">
        <v>45967</v>
      </c>
      <c r="I7" s="11">
        <v>451416747</v>
      </c>
      <c r="J7" s="11" t="s">
        <v>1290</v>
      </c>
      <c r="K7" s="400" t="s">
        <v>1218</v>
      </c>
      <c r="L7" s="11" t="s">
        <v>1291</v>
      </c>
      <c r="M7" s="11" t="s">
        <v>16</v>
      </c>
      <c r="N7" s="11" t="s">
        <v>1292</v>
      </c>
      <c r="O7" s="11" t="s">
        <v>25</v>
      </c>
      <c r="P7" s="11" t="s">
        <v>28</v>
      </c>
      <c r="Q7" s="11" t="s">
        <v>13</v>
      </c>
      <c r="R7" s="11">
        <v>2023</v>
      </c>
      <c r="S7" s="11">
        <v>2027</v>
      </c>
      <c r="T7" s="11">
        <v>76080</v>
      </c>
      <c r="U7" s="11" t="s">
        <v>15</v>
      </c>
      <c r="V7" s="227">
        <f>IF(AND(VALO_ST!$U7=parametrage!$K$13,VALO_ST!$Q7=parametrage!$U$2),VALO_ST!$T7,IF(AND(VALO_ST!$U7=parametrage!$K$14,VALO_ST!$Q7=parametrage!$U$2),0,IF(AND(VALO_ST!$U7=parametrage!$K$15,VALO_ST!$Q7=parametrage!$U$2),"Montant à définir",0)))</f>
        <v>76080</v>
      </c>
      <c r="W7" s="76"/>
      <c r="X7" s="227">
        <f>IF(AND(VALO_ST!$U7=parametrage!$K$13,VALO_ST!$Q7=parametrage!$U$4),VALO_ST!$T7,IF(AND(VALO_ST!$U7=parametrage!$K$14,VALO_ST!$Q7=parametrage!$U$4),0,IF(AND(VALO_ST!$U7=parametrage!$K$15,VALO_ST!$Q7=parametrage!$U$4),"Montant à définir",0)))</f>
        <v>0</v>
      </c>
      <c r="Y7" s="76"/>
      <c r="Z7" s="227">
        <f>IF(AND(VALO_ST!$U7=parametrage!$K$13,VALO_ST!$Q7=parametrage!$U$3),VALO_ST!$T7,IF(AND(VALO_ST!$U7=parametrage!$K$14,VALO_ST!$Q7=parametrage!$U$3),0,IF(AND(VALO_ST!$U7=parametrage!$K$15,VALO_ST!$Q7=parametrage!$U$3),"Montant à définir",0)))</f>
        <v>0</v>
      </c>
      <c r="AA7" s="76"/>
      <c r="AB7" s="227">
        <f>IF(AND(VALO_ST!$U7=parametrage!$K$13,VALO_ST!$Q7=parametrage!$U$5),VALO_ST!$T7,IF(AND(VALO_ST!$U7=parametrage!$K$14,VALO_ST!$Q7=parametrage!$U$5),0,IF(AND(VALO_ST!$U7=parametrage!$K$15,VALO_ST!$Q7=parametrage!$U$5),"Montant à définir",0)))</f>
        <v>0</v>
      </c>
      <c r="AD7" s="445" t="str">
        <f t="shared" si="1"/>
        <v>16a</v>
      </c>
      <c r="AE7" s="450">
        <f t="shared" si="2"/>
        <v>76080</v>
      </c>
    </row>
    <row r="8" spans="2:31" ht="15.75" x14ac:dyDescent="0.3">
      <c r="B8" s="59">
        <f t="shared" si="0"/>
        <v>0</v>
      </c>
      <c r="C8" s="83" t="b">
        <v>1</v>
      </c>
      <c r="D8" s="11"/>
      <c r="E8" s="11"/>
      <c r="F8" s="11">
        <v>240010195</v>
      </c>
      <c r="G8" s="94"/>
      <c r="H8" s="494">
        <v>45601</v>
      </c>
      <c r="I8" s="11">
        <v>197534712</v>
      </c>
      <c r="J8" s="11" t="s">
        <v>1159</v>
      </c>
      <c r="K8" s="493"/>
      <c r="L8" s="11" t="s">
        <v>1297</v>
      </c>
      <c r="M8" s="11" t="s">
        <v>29</v>
      </c>
      <c r="N8" s="11" t="s">
        <v>1296</v>
      </c>
      <c r="O8" s="11" t="s">
        <v>25</v>
      </c>
      <c r="P8" s="11" t="s">
        <v>28</v>
      </c>
      <c r="Q8" s="11" t="s">
        <v>13</v>
      </c>
      <c r="R8" s="11">
        <v>2022</v>
      </c>
      <c r="S8" s="11">
        <v>2026</v>
      </c>
      <c r="T8" s="11">
        <v>5100</v>
      </c>
      <c r="U8" s="11" t="s">
        <v>15</v>
      </c>
      <c r="V8" s="227">
        <f>IF(AND(VALO_ST!$U8=parametrage!$K$13,VALO_ST!$Q8=parametrage!$U$2),VALO_ST!$T8,IF(AND(VALO_ST!$U8=parametrage!$K$14,VALO_ST!$Q8=parametrage!$U$2),0,IF(AND(VALO_ST!$U8=parametrage!$K$15,VALO_ST!$Q8=parametrage!$U$2),"Montant à définir",0)))</f>
        <v>5100</v>
      </c>
      <c r="W8" s="76"/>
      <c r="X8" s="227">
        <f>IF(AND(VALO_ST!$U8=parametrage!$K$13,VALO_ST!$Q8=parametrage!$U$4),VALO_ST!$T8,IF(AND(VALO_ST!$U8=parametrage!$K$14,VALO_ST!$Q8=parametrage!$U$4),0,IF(AND(VALO_ST!$U8=parametrage!$K$15,VALO_ST!$Q8=parametrage!$U$4),"Montant à définir",0)))</f>
        <v>0</v>
      </c>
      <c r="Y8" s="76"/>
      <c r="Z8" s="227">
        <f>IF(AND(VALO_ST!$U8=parametrage!$K$13,VALO_ST!$Q8=parametrage!$U$3),VALO_ST!$T8,IF(AND(VALO_ST!$U8=parametrage!$K$14,VALO_ST!$Q8=parametrage!$U$3),0,IF(AND(VALO_ST!$U8=parametrage!$K$15,VALO_ST!$Q8=parametrage!$U$3),"Montant à définir",0)))</f>
        <v>0</v>
      </c>
      <c r="AA8" s="76"/>
      <c r="AB8" s="227">
        <f>IF(AND(VALO_ST!$U8=parametrage!$K$13,VALO_ST!$Q8=parametrage!$U$5),VALO_ST!$T8,IF(AND(VALO_ST!$U8=parametrage!$K$14,VALO_ST!$Q8=parametrage!$U$5),0,IF(AND(VALO_ST!$U8=parametrage!$K$15,VALO_ST!$Q8=parametrage!$U$5),"Montant à définir",0)))</f>
        <v>0</v>
      </c>
      <c r="AD8" s="445" t="str">
        <f t="shared" si="1"/>
        <v>16a</v>
      </c>
      <c r="AE8" s="450">
        <f t="shared" si="2"/>
        <v>5100</v>
      </c>
    </row>
    <row r="9" spans="2:31" ht="15.75" x14ac:dyDescent="0.3">
      <c r="B9" s="59">
        <f t="shared" si="0"/>
        <v>0</v>
      </c>
      <c r="C9" s="83" t="b">
        <v>1</v>
      </c>
      <c r="D9" s="11"/>
      <c r="E9" s="11"/>
      <c r="F9" s="11">
        <v>240011005</v>
      </c>
      <c r="G9" s="94"/>
      <c r="H9" s="494">
        <v>45639</v>
      </c>
      <c r="I9" s="11">
        <v>197534712</v>
      </c>
      <c r="J9" s="11" t="s">
        <v>1159</v>
      </c>
      <c r="K9" s="493"/>
      <c r="L9" s="11" t="s">
        <v>1298</v>
      </c>
      <c r="M9" s="11" t="s">
        <v>29</v>
      </c>
      <c r="N9" s="11" t="s">
        <v>1296</v>
      </c>
      <c r="O9" s="11" t="s">
        <v>25</v>
      </c>
      <c r="P9" s="11" t="s">
        <v>28</v>
      </c>
      <c r="Q9" s="493" t="s">
        <v>13</v>
      </c>
      <c r="R9" s="11">
        <v>2022</v>
      </c>
      <c r="S9" s="11">
        <v>2026</v>
      </c>
      <c r="T9" s="11">
        <v>25000</v>
      </c>
      <c r="U9" s="11" t="s">
        <v>15</v>
      </c>
      <c r="V9" s="227">
        <f>IF(AND(VALO_ST!$U9=parametrage!$K$13,VALO_ST!$Q9=parametrage!$U$2),VALO_ST!$T9,IF(AND(VALO_ST!$U9=parametrage!$K$14,VALO_ST!$Q9=parametrage!$U$2),0,IF(AND(VALO_ST!$U9=parametrage!$K$15,VALO_ST!$Q9=parametrage!$U$2),"Montant à définir",0)))</f>
        <v>25000</v>
      </c>
      <c r="W9" s="76"/>
      <c r="X9" s="227">
        <f>IF(AND(VALO_ST!$U9=parametrage!$K$13,VALO_ST!$Q9=parametrage!$U$4),VALO_ST!$T9,IF(AND(VALO_ST!$U9=parametrage!$K$14,VALO_ST!$Q9=parametrage!$U$4),0,IF(AND(VALO_ST!$U9=parametrage!$K$15,VALO_ST!$Q9=parametrage!$U$4),"Montant à définir",0)))</f>
        <v>0</v>
      </c>
      <c r="Y9" s="76"/>
      <c r="Z9" s="227">
        <f>IF(AND(VALO_ST!$U9=parametrage!$K$13,VALO_ST!$Q9=parametrage!$U$3),VALO_ST!$T9,IF(AND(VALO_ST!$U9=parametrage!$K$14,VALO_ST!$Q9=parametrage!$U$3),0,IF(AND(VALO_ST!$U9=parametrage!$K$15,VALO_ST!$Q9=parametrage!$U$3),"Montant à définir",0)))</f>
        <v>0</v>
      </c>
      <c r="AA9" s="76"/>
      <c r="AB9" s="227">
        <f>IF(AND(VALO_ST!$U9=parametrage!$K$13,VALO_ST!$Q9=parametrage!$U$5),VALO_ST!$T9,IF(AND(VALO_ST!$U9=parametrage!$K$14,VALO_ST!$Q9=parametrage!$U$5),0,IF(AND(VALO_ST!$U9=parametrage!$K$15,VALO_ST!$Q9=parametrage!$U$5),"Montant à définir",0)))</f>
        <v>0</v>
      </c>
      <c r="AD9" s="445" t="str">
        <f t="shared" si="1"/>
        <v>16a</v>
      </c>
      <c r="AE9" s="450">
        <f t="shared" si="2"/>
        <v>25000</v>
      </c>
    </row>
    <row r="10" spans="2:31" ht="15.75" x14ac:dyDescent="0.3">
      <c r="B10" s="59">
        <f t="shared" si="0"/>
        <v>0</v>
      </c>
      <c r="C10" s="83" t="b">
        <v>1</v>
      </c>
      <c r="D10" s="11"/>
      <c r="E10" s="11"/>
      <c r="F10" s="11">
        <v>211000565</v>
      </c>
      <c r="G10" s="94"/>
      <c r="H10" s="94">
        <v>45784</v>
      </c>
      <c r="I10" s="11">
        <v>197534712</v>
      </c>
      <c r="J10" s="11" t="s">
        <v>1159</v>
      </c>
      <c r="K10" s="493"/>
      <c r="L10" s="28" t="s">
        <v>1299</v>
      </c>
      <c r="M10" s="28" t="s">
        <v>29</v>
      </c>
      <c r="N10" s="28" t="s">
        <v>1296</v>
      </c>
      <c r="O10" s="28" t="s">
        <v>25</v>
      </c>
      <c r="P10" s="28" t="s">
        <v>28</v>
      </c>
      <c r="Q10" s="28" t="s">
        <v>13</v>
      </c>
      <c r="R10" s="11">
        <v>2025</v>
      </c>
      <c r="S10" s="11">
        <v>2026</v>
      </c>
      <c r="T10" s="11">
        <v>7500</v>
      </c>
      <c r="U10" s="11" t="s">
        <v>15</v>
      </c>
      <c r="V10" s="227">
        <f>IF(AND(VALO_ST!$U10=parametrage!$K$13,VALO_ST!$Q10=parametrage!$U$2),VALO_ST!$T10,IF(AND(VALO_ST!$U10=parametrage!$K$14,VALO_ST!$Q10=parametrage!$U$2),0,IF(AND(VALO_ST!$U10=parametrage!$K$15,VALO_ST!$Q10=parametrage!$U$2),"Montant à définir",0)))</f>
        <v>7500</v>
      </c>
      <c r="W10" s="76"/>
      <c r="X10" s="227">
        <f>IF(AND(VALO_ST!$U10=parametrage!$K$13,VALO_ST!$Q10=parametrage!$U$4),VALO_ST!$T10,IF(AND(VALO_ST!$U10=parametrage!$K$14,VALO_ST!$Q10=parametrage!$U$4),0,IF(AND(VALO_ST!$U10=parametrage!$K$15,VALO_ST!$Q10=parametrage!$U$4),"Montant à définir",0)))</f>
        <v>0</v>
      </c>
      <c r="Y10" s="76"/>
      <c r="Z10" s="227">
        <f>IF(AND(VALO_ST!$U10=parametrage!$K$13,VALO_ST!$Q10=parametrage!$U$3),VALO_ST!$T10,IF(AND(VALO_ST!$U10=parametrage!$K$14,VALO_ST!$Q10=parametrage!$U$3),0,IF(AND(VALO_ST!$U10=parametrage!$K$15,VALO_ST!$Q10=parametrage!$U$3),"Montant à définir",0)))</f>
        <v>0</v>
      </c>
      <c r="AA10" s="76"/>
      <c r="AB10" s="227">
        <f>IF(AND(VALO_ST!$U10=parametrage!$K$13,VALO_ST!$Q10=parametrage!$U$5),VALO_ST!$T10,IF(AND(VALO_ST!$U10=parametrage!$K$14,VALO_ST!$Q10=parametrage!$U$5),0,IF(AND(VALO_ST!$U10=parametrage!$K$15,VALO_ST!$Q10=parametrage!$U$5),"Montant à définir",0)))</f>
        <v>0</v>
      </c>
      <c r="AD10" s="445" t="str">
        <f t="shared" si="1"/>
        <v>16a</v>
      </c>
      <c r="AE10" s="450">
        <f t="shared" si="2"/>
        <v>7500</v>
      </c>
    </row>
    <row r="11" spans="2:31" ht="15.75" x14ac:dyDescent="0.3">
      <c r="B11" s="59">
        <f t="shared" si="0"/>
        <v>0</v>
      </c>
      <c r="C11" s="83" t="b">
        <v>1</v>
      </c>
      <c r="D11" s="11"/>
      <c r="E11" s="11"/>
      <c r="F11" s="11" t="s">
        <v>1303</v>
      </c>
      <c r="G11" s="94"/>
      <c r="H11" s="94">
        <v>45868</v>
      </c>
      <c r="I11" s="11">
        <v>481273423</v>
      </c>
      <c r="J11" s="11" t="s">
        <v>1300</v>
      </c>
      <c r="K11" s="11"/>
      <c r="L11" s="28" t="s">
        <v>1301</v>
      </c>
      <c r="M11" s="11"/>
      <c r="N11" s="11" t="s">
        <v>1302</v>
      </c>
      <c r="O11" s="11" t="s">
        <v>25</v>
      </c>
      <c r="P11" s="11" t="s">
        <v>28</v>
      </c>
      <c r="Q11" s="11" t="s">
        <v>13</v>
      </c>
      <c r="R11" s="11">
        <v>2024</v>
      </c>
      <c r="S11" s="11">
        <v>2028</v>
      </c>
      <c r="T11" s="11">
        <v>1200</v>
      </c>
      <c r="U11" s="11" t="s">
        <v>28</v>
      </c>
      <c r="V11" s="227">
        <f>IF(AND(VALO_ST!$U11=parametrage!$K$13,VALO_ST!$Q11=parametrage!$U$2),VALO_ST!$T11,IF(AND(VALO_ST!$U11=parametrage!$K$14,VALO_ST!$Q11=parametrage!$U$2),0,IF(AND(VALO_ST!$U11=parametrage!$K$15,VALO_ST!$Q11=parametrage!$U$2),"Montant à définir",0)))</f>
        <v>0</v>
      </c>
      <c r="W11" s="76"/>
      <c r="X11" s="227">
        <f>IF(AND(VALO_ST!$U11=parametrage!$K$13,VALO_ST!$Q11=parametrage!$U$4),VALO_ST!$T11,IF(AND(VALO_ST!$U11=parametrage!$K$14,VALO_ST!$Q11=parametrage!$U$4),0,IF(AND(VALO_ST!$U11=parametrage!$K$15,VALO_ST!$Q11=parametrage!$U$4),"Montant à définir",0)))</f>
        <v>0</v>
      </c>
      <c r="Y11" s="76"/>
      <c r="Z11" s="227">
        <f>IF(AND(VALO_ST!$U11=parametrage!$K$13,VALO_ST!$Q11=parametrage!$U$3),VALO_ST!$T11,IF(AND(VALO_ST!$U11=parametrage!$K$14,VALO_ST!$Q11=parametrage!$U$3),0,IF(AND(VALO_ST!$U11=parametrage!$K$15,VALO_ST!$Q11=parametrage!$U$3),"Montant à définir",0)))</f>
        <v>0</v>
      </c>
      <c r="AA11" s="76"/>
      <c r="AB11" s="227">
        <f>IF(AND(VALO_ST!$U11=parametrage!$K$13,VALO_ST!$Q11=parametrage!$U$5),VALO_ST!$T11,IF(AND(VALO_ST!$U11=parametrage!$K$14,VALO_ST!$Q11=parametrage!$U$5),0,IF(AND(VALO_ST!$U11=parametrage!$K$15,VALO_ST!$Q11=parametrage!$U$5),"Montant à définir",0)))</f>
        <v>0</v>
      </c>
      <c r="AD11" s="445" t="str">
        <f t="shared" si="1"/>
        <v>16a</v>
      </c>
      <c r="AE11" s="450">
        <f t="shared" si="2"/>
        <v>0</v>
      </c>
    </row>
    <row r="12" spans="2:31" ht="15.75" x14ac:dyDescent="0.3">
      <c r="B12" s="59">
        <f t="shared" si="0"/>
        <v>0</v>
      </c>
      <c r="C12" s="83" t="b">
        <v>1</v>
      </c>
      <c r="D12" s="11"/>
      <c r="E12" s="11"/>
      <c r="F12" s="11">
        <v>2110002592</v>
      </c>
      <c r="G12" s="94"/>
      <c r="H12" s="94">
        <v>45776</v>
      </c>
      <c r="I12" s="11">
        <v>180070039</v>
      </c>
      <c r="J12" s="11" t="s">
        <v>1163</v>
      </c>
      <c r="K12" s="11"/>
      <c r="L12" s="11" t="s">
        <v>1305</v>
      </c>
      <c r="M12" s="11"/>
      <c r="N12" s="11" t="s">
        <v>1304</v>
      </c>
      <c r="O12" s="11" t="s">
        <v>25</v>
      </c>
      <c r="P12" s="11" t="s">
        <v>28</v>
      </c>
      <c r="Q12" s="493" t="s">
        <v>41</v>
      </c>
      <c r="R12" s="11">
        <v>2025</v>
      </c>
      <c r="S12" s="11">
        <v>2027</v>
      </c>
      <c r="T12" s="11">
        <v>181545</v>
      </c>
      <c r="U12" s="11" t="s">
        <v>15</v>
      </c>
      <c r="V12" s="227">
        <f>IF(AND(VALO_ST!$U12=parametrage!$K$13,VALO_ST!$Q12=parametrage!$U$2),VALO_ST!$T12,IF(AND(VALO_ST!$U12=parametrage!$K$14,VALO_ST!$Q12=parametrage!$U$2),0,IF(AND(VALO_ST!$U12=parametrage!$K$15,VALO_ST!$Q12=parametrage!$U$2),"Montant à définir",0)))</f>
        <v>0</v>
      </c>
      <c r="W12" s="76"/>
      <c r="X12" s="227">
        <f>IF(AND(VALO_ST!$U12=parametrage!$K$13,VALO_ST!$Q12=parametrage!$U$4),VALO_ST!$T12,IF(AND(VALO_ST!$U12=parametrage!$K$14,VALO_ST!$Q12=parametrage!$U$4),0,IF(AND(VALO_ST!$U12=parametrage!$K$15,VALO_ST!$Q12=parametrage!$U$4),"Montant à définir",0)))</f>
        <v>0</v>
      </c>
      <c r="Y12" s="76"/>
      <c r="Z12" s="227">
        <f>IF(AND(VALO_ST!$U12=parametrage!$K$13,VALO_ST!$Q12=parametrage!$U$3),VALO_ST!$T12,IF(AND(VALO_ST!$U12=parametrage!$K$14,VALO_ST!$Q12=parametrage!$U$3),0,IF(AND(VALO_ST!$U12=parametrage!$K$15,VALO_ST!$Q12=parametrage!$U$3),"Montant à définir",0)))</f>
        <v>0</v>
      </c>
      <c r="AA12" s="76"/>
      <c r="AB12" s="227">
        <f>IF(AND(VALO_ST!$U12=parametrage!$K$13,VALO_ST!$Q12=parametrage!$U$5),VALO_ST!$T12,IF(AND(VALO_ST!$U12=parametrage!$K$14,VALO_ST!$Q12=parametrage!$U$5),0,IF(AND(VALO_ST!$U12=parametrage!$K$15,VALO_ST!$Q12=parametrage!$U$5),"Montant à définir",0)))</f>
        <v>181545</v>
      </c>
      <c r="AD12" s="445" t="str">
        <f t="shared" si="1"/>
        <v>82a</v>
      </c>
      <c r="AE12" s="450">
        <f t="shared" si="2"/>
        <v>0</v>
      </c>
    </row>
    <row r="13" spans="2:31" ht="15.75" x14ac:dyDescent="0.3">
      <c r="B13" s="59">
        <f t="shared" si="0"/>
        <v>0</v>
      </c>
      <c r="C13" s="83" t="b">
        <v>1</v>
      </c>
      <c r="D13" s="11"/>
      <c r="E13" s="11"/>
      <c r="F13" s="11">
        <v>2110011866</v>
      </c>
      <c r="G13" s="94"/>
      <c r="H13" s="94">
        <v>45994</v>
      </c>
      <c r="I13" s="11">
        <v>180070039</v>
      </c>
      <c r="J13" s="11" t="s">
        <v>1163</v>
      </c>
      <c r="K13" s="11"/>
      <c r="L13" s="28" t="s">
        <v>1306</v>
      </c>
      <c r="M13" s="11"/>
      <c r="N13" s="11" t="s">
        <v>1304</v>
      </c>
      <c r="O13" s="11" t="s">
        <v>25</v>
      </c>
      <c r="P13" s="11" t="s">
        <v>28</v>
      </c>
      <c r="Q13" s="493" t="s">
        <v>41</v>
      </c>
      <c r="R13" s="11">
        <v>2025</v>
      </c>
      <c r="S13" s="11">
        <v>2027</v>
      </c>
      <c r="T13" s="11">
        <v>363089</v>
      </c>
      <c r="U13" s="11" t="s">
        <v>15</v>
      </c>
      <c r="V13" s="227">
        <f>IF(AND(VALO_ST!$U13=parametrage!$K$13,VALO_ST!$Q13=parametrage!$U$2),VALO_ST!$T13,IF(AND(VALO_ST!$U13=parametrage!$K$14,VALO_ST!$Q13=parametrage!$U$2),0,IF(AND(VALO_ST!$U13=parametrage!$K$15,VALO_ST!$Q13=parametrage!$U$2),"Montant à définir",0)))</f>
        <v>0</v>
      </c>
      <c r="W13" s="76"/>
      <c r="X13" s="227">
        <f>IF(AND(VALO_ST!$U13=parametrage!$K$13,VALO_ST!$Q13=parametrage!$U$4),VALO_ST!$T13,IF(AND(VALO_ST!$U13=parametrage!$K$14,VALO_ST!$Q13=parametrage!$U$4),0,IF(AND(VALO_ST!$U13=parametrage!$K$15,VALO_ST!$Q13=parametrage!$U$4),"Montant à définir",0)))</f>
        <v>0</v>
      </c>
      <c r="Y13" s="76"/>
      <c r="Z13" s="227">
        <f>IF(AND(VALO_ST!$U13=parametrage!$K$13,VALO_ST!$Q13=parametrage!$U$3),VALO_ST!$T13,IF(AND(VALO_ST!$U13=parametrage!$K$14,VALO_ST!$Q13=parametrage!$U$3),0,IF(AND(VALO_ST!$U13=parametrage!$K$15,VALO_ST!$Q13=parametrage!$U$3),"Montant à définir",0)))</f>
        <v>0</v>
      </c>
      <c r="AA13" s="76"/>
      <c r="AB13" s="227">
        <f>IF(AND(VALO_ST!$U13=parametrage!$K$13,VALO_ST!$Q13=parametrage!$U$5),VALO_ST!$T13,IF(AND(VALO_ST!$U13=parametrage!$K$14,VALO_ST!$Q13=parametrage!$U$5),0,IF(AND(VALO_ST!$U13=parametrage!$K$15,VALO_ST!$Q13=parametrage!$U$5),"Montant à définir",0)))</f>
        <v>363089</v>
      </c>
      <c r="AD13" s="445" t="str">
        <f t="shared" si="1"/>
        <v>82a</v>
      </c>
      <c r="AE13" s="450">
        <f t="shared" si="2"/>
        <v>0</v>
      </c>
    </row>
    <row r="14" spans="2:31" ht="15.75" x14ac:dyDescent="0.3">
      <c r="B14" s="59">
        <f t="shared" si="0"/>
        <v>0</v>
      </c>
      <c r="C14" s="83" t="b">
        <v>1</v>
      </c>
      <c r="D14" s="11"/>
      <c r="E14" s="11"/>
      <c r="F14" s="11" t="s">
        <v>1310</v>
      </c>
      <c r="G14" s="94"/>
      <c r="H14" s="94">
        <v>45748</v>
      </c>
      <c r="I14" s="11">
        <v>197601651</v>
      </c>
      <c r="J14" s="11" t="s">
        <v>1307</v>
      </c>
      <c r="K14" s="493"/>
      <c r="L14" s="28" t="s">
        <v>1308</v>
      </c>
      <c r="M14" s="11"/>
      <c r="N14" s="11" t="s">
        <v>1309</v>
      </c>
      <c r="O14" s="11" t="s">
        <v>25</v>
      </c>
      <c r="P14" s="11" t="s">
        <v>28</v>
      </c>
      <c r="Q14" s="11" t="s">
        <v>13</v>
      </c>
      <c r="R14" s="11">
        <v>2022</v>
      </c>
      <c r="S14" s="11">
        <v>2026</v>
      </c>
      <c r="T14" s="11">
        <v>2420</v>
      </c>
      <c r="U14" s="11" t="s">
        <v>15</v>
      </c>
      <c r="V14" s="227">
        <f>IF(AND(VALO_ST!$U14=parametrage!$K$13,VALO_ST!$Q14=parametrage!$U$2),VALO_ST!$T14,IF(AND(VALO_ST!$U14=parametrage!$K$14,VALO_ST!$Q14=parametrage!$U$2),0,IF(AND(VALO_ST!$U14=parametrage!$K$15,VALO_ST!$Q14=parametrage!$U$2),"Montant à définir",0)))</f>
        <v>2420</v>
      </c>
      <c r="W14" s="76"/>
      <c r="X14" s="227">
        <f>IF(AND(VALO_ST!$U14=parametrage!$K$13,VALO_ST!$Q14=parametrage!$U$4),VALO_ST!$T14,IF(AND(VALO_ST!$U14=parametrage!$K$14,VALO_ST!$Q14=parametrage!$U$4),0,IF(AND(VALO_ST!$U14=parametrage!$K$15,VALO_ST!$Q14=parametrage!$U$4),"Montant à définir",0)))</f>
        <v>0</v>
      </c>
      <c r="Y14" s="76"/>
      <c r="Z14" s="227">
        <f>IF(AND(VALO_ST!$U14=parametrage!$K$13,VALO_ST!$Q14=parametrage!$U$3),VALO_ST!$T14,IF(AND(VALO_ST!$U14=parametrage!$K$14,VALO_ST!$Q14=parametrage!$U$3),0,IF(AND(VALO_ST!$U14=parametrage!$K$15,VALO_ST!$Q14=parametrage!$U$3),"Montant à définir",0)))</f>
        <v>0</v>
      </c>
      <c r="AA14" s="76"/>
      <c r="AB14" s="227">
        <f>IF(AND(VALO_ST!$U14=parametrage!$K$13,VALO_ST!$Q14=parametrage!$U$5),VALO_ST!$T14,IF(AND(VALO_ST!$U14=parametrage!$K$14,VALO_ST!$Q14=parametrage!$U$5),0,IF(AND(VALO_ST!$U14=parametrage!$K$15,VALO_ST!$Q14=parametrage!$U$5),"Montant à définir",0)))</f>
        <v>0</v>
      </c>
      <c r="AD14" s="445" t="str">
        <f t="shared" si="1"/>
        <v>16a</v>
      </c>
      <c r="AE14" s="450">
        <f t="shared" si="2"/>
        <v>2420</v>
      </c>
    </row>
    <row r="15" spans="2:31" ht="15.75" x14ac:dyDescent="0.3">
      <c r="B15" s="59">
        <f t="shared" si="0"/>
        <v>0</v>
      </c>
      <c r="C15" s="83" t="b">
        <v>1</v>
      </c>
      <c r="D15" s="11"/>
      <c r="E15" s="11"/>
      <c r="F15" s="11" t="s">
        <v>1311</v>
      </c>
      <c r="G15" s="94"/>
      <c r="H15" s="94">
        <v>45845</v>
      </c>
      <c r="I15" s="11">
        <v>197601651</v>
      </c>
      <c r="J15" s="11" t="s">
        <v>1307</v>
      </c>
      <c r="K15" s="493"/>
      <c r="L15" s="28" t="s">
        <v>1308</v>
      </c>
      <c r="M15" s="11"/>
      <c r="N15" s="11" t="s">
        <v>1309</v>
      </c>
      <c r="O15" s="11" t="s">
        <v>25</v>
      </c>
      <c r="P15" s="11" t="s">
        <v>28</v>
      </c>
      <c r="Q15" s="11" t="s">
        <v>13</v>
      </c>
      <c r="R15" s="11">
        <v>2022</v>
      </c>
      <c r="S15" s="11">
        <v>2026</v>
      </c>
      <c r="T15" s="11">
        <v>2100</v>
      </c>
      <c r="U15" s="11" t="s">
        <v>15</v>
      </c>
      <c r="V15" s="227">
        <f>IF(AND(VALO_ST!$U15=parametrage!$K$13,VALO_ST!$Q15=parametrage!$U$2),VALO_ST!$T15,IF(AND(VALO_ST!$U15=parametrage!$K$14,VALO_ST!$Q15=parametrage!$U$2),0,IF(AND(VALO_ST!$U15=parametrage!$K$15,VALO_ST!$Q15=parametrage!$U$2),"Montant à définir",0)))</f>
        <v>2100</v>
      </c>
      <c r="W15" s="76"/>
      <c r="X15" s="227">
        <f>IF(AND(VALO_ST!$U15=parametrage!$K$13,VALO_ST!$Q15=parametrage!$U$4),VALO_ST!$T15,IF(AND(VALO_ST!$U15=parametrage!$K$14,VALO_ST!$Q15=parametrage!$U$4),0,IF(AND(VALO_ST!$U15=parametrage!$K$15,VALO_ST!$Q15=parametrage!$U$4),"Montant à définir",0)))</f>
        <v>0</v>
      </c>
      <c r="Y15" s="76"/>
      <c r="Z15" s="227">
        <f>IF(AND(VALO_ST!$U15=parametrage!$K$13,VALO_ST!$Q15=parametrage!$U$3),VALO_ST!$T15,IF(AND(VALO_ST!$U15=parametrage!$K$14,VALO_ST!$Q15=parametrage!$U$3),0,IF(AND(VALO_ST!$U15=parametrage!$K$15,VALO_ST!$Q15=parametrage!$U$3),"Montant à définir",0)))</f>
        <v>0</v>
      </c>
      <c r="AA15" s="76"/>
      <c r="AB15" s="227">
        <f>IF(AND(VALO_ST!$U15=parametrage!$K$13,VALO_ST!$Q15=parametrage!$U$5),VALO_ST!$T15,IF(AND(VALO_ST!$U15=parametrage!$K$14,VALO_ST!$Q15=parametrage!$U$5),0,IF(AND(VALO_ST!$U15=parametrage!$K$15,VALO_ST!$Q15=parametrage!$U$5),"Montant à définir",0)))</f>
        <v>0</v>
      </c>
      <c r="AD15" s="445" t="str">
        <f t="shared" si="1"/>
        <v>16a</v>
      </c>
      <c r="AE15" s="450">
        <f t="shared" si="2"/>
        <v>2100</v>
      </c>
    </row>
    <row r="16" spans="2:31" ht="15.75" x14ac:dyDescent="0.3">
      <c r="B16" s="59">
        <f t="shared" si="0"/>
        <v>0</v>
      </c>
      <c r="C16" s="83" t="b">
        <v>1</v>
      </c>
      <c r="D16" s="11"/>
      <c r="E16" s="11"/>
      <c r="F16" s="11" t="s">
        <v>1312</v>
      </c>
      <c r="G16" s="94"/>
      <c r="H16" s="94">
        <v>45943</v>
      </c>
      <c r="I16" s="11">
        <v>197601651</v>
      </c>
      <c r="J16" s="11" t="s">
        <v>1307</v>
      </c>
      <c r="K16" s="493"/>
      <c r="L16" s="28" t="s">
        <v>1308</v>
      </c>
      <c r="M16" s="11"/>
      <c r="N16" s="11" t="s">
        <v>1309</v>
      </c>
      <c r="O16" s="11" t="s">
        <v>25</v>
      </c>
      <c r="P16" s="11" t="s">
        <v>28</v>
      </c>
      <c r="Q16" s="11" t="s">
        <v>13</v>
      </c>
      <c r="R16" s="11">
        <v>2022</v>
      </c>
      <c r="S16" s="11">
        <v>2026</v>
      </c>
      <c r="T16" s="11">
        <v>1280</v>
      </c>
      <c r="U16" s="11" t="s">
        <v>15</v>
      </c>
      <c r="V16" s="227">
        <f>IF(AND(VALO_ST!$U16=parametrage!$K$13,VALO_ST!$Q16=parametrage!$U$2),VALO_ST!$T16,IF(AND(VALO_ST!$U16=parametrage!$K$14,VALO_ST!$Q16=parametrage!$U$2),0,IF(AND(VALO_ST!$U16=parametrage!$K$15,VALO_ST!$Q16=parametrage!$U$2),"Montant à définir",0)))</f>
        <v>1280</v>
      </c>
      <c r="W16" s="76"/>
      <c r="X16" s="227">
        <f>IF(AND(VALO_ST!$U16=parametrage!$K$13,VALO_ST!$Q16=parametrage!$U$4),VALO_ST!$T16,IF(AND(VALO_ST!$U16=parametrage!$K$14,VALO_ST!$Q16=parametrage!$U$4),0,IF(AND(VALO_ST!$U16=parametrage!$K$15,VALO_ST!$Q16=parametrage!$U$4),"Montant à définir",0)))</f>
        <v>0</v>
      </c>
      <c r="Y16" s="76"/>
      <c r="Z16" s="227">
        <f>IF(AND(VALO_ST!$U16=parametrage!$K$13,VALO_ST!$Q16=parametrage!$U$3),VALO_ST!$T16,IF(AND(VALO_ST!$U16=parametrage!$K$14,VALO_ST!$Q16=parametrage!$U$3),0,IF(AND(VALO_ST!$U16=parametrage!$K$15,VALO_ST!$Q16=parametrage!$U$3),"Montant à définir",0)))</f>
        <v>0</v>
      </c>
      <c r="AA16" s="76"/>
      <c r="AB16" s="227">
        <f>IF(AND(VALO_ST!$U16=parametrage!$K$13,VALO_ST!$Q16=parametrage!$U$5),VALO_ST!$T16,IF(AND(VALO_ST!$U16=parametrage!$K$14,VALO_ST!$Q16=parametrage!$U$5),0,IF(AND(VALO_ST!$U16=parametrage!$K$15,VALO_ST!$Q16=parametrage!$U$5),"Montant à définir",0)))</f>
        <v>0</v>
      </c>
      <c r="AD16" s="445" t="str">
        <f t="shared" si="1"/>
        <v>16a</v>
      </c>
      <c r="AE16" s="450">
        <f t="shared" si="2"/>
        <v>1280</v>
      </c>
    </row>
    <row r="17" spans="1:31" ht="15.75" x14ac:dyDescent="0.3">
      <c r="B17" s="59">
        <f t="shared" si="0"/>
        <v>0</v>
      </c>
      <c r="C17" s="83" t="b">
        <v>1</v>
      </c>
      <c r="D17" s="11"/>
      <c r="E17" s="11"/>
      <c r="F17" s="11" t="s">
        <v>1313</v>
      </c>
      <c r="G17" s="94"/>
      <c r="H17" s="94">
        <v>45943</v>
      </c>
      <c r="I17" s="11">
        <v>197601651</v>
      </c>
      <c r="J17" s="11" t="s">
        <v>1307</v>
      </c>
      <c r="K17" s="493"/>
      <c r="L17" s="28" t="s">
        <v>1308</v>
      </c>
      <c r="M17" s="11"/>
      <c r="N17" s="11" t="s">
        <v>1309</v>
      </c>
      <c r="O17" s="11" t="s">
        <v>25</v>
      </c>
      <c r="P17" s="11" t="s">
        <v>28</v>
      </c>
      <c r="Q17" s="11" t="s">
        <v>13</v>
      </c>
      <c r="R17" s="11">
        <v>2022</v>
      </c>
      <c r="S17" s="11">
        <v>2026</v>
      </c>
      <c r="T17" s="11">
        <v>2420</v>
      </c>
      <c r="U17" s="11" t="s">
        <v>15</v>
      </c>
      <c r="V17" s="227">
        <f>IF(AND(VALO_ST!$U17=parametrage!$K$13,VALO_ST!$Q17=parametrage!$U$2),VALO_ST!$T17,IF(AND(VALO_ST!$U17=parametrage!$K$14,VALO_ST!$Q17=parametrage!$U$2),0,IF(AND(VALO_ST!$U17=parametrage!$K$15,VALO_ST!$Q17=parametrage!$U$2),"Montant à définir",0)))</f>
        <v>2420</v>
      </c>
      <c r="W17" s="76"/>
      <c r="X17" s="227">
        <f>IF(AND(VALO_ST!$U17=parametrage!$K$13,VALO_ST!$Q17=parametrage!$U$4),VALO_ST!$T17,IF(AND(VALO_ST!$U17=parametrage!$K$14,VALO_ST!$Q17=parametrage!$U$4),0,IF(AND(VALO_ST!$U17=parametrage!$K$15,VALO_ST!$Q17=parametrage!$U$4),"Montant à définir",0)))</f>
        <v>0</v>
      </c>
      <c r="Y17" s="76"/>
      <c r="Z17" s="227">
        <f>IF(AND(VALO_ST!$U17=parametrage!$K$13,VALO_ST!$Q17=parametrage!$U$3),VALO_ST!$T17,IF(AND(VALO_ST!$U17=parametrage!$K$14,VALO_ST!$Q17=parametrage!$U$3),0,IF(AND(VALO_ST!$U17=parametrage!$K$15,VALO_ST!$Q17=parametrage!$U$3),"Montant à définir",0)))</f>
        <v>0</v>
      </c>
      <c r="AA17" s="76"/>
      <c r="AB17" s="227">
        <f>IF(AND(VALO_ST!$U17=parametrage!$K$13,VALO_ST!$Q17=parametrage!$U$5),VALO_ST!$T17,IF(AND(VALO_ST!$U17=parametrage!$K$14,VALO_ST!$Q17=parametrage!$U$5),0,IF(AND(VALO_ST!$U17=parametrage!$K$15,VALO_ST!$Q17=parametrage!$U$5),"Montant à définir",0)))</f>
        <v>0</v>
      </c>
      <c r="AD17" s="445" t="str">
        <f t="shared" si="1"/>
        <v>16a</v>
      </c>
      <c r="AE17" s="450">
        <f t="shared" si="2"/>
        <v>2420</v>
      </c>
    </row>
    <row r="18" spans="1:31" ht="15.75" x14ac:dyDescent="0.3">
      <c r="B18" s="59">
        <f t="shared" si="0"/>
        <v>0</v>
      </c>
      <c r="C18" s="83" t="b">
        <v>1</v>
      </c>
      <c r="D18" s="11"/>
      <c r="E18" s="11"/>
      <c r="F18" s="11">
        <v>8</v>
      </c>
      <c r="G18" s="94"/>
      <c r="H18" s="94">
        <v>45694</v>
      </c>
      <c r="I18" s="11">
        <v>784262644</v>
      </c>
      <c r="J18" s="11" t="s">
        <v>1165</v>
      </c>
      <c r="K18" s="493"/>
      <c r="L18" s="11" t="s">
        <v>1314</v>
      </c>
      <c r="M18" s="11"/>
      <c r="N18" s="11" t="s">
        <v>1315</v>
      </c>
      <c r="O18" s="11" t="s">
        <v>25</v>
      </c>
      <c r="P18" s="11" t="s">
        <v>28</v>
      </c>
      <c r="Q18" s="11" t="s">
        <v>13</v>
      </c>
      <c r="R18" s="11">
        <v>2022</v>
      </c>
      <c r="S18" s="11">
        <v>2026</v>
      </c>
      <c r="T18" s="11">
        <v>315</v>
      </c>
      <c r="U18" s="11" t="s">
        <v>15</v>
      </c>
      <c r="V18" s="227">
        <f>IF(AND(VALO_ST!$U18=parametrage!$K$13,VALO_ST!$Q18=parametrage!$U$2),VALO_ST!$T18,IF(AND(VALO_ST!$U18=parametrage!$K$14,VALO_ST!$Q18=parametrage!$U$2),0,IF(AND(VALO_ST!$U18=parametrage!$K$15,VALO_ST!$Q18=parametrage!$U$2),"Montant à définir",0)))</f>
        <v>315</v>
      </c>
      <c r="W18" s="76"/>
      <c r="X18" s="227">
        <f>IF(AND(VALO_ST!$U18=parametrage!$K$13,VALO_ST!$Q18=parametrage!$U$4),VALO_ST!$T18,IF(AND(VALO_ST!$U18=parametrage!$K$14,VALO_ST!$Q18=parametrage!$U$4),0,IF(AND(VALO_ST!$U18=parametrage!$K$15,VALO_ST!$Q18=parametrage!$U$4),"Montant à définir",0)))</f>
        <v>0</v>
      </c>
      <c r="Y18" s="76"/>
      <c r="Z18" s="227">
        <f>IF(AND(VALO_ST!$U18=parametrage!$K$13,VALO_ST!$Q18=parametrage!$U$3),VALO_ST!$T18,IF(AND(VALO_ST!$U18=parametrage!$K$14,VALO_ST!$Q18=parametrage!$U$3),0,IF(AND(VALO_ST!$U18=parametrage!$K$15,VALO_ST!$Q18=parametrage!$U$3),"Montant à définir",0)))</f>
        <v>0</v>
      </c>
      <c r="AA18" s="76"/>
      <c r="AB18" s="227">
        <f>IF(AND(VALO_ST!$U18=parametrage!$K$13,VALO_ST!$Q18=parametrage!$U$5),VALO_ST!$T18,IF(AND(VALO_ST!$U18=parametrage!$K$14,VALO_ST!$Q18=parametrage!$U$5),0,IF(AND(VALO_ST!$U18=parametrage!$K$15,VALO_ST!$Q18=parametrage!$U$5),"Montant à définir",0)))</f>
        <v>0</v>
      </c>
      <c r="AD18" s="445" t="str">
        <f t="shared" si="1"/>
        <v>16a</v>
      </c>
      <c r="AE18" s="450">
        <f t="shared" si="2"/>
        <v>315</v>
      </c>
    </row>
    <row r="19" spans="1:31" ht="15.75" x14ac:dyDescent="0.3">
      <c r="B19" s="59">
        <f t="shared" si="0"/>
        <v>0</v>
      </c>
      <c r="C19" s="83" t="b">
        <v>1</v>
      </c>
      <c r="D19" s="11"/>
      <c r="E19" s="11"/>
      <c r="F19" s="11">
        <v>25</v>
      </c>
      <c r="G19" s="94"/>
      <c r="H19" s="94">
        <v>45757</v>
      </c>
      <c r="I19" s="11">
        <v>784262644</v>
      </c>
      <c r="J19" s="11" t="s">
        <v>1165</v>
      </c>
      <c r="K19" s="493"/>
      <c r="L19" s="11" t="s">
        <v>1314</v>
      </c>
      <c r="M19" s="11"/>
      <c r="N19" s="11" t="s">
        <v>1315</v>
      </c>
      <c r="O19" s="11" t="s">
        <v>25</v>
      </c>
      <c r="P19" s="11" t="s">
        <v>28</v>
      </c>
      <c r="Q19" s="11" t="s">
        <v>13</v>
      </c>
      <c r="R19" s="11">
        <v>2022</v>
      </c>
      <c r="S19" s="11">
        <v>2026</v>
      </c>
      <c r="T19" s="11">
        <v>693.5</v>
      </c>
      <c r="U19" s="11" t="s">
        <v>15</v>
      </c>
      <c r="V19" s="227">
        <f>IF(AND(VALO_ST!$U19=parametrage!$K$13,VALO_ST!$Q19=parametrage!$U$2),VALO_ST!$T19,IF(AND(VALO_ST!$U19=parametrage!$K$14,VALO_ST!$Q19=parametrage!$U$2),0,IF(AND(VALO_ST!$U19=parametrage!$K$15,VALO_ST!$Q19=parametrage!$U$2),"Montant à définir",0)))</f>
        <v>693.5</v>
      </c>
      <c r="W19" s="76"/>
      <c r="X19" s="227">
        <f>IF(AND(VALO_ST!$U19=parametrage!$K$13,VALO_ST!$Q19=parametrage!$U$4),VALO_ST!$T19,IF(AND(VALO_ST!$U19=parametrage!$K$14,VALO_ST!$Q19=parametrage!$U$4),0,IF(AND(VALO_ST!$U19=parametrage!$K$15,VALO_ST!$Q19=parametrage!$U$4),"Montant à définir",0)))</f>
        <v>0</v>
      </c>
      <c r="Y19" s="76"/>
      <c r="Z19" s="227">
        <f>IF(AND(VALO_ST!$U19=parametrage!$K$13,VALO_ST!$Q19=parametrage!$U$3),VALO_ST!$T19,IF(AND(VALO_ST!$U19=parametrage!$K$14,VALO_ST!$Q19=parametrage!$U$3),0,IF(AND(VALO_ST!$U19=parametrage!$K$15,VALO_ST!$Q19=parametrage!$U$3),"Montant à définir",0)))</f>
        <v>0</v>
      </c>
      <c r="AA19" s="76"/>
      <c r="AB19" s="227">
        <f>IF(AND(VALO_ST!$U19=parametrage!$K$13,VALO_ST!$Q19=parametrage!$U$5),VALO_ST!$T19,IF(AND(VALO_ST!$U19=parametrage!$K$14,VALO_ST!$Q19=parametrage!$U$5),0,IF(AND(VALO_ST!$U19=parametrage!$K$15,VALO_ST!$Q19=parametrage!$U$5),"Montant à définir",0)))</f>
        <v>0</v>
      </c>
      <c r="AD19" s="445" t="str">
        <f t="shared" si="1"/>
        <v>16a</v>
      </c>
      <c r="AE19" s="450">
        <f t="shared" si="2"/>
        <v>693.5</v>
      </c>
    </row>
    <row r="20" spans="1:31" ht="15.75" x14ac:dyDescent="0.3">
      <c r="B20" s="59">
        <f t="shared" si="0"/>
        <v>0</v>
      </c>
      <c r="C20" s="83" t="b">
        <v>1</v>
      </c>
      <c r="D20" s="11"/>
      <c r="E20" s="11"/>
      <c r="F20" s="11">
        <v>78</v>
      </c>
      <c r="G20" s="94"/>
      <c r="H20" s="94">
        <v>45866</v>
      </c>
      <c r="I20" s="11">
        <v>784262644</v>
      </c>
      <c r="J20" s="11" t="s">
        <v>1165</v>
      </c>
      <c r="K20" s="493"/>
      <c r="L20" s="11" t="s">
        <v>1314</v>
      </c>
      <c r="M20" s="11"/>
      <c r="N20" s="11" t="s">
        <v>1315</v>
      </c>
      <c r="O20" s="11" t="s">
        <v>25</v>
      </c>
      <c r="P20" s="11" t="s">
        <v>28</v>
      </c>
      <c r="Q20" s="11" t="s">
        <v>13</v>
      </c>
      <c r="R20" s="11">
        <v>2022</v>
      </c>
      <c r="S20" s="11">
        <v>2026</v>
      </c>
      <c r="T20" s="11">
        <v>297</v>
      </c>
      <c r="U20" s="11" t="s">
        <v>15</v>
      </c>
      <c r="V20" s="227">
        <f>IF(AND(VALO_ST!$U20=parametrage!$K$13,VALO_ST!$Q20=parametrage!$U$2),VALO_ST!$T20,IF(AND(VALO_ST!$U20=parametrage!$K$14,VALO_ST!$Q20=parametrage!$U$2),0,IF(AND(VALO_ST!$U20=parametrage!$K$15,VALO_ST!$Q20=parametrage!$U$2),"Montant à définir",0)))</f>
        <v>297</v>
      </c>
      <c r="W20" s="76"/>
      <c r="X20" s="227">
        <f>IF(AND(VALO_ST!$U20=parametrage!$K$13,VALO_ST!$Q20=parametrage!$U$4),VALO_ST!$T20,IF(AND(VALO_ST!$U20=parametrage!$K$14,VALO_ST!$Q20=parametrage!$U$4),0,IF(AND(VALO_ST!$U20=parametrage!$K$15,VALO_ST!$Q20=parametrage!$U$4),"Montant à définir",0)))</f>
        <v>0</v>
      </c>
      <c r="Y20" s="76"/>
      <c r="Z20" s="227">
        <f>IF(AND(VALO_ST!$U20=parametrage!$K$13,VALO_ST!$Q20=parametrage!$U$3),VALO_ST!$T20,IF(AND(VALO_ST!$U20=parametrage!$K$14,VALO_ST!$Q20=parametrage!$U$3),0,IF(AND(VALO_ST!$U20=parametrage!$K$15,VALO_ST!$Q20=parametrage!$U$3),"Montant à définir",0)))</f>
        <v>0</v>
      </c>
      <c r="AA20" s="76"/>
      <c r="AB20" s="227">
        <f>IF(AND(VALO_ST!$U20=parametrage!$K$13,VALO_ST!$Q20=parametrage!$U$5),VALO_ST!$T20,IF(AND(VALO_ST!$U20=parametrage!$K$14,VALO_ST!$Q20=parametrage!$U$5),0,IF(AND(VALO_ST!$U20=parametrage!$K$15,VALO_ST!$Q20=parametrage!$U$5),"Montant à définir",0)))</f>
        <v>0</v>
      </c>
      <c r="AD20" s="445" t="str">
        <f t="shared" si="1"/>
        <v>16a</v>
      </c>
      <c r="AE20" s="450">
        <f t="shared" si="2"/>
        <v>297</v>
      </c>
    </row>
    <row r="21" spans="1:31" ht="15.75" x14ac:dyDescent="0.3">
      <c r="B21" s="59">
        <f t="shared" si="0"/>
        <v>0</v>
      </c>
      <c r="C21" s="83" t="b">
        <v>1</v>
      </c>
      <c r="D21" s="11"/>
      <c r="E21" s="11"/>
      <c r="F21" s="11">
        <v>92</v>
      </c>
      <c r="G21" s="94"/>
      <c r="H21" s="94">
        <v>45938</v>
      </c>
      <c r="I21" s="11">
        <v>784262644</v>
      </c>
      <c r="J21" s="11" t="s">
        <v>1165</v>
      </c>
      <c r="K21" s="493"/>
      <c r="L21" s="11" t="s">
        <v>1314</v>
      </c>
      <c r="M21" s="11"/>
      <c r="N21" s="11" t="s">
        <v>1315</v>
      </c>
      <c r="O21" s="11" t="s">
        <v>25</v>
      </c>
      <c r="P21" s="11" t="s">
        <v>28</v>
      </c>
      <c r="Q21" s="11" t="s">
        <v>13</v>
      </c>
      <c r="R21" s="11">
        <v>2022</v>
      </c>
      <c r="S21" s="11">
        <v>2026</v>
      </c>
      <c r="T21" s="11">
        <v>695</v>
      </c>
      <c r="U21" s="11" t="s">
        <v>15</v>
      </c>
      <c r="V21" s="227">
        <f>IF(AND(VALO_ST!$U21=parametrage!$K$13,VALO_ST!$Q21=parametrage!$U$2),VALO_ST!$T21,IF(AND(VALO_ST!$U21=parametrage!$K$14,VALO_ST!$Q21=parametrage!$U$2),0,IF(AND(VALO_ST!$U21=parametrage!$K$15,VALO_ST!$Q21=parametrage!$U$2),"Montant à définir",0)))</f>
        <v>695</v>
      </c>
      <c r="W21" s="76"/>
      <c r="X21" s="227">
        <f>IF(AND(VALO_ST!$U21=parametrage!$K$13,VALO_ST!$Q21=parametrage!$U$4),VALO_ST!$T21,IF(AND(VALO_ST!$U21=parametrage!$K$14,VALO_ST!$Q21=parametrage!$U$4),0,IF(AND(VALO_ST!$U21=parametrage!$K$15,VALO_ST!$Q21=parametrage!$U$4),"Montant à définir",0)))</f>
        <v>0</v>
      </c>
      <c r="Y21" s="76"/>
      <c r="Z21" s="227">
        <f>IF(AND(VALO_ST!$U21=parametrage!$K$13,VALO_ST!$Q21=parametrage!$U$3),VALO_ST!$T21,IF(AND(VALO_ST!$U21=parametrage!$K$14,VALO_ST!$Q21=parametrage!$U$3),0,IF(AND(VALO_ST!$U21=parametrage!$K$15,VALO_ST!$Q21=parametrage!$U$3),"Montant à définir",0)))</f>
        <v>0</v>
      </c>
      <c r="AA21" s="76"/>
      <c r="AB21" s="227">
        <f>IF(AND(VALO_ST!$U21=parametrage!$K$13,VALO_ST!$Q21=parametrage!$U$5),VALO_ST!$T21,IF(AND(VALO_ST!$U21=parametrage!$K$14,VALO_ST!$Q21=parametrage!$U$5),0,IF(AND(VALO_ST!$U21=parametrage!$K$15,VALO_ST!$Q21=parametrage!$U$5),"Montant à définir",0)))</f>
        <v>0</v>
      </c>
      <c r="AD21" s="445" t="str">
        <f t="shared" si="1"/>
        <v>16a</v>
      </c>
      <c r="AE21" s="450">
        <f t="shared" si="2"/>
        <v>695</v>
      </c>
    </row>
    <row r="22" spans="1:31" ht="15.75" x14ac:dyDescent="0.3">
      <c r="B22" s="59">
        <f t="shared" si="0"/>
        <v>0</v>
      </c>
      <c r="C22" s="83" t="b">
        <v>1</v>
      </c>
      <c r="D22" s="11"/>
      <c r="E22" s="11"/>
      <c r="F22" s="11">
        <v>122</v>
      </c>
      <c r="G22" s="94"/>
      <c r="H22" s="94">
        <v>46022</v>
      </c>
      <c r="I22" s="11">
        <v>784262644</v>
      </c>
      <c r="J22" s="11" t="s">
        <v>1165</v>
      </c>
      <c r="K22" s="493"/>
      <c r="L22" s="11" t="s">
        <v>1314</v>
      </c>
      <c r="M22" s="11"/>
      <c r="N22" s="11" t="s">
        <v>1315</v>
      </c>
      <c r="O22" s="11" t="s">
        <v>25</v>
      </c>
      <c r="P22" s="11" t="s">
        <v>28</v>
      </c>
      <c r="Q22" s="11" t="s">
        <v>13</v>
      </c>
      <c r="R22" s="11">
        <v>2022</v>
      </c>
      <c r="S22" s="11">
        <v>2026</v>
      </c>
      <c r="T22" s="11">
        <v>667.76</v>
      </c>
      <c r="U22" s="11" t="s">
        <v>15</v>
      </c>
      <c r="V22" s="227">
        <f>IF(AND(VALO_ST!$U22=parametrage!$K$13,VALO_ST!$Q22=parametrage!$U$2),VALO_ST!$T22,IF(AND(VALO_ST!$U22=parametrage!$K$14,VALO_ST!$Q22=parametrage!$U$2),0,IF(AND(VALO_ST!$U22=parametrage!$K$15,VALO_ST!$Q22=parametrage!$U$2),"Montant à définir",0)))</f>
        <v>667.76</v>
      </c>
      <c r="W22" s="76"/>
      <c r="X22" s="227">
        <f>IF(AND(VALO_ST!$U22=parametrage!$K$13,VALO_ST!$Q22=parametrage!$U$4),VALO_ST!$T22,IF(AND(VALO_ST!$U22=parametrage!$K$14,VALO_ST!$Q22=parametrage!$U$4),0,IF(AND(VALO_ST!$U22=parametrage!$K$15,VALO_ST!$Q22=parametrage!$U$4),"Montant à définir",0)))</f>
        <v>0</v>
      </c>
      <c r="Y22" s="76"/>
      <c r="Z22" s="227">
        <f>IF(AND(VALO_ST!$U22=parametrage!$K$13,VALO_ST!$Q22=parametrage!$U$3),VALO_ST!$T22,IF(AND(VALO_ST!$U22=parametrage!$K$14,VALO_ST!$Q22=parametrage!$U$3),0,IF(AND(VALO_ST!$U22=parametrage!$K$15,VALO_ST!$Q22=parametrage!$U$3),"Montant à définir",0)))</f>
        <v>0</v>
      </c>
      <c r="AA22" s="76"/>
      <c r="AB22" s="227">
        <f>IF(AND(VALO_ST!$U22=parametrage!$K$13,VALO_ST!$Q22=parametrage!$U$5),VALO_ST!$T22,IF(AND(VALO_ST!$U22=parametrage!$K$14,VALO_ST!$Q22=parametrage!$U$5),0,IF(AND(VALO_ST!$U22=parametrage!$K$15,VALO_ST!$Q22=parametrage!$U$5),"Montant à définir",0)))</f>
        <v>0</v>
      </c>
      <c r="AD22" s="445" t="str">
        <f t="shared" si="1"/>
        <v>16a</v>
      </c>
      <c r="AE22" s="450">
        <f t="shared" si="2"/>
        <v>667.76</v>
      </c>
    </row>
    <row r="23" spans="1:31" ht="15.75" x14ac:dyDescent="0.3">
      <c r="B23" s="59">
        <f t="shared" si="0"/>
        <v>0</v>
      </c>
      <c r="C23" s="83" t="b">
        <v>1</v>
      </c>
      <c r="D23" s="11"/>
      <c r="E23" s="11"/>
      <c r="F23" s="11" t="s">
        <v>1316</v>
      </c>
      <c r="G23" s="94"/>
      <c r="H23" s="94">
        <v>45987</v>
      </c>
      <c r="I23" s="11">
        <v>424864668</v>
      </c>
      <c r="J23" s="11" t="s">
        <v>1318</v>
      </c>
      <c r="K23" s="493"/>
      <c r="L23" s="11" t="s">
        <v>1319</v>
      </c>
      <c r="M23" s="11"/>
      <c r="N23" s="11" t="s">
        <v>1317</v>
      </c>
      <c r="O23" s="11" t="s">
        <v>25</v>
      </c>
      <c r="P23" s="11" t="s">
        <v>28</v>
      </c>
      <c r="Q23" s="11" t="s">
        <v>13</v>
      </c>
      <c r="R23" s="11">
        <v>2022</v>
      </c>
      <c r="S23" s="11">
        <v>2026</v>
      </c>
      <c r="T23" s="11">
        <v>3550</v>
      </c>
      <c r="U23" s="11" t="s">
        <v>69</v>
      </c>
      <c r="V23" s="227">
        <f>T23-150</f>
        <v>3400</v>
      </c>
      <c r="W23" s="76"/>
      <c r="X23" s="227">
        <f>IF(AND(VALO_ST!$U23=parametrage!$K$13,VALO_ST!$Q23=parametrage!$U$4),VALO_ST!$T23,IF(AND(VALO_ST!$U23=parametrage!$K$14,VALO_ST!$Q23=parametrage!$U$4),0,IF(AND(VALO_ST!$U23=parametrage!$K$15,VALO_ST!$Q23=parametrage!$U$4),"Montant à définir",0)))</f>
        <v>0</v>
      </c>
      <c r="Y23" s="76"/>
      <c r="Z23" s="227">
        <f>IF(AND(VALO_ST!$U23=parametrage!$K$13,VALO_ST!$Q23=parametrage!$U$3),VALO_ST!$T23,IF(AND(VALO_ST!$U23=parametrage!$K$14,VALO_ST!$Q23=parametrage!$U$3),0,IF(AND(VALO_ST!$U23=parametrage!$K$15,VALO_ST!$Q23=parametrage!$U$3),"Montant à définir",0)))</f>
        <v>0</v>
      </c>
      <c r="AA23" s="76"/>
      <c r="AB23" s="227">
        <f>IF(AND(VALO_ST!$U23=parametrage!$K$13,VALO_ST!$Q23=parametrage!$U$5),VALO_ST!$T23,IF(AND(VALO_ST!$U23=parametrage!$K$14,VALO_ST!$Q23=parametrage!$U$5),0,IF(AND(VALO_ST!$U23=parametrage!$K$15,VALO_ST!$Q23=parametrage!$U$5),"Montant à définir",0)))</f>
        <v>0</v>
      </c>
      <c r="AD23" s="445" t="str">
        <f t="shared" si="1"/>
        <v>16a</v>
      </c>
      <c r="AE23" s="450">
        <f t="shared" si="2"/>
        <v>3400</v>
      </c>
    </row>
    <row r="24" spans="1:31" ht="15.75" x14ac:dyDescent="0.3">
      <c r="B24" s="59">
        <f t="shared" si="0"/>
        <v>0</v>
      </c>
      <c r="C24" s="83" t="b">
        <v>1</v>
      </c>
      <c r="D24" s="11"/>
      <c r="E24" s="11"/>
      <c r="F24" s="11" t="s">
        <v>1323</v>
      </c>
      <c r="G24" s="94"/>
      <c r="H24" s="94">
        <v>45680</v>
      </c>
      <c r="I24" s="11"/>
      <c r="J24" s="11" t="s">
        <v>1320</v>
      </c>
      <c r="K24" s="11" t="s">
        <v>1220</v>
      </c>
      <c r="L24" s="11" t="s">
        <v>1321</v>
      </c>
      <c r="M24" s="11"/>
      <c r="N24" s="11" t="s">
        <v>1322</v>
      </c>
      <c r="O24" s="11" t="s">
        <v>39</v>
      </c>
      <c r="P24" s="11" t="s">
        <v>28</v>
      </c>
      <c r="Q24" s="11" t="s">
        <v>13</v>
      </c>
      <c r="R24" s="11">
        <v>2023</v>
      </c>
      <c r="S24" s="11">
        <v>2025</v>
      </c>
      <c r="T24" s="11">
        <v>9793</v>
      </c>
      <c r="U24" s="11" t="s">
        <v>15</v>
      </c>
      <c r="V24" s="227">
        <f>IF(AND(VALO_ST!$U24=parametrage!$K$13,VALO_ST!$Q24=parametrage!$U$2),VALO_ST!$T24,IF(AND(VALO_ST!$U24=parametrage!$K$14,VALO_ST!$Q24=parametrage!$U$2),0,IF(AND(VALO_ST!$U24=parametrage!$K$15,VALO_ST!$Q24=parametrage!$U$2),"Montant à définir",0)))</f>
        <v>9793</v>
      </c>
      <c r="W24" s="76"/>
      <c r="X24" s="227">
        <f>IF(AND(VALO_ST!$U24=parametrage!$K$13,VALO_ST!$Q24=parametrage!$U$4),VALO_ST!$T24,IF(AND(VALO_ST!$U24=parametrage!$K$14,VALO_ST!$Q24=parametrage!$U$4),0,IF(AND(VALO_ST!$U24=parametrage!$K$15,VALO_ST!$Q24=parametrage!$U$4),"Montant à définir",0)))</f>
        <v>0</v>
      </c>
      <c r="Y24" s="76"/>
      <c r="Z24" s="227">
        <f>IF(AND(VALO_ST!$U24=parametrage!$K$13,VALO_ST!$Q24=parametrage!$U$3),VALO_ST!$T24,IF(AND(VALO_ST!$U24=parametrage!$K$14,VALO_ST!$Q24=parametrage!$U$3),0,IF(AND(VALO_ST!$U24=parametrage!$K$15,VALO_ST!$Q24=parametrage!$U$3),"Montant à définir",0)))</f>
        <v>0</v>
      </c>
      <c r="AA24" s="76"/>
      <c r="AB24" s="227">
        <f>IF(AND(VALO_ST!$U24=parametrage!$K$13,VALO_ST!$Q24=parametrage!$U$5),VALO_ST!$T24,IF(AND(VALO_ST!$U24=parametrage!$K$14,VALO_ST!$Q24=parametrage!$U$5),0,IF(AND(VALO_ST!$U24=parametrage!$K$15,VALO_ST!$Q24=parametrage!$U$5),"Montant à définir",0)))</f>
        <v>0</v>
      </c>
      <c r="AD24" s="445" t="str">
        <f t="shared" si="1"/>
        <v>16b</v>
      </c>
      <c r="AE24" s="450">
        <f t="shared" si="2"/>
        <v>9793</v>
      </c>
    </row>
    <row r="25" spans="1:31" ht="15.75" x14ac:dyDescent="0.3">
      <c r="A25" t="s">
        <v>865</v>
      </c>
      <c r="B25" s="59">
        <f t="shared" si="0"/>
        <v>0</v>
      </c>
      <c r="C25" s="83" t="b">
        <v>1</v>
      </c>
      <c r="D25" s="11"/>
      <c r="E25" s="11"/>
      <c r="F25" s="11" t="s">
        <v>1325</v>
      </c>
      <c r="G25" s="94"/>
      <c r="H25" s="94">
        <v>45714</v>
      </c>
      <c r="I25" s="11"/>
      <c r="J25" s="11" t="s">
        <v>1320</v>
      </c>
      <c r="K25" s="11" t="s">
        <v>1220</v>
      </c>
      <c r="L25" s="11" t="s">
        <v>1324</v>
      </c>
      <c r="M25" s="11"/>
      <c r="N25" s="11" t="s">
        <v>1322</v>
      </c>
      <c r="O25" s="11" t="s">
        <v>39</v>
      </c>
      <c r="P25" s="11" t="s">
        <v>28</v>
      </c>
      <c r="Q25" s="11" t="s">
        <v>13</v>
      </c>
      <c r="R25" s="11">
        <v>2023</v>
      </c>
      <c r="S25" s="11">
        <v>2025</v>
      </c>
      <c r="T25" s="11">
        <v>10714</v>
      </c>
      <c r="U25" s="11" t="s">
        <v>15</v>
      </c>
      <c r="V25" s="227">
        <f>IF(AND(VALO_ST!$U25=parametrage!$K$13,VALO_ST!$Q25=parametrage!$U$2),VALO_ST!$T25,IF(AND(VALO_ST!$U25=parametrage!$K$14,VALO_ST!$Q25=parametrage!$U$2),0,IF(AND(VALO_ST!$U25=parametrage!$K$15,VALO_ST!$Q25=parametrage!$U$2),"Montant à définir",0)))</f>
        <v>10714</v>
      </c>
      <c r="W25" s="76"/>
      <c r="X25" s="227">
        <f>IF(AND(VALO_ST!$U25=parametrage!$K$13,VALO_ST!$Q25=parametrage!$U$4),VALO_ST!$T25,IF(AND(VALO_ST!$U25=parametrage!$K$14,VALO_ST!$Q25=parametrage!$U$4),0,IF(AND(VALO_ST!$U25=parametrage!$K$15,VALO_ST!$Q25=parametrage!$U$4),"Montant à définir",0)))</f>
        <v>0</v>
      </c>
      <c r="Y25" s="76"/>
      <c r="Z25" s="227">
        <f>IF(AND(VALO_ST!$U25=parametrage!$K$13,VALO_ST!$Q25=parametrage!$U$3),VALO_ST!$T25,IF(AND(VALO_ST!$U25=parametrage!$K$14,VALO_ST!$Q25=parametrage!$U$3),0,IF(AND(VALO_ST!$U25=parametrage!$K$15,VALO_ST!$Q25=parametrage!$U$3),"Montant à définir",0)))</f>
        <v>0</v>
      </c>
      <c r="AA25" s="76"/>
      <c r="AB25" s="227">
        <f>IF(AND(VALO_ST!$U25=parametrage!$K$13,VALO_ST!$Q25=parametrage!$U$5),VALO_ST!$T25,IF(AND(VALO_ST!$U25=parametrage!$K$14,VALO_ST!$Q25=parametrage!$U$5),0,IF(AND(VALO_ST!$U25=parametrage!$K$15,VALO_ST!$Q25=parametrage!$U$5),"Montant à définir",0)))</f>
        <v>0</v>
      </c>
      <c r="AD25" s="445" t="str">
        <f t="shared" si="1"/>
        <v>16b</v>
      </c>
      <c r="AE25" s="450">
        <f t="shared" si="2"/>
        <v>10714</v>
      </c>
    </row>
    <row r="26" spans="1:31" ht="15.75" x14ac:dyDescent="0.3">
      <c r="A26" t="s">
        <v>865</v>
      </c>
      <c r="B26" s="59">
        <f t="shared" ref="B26" si="3">IF((V26+X26+Z26+AB26)&gt;T26,1,0)</f>
        <v>0</v>
      </c>
      <c r="C26" s="83" t="b">
        <v>1</v>
      </c>
      <c r="D26" s="11"/>
      <c r="E26" s="11"/>
      <c r="F26" s="11" t="s">
        <v>1327</v>
      </c>
      <c r="G26" s="94"/>
      <c r="H26" s="94">
        <v>45776</v>
      </c>
      <c r="I26" s="11"/>
      <c r="J26" s="11" t="s">
        <v>1320</v>
      </c>
      <c r="K26" s="11" t="s">
        <v>1220</v>
      </c>
      <c r="L26" s="11" t="s">
        <v>1326</v>
      </c>
      <c r="M26" s="11"/>
      <c r="N26" s="11" t="s">
        <v>1322</v>
      </c>
      <c r="O26" s="11" t="s">
        <v>39</v>
      </c>
      <c r="P26" s="11" t="s">
        <v>28</v>
      </c>
      <c r="Q26" s="11" t="s">
        <v>13</v>
      </c>
      <c r="R26" s="11">
        <v>2023</v>
      </c>
      <c r="S26" s="11">
        <v>2025</v>
      </c>
      <c r="T26" s="11">
        <v>10715</v>
      </c>
      <c r="U26" s="11" t="s">
        <v>15</v>
      </c>
      <c r="V26" s="227">
        <f>IF(AND(VALO_ST!$U26=parametrage!$K$13,VALO_ST!$Q26=parametrage!$U$2),VALO_ST!$T26,IF(AND(VALO_ST!$U26=parametrage!$K$14,VALO_ST!$Q26=parametrage!$U$2),0,IF(AND(VALO_ST!$U26=parametrage!$K$15,VALO_ST!$Q26=parametrage!$U$2),"Montant à définir",0)))</f>
        <v>10715</v>
      </c>
      <c r="W26" s="76"/>
      <c r="X26" s="227">
        <f>IF(AND(VALO_ST!$U26=parametrage!$K$13,VALO_ST!$Q26=parametrage!$U$4),VALO_ST!$T26,IF(AND(VALO_ST!$U26=parametrage!$K$14,VALO_ST!$Q26=parametrage!$U$4),0,IF(AND(VALO_ST!$U26=parametrage!$K$15,VALO_ST!$Q26=parametrage!$U$4),"Montant à définir",0)))</f>
        <v>0</v>
      </c>
      <c r="Y26" s="76"/>
      <c r="Z26" s="227">
        <f>IF(AND(VALO_ST!$U26=parametrage!$K$13,VALO_ST!$Q26=parametrage!$U$3),VALO_ST!$T26,IF(AND(VALO_ST!$U26=parametrage!$K$14,VALO_ST!$Q26=parametrage!$U$3),0,IF(AND(VALO_ST!$U26=parametrage!$K$15,VALO_ST!$Q26=parametrage!$U$3),"Montant à définir",0)))</f>
        <v>0</v>
      </c>
      <c r="AA26" s="76"/>
      <c r="AB26" s="227">
        <f>IF(AND(VALO_ST!$U26=parametrage!$K$13,VALO_ST!$Q26=parametrage!$U$5),VALO_ST!$T26,IF(AND(VALO_ST!$U26=parametrage!$K$14,VALO_ST!$Q26=parametrage!$U$5),0,IF(AND(VALO_ST!$U26=parametrage!$K$15,VALO_ST!$Q26=parametrage!$U$5),"Montant à définir",0)))</f>
        <v>0</v>
      </c>
      <c r="AD26" s="445" t="str">
        <f t="shared" ref="AD26" si="4">IF(Q26="CIC","",IF(Q26="CII",69,IF(AND(Q26="CICO",O26="française"),"82a",IF(AND(Q26="CICO",O26="européenne"),"82b",IF(AND(Q26="CIR",O26="française",P26="oui"),"15a",IF(AND(Q26="CIR",O26="européenne",P26="oui"),"15b",IF(AND(Q26="CIR",O26="française",P26="non"),"16a",IF(AND(Q26="CIR",O26="européenne",P26="non"),"16b",""))))))))</f>
        <v>16b</v>
      </c>
      <c r="AE26" s="450">
        <f t="shared" ref="AE26" si="5">V26+X26+Z26</f>
        <v>10715</v>
      </c>
    </row>
    <row r="27" spans="1:31" ht="15.75" x14ac:dyDescent="0.3">
      <c r="A27" t="s">
        <v>865</v>
      </c>
      <c r="B27" s="59">
        <f t="shared" ref="B27" si="6">IF((V27+X27+Z27+AB27)&gt;T27,1,0)</f>
        <v>0</v>
      </c>
      <c r="C27" s="83" t="b">
        <v>1</v>
      </c>
      <c r="D27" s="11"/>
      <c r="E27" s="11"/>
      <c r="F27" s="11" t="s">
        <v>1328</v>
      </c>
      <c r="G27" s="94"/>
      <c r="H27" s="94">
        <v>45854</v>
      </c>
      <c r="I27" s="11"/>
      <c r="J27" s="11" t="s">
        <v>1320</v>
      </c>
      <c r="K27" s="11" t="s">
        <v>1220</v>
      </c>
      <c r="L27" s="11" t="s">
        <v>1327</v>
      </c>
      <c r="M27" s="11"/>
      <c r="N27" s="11" t="s">
        <v>1322</v>
      </c>
      <c r="O27" s="11" t="s">
        <v>39</v>
      </c>
      <c r="P27" s="11" t="s">
        <v>28</v>
      </c>
      <c r="Q27" s="11" t="s">
        <v>13</v>
      </c>
      <c r="R27" s="11">
        <v>2023</v>
      </c>
      <c r="S27" s="11">
        <v>2025</v>
      </c>
      <c r="T27" s="11">
        <v>17444</v>
      </c>
      <c r="U27" s="11" t="s">
        <v>15</v>
      </c>
      <c r="V27" s="227">
        <f>IF(AND(VALO_ST!$U27=parametrage!$K$13,VALO_ST!$Q27=parametrage!$U$2),VALO_ST!$T27,IF(AND(VALO_ST!$U27=parametrage!$K$14,VALO_ST!$Q27=parametrage!$U$2),0,IF(AND(VALO_ST!$U27=parametrage!$K$15,VALO_ST!$Q27=parametrage!$U$2),"Montant à définir",0)))</f>
        <v>17444</v>
      </c>
      <c r="W27" s="76"/>
      <c r="X27" s="227">
        <f>IF(AND(VALO_ST!$U27=parametrage!$K$13,VALO_ST!$Q27=parametrage!$U$4),VALO_ST!$T27,IF(AND(VALO_ST!$U27=parametrage!$K$14,VALO_ST!$Q27=parametrage!$U$4),0,IF(AND(VALO_ST!$U27=parametrage!$K$15,VALO_ST!$Q27=parametrage!$U$4),"Montant à définir",0)))</f>
        <v>0</v>
      </c>
      <c r="Y27" s="76"/>
      <c r="Z27" s="227">
        <f>IF(AND(VALO_ST!$U27=parametrage!$K$13,VALO_ST!$Q27=parametrage!$U$3),VALO_ST!$T27,IF(AND(VALO_ST!$U27=parametrage!$K$14,VALO_ST!$Q27=parametrage!$U$3),0,IF(AND(VALO_ST!$U27=parametrage!$K$15,VALO_ST!$Q27=parametrage!$U$3),"Montant à définir",0)))</f>
        <v>0</v>
      </c>
      <c r="AA27" s="76"/>
      <c r="AB27" s="227">
        <f>IF(AND(VALO_ST!$U27=parametrage!$K$13,VALO_ST!$Q27=parametrage!$U$5),VALO_ST!$T27,IF(AND(VALO_ST!$U27=parametrage!$K$14,VALO_ST!$Q27=parametrage!$U$5),0,IF(AND(VALO_ST!$U27=parametrage!$K$15,VALO_ST!$Q27=parametrage!$U$5),"Montant à définir",0)))</f>
        <v>0</v>
      </c>
      <c r="AD27" s="445" t="str">
        <f t="shared" ref="AD27" si="7">IF(Q27="CIC","",IF(Q27="CII",69,IF(AND(Q27="CICO",O27="française"),"82a",IF(AND(Q27="CICO",O27="européenne"),"82b",IF(AND(Q27="CIR",O27="française",P27="oui"),"15a",IF(AND(Q27="CIR",O27="européenne",P27="oui"),"15b",IF(AND(Q27="CIR",O27="française",P27="non"),"16a",IF(AND(Q27="CIR",O27="européenne",P27="non"),"16b",""))))))))</f>
        <v>16b</v>
      </c>
      <c r="AE27" s="450">
        <f t="shared" ref="AE27" si="8">V27+X27+Z27</f>
        <v>17444</v>
      </c>
    </row>
    <row r="28" spans="1:31" ht="15.75" x14ac:dyDescent="0.3">
      <c r="A28" t="s">
        <v>865</v>
      </c>
      <c r="B28" s="59">
        <f t="shared" ref="B28" si="9">IF((V28+X28+Z28+AB28)&gt;T28,1,0)</f>
        <v>0</v>
      </c>
      <c r="C28" s="83" t="b">
        <v>1</v>
      </c>
      <c r="D28" s="11"/>
      <c r="E28" s="11"/>
      <c r="F28" s="11" t="s">
        <v>1330</v>
      </c>
      <c r="G28" s="94"/>
      <c r="H28" s="94">
        <v>45916</v>
      </c>
      <c r="I28" s="11"/>
      <c r="J28" s="11" t="s">
        <v>1320</v>
      </c>
      <c r="K28" s="11" t="s">
        <v>1220</v>
      </c>
      <c r="L28" s="11" t="s">
        <v>1329</v>
      </c>
      <c r="M28" s="11"/>
      <c r="N28" s="11" t="s">
        <v>1322</v>
      </c>
      <c r="O28" s="11" t="s">
        <v>39</v>
      </c>
      <c r="P28" s="11" t="s">
        <v>28</v>
      </c>
      <c r="Q28" s="11" t="s">
        <v>13</v>
      </c>
      <c r="R28" s="11">
        <v>2023</v>
      </c>
      <c r="S28" s="11">
        <v>2025</v>
      </c>
      <c r="T28" s="11">
        <v>17443</v>
      </c>
      <c r="U28" s="11" t="s">
        <v>15</v>
      </c>
      <c r="V28" s="227">
        <f>IF(AND(VALO_ST!$U28=parametrage!$K$13,VALO_ST!$Q28=parametrage!$U$2),VALO_ST!$T28,IF(AND(VALO_ST!$U28=parametrage!$K$14,VALO_ST!$Q28=parametrage!$U$2),0,IF(AND(VALO_ST!$U28=parametrage!$K$15,VALO_ST!$Q28=parametrage!$U$2),"Montant à définir",0)))</f>
        <v>17443</v>
      </c>
      <c r="W28" s="76"/>
      <c r="X28" s="227">
        <f>IF(AND(VALO_ST!$U28=parametrage!$K$13,VALO_ST!$Q28=parametrage!$U$4),VALO_ST!$T28,IF(AND(VALO_ST!$U28=parametrage!$K$14,VALO_ST!$Q28=parametrage!$U$4),0,IF(AND(VALO_ST!$U28=parametrage!$K$15,VALO_ST!$Q28=parametrage!$U$4),"Montant à définir",0)))</f>
        <v>0</v>
      </c>
      <c r="Y28" s="76"/>
      <c r="Z28" s="227">
        <f>IF(AND(VALO_ST!$U28=parametrage!$K$13,VALO_ST!$Q28=parametrage!$U$3),VALO_ST!$T28,IF(AND(VALO_ST!$U28=parametrage!$K$14,VALO_ST!$Q28=parametrage!$U$3),0,IF(AND(VALO_ST!$U28=parametrage!$K$15,VALO_ST!$Q28=parametrage!$U$3),"Montant à définir",0)))</f>
        <v>0</v>
      </c>
      <c r="AA28" s="76"/>
      <c r="AB28" s="227">
        <f>IF(AND(VALO_ST!$U28=parametrage!$K$13,VALO_ST!$Q28=parametrage!$U$5),VALO_ST!$T28,IF(AND(VALO_ST!$U28=parametrage!$K$14,VALO_ST!$Q28=parametrage!$U$5),0,IF(AND(VALO_ST!$U28=parametrage!$K$15,VALO_ST!$Q28=parametrage!$U$5),"Montant à définir",0)))</f>
        <v>0</v>
      </c>
      <c r="AD28" s="445" t="str">
        <f t="shared" ref="AD28" si="10">IF(Q28="CIC","",IF(Q28="CII",69,IF(AND(Q28="CICO",O28="française"),"82a",IF(AND(Q28="CICO",O28="européenne"),"82b",IF(AND(Q28="CIR",O28="française",P28="oui"),"15a",IF(AND(Q28="CIR",O28="européenne",P28="oui"),"15b",IF(AND(Q28="CIR",O28="française",P28="non"),"16a",IF(AND(Q28="CIR",O28="européenne",P28="non"),"16b",""))))))))</f>
        <v>16b</v>
      </c>
      <c r="AE28" s="450">
        <f t="shared" ref="AE28" si="11">V28+X28+Z28</f>
        <v>17443</v>
      </c>
    </row>
    <row r="29" spans="1:31" ht="15.75" x14ac:dyDescent="0.3">
      <c r="A29" t="s">
        <v>865</v>
      </c>
      <c r="B29" s="59">
        <f t="shared" ref="B29" si="12">IF((V29+X29+Z29+AB29)&gt;T29,1,0)</f>
        <v>0</v>
      </c>
      <c r="C29" s="83" t="b">
        <v>1</v>
      </c>
      <c r="D29" s="11"/>
      <c r="E29" s="11"/>
      <c r="F29" s="11">
        <v>210121995</v>
      </c>
      <c r="G29" s="94"/>
      <c r="H29" s="94">
        <v>45811</v>
      </c>
      <c r="I29" s="11">
        <v>938271392</v>
      </c>
      <c r="J29" s="11" t="s">
        <v>1332</v>
      </c>
      <c r="K29" s="493"/>
      <c r="L29" s="11" t="s">
        <v>1331</v>
      </c>
      <c r="M29" s="11"/>
      <c r="N29" s="11" t="s">
        <v>1333</v>
      </c>
      <c r="O29" s="11" t="s">
        <v>25</v>
      </c>
      <c r="P29" s="11" t="s">
        <v>28</v>
      </c>
      <c r="Q29" s="11" t="s">
        <v>13</v>
      </c>
      <c r="R29" s="11">
        <v>2025</v>
      </c>
      <c r="S29" s="11">
        <v>2029</v>
      </c>
      <c r="T29" s="11">
        <v>249</v>
      </c>
      <c r="U29" s="11" t="s">
        <v>15</v>
      </c>
      <c r="V29" s="227">
        <f>IF(AND(VALO_ST!$U29=parametrage!$K$13,VALO_ST!$Q29=parametrage!$U$2),VALO_ST!$T29,IF(AND(VALO_ST!$U29=parametrage!$K$14,VALO_ST!$Q29=parametrage!$U$2),0,IF(AND(VALO_ST!$U29=parametrage!$K$15,VALO_ST!$Q29=parametrage!$U$2),"Montant à définir",0)))</f>
        <v>249</v>
      </c>
      <c r="W29" s="76"/>
      <c r="X29" s="227">
        <f>IF(AND(VALO_ST!$U29=parametrage!$K$13,VALO_ST!$Q29=parametrage!$U$4),VALO_ST!$T29,IF(AND(VALO_ST!$U29=parametrage!$K$14,VALO_ST!$Q29=parametrage!$U$4),0,IF(AND(VALO_ST!$U29=parametrage!$K$15,VALO_ST!$Q29=parametrage!$U$4),"Montant à définir",0)))</f>
        <v>0</v>
      </c>
      <c r="Y29" s="76"/>
      <c r="Z29" s="227">
        <f>IF(AND(VALO_ST!$U29=parametrage!$K$13,VALO_ST!$Q29=parametrage!$U$3),VALO_ST!$T29,IF(AND(VALO_ST!$U29=parametrage!$K$14,VALO_ST!$Q29=parametrage!$U$3),0,IF(AND(VALO_ST!$U29=parametrage!$K$15,VALO_ST!$Q29=parametrage!$U$3),"Montant à définir",0)))</f>
        <v>0</v>
      </c>
      <c r="AA29" s="76"/>
      <c r="AB29" s="227">
        <f>IF(AND(VALO_ST!$U29=parametrage!$K$13,VALO_ST!$Q29=parametrage!$U$5),VALO_ST!$T29,IF(AND(VALO_ST!$U29=parametrage!$K$14,VALO_ST!$Q29=parametrage!$U$5),0,IF(AND(VALO_ST!$U29=parametrage!$K$15,VALO_ST!$Q29=parametrage!$U$5),"Montant à définir",0)))</f>
        <v>0</v>
      </c>
      <c r="AD29" s="445" t="str">
        <f t="shared" ref="AD29" si="13">IF(Q29="CIC","",IF(Q29="CII",69,IF(AND(Q29="CICO",O29="française"),"82a",IF(AND(Q29="CICO",O29="européenne"),"82b",IF(AND(Q29="CIR",O29="française",P29="oui"),"15a",IF(AND(Q29="CIR",O29="européenne",P29="oui"),"15b",IF(AND(Q29="CIR",O29="française",P29="non"),"16a",IF(AND(Q29="CIR",O29="européenne",P29="non"),"16b",""))))))))</f>
        <v>16a</v>
      </c>
      <c r="AE29" s="450">
        <f t="shared" ref="AE29" si="14">V29+X29+Z29</f>
        <v>249</v>
      </c>
    </row>
    <row r="30" spans="1:31" ht="15.75" x14ac:dyDescent="0.3">
      <c r="A30" t="s">
        <v>865</v>
      </c>
      <c r="B30" s="59">
        <f t="shared" ref="B30" si="15">IF((V30+X30+Z30+AB30)&gt;T30,1,0)</f>
        <v>0</v>
      </c>
      <c r="C30" s="83" t="b">
        <v>1</v>
      </c>
      <c r="D30" s="11"/>
      <c r="E30" s="11"/>
      <c r="F30" s="11" t="s">
        <v>1339</v>
      </c>
      <c r="G30" s="94"/>
      <c r="H30" s="94">
        <v>45688</v>
      </c>
      <c r="I30" s="11">
        <v>810453332</v>
      </c>
      <c r="J30" s="11" t="s">
        <v>1336</v>
      </c>
      <c r="K30" s="493"/>
      <c r="L30" s="11" t="s">
        <v>1337</v>
      </c>
      <c r="M30" s="11"/>
      <c r="N30" s="11" t="s">
        <v>1338</v>
      </c>
      <c r="O30" s="11" t="s">
        <v>25</v>
      </c>
      <c r="P30" s="11" t="s">
        <v>28</v>
      </c>
      <c r="Q30" s="11" t="s">
        <v>13</v>
      </c>
      <c r="R30" s="11">
        <v>2025</v>
      </c>
      <c r="S30" s="11">
        <v>2029</v>
      </c>
      <c r="T30" s="11">
        <v>4500</v>
      </c>
      <c r="U30" s="11" t="s">
        <v>15</v>
      </c>
      <c r="V30" s="227">
        <f>IF(AND(VALO_ST!$U30=parametrage!$K$13,VALO_ST!$Q30=parametrage!$U$2),VALO_ST!$T30,IF(AND(VALO_ST!$U30=parametrage!$K$14,VALO_ST!$Q30=parametrage!$U$2),0,IF(AND(VALO_ST!$U30=parametrage!$K$15,VALO_ST!$Q30=parametrage!$U$2),"Montant à définir",0)))</f>
        <v>4500</v>
      </c>
      <c r="W30" s="76"/>
      <c r="X30" s="227">
        <f>IF(AND(VALO_ST!$U30=parametrage!$K$13,VALO_ST!$Q30=parametrage!$U$4),VALO_ST!$T30,IF(AND(VALO_ST!$U30=parametrage!$K$14,VALO_ST!$Q30=parametrage!$U$4),0,IF(AND(VALO_ST!$U30=parametrage!$K$15,VALO_ST!$Q30=parametrage!$U$4),"Montant à définir",0)))</f>
        <v>0</v>
      </c>
      <c r="Y30" s="76"/>
      <c r="Z30" s="227">
        <f>IF(AND(VALO_ST!$U30=parametrage!$K$13,VALO_ST!$Q30=parametrage!$U$3),VALO_ST!$T30,IF(AND(VALO_ST!$U30=parametrage!$K$14,VALO_ST!$Q30=parametrage!$U$3),0,IF(AND(VALO_ST!$U30=parametrage!$K$15,VALO_ST!$Q30=parametrage!$U$3),"Montant à définir",0)))</f>
        <v>0</v>
      </c>
      <c r="AA30" s="76"/>
      <c r="AB30" s="227">
        <f>IF(AND(VALO_ST!$U30=parametrage!$K$13,VALO_ST!$Q30=parametrage!$U$5),VALO_ST!$T30,IF(AND(VALO_ST!$U30=parametrage!$K$14,VALO_ST!$Q30=parametrage!$U$5),0,IF(AND(VALO_ST!$U30=parametrage!$K$15,VALO_ST!$Q30=parametrage!$U$5),"Montant à définir",0)))</f>
        <v>0</v>
      </c>
      <c r="AD30" s="445" t="str">
        <f t="shared" ref="AD30" si="16">IF(Q30="CIC","",IF(Q30="CII",69,IF(AND(Q30="CICO",O30="française"),"82a",IF(AND(Q30="CICO",O30="européenne"),"82b",IF(AND(Q30="CIR",O30="française",P30="oui"),"15a",IF(AND(Q30="CIR",O30="européenne",P30="oui"),"15b",IF(AND(Q30="CIR",O30="française",P30="non"),"16a",IF(AND(Q30="CIR",O30="européenne",P30="non"),"16b",""))))))))</f>
        <v>16a</v>
      </c>
      <c r="AE30" s="450">
        <f t="shared" ref="AE30" si="17">V30+X30+Z30</f>
        <v>4500</v>
      </c>
    </row>
    <row r="31" spans="1:31" ht="15.75" x14ac:dyDescent="0.3">
      <c r="A31" t="s">
        <v>865</v>
      </c>
      <c r="B31" s="59">
        <f t="shared" ref="B31" si="18">IF((V31+X31+Z31+AB31)&gt;T31,1,0)</f>
        <v>0</v>
      </c>
      <c r="C31" s="83" t="b">
        <v>1</v>
      </c>
      <c r="D31" s="11"/>
      <c r="E31" s="11"/>
      <c r="F31" s="11" t="s">
        <v>1341</v>
      </c>
      <c r="G31" s="94"/>
      <c r="H31" s="94">
        <v>45783</v>
      </c>
      <c r="I31" s="11">
        <v>810453332</v>
      </c>
      <c r="J31" s="11" t="s">
        <v>1336</v>
      </c>
      <c r="K31" s="493"/>
      <c r="L31" s="11" t="s">
        <v>1340</v>
      </c>
      <c r="M31" s="11"/>
      <c r="N31" s="11" t="s">
        <v>1338</v>
      </c>
      <c r="O31" s="11" t="s">
        <v>25</v>
      </c>
      <c r="P31" s="11" t="s">
        <v>28</v>
      </c>
      <c r="Q31" s="11" t="s">
        <v>13</v>
      </c>
      <c r="R31" s="11">
        <v>2025</v>
      </c>
      <c r="S31" s="11">
        <v>2029</v>
      </c>
      <c r="T31" s="11">
        <v>8100</v>
      </c>
      <c r="U31" s="11" t="s">
        <v>15</v>
      </c>
      <c r="V31" s="227">
        <f>IF(AND(VALO_ST!$U31=parametrage!$K$13,VALO_ST!$Q31=parametrage!$U$2),VALO_ST!$T31,IF(AND(VALO_ST!$U31=parametrage!$K$14,VALO_ST!$Q31=parametrage!$U$2),0,IF(AND(VALO_ST!$U31=parametrage!$K$15,VALO_ST!$Q31=parametrage!$U$2),"Montant à définir",0)))</f>
        <v>8100</v>
      </c>
      <c r="W31" s="76"/>
      <c r="X31" s="227">
        <f>IF(AND(VALO_ST!$U31=parametrage!$K$13,VALO_ST!$Q31=parametrage!$U$4),VALO_ST!$T31,IF(AND(VALO_ST!$U31=parametrage!$K$14,VALO_ST!$Q31=parametrage!$U$4),0,IF(AND(VALO_ST!$U31=parametrage!$K$15,VALO_ST!$Q31=parametrage!$U$4),"Montant à définir",0)))</f>
        <v>0</v>
      </c>
      <c r="Y31" s="76"/>
      <c r="Z31" s="227">
        <f>IF(AND(VALO_ST!$U31=parametrage!$K$13,VALO_ST!$Q31=parametrage!$U$3),VALO_ST!$T31,IF(AND(VALO_ST!$U31=parametrage!$K$14,VALO_ST!$Q31=parametrage!$U$3),0,IF(AND(VALO_ST!$U31=parametrage!$K$15,VALO_ST!$Q31=parametrage!$U$3),"Montant à définir",0)))</f>
        <v>0</v>
      </c>
      <c r="AA31" s="76"/>
      <c r="AB31" s="227">
        <f>IF(AND(VALO_ST!$U31=parametrage!$K$13,VALO_ST!$Q31=parametrage!$U$5),VALO_ST!$T31,IF(AND(VALO_ST!$U31=parametrage!$K$14,VALO_ST!$Q31=parametrage!$U$5),0,IF(AND(VALO_ST!$U31=parametrage!$K$15,VALO_ST!$Q31=parametrage!$U$5),"Montant à définir",0)))</f>
        <v>0</v>
      </c>
      <c r="AD31" s="445" t="str">
        <f t="shared" ref="AD31" si="19">IF(Q31="CIC","",IF(Q31="CII",69,IF(AND(Q31="CICO",O31="française"),"82a",IF(AND(Q31="CICO",O31="européenne"),"82b",IF(AND(Q31="CIR",O31="française",P31="oui"),"15a",IF(AND(Q31="CIR",O31="européenne",P31="oui"),"15b",IF(AND(Q31="CIR",O31="française",P31="non"),"16a",IF(AND(Q31="CIR",O31="européenne",P31="non"),"16b",""))))))))</f>
        <v>16a</v>
      </c>
      <c r="AE31" s="450">
        <f t="shared" ref="AE31" si="20">V31+X31+Z31</f>
        <v>8100</v>
      </c>
    </row>
    <row r="32" spans="1:31" ht="15.75" x14ac:dyDescent="0.3">
      <c r="A32" t="s">
        <v>865</v>
      </c>
      <c r="B32" s="59">
        <f t="shared" ref="B32" si="21">IF((V32+X32+Z32+AB32)&gt;T32,1,0)</f>
        <v>0</v>
      </c>
      <c r="C32" s="83" t="b">
        <v>1</v>
      </c>
      <c r="D32" s="11"/>
      <c r="E32" s="11"/>
      <c r="F32" s="11" t="s">
        <v>1343</v>
      </c>
      <c r="G32" s="94"/>
      <c r="H32" s="94">
        <v>45957</v>
      </c>
      <c r="I32" s="11">
        <v>810453332</v>
      </c>
      <c r="J32" s="11" t="s">
        <v>1336</v>
      </c>
      <c r="K32" s="493"/>
      <c r="L32" s="11" t="s">
        <v>1342</v>
      </c>
      <c r="M32" s="11"/>
      <c r="N32" s="11" t="s">
        <v>1338</v>
      </c>
      <c r="O32" s="11" t="s">
        <v>25</v>
      </c>
      <c r="P32" s="11" t="s">
        <v>28</v>
      </c>
      <c r="Q32" s="11" t="s">
        <v>13</v>
      </c>
      <c r="R32" s="11">
        <v>2025</v>
      </c>
      <c r="S32" s="11">
        <v>2029</v>
      </c>
      <c r="T32" s="11">
        <v>6660</v>
      </c>
      <c r="U32" s="11" t="s">
        <v>15</v>
      </c>
      <c r="V32" s="227">
        <f>IF(AND(VALO_ST!$U32=parametrage!$K$13,VALO_ST!$Q32=parametrage!$U$2),VALO_ST!$T32,IF(AND(VALO_ST!$U32=parametrage!$K$14,VALO_ST!$Q32=parametrage!$U$2),0,IF(AND(VALO_ST!$U32=parametrage!$K$15,VALO_ST!$Q32=parametrage!$U$2),"Montant à définir",0)))</f>
        <v>6660</v>
      </c>
      <c r="W32" s="76"/>
      <c r="X32" s="227">
        <f>IF(AND(VALO_ST!$U32=parametrage!$K$13,VALO_ST!$Q32=parametrage!$U$4),VALO_ST!$T32,IF(AND(VALO_ST!$U32=parametrage!$K$14,VALO_ST!$Q32=parametrage!$U$4),0,IF(AND(VALO_ST!$U32=parametrage!$K$15,VALO_ST!$Q32=parametrage!$U$4),"Montant à définir",0)))</f>
        <v>0</v>
      </c>
      <c r="Y32" s="76"/>
      <c r="Z32" s="227">
        <f>IF(AND(VALO_ST!$U32=parametrage!$K$13,VALO_ST!$Q32=parametrage!$U$3),VALO_ST!$T32,IF(AND(VALO_ST!$U32=parametrage!$K$14,VALO_ST!$Q32=parametrage!$U$3),0,IF(AND(VALO_ST!$U32=parametrage!$K$15,VALO_ST!$Q32=parametrage!$U$3),"Montant à définir",0)))</f>
        <v>0</v>
      </c>
      <c r="AA32" s="76"/>
      <c r="AB32" s="227">
        <f>IF(AND(VALO_ST!$U32=parametrage!$K$13,VALO_ST!$Q32=parametrage!$U$5),VALO_ST!$T32,IF(AND(VALO_ST!$U32=parametrage!$K$14,VALO_ST!$Q32=parametrage!$U$5),0,IF(AND(VALO_ST!$U32=parametrage!$K$15,VALO_ST!$Q32=parametrage!$U$5),"Montant à définir",0)))</f>
        <v>0</v>
      </c>
      <c r="AD32" s="445" t="str">
        <f t="shared" ref="AD32" si="22">IF(Q32="CIC","",IF(Q32="CII",69,IF(AND(Q32="CICO",O32="française"),"82a",IF(AND(Q32="CICO",O32="européenne"),"82b",IF(AND(Q32="CIR",O32="française",P32="oui"),"15a",IF(AND(Q32="CIR",O32="européenne",P32="oui"),"15b",IF(AND(Q32="CIR",O32="française",P32="non"),"16a",IF(AND(Q32="CIR",O32="européenne",P32="non"),"16b",""))))))))</f>
        <v>16a</v>
      </c>
      <c r="AE32" s="450">
        <f t="shared" ref="AE32" si="23">V32+X32+Z32</f>
        <v>6660</v>
      </c>
    </row>
    <row r="33" spans="1:31" ht="15.75" x14ac:dyDescent="0.3">
      <c r="A33" t="s">
        <v>865</v>
      </c>
      <c r="B33" s="59">
        <f t="shared" ref="B33" si="24">IF((V33+X33+Z33+AB33)&gt;T33,1,0)</f>
        <v>0</v>
      </c>
      <c r="C33" s="83" t="b">
        <v>0</v>
      </c>
      <c r="D33" s="11"/>
      <c r="E33" s="11"/>
      <c r="F33" s="11"/>
      <c r="G33" s="94"/>
      <c r="H33" s="9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227">
        <f>IF(AND(VALO_ST!$U33=parametrage!$K$13,VALO_ST!$Q33=parametrage!$U$2),VALO_ST!$T33,IF(AND(VALO_ST!$U33=parametrage!$K$14,VALO_ST!$Q33=parametrage!$U$2),0,IF(AND(VALO_ST!$U33=parametrage!$K$15,VALO_ST!$Q33=parametrage!$U$2),"Montant à définir",0)))</f>
        <v>0</v>
      </c>
      <c r="W33" s="76"/>
      <c r="X33" s="227">
        <f>IF(AND(VALO_ST!$U33=parametrage!$K$13,VALO_ST!$Q33=parametrage!$U$4),VALO_ST!$T33,IF(AND(VALO_ST!$U33=parametrage!$K$14,VALO_ST!$Q33=parametrage!$U$4),0,IF(AND(VALO_ST!$U33=parametrage!$K$15,VALO_ST!$Q33=parametrage!$U$4),"Montant à définir",0)))</f>
        <v>0</v>
      </c>
      <c r="Y33" s="76"/>
      <c r="Z33" s="227">
        <f>IF(AND(VALO_ST!$U33=parametrage!$K$13,VALO_ST!$Q33=parametrage!$U$3),VALO_ST!$T33,IF(AND(VALO_ST!$U33=parametrage!$K$14,VALO_ST!$Q33=parametrage!$U$3),0,IF(AND(VALO_ST!$U33=parametrage!$K$15,VALO_ST!$Q33=parametrage!$U$3),"Montant à définir",0)))</f>
        <v>0</v>
      </c>
      <c r="AA33" s="76"/>
      <c r="AB33" s="227">
        <f>IF(AND(VALO_ST!$U33=parametrage!$K$13,VALO_ST!$Q33=parametrage!$U$5),VALO_ST!$T33,IF(AND(VALO_ST!$U33=parametrage!$K$14,VALO_ST!$Q33=parametrage!$U$5),0,IF(AND(VALO_ST!$U33=parametrage!$K$15,VALO_ST!$Q33=parametrage!$U$5),"Montant à définir",0)))</f>
        <v>0</v>
      </c>
      <c r="AD33" s="445" t="str">
        <f t="shared" ref="AD33" si="25">IF(Q33="CIC","",IF(Q33="CII",69,IF(AND(Q33="CICO",O33="française"),"82a",IF(AND(Q33="CICO",O33="européenne"),"82b",IF(AND(Q33="CIR",O33="française",P33="oui"),"15a",IF(AND(Q33="CIR",O33="européenne",P33="oui"),"15b",IF(AND(Q33="CIR",O33="française",P33="non"),"16a",IF(AND(Q33="CIR",O33="européenne",P33="non"),"16b",""))))))))</f>
        <v/>
      </c>
      <c r="AE33" s="450">
        <f t="shared" ref="AE33" si="26">V33+X33+Z33</f>
        <v>0</v>
      </c>
    </row>
    <row r="34" spans="1:31" ht="15.75" x14ac:dyDescent="0.3">
      <c r="A34" t="s">
        <v>865</v>
      </c>
      <c r="B34" s="59">
        <f t="shared" ref="B34" si="27">IF((V34+X34+Z34+AB34)&gt;T34,1,0)</f>
        <v>0</v>
      </c>
      <c r="C34" s="83" t="b">
        <v>0</v>
      </c>
      <c r="D34" s="11"/>
      <c r="E34" s="11"/>
      <c r="F34" s="11"/>
      <c r="G34" s="94"/>
      <c r="H34" s="9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227">
        <f>IF(AND(VALO_ST!$U34=parametrage!$K$13,VALO_ST!$Q34=parametrage!$U$2),VALO_ST!$T34,IF(AND(VALO_ST!$U34=parametrage!$K$14,VALO_ST!$Q34=parametrage!$U$2),0,IF(AND(VALO_ST!$U34=parametrage!$K$15,VALO_ST!$Q34=parametrage!$U$2),"Montant à définir",0)))</f>
        <v>0</v>
      </c>
      <c r="W34" s="76"/>
      <c r="X34" s="227">
        <f>IF(AND(VALO_ST!$U34=parametrage!$K$13,VALO_ST!$Q34=parametrage!$U$4),VALO_ST!$T34,IF(AND(VALO_ST!$U34=parametrage!$K$14,VALO_ST!$Q34=parametrage!$U$4),0,IF(AND(VALO_ST!$U34=parametrage!$K$15,VALO_ST!$Q34=parametrage!$U$4),"Montant à définir",0)))</f>
        <v>0</v>
      </c>
      <c r="Y34" s="76"/>
      <c r="Z34" s="227">
        <f>IF(AND(VALO_ST!$U34=parametrage!$K$13,VALO_ST!$Q34=parametrage!$U$3),VALO_ST!$T34,IF(AND(VALO_ST!$U34=parametrage!$K$14,VALO_ST!$Q34=parametrage!$U$3),0,IF(AND(VALO_ST!$U34=parametrage!$K$15,VALO_ST!$Q34=parametrage!$U$3),"Montant à définir",0)))</f>
        <v>0</v>
      </c>
      <c r="AA34" s="76"/>
      <c r="AB34" s="227">
        <f>IF(AND(VALO_ST!$U34=parametrage!$K$13,VALO_ST!$Q34=parametrage!$U$5),VALO_ST!$T34,IF(AND(VALO_ST!$U34=parametrage!$K$14,VALO_ST!$Q34=parametrage!$U$5),0,IF(AND(VALO_ST!$U34=parametrage!$K$15,VALO_ST!$Q34=parametrage!$U$5),"Montant à définir",0)))</f>
        <v>0</v>
      </c>
      <c r="AD34" s="445" t="str">
        <f t="shared" ref="AD34" si="28">IF(Q34="CIC","",IF(Q34="CII",69,IF(AND(Q34="CICO",O34="française"),"82a",IF(AND(Q34="CICO",O34="européenne"),"82b",IF(AND(Q34="CIR",O34="française",P34="oui"),"15a",IF(AND(Q34="CIR",O34="européenne",P34="oui"),"15b",IF(AND(Q34="CIR",O34="française",P34="non"),"16a",IF(AND(Q34="CIR",O34="européenne",P34="non"),"16b",""))))))))</f>
        <v/>
      </c>
      <c r="AE34" s="450">
        <f t="shared" ref="AE34" si="29">V34+X34+Z34</f>
        <v>0</v>
      </c>
    </row>
    <row r="35" spans="1:31" ht="15.75" x14ac:dyDescent="0.3">
      <c r="A35" t="s">
        <v>865</v>
      </c>
      <c r="B35" s="59">
        <f t="shared" ref="B35" si="30">IF((V35+X35+Z35+AB35)&gt;T35,1,0)</f>
        <v>0</v>
      </c>
      <c r="C35" s="83" t="b">
        <v>0</v>
      </c>
      <c r="D35" s="11"/>
      <c r="E35" s="11"/>
      <c r="F35" s="11"/>
      <c r="G35" s="94"/>
      <c r="H35" s="9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227">
        <f>IF(AND(VALO_ST!$U35=parametrage!$K$13,VALO_ST!$Q35=parametrage!$U$2),VALO_ST!$T35,IF(AND(VALO_ST!$U35=parametrage!$K$14,VALO_ST!$Q35=parametrage!$U$2),0,IF(AND(VALO_ST!$U35=parametrage!$K$15,VALO_ST!$Q35=parametrage!$U$2),"Montant à définir",0)))</f>
        <v>0</v>
      </c>
      <c r="W35" s="76"/>
      <c r="X35" s="227">
        <f>IF(AND(VALO_ST!$U35=parametrage!$K$13,VALO_ST!$Q35=parametrage!$U$4),VALO_ST!$T35,IF(AND(VALO_ST!$U35=parametrage!$K$14,VALO_ST!$Q35=parametrage!$U$4),0,IF(AND(VALO_ST!$U35=parametrage!$K$15,VALO_ST!$Q35=parametrage!$U$4),"Montant à définir",0)))</f>
        <v>0</v>
      </c>
      <c r="Y35" s="76"/>
      <c r="Z35" s="227">
        <f>IF(AND(VALO_ST!$U35=parametrage!$K$13,VALO_ST!$Q35=parametrage!$U$3),VALO_ST!$T35,IF(AND(VALO_ST!$U35=parametrage!$K$14,VALO_ST!$Q35=parametrage!$U$3),0,IF(AND(VALO_ST!$U35=parametrage!$K$15,VALO_ST!$Q35=parametrage!$U$3),"Montant à définir",0)))</f>
        <v>0</v>
      </c>
      <c r="AA35" s="76"/>
      <c r="AB35" s="227">
        <f>IF(AND(VALO_ST!$U35=parametrage!$K$13,VALO_ST!$Q35=parametrage!$U$5),VALO_ST!$T35,IF(AND(VALO_ST!$U35=parametrage!$K$14,VALO_ST!$Q35=parametrage!$U$5),0,IF(AND(VALO_ST!$U35=parametrage!$K$15,VALO_ST!$Q35=parametrage!$U$5),"Montant à définir",0)))</f>
        <v>0</v>
      </c>
      <c r="AD35" s="445" t="str">
        <f t="shared" ref="AD35" si="31">IF(Q35="CIC","",IF(Q35="CII",69,IF(AND(Q35="CICO",O35="française"),"82a",IF(AND(Q35="CICO",O35="européenne"),"82b",IF(AND(Q35="CIR",O35="française",P35="oui"),"15a",IF(AND(Q35="CIR",O35="européenne",P35="oui"),"15b",IF(AND(Q35="CIR",O35="française",P35="non"),"16a",IF(AND(Q35="CIR",O35="européenne",P35="non"),"16b",""))))))))</f>
        <v/>
      </c>
      <c r="AE35" s="450">
        <f t="shared" ref="AE35" si="32">V35+X35+Z35</f>
        <v>0</v>
      </c>
    </row>
    <row r="36" spans="1:31" ht="15.75" x14ac:dyDescent="0.3">
      <c r="A36" t="s">
        <v>865</v>
      </c>
      <c r="B36" s="59">
        <f t="shared" ref="B36" si="33">IF((V36+X36+Z36+AB36)&gt;T36,1,0)</f>
        <v>0</v>
      </c>
      <c r="C36" s="83" t="b">
        <v>0</v>
      </c>
      <c r="D36" s="11"/>
      <c r="E36" s="11"/>
      <c r="F36" s="11"/>
      <c r="G36" s="94"/>
      <c r="H36" s="9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227">
        <f>IF(AND(VALO_ST!$U36=parametrage!$K$13,VALO_ST!$Q36=parametrage!$U$2),VALO_ST!$T36,IF(AND(VALO_ST!$U36=parametrage!$K$14,VALO_ST!$Q36=parametrage!$U$2),0,IF(AND(VALO_ST!$U36=parametrage!$K$15,VALO_ST!$Q36=parametrage!$U$2),"Montant à définir",0)))</f>
        <v>0</v>
      </c>
      <c r="W36" s="76"/>
      <c r="X36" s="227">
        <f>IF(AND(VALO_ST!$U36=parametrage!$K$13,VALO_ST!$Q36=parametrage!$U$4),VALO_ST!$T36,IF(AND(VALO_ST!$U36=parametrage!$K$14,VALO_ST!$Q36=parametrage!$U$4),0,IF(AND(VALO_ST!$U36=parametrage!$K$15,VALO_ST!$Q36=parametrage!$U$4),"Montant à définir",0)))</f>
        <v>0</v>
      </c>
      <c r="Y36" s="76"/>
      <c r="Z36" s="227">
        <f>IF(AND(VALO_ST!$U36=parametrage!$K$13,VALO_ST!$Q36=parametrage!$U$3),VALO_ST!$T36,IF(AND(VALO_ST!$U36=parametrage!$K$14,VALO_ST!$Q36=parametrage!$U$3),0,IF(AND(VALO_ST!$U36=parametrage!$K$15,VALO_ST!$Q36=parametrage!$U$3),"Montant à définir",0)))</f>
        <v>0</v>
      </c>
      <c r="AA36" s="76"/>
      <c r="AB36" s="227">
        <f>IF(AND(VALO_ST!$U36=parametrage!$K$13,VALO_ST!$Q36=parametrage!$U$5),VALO_ST!$T36,IF(AND(VALO_ST!$U36=parametrage!$K$14,VALO_ST!$Q36=parametrage!$U$5),0,IF(AND(VALO_ST!$U36=parametrage!$K$15,VALO_ST!$Q36=parametrage!$U$5),"Montant à définir",0)))</f>
        <v>0</v>
      </c>
      <c r="AD36" s="445" t="str">
        <f t="shared" ref="AD36" si="34">IF(Q36="CIC","",IF(Q36="CII",69,IF(AND(Q36="CICO",O36="française"),"82a",IF(AND(Q36="CICO",O36="européenne"),"82b",IF(AND(Q36="CIR",O36="française",P36="oui"),"15a",IF(AND(Q36="CIR",O36="européenne",P36="oui"),"15b",IF(AND(Q36="CIR",O36="française",P36="non"),"16a",IF(AND(Q36="CIR",O36="européenne",P36="non"),"16b",""))))))))</f>
        <v/>
      </c>
      <c r="AE36" s="450">
        <f t="shared" ref="AE36" si="35">V36+X36+Z36</f>
        <v>0</v>
      </c>
    </row>
    <row r="37" spans="1:31" ht="15.75" x14ac:dyDescent="0.3">
      <c r="A37" t="s">
        <v>865</v>
      </c>
      <c r="B37" s="59">
        <f t="shared" ref="B37" si="36">IF((V37+X37+Z37+AB37)&gt;T37,1,0)</f>
        <v>0</v>
      </c>
      <c r="C37" s="83" t="b">
        <v>0</v>
      </c>
      <c r="D37" s="11"/>
      <c r="E37" s="11"/>
      <c r="F37" s="11"/>
      <c r="G37" s="94"/>
      <c r="H37" s="94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227">
        <f>IF(AND(VALO_ST!$U37=parametrage!$K$13,VALO_ST!$Q37=parametrage!$U$2),VALO_ST!$T37,IF(AND(VALO_ST!$U37=parametrage!$K$14,VALO_ST!$Q37=parametrage!$U$2),0,IF(AND(VALO_ST!$U37=parametrage!$K$15,VALO_ST!$Q37=parametrage!$U$2),"Montant à définir",0)))</f>
        <v>0</v>
      </c>
      <c r="W37" s="76"/>
      <c r="X37" s="227">
        <f>IF(AND(VALO_ST!$U37=parametrage!$K$13,VALO_ST!$Q37=parametrage!$U$4),VALO_ST!$T37,IF(AND(VALO_ST!$U37=parametrage!$K$14,VALO_ST!$Q37=parametrage!$U$4),0,IF(AND(VALO_ST!$U37=parametrage!$K$15,VALO_ST!$Q37=parametrage!$U$4),"Montant à définir",0)))</f>
        <v>0</v>
      </c>
      <c r="Y37" s="76"/>
      <c r="Z37" s="227">
        <f>IF(AND(VALO_ST!$U37=parametrage!$K$13,VALO_ST!$Q37=parametrage!$U$3),VALO_ST!$T37,IF(AND(VALO_ST!$U37=parametrage!$K$14,VALO_ST!$Q37=parametrage!$U$3),0,IF(AND(VALO_ST!$U37=parametrage!$K$15,VALO_ST!$Q37=parametrage!$U$3),"Montant à définir",0)))</f>
        <v>0</v>
      </c>
      <c r="AA37" s="76"/>
      <c r="AB37" s="227">
        <f>IF(AND(VALO_ST!$U37=parametrage!$K$13,VALO_ST!$Q37=parametrage!$U$5),VALO_ST!$T37,IF(AND(VALO_ST!$U37=parametrage!$K$14,VALO_ST!$Q37=parametrage!$U$5),0,IF(AND(VALO_ST!$U37=parametrage!$K$15,VALO_ST!$Q37=parametrage!$U$5),"Montant à définir",0)))</f>
        <v>0</v>
      </c>
      <c r="AD37" s="445" t="str">
        <f t="shared" ref="AD37" si="37">IF(Q37="CIC","",IF(Q37="CII",69,IF(AND(Q37="CICO",O37="française"),"82a",IF(AND(Q37="CICO",O37="européenne"),"82b",IF(AND(Q37="CIR",O37="française",P37="oui"),"15a",IF(AND(Q37="CIR",O37="européenne",P37="oui"),"15b",IF(AND(Q37="CIR",O37="française",P37="non"),"16a",IF(AND(Q37="CIR",O37="européenne",P37="non"),"16b",""))))))))</f>
        <v/>
      </c>
      <c r="AE37" s="450">
        <f t="shared" ref="AE37" si="38">V37+X37+Z37</f>
        <v>0</v>
      </c>
    </row>
    <row r="38" spans="1:31" ht="15.75" x14ac:dyDescent="0.3">
      <c r="A38" t="s">
        <v>865</v>
      </c>
      <c r="B38" s="59">
        <f t="shared" ref="B38" si="39">IF((V38+X38+Z38+AB38)&gt;T38,1,0)</f>
        <v>0</v>
      </c>
      <c r="C38" s="83" t="b">
        <v>0</v>
      </c>
      <c r="D38" s="11"/>
      <c r="E38" s="11"/>
      <c r="F38" s="11"/>
      <c r="G38" s="94"/>
      <c r="H38" s="94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227">
        <f>IF(AND(VALO_ST!$U38=parametrage!$K$13,VALO_ST!$Q38=parametrage!$U$2),VALO_ST!$T38,IF(AND(VALO_ST!$U38=parametrage!$K$14,VALO_ST!$Q38=parametrage!$U$2),0,IF(AND(VALO_ST!$U38=parametrage!$K$15,VALO_ST!$Q38=parametrage!$U$2),"Montant à définir",0)))</f>
        <v>0</v>
      </c>
      <c r="W38" s="76"/>
      <c r="X38" s="227">
        <f>IF(AND(VALO_ST!$U38=parametrage!$K$13,VALO_ST!$Q38=parametrage!$U$4),VALO_ST!$T38,IF(AND(VALO_ST!$U38=parametrage!$K$14,VALO_ST!$Q38=parametrage!$U$4),0,IF(AND(VALO_ST!$U38=parametrage!$K$15,VALO_ST!$Q38=parametrage!$U$4),"Montant à définir",0)))</f>
        <v>0</v>
      </c>
      <c r="Y38" s="76"/>
      <c r="Z38" s="227">
        <f>IF(AND(VALO_ST!$U38=parametrage!$K$13,VALO_ST!$Q38=parametrage!$U$3),VALO_ST!$T38,IF(AND(VALO_ST!$U38=parametrage!$K$14,VALO_ST!$Q38=parametrage!$U$3),0,IF(AND(VALO_ST!$U38=parametrage!$K$15,VALO_ST!$Q38=parametrage!$U$3),"Montant à définir",0)))</f>
        <v>0</v>
      </c>
      <c r="AA38" s="76"/>
      <c r="AB38" s="227">
        <f>IF(AND(VALO_ST!$U38=parametrage!$K$13,VALO_ST!$Q38=parametrage!$U$5),VALO_ST!$T38,IF(AND(VALO_ST!$U38=parametrage!$K$14,VALO_ST!$Q38=parametrage!$U$5),0,IF(AND(VALO_ST!$U38=parametrage!$K$15,VALO_ST!$Q38=parametrage!$U$5),"Montant à définir",0)))</f>
        <v>0</v>
      </c>
      <c r="AD38" s="445" t="str">
        <f t="shared" ref="AD38" si="40">IF(Q38="CIC","",IF(Q38="CII",69,IF(AND(Q38="CICO",O38="française"),"82a",IF(AND(Q38="CICO",O38="européenne"),"82b",IF(AND(Q38="CIR",O38="française",P38="oui"),"15a",IF(AND(Q38="CIR",O38="européenne",P38="oui"),"15b",IF(AND(Q38="CIR",O38="française",P38="non"),"16a",IF(AND(Q38="CIR",O38="européenne",P38="non"),"16b",""))))))))</f>
        <v/>
      </c>
      <c r="AE38" s="450">
        <f t="shared" ref="AE38" si="41">V38+X38+Z38</f>
        <v>0</v>
      </c>
    </row>
    <row r="39" spans="1:31" ht="15.75" x14ac:dyDescent="0.3">
      <c r="B39" s="59">
        <f t="shared" si="0"/>
        <v>0</v>
      </c>
      <c r="C39" s="83" t="b">
        <v>0</v>
      </c>
      <c r="D39" s="11"/>
      <c r="E39" s="11"/>
      <c r="F39" s="11"/>
      <c r="G39" s="94"/>
      <c r="H39" s="94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227">
        <f>IF(AND(VALO_ST!$U39=parametrage!$K$13,VALO_ST!$Q39=parametrage!$U$2),VALO_ST!$T39,IF(AND(VALO_ST!$U39=parametrage!$K$14,VALO_ST!$Q39=parametrage!$U$2),0,IF(AND(VALO_ST!$U39=parametrage!$K$15,VALO_ST!$Q39=parametrage!$U$2),"Montant à définir",0)))</f>
        <v>0</v>
      </c>
      <c r="W39" s="76"/>
      <c r="X39" s="227">
        <f>IF(AND(VALO_ST!$U39=parametrage!$K$13,VALO_ST!$Q39=parametrage!$U$4),VALO_ST!$T39,IF(AND(VALO_ST!$U39=parametrage!$K$14,VALO_ST!$Q39=parametrage!$U$4),0,IF(AND(VALO_ST!$U39=parametrage!$K$15,VALO_ST!$Q39=parametrage!$U$4),"Montant à définir",0)))</f>
        <v>0</v>
      </c>
      <c r="Y39" s="76"/>
      <c r="Z39" s="227">
        <f>IF(AND(VALO_ST!$U39=parametrage!$K$13,VALO_ST!$Q39=parametrage!$U$3),VALO_ST!$T39,IF(AND(VALO_ST!$U39=parametrage!$K$14,VALO_ST!$Q39=parametrage!$U$3),0,IF(AND(VALO_ST!$U39=parametrage!$K$15,VALO_ST!$Q39=parametrage!$U$3),"Montant à définir",0)))</f>
        <v>0</v>
      </c>
      <c r="AA39" s="76"/>
      <c r="AB39" s="227">
        <f>IF(AND(VALO_ST!$U39=parametrage!$K$13,VALO_ST!$Q39=parametrage!$U$5),VALO_ST!$T39,IF(AND(VALO_ST!$U39=parametrage!$K$14,VALO_ST!$Q39=parametrage!$U$5),0,IF(AND(VALO_ST!$U39=parametrage!$K$15,VALO_ST!$Q39=parametrage!$U$5),"Montant à définir",0)))</f>
        <v>0</v>
      </c>
      <c r="AD39" s="445" t="str">
        <f t="shared" si="1"/>
        <v/>
      </c>
      <c r="AE39" s="450">
        <f t="shared" si="2"/>
        <v>0</v>
      </c>
    </row>
    <row r="40" spans="1:31" ht="15.75" thickBot="1" x14ac:dyDescent="0.3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4" t="s">
        <v>555</v>
      </c>
      <c r="T40" s="97">
        <f>SUM(T5:T39)</f>
        <v>782970.26</v>
      </c>
      <c r="U40" s="97"/>
      <c r="V40" s="97">
        <f>SUM(V5:V39)</f>
        <v>236986.26</v>
      </c>
      <c r="X40" s="97">
        <f>SUM(X5:X39)</f>
        <v>0</v>
      </c>
      <c r="Z40" s="97">
        <f>SUM(Z5:Z39)</f>
        <v>0</v>
      </c>
      <c r="AB40" s="97">
        <f>SUM(AB5:AB39)</f>
        <v>544634</v>
      </c>
    </row>
    <row r="42" spans="1:31" ht="15.75" thickBot="1" x14ac:dyDescent="0.3">
      <c r="L42" s="61"/>
      <c r="M42" s="214"/>
      <c r="N42" s="214"/>
      <c r="O42" s="214"/>
      <c r="P42" s="214"/>
      <c r="Q42" s="214"/>
      <c r="R42" s="214"/>
      <c r="S42" s="214"/>
      <c r="T42" s="215" t="s">
        <v>572</v>
      </c>
      <c r="U42" s="226"/>
      <c r="V42" s="511">
        <f>SUMIF(AD:AD,"16a",V:V)</f>
        <v>170877.26</v>
      </c>
      <c r="W42" s="512"/>
      <c r="X42" s="154"/>
      <c r="Y42" s="512"/>
      <c r="Z42" s="154"/>
      <c r="AA42" s="512"/>
      <c r="AB42" s="511">
        <f>SUMIF(AD:AD,"82a",AB:AB)</f>
        <v>544634</v>
      </c>
    </row>
    <row r="43" spans="1:31" ht="15.75" hidden="1" thickBot="1" x14ac:dyDescent="0.3">
      <c r="L43" s="61"/>
      <c r="M43" s="214"/>
      <c r="N43" s="214"/>
      <c r="O43" s="214"/>
      <c r="P43" s="214"/>
      <c r="Q43" s="214"/>
      <c r="R43" s="214"/>
      <c r="S43" s="214"/>
      <c r="T43" s="215" t="s">
        <v>573</v>
      </c>
      <c r="U43" s="226"/>
      <c r="V43" s="97">
        <f>SUMIF(AD:AD,"15a",V:V)</f>
        <v>0</v>
      </c>
      <c r="X43" s="154"/>
      <c r="Z43" s="154"/>
      <c r="AB43" s="154"/>
    </row>
    <row r="44" spans="1:31" ht="15.75" thickBot="1" x14ac:dyDescent="0.3">
      <c r="L44" s="61"/>
      <c r="M44" s="214"/>
      <c r="N44" s="214"/>
      <c r="O44" s="214"/>
      <c r="P44" s="214"/>
      <c r="Q44" s="214"/>
      <c r="R44" s="214"/>
      <c r="S44" s="214"/>
      <c r="T44" s="215" t="s">
        <v>574</v>
      </c>
      <c r="U44" s="226"/>
      <c r="V44" s="511">
        <f>SUMIF(AD:AD,"16b",V:V)</f>
        <v>66109</v>
      </c>
      <c r="W44" s="512"/>
      <c r="X44" s="154"/>
      <c r="Y44" s="512"/>
      <c r="Z44" s="154"/>
      <c r="AA44" s="512"/>
      <c r="AB44" s="511">
        <f>SUMIF(AD:AD,"82b",AB:AB)</f>
        <v>0</v>
      </c>
    </row>
    <row r="45" spans="1:31" ht="15.75" thickBot="1" x14ac:dyDescent="0.3">
      <c r="L45" s="61"/>
      <c r="M45" s="214"/>
      <c r="N45" s="214"/>
      <c r="O45" s="214"/>
      <c r="P45" s="214"/>
      <c r="Q45" s="214"/>
      <c r="R45" s="214"/>
      <c r="S45" s="214"/>
      <c r="T45" s="215" t="s">
        <v>575</v>
      </c>
      <c r="U45" s="226"/>
      <c r="V45" s="511">
        <f>SUMIF(AD:AD,"15b",V:V)</f>
        <v>0</v>
      </c>
      <c r="W45" s="512"/>
      <c r="X45" s="154"/>
      <c r="Y45" s="512"/>
      <c r="Z45" s="154"/>
      <c r="AA45" s="512"/>
      <c r="AB45" s="513"/>
    </row>
    <row r="47" spans="1:31" x14ac:dyDescent="0.25">
      <c r="V47" t="b">
        <f>V40=SUM(V42:V45)</f>
        <v>1</v>
      </c>
      <c r="AB47" t="b">
        <f>AB40=SUM(AB42:AB45)</f>
        <v>1</v>
      </c>
    </row>
  </sheetData>
  <autoFilter ref="A4:AE40" xr:uid="{D4EB6C24-3F29-467C-9502-1667F00C6350}"/>
  <phoneticPr fontId="8" type="noConversion"/>
  <conditionalFormatting sqref="V47">
    <cfRule type="containsText" dxfId="41" priority="23" operator="containsText" text="FAUX">
      <formula>NOT(ISERROR(SEARCH("FAUX",V47)))</formula>
    </cfRule>
    <cfRule type="containsText" dxfId="40" priority="24" operator="containsText" text="VRAI">
      <formula>NOT(ISERROR(SEARCH("VRAI",V47)))</formula>
    </cfRule>
  </conditionalFormatting>
  <conditionalFormatting sqref="AB47">
    <cfRule type="containsText" dxfId="39" priority="21" operator="containsText" text="FAUX">
      <formula>NOT(ISERROR(SEARCH("FAUX",AB47)))</formula>
    </cfRule>
    <cfRule type="containsText" dxfId="38" priority="22" operator="containsText" text="VRAI">
      <formula>NOT(ISERROR(SEARCH("VRAI",AB47)))</formula>
    </cfRule>
  </conditionalFormatting>
  <conditionalFormatting sqref="D29:G29 I29:K29 D30:K39 D5:K28">
    <cfRule type="expression" dxfId="37" priority="20">
      <formula>$B5&gt;0</formula>
    </cfRule>
  </conditionalFormatting>
  <conditionalFormatting sqref="E1:E2 E4:E1048576">
    <cfRule type="duplicateValues" dxfId="36" priority="7"/>
  </conditionalFormatting>
  <conditionalFormatting sqref="E3">
    <cfRule type="duplicateValues" dxfId="35" priority="6"/>
  </conditionalFormatting>
  <conditionalFormatting sqref="V5:V39 X5:X39 Z5:Z39">
    <cfRule type="containsText" dxfId="34" priority="5" operator="containsText" text="Montant à définir">
      <formula>NOT(ISERROR(SEARCH("Montant à définir",V5)))</formula>
    </cfRule>
  </conditionalFormatting>
  <conditionalFormatting sqref="AB5:AB39">
    <cfRule type="containsText" dxfId="33" priority="1" operator="containsText" text="Montant à définir">
      <formula>NOT(ISERROR(SEARCH("Montant à définir",AB5)))</formula>
    </cfRule>
    <cfRule type="containsText" priority="2" operator="containsText" text="Montant à définir">
      <formula>NOT(ISERROR(SEARCH("Montant à définir",AB5)))</formula>
    </cfRule>
  </conditionalFormatting>
  <conditionalFormatting sqref="H29">
    <cfRule type="expression" dxfId="32" priority="149">
      <formula>#REF!&gt;0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Module16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4" name="Button 10">
              <controlPr defaultSize="0" print="0" autoFill="0" autoPict="0" macro="[0]!Extraire_SousTraitance_Tableau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8914B3F8-4BA2-4118-9844-9C938D14A5D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EAF99A8A-0E71-4563-B6F4-BB62A52760D9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9" id="{4BEF51C6-599A-44F5-B899-DB5E3B826CD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V5:V39</xm:sqref>
        </x14:conditionalFormatting>
        <x14:conditionalFormatting xmlns:xm="http://schemas.microsoft.com/office/excel/2006/main">
          <x14:cfRule type="expression" priority="14" id="{FCFBEB0C-828E-49BE-9B86-EAB3D1B4BCCE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E4795D0F-52EE-4FF6-B726-43857439F798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474B007E-9C30-47F5-97D4-B068744B5ABB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X5:X39</xm:sqref>
        </x14:conditionalFormatting>
        <x14:conditionalFormatting xmlns:xm="http://schemas.microsoft.com/office/excel/2006/main">
          <x14:cfRule type="expression" priority="11" id="{94AD9029-5FA0-45AE-AC31-F54E1A0E3E4B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5B4B56C0-D6C6-439F-B200-821624A50081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6D38B33C-B845-4274-8F90-AA8FE0921DF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Z5:Z39</xm:sqref>
        </x14:conditionalFormatting>
        <x14:conditionalFormatting xmlns:xm="http://schemas.microsoft.com/office/excel/2006/main">
          <x14:cfRule type="expression" priority="8" id="{5082C8B9-A411-4721-84EB-B724985D1380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94FB7D4D-34DB-4FF6-B21D-3D96FA32F4E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9FB8ED4B-5019-4DA1-B476-371F7EC5CB44}">
            <xm:f>Q5=parametrage!$U$4</xm:f>
            <x14:dxf>
              <fill>
                <patternFill>
                  <bgColor rgb="FFFF0000"/>
                </patternFill>
              </fill>
            </x14:dxf>
          </x14:cfRule>
          <xm:sqref>AB5:AB39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0CAE063-321F-41CE-A182-50CEEC03502C}">
          <x14:formula1>
            <xm:f>parametrage!$F$2:$F$3</xm:f>
          </x14:formula1>
          <xm:sqref>M5:M39</xm:sqref>
        </x14:dataValidation>
        <x14:dataValidation type="list" allowBlank="1" showInputMessage="1" showErrorMessage="1" xr:uid="{577E7013-006F-4067-8EDB-C7B71D0C2387}">
          <x14:formula1>
            <xm:f>parametrage!$U$2:$U$5</xm:f>
          </x14:formula1>
          <xm:sqref>Q5:Q39</xm:sqref>
        </x14:dataValidation>
        <x14:dataValidation type="list" allowBlank="1" showInputMessage="1" showErrorMessage="1" xr:uid="{3A5CC608-1841-4A52-9434-56F1BDAE6CF7}">
          <x14:formula1>
            <xm:f>parametrage!$V$2:$V$3</xm:f>
          </x14:formula1>
          <xm:sqref>O5:O39</xm:sqref>
        </x14:dataValidation>
        <x14:dataValidation type="list" allowBlank="1" showInputMessage="1" showErrorMessage="1" xr:uid="{E81FE6AE-D429-43D0-9C77-AFB06A6883FE}">
          <x14:formula1>
            <xm:f>parametrage!$K$2:$K$3</xm:f>
          </x14:formula1>
          <xm:sqref>P5:P39</xm:sqref>
        </x14:dataValidation>
        <x14:dataValidation type="list" allowBlank="1" showInputMessage="1" showErrorMessage="1" xr:uid="{A4F1140F-EC6E-41B3-947E-D8E5EE317F75}">
          <x14:formula1>
            <xm:f>parametrage!$K$13:$K$15</xm:f>
          </x14:formula1>
          <xm:sqref>U5:U39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C5A4-A650-47A8-B38E-34B924469DAF}">
  <sheetPr codeName="Feuil25">
    <tabColor rgb="FF2D44EA"/>
  </sheetPr>
  <dimension ref="A3:P39"/>
  <sheetViews>
    <sheetView topLeftCell="A14" workbookViewId="0">
      <selection activeCell="D36" sqref="D36"/>
    </sheetView>
  </sheetViews>
  <sheetFormatPr baseColWidth="10" defaultColWidth="11.42578125" defaultRowHeight="15" outlineLevelCol="1" x14ac:dyDescent="0.25"/>
  <cols>
    <col min="3" max="3" width="16.7109375" customWidth="1"/>
    <col min="4" max="4" width="20.5703125" customWidth="1"/>
    <col min="6" max="6" width="15.28515625" customWidth="1"/>
    <col min="7" max="7" width="122.85546875" bestFit="1" customWidth="1"/>
    <col min="8" max="9" width="12.85546875" customWidth="1"/>
    <col min="10" max="10" width="12.85546875" customWidth="1" outlineLevel="1"/>
    <col min="11" max="11" width="1.7109375" customWidth="1"/>
    <col min="12" max="12" width="11.7109375" hidden="1" customWidth="1" outlineLevel="1"/>
    <col min="13" max="13" width="1.5703125" customWidth="1" collapsed="1"/>
    <col min="14" max="14" width="11.7109375" hidden="1" customWidth="1" outlineLevel="1"/>
    <col min="15" max="15" width="1.7109375" customWidth="1" collapsed="1"/>
    <col min="16" max="16" width="14" customWidth="1" outlineLevel="1"/>
  </cols>
  <sheetData>
    <row r="3" spans="2:16" ht="15.75" thickBot="1" x14ac:dyDescent="0.3">
      <c r="B3" s="99"/>
      <c r="C3" s="98"/>
      <c r="D3" s="98"/>
      <c r="E3" s="98"/>
      <c r="F3" s="98"/>
      <c r="G3" s="98"/>
      <c r="H3" s="99"/>
      <c r="I3" s="99"/>
      <c r="J3" s="98"/>
      <c r="L3" s="98"/>
      <c r="N3" s="98"/>
      <c r="P3" s="98"/>
    </row>
    <row r="4" spans="2:16" ht="30.75" thickBot="1" x14ac:dyDescent="0.3">
      <c r="B4" s="63" t="s">
        <v>542</v>
      </c>
      <c r="C4" s="63" t="s">
        <v>545</v>
      </c>
      <c r="D4" s="63" t="s">
        <v>328</v>
      </c>
      <c r="E4" s="63" t="s">
        <v>329</v>
      </c>
      <c r="F4" s="46" t="s">
        <v>559</v>
      </c>
      <c r="G4" s="46" t="s">
        <v>560</v>
      </c>
      <c r="H4" s="46" t="s">
        <v>551</v>
      </c>
      <c r="I4" s="46" t="s">
        <v>566</v>
      </c>
      <c r="J4" s="46" t="s">
        <v>552</v>
      </c>
      <c r="K4" s="181" t="s">
        <v>568</v>
      </c>
      <c r="L4" s="46" t="s">
        <v>553</v>
      </c>
      <c r="M4" s="181" t="s">
        <v>568</v>
      </c>
      <c r="N4" s="46" t="s">
        <v>554</v>
      </c>
      <c r="O4" s="181" t="s">
        <v>568</v>
      </c>
      <c r="P4" s="46" t="s">
        <v>570</v>
      </c>
    </row>
    <row r="5" spans="2:16" ht="15.75" x14ac:dyDescent="0.3">
      <c r="B5" s="11">
        <f>VALO_ST!E5</f>
        <v>0</v>
      </c>
      <c r="C5" s="94">
        <f>VALO_ST!H5</f>
        <v>45734</v>
      </c>
      <c r="D5" s="11">
        <f>VALO_ST!I5</f>
        <v>451416747</v>
      </c>
      <c r="E5" s="11" t="str">
        <f>VALO_ST!J5</f>
        <v>Activation</v>
      </c>
      <c r="F5" s="11" t="str">
        <f>VALO_ST!K5</f>
        <v>CHIC</v>
      </c>
      <c r="G5" s="11" t="str">
        <f>VALO_ST!L5</f>
        <v>Etudes R&amp;D</v>
      </c>
      <c r="H5" s="11">
        <f>VALO_ST!T5</f>
        <v>14020</v>
      </c>
      <c r="I5" s="11" t="str">
        <f>VALO_ST!U5</f>
        <v>Oui</v>
      </c>
      <c r="J5" s="227">
        <f>VALO_ST!V5</f>
        <v>14020</v>
      </c>
      <c r="K5" s="76"/>
      <c r="L5" s="227">
        <f>VALO_ST!X5</f>
        <v>0</v>
      </c>
      <c r="M5" s="76"/>
      <c r="N5" s="227">
        <f>VALO_ST!Z5</f>
        <v>0</v>
      </c>
      <c r="O5" s="76"/>
      <c r="P5" s="227">
        <f>VALO_ST!AB5</f>
        <v>0</v>
      </c>
    </row>
    <row r="6" spans="2:16" ht="15.75" x14ac:dyDescent="0.3">
      <c r="B6" s="11">
        <f>VALO_ST!E6</f>
        <v>0</v>
      </c>
      <c r="C6" s="94">
        <f>VALO_ST!H6</f>
        <v>45734</v>
      </c>
      <c r="D6" s="11">
        <f>VALO_ST!I6</f>
        <v>451416747</v>
      </c>
      <c r="E6" s="11" t="str">
        <f>VALO_ST!J6</f>
        <v>Activation</v>
      </c>
      <c r="F6" s="11" t="str">
        <f>VALO_ST!K6</f>
        <v>CHIC</v>
      </c>
      <c r="G6" s="11" t="str">
        <f>VALO_ST!L6</f>
        <v>Etudes R&amp;D</v>
      </c>
      <c r="H6" s="11">
        <f>VALO_ST!T6</f>
        <v>9380</v>
      </c>
      <c r="I6" s="11" t="str">
        <f>VALO_ST!U6</f>
        <v>Oui</v>
      </c>
      <c r="J6" s="227">
        <f>VALO_ST!V6</f>
        <v>9380</v>
      </c>
      <c r="K6" s="76"/>
      <c r="L6" s="227">
        <f>VALO_ST!X6</f>
        <v>0</v>
      </c>
      <c r="M6" s="76"/>
      <c r="N6" s="227">
        <f>VALO_ST!Z6</f>
        <v>0</v>
      </c>
      <c r="O6" s="76"/>
      <c r="P6" s="227">
        <f>VALO_ST!AB6</f>
        <v>0</v>
      </c>
    </row>
    <row r="7" spans="2:16" ht="15.75" x14ac:dyDescent="0.3">
      <c r="B7" s="11">
        <f>VALO_ST!E7</f>
        <v>0</v>
      </c>
      <c r="C7" s="94">
        <f>VALO_ST!H7</f>
        <v>45967</v>
      </c>
      <c r="D7" s="11">
        <f>VALO_ST!I7</f>
        <v>451416747</v>
      </c>
      <c r="E7" s="11" t="str">
        <f>VALO_ST!J7</f>
        <v>Activation</v>
      </c>
      <c r="F7" s="11" t="str">
        <f>VALO_ST!K7</f>
        <v>CHIC</v>
      </c>
      <c r="G7" s="11" t="str">
        <f>VALO_ST!L7</f>
        <v>Etudes R&amp;D</v>
      </c>
      <c r="H7" s="11">
        <f>VALO_ST!T7</f>
        <v>76080</v>
      </c>
      <c r="I7" s="11" t="str">
        <f>VALO_ST!U7</f>
        <v>Oui</v>
      </c>
      <c r="J7" s="227">
        <f>VALO_ST!V7</f>
        <v>76080</v>
      </c>
      <c r="K7" s="76"/>
      <c r="L7" s="227">
        <f>VALO_ST!X7</f>
        <v>0</v>
      </c>
      <c r="M7" s="76"/>
      <c r="N7" s="227">
        <f>VALO_ST!Z7</f>
        <v>0</v>
      </c>
      <c r="O7" s="76"/>
      <c r="P7" s="227">
        <f>VALO_ST!AB7</f>
        <v>0</v>
      </c>
    </row>
    <row r="8" spans="2:16" ht="15.75" x14ac:dyDescent="0.3">
      <c r="B8" s="11">
        <f>VALO_ST!E8</f>
        <v>0</v>
      </c>
      <c r="C8" s="94">
        <f>VALO_ST!H8</f>
        <v>45601</v>
      </c>
      <c r="D8" s="11">
        <f>VALO_ST!I8</f>
        <v>197534712</v>
      </c>
      <c r="E8" s="11" t="str">
        <f>VALO_ST!J8</f>
        <v>CNAM</v>
      </c>
      <c r="F8" s="11">
        <f>VALO_ST!K8</f>
        <v>0</v>
      </c>
      <c r="G8" s="11" t="str">
        <f>VALO_ST!L8</f>
        <v>Contrat de presatation de recherche</v>
      </c>
      <c r="H8" s="11">
        <f>VALO_ST!T8</f>
        <v>5100</v>
      </c>
      <c r="I8" s="11" t="str">
        <f>VALO_ST!U8</f>
        <v>Oui</v>
      </c>
      <c r="J8" s="227">
        <f>VALO_ST!V8</f>
        <v>5100</v>
      </c>
      <c r="K8" s="76"/>
      <c r="L8" s="227">
        <f>VALO_ST!X8</f>
        <v>0</v>
      </c>
      <c r="M8" s="76"/>
      <c r="N8" s="227">
        <f>VALO_ST!Z8</f>
        <v>0</v>
      </c>
      <c r="O8" s="76"/>
      <c r="P8" s="227">
        <f>VALO_ST!AB8</f>
        <v>0</v>
      </c>
    </row>
    <row r="9" spans="2:16" ht="15.75" x14ac:dyDescent="0.3">
      <c r="B9" s="11">
        <f>VALO_ST!E9</f>
        <v>0</v>
      </c>
      <c r="C9" s="94">
        <f>VALO_ST!H9</f>
        <v>45639</v>
      </c>
      <c r="D9" s="11">
        <f>VALO_ST!I9</f>
        <v>197534712</v>
      </c>
      <c r="E9" s="11" t="str">
        <f>VALO_ST!J9</f>
        <v>CNAM</v>
      </c>
      <c r="F9" s="11">
        <f>VALO_ST!K9</f>
        <v>0</v>
      </c>
      <c r="G9" s="11" t="str">
        <f>VALO_ST!L9</f>
        <v>PRESTATION PILI CIFRE N° 2021/1540</v>
      </c>
      <c r="H9" s="11">
        <f>VALO_ST!T9</f>
        <v>25000</v>
      </c>
      <c r="I9" s="11" t="str">
        <f>VALO_ST!U9</f>
        <v>Oui</v>
      </c>
      <c r="J9" s="227">
        <f>VALO_ST!V9</f>
        <v>25000</v>
      </c>
      <c r="K9" s="76"/>
      <c r="L9" s="227">
        <f>VALO_ST!X9</f>
        <v>0</v>
      </c>
      <c r="M9" s="76"/>
      <c r="N9" s="227">
        <f>VALO_ST!Z9</f>
        <v>0</v>
      </c>
      <c r="O9" s="76"/>
      <c r="P9" s="227">
        <f>VALO_ST!AB9</f>
        <v>0</v>
      </c>
    </row>
    <row r="10" spans="2:16" ht="15.75" x14ac:dyDescent="0.3">
      <c r="B10" s="11">
        <f>VALO_ST!E10</f>
        <v>0</v>
      </c>
      <c r="C10" s="94">
        <f>VALO_ST!H10</f>
        <v>45784</v>
      </c>
      <c r="D10" s="11">
        <f>VALO_ST!I10</f>
        <v>197534712</v>
      </c>
      <c r="E10" s="11" t="str">
        <f>VALO_ST!J10</f>
        <v>CNAM</v>
      </c>
      <c r="F10" s="11">
        <f>VALO_ST!K10</f>
        <v>0</v>
      </c>
      <c r="G10" s="11" t="str">
        <f>VALO_ST!L10</f>
        <v>Contrat de collaboration de recherche</v>
      </c>
      <c r="H10" s="11">
        <f>VALO_ST!T10</f>
        <v>7500</v>
      </c>
      <c r="I10" s="11" t="str">
        <f>VALO_ST!U10</f>
        <v>Oui</v>
      </c>
      <c r="J10" s="227">
        <f>VALO_ST!V10</f>
        <v>7500</v>
      </c>
      <c r="K10" s="76"/>
      <c r="L10" s="227">
        <f>VALO_ST!X10</f>
        <v>0</v>
      </c>
      <c r="M10" s="76"/>
      <c r="N10" s="227">
        <f>VALO_ST!Z10</f>
        <v>0</v>
      </c>
      <c r="O10" s="76"/>
      <c r="P10" s="227">
        <f>VALO_ST!AB10</f>
        <v>0</v>
      </c>
    </row>
    <row r="11" spans="2:16" ht="15.75" x14ac:dyDescent="0.3">
      <c r="B11" s="11">
        <f>VALO_ST!E12</f>
        <v>0</v>
      </c>
      <c r="C11" s="94">
        <f>VALO_ST!H12</f>
        <v>45776</v>
      </c>
      <c r="D11" s="11">
        <f>VALO_ST!I12</f>
        <v>180070039</v>
      </c>
      <c r="E11" s="11" t="str">
        <f>VALO_ST!J12</f>
        <v>INRAE</v>
      </c>
      <c r="F11" s="11">
        <f>VALO_ST!K12</f>
        <v>0</v>
      </c>
      <c r="G11" s="11" t="str">
        <f>VALO_ST!L12</f>
        <v>Avenant 11 au contrat de recherche TWB signé le 30/01/2018</v>
      </c>
      <c r="H11" s="11">
        <f>VALO_ST!T12</f>
        <v>181545</v>
      </c>
      <c r="I11" s="11" t="str">
        <f>VALO_ST!U12</f>
        <v>Oui</v>
      </c>
      <c r="J11" s="227">
        <f>VALO_ST!V12</f>
        <v>0</v>
      </c>
      <c r="K11" s="76"/>
      <c r="L11" s="227">
        <f>VALO_ST!X12</f>
        <v>0</v>
      </c>
      <c r="M11" s="76"/>
      <c r="N11" s="227">
        <f>VALO_ST!Z12</f>
        <v>0</v>
      </c>
      <c r="O11" s="76"/>
      <c r="P11" s="227">
        <f>VALO_ST!AB12</f>
        <v>181545</v>
      </c>
    </row>
    <row r="12" spans="2:16" ht="15.75" x14ac:dyDescent="0.3">
      <c r="B12" s="11">
        <f>VALO_ST!E13</f>
        <v>0</v>
      </c>
      <c r="C12" s="94">
        <f>VALO_ST!H13</f>
        <v>45994</v>
      </c>
      <c r="D12" s="11">
        <f>VALO_ST!I13</f>
        <v>180070039</v>
      </c>
      <c r="E12" s="11" t="str">
        <f>VALO_ST!J13</f>
        <v>INRAE</v>
      </c>
      <c r="F12" s="11">
        <f>VALO_ST!K13</f>
        <v>0</v>
      </c>
      <c r="G12" s="11" t="str">
        <f>VALO_ST!L13</f>
        <v>Avenant 11 - Recherche TWB</v>
      </c>
      <c r="H12" s="11">
        <f>VALO_ST!T13</f>
        <v>363089</v>
      </c>
      <c r="I12" s="11" t="str">
        <f>VALO_ST!U13</f>
        <v>Oui</v>
      </c>
      <c r="J12" s="227">
        <f>VALO_ST!V13</f>
        <v>0</v>
      </c>
      <c r="K12" s="76"/>
      <c r="L12" s="227">
        <f>VALO_ST!X13</f>
        <v>0</v>
      </c>
      <c r="M12" s="76"/>
      <c r="N12" s="227">
        <f>VALO_ST!Z13</f>
        <v>0</v>
      </c>
      <c r="O12" s="76"/>
      <c r="P12" s="227">
        <f>VALO_ST!AB13</f>
        <v>363089</v>
      </c>
    </row>
    <row r="13" spans="2:16" ht="15.75" x14ac:dyDescent="0.3">
      <c r="B13" s="11">
        <f>VALO_ST!E14</f>
        <v>0</v>
      </c>
      <c r="C13" s="94">
        <f>VALO_ST!H14</f>
        <v>45748</v>
      </c>
      <c r="D13" s="11">
        <f>VALO_ST!I14</f>
        <v>197601651</v>
      </c>
      <c r="E13" s="11" t="str">
        <f>VALO_ST!J14</f>
        <v>INSA ROUEN</v>
      </c>
      <c r="F13" s="11">
        <f>VALO_ST!K14</f>
        <v>0</v>
      </c>
      <c r="G13" s="11" t="str">
        <f>VALO_ST!L14</f>
        <v>Journée RC1</v>
      </c>
      <c r="H13" s="11">
        <f>VALO_ST!T14</f>
        <v>2420</v>
      </c>
      <c r="I13" s="11" t="str">
        <f>VALO_ST!U14</f>
        <v>Oui</v>
      </c>
      <c r="J13" s="227">
        <f>VALO_ST!V14</f>
        <v>2420</v>
      </c>
      <c r="K13" s="76"/>
      <c r="L13" s="227">
        <f>VALO_ST!X14</f>
        <v>0</v>
      </c>
      <c r="M13" s="76"/>
      <c r="N13" s="227">
        <f>VALO_ST!Z14</f>
        <v>0</v>
      </c>
      <c r="O13" s="76"/>
      <c r="P13" s="227">
        <f>VALO_ST!AB14</f>
        <v>0</v>
      </c>
    </row>
    <row r="14" spans="2:16" ht="15.75" x14ac:dyDescent="0.3">
      <c r="B14" s="11">
        <f>VALO_ST!E15</f>
        <v>0</v>
      </c>
      <c r="C14" s="94">
        <f>VALO_ST!H15</f>
        <v>45845</v>
      </c>
      <c r="D14" s="11">
        <f>VALO_ST!I15</f>
        <v>197601651</v>
      </c>
      <c r="E14" s="11" t="str">
        <f>VALO_ST!J15</f>
        <v>INSA ROUEN</v>
      </c>
      <c r="F14" s="11">
        <f>VALO_ST!K15</f>
        <v>0</v>
      </c>
      <c r="G14" s="11" t="str">
        <f>VALO_ST!L15</f>
        <v>Journée RC1</v>
      </c>
      <c r="H14" s="11">
        <f>VALO_ST!T15</f>
        <v>2100</v>
      </c>
      <c r="I14" s="11" t="str">
        <f>VALO_ST!U15</f>
        <v>Oui</v>
      </c>
      <c r="J14" s="227">
        <f>VALO_ST!V15</f>
        <v>2100</v>
      </c>
      <c r="K14" s="76"/>
      <c r="L14" s="227">
        <f>VALO_ST!X15</f>
        <v>0</v>
      </c>
      <c r="M14" s="76"/>
      <c r="N14" s="227">
        <f>VALO_ST!Z15</f>
        <v>0</v>
      </c>
      <c r="O14" s="76"/>
      <c r="P14" s="227">
        <f>VALO_ST!AB15</f>
        <v>0</v>
      </c>
    </row>
    <row r="15" spans="2:16" ht="15.75" x14ac:dyDescent="0.3">
      <c r="B15" s="11">
        <f>VALO_ST!E16</f>
        <v>0</v>
      </c>
      <c r="C15" s="94">
        <f>VALO_ST!H16</f>
        <v>45943</v>
      </c>
      <c r="D15" s="11">
        <f>VALO_ST!I16</f>
        <v>197601651</v>
      </c>
      <c r="E15" s="11" t="str">
        <f>VALO_ST!J16</f>
        <v>INSA ROUEN</v>
      </c>
      <c r="F15" s="11">
        <f>VALO_ST!K16</f>
        <v>0</v>
      </c>
      <c r="G15" s="11" t="str">
        <f>VALO_ST!L16</f>
        <v>Journée RC1</v>
      </c>
      <c r="H15" s="11">
        <f>VALO_ST!T16</f>
        <v>1280</v>
      </c>
      <c r="I15" s="11" t="str">
        <f>VALO_ST!U16</f>
        <v>Oui</v>
      </c>
      <c r="J15" s="227">
        <f>VALO_ST!V16</f>
        <v>1280</v>
      </c>
      <c r="K15" s="76"/>
      <c r="L15" s="227">
        <f>VALO_ST!X16</f>
        <v>0</v>
      </c>
      <c r="M15" s="76"/>
      <c r="N15" s="227">
        <f>VALO_ST!Z16</f>
        <v>0</v>
      </c>
      <c r="O15" s="76"/>
      <c r="P15" s="227">
        <f>VALO_ST!AB16</f>
        <v>0</v>
      </c>
    </row>
    <row r="16" spans="2:16" ht="15.75" x14ac:dyDescent="0.3">
      <c r="B16" s="11">
        <f>VALO_ST!E17</f>
        <v>0</v>
      </c>
      <c r="C16" s="94">
        <f>VALO_ST!H17</f>
        <v>45943</v>
      </c>
      <c r="D16" s="11">
        <f>VALO_ST!I17</f>
        <v>197601651</v>
      </c>
      <c r="E16" s="11" t="str">
        <f>VALO_ST!J17</f>
        <v>INSA ROUEN</v>
      </c>
      <c r="F16" s="11">
        <f>VALO_ST!K17</f>
        <v>0</v>
      </c>
      <c r="G16" s="11" t="str">
        <f>VALO_ST!L17</f>
        <v>Journée RC1</v>
      </c>
      <c r="H16" s="11">
        <f>VALO_ST!T17</f>
        <v>2420</v>
      </c>
      <c r="I16" s="11" t="str">
        <f>VALO_ST!U17</f>
        <v>Oui</v>
      </c>
      <c r="J16" s="227">
        <f>VALO_ST!V17</f>
        <v>2420</v>
      </c>
      <c r="K16" s="76"/>
      <c r="L16" s="227">
        <f>VALO_ST!X17</f>
        <v>0</v>
      </c>
      <c r="M16" s="76"/>
      <c r="N16" s="227">
        <f>VALO_ST!Z17</f>
        <v>0</v>
      </c>
      <c r="O16" s="76"/>
      <c r="P16" s="227">
        <f>VALO_ST!AB17</f>
        <v>0</v>
      </c>
    </row>
    <row r="17" spans="1:16" ht="15.75" x14ac:dyDescent="0.3">
      <c r="B17" s="11">
        <f>VALO_ST!E18</f>
        <v>0</v>
      </c>
      <c r="C17" s="94">
        <f>VALO_ST!H18</f>
        <v>45694</v>
      </c>
      <c r="D17" s="11">
        <f>VALO_ST!I18</f>
        <v>784262644</v>
      </c>
      <c r="E17" s="11" t="str">
        <f>VALO_ST!J18</f>
        <v>SAESPCI</v>
      </c>
      <c r="F17" s="11">
        <f>VALO_ST!K18</f>
        <v>0</v>
      </c>
      <c r="G17" s="11" t="str">
        <f>VALO_ST!L18</f>
        <v>Analyses RMN</v>
      </c>
      <c r="H17" s="11">
        <f>VALO_ST!T18</f>
        <v>315</v>
      </c>
      <c r="I17" s="11" t="str">
        <f>VALO_ST!U18</f>
        <v>Oui</v>
      </c>
      <c r="J17" s="227">
        <f>VALO_ST!V18</f>
        <v>315</v>
      </c>
      <c r="K17" s="76"/>
      <c r="L17" s="227">
        <f>VALO_ST!X18</f>
        <v>0</v>
      </c>
      <c r="M17" s="76"/>
      <c r="N17" s="227">
        <f>VALO_ST!Z18</f>
        <v>0</v>
      </c>
      <c r="O17" s="76"/>
      <c r="P17" s="227">
        <f>VALO_ST!AB18</f>
        <v>0</v>
      </c>
    </row>
    <row r="18" spans="1:16" ht="15.75" x14ac:dyDescent="0.3">
      <c r="B18" s="11">
        <f>VALO_ST!E19</f>
        <v>0</v>
      </c>
      <c r="C18" s="94">
        <f>VALO_ST!H19</f>
        <v>45757</v>
      </c>
      <c r="D18" s="11">
        <f>VALO_ST!I19</f>
        <v>784262644</v>
      </c>
      <c r="E18" s="11" t="str">
        <f>VALO_ST!J19</f>
        <v>SAESPCI</v>
      </c>
      <c r="F18" s="11">
        <f>VALO_ST!K19</f>
        <v>0</v>
      </c>
      <c r="G18" s="11" t="str">
        <f>VALO_ST!L19</f>
        <v>Analyses RMN</v>
      </c>
      <c r="H18" s="11">
        <f>VALO_ST!T19</f>
        <v>693.5</v>
      </c>
      <c r="I18" s="11" t="str">
        <f>VALO_ST!U19</f>
        <v>Oui</v>
      </c>
      <c r="J18" s="227">
        <f>VALO_ST!V19</f>
        <v>693.5</v>
      </c>
      <c r="K18" s="76"/>
      <c r="L18" s="227">
        <f>VALO_ST!X19</f>
        <v>0</v>
      </c>
      <c r="M18" s="76"/>
      <c r="N18" s="227">
        <f>VALO_ST!Z19</f>
        <v>0</v>
      </c>
      <c r="O18" s="76"/>
      <c r="P18" s="227">
        <f>VALO_ST!AB19</f>
        <v>0</v>
      </c>
    </row>
    <row r="19" spans="1:16" ht="15.75" x14ac:dyDescent="0.3">
      <c r="B19" s="11">
        <f>VALO_ST!E20</f>
        <v>0</v>
      </c>
      <c r="C19" s="94">
        <f>VALO_ST!H20</f>
        <v>45866</v>
      </c>
      <c r="D19" s="11">
        <f>VALO_ST!I20</f>
        <v>784262644</v>
      </c>
      <c r="E19" s="11" t="str">
        <f>VALO_ST!J20</f>
        <v>SAESPCI</v>
      </c>
      <c r="F19" s="11">
        <f>VALO_ST!K20</f>
        <v>0</v>
      </c>
      <c r="G19" s="11" t="str">
        <f>VALO_ST!L20</f>
        <v>Analyses RMN</v>
      </c>
      <c r="H19" s="11">
        <f>VALO_ST!T20</f>
        <v>297</v>
      </c>
      <c r="I19" s="11" t="str">
        <f>VALO_ST!U20</f>
        <v>Oui</v>
      </c>
      <c r="J19" s="227">
        <f>VALO_ST!V20</f>
        <v>297</v>
      </c>
      <c r="K19" s="76"/>
      <c r="L19" s="227">
        <f>VALO_ST!X20</f>
        <v>0</v>
      </c>
      <c r="M19" s="76"/>
      <c r="N19" s="227">
        <f>VALO_ST!Z20</f>
        <v>0</v>
      </c>
      <c r="O19" s="76"/>
      <c r="P19" s="227">
        <f>VALO_ST!AB20</f>
        <v>0</v>
      </c>
    </row>
    <row r="20" spans="1:16" ht="15.75" x14ac:dyDescent="0.3">
      <c r="B20" s="11">
        <f>VALO_ST!E21</f>
        <v>0</v>
      </c>
      <c r="C20" s="94">
        <f>VALO_ST!H21</f>
        <v>45938</v>
      </c>
      <c r="D20" s="11">
        <f>VALO_ST!I21</f>
        <v>784262644</v>
      </c>
      <c r="E20" s="11" t="str">
        <f>VALO_ST!J21</f>
        <v>SAESPCI</v>
      </c>
      <c r="F20" s="11">
        <f>VALO_ST!K21</f>
        <v>0</v>
      </c>
      <c r="G20" s="11" t="str">
        <f>VALO_ST!L21</f>
        <v>Analyses RMN</v>
      </c>
      <c r="H20" s="11">
        <f>VALO_ST!T21</f>
        <v>695</v>
      </c>
      <c r="I20" s="11" t="str">
        <f>VALO_ST!U21</f>
        <v>Oui</v>
      </c>
      <c r="J20" s="227">
        <f>VALO_ST!V21</f>
        <v>695</v>
      </c>
      <c r="K20" s="76"/>
      <c r="L20" s="227">
        <f>VALO_ST!X21</f>
        <v>0</v>
      </c>
      <c r="M20" s="76"/>
      <c r="N20" s="227">
        <f>VALO_ST!Z21</f>
        <v>0</v>
      </c>
      <c r="O20" s="76"/>
      <c r="P20" s="227">
        <f>VALO_ST!AB21</f>
        <v>0</v>
      </c>
    </row>
    <row r="21" spans="1:16" ht="15.75" x14ac:dyDescent="0.3">
      <c r="B21" s="11">
        <f>VALO_ST!E22</f>
        <v>0</v>
      </c>
      <c r="C21" s="94">
        <f>VALO_ST!H22</f>
        <v>46022</v>
      </c>
      <c r="D21" s="11">
        <f>VALO_ST!I22</f>
        <v>784262644</v>
      </c>
      <c r="E21" s="11" t="str">
        <f>VALO_ST!J22</f>
        <v>SAESPCI</v>
      </c>
      <c r="F21" s="11">
        <f>VALO_ST!K22</f>
        <v>0</v>
      </c>
      <c r="G21" s="11" t="str">
        <f>VALO_ST!L22</f>
        <v>Analyses RMN</v>
      </c>
      <c r="H21" s="11">
        <f>VALO_ST!T22</f>
        <v>667.76</v>
      </c>
      <c r="I21" s="11" t="str">
        <f>VALO_ST!U22</f>
        <v>Oui</v>
      </c>
      <c r="J21" s="227">
        <f>VALO_ST!V22</f>
        <v>667.76</v>
      </c>
      <c r="K21" s="76"/>
      <c r="L21" s="227">
        <f>VALO_ST!X22</f>
        <v>0</v>
      </c>
      <c r="M21" s="76"/>
      <c r="N21" s="227">
        <f>VALO_ST!Z22</f>
        <v>0</v>
      </c>
      <c r="O21" s="76"/>
      <c r="P21" s="227">
        <f>VALO_ST!AB22</f>
        <v>0</v>
      </c>
    </row>
    <row r="22" spans="1:16" ht="15.75" x14ac:dyDescent="0.3">
      <c r="B22" s="11">
        <f>VALO_ST!E23</f>
        <v>0</v>
      </c>
      <c r="C22" s="94">
        <f>VALO_ST!H23</f>
        <v>45987</v>
      </c>
      <c r="D22" s="11">
        <f>VALO_ST!I23</f>
        <v>424864668</v>
      </c>
      <c r="E22" s="11" t="str">
        <f>VALO_ST!J23</f>
        <v>SDTECH</v>
      </c>
      <c r="F22" s="11">
        <f>VALO_ST!K23</f>
        <v>0</v>
      </c>
      <c r="G22" s="11" t="str">
        <f>VALO_ST!L23</f>
        <v>Forfait Essais Mélange de 185 kg de lots d'indigo broyés</v>
      </c>
      <c r="H22" s="11">
        <f>VALO_ST!T23</f>
        <v>3550</v>
      </c>
      <c r="I22" s="11" t="str">
        <f>VALO_ST!U23</f>
        <v>Partiel</v>
      </c>
      <c r="J22" s="227">
        <f>VALO_ST!V23</f>
        <v>3400</v>
      </c>
      <c r="K22" s="76"/>
      <c r="L22" s="227">
        <f>VALO_ST!X23</f>
        <v>0</v>
      </c>
      <c r="M22" s="76"/>
      <c r="N22" s="227">
        <f>VALO_ST!Z23</f>
        <v>0</v>
      </c>
      <c r="O22" s="76"/>
      <c r="P22" s="227">
        <f>VALO_ST!AB23</f>
        <v>0</v>
      </c>
    </row>
    <row r="23" spans="1:16" ht="15.75" x14ac:dyDescent="0.3">
      <c r="B23" s="11">
        <f>VALO_ST!E24</f>
        <v>0</v>
      </c>
      <c r="C23" s="94">
        <f>VALO_ST!H24</f>
        <v>45680</v>
      </c>
      <c r="D23" s="11">
        <f>VALO_ST!I24</f>
        <v>0</v>
      </c>
      <c r="E23" s="11" t="str">
        <f>VALO_ST!J24</f>
        <v>TAROS</v>
      </c>
      <c r="F23" s="11" t="str">
        <f>VALO_ST!K24</f>
        <v>BIOPPIGMENT</v>
      </c>
      <c r="G23" s="11" t="str">
        <f>VALO_ST!L24</f>
        <v>2-cyano-benzoic acid</v>
      </c>
      <c r="H23" s="11">
        <f>VALO_ST!T24</f>
        <v>9793</v>
      </c>
      <c r="I23" s="11" t="str">
        <f>VALO_ST!U24</f>
        <v>Oui</v>
      </c>
      <c r="J23" s="227">
        <f>VALO_ST!V24</f>
        <v>9793</v>
      </c>
      <c r="K23" s="76"/>
      <c r="L23" s="227">
        <f>VALO_ST!X24</f>
        <v>0</v>
      </c>
      <c r="M23" s="76"/>
      <c r="N23" s="227">
        <f>VALO_ST!Z24</f>
        <v>0</v>
      </c>
      <c r="O23" s="76"/>
      <c r="P23" s="227">
        <f>VALO_ST!AB24</f>
        <v>0</v>
      </c>
    </row>
    <row r="24" spans="1:16" ht="15.75" x14ac:dyDescent="0.3">
      <c r="A24" t="s">
        <v>865</v>
      </c>
      <c r="B24" s="11">
        <f>VALO_ST!E25</f>
        <v>0</v>
      </c>
      <c r="C24" s="94">
        <f>VALO_ST!H25</f>
        <v>45714</v>
      </c>
      <c r="D24" s="11">
        <f>VALO_ST!I25</f>
        <v>0</v>
      </c>
      <c r="E24" s="11" t="str">
        <f>VALO_ST!J25</f>
        <v>TAROS</v>
      </c>
      <c r="F24" s="11" t="str">
        <f>VALO_ST!K25</f>
        <v>BIOPPIGMENT</v>
      </c>
      <c r="G24" s="11" t="str">
        <f>VALO_ST!L25</f>
        <v>Project Service WP 2 1rst</v>
      </c>
      <c r="H24" s="11">
        <f>VALO_ST!T25</f>
        <v>10714</v>
      </c>
      <c r="I24" s="11" t="str">
        <f>VALO_ST!U25</f>
        <v>Oui</v>
      </c>
      <c r="J24" s="227">
        <f>VALO_ST!V25</f>
        <v>10714</v>
      </c>
      <c r="K24" s="76"/>
      <c r="L24" s="227">
        <f>VALO_ST!X25</f>
        <v>0</v>
      </c>
      <c r="M24" s="76"/>
      <c r="N24" s="227">
        <f>VALO_ST!Z25</f>
        <v>0</v>
      </c>
      <c r="O24" s="76"/>
      <c r="P24" s="227">
        <f>VALO_ST!AB25</f>
        <v>0</v>
      </c>
    </row>
    <row r="25" spans="1:16" ht="15.75" x14ac:dyDescent="0.3">
      <c r="A25" t="s">
        <v>865</v>
      </c>
      <c r="B25" s="11">
        <f>VALO_ST!E26</f>
        <v>0</v>
      </c>
      <c r="C25" s="94">
        <f>VALO_ST!H26</f>
        <v>45776</v>
      </c>
      <c r="D25" s="11">
        <f>VALO_ST!I26</f>
        <v>0</v>
      </c>
      <c r="E25" s="11" t="str">
        <f>VALO_ST!J26</f>
        <v>TAROS</v>
      </c>
      <c r="F25" s="11" t="str">
        <f>VALO_ST!K26</f>
        <v>BIOPPIGMENT</v>
      </c>
      <c r="G25" s="11" t="str">
        <f>VALO_ST!L26</f>
        <v>Project Service WP 2 2nd</v>
      </c>
      <c r="H25" s="11">
        <f>VALO_ST!T26</f>
        <v>10715</v>
      </c>
      <c r="I25" s="11" t="str">
        <f>VALO_ST!U26</f>
        <v>Oui</v>
      </c>
      <c r="J25" s="227">
        <f>VALO_ST!V26</f>
        <v>10715</v>
      </c>
      <c r="K25" s="76"/>
      <c r="L25" s="227">
        <f>VALO_ST!X26</f>
        <v>0</v>
      </c>
      <c r="M25" s="76"/>
      <c r="N25" s="227">
        <f>VALO_ST!Z26</f>
        <v>0</v>
      </c>
      <c r="O25" s="76"/>
      <c r="P25" s="227">
        <f>VALO_ST!AB26</f>
        <v>0</v>
      </c>
    </row>
    <row r="26" spans="1:16" ht="15.75" x14ac:dyDescent="0.3">
      <c r="A26" t="s">
        <v>865</v>
      </c>
      <c r="B26" s="11">
        <f>VALO_ST!E27</f>
        <v>0</v>
      </c>
      <c r="C26" s="94">
        <f>VALO_ST!H27</f>
        <v>45854</v>
      </c>
      <c r="D26" s="11">
        <f>VALO_ST!I27</f>
        <v>0</v>
      </c>
      <c r="E26" s="11" t="str">
        <f>VALO_ST!J27</f>
        <v>TAROS</v>
      </c>
      <c r="F26" s="11" t="str">
        <f>VALO_ST!K27</f>
        <v>BIOPPIGMENT</v>
      </c>
      <c r="G26" s="11" t="str">
        <f>VALO_ST!L27</f>
        <v>INV/2025/00106</v>
      </c>
      <c r="H26" s="11">
        <f>VALO_ST!T27</f>
        <v>17444</v>
      </c>
      <c r="I26" s="11" t="str">
        <f>VALO_ST!U27</f>
        <v>Oui</v>
      </c>
      <c r="J26" s="227">
        <f>VALO_ST!V27</f>
        <v>17444</v>
      </c>
      <c r="K26" s="76"/>
      <c r="L26" s="227">
        <f>VALO_ST!X27</f>
        <v>0</v>
      </c>
      <c r="M26" s="76"/>
      <c r="N26" s="227">
        <f>VALO_ST!Z27</f>
        <v>0</v>
      </c>
      <c r="O26" s="76"/>
      <c r="P26" s="227">
        <f>VALO_ST!AB27</f>
        <v>0</v>
      </c>
    </row>
    <row r="27" spans="1:16" ht="15.75" x14ac:dyDescent="0.3">
      <c r="A27" t="s">
        <v>865</v>
      </c>
      <c r="B27" s="11">
        <f>VALO_ST!E28</f>
        <v>0</v>
      </c>
      <c r="C27" s="94">
        <f>VALO_ST!H28</f>
        <v>45916</v>
      </c>
      <c r="D27" s="11">
        <f>VALO_ST!I28</f>
        <v>0</v>
      </c>
      <c r="E27" s="11" t="str">
        <f>VALO_ST!J28</f>
        <v>TAROS</v>
      </c>
      <c r="F27" s="11" t="str">
        <f>VALO_ST!K28</f>
        <v>BIOPPIGMENT</v>
      </c>
      <c r="G27" s="11" t="str">
        <f>VALO_ST!L28</f>
        <v>Project Service Second Installment after completion of the project</v>
      </c>
      <c r="H27" s="11">
        <f>VALO_ST!T28</f>
        <v>17443</v>
      </c>
      <c r="I27" s="11" t="str">
        <f>VALO_ST!U28</f>
        <v>Oui</v>
      </c>
      <c r="J27" s="227">
        <f>VALO_ST!V28</f>
        <v>17443</v>
      </c>
      <c r="K27" s="76"/>
      <c r="L27" s="227">
        <f>VALO_ST!X28</f>
        <v>0</v>
      </c>
      <c r="M27" s="76"/>
      <c r="N27" s="227">
        <f>VALO_ST!Z28</f>
        <v>0</v>
      </c>
      <c r="O27" s="76"/>
      <c r="P27" s="227">
        <f>VALO_ST!AB28</f>
        <v>0</v>
      </c>
    </row>
    <row r="28" spans="1:16" ht="15.75" x14ac:dyDescent="0.3">
      <c r="A28" t="s">
        <v>865</v>
      </c>
      <c r="B28" s="11">
        <f>VALO_ST!E29</f>
        <v>0</v>
      </c>
      <c r="C28" s="94">
        <f>VALO_ST!H29</f>
        <v>45811</v>
      </c>
      <c r="D28" s="11">
        <f>VALO_ST!I29</f>
        <v>938271392</v>
      </c>
      <c r="E28" s="11" t="str">
        <f>VALO_ST!J29</f>
        <v>UNIVERSITE DE TOULOUSE</v>
      </c>
      <c r="F28" s="11">
        <f>VALO_ST!K29</f>
        <v>0</v>
      </c>
      <c r="G28" s="11" t="str">
        <f>VALO_ST!L29</f>
        <v>TRAVAUX RMN</v>
      </c>
      <c r="H28" s="11">
        <f>VALO_ST!T29</f>
        <v>249</v>
      </c>
      <c r="I28" s="11" t="str">
        <f>VALO_ST!U29</f>
        <v>Oui</v>
      </c>
      <c r="J28" s="227">
        <f>VALO_ST!V29</f>
        <v>249</v>
      </c>
      <c r="K28" s="76"/>
      <c r="L28" s="227">
        <f>VALO_ST!X29</f>
        <v>0</v>
      </c>
      <c r="M28" s="76"/>
      <c r="N28" s="227">
        <f>VALO_ST!Z29</f>
        <v>0</v>
      </c>
      <c r="O28" s="76"/>
      <c r="P28" s="227">
        <f>VALO_ST!AB29</f>
        <v>0</v>
      </c>
    </row>
    <row r="29" spans="1:16" ht="15.75" x14ac:dyDescent="0.3">
      <c r="A29" t="s">
        <v>865</v>
      </c>
      <c r="B29" s="11">
        <f>VALO_ST!E30</f>
        <v>0</v>
      </c>
      <c r="C29" s="94">
        <f>VALO_ST!H30</f>
        <v>45688</v>
      </c>
      <c r="D29" s="11">
        <f>VALO_ST!I30</f>
        <v>810453332</v>
      </c>
      <c r="E29" s="11" t="str">
        <f>VALO_ST!J30</f>
        <v>Conseil CPP</v>
      </c>
      <c r="F29" s="11">
        <f>VALO_ST!K30</f>
        <v>0</v>
      </c>
      <c r="G29" s="11" t="str">
        <f>VALO_ST!L30</f>
        <v>Contribution à la résolution des problèmes rencontrés pour la synthèse des cibles KEENB et KEENY et pour la synthèse de l'acide salicylique</v>
      </c>
      <c r="H29" s="11">
        <f>VALO_ST!T30</f>
        <v>4500</v>
      </c>
      <c r="I29" s="11" t="str">
        <f>VALO_ST!U30</f>
        <v>Oui</v>
      </c>
      <c r="J29" s="227">
        <f>VALO_ST!V30</f>
        <v>4500</v>
      </c>
      <c r="K29" s="76"/>
      <c r="L29" s="227">
        <f>VALO_ST!X30</f>
        <v>0</v>
      </c>
      <c r="M29" s="76"/>
      <c r="N29" s="227">
        <f>VALO_ST!Z30</f>
        <v>0</v>
      </c>
      <c r="O29" s="76"/>
      <c r="P29" s="227">
        <f>VALO_ST!AB30</f>
        <v>0</v>
      </c>
    </row>
    <row r="30" spans="1:16" ht="15.75" x14ac:dyDescent="0.3">
      <c r="A30" t="s">
        <v>865</v>
      </c>
      <c r="B30" s="11">
        <f>VALO_ST!E31</f>
        <v>0</v>
      </c>
      <c r="C30" s="94">
        <f>VALO_ST!H31</f>
        <v>45783</v>
      </c>
      <c r="D30" s="11">
        <f>VALO_ST!I31</f>
        <v>810453332</v>
      </c>
      <c r="E30" s="11" t="str">
        <f>VALO_ST!J31</f>
        <v>Conseil CPP</v>
      </c>
      <c r="F30" s="11">
        <f>VALO_ST!K31</f>
        <v>0</v>
      </c>
      <c r="G30" s="11" t="str">
        <f>VALO_ST!L31</f>
        <v>Contrat de prestations R&amp;D</v>
      </c>
      <c r="H30" s="11">
        <f>VALO_ST!T31</f>
        <v>8100</v>
      </c>
      <c r="I30" s="11" t="str">
        <f>VALO_ST!U31</f>
        <v>Oui</v>
      </c>
      <c r="J30" s="227">
        <f>VALO_ST!V31</f>
        <v>8100</v>
      </c>
      <c r="K30" s="76"/>
      <c r="L30" s="227">
        <f>VALO_ST!X31</f>
        <v>0</v>
      </c>
      <c r="M30" s="76"/>
      <c r="N30" s="227">
        <f>VALO_ST!Z31</f>
        <v>0</v>
      </c>
      <c r="O30" s="76"/>
      <c r="P30" s="227">
        <f>VALO_ST!AB31</f>
        <v>0</v>
      </c>
    </row>
    <row r="31" spans="1:16" ht="15.75" x14ac:dyDescent="0.3">
      <c r="A31" t="s">
        <v>865</v>
      </c>
      <c r="B31" s="11">
        <f>VALO_ST!E32</f>
        <v>0</v>
      </c>
      <c r="C31" s="94">
        <f>VALO_ST!H32</f>
        <v>45957</v>
      </c>
      <c r="D31" s="11">
        <f>VALO_ST!I32</f>
        <v>810453332</v>
      </c>
      <c r="E31" s="11" t="str">
        <f>VALO_ST!J32</f>
        <v>Conseil CPP</v>
      </c>
      <c r="F31" s="11">
        <f>VALO_ST!K32</f>
        <v>0</v>
      </c>
      <c r="G31" s="11" t="str">
        <f>VALO_ST!L32</f>
        <v>Contrat de service en consultance</v>
      </c>
      <c r="H31" s="11">
        <f>VALO_ST!T32</f>
        <v>6660</v>
      </c>
      <c r="I31" s="11" t="str">
        <f>VALO_ST!U32</f>
        <v>Oui</v>
      </c>
      <c r="J31" s="227">
        <f>VALO_ST!V32</f>
        <v>6660</v>
      </c>
      <c r="K31" s="76"/>
      <c r="L31" s="227">
        <f>VALO_ST!X32</f>
        <v>0</v>
      </c>
      <c r="M31" s="76"/>
      <c r="N31" s="227">
        <f>VALO_ST!Z32</f>
        <v>0</v>
      </c>
      <c r="O31" s="76"/>
      <c r="P31" s="227">
        <f>VALO_ST!AB32</f>
        <v>0</v>
      </c>
    </row>
    <row r="32" spans="1:16" ht="15.75" thickBot="1" x14ac:dyDescent="0.3">
      <c r="B32" s="97">
        <f>SUM(B5:B31)</f>
        <v>0</v>
      </c>
      <c r="C32" s="287"/>
      <c r="D32" s="97"/>
      <c r="E32" s="97">
        <f t="shared" ref="E32:J32" si="0">SUM(E5:E31)</f>
        <v>0</v>
      </c>
      <c r="F32" s="97">
        <f t="shared" si="0"/>
        <v>0</v>
      </c>
      <c r="G32" s="97">
        <f t="shared" si="0"/>
        <v>0</v>
      </c>
      <c r="H32" s="514">
        <f t="shared" si="0"/>
        <v>781770.26</v>
      </c>
      <c r="I32" s="97">
        <f t="shared" si="0"/>
        <v>0</v>
      </c>
      <c r="J32" s="514">
        <f t="shared" si="0"/>
        <v>236986.26</v>
      </c>
      <c r="K32" s="148"/>
      <c r="L32" s="514">
        <f>SUM(L5:L31)</f>
        <v>0</v>
      </c>
      <c r="M32" s="148"/>
      <c r="N32" s="514">
        <f>SUM(N5:N31)</f>
        <v>0</v>
      </c>
      <c r="O32" s="148"/>
      <c r="P32" s="514">
        <f>SUM(P5:P31)</f>
        <v>544634</v>
      </c>
    </row>
    <row r="34" spans="7:16" ht="15.75" thickBot="1" x14ac:dyDescent="0.3">
      <c r="G34" s="61"/>
      <c r="H34" s="215" t="s">
        <v>572</v>
      </c>
      <c r="I34" s="226"/>
      <c r="J34" s="514">
        <f>VALO_ST!V42</f>
        <v>170877.26</v>
      </c>
      <c r="K34" s="76"/>
      <c r="L34" s="525"/>
      <c r="M34" s="76"/>
      <c r="N34" s="525"/>
      <c r="O34" s="76"/>
      <c r="P34" s="514">
        <f>P32</f>
        <v>544634</v>
      </c>
    </row>
    <row r="35" spans="7:16" ht="15.75" thickBot="1" x14ac:dyDescent="0.3">
      <c r="G35" s="61"/>
      <c r="H35" s="215" t="s">
        <v>573</v>
      </c>
      <c r="I35" s="226"/>
      <c r="J35" s="514"/>
      <c r="K35" s="76"/>
      <c r="L35" s="525"/>
      <c r="M35" s="76"/>
      <c r="N35" s="525"/>
      <c r="O35" s="76"/>
      <c r="P35" s="525"/>
    </row>
    <row r="36" spans="7:16" ht="15.75" thickBot="1" x14ac:dyDescent="0.3">
      <c r="G36" s="61"/>
      <c r="H36" s="215" t="s">
        <v>574</v>
      </c>
      <c r="I36" s="226"/>
      <c r="J36" s="514">
        <f>VALO_ST!V44</f>
        <v>66109</v>
      </c>
      <c r="K36" s="76"/>
      <c r="L36" s="525"/>
      <c r="M36" s="76"/>
      <c r="N36" s="525"/>
      <c r="O36" s="76"/>
      <c r="P36" s="514"/>
    </row>
    <row r="37" spans="7:16" ht="15.75" thickBot="1" x14ac:dyDescent="0.3">
      <c r="G37" s="61"/>
      <c r="H37" s="215" t="s">
        <v>575</v>
      </c>
      <c r="I37" s="226"/>
      <c r="J37" s="514"/>
      <c r="K37" s="76"/>
      <c r="L37" s="525"/>
      <c r="M37" s="76"/>
      <c r="N37" s="525"/>
      <c r="O37" s="76"/>
      <c r="P37" s="525"/>
    </row>
    <row r="39" spans="7:16" x14ac:dyDescent="0.25">
      <c r="J39" t="b">
        <f>J32=SUM(J34:J37)</f>
        <v>1</v>
      </c>
      <c r="P39" t="b">
        <f>P32=SUM(P34:P37)</f>
        <v>1</v>
      </c>
    </row>
  </sheetData>
  <conditionalFormatting sqref="J39">
    <cfRule type="containsText" dxfId="19" priority="23" operator="containsText" text="FAUX">
      <formula>NOT(ISERROR(SEARCH("FAUX",J39)))</formula>
    </cfRule>
    <cfRule type="containsText" dxfId="18" priority="24" operator="containsText" text="VRAI">
      <formula>NOT(ISERROR(SEARCH("VRAI",J39)))</formula>
    </cfRule>
  </conditionalFormatting>
  <conditionalFormatting sqref="P39">
    <cfRule type="containsText" dxfId="17" priority="21" operator="containsText" text="FAUX">
      <formula>NOT(ISERROR(SEARCH("FAUX",P39)))</formula>
    </cfRule>
    <cfRule type="containsText" dxfId="16" priority="22" operator="containsText" text="VRAI">
      <formula>NOT(ISERROR(SEARCH("VRAI",P39)))</formula>
    </cfRule>
  </conditionalFormatting>
  <conditionalFormatting sqref="B33:B1048576 B1:B2">
    <cfRule type="duplicateValues" dxfId="15" priority="7"/>
  </conditionalFormatting>
  <conditionalFormatting sqref="B3">
    <cfRule type="duplicateValues" dxfId="14" priority="6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InsererLigneMultip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A306-F18D-469D-9A3D-D9F8C14BB495}">
  <sheetPr codeName="Feuil15">
    <tabColor theme="7" tint="0.79998168889431442"/>
  </sheetPr>
  <dimension ref="A3:L41"/>
  <sheetViews>
    <sheetView workbookViewId="0">
      <selection activeCell="O31" sqref="O31"/>
    </sheetView>
  </sheetViews>
  <sheetFormatPr baseColWidth="10" defaultColWidth="11.42578125" defaultRowHeight="15" x14ac:dyDescent="0.25"/>
  <cols>
    <col min="1" max="1" width="2.85546875" style="59" customWidth="1"/>
    <col min="10" max="10" width="15.28515625" bestFit="1" customWidth="1"/>
    <col min="11" max="12" width="12" bestFit="1" customWidth="1"/>
  </cols>
  <sheetData>
    <row r="3" spans="1:12" ht="15.75" thickBot="1" x14ac:dyDescent="0.3">
      <c r="B3" s="98"/>
      <c r="C3" s="99"/>
      <c r="D3" s="99"/>
      <c r="E3" s="98"/>
      <c r="F3" s="99"/>
      <c r="G3" s="98"/>
      <c r="H3" s="98"/>
      <c r="I3" s="98"/>
      <c r="J3" s="98"/>
      <c r="K3" s="99"/>
      <c r="L3" s="98"/>
    </row>
    <row r="4" spans="1:12" ht="45.75" thickBot="1" x14ac:dyDescent="0.3">
      <c r="B4" s="63" t="s">
        <v>449</v>
      </c>
      <c r="C4" s="63" t="s">
        <v>451</v>
      </c>
      <c r="D4" s="63" t="s">
        <v>542</v>
      </c>
      <c r="E4" s="63" t="s">
        <v>543</v>
      </c>
      <c r="F4" s="63" t="s">
        <v>544</v>
      </c>
      <c r="G4" s="63" t="s">
        <v>545</v>
      </c>
      <c r="H4" s="63" t="s">
        <v>329</v>
      </c>
      <c r="I4" s="63" t="s">
        <v>576</v>
      </c>
      <c r="J4" s="63" t="s">
        <v>577</v>
      </c>
      <c r="K4" s="46" t="s">
        <v>551</v>
      </c>
      <c r="L4" s="46" t="s">
        <v>552</v>
      </c>
    </row>
    <row r="5" spans="1:12" ht="15.75" x14ac:dyDescent="0.3">
      <c r="A5" s="59">
        <f>IF(L5&gt;K5,1,0)</f>
        <v>0</v>
      </c>
      <c r="B5" s="83" t="b">
        <v>1</v>
      </c>
      <c r="C5" s="11"/>
      <c r="D5" s="11" t="s">
        <v>1346</v>
      </c>
      <c r="E5" s="11"/>
      <c r="F5" s="94"/>
      <c r="G5" s="94">
        <v>45660</v>
      </c>
      <c r="H5" s="11" t="s">
        <v>1344</v>
      </c>
      <c r="I5" s="11" t="s">
        <v>20</v>
      </c>
      <c r="J5" s="11" t="s">
        <v>1345</v>
      </c>
      <c r="K5" s="516">
        <v>740</v>
      </c>
      <c r="L5" s="516">
        <v>740</v>
      </c>
    </row>
    <row r="6" spans="1:12" ht="15.75" x14ac:dyDescent="0.3">
      <c r="A6" s="59">
        <f t="shared" ref="A6:A15" si="0">IF(L6&gt;K6,1,0)</f>
        <v>0</v>
      </c>
      <c r="B6" s="83" t="b">
        <v>1</v>
      </c>
      <c r="C6" s="11"/>
      <c r="D6" s="11" t="s">
        <v>1348</v>
      </c>
      <c r="E6" s="11"/>
      <c r="F6" s="94"/>
      <c r="G6" s="94">
        <v>45687</v>
      </c>
      <c r="H6" s="11" t="s">
        <v>1347</v>
      </c>
      <c r="I6" s="11" t="s">
        <v>20</v>
      </c>
      <c r="J6" s="11" t="s">
        <v>1345</v>
      </c>
      <c r="K6" s="516">
        <v>1124</v>
      </c>
      <c r="L6" s="516">
        <f>K6</f>
        <v>1124</v>
      </c>
    </row>
    <row r="7" spans="1:12" ht="15.75" hidden="1" x14ac:dyDescent="0.3">
      <c r="A7" s="59">
        <f t="shared" si="0"/>
        <v>0</v>
      </c>
      <c r="B7" s="83" t="b">
        <v>1</v>
      </c>
      <c r="C7" s="11"/>
      <c r="D7" s="11"/>
      <c r="E7" s="11"/>
      <c r="F7" s="94"/>
      <c r="G7" s="94"/>
      <c r="H7" s="11"/>
      <c r="I7" s="11"/>
      <c r="J7" s="11"/>
      <c r="K7" s="516"/>
      <c r="L7" s="516">
        <f t="shared" ref="L7:L13" si="1">K7</f>
        <v>0</v>
      </c>
    </row>
    <row r="8" spans="1:12" ht="15.75" hidden="1" x14ac:dyDescent="0.3">
      <c r="A8" s="59">
        <f t="shared" si="0"/>
        <v>0</v>
      </c>
      <c r="B8" s="83" t="b">
        <v>0</v>
      </c>
      <c r="C8" s="11"/>
      <c r="D8" s="11"/>
      <c r="E8" s="11"/>
      <c r="F8" s="94"/>
      <c r="G8" s="94"/>
      <c r="H8" s="11"/>
      <c r="I8" s="11"/>
      <c r="J8" s="11"/>
      <c r="K8" s="516"/>
      <c r="L8" s="516">
        <f t="shared" si="1"/>
        <v>0</v>
      </c>
    </row>
    <row r="9" spans="1:12" ht="15.75" hidden="1" x14ac:dyDescent="0.3">
      <c r="A9" s="59">
        <f t="shared" si="0"/>
        <v>0</v>
      </c>
      <c r="B9" s="83" t="b">
        <v>0</v>
      </c>
      <c r="C9" s="11"/>
      <c r="D9" s="11"/>
      <c r="E9" s="11"/>
      <c r="F9" s="94"/>
      <c r="G9" s="94"/>
      <c r="H9" s="11"/>
      <c r="I9" s="11"/>
      <c r="J9" s="11"/>
      <c r="K9" s="516"/>
      <c r="L9" s="516">
        <f t="shared" si="1"/>
        <v>0</v>
      </c>
    </row>
    <row r="10" spans="1:12" ht="15.75" hidden="1" x14ac:dyDescent="0.3">
      <c r="A10" s="59">
        <f t="shared" si="0"/>
        <v>0</v>
      </c>
      <c r="B10" s="83" t="b">
        <v>0</v>
      </c>
      <c r="C10" s="11"/>
      <c r="D10" s="11"/>
      <c r="E10" s="11"/>
      <c r="F10" s="94"/>
      <c r="G10" s="94"/>
      <c r="H10" s="11"/>
      <c r="I10" s="11"/>
      <c r="J10" s="11"/>
      <c r="K10" s="516"/>
      <c r="L10" s="516">
        <f t="shared" si="1"/>
        <v>0</v>
      </c>
    </row>
    <row r="11" spans="1:12" ht="15.75" hidden="1" x14ac:dyDescent="0.3">
      <c r="A11" s="59">
        <f t="shared" si="0"/>
        <v>0</v>
      </c>
      <c r="B11" s="83" t="b">
        <v>0</v>
      </c>
      <c r="C11" s="11"/>
      <c r="D11" s="11"/>
      <c r="E11" s="11"/>
      <c r="F11" s="94"/>
      <c r="G11" s="94"/>
      <c r="H11" s="11"/>
      <c r="I11" s="11"/>
      <c r="J11" s="11"/>
      <c r="K11" s="516"/>
      <c r="L11" s="516">
        <f t="shared" si="1"/>
        <v>0</v>
      </c>
    </row>
    <row r="12" spans="1:12" ht="15.75" hidden="1" x14ac:dyDescent="0.3">
      <c r="A12" s="59">
        <f t="shared" si="0"/>
        <v>0</v>
      </c>
      <c r="B12" s="83" t="b">
        <v>0</v>
      </c>
      <c r="C12" s="11"/>
      <c r="D12" s="11"/>
      <c r="E12" s="11"/>
      <c r="F12" s="94"/>
      <c r="G12" s="94"/>
      <c r="H12" s="11"/>
      <c r="I12" s="11"/>
      <c r="J12" s="11"/>
      <c r="K12" s="516"/>
      <c r="L12" s="516">
        <f t="shared" si="1"/>
        <v>0</v>
      </c>
    </row>
    <row r="13" spans="1:12" ht="15.75" hidden="1" x14ac:dyDescent="0.3">
      <c r="A13" s="59">
        <f t="shared" si="0"/>
        <v>0</v>
      </c>
      <c r="B13" s="83" t="b">
        <v>0</v>
      </c>
      <c r="C13" s="11"/>
      <c r="D13" s="11"/>
      <c r="E13" s="11"/>
      <c r="F13" s="94"/>
      <c r="G13" s="94"/>
      <c r="H13" s="11"/>
      <c r="I13" s="11"/>
      <c r="J13" s="11"/>
      <c r="K13" s="516"/>
      <c r="L13" s="516">
        <f t="shared" si="1"/>
        <v>0</v>
      </c>
    </row>
    <row r="14" spans="1:12" ht="15.75" hidden="1" x14ac:dyDescent="0.3">
      <c r="A14" s="59">
        <f t="shared" si="0"/>
        <v>0</v>
      </c>
      <c r="B14" s="83" t="b">
        <v>0</v>
      </c>
      <c r="C14" s="11"/>
      <c r="D14" s="11"/>
      <c r="E14" s="11"/>
      <c r="F14" s="94"/>
      <c r="G14" s="94"/>
      <c r="H14" s="11"/>
      <c r="I14" s="11"/>
      <c r="J14" s="11"/>
      <c r="K14" s="516"/>
      <c r="L14" s="516"/>
    </row>
    <row r="15" spans="1:12" ht="15.75" hidden="1" x14ac:dyDescent="0.3">
      <c r="A15" s="59">
        <f t="shared" si="0"/>
        <v>0</v>
      </c>
      <c r="B15" s="83" t="b">
        <v>0</v>
      </c>
      <c r="C15" s="11"/>
      <c r="D15" s="11"/>
      <c r="E15" s="11"/>
      <c r="F15" s="94"/>
      <c r="G15" s="94"/>
      <c r="H15" s="11"/>
      <c r="I15" s="11"/>
      <c r="J15" s="11"/>
      <c r="K15" s="516"/>
      <c r="L15" s="516"/>
    </row>
    <row r="16" spans="1:12" ht="15.75" thickBot="1" x14ac:dyDescent="0.3">
      <c r="B16" s="147"/>
      <c r="C16" s="147"/>
      <c r="D16" s="147"/>
      <c r="E16" s="147"/>
      <c r="F16" s="147"/>
      <c r="G16" s="147"/>
      <c r="H16" s="147"/>
      <c r="I16" s="147"/>
      <c r="J16" s="64" t="s">
        <v>555</v>
      </c>
      <c r="K16" s="511">
        <f>SUM(K5:K15)</f>
        <v>1864</v>
      </c>
      <c r="L16" s="511">
        <f>SUM(L5:L15)</f>
        <v>1864</v>
      </c>
    </row>
    <row r="23" spans="2:12" ht="15.75" thickBot="1" x14ac:dyDescent="0.3">
      <c r="B23" s="98"/>
      <c r="C23" s="98"/>
      <c r="D23" s="98"/>
      <c r="E23" s="98"/>
      <c r="F23" s="98"/>
      <c r="H23" s="98"/>
    </row>
    <row r="24" spans="2:12" ht="30.75" thickBot="1" x14ac:dyDescent="0.3">
      <c r="B24" s="63" t="s">
        <v>578</v>
      </c>
      <c r="C24" s="63" t="s">
        <v>579</v>
      </c>
      <c r="D24" s="63" t="s">
        <v>580</v>
      </c>
      <c r="E24" s="63" t="s">
        <v>581</v>
      </c>
      <c r="F24" s="63" t="s">
        <v>367</v>
      </c>
      <c r="G24" s="63" t="s">
        <v>368</v>
      </c>
      <c r="H24" s="63" t="s">
        <v>582</v>
      </c>
      <c r="I24" s="63" t="s">
        <v>583</v>
      </c>
      <c r="J24" s="63" t="s">
        <v>584</v>
      </c>
    </row>
    <row r="25" spans="2:12" ht="15.75" x14ac:dyDescent="0.3">
      <c r="B25" s="11"/>
      <c r="C25" s="11"/>
      <c r="D25" s="94"/>
      <c r="E25" s="11"/>
      <c r="F25" s="11"/>
      <c r="G25" s="40" t="str">
        <f>IF(ISBLANK(F25),"",VLOOKUP(F25,VALO_PERSO!G:H,2,0))</f>
        <v/>
      </c>
      <c r="H25" s="11"/>
      <c r="I25" s="40" t="str">
        <f>IF(ISBLANK(F25),"",VLOOKUP(F25,VALO_PERSO!G:X,18,0))</f>
        <v/>
      </c>
      <c r="J25" s="11" t="str">
        <f>IF(ISBLANK(B25),"",IF(B25=parametrage!$G$3,'VALO-autres dépenses CIR'!H25*'VALO-autres dépenses CIR'!I25*0.65,'VALO-autres dépenses CIR'!H25*'VALO-autres dépenses CIR'!I25))</f>
        <v/>
      </c>
      <c r="L25" s="172"/>
    </row>
    <row r="26" spans="2:12" ht="15.75" x14ac:dyDescent="0.3">
      <c r="B26" s="11"/>
      <c r="C26" s="11"/>
      <c r="D26" s="94"/>
      <c r="E26" s="11"/>
      <c r="F26" s="11"/>
      <c r="G26" s="40" t="str">
        <f>IF(ISBLANK(F26),"",VLOOKUP(F26,VALO_PERSO!G:H,2,0))</f>
        <v/>
      </c>
      <c r="H26" s="11"/>
      <c r="I26" s="40"/>
      <c r="J26" s="11"/>
    </row>
    <row r="27" spans="2:12" ht="15.75" x14ac:dyDescent="0.3">
      <c r="B27" s="11"/>
      <c r="C27" s="11"/>
      <c r="D27" s="94"/>
      <c r="E27" s="11"/>
      <c r="F27" s="11"/>
      <c r="G27" s="40" t="str">
        <f>IF(ISBLANK(F27),"",VLOOKUP(F27,VALO_PERSO!G:H,2,0))</f>
        <v/>
      </c>
      <c r="H27" s="11"/>
      <c r="I27" s="40"/>
      <c r="J27" s="11"/>
    </row>
    <row r="28" spans="2:12" ht="15.75" x14ac:dyDescent="0.3">
      <c r="B28" s="11"/>
      <c r="C28" s="11"/>
      <c r="D28" s="94"/>
      <c r="E28" s="11"/>
      <c r="F28" s="11"/>
      <c r="G28" s="40" t="str">
        <f>IF(ISBLANK(F28),"",VLOOKUP(F28,VALO_PERSO!G:H,2,0))</f>
        <v/>
      </c>
      <c r="H28" s="11"/>
      <c r="I28" s="40"/>
      <c r="J28" s="11"/>
    </row>
    <row r="29" spans="2:12" ht="15.75" x14ac:dyDescent="0.3">
      <c r="B29" s="11"/>
      <c r="C29" s="11"/>
      <c r="D29" s="94"/>
      <c r="E29" s="11"/>
      <c r="F29" s="11"/>
      <c r="G29" s="40" t="str">
        <f>IF(ISBLANK(F29),"",VLOOKUP(F29,VALO_PERSO!G:H,2,0))</f>
        <v/>
      </c>
      <c r="H29" s="11"/>
      <c r="I29" s="40"/>
      <c r="J29" s="11"/>
    </row>
    <row r="30" spans="2:12" ht="15.75" x14ac:dyDescent="0.3">
      <c r="B30" s="11"/>
      <c r="C30" s="11"/>
      <c r="D30" s="94"/>
      <c r="E30" s="11"/>
      <c r="F30" s="11"/>
      <c r="G30" s="40" t="str">
        <f>IF(ISBLANK(F30),"",VLOOKUP(F30,VALO_PERSO!G:H,2,0))</f>
        <v/>
      </c>
      <c r="H30" s="11"/>
      <c r="I30" s="40"/>
      <c r="J30" s="11"/>
    </row>
    <row r="31" spans="2:12" ht="15.75" x14ac:dyDescent="0.3">
      <c r="B31" s="11"/>
      <c r="C31" s="11"/>
      <c r="D31" s="94"/>
      <c r="E31" s="11"/>
      <c r="F31" s="11"/>
      <c r="G31" s="40" t="str">
        <f>IF(ISBLANK(F31),"",VLOOKUP(F31,VALO_PERSO!G:H,2,0))</f>
        <v/>
      </c>
      <c r="H31" s="11"/>
      <c r="I31" s="40"/>
      <c r="J31" s="11"/>
    </row>
    <row r="32" spans="2:12" ht="15.75" x14ac:dyDescent="0.3">
      <c r="B32" s="11"/>
      <c r="C32" s="11"/>
      <c r="D32" s="94"/>
      <c r="E32" s="11"/>
      <c r="F32" s="11"/>
      <c r="G32" s="40" t="str">
        <f>IF(ISBLANK(F32),"",VLOOKUP(F32,VALO_PERSO!G:H,2,0))</f>
        <v/>
      </c>
      <c r="H32" s="11"/>
      <c r="I32" s="40"/>
      <c r="J32" s="11"/>
    </row>
    <row r="33" spans="2:10" ht="15.75" x14ac:dyDescent="0.3">
      <c r="B33" s="11"/>
      <c r="C33" s="11"/>
      <c r="D33" s="94"/>
      <c r="E33" s="11"/>
      <c r="F33" s="11"/>
      <c r="G33" s="40" t="str">
        <f>IF(ISBLANK(F33),"",VLOOKUP(F33,VALO_PERSO!G:H,2,0))</f>
        <v/>
      </c>
      <c r="H33" s="11"/>
      <c r="I33" s="40"/>
      <c r="J33" s="11"/>
    </row>
    <row r="34" spans="2:10" ht="15.75" x14ac:dyDescent="0.3">
      <c r="B34" s="11"/>
      <c r="C34" s="11"/>
      <c r="D34" s="94"/>
      <c r="E34" s="11"/>
      <c r="F34" s="11"/>
      <c r="G34" s="40" t="str">
        <f>IF(ISBLANK(F34),"",VLOOKUP(F34,VALO_PERSO!G:H,2,0))</f>
        <v/>
      </c>
      <c r="H34" s="11"/>
      <c r="I34" s="40"/>
      <c r="J34" s="11"/>
    </row>
    <row r="35" spans="2:10" ht="15.75" x14ac:dyDescent="0.3">
      <c r="B35" s="11"/>
      <c r="C35" s="11"/>
      <c r="D35" s="94"/>
      <c r="E35" s="11"/>
      <c r="F35" s="11"/>
      <c r="G35" s="40" t="str">
        <f>IF(ISBLANK(F35),"",VLOOKUP(F35,VALO_PERSO!G:H,2,0))</f>
        <v/>
      </c>
      <c r="H35" s="11"/>
      <c r="I35" s="40"/>
      <c r="J35" s="11"/>
    </row>
    <row r="36" spans="2:10" ht="15.75" thickBot="1" x14ac:dyDescent="0.3">
      <c r="B36" s="147"/>
      <c r="C36" s="147"/>
      <c r="D36" s="147"/>
      <c r="E36" s="147"/>
      <c r="F36" s="147"/>
      <c r="G36" s="147"/>
      <c r="H36" s="147"/>
      <c r="I36" s="64" t="s">
        <v>555</v>
      </c>
      <c r="J36" s="97">
        <f>SUM(J25:J35)</f>
        <v>0</v>
      </c>
    </row>
    <row r="38" spans="2:10" ht="15.75" thickBot="1" x14ac:dyDescent="0.3">
      <c r="F38" s="147"/>
      <c r="G38" s="147"/>
      <c r="H38" s="147"/>
      <c r="I38" s="147" t="s">
        <v>403</v>
      </c>
      <c r="J38" s="97">
        <f>SUMIF(B:B,parametrage!$G$3,'VALO-autres dépenses CIR'!J:J)</f>
        <v>0</v>
      </c>
    </row>
    <row r="39" spans="2:10" ht="15.75" thickBot="1" x14ac:dyDescent="0.3">
      <c r="F39" s="147"/>
      <c r="G39" s="147"/>
      <c r="H39" s="147"/>
      <c r="I39" s="147" t="s">
        <v>585</v>
      </c>
      <c r="J39" s="97">
        <f>SUMIF(B:B,parametrage!$G$4,'VALO-autres dépenses CIR'!J:J)</f>
        <v>0</v>
      </c>
    </row>
    <row r="40" spans="2:10" ht="15.75" thickBot="1" x14ac:dyDescent="0.3">
      <c r="F40" s="147"/>
      <c r="G40" s="147"/>
      <c r="H40" s="147"/>
      <c r="I40" s="147" t="s">
        <v>586</v>
      </c>
      <c r="J40" s="97">
        <f>L16+SUMIF(B:B,parametrage!$G$2,'VALO-autres dépenses CIR'!J:J)</f>
        <v>1864</v>
      </c>
    </row>
    <row r="41" spans="2:10" ht="15.75" thickBot="1" x14ac:dyDescent="0.3">
      <c r="F41" s="147"/>
      <c r="G41" s="147"/>
      <c r="H41" s="147"/>
      <c r="I41" s="147" t="s">
        <v>587</v>
      </c>
      <c r="J41" s="97">
        <f>IF(J40&gt;60000,60000,J40)</f>
        <v>1864</v>
      </c>
    </row>
  </sheetData>
  <phoneticPr fontId="8" type="noConversion"/>
  <conditionalFormatting sqref="D4">
    <cfRule type="duplicateValues" dxfId="13" priority="8"/>
  </conditionalFormatting>
  <conditionalFormatting sqref="C5:G5">
    <cfRule type="expression" dxfId="12" priority="7">
      <formula>$A5&gt;0</formula>
    </cfRule>
  </conditionalFormatting>
  <conditionalFormatting sqref="D5:D15">
    <cfRule type="duplicateValues" dxfId="11" priority="6"/>
  </conditionalFormatting>
  <conditionalFormatting sqref="C6:G15">
    <cfRule type="expression" dxfId="10" priority="5">
      <formula>$A6&gt;0</formula>
    </cfRule>
  </conditionalFormatting>
  <conditionalFormatting sqref="D3">
    <cfRule type="duplicateValues" dxfId="9" priority="4"/>
  </conditionalFormatting>
  <conditionalFormatting sqref="F25:G35">
    <cfRule type="expression" dxfId="8" priority="1">
      <formula>$A25&gt;0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InsererLigneMultipl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3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26DCA-D02C-46B7-98B9-4D8F2E14E221}">
          <x14:formula1>
            <xm:f>parametrage!$L$2:$L$5</xm:f>
          </x14:formula1>
          <xm:sqref>I5:I7</xm:sqref>
        </x14:dataValidation>
        <x14:dataValidation type="list" allowBlank="1" showInputMessage="1" showErrorMessage="1" xr:uid="{56053EB1-538C-410B-BCBA-9F80F1987D11}">
          <x14:formula1>
            <xm:f>parametrage!$G$2:$G$4</xm:f>
          </x14:formula1>
          <xm:sqref>B25:B35</xm:sqref>
        </x14:dataValidation>
        <x14:dataValidation type="list" allowBlank="1" showInputMessage="1" showErrorMessage="1" xr:uid="{B958D38D-67A0-44BB-9D08-46F064EB4713}">
          <x14:formula1>
            <xm:f>VALO_PERSO!$G:$G</xm:f>
          </x14:formula1>
          <xm:sqref>F25:F35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8FBA-0371-4E51-ABA7-531B2629DEEF}">
  <sheetPr codeName="Feuil29">
    <tabColor rgb="FF2D44EA"/>
  </sheetPr>
  <dimension ref="B1:P18"/>
  <sheetViews>
    <sheetView workbookViewId="0">
      <selection activeCell="T37" sqref="T37"/>
    </sheetView>
  </sheetViews>
  <sheetFormatPr baseColWidth="10" defaultColWidth="11.42578125" defaultRowHeight="15" x14ac:dyDescent="0.25"/>
  <cols>
    <col min="2" max="2" width="13.5703125" customWidth="1"/>
    <col min="3" max="3" width="18" customWidth="1"/>
    <col min="7" max="16" width="0" hidden="1" customWidth="1"/>
  </cols>
  <sheetData>
    <row r="1" spans="2:16" ht="30" x14ac:dyDescent="0.25">
      <c r="B1" s="451" t="s">
        <v>329</v>
      </c>
      <c r="C1" s="451" t="s">
        <v>576</v>
      </c>
      <c r="D1" s="451" t="s">
        <v>577</v>
      </c>
      <c r="E1" s="451" t="s">
        <v>552</v>
      </c>
      <c r="H1" s="451" t="s">
        <v>578</v>
      </c>
      <c r="I1" s="451" t="s">
        <v>579</v>
      </c>
      <c r="J1" s="451" t="s">
        <v>580</v>
      </c>
      <c r="K1" s="451" t="s">
        <v>581</v>
      </c>
      <c r="L1" s="451" t="s">
        <v>367</v>
      </c>
      <c r="M1" s="451" t="s">
        <v>368</v>
      </c>
      <c r="N1" s="451" t="s">
        <v>582</v>
      </c>
      <c r="O1" s="451" t="s">
        <v>583</v>
      </c>
      <c r="P1" s="451" t="s">
        <v>584</v>
      </c>
    </row>
    <row r="2" spans="2:16" ht="15.75" x14ac:dyDescent="0.3">
      <c r="B2" s="454" t="str">
        <f>'VALO-autres dépenses CIR'!H5</f>
        <v>BIOECONOMY FOR CHANGE</v>
      </c>
      <c r="C2" s="454" t="str">
        <f>'VALO-autres dépenses CIR'!I5</f>
        <v>Abonnement revues scientifiques</v>
      </c>
      <c r="D2" s="454" t="str">
        <f>'VALO-autres dépenses CIR'!J5</f>
        <v>Cotisation 2025</v>
      </c>
      <c r="E2" s="454">
        <f>'VALO-autres dépenses CIR'!L5</f>
        <v>740</v>
      </c>
      <c r="H2" s="453">
        <f>'VALO-autres dépenses CIR'!B25</f>
        <v>0</v>
      </c>
      <c r="I2" s="453">
        <f>'VALO-autres dépenses CIR'!C25</f>
        <v>0</v>
      </c>
      <c r="J2" s="453">
        <f>'VALO-autres dépenses CIR'!D25</f>
        <v>0</v>
      </c>
      <c r="K2" s="453">
        <f>'VALO-autres dépenses CIR'!E25</f>
        <v>0</v>
      </c>
      <c r="L2" s="453">
        <f>'VALO-autres dépenses CIR'!F25</f>
        <v>0</v>
      </c>
      <c r="M2" s="453" t="str">
        <f>'VALO-autres dépenses CIR'!G25</f>
        <v/>
      </c>
      <c r="N2" s="453">
        <f>'VALO-autres dépenses CIR'!H25</f>
        <v>0</v>
      </c>
      <c r="O2" s="453" t="str">
        <f>'VALO-autres dépenses CIR'!I25</f>
        <v/>
      </c>
      <c r="P2" s="453" t="str">
        <f>'VALO-autres dépenses CIR'!J25</f>
        <v/>
      </c>
    </row>
    <row r="3" spans="2:16" ht="15.75" x14ac:dyDescent="0.3">
      <c r="B3" s="454" t="str">
        <f>'VALO-autres dépenses CIR'!H6</f>
        <v>AXELERA</v>
      </c>
      <c r="C3" s="454" t="str">
        <f>'VALO-autres dépenses CIR'!I6</f>
        <v>Abonnement revues scientifiques</v>
      </c>
      <c r="D3" s="454" t="str">
        <f>'VALO-autres dépenses CIR'!J6</f>
        <v>Cotisation 2025</v>
      </c>
      <c r="E3" s="454">
        <f>'VALO-autres dépenses CIR'!L6</f>
        <v>1124</v>
      </c>
      <c r="H3" s="453">
        <f>'VALO-autres dépenses CIR'!B26</f>
        <v>0</v>
      </c>
      <c r="I3" s="453">
        <f>'VALO-autres dépenses CIR'!C26</f>
        <v>0</v>
      </c>
      <c r="J3" s="453">
        <f>'VALO-autres dépenses CIR'!D26</f>
        <v>0</v>
      </c>
      <c r="K3" s="453">
        <f>'VALO-autres dépenses CIR'!E26</f>
        <v>0</v>
      </c>
      <c r="L3" s="453">
        <f>'VALO-autres dépenses CIR'!F26</f>
        <v>0</v>
      </c>
      <c r="M3" s="453" t="str">
        <f>'VALO-autres dépenses CIR'!G26</f>
        <v/>
      </c>
      <c r="N3" s="453">
        <f>'VALO-autres dépenses CIR'!H26</f>
        <v>0</v>
      </c>
      <c r="O3" s="453">
        <f>'VALO-autres dépenses CIR'!I26</f>
        <v>0</v>
      </c>
      <c r="P3" s="453">
        <f>'VALO-autres dépenses CIR'!J26</f>
        <v>0</v>
      </c>
    </row>
    <row r="4" spans="2:16" ht="15.75" hidden="1" x14ac:dyDescent="0.3">
      <c r="B4" s="454">
        <f>'VALO-autres dépenses CIR'!H7</f>
        <v>0</v>
      </c>
      <c r="C4" s="454">
        <f>'VALO-autres dépenses CIR'!I7</f>
        <v>0</v>
      </c>
      <c r="D4" s="454">
        <f>'VALO-autres dépenses CIR'!J7</f>
        <v>0</v>
      </c>
      <c r="E4" s="454">
        <f>'VALO-autres dépenses CIR'!L7</f>
        <v>0</v>
      </c>
      <c r="H4" s="453">
        <f>'VALO-autres dépenses CIR'!B27</f>
        <v>0</v>
      </c>
      <c r="I4" s="453">
        <f>'VALO-autres dépenses CIR'!C27</f>
        <v>0</v>
      </c>
      <c r="J4" s="453">
        <f>'VALO-autres dépenses CIR'!D27</f>
        <v>0</v>
      </c>
      <c r="K4" s="453">
        <f>'VALO-autres dépenses CIR'!E27</f>
        <v>0</v>
      </c>
      <c r="L4" s="453">
        <f>'VALO-autres dépenses CIR'!F27</f>
        <v>0</v>
      </c>
      <c r="M4" s="453" t="str">
        <f>'VALO-autres dépenses CIR'!G27</f>
        <v/>
      </c>
      <c r="N4" s="453">
        <f>'VALO-autres dépenses CIR'!H27</f>
        <v>0</v>
      </c>
      <c r="O4" s="453">
        <f>'VALO-autres dépenses CIR'!I27</f>
        <v>0</v>
      </c>
      <c r="P4" s="453">
        <f>'VALO-autres dépenses CIR'!J27</f>
        <v>0</v>
      </c>
    </row>
    <row r="5" spans="2:16" ht="15.75" hidden="1" x14ac:dyDescent="0.3">
      <c r="B5" s="454">
        <f>'VALO-autres dépenses CIR'!H8</f>
        <v>0</v>
      </c>
      <c r="C5" s="454">
        <f>'VALO-autres dépenses CIR'!I8</f>
        <v>0</v>
      </c>
      <c r="D5" s="454">
        <f>'VALO-autres dépenses CIR'!J8</f>
        <v>0</v>
      </c>
      <c r="E5" s="454">
        <f>'VALO-autres dépenses CIR'!L8</f>
        <v>0</v>
      </c>
      <c r="H5" s="453">
        <f>'VALO-autres dépenses CIR'!B28</f>
        <v>0</v>
      </c>
      <c r="I5" s="453">
        <f>'VALO-autres dépenses CIR'!C28</f>
        <v>0</v>
      </c>
      <c r="J5" s="453">
        <f>'VALO-autres dépenses CIR'!D28</f>
        <v>0</v>
      </c>
      <c r="K5" s="453">
        <f>'VALO-autres dépenses CIR'!E28</f>
        <v>0</v>
      </c>
      <c r="L5" s="453">
        <f>'VALO-autres dépenses CIR'!F28</f>
        <v>0</v>
      </c>
      <c r="M5" s="453" t="str">
        <f>'VALO-autres dépenses CIR'!G28</f>
        <v/>
      </c>
      <c r="N5" s="453">
        <f>'VALO-autres dépenses CIR'!H28</f>
        <v>0</v>
      </c>
      <c r="O5" s="453">
        <f>'VALO-autres dépenses CIR'!I28</f>
        <v>0</v>
      </c>
      <c r="P5" s="453">
        <f>'VALO-autres dépenses CIR'!J28</f>
        <v>0</v>
      </c>
    </row>
    <row r="6" spans="2:16" ht="15.75" hidden="1" x14ac:dyDescent="0.3">
      <c r="B6" s="454">
        <f>'VALO-autres dépenses CIR'!H9</f>
        <v>0</v>
      </c>
      <c r="C6" s="454">
        <f>'VALO-autres dépenses CIR'!I9</f>
        <v>0</v>
      </c>
      <c r="D6" s="454">
        <f>'VALO-autres dépenses CIR'!J9</f>
        <v>0</v>
      </c>
      <c r="E6" s="454">
        <f>'VALO-autres dépenses CIR'!L9</f>
        <v>0</v>
      </c>
      <c r="H6" s="453">
        <f>'VALO-autres dépenses CIR'!B29</f>
        <v>0</v>
      </c>
      <c r="I6" s="453">
        <f>'VALO-autres dépenses CIR'!C29</f>
        <v>0</v>
      </c>
      <c r="J6" s="453">
        <f>'VALO-autres dépenses CIR'!D29</f>
        <v>0</v>
      </c>
      <c r="K6" s="453">
        <f>'VALO-autres dépenses CIR'!E29</f>
        <v>0</v>
      </c>
      <c r="L6" s="453">
        <f>'VALO-autres dépenses CIR'!F29</f>
        <v>0</v>
      </c>
      <c r="M6" s="453" t="str">
        <f>'VALO-autres dépenses CIR'!G29</f>
        <v/>
      </c>
      <c r="N6" s="453">
        <f>'VALO-autres dépenses CIR'!H29</f>
        <v>0</v>
      </c>
      <c r="O6" s="453">
        <f>'VALO-autres dépenses CIR'!I29</f>
        <v>0</v>
      </c>
      <c r="P6" s="453">
        <f>'VALO-autres dépenses CIR'!J29</f>
        <v>0</v>
      </c>
    </row>
    <row r="7" spans="2:16" ht="15.75" hidden="1" x14ac:dyDescent="0.3">
      <c r="B7" s="454">
        <f>'VALO-autres dépenses CIR'!H10</f>
        <v>0</v>
      </c>
      <c r="C7" s="454">
        <f>'VALO-autres dépenses CIR'!I10</f>
        <v>0</v>
      </c>
      <c r="D7" s="454">
        <f>'VALO-autres dépenses CIR'!J10</f>
        <v>0</v>
      </c>
      <c r="E7" s="454">
        <f>'VALO-autres dépenses CIR'!L10</f>
        <v>0</v>
      </c>
      <c r="H7" s="453">
        <f>'VALO-autres dépenses CIR'!B30</f>
        <v>0</v>
      </c>
      <c r="I7" s="453">
        <f>'VALO-autres dépenses CIR'!C30</f>
        <v>0</v>
      </c>
      <c r="J7" s="453">
        <f>'VALO-autres dépenses CIR'!D30</f>
        <v>0</v>
      </c>
      <c r="K7" s="453">
        <f>'VALO-autres dépenses CIR'!E30</f>
        <v>0</v>
      </c>
      <c r="L7" s="453">
        <f>'VALO-autres dépenses CIR'!F30</f>
        <v>0</v>
      </c>
      <c r="M7" s="453" t="str">
        <f>'VALO-autres dépenses CIR'!G30</f>
        <v/>
      </c>
      <c r="N7" s="453">
        <f>'VALO-autres dépenses CIR'!H30</f>
        <v>0</v>
      </c>
      <c r="O7" s="453">
        <f>'VALO-autres dépenses CIR'!I30</f>
        <v>0</v>
      </c>
      <c r="P7" s="453">
        <f>'VALO-autres dépenses CIR'!J30</f>
        <v>0</v>
      </c>
    </row>
    <row r="8" spans="2:16" ht="15.75" hidden="1" x14ac:dyDescent="0.3">
      <c r="B8" s="454">
        <f>'VALO-autres dépenses CIR'!H11</f>
        <v>0</v>
      </c>
      <c r="C8" s="454">
        <f>'VALO-autres dépenses CIR'!I11</f>
        <v>0</v>
      </c>
      <c r="D8" s="454">
        <f>'VALO-autres dépenses CIR'!J11</f>
        <v>0</v>
      </c>
      <c r="E8" s="454">
        <f>'VALO-autres dépenses CIR'!L11</f>
        <v>0</v>
      </c>
      <c r="H8" s="453">
        <f>'VALO-autres dépenses CIR'!B31</f>
        <v>0</v>
      </c>
      <c r="I8" s="453">
        <f>'VALO-autres dépenses CIR'!C31</f>
        <v>0</v>
      </c>
      <c r="J8" s="453">
        <f>'VALO-autres dépenses CIR'!D31</f>
        <v>0</v>
      </c>
      <c r="K8" s="453">
        <f>'VALO-autres dépenses CIR'!E31</f>
        <v>0</v>
      </c>
      <c r="L8" s="453">
        <f>'VALO-autres dépenses CIR'!F31</f>
        <v>0</v>
      </c>
      <c r="M8" s="453" t="str">
        <f>'VALO-autres dépenses CIR'!G31</f>
        <v/>
      </c>
      <c r="N8" s="453">
        <f>'VALO-autres dépenses CIR'!H31</f>
        <v>0</v>
      </c>
      <c r="O8" s="453">
        <f>'VALO-autres dépenses CIR'!I31</f>
        <v>0</v>
      </c>
      <c r="P8" s="453">
        <f>'VALO-autres dépenses CIR'!J31</f>
        <v>0</v>
      </c>
    </row>
    <row r="9" spans="2:16" ht="15.75" hidden="1" x14ac:dyDescent="0.3">
      <c r="B9" s="454">
        <f>'VALO-autres dépenses CIR'!H12</f>
        <v>0</v>
      </c>
      <c r="C9" s="454">
        <f>'VALO-autres dépenses CIR'!I12</f>
        <v>0</v>
      </c>
      <c r="D9" s="454">
        <f>'VALO-autres dépenses CIR'!J12</f>
        <v>0</v>
      </c>
      <c r="E9" s="454">
        <f>'VALO-autres dépenses CIR'!L12</f>
        <v>0</v>
      </c>
      <c r="H9" s="453">
        <f>'VALO-autres dépenses CIR'!B32</f>
        <v>0</v>
      </c>
      <c r="I9" s="453">
        <f>'VALO-autres dépenses CIR'!C32</f>
        <v>0</v>
      </c>
      <c r="J9" s="453">
        <f>'VALO-autres dépenses CIR'!D32</f>
        <v>0</v>
      </c>
      <c r="K9" s="453">
        <f>'VALO-autres dépenses CIR'!E32</f>
        <v>0</v>
      </c>
      <c r="L9" s="453">
        <f>'VALO-autres dépenses CIR'!F32</f>
        <v>0</v>
      </c>
      <c r="M9" s="453" t="str">
        <f>'VALO-autres dépenses CIR'!G32</f>
        <v/>
      </c>
      <c r="N9" s="453">
        <f>'VALO-autres dépenses CIR'!H32</f>
        <v>0</v>
      </c>
      <c r="O9" s="453">
        <f>'VALO-autres dépenses CIR'!I32</f>
        <v>0</v>
      </c>
      <c r="P9" s="453">
        <f>'VALO-autres dépenses CIR'!J32</f>
        <v>0</v>
      </c>
    </row>
    <row r="10" spans="2:16" ht="15.75" hidden="1" x14ac:dyDescent="0.3">
      <c r="B10" s="454">
        <f>'VALO-autres dépenses CIR'!H13</f>
        <v>0</v>
      </c>
      <c r="C10" s="454">
        <f>'VALO-autres dépenses CIR'!I13</f>
        <v>0</v>
      </c>
      <c r="D10" s="454">
        <f>'VALO-autres dépenses CIR'!J13</f>
        <v>0</v>
      </c>
      <c r="E10" s="454">
        <f>'VALO-autres dépenses CIR'!L13</f>
        <v>0</v>
      </c>
      <c r="H10" s="453">
        <f>'VALO-autres dépenses CIR'!B33</f>
        <v>0</v>
      </c>
      <c r="I10" s="453">
        <f>'VALO-autres dépenses CIR'!C33</f>
        <v>0</v>
      </c>
      <c r="J10" s="453">
        <f>'VALO-autres dépenses CIR'!D33</f>
        <v>0</v>
      </c>
      <c r="K10" s="453">
        <f>'VALO-autres dépenses CIR'!E33</f>
        <v>0</v>
      </c>
      <c r="L10" s="453">
        <f>'VALO-autres dépenses CIR'!F33</f>
        <v>0</v>
      </c>
      <c r="M10" s="453" t="str">
        <f>'VALO-autres dépenses CIR'!G33</f>
        <v/>
      </c>
      <c r="N10" s="453">
        <f>'VALO-autres dépenses CIR'!H33</f>
        <v>0</v>
      </c>
      <c r="O10" s="453">
        <f>'VALO-autres dépenses CIR'!I33</f>
        <v>0</v>
      </c>
      <c r="P10" s="453">
        <f>'VALO-autres dépenses CIR'!J33</f>
        <v>0</v>
      </c>
    </row>
    <row r="11" spans="2:16" ht="15.75" hidden="1" x14ac:dyDescent="0.3">
      <c r="B11" s="454">
        <f>'VALO-autres dépenses CIR'!H14</f>
        <v>0</v>
      </c>
      <c r="C11" s="454">
        <f>'VALO-autres dépenses CIR'!I14</f>
        <v>0</v>
      </c>
      <c r="D11" s="454">
        <f>'VALO-autres dépenses CIR'!J14</f>
        <v>0</v>
      </c>
      <c r="E11" s="454">
        <f>'VALO-autres dépenses CIR'!L14</f>
        <v>0</v>
      </c>
      <c r="H11" s="453">
        <f>'VALO-autres dépenses CIR'!B34</f>
        <v>0</v>
      </c>
      <c r="I11" s="453">
        <f>'VALO-autres dépenses CIR'!C34</f>
        <v>0</v>
      </c>
      <c r="J11" s="453">
        <f>'VALO-autres dépenses CIR'!D34</f>
        <v>0</v>
      </c>
      <c r="K11" s="453">
        <f>'VALO-autres dépenses CIR'!E34</f>
        <v>0</v>
      </c>
      <c r="L11" s="453">
        <f>'VALO-autres dépenses CIR'!F34</f>
        <v>0</v>
      </c>
      <c r="M11" s="453" t="str">
        <f>'VALO-autres dépenses CIR'!G34</f>
        <v/>
      </c>
      <c r="N11" s="453">
        <f>'VALO-autres dépenses CIR'!H34</f>
        <v>0</v>
      </c>
      <c r="O11" s="453">
        <f>'VALO-autres dépenses CIR'!I34</f>
        <v>0</v>
      </c>
      <c r="P11" s="453">
        <f>'VALO-autres dépenses CIR'!J34</f>
        <v>0</v>
      </c>
    </row>
    <row r="12" spans="2:16" ht="15.75" hidden="1" x14ac:dyDescent="0.3">
      <c r="B12" s="454">
        <f>'VALO-autres dépenses CIR'!H15</f>
        <v>0</v>
      </c>
      <c r="C12" s="454">
        <f>'VALO-autres dépenses CIR'!I15</f>
        <v>0</v>
      </c>
      <c r="D12" s="454">
        <f>'VALO-autres dépenses CIR'!J15</f>
        <v>0</v>
      </c>
      <c r="E12" s="454">
        <f>'VALO-autres dépenses CIR'!L15</f>
        <v>0</v>
      </c>
      <c r="H12" s="453">
        <f>'VALO-autres dépenses CIR'!B35</f>
        <v>0</v>
      </c>
      <c r="I12" s="453">
        <f>'VALO-autres dépenses CIR'!C35</f>
        <v>0</v>
      </c>
      <c r="J12" s="453">
        <f>'VALO-autres dépenses CIR'!D35</f>
        <v>0</v>
      </c>
      <c r="K12" s="453">
        <f>'VALO-autres dépenses CIR'!E35</f>
        <v>0</v>
      </c>
      <c r="L12" s="453">
        <f>'VALO-autres dépenses CIR'!F35</f>
        <v>0</v>
      </c>
      <c r="M12" s="453" t="str">
        <f>'VALO-autres dépenses CIR'!G35</f>
        <v/>
      </c>
      <c r="N12" s="453">
        <f>'VALO-autres dépenses CIR'!H35</f>
        <v>0</v>
      </c>
      <c r="O12" s="453">
        <f>'VALO-autres dépenses CIR'!I35</f>
        <v>0</v>
      </c>
      <c r="P12" s="453">
        <f>'VALO-autres dépenses CIR'!J35</f>
        <v>0</v>
      </c>
    </row>
    <row r="13" spans="2:16" ht="15.75" thickBot="1" x14ac:dyDescent="0.3">
      <c r="B13" s="452" t="s">
        <v>555</v>
      </c>
      <c r="C13" s="452"/>
      <c r="D13" s="452"/>
      <c r="E13" s="524">
        <f>SUM(E2:E12)</f>
        <v>1864</v>
      </c>
      <c r="H13" s="554" t="s">
        <v>555</v>
      </c>
      <c r="I13" s="554"/>
      <c r="J13" s="554"/>
      <c r="K13" s="554"/>
      <c r="L13" s="554"/>
      <c r="M13" s="554"/>
      <c r="N13" s="554"/>
      <c r="O13" s="554"/>
      <c r="P13" s="452">
        <v>0</v>
      </c>
    </row>
    <row r="15" spans="2:16" ht="15.75" thickBot="1" x14ac:dyDescent="0.3">
      <c r="B15" s="147"/>
      <c r="C15" s="147"/>
      <c r="D15" s="147"/>
      <c r="E15" s="147" t="s">
        <v>403</v>
      </c>
      <c r="F15" s="97">
        <f>'VALO-autres dépenses CIR'!J38</f>
        <v>0</v>
      </c>
    </row>
    <row r="16" spans="2:16" ht="15.75" thickBot="1" x14ac:dyDescent="0.3">
      <c r="B16" s="147"/>
      <c r="C16" s="147"/>
      <c r="D16" s="147"/>
      <c r="E16" s="147" t="s">
        <v>585</v>
      </c>
      <c r="F16" s="97">
        <f>'VALO-autres dépenses CIR'!J39</f>
        <v>0</v>
      </c>
    </row>
    <row r="17" spans="2:6" ht="15.75" thickBot="1" x14ac:dyDescent="0.3">
      <c r="B17" s="147"/>
      <c r="C17" s="147"/>
      <c r="D17" s="147"/>
      <c r="E17" s="147" t="s">
        <v>586</v>
      </c>
      <c r="F17" s="514">
        <f>'VALO-autres dépenses CIR'!J40</f>
        <v>1864</v>
      </c>
    </row>
    <row r="18" spans="2:6" ht="15.75" thickBot="1" x14ac:dyDescent="0.3">
      <c r="B18" s="147"/>
      <c r="C18" s="147"/>
      <c r="D18" s="147"/>
      <c r="E18" s="147" t="s">
        <v>587</v>
      </c>
      <c r="F18" s="514">
        <f>'VALO-autres dépenses CIR'!J41</f>
        <v>1864</v>
      </c>
    </row>
  </sheetData>
  <mergeCells count="1">
    <mergeCell ref="H13:O1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D22-050F-4261-8A45-8571193A3399}">
  <sheetPr codeName="Feuil17"/>
  <dimension ref="B3"/>
  <sheetViews>
    <sheetView workbookViewId="0"/>
  </sheetViews>
  <sheetFormatPr baseColWidth="10" defaultColWidth="11.42578125" defaultRowHeight="15" x14ac:dyDescent="0.25"/>
  <sheetData>
    <row r="3" spans="2:2" ht="21" x14ac:dyDescent="0.35">
      <c r="B3" s="208" t="s">
        <v>588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295D-262C-4169-AD01-B131D27F775E}">
  <sheetPr codeName="Feuil18"/>
  <dimension ref="A1:HI570"/>
  <sheetViews>
    <sheetView topLeftCell="M31" zoomScale="115" zoomScaleNormal="115" workbookViewId="0">
      <selection activeCell="Y63" sqref="Y63"/>
    </sheetView>
  </sheetViews>
  <sheetFormatPr baseColWidth="10" defaultColWidth="11.42578125" defaultRowHeight="15" x14ac:dyDescent="0.25"/>
  <cols>
    <col min="1" max="1" width="11.42578125" style="111"/>
    <col min="2" max="2" width="32.42578125" style="111" bestFit="1" customWidth="1"/>
    <col min="3" max="3" width="11.42578125" style="111"/>
    <col min="4" max="5" width="15.140625" style="111" customWidth="1"/>
    <col min="6" max="6" width="11.42578125" style="111"/>
    <col min="7" max="7" width="32.42578125" style="111" bestFit="1" customWidth="1"/>
    <col min="8" max="8" width="17.140625" style="111" customWidth="1"/>
    <col min="9" max="9" width="17.7109375" style="111" customWidth="1"/>
    <col min="10" max="15" width="11.42578125" style="111"/>
    <col min="16" max="16" width="1.28515625" style="310" customWidth="1"/>
    <col min="17" max="17" width="16" customWidth="1"/>
    <col min="18" max="18" width="26.42578125" customWidth="1"/>
    <col min="20" max="20" width="14.28515625" customWidth="1"/>
    <col min="21" max="27" width="16.85546875" customWidth="1"/>
    <col min="28" max="28" width="20.42578125" customWidth="1"/>
    <col min="36" max="36" width="17.5703125" customWidth="1"/>
    <col min="37" max="42" width="12" bestFit="1" customWidth="1"/>
    <col min="43" max="43" width="19.5703125" customWidth="1"/>
    <col min="45" max="45" width="21" customWidth="1"/>
    <col min="46" max="46" width="14.42578125" customWidth="1"/>
    <col min="47" max="47" width="14.42578125" style="111" customWidth="1"/>
    <col min="48" max="48" width="1.28515625" style="310" customWidth="1"/>
    <col min="49" max="49" width="14.42578125" style="111" customWidth="1"/>
    <col min="50" max="50" width="28.85546875" bestFit="1" customWidth="1"/>
    <col min="51" max="51" width="13.140625" bestFit="1" customWidth="1"/>
    <col min="52" max="52" width="21.5703125" bestFit="1" customWidth="1"/>
    <col min="53" max="53" width="29.140625" bestFit="1" customWidth="1"/>
    <col min="54" max="54" width="18.28515625" bestFit="1" customWidth="1"/>
    <col min="55" max="55" width="21.28515625" bestFit="1" customWidth="1"/>
    <col min="56" max="56" width="25.85546875" bestFit="1" customWidth="1"/>
    <col min="57" max="57" width="20.5703125" bestFit="1" customWidth="1"/>
    <col min="58" max="58" width="25.28515625" bestFit="1" customWidth="1"/>
    <col min="60" max="60" width="0.85546875" style="310" customWidth="1"/>
    <col min="63" max="63" width="20.7109375" bestFit="1" customWidth="1"/>
    <col min="64" max="64" width="20.85546875" bestFit="1" customWidth="1"/>
    <col min="65" max="65" width="17.28515625" bestFit="1" customWidth="1"/>
    <col min="66" max="66" width="14.140625" bestFit="1" customWidth="1"/>
    <col min="67" max="67" width="13" bestFit="1" customWidth="1"/>
    <col min="68" max="68" width="12.42578125" bestFit="1" customWidth="1"/>
    <col min="70" max="70" width="0.85546875" style="310" customWidth="1"/>
    <col min="71" max="71" width="14.85546875" bestFit="1" customWidth="1"/>
    <col min="72" max="72" width="24.28515625" bestFit="1" customWidth="1"/>
    <col min="73" max="73" width="31.7109375" bestFit="1" customWidth="1"/>
    <col min="74" max="74" width="20.28515625" bestFit="1" customWidth="1"/>
    <col min="75" max="75" width="23.85546875" style="111" bestFit="1" customWidth="1"/>
    <col min="76" max="76" width="29.140625" style="111" bestFit="1" customWidth="1"/>
    <col min="77" max="77" width="22.85546875" style="111" bestFit="1" customWidth="1"/>
    <col min="78" max="78" width="28.140625" style="111" bestFit="1" customWidth="1"/>
    <col min="79" max="81" width="11.42578125" style="111"/>
    <col min="82" max="82" width="12.85546875" style="111" bestFit="1" customWidth="1"/>
    <col min="83" max="83" width="22.42578125" style="111" bestFit="1" customWidth="1"/>
    <col min="84" max="84" width="22.5703125" style="111" bestFit="1" customWidth="1"/>
    <col min="85" max="85" width="18.28515625" style="111" bestFit="1" customWidth="1"/>
    <col min="86" max="86" width="15.42578125" style="111" bestFit="1" customWidth="1"/>
    <col min="87" max="87" width="15" style="111" bestFit="1" customWidth="1"/>
    <col min="88" max="88" width="14" style="111" bestFit="1" customWidth="1"/>
    <col min="89" max="217" width="11.42578125" style="111"/>
  </cols>
  <sheetData>
    <row r="1" spans="1:88" s="111" customFormat="1" x14ac:dyDescent="0.25">
      <c r="P1" s="310"/>
      <c r="V1" s="111" t="s">
        <v>13</v>
      </c>
      <c r="W1" s="111" t="s">
        <v>13</v>
      </c>
      <c r="X1" s="111" t="s">
        <v>13</v>
      </c>
      <c r="Y1" s="111" t="s">
        <v>13</v>
      </c>
      <c r="Z1" s="111" t="s">
        <v>13</v>
      </c>
      <c r="AA1" s="111" t="s">
        <v>13</v>
      </c>
      <c r="AC1" s="111" t="s">
        <v>27</v>
      </c>
      <c r="AK1" s="111" t="s">
        <v>13</v>
      </c>
      <c r="AL1" s="111" t="s">
        <v>13</v>
      </c>
      <c r="AM1" s="111" t="s">
        <v>13</v>
      </c>
      <c r="AN1" s="111" t="s">
        <v>13</v>
      </c>
      <c r="AO1" s="111" t="s">
        <v>13</v>
      </c>
      <c r="AP1" s="111" t="s">
        <v>13</v>
      </c>
      <c r="AR1" s="111" t="s">
        <v>27</v>
      </c>
      <c r="AV1" s="310"/>
      <c r="BH1" s="310"/>
      <c r="BR1" s="310"/>
    </row>
    <row r="2" spans="1:88" ht="48" customHeight="1" x14ac:dyDescent="0.7">
      <c r="A2" s="556" t="s">
        <v>589</v>
      </c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314"/>
      <c r="P2" s="315"/>
      <c r="Q2" s="556" t="s">
        <v>590</v>
      </c>
      <c r="R2" s="556"/>
      <c r="S2" s="556"/>
      <c r="T2" s="556"/>
      <c r="U2" s="556"/>
      <c r="V2" s="556"/>
      <c r="W2" s="556"/>
      <c r="X2" s="556"/>
      <c r="Y2" s="556"/>
      <c r="Z2" s="556"/>
      <c r="AA2" s="556"/>
      <c r="AB2" s="556"/>
      <c r="AC2" s="556"/>
      <c r="AD2" s="556"/>
      <c r="AE2" s="556"/>
      <c r="AF2" s="556"/>
      <c r="AG2" s="556"/>
      <c r="AH2" s="556"/>
      <c r="AI2" s="556"/>
      <c r="AJ2" s="556"/>
      <c r="AK2" s="556"/>
      <c r="AL2" s="556"/>
      <c r="AM2" s="556"/>
      <c r="AN2" s="556"/>
      <c r="AO2" s="556"/>
      <c r="AP2" s="556"/>
      <c r="AQ2" s="556"/>
      <c r="AR2" s="556"/>
      <c r="AS2" s="556"/>
      <c r="AT2" s="556"/>
      <c r="AU2" s="307"/>
      <c r="AV2" s="316"/>
      <c r="AW2" s="307"/>
      <c r="AX2" s="557" t="s">
        <v>591</v>
      </c>
      <c r="AY2" s="557"/>
      <c r="AZ2" s="557"/>
      <c r="BA2" s="557"/>
      <c r="BB2" s="557"/>
      <c r="BC2" s="557"/>
      <c r="BD2" s="557"/>
      <c r="BE2" s="557"/>
      <c r="BF2" s="557"/>
      <c r="BG2" s="111"/>
      <c r="BI2" s="111"/>
      <c r="BJ2" s="557" t="s">
        <v>592</v>
      </c>
      <c r="BK2" s="557"/>
      <c r="BL2" s="557"/>
      <c r="BM2" s="557"/>
      <c r="BN2" s="557"/>
      <c r="BO2" s="557"/>
      <c r="BP2" s="557"/>
      <c r="BQ2" s="111"/>
      <c r="BS2" s="111"/>
      <c r="BT2" s="111"/>
      <c r="BU2" s="111"/>
      <c r="BV2" s="111"/>
    </row>
    <row r="3" spans="1:88" x14ac:dyDescent="0.25"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I3" s="111"/>
      <c r="BJ3" s="111"/>
      <c r="BK3" s="111"/>
      <c r="BL3" s="111"/>
      <c r="BM3" s="111"/>
      <c r="BN3" s="111"/>
      <c r="BO3" s="111"/>
      <c r="BP3" s="111"/>
      <c r="BQ3" s="111"/>
      <c r="BS3" s="111"/>
      <c r="BT3" s="111"/>
      <c r="BU3" s="111"/>
      <c r="BV3" s="111"/>
    </row>
    <row r="4" spans="1:88" ht="15.75" x14ac:dyDescent="0.3">
      <c r="A4" s="255"/>
      <c r="Q4" s="111"/>
      <c r="R4" s="558" t="s">
        <v>593</v>
      </c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111"/>
      <c r="AH4" s="558" t="s">
        <v>594</v>
      </c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300"/>
      <c r="AV4" s="317"/>
      <c r="AW4" s="300"/>
      <c r="AX4" s="303" t="s">
        <v>383</v>
      </c>
      <c r="AY4" s="303" t="s">
        <v>384</v>
      </c>
      <c r="AZ4" s="303" t="s">
        <v>385</v>
      </c>
      <c r="BA4" s="303" t="s">
        <v>386</v>
      </c>
      <c r="BB4" s="303" t="s">
        <v>453</v>
      </c>
      <c r="BC4" s="303" t="s">
        <v>455</v>
      </c>
      <c r="BD4" s="303" t="s">
        <v>457</v>
      </c>
      <c r="BE4" s="303" t="s">
        <v>458</v>
      </c>
      <c r="BF4" s="303" t="s">
        <v>459</v>
      </c>
      <c r="BG4" s="111"/>
      <c r="BI4" s="111"/>
      <c r="BJ4" s="302" t="s">
        <v>329</v>
      </c>
      <c r="BK4" s="302" t="s">
        <v>559</v>
      </c>
      <c r="BL4" s="302" t="s">
        <v>560</v>
      </c>
      <c r="BM4" s="302" t="s">
        <v>564</v>
      </c>
      <c r="BN4" s="302" t="s">
        <v>565</v>
      </c>
      <c r="BO4" s="302" t="s">
        <v>567</v>
      </c>
      <c r="BP4" s="302" t="s">
        <v>569</v>
      </c>
      <c r="BQ4" s="111"/>
      <c r="BR4" s="424" t="s">
        <v>383</v>
      </c>
      <c r="BS4" s="424" t="s">
        <v>384</v>
      </c>
      <c r="BT4" s="424" t="s">
        <v>385</v>
      </c>
      <c r="BU4" s="424" t="s">
        <v>386</v>
      </c>
      <c r="BV4" s="424" t="s">
        <v>453</v>
      </c>
      <c r="BW4" s="424" t="s">
        <v>455</v>
      </c>
      <c r="BX4" s="424" t="s">
        <v>457</v>
      </c>
      <c r="BY4" s="424" t="s">
        <v>458</v>
      </c>
      <c r="BZ4" s="424" t="s">
        <v>459</v>
      </c>
      <c r="CD4" s="425" t="s">
        <v>329</v>
      </c>
      <c r="CE4" s="425" t="s">
        <v>559</v>
      </c>
      <c r="CF4" s="425" t="s">
        <v>560</v>
      </c>
      <c r="CG4" s="425" t="s">
        <v>564</v>
      </c>
      <c r="CH4" s="425" t="s">
        <v>565</v>
      </c>
      <c r="CI4" s="425" t="s">
        <v>567</v>
      </c>
      <c r="CJ4" s="425" t="s">
        <v>569</v>
      </c>
    </row>
    <row r="5" spans="1:88" x14ac:dyDescent="0.25">
      <c r="A5" s="255"/>
      <c r="Q5" s="111"/>
      <c r="R5" s="111"/>
      <c r="S5" s="111"/>
      <c r="T5" s="111"/>
      <c r="U5" s="111"/>
      <c r="V5" s="278" t="s">
        <v>13</v>
      </c>
      <c r="W5" s="278" t="s">
        <v>13</v>
      </c>
      <c r="X5" s="278" t="s">
        <v>13</v>
      </c>
      <c r="Y5" s="278" t="s">
        <v>13</v>
      </c>
      <c r="Z5" s="278" t="s">
        <v>13</v>
      </c>
      <c r="AA5" s="278" t="s">
        <v>13</v>
      </c>
      <c r="AB5" s="278"/>
      <c r="AC5" s="255" t="s">
        <v>27</v>
      </c>
      <c r="AD5" s="111"/>
      <c r="AE5" s="111"/>
      <c r="AF5" s="111"/>
      <c r="AG5" s="111"/>
      <c r="AH5" s="111"/>
      <c r="AI5" s="111"/>
      <c r="AJ5" s="111"/>
      <c r="AK5" s="278" t="s">
        <v>13</v>
      </c>
      <c r="AL5" s="278" t="s">
        <v>13</v>
      </c>
      <c r="AM5" s="278" t="s">
        <v>13</v>
      </c>
      <c r="AN5" s="278" t="s">
        <v>13</v>
      </c>
      <c r="AO5" s="278" t="s">
        <v>13</v>
      </c>
      <c r="AP5" s="278" t="s">
        <v>13</v>
      </c>
      <c r="AQ5" s="278"/>
      <c r="AR5" s="278" t="s">
        <v>27</v>
      </c>
      <c r="AS5" s="278"/>
      <c r="AT5" s="111"/>
      <c r="AX5" s="289" t="s">
        <v>595</v>
      </c>
      <c r="AY5" s="290">
        <v>45422</v>
      </c>
      <c r="AZ5" s="291">
        <v>300</v>
      </c>
      <c r="BA5" s="289">
        <v>25</v>
      </c>
      <c r="BB5" s="291">
        <v>100</v>
      </c>
      <c r="BC5" s="292">
        <v>0.25</v>
      </c>
      <c r="BD5" s="291">
        <v>25</v>
      </c>
      <c r="BE5" s="292" t="s">
        <v>60</v>
      </c>
      <c r="BF5" s="291">
        <v>0</v>
      </c>
      <c r="BG5" s="111"/>
      <c r="BI5" s="111"/>
      <c r="BJ5" s="289" t="s">
        <v>596</v>
      </c>
      <c r="BK5" s="289" t="s">
        <v>597</v>
      </c>
      <c r="BL5" s="289"/>
      <c r="BM5" s="290">
        <v>12</v>
      </c>
      <c r="BN5" s="290">
        <v>15</v>
      </c>
      <c r="BO5" s="293">
        <v>1000</v>
      </c>
      <c r="BP5" s="293">
        <v>0</v>
      </c>
      <c r="BQ5" s="111"/>
      <c r="BS5" s="111"/>
      <c r="BT5" s="111"/>
      <c r="BU5" s="111"/>
      <c r="BV5" s="111"/>
    </row>
    <row r="6" spans="1:88" ht="49.5" x14ac:dyDescent="0.25">
      <c r="A6" s="255"/>
      <c r="Q6" s="111"/>
      <c r="R6" s="311" t="s">
        <v>367</v>
      </c>
      <c r="S6" s="235" t="s">
        <v>368</v>
      </c>
      <c r="T6" s="235" t="s">
        <v>369</v>
      </c>
      <c r="U6" s="236" t="s">
        <v>486</v>
      </c>
      <c r="V6" s="236" t="str">
        <f>'REP cout'!B4</f>
        <v>CHIC</v>
      </c>
      <c r="W6" s="236" t="str">
        <f>'REP cout'!C4</f>
        <v>PHOENIX</v>
      </c>
      <c r="X6" s="236" t="str">
        <f>'REP cout'!D4</f>
        <v>BIOPPIGMENT</v>
      </c>
      <c r="Y6" s="236" t="str">
        <f>'REP cout'!E4</f>
        <v>PALOMA</v>
      </c>
      <c r="Z6" s="236" t="str">
        <f>'REP cout'!F4</f>
        <v>LISA</v>
      </c>
      <c r="AA6" s="236" t="str">
        <f>'REP cout'!G4</f>
        <v>OASIS</v>
      </c>
      <c r="AB6" s="236" t="str">
        <f>VALO_PERSO!AF4</f>
        <v>Heures éligibles au CIR</v>
      </c>
      <c r="AC6" s="236" t="str">
        <f>VALO_PERSO!AI4</f>
        <v>Projet 1</v>
      </c>
      <c r="AD6" s="236" t="str">
        <f>VALO_PERSO!AK4</f>
        <v>Heures éligibles au CII</v>
      </c>
      <c r="AE6" s="236" t="s">
        <v>598</v>
      </c>
      <c r="AF6" s="236" t="s">
        <v>469</v>
      </c>
      <c r="AG6" s="111"/>
      <c r="AH6" s="235" t="s">
        <v>367</v>
      </c>
      <c r="AI6" s="235" t="s">
        <v>368</v>
      </c>
      <c r="AJ6" s="235" t="s">
        <v>369</v>
      </c>
      <c r="AK6" s="235" t="str">
        <f>'REP cout'!B4</f>
        <v>CHIC</v>
      </c>
      <c r="AL6" s="235" t="str">
        <f>'REP cout'!C4</f>
        <v>PHOENIX</v>
      </c>
      <c r="AM6" s="235" t="str">
        <f>'REP cout'!D4</f>
        <v>BIOPPIGMENT</v>
      </c>
      <c r="AN6" s="235" t="str">
        <f>'REP cout'!E4</f>
        <v>PALOMA</v>
      </c>
      <c r="AO6" s="235" t="str">
        <f>'REP cout'!F4</f>
        <v>LISA</v>
      </c>
      <c r="AP6" s="235" t="str">
        <f>'REP cout'!G4</f>
        <v>OASIS</v>
      </c>
      <c r="AQ6" s="235" t="str">
        <f>VALO_PERSO!AZ4</f>
        <v>Dépenses éligibles au CIR</v>
      </c>
      <c r="AR6" s="242" t="str">
        <f>VALO_PERSO!BB4</f>
        <v>Projet 1</v>
      </c>
      <c r="AS6" s="242" t="str">
        <f>VALO_PERSO!BD4</f>
        <v>Dépenses éligibles au CII</v>
      </c>
      <c r="AT6" s="236" t="s">
        <v>599</v>
      </c>
      <c r="AU6" s="308"/>
      <c r="AV6" s="305"/>
      <c r="AW6" s="308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I6" s="111"/>
      <c r="BJ6" s="111"/>
      <c r="BK6" s="111"/>
      <c r="BL6" s="111"/>
      <c r="BM6" s="111"/>
      <c r="BN6" s="111"/>
      <c r="BO6" s="111"/>
      <c r="BP6" s="111"/>
      <c r="BQ6" s="111"/>
      <c r="BS6" s="111"/>
      <c r="BT6" s="111"/>
      <c r="BU6" s="111"/>
      <c r="BV6" s="111"/>
    </row>
    <row r="7" spans="1:88" x14ac:dyDescent="0.25">
      <c r="Q7" s="111" t="s">
        <v>813</v>
      </c>
      <c r="R7" s="312" t="str">
        <f>VALO_PERSO!G5</f>
        <v>GHLAMI</v>
      </c>
      <c r="S7" s="237" t="str">
        <f>VALO_PERSO!H5</f>
        <v>Sephora</v>
      </c>
      <c r="T7" s="237" t="str">
        <f>VALO_PERSO!I5</f>
        <v>MAD</v>
      </c>
      <c r="U7" s="238">
        <f>VALO_PERSO!W5</f>
        <v>342</v>
      </c>
      <c r="V7" s="238">
        <f>VALO_PERSO!Y5</f>
        <v>0</v>
      </c>
      <c r="W7" s="238">
        <f>VALO_PERSO!Z5</f>
        <v>264</v>
      </c>
      <c r="X7" s="238">
        <f>VALO_PERSO!AA5</f>
        <v>60.800000000000004</v>
      </c>
      <c r="Y7" s="238">
        <f>VALO_PERSO!AB5</f>
        <v>0</v>
      </c>
      <c r="Z7" s="238">
        <f>VALO_PERSO!AC5</f>
        <v>0</v>
      </c>
      <c r="AA7" s="238">
        <f>VALO_PERSO!AD5</f>
        <v>0</v>
      </c>
      <c r="AB7" s="238">
        <f>VALO_PERSO!AF5</f>
        <v>324.8</v>
      </c>
      <c r="AC7" s="238">
        <f>VALO_PERSO!AI5</f>
        <v>0</v>
      </c>
      <c r="AD7" s="238">
        <f>VALO_PERSO!AK5</f>
        <v>0</v>
      </c>
      <c r="AE7" s="238">
        <f t="shared" ref="AE7:AE24" si="0">AB7+AD7</f>
        <v>324.8</v>
      </c>
      <c r="AF7" s="252" t="e">
        <f t="shared" ref="AF7:AF24" si="1">AB7/$AB$25</f>
        <v>#REF!</v>
      </c>
      <c r="AG7" s="111"/>
      <c r="AH7" s="237" t="str">
        <f>VALO_PERSO!G5</f>
        <v>GHLAMI</v>
      </c>
      <c r="AI7" s="237" t="str">
        <f>VALO_PERSO!H5</f>
        <v>Sephora</v>
      </c>
      <c r="AJ7" s="237" t="str">
        <f>VALO_PERSO!I5</f>
        <v>MAD</v>
      </c>
      <c r="AK7" s="238">
        <f>VALO_PERSO!AS5</f>
        <v>0</v>
      </c>
      <c r="AL7" s="238">
        <f>VALO_PERSO!AT5</f>
        <v>6836.7087360000014</v>
      </c>
      <c r="AM7" s="238">
        <f>VALO_PERSO!AU5</f>
        <v>1574.5147392000003</v>
      </c>
      <c r="AN7" s="238">
        <f>VALO_PERSO!AV5</f>
        <v>0</v>
      </c>
      <c r="AO7" s="238">
        <f>VALO_PERSO!AW5</f>
        <v>0</v>
      </c>
      <c r="AP7" s="238">
        <f>VALO_PERSO!AX5</f>
        <v>0</v>
      </c>
      <c r="AQ7" s="238">
        <f>VALO_PERSO!AZ5</f>
        <v>8411.2234752000022</v>
      </c>
      <c r="AR7" s="241">
        <f>VALO_PERSO!BB5</f>
        <v>0</v>
      </c>
      <c r="AS7" s="241">
        <f>VALO_PERSO!BD5</f>
        <v>0</v>
      </c>
      <c r="AT7" s="238">
        <f t="shared" ref="AT7:AT24" si="2">AQ7+AS7</f>
        <v>8411.2234752000022</v>
      </c>
      <c r="AU7" s="240"/>
      <c r="AV7" s="318"/>
      <c r="AW7" s="240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I7" s="111"/>
      <c r="BJ7" s="111"/>
      <c r="BK7" s="111"/>
      <c r="BL7" s="111"/>
      <c r="BM7" s="111"/>
      <c r="BN7" s="111"/>
      <c r="BO7" s="111"/>
      <c r="BP7" s="111"/>
      <c r="BQ7" s="111"/>
      <c r="BS7" s="111"/>
      <c r="BT7" s="111"/>
      <c r="BU7" s="111"/>
      <c r="BV7" s="111"/>
    </row>
    <row r="8" spans="1:88" x14ac:dyDescent="0.25">
      <c r="Q8" s="111"/>
      <c r="R8" s="312" t="str">
        <f>VALO_PERSO!G6</f>
        <v>AMILLASTRE</v>
      </c>
      <c r="S8" s="237" t="str">
        <f>VALO_PERSO!H6</f>
        <v>Emilie</v>
      </c>
      <c r="T8" s="237" t="str">
        <f>VALO_PERSO!I6</f>
        <v>Experte Bioprocédés</v>
      </c>
      <c r="U8" s="238">
        <f>VALO_PERSO!W6</f>
        <v>1691.04</v>
      </c>
      <c r="V8" s="238">
        <f>VALO_PERSO!Y6</f>
        <v>296.40000000000009</v>
      </c>
      <c r="W8" s="238">
        <f>VALO_PERSO!Z6</f>
        <v>1184.9200000000019</v>
      </c>
      <c r="X8" s="238">
        <f>VALO_PERSO!AA6</f>
        <v>0</v>
      </c>
      <c r="Y8" s="238">
        <f>VALO_PERSO!AB6</f>
        <v>0</v>
      </c>
      <c r="Z8" s="238">
        <f>VALO_PERSO!AC6</f>
        <v>0</v>
      </c>
      <c r="AA8" s="238">
        <f>VALO_PERSO!AD6</f>
        <v>0</v>
      </c>
      <c r="AB8" s="238">
        <f>VALO_PERSO!AF6</f>
        <v>1481.320000000002</v>
      </c>
      <c r="AC8" s="238">
        <f>VALO_PERSO!AI6</f>
        <v>0</v>
      </c>
      <c r="AD8" s="238">
        <f>VALO_PERSO!AK6</f>
        <v>0</v>
      </c>
      <c r="AE8" s="238">
        <f t="shared" si="0"/>
        <v>1481.320000000002</v>
      </c>
      <c r="AF8" s="252" t="e">
        <f t="shared" si="1"/>
        <v>#REF!</v>
      </c>
      <c r="AG8" s="111"/>
      <c r="AH8" s="237" t="str">
        <f>VALO_PERSO!G6</f>
        <v>AMILLASTRE</v>
      </c>
      <c r="AI8" s="237" t="str">
        <f>VALO_PERSO!H6</f>
        <v>Emilie</v>
      </c>
      <c r="AJ8" s="237" t="str">
        <f>VALO_PERSO!I6</f>
        <v>Experte Bioprocédés</v>
      </c>
      <c r="AK8" s="238">
        <f>VALO_PERSO!AS6</f>
        <v>15165.505535055354</v>
      </c>
      <c r="AL8" s="238">
        <f>VALO_PERSO!AT6</f>
        <v>60627.229482448754</v>
      </c>
      <c r="AM8" s="238">
        <f>VALO_PERSO!AU6</f>
        <v>0</v>
      </c>
      <c r="AN8" s="238">
        <f>VALO_PERSO!AV6</f>
        <v>0</v>
      </c>
      <c r="AO8" s="238">
        <f>VALO_PERSO!AW6</f>
        <v>0</v>
      </c>
      <c r="AP8" s="238">
        <f>VALO_PERSO!AX6</f>
        <v>0</v>
      </c>
      <c r="AQ8" s="238">
        <f>VALO_PERSO!AZ6</f>
        <v>75792.735017504107</v>
      </c>
      <c r="AR8" s="241">
        <f>VALO_PERSO!BB6</f>
        <v>0</v>
      </c>
      <c r="AS8" s="241">
        <f>VALO_PERSO!BD6</f>
        <v>0</v>
      </c>
      <c r="AT8" s="238">
        <f t="shared" si="2"/>
        <v>75792.735017504107</v>
      </c>
      <c r="AU8" s="240"/>
      <c r="AV8" s="318"/>
      <c r="AW8" s="240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I8" s="111"/>
      <c r="BJ8" s="111"/>
      <c r="BK8" s="111"/>
      <c r="BL8" s="111"/>
      <c r="BM8" s="111"/>
      <c r="BN8" s="111"/>
      <c r="BO8" s="111"/>
      <c r="BP8" s="111"/>
      <c r="BQ8" s="111"/>
      <c r="BS8" s="111"/>
      <c r="BT8" s="111"/>
      <c r="BU8" s="111"/>
      <c r="BV8" s="111"/>
    </row>
    <row r="9" spans="1:88" x14ac:dyDescent="0.25">
      <c r="Q9" s="111"/>
      <c r="R9" s="312" t="e">
        <f>VALO_PERSO!#REF!</f>
        <v>#REF!</v>
      </c>
      <c r="S9" s="237" t="e">
        <f>VALO_PERSO!#REF!</f>
        <v>#REF!</v>
      </c>
      <c r="T9" s="237" t="e">
        <f>VALO_PERSO!#REF!</f>
        <v>#REF!</v>
      </c>
      <c r="U9" s="238" t="e">
        <f>VALO_PERSO!#REF!</f>
        <v>#REF!</v>
      </c>
      <c r="V9" s="238" t="e">
        <f>VALO_PERSO!#REF!</f>
        <v>#REF!</v>
      </c>
      <c r="W9" s="238" t="e">
        <f>VALO_PERSO!#REF!</f>
        <v>#REF!</v>
      </c>
      <c r="X9" s="238" t="e">
        <f>VALO_PERSO!#REF!</f>
        <v>#REF!</v>
      </c>
      <c r="Y9" s="238" t="e">
        <f>VALO_PERSO!#REF!</f>
        <v>#REF!</v>
      </c>
      <c r="Z9" s="238" t="e">
        <f>VALO_PERSO!#REF!</f>
        <v>#REF!</v>
      </c>
      <c r="AA9" s="238" t="e">
        <f>VALO_PERSO!#REF!</f>
        <v>#REF!</v>
      </c>
      <c r="AB9" s="238" t="e">
        <f>VALO_PERSO!#REF!</f>
        <v>#REF!</v>
      </c>
      <c r="AC9" s="238" t="e">
        <f>VALO_PERSO!#REF!</f>
        <v>#REF!</v>
      </c>
      <c r="AD9" s="238" t="e">
        <f>VALO_PERSO!#REF!</f>
        <v>#REF!</v>
      </c>
      <c r="AE9" s="238" t="e">
        <f t="shared" si="0"/>
        <v>#REF!</v>
      </c>
      <c r="AF9" s="252" t="e">
        <f t="shared" si="1"/>
        <v>#REF!</v>
      </c>
      <c r="AG9" s="111"/>
      <c r="AH9" s="237" t="e">
        <f>VALO_PERSO!#REF!</f>
        <v>#REF!</v>
      </c>
      <c r="AI9" s="237" t="e">
        <f>VALO_PERSO!#REF!</f>
        <v>#REF!</v>
      </c>
      <c r="AJ9" s="237" t="e">
        <f>VALO_PERSO!#REF!</f>
        <v>#REF!</v>
      </c>
      <c r="AK9" s="238" t="e">
        <f>VALO_PERSO!#REF!</f>
        <v>#REF!</v>
      </c>
      <c r="AL9" s="238" t="e">
        <f>VALO_PERSO!#REF!</f>
        <v>#REF!</v>
      </c>
      <c r="AM9" s="238" t="e">
        <f>VALO_PERSO!#REF!</f>
        <v>#REF!</v>
      </c>
      <c r="AN9" s="238" t="e">
        <f>VALO_PERSO!#REF!</f>
        <v>#REF!</v>
      </c>
      <c r="AO9" s="238" t="e">
        <f>VALO_PERSO!#REF!</f>
        <v>#REF!</v>
      </c>
      <c r="AP9" s="238" t="e">
        <f>VALO_PERSO!#REF!</f>
        <v>#REF!</v>
      </c>
      <c r="AQ9" s="238" t="e">
        <f>VALO_PERSO!#REF!</f>
        <v>#REF!</v>
      </c>
      <c r="AR9" s="241" t="e">
        <f>VALO_PERSO!#REF!</f>
        <v>#REF!</v>
      </c>
      <c r="AS9" s="241" t="e">
        <f>VALO_PERSO!#REF!</f>
        <v>#REF!</v>
      </c>
      <c r="AT9" s="238" t="e">
        <f t="shared" si="2"/>
        <v>#REF!</v>
      </c>
      <c r="AU9" s="240"/>
      <c r="AV9" s="318"/>
      <c r="AW9" s="240"/>
      <c r="AX9" s="111"/>
      <c r="AY9" s="111"/>
      <c r="AZ9" s="111"/>
      <c r="BA9" s="111"/>
      <c r="BB9" s="111"/>
      <c r="BC9" s="111"/>
      <c r="BD9" s="111"/>
      <c r="BE9" s="111"/>
      <c r="BF9" s="111"/>
      <c r="BG9" s="111"/>
      <c r="BI9" s="111"/>
      <c r="BJ9" s="111"/>
      <c r="BK9" s="111"/>
      <c r="BL9" s="111"/>
      <c r="BM9" s="111"/>
      <c r="BN9" s="111"/>
      <c r="BO9" s="111"/>
      <c r="BP9" s="111"/>
      <c r="BQ9" s="111"/>
      <c r="BS9" s="111"/>
      <c r="BT9" s="111"/>
      <c r="BU9" s="111"/>
      <c r="BV9" s="111"/>
    </row>
    <row r="10" spans="1:88" x14ac:dyDescent="0.25">
      <c r="Q10" s="111"/>
      <c r="R10" s="312" t="str">
        <f>VALO_PERSO!G7</f>
        <v>CREPIN</v>
      </c>
      <c r="S10" s="237" t="str">
        <f>VALO_PERSO!H7</f>
        <v>Lucie</v>
      </c>
      <c r="T10" s="237" t="str">
        <f>VALO_PERSO!I7</f>
        <v>Lead Scientist</v>
      </c>
      <c r="U10" s="238">
        <f>VALO_PERSO!W7</f>
        <v>1679.64</v>
      </c>
      <c r="V10" s="238">
        <f>VALO_PERSO!Y7</f>
        <v>665.00000000000148</v>
      </c>
      <c r="W10" s="238">
        <f>VALO_PERSO!Z7</f>
        <v>406.60000000000076</v>
      </c>
      <c r="X10" s="238">
        <f>VALO_PERSO!AA7</f>
        <v>0</v>
      </c>
      <c r="Y10" s="238">
        <f>VALO_PERSO!AB7</f>
        <v>243.20000000000016</v>
      </c>
      <c r="Z10" s="238">
        <f>VALO_PERSO!AC7</f>
        <v>216.60000000000011</v>
      </c>
      <c r="AA10" s="238">
        <f>VALO_PERSO!AD7</f>
        <v>0</v>
      </c>
      <c r="AB10" s="238">
        <f>VALO_PERSO!AF7</f>
        <v>1531.4000000000026</v>
      </c>
      <c r="AC10" s="238">
        <f>VALO_PERSO!AI7</f>
        <v>0</v>
      </c>
      <c r="AD10" s="238">
        <f>VALO_PERSO!AK7</f>
        <v>0</v>
      </c>
      <c r="AE10" s="238">
        <f t="shared" si="0"/>
        <v>1531.4000000000026</v>
      </c>
      <c r="AF10" s="252" t="e">
        <f t="shared" si="1"/>
        <v>#REF!</v>
      </c>
      <c r="AG10" s="111"/>
      <c r="AH10" s="237" t="str">
        <f>VALO_PERSO!G7</f>
        <v>CREPIN</v>
      </c>
      <c r="AI10" s="237" t="str">
        <f>VALO_PERSO!H7</f>
        <v>Lucie</v>
      </c>
      <c r="AJ10" s="237" t="str">
        <f>VALO_PERSO!I7</f>
        <v>Lead Scientist</v>
      </c>
      <c r="AK10" s="238">
        <f>VALO_PERSO!AS7</f>
        <v>38245.61236336366</v>
      </c>
      <c r="AL10" s="238">
        <f>VALO_PERSO!AT7</f>
        <v>23384.460130742344</v>
      </c>
      <c r="AM10" s="238">
        <f>VALO_PERSO!AU7</f>
        <v>0</v>
      </c>
      <c r="AN10" s="238">
        <f>VALO_PERSO!AV7</f>
        <v>13986.966807172974</v>
      </c>
      <c r="AO10" s="238">
        <f>VALO_PERSO!AW7</f>
        <v>12457.142312638427</v>
      </c>
      <c r="AP10" s="238">
        <f>VALO_PERSO!AX7</f>
        <v>0</v>
      </c>
      <c r="AQ10" s="238">
        <f>VALO_PERSO!AZ7</f>
        <v>88074.181613917404</v>
      </c>
      <c r="AR10" s="241">
        <f>VALO_PERSO!BB7</f>
        <v>0</v>
      </c>
      <c r="AS10" s="241">
        <f>VALO_PERSO!BD7</f>
        <v>0</v>
      </c>
      <c r="AT10" s="238">
        <f t="shared" si="2"/>
        <v>88074.181613917404</v>
      </c>
      <c r="AU10" s="240"/>
      <c r="AV10" s="318"/>
      <c r="AW10" s="240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I10" s="111"/>
      <c r="BJ10" s="111"/>
      <c r="BK10" s="111"/>
      <c r="BL10" s="111"/>
      <c r="BM10" s="111"/>
      <c r="BN10" s="111"/>
      <c r="BO10" s="111"/>
      <c r="BP10" s="111"/>
      <c r="BQ10" s="111"/>
      <c r="BS10" s="111"/>
      <c r="BT10" s="111"/>
      <c r="BU10" s="111"/>
      <c r="BV10" s="111"/>
    </row>
    <row r="11" spans="1:88" x14ac:dyDescent="0.25">
      <c r="Q11" s="111"/>
      <c r="R11" s="312" t="str">
        <f>VALO_PERSO!G8</f>
        <v>BOISSONNAT</v>
      </c>
      <c r="S11" s="237" t="str">
        <f>VALO_PERSO!H8</f>
        <v>Guillaume</v>
      </c>
      <c r="T11" s="237" t="str">
        <f>VALO_PERSO!I8</f>
        <v>Ingénieur Recherche</v>
      </c>
      <c r="U11" s="238">
        <f>VALO_PERSO!W8</f>
        <v>1628.97</v>
      </c>
      <c r="V11" s="238">
        <f>VALO_PERSO!Y8</f>
        <v>81.448499999999967</v>
      </c>
      <c r="W11" s="238">
        <f>VALO_PERSO!Z8</f>
        <v>244.3455000000001</v>
      </c>
      <c r="X11" s="238">
        <f>VALO_PERSO!AA8</f>
        <v>244.3455000000001</v>
      </c>
      <c r="Y11" s="238">
        <f>VALO_PERSO!AB8</f>
        <v>81.448499999999967</v>
      </c>
      <c r="Z11" s="238">
        <f>VALO_PERSO!AC8</f>
        <v>0</v>
      </c>
      <c r="AA11" s="238">
        <f>VALO_PERSO!AD8</f>
        <v>0</v>
      </c>
      <c r="AB11" s="238">
        <f>VALO_PERSO!AF8</f>
        <v>651.58800000000019</v>
      </c>
      <c r="AC11" s="238">
        <f>VALO_PERSO!AI8</f>
        <v>0</v>
      </c>
      <c r="AD11" s="238">
        <f>VALO_PERSO!AK8</f>
        <v>0</v>
      </c>
      <c r="AE11" s="238">
        <f t="shared" si="0"/>
        <v>651.58800000000019</v>
      </c>
      <c r="AF11" s="252" t="e">
        <f t="shared" si="1"/>
        <v>#REF!</v>
      </c>
      <c r="AG11" s="111"/>
      <c r="AH11" s="237" t="str">
        <f>VALO_PERSO!G8</f>
        <v>BOISSONNAT</v>
      </c>
      <c r="AI11" s="237" t="str">
        <f>VALO_PERSO!H8</f>
        <v>Guillaume</v>
      </c>
      <c r="AJ11" s="237" t="str">
        <f>VALO_PERSO!I8</f>
        <v>Ingénieur Recherche</v>
      </c>
      <c r="AK11" s="238">
        <f>VALO_PERSO!AS8</f>
        <v>9670.3084999999955</v>
      </c>
      <c r="AL11" s="238">
        <f>VALO_PERSO!AT8</f>
        <v>29010.925500000012</v>
      </c>
      <c r="AM11" s="238">
        <f>VALO_PERSO!AU8</f>
        <v>29010.925500000012</v>
      </c>
      <c r="AN11" s="238">
        <f>VALO_PERSO!AV8</f>
        <v>9670.3084999999955</v>
      </c>
      <c r="AO11" s="238">
        <f>VALO_PERSO!AW8</f>
        <v>0</v>
      </c>
      <c r="AP11" s="238">
        <f>VALO_PERSO!AX8</f>
        <v>0</v>
      </c>
      <c r="AQ11" s="238">
        <f>VALO_PERSO!AZ8</f>
        <v>77362.468000000023</v>
      </c>
      <c r="AR11" s="241">
        <f>VALO_PERSO!BB8</f>
        <v>0</v>
      </c>
      <c r="AS11" s="241">
        <f>VALO_PERSO!BD8</f>
        <v>0</v>
      </c>
      <c r="AT11" s="238">
        <f t="shared" si="2"/>
        <v>77362.468000000023</v>
      </c>
      <c r="AU11" s="240"/>
      <c r="AV11" s="318"/>
      <c r="AW11" s="240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I11" s="111"/>
      <c r="BJ11" s="111"/>
      <c r="BK11" s="111"/>
      <c r="BL11" s="111"/>
      <c r="BM11" s="111"/>
      <c r="BN11" s="111"/>
      <c r="BO11" s="111"/>
      <c r="BP11" s="111"/>
      <c r="BQ11" s="111"/>
      <c r="BS11" s="111"/>
      <c r="BT11" s="111"/>
      <c r="BU11" s="111"/>
      <c r="BV11" s="111"/>
    </row>
    <row r="12" spans="1:88" x14ac:dyDescent="0.25">
      <c r="Q12" s="111"/>
      <c r="R12" s="312" t="str">
        <f>VALO_PERSO!G9</f>
        <v>COTTET</v>
      </c>
      <c r="S12" s="237" t="str">
        <f>VALO_PERSO!H9</f>
        <v>Kevin</v>
      </c>
      <c r="T12" s="237" t="str">
        <f>VALO_PERSO!I9</f>
        <v>Lead Scientist</v>
      </c>
      <c r="U12" s="238">
        <f>VALO_PERSO!W9</f>
        <v>1644.1699999999998</v>
      </c>
      <c r="V12" s="238">
        <f>VALO_PERSO!Y9</f>
        <v>0</v>
      </c>
      <c r="W12" s="238">
        <f>VALO_PERSO!Z9</f>
        <v>64.599999999999994</v>
      </c>
      <c r="X12" s="238">
        <f>VALO_PERSO!AA9</f>
        <v>1033.600000000002</v>
      </c>
      <c r="Y12" s="238">
        <f>VALO_PERSO!AB9</f>
        <v>0</v>
      </c>
      <c r="Z12" s="238">
        <f>VALO_PERSO!AC9</f>
        <v>30.4</v>
      </c>
      <c r="AA12" s="238">
        <f>VALO_PERSO!AD9</f>
        <v>38</v>
      </c>
      <c r="AB12" s="238">
        <f>VALO_PERSO!AF9</f>
        <v>1166.600000000002</v>
      </c>
      <c r="AC12" s="238">
        <f>VALO_PERSO!AI9</f>
        <v>0</v>
      </c>
      <c r="AD12" s="238">
        <f>VALO_PERSO!AK9</f>
        <v>0</v>
      </c>
      <c r="AE12" s="238">
        <f t="shared" si="0"/>
        <v>1166.600000000002</v>
      </c>
      <c r="AF12" s="252" t="e">
        <f t="shared" si="1"/>
        <v>#REF!</v>
      </c>
      <c r="AG12" s="111"/>
      <c r="AH12" s="237" t="str">
        <f>VALO_PERSO!G9</f>
        <v>COTTET</v>
      </c>
      <c r="AI12" s="237" t="str">
        <f>VALO_PERSO!H9</f>
        <v>Kevin</v>
      </c>
      <c r="AJ12" s="237" t="str">
        <f>VALO_PERSO!I9</f>
        <v>Lead Scientist</v>
      </c>
      <c r="AK12" s="238">
        <f>VALO_PERSO!AS9</f>
        <v>0</v>
      </c>
      <c r="AL12" s="238">
        <f>VALO_PERSO!AT9</f>
        <v>3527.6502648752867</v>
      </c>
      <c r="AM12" s="238">
        <f>VALO_PERSO!AU9</f>
        <v>56442.404238004696</v>
      </c>
      <c r="AN12" s="238">
        <f>VALO_PERSO!AV9</f>
        <v>0</v>
      </c>
      <c r="AO12" s="238">
        <f>VALO_PERSO!AW9</f>
        <v>1660.0707128824881</v>
      </c>
      <c r="AP12" s="238">
        <f>VALO_PERSO!AX9</f>
        <v>2075.0883911031101</v>
      </c>
      <c r="AQ12" s="238">
        <f>VALO_PERSO!AZ9</f>
        <v>63705.213606865582</v>
      </c>
      <c r="AR12" s="241">
        <f>VALO_PERSO!BB9</f>
        <v>0</v>
      </c>
      <c r="AS12" s="241">
        <f>VALO_PERSO!BD9</f>
        <v>0</v>
      </c>
      <c r="AT12" s="238">
        <f t="shared" si="2"/>
        <v>63705.213606865582</v>
      </c>
      <c r="AU12" s="240"/>
      <c r="AV12" s="318"/>
      <c r="AW12" s="240"/>
      <c r="AX12" s="111"/>
      <c r="AY12" s="111"/>
      <c r="AZ12" s="111"/>
      <c r="BA12" s="111"/>
      <c r="BB12" s="111"/>
      <c r="BC12" s="111"/>
      <c r="BD12" s="111"/>
      <c r="BE12" s="111"/>
      <c r="BF12" s="111"/>
      <c r="BG12" s="111"/>
      <c r="BI12" s="111"/>
      <c r="BJ12" s="111"/>
      <c r="BK12" s="111"/>
      <c r="BL12" s="111"/>
      <c r="BM12" s="111"/>
      <c r="BN12" s="111"/>
      <c r="BO12" s="111"/>
      <c r="BP12" s="111"/>
      <c r="BQ12" s="111"/>
      <c r="BS12" s="111"/>
      <c r="BT12" s="111"/>
      <c r="BU12" s="111"/>
      <c r="BV12" s="111"/>
    </row>
    <row r="13" spans="1:88" x14ac:dyDescent="0.25">
      <c r="Q13" s="111"/>
      <c r="R13" s="312" t="str">
        <f>VALO_PERSO!G12</f>
        <v>BAYLAC</v>
      </c>
      <c r="S13" s="237" t="str">
        <f>VALO_PERSO!H12</f>
        <v>Audrey</v>
      </c>
      <c r="T13" s="237" t="str">
        <f>VALO_PERSO!I12</f>
        <v>Ingénieur</v>
      </c>
      <c r="U13" s="238">
        <f>VALO_PERSO!W12</f>
        <v>1204.6299999999999</v>
      </c>
      <c r="V13" s="238">
        <f>VALO_PERSO!Y12</f>
        <v>15.2</v>
      </c>
      <c r="W13" s="238">
        <f>VALO_PERSO!Z12</f>
        <v>0</v>
      </c>
      <c r="X13" s="238">
        <f>VALO_PERSO!AA12</f>
        <v>0</v>
      </c>
      <c r="Y13" s="238">
        <f>VALO_PERSO!AB12</f>
        <v>0</v>
      </c>
      <c r="Z13" s="238">
        <f>VALO_PERSO!AC12</f>
        <v>1022.2000000000021</v>
      </c>
      <c r="AA13" s="238">
        <f>VALO_PERSO!AD12</f>
        <v>0</v>
      </c>
      <c r="AB13" s="238">
        <f>VALO_PERSO!AF12</f>
        <v>1037.4000000000021</v>
      </c>
      <c r="AC13" s="238">
        <f>VALO_PERSO!AI12</f>
        <v>0</v>
      </c>
      <c r="AD13" s="238">
        <f>VALO_PERSO!AK12</f>
        <v>0</v>
      </c>
      <c r="AE13" s="238">
        <f t="shared" si="0"/>
        <v>1037.4000000000021</v>
      </c>
      <c r="AF13" s="252" t="e">
        <f t="shared" si="1"/>
        <v>#REF!</v>
      </c>
      <c r="AG13" s="111"/>
      <c r="AH13" s="237" t="str">
        <f>VALO_PERSO!G12</f>
        <v>BAYLAC</v>
      </c>
      <c r="AI13" s="237" t="str">
        <f>VALO_PERSO!H12</f>
        <v>Audrey</v>
      </c>
      <c r="AJ13" s="237" t="str">
        <f>VALO_PERSO!I12</f>
        <v>Ingénieur</v>
      </c>
      <c r="AK13" s="238">
        <f>VALO_PERSO!AS12</f>
        <v>948.42647451914695</v>
      </c>
      <c r="AL13" s="238">
        <f>VALO_PERSO!AT12</f>
        <v>0</v>
      </c>
      <c r="AM13" s="238">
        <f>VALO_PERSO!AU12</f>
        <v>0</v>
      </c>
      <c r="AN13" s="238">
        <f>VALO_PERSO!AV12</f>
        <v>0</v>
      </c>
      <c r="AO13" s="238">
        <f>VALO_PERSO!AW12</f>
        <v>63781.680411412774</v>
      </c>
      <c r="AP13" s="238">
        <f>VALO_PERSO!AX12</f>
        <v>0</v>
      </c>
      <c r="AQ13" s="238">
        <f>VALO_PERSO!AZ12</f>
        <v>64730.10688593192</v>
      </c>
      <c r="AR13" s="241">
        <f>VALO_PERSO!BB12</f>
        <v>0</v>
      </c>
      <c r="AS13" s="241">
        <f>VALO_PERSO!BD12</f>
        <v>0</v>
      </c>
      <c r="AT13" s="238">
        <f t="shared" si="2"/>
        <v>64730.10688593192</v>
      </c>
      <c r="AU13" s="240"/>
      <c r="AV13" s="318"/>
      <c r="AW13" s="240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  <c r="BI13" s="111"/>
      <c r="BJ13" s="111"/>
      <c r="BK13" s="111"/>
      <c r="BL13" s="111"/>
      <c r="BM13" s="111"/>
      <c r="BN13" s="111"/>
      <c r="BO13" s="111"/>
      <c r="BP13" s="111"/>
      <c r="BQ13" s="111"/>
      <c r="BS13" s="111"/>
      <c r="BT13" s="111"/>
      <c r="BU13" s="111"/>
      <c r="BV13" s="111"/>
    </row>
    <row r="14" spans="1:88" x14ac:dyDescent="0.25">
      <c r="R14" s="312" t="str">
        <f>VALO_PERSO!G13</f>
        <v>DENARD</v>
      </c>
      <c r="S14" s="237" t="str">
        <f>VALO_PERSO!H13</f>
        <v>Marjorie</v>
      </c>
      <c r="T14" s="237" t="str">
        <f>VALO_PERSO!I13</f>
        <v>Assistant Ingenieur</v>
      </c>
      <c r="U14" s="238">
        <f>VALO_PERSO!W13</f>
        <v>1706.24</v>
      </c>
      <c r="V14" s="238">
        <f>VALO_PERSO!Y13</f>
        <v>15.2</v>
      </c>
      <c r="W14" s="238">
        <f>VALO_PERSO!Z13</f>
        <v>1568.189999999998</v>
      </c>
      <c r="X14" s="238">
        <f>VALO_PERSO!AA13</f>
        <v>0</v>
      </c>
      <c r="Y14" s="238">
        <f>VALO_PERSO!AB13</f>
        <v>0</v>
      </c>
      <c r="Z14" s="238">
        <f>VALO_PERSO!AC13</f>
        <v>15.2</v>
      </c>
      <c r="AA14" s="238">
        <f>VALO_PERSO!AD13</f>
        <v>0</v>
      </c>
      <c r="AB14" s="238">
        <f>VALO_PERSO!AF13</f>
        <v>1598.5899999999981</v>
      </c>
      <c r="AC14" s="238">
        <f>VALO_PERSO!AI13</f>
        <v>0</v>
      </c>
      <c r="AD14" s="238">
        <f>VALO_PERSO!AK13</f>
        <v>0</v>
      </c>
      <c r="AE14" s="238">
        <f t="shared" si="0"/>
        <v>1598.5899999999981</v>
      </c>
      <c r="AF14" s="252" t="e">
        <f t="shared" si="1"/>
        <v>#REF!</v>
      </c>
      <c r="AG14" s="111"/>
      <c r="AH14" s="237" t="str">
        <f>VALO_PERSO!G13</f>
        <v>DENARD</v>
      </c>
      <c r="AI14" s="237" t="str">
        <f>VALO_PERSO!H13</f>
        <v>Marjorie</v>
      </c>
      <c r="AJ14" s="237" t="str">
        <f>VALO_PERSO!I13</f>
        <v>Assistant Ingenieur</v>
      </c>
      <c r="AK14" s="238">
        <f>VALO_PERSO!AS13</f>
        <v>479.24248405851461</v>
      </c>
      <c r="AL14" s="238">
        <f>VALO_PERSO!AT13</f>
        <v>49443.636254981655</v>
      </c>
      <c r="AM14" s="238">
        <f>VALO_PERSO!AU13</f>
        <v>0</v>
      </c>
      <c r="AN14" s="238">
        <f>VALO_PERSO!AV13</f>
        <v>0</v>
      </c>
      <c r="AO14" s="238">
        <f>VALO_PERSO!AW13</f>
        <v>479.24248405851461</v>
      </c>
      <c r="AP14" s="238">
        <f>VALO_PERSO!AX13</f>
        <v>0</v>
      </c>
      <c r="AQ14" s="238">
        <f>VALO_PERSO!AZ13</f>
        <v>50402.121223098686</v>
      </c>
      <c r="AR14" s="241">
        <f>VALO_PERSO!BB13</f>
        <v>0</v>
      </c>
      <c r="AS14" s="241">
        <f>VALO_PERSO!BD13</f>
        <v>0</v>
      </c>
      <c r="AT14" s="238">
        <f t="shared" si="2"/>
        <v>50402.121223098686</v>
      </c>
      <c r="AU14" s="240"/>
      <c r="AV14" s="318"/>
      <c r="AW14" s="240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I14" s="111"/>
      <c r="BJ14" s="111"/>
      <c r="BK14" s="111"/>
      <c r="BL14" s="111"/>
      <c r="BM14" s="111"/>
      <c r="BN14" s="111"/>
      <c r="BO14" s="111"/>
      <c r="BP14" s="111"/>
      <c r="BQ14" s="111"/>
      <c r="BS14" s="111"/>
      <c r="BT14" s="111"/>
      <c r="BU14" s="111"/>
      <c r="BV14" s="111"/>
    </row>
    <row r="15" spans="1:88" x14ac:dyDescent="0.25">
      <c r="Q15" s="111"/>
      <c r="R15" s="312" t="str">
        <f>VALO_PERSO!G14</f>
        <v>FERNANDEZ</v>
      </c>
      <c r="S15" s="237" t="str">
        <f>VALO_PERSO!H14</f>
        <v>Bob</v>
      </c>
      <c r="T15" s="237" t="str">
        <f>VALO_PERSO!I14</f>
        <v>Ingénieur d'études</v>
      </c>
      <c r="U15" s="238">
        <f>VALO_PERSO!W14</f>
        <v>1649.24</v>
      </c>
      <c r="V15" s="238">
        <f>VALO_PERSO!Y14</f>
        <v>230.45000000000002</v>
      </c>
      <c r="W15" s="238">
        <f>VALO_PERSO!Z14</f>
        <v>797.93000000000143</v>
      </c>
      <c r="X15" s="238">
        <f>VALO_PERSO!AA14</f>
        <v>259.7299999999999</v>
      </c>
      <c r="Y15" s="238">
        <f>VALO_PERSO!AB14</f>
        <v>0</v>
      </c>
      <c r="Z15" s="238">
        <f>VALO_PERSO!AC14</f>
        <v>0</v>
      </c>
      <c r="AA15" s="238">
        <f>VALO_PERSO!AD14</f>
        <v>0</v>
      </c>
      <c r="AB15" s="238">
        <f>VALO_PERSO!AF14</f>
        <v>1288.1100000000015</v>
      </c>
      <c r="AC15" s="238">
        <f>VALO_PERSO!AI14</f>
        <v>0</v>
      </c>
      <c r="AD15" s="238">
        <f>VALO_PERSO!AK14</f>
        <v>0</v>
      </c>
      <c r="AE15" s="238">
        <f t="shared" si="0"/>
        <v>1288.1100000000015</v>
      </c>
      <c r="AF15" s="252" t="e">
        <f t="shared" si="1"/>
        <v>#REF!</v>
      </c>
      <c r="AG15" s="111"/>
      <c r="AH15" s="237" t="str">
        <f>VALO_PERSO!G14</f>
        <v>FERNANDEZ</v>
      </c>
      <c r="AI15" s="237" t="str">
        <f>VALO_PERSO!H14</f>
        <v>Bob</v>
      </c>
      <c r="AJ15" s="237" t="str">
        <f>VALO_PERSO!I14</f>
        <v>Ingénieur d'études</v>
      </c>
      <c r="AK15" s="238">
        <f>VALO_PERSO!AS14</f>
        <v>11751.113934297011</v>
      </c>
      <c r="AL15" s="238">
        <f>VALO_PERSO!AT14</f>
        <v>40688.072647401306</v>
      </c>
      <c r="AM15" s="238">
        <f>VALO_PERSO!AU14</f>
        <v>13244.160651572842</v>
      </c>
      <c r="AN15" s="238">
        <f>VALO_PERSO!AV14</f>
        <v>0</v>
      </c>
      <c r="AO15" s="238">
        <f>VALO_PERSO!AW14</f>
        <v>0</v>
      </c>
      <c r="AP15" s="238">
        <f>VALO_PERSO!AX14</f>
        <v>0</v>
      </c>
      <c r="AQ15" s="238">
        <f>VALO_PERSO!AZ14</f>
        <v>65683.347233271168</v>
      </c>
      <c r="AR15" s="241">
        <f>VALO_PERSO!BB14</f>
        <v>0</v>
      </c>
      <c r="AS15" s="241">
        <f>VALO_PERSO!BD14</f>
        <v>0</v>
      </c>
      <c r="AT15" s="238">
        <f t="shared" si="2"/>
        <v>65683.347233271168</v>
      </c>
      <c r="AU15" s="240"/>
      <c r="AV15" s="318"/>
      <c r="AW15" s="240"/>
      <c r="AX15" s="111"/>
      <c r="AY15" s="111"/>
      <c r="AZ15" s="111"/>
      <c r="BA15" s="111"/>
      <c r="BB15" s="111"/>
      <c r="BC15" s="111"/>
      <c r="BD15" s="111"/>
      <c r="BE15" s="111"/>
      <c r="BF15" s="111"/>
      <c r="BG15" s="111"/>
      <c r="BI15" s="111"/>
      <c r="BJ15" s="111"/>
      <c r="BK15" s="111"/>
      <c r="BL15" s="111"/>
      <c r="BM15" s="111"/>
      <c r="BN15" s="111"/>
      <c r="BO15" s="111"/>
      <c r="BP15" s="111"/>
      <c r="BQ15" s="111"/>
      <c r="BS15" s="111"/>
      <c r="BT15" s="111"/>
      <c r="BU15" s="111"/>
      <c r="BV15" s="111"/>
    </row>
    <row r="16" spans="1:88" x14ac:dyDescent="0.25">
      <c r="Q16" s="111"/>
      <c r="R16" s="312" t="str">
        <f>VALO_PERSO!G15</f>
        <v>SCHIAVON</v>
      </c>
      <c r="S16" s="237" t="str">
        <f>VALO_PERSO!H15</f>
        <v>Caroline</v>
      </c>
      <c r="T16" s="237" t="str">
        <f>VALO_PERSO!I15</f>
        <v>Ingénieur d'études</v>
      </c>
      <c r="U16" s="238">
        <f>VALO_PERSO!W15</f>
        <v>1035.6600000000001</v>
      </c>
      <c r="V16" s="238">
        <f>VALO_PERSO!Y15</f>
        <v>976.60000000000241</v>
      </c>
      <c r="W16" s="238">
        <f>VALO_PERSO!Z15</f>
        <v>0</v>
      </c>
      <c r="X16" s="238">
        <f>VALO_PERSO!AA15</f>
        <v>0</v>
      </c>
      <c r="Y16" s="238">
        <f>VALO_PERSO!AB15</f>
        <v>0</v>
      </c>
      <c r="Z16" s="238">
        <f>VALO_PERSO!AC15</f>
        <v>0</v>
      </c>
      <c r="AA16" s="238">
        <f>VALO_PERSO!AD15</f>
        <v>0</v>
      </c>
      <c r="AB16" s="238">
        <f>VALO_PERSO!AF15</f>
        <v>976.60000000000241</v>
      </c>
      <c r="AC16" s="238">
        <f>VALO_PERSO!AI15</f>
        <v>0</v>
      </c>
      <c r="AD16" s="238">
        <f>VALO_PERSO!AK15</f>
        <v>0</v>
      </c>
      <c r="AE16" s="238">
        <f t="shared" si="0"/>
        <v>976.60000000000241</v>
      </c>
      <c r="AF16" s="252" t="e">
        <f t="shared" si="1"/>
        <v>#REF!</v>
      </c>
      <c r="AG16" s="111"/>
      <c r="AH16" s="237" t="str">
        <f>VALO_PERSO!G15</f>
        <v>SCHIAVON</v>
      </c>
      <c r="AI16" s="237" t="str">
        <f>VALO_PERSO!H15</f>
        <v>Caroline</v>
      </c>
      <c r="AJ16" s="237" t="str">
        <f>VALO_PERSO!I15</f>
        <v>Ingénieur d'études</v>
      </c>
      <c r="AK16" s="238">
        <f>VALO_PERSO!AS15</f>
        <v>61288.293248749731</v>
      </c>
      <c r="AL16" s="238">
        <f>VALO_PERSO!AT15</f>
        <v>0</v>
      </c>
      <c r="AM16" s="238">
        <f>VALO_PERSO!AU15</f>
        <v>0</v>
      </c>
      <c r="AN16" s="238">
        <f>VALO_PERSO!AV15</f>
        <v>0</v>
      </c>
      <c r="AO16" s="238">
        <f>VALO_PERSO!AW15</f>
        <v>0</v>
      </c>
      <c r="AP16" s="238">
        <f>VALO_PERSO!AX15</f>
        <v>0</v>
      </c>
      <c r="AQ16" s="238">
        <f>VALO_PERSO!AZ15</f>
        <v>61288.293248749731</v>
      </c>
      <c r="AR16" s="241">
        <f>VALO_PERSO!BB15</f>
        <v>0</v>
      </c>
      <c r="AS16" s="241">
        <f>VALO_PERSO!BD15</f>
        <v>0</v>
      </c>
      <c r="AT16" s="238">
        <f t="shared" si="2"/>
        <v>61288.293248749731</v>
      </c>
      <c r="AU16" s="240"/>
      <c r="AV16" s="318"/>
      <c r="AW16" s="240"/>
      <c r="AX16" s="111"/>
      <c r="AY16" s="111"/>
      <c r="AZ16" s="111"/>
      <c r="BA16" s="111"/>
      <c r="BB16" s="111"/>
      <c r="BC16" s="111"/>
      <c r="BD16" s="111"/>
      <c r="BE16" s="111"/>
      <c r="BF16" s="111"/>
      <c r="BG16" s="111"/>
      <c r="BI16" s="111"/>
      <c r="BJ16" s="111"/>
      <c r="BK16" s="111"/>
      <c r="BL16" s="111"/>
      <c r="BM16" s="111"/>
      <c r="BN16" s="111"/>
      <c r="BO16" s="111"/>
      <c r="BP16" s="111"/>
      <c r="BQ16" s="111"/>
      <c r="BS16" s="111"/>
      <c r="BT16" s="111"/>
      <c r="BU16" s="111"/>
      <c r="BV16" s="111"/>
    </row>
    <row r="17" spans="1:74" x14ac:dyDescent="0.25">
      <c r="Q17" s="111"/>
      <c r="R17" s="312" t="str">
        <f>VALO_PERSO!G16</f>
        <v>RAMOS-AZNAR</v>
      </c>
      <c r="S17" s="237" t="str">
        <f>VALO_PERSO!H16</f>
        <v>Nuria</v>
      </c>
      <c r="T17" s="237" t="str">
        <f>VALO_PERSO!I16</f>
        <v>Ingenieur</v>
      </c>
      <c r="U17" s="238">
        <f>VALO_PERSO!W16</f>
        <v>1672.0399999999997</v>
      </c>
      <c r="V17" s="238">
        <f>VALO_PERSO!Y16</f>
        <v>0</v>
      </c>
      <c r="W17" s="238">
        <f>VALO_PERSO!Z16</f>
        <v>0</v>
      </c>
      <c r="X17" s="238">
        <f>VALO_PERSO!AA16</f>
        <v>0</v>
      </c>
      <c r="Y17" s="238">
        <f>VALO_PERSO!AB16</f>
        <v>1512.3999999999962</v>
      </c>
      <c r="Z17" s="238">
        <f>VALO_PERSO!AC16</f>
        <v>0</v>
      </c>
      <c r="AA17" s="238">
        <f>VALO_PERSO!AD16</f>
        <v>0</v>
      </c>
      <c r="AB17" s="238">
        <f>VALO_PERSO!AF16</f>
        <v>1512.3999999999962</v>
      </c>
      <c r="AC17" s="238">
        <f>VALO_PERSO!AI16</f>
        <v>0</v>
      </c>
      <c r="AD17" s="238">
        <f>VALO_PERSO!AK16</f>
        <v>0</v>
      </c>
      <c r="AE17" s="238">
        <f t="shared" si="0"/>
        <v>1512.3999999999962</v>
      </c>
      <c r="AF17" s="252" t="e">
        <f t="shared" si="1"/>
        <v>#REF!</v>
      </c>
      <c r="AG17" s="111"/>
      <c r="AH17" s="237" t="str">
        <f>VALO_PERSO!G16</f>
        <v>RAMOS-AZNAR</v>
      </c>
      <c r="AI17" s="237" t="str">
        <f>VALO_PERSO!H16</f>
        <v>Nuria</v>
      </c>
      <c r="AJ17" s="237" t="str">
        <f>VALO_PERSO!I16</f>
        <v>Ingenieur</v>
      </c>
      <c r="AK17" s="238">
        <f>VALO_PERSO!AS16</f>
        <v>0</v>
      </c>
      <c r="AL17" s="238">
        <f>VALO_PERSO!AT16</f>
        <v>0</v>
      </c>
      <c r="AM17" s="238">
        <f>VALO_PERSO!AU16</f>
        <v>0</v>
      </c>
      <c r="AN17" s="238">
        <f>VALO_PERSO!AV16</f>
        <v>74223.469500729479</v>
      </c>
      <c r="AO17" s="238">
        <f>VALO_PERSO!AW16</f>
        <v>0</v>
      </c>
      <c r="AP17" s="238">
        <f>VALO_PERSO!AX16</f>
        <v>0</v>
      </c>
      <c r="AQ17" s="238">
        <f>VALO_PERSO!AZ16</f>
        <v>74223.469500729479</v>
      </c>
      <c r="AR17" s="241">
        <f>VALO_PERSO!BB16</f>
        <v>0</v>
      </c>
      <c r="AS17" s="241">
        <f>VALO_PERSO!BD16</f>
        <v>0</v>
      </c>
      <c r="AT17" s="238">
        <f t="shared" si="2"/>
        <v>74223.469500729479</v>
      </c>
      <c r="AU17" s="240"/>
      <c r="AV17" s="318"/>
      <c r="AW17" s="240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I17" s="111"/>
      <c r="BJ17" s="111"/>
      <c r="BK17" s="111"/>
      <c r="BL17" s="111"/>
      <c r="BM17" s="111"/>
      <c r="BN17" s="111"/>
      <c r="BO17" s="111"/>
      <c r="BP17" s="111"/>
      <c r="BQ17" s="111"/>
      <c r="BS17" s="111"/>
      <c r="BT17" s="111"/>
      <c r="BU17" s="111"/>
      <c r="BV17" s="111"/>
    </row>
    <row r="18" spans="1:74" x14ac:dyDescent="0.25">
      <c r="Q18" s="111"/>
      <c r="R18" s="312" t="e">
        <f>VALO_PERSO!#REF!</f>
        <v>#REF!</v>
      </c>
      <c r="S18" s="237" t="e">
        <f>VALO_PERSO!#REF!</f>
        <v>#REF!</v>
      </c>
      <c r="T18" s="237" t="e">
        <f>VALO_PERSO!#REF!</f>
        <v>#REF!</v>
      </c>
      <c r="U18" s="238" t="e">
        <f>VALO_PERSO!#REF!</f>
        <v>#REF!</v>
      </c>
      <c r="V18" s="238" t="e">
        <f>VALO_PERSO!#REF!</f>
        <v>#REF!</v>
      </c>
      <c r="W18" s="238" t="e">
        <f>VALO_PERSO!#REF!</f>
        <v>#REF!</v>
      </c>
      <c r="X18" s="238" t="e">
        <f>VALO_PERSO!#REF!</f>
        <v>#REF!</v>
      </c>
      <c r="Y18" s="238" t="e">
        <f>VALO_PERSO!#REF!</f>
        <v>#REF!</v>
      </c>
      <c r="Z18" s="238" t="e">
        <f>VALO_PERSO!#REF!</f>
        <v>#REF!</v>
      </c>
      <c r="AA18" s="238" t="e">
        <f>VALO_PERSO!#REF!</f>
        <v>#REF!</v>
      </c>
      <c r="AB18" s="238" t="e">
        <f>VALO_PERSO!#REF!</f>
        <v>#REF!</v>
      </c>
      <c r="AC18" s="238" t="e">
        <f>VALO_PERSO!#REF!</f>
        <v>#REF!</v>
      </c>
      <c r="AD18" s="238" t="e">
        <f>VALO_PERSO!#REF!</f>
        <v>#REF!</v>
      </c>
      <c r="AE18" s="238" t="e">
        <f t="shared" si="0"/>
        <v>#REF!</v>
      </c>
      <c r="AF18" s="252" t="e">
        <f t="shared" si="1"/>
        <v>#REF!</v>
      </c>
      <c r="AG18" s="111"/>
      <c r="AH18" s="237" t="e">
        <f>VALO_PERSO!#REF!</f>
        <v>#REF!</v>
      </c>
      <c r="AI18" s="237" t="e">
        <f>VALO_PERSO!#REF!</f>
        <v>#REF!</v>
      </c>
      <c r="AJ18" s="237" t="e">
        <f>VALO_PERSO!#REF!</f>
        <v>#REF!</v>
      </c>
      <c r="AK18" s="238" t="e">
        <f>VALO_PERSO!#REF!</f>
        <v>#REF!</v>
      </c>
      <c r="AL18" s="238" t="e">
        <f>VALO_PERSO!#REF!</f>
        <v>#REF!</v>
      </c>
      <c r="AM18" s="238" t="e">
        <f>VALO_PERSO!#REF!</f>
        <v>#REF!</v>
      </c>
      <c r="AN18" s="238" t="e">
        <f>VALO_PERSO!#REF!</f>
        <v>#REF!</v>
      </c>
      <c r="AO18" s="238" t="e">
        <f>VALO_PERSO!#REF!</f>
        <v>#REF!</v>
      </c>
      <c r="AP18" s="238" t="e">
        <f>VALO_PERSO!#REF!</f>
        <v>#REF!</v>
      </c>
      <c r="AQ18" s="238" t="e">
        <f>VALO_PERSO!#REF!</f>
        <v>#REF!</v>
      </c>
      <c r="AR18" s="241" t="e">
        <f>VALO_PERSO!#REF!</f>
        <v>#REF!</v>
      </c>
      <c r="AS18" s="241" t="e">
        <f>VALO_PERSO!#REF!</f>
        <v>#REF!</v>
      </c>
      <c r="AT18" s="238" t="e">
        <f t="shared" si="2"/>
        <v>#REF!</v>
      </c>
      <c r="AU18" s="240"/>
      <c r="AV18" s="318"/>
      <c r="AW18" s="240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I18" s="111"/>
      <c r="BJ18" s="111"/>
      <c r="BK18" s="111"/>
      <c r="BL18" s="111"/>
      <c r="BM18" s="111"/>
      <c r="BN18" s="111"/>
      <c r="BO18" s="111"/>
      <c r="BP18" s="111"/>
      <c r="BQ18" s="111"/>
      <c r="BS18" s="111"/>
      <c r="BT18" s="111"/>
      <c r="BU18" s="111"/>
      <c r="BV18" s="111"/>
    </row>
    <row r="19" spans="1:74" x14ac:dyDescent="0.25">
      <c r="Q19" s="111"/>
      <c r="R19" s="312" t="str">
        <f>VALO_PERSO!G17</f>
        <v>BARRY</v>
      </c>
      <c r="S19" s="237" t="str">
        <f>VALO_PERSO!H17</f>
        <v>Benjamin</v>
      </c>
      <c r="T19" s="237" t="str">
        <f>VALO_PERSO!I17</f>
        <v>Ingenieur</v>
      </c>
      <c r="U19" s="238">
        <f>VALO_PERSO!W17</f>
        <v>1637.84</v>
      </c>
      <c r="V19" s="238">
        <f>VALO_PERSO!Y17</f>
        <v>255.99999999999997</v>
      </c>
      <c r="W19" s="238">
        <f>VALO_PERSO!Z17</f>
        <v>1228.5000000000007</v>
      </c>
      <c r="X19" s="238">
        <f>VALO_PERSO!AA17</f>
        <v>0</v>
      </c>
      <c r="Y19" s="238">
        <f>VALO_PERSO!AB17</f>
        <v>0</v>
      </c>
      <c r="Z19" s="238">
        <f>VALO_PERSO!AC17</f>
        <v>7.6</v>
      </c>
      <c r="AA19" s="238">
        <f>VALO_PERSO!AD17</f>
        <v>0</v>
      </c>
      <c r="AB19" s="238">
        <f>VALO_PERSO!AF17</f>
        <v>1492.1000000000006</v>
      </c>
      <c r="AC19" s="238">
        <f>VALO_PERSO!AI17</f>
        <v>0</v>
      </c>
      <c r="AD19" s="238">
        <f>VALO_PERSO!AK17</f>
        <v>0</v>
      </c>
      <c r="AE19" s="238">
        <f t="shared" si="0"/>
        <v>1492.1000000000006</v>
      </c>
      <c r="AF19" s="252" t="e">
        <f t="shared" si="1"/>
        <v>#REF!</v>
      </c>
      <c r="AG19" s="111"/>
      <c r="AH19" s="237" t="str">
        <f>VALO_PERSO!G17</f>
        <v>BARRY</v>
      </c>
      <c r="AI19" s="237" t="str">
        <f>VALO_PERSO!H17</f>
        <v>Benjamin</v>
      </c>
      <c r="AJ19" s="237" t="str">
        <f>VALO_PERSO!I17</f>
        <v>Ingenieur</v>
      </c>
      <c r="AK19" s="238">
        <f>VALO_PERSO!AS17</f>
        <v>13352.682655204413</v>
      </c>
      <c r="AL19" s="238">
        <f>VALO_PERSO!AT17</f>
        <v>64077.229069994661</v>
      </c>
      <c r="AM19" s="238">
        <f>VALO_PERSO!AU17</f>
        <v>0</v>
      </c>
      <c r="AN19" s="238">
        <f>VALO_PERSO!AV17</f>
        <v>0</v>
      </c>
      <c r="AO19" s="238">
        <f>VALO_PERSO!AW17</f>
        <v>396.40776632638108</v>
      </c>
      <c r="AP19" s="238">
        <f>VALO_PERSO!AX17</f>
        <v>0</v>
      </c>
      <c r="AQ19" s="238">
        <f>VALO_PERSO!AZ17</f>
        <v>77826.319491525443</v>
      </c>
      <c r="AR19" s="241">
        <f>VALO_PERSO!BB17</f>
        <v>0</v>
      </c>
      <c r="AS19" s="241">
        <f>VALO_PERSO!BD17</f>
        <v>0</v>
      </c>
      <c r="AT19" s="238">
        <f t="shared" si="2"/>
        <v>77826.319491525443</v>
      </c>
      <c r="AU19" s="240"/>
      <c r="AV19" s="318"/>
      <c r="AW19" s="240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I19" s="111"/>
      <c r="BJ19" s="111"/>
      <c r="BK19" s="111"/>
      <c r="BL19" s="111"/>
      <c r="BM19" s="111"/>
      <c r="BN19" s="111"/>
      <c r="BO19" s="111"/>
      <c r="BP19" s="111"/>
      <c r="BQ19" s="111"/>
      <c r="BS19" s="111"/>
      <c r="BT19" s="111"/>
      <c r="BU19" s="111"/>
      <c r="BV19" s="111"/>
    </row>
    <row r="20" spans="1:74" x14ac:dyDescent="0.25">
      <c r="Q20" s="111"/>
      <c r="R20" s="312" t="str">
        <f>VALO_PERSO!G49</f>
        <v>MOALIC</v>
      </c>
      <c r="S20" s="237" t="str">
        <f>VALO_PERSO!H49</f>
        <v>Briac</v>
      </c>
      <c r="T20" s="237" t="str">
        <f>VALO_PERSO!I49</f>
        <v>Apprenti</v>
      </c>
      <c r="U20" s="238">
        <f>VALO_PERSO!W49</f>
        <v>599.67999999999995</v>
      </c>
      <c r="V20" s="238">
        <f>VALO_PERSO!Y49</f>
        <v>0</v>
      </c>
      <c r="W20" s="238">
        <f>VALO_PERSO!Z49</f>
        <v>0</v>
      </c>
      <c r="X20" s="238">
        <f>VALO_PERSO!AA49</f>
        <v>0</v>
      </c>
      <c r="Y20" s="238">
        <f>VALO_PERSO!AB49</f>
        <v>0</v>
      </c>
      <c r="Z20" s="238">
        <f>VALO_PERSO!AC49</f>
        <v>301</v>
      </c>
      <c r="AA20" s="238">
        <f>VALO_PERSO!AD49</f>
        <v>0</v>
      </c>
      <c r="AB20" s="238">
        <f>VALO_PERSO!AF49</f>
        <v>301</v>
      </c>
      <c r="AC20" s="238">
        <f>VALO_PERSO!AI49</f>
        <v>0</v>
      </c>
      <c r="AD20" s="238">
        <f>VALO_PERSO!AK49</f>
        <v>0</v>
      </c>
      <c r="AE20" s="238">
        <f t="shared" si="0"/>
        <v>301</v>
      </c>
      <c r="AF20" s="252" t="e">
        <f t="shared" si="1"/>
        <v>#REF!</v>
      </c>
      <c r="AG20" s="111"/>
      <c r="AH20" s="237" t="str">
        <f>VALO_PERSO!G49</f>
        <v>MOALIC</v>
      </c>
      <c r="AI20" s="237" t="str">
        <f>VALO_PERSO!H49</f>
        <v>Briac</v>
      </c>
      <c r="AJ20" s="237" t="str">
        <f>VALO_PERSO!I49</f>
        <v>Apprenti</v>
      </c>
      <c r="AK20" s="238">
        <f>VALO_PERSO!AS49</f>
        <v>0</v>
      </c>
      <c r="AL20" s="238">
        <f>VALO_PERSO!AT49</f>
        <v>0</v>
      </c>
      <c r="AM20" s="238">
        <f>VALO_PERSO!AU49</f>
        <v>0</v>
      </c>
      <c r="AN20" s="238">
        <f>VALO_PERSO!AV49</f>
        <v>0</v>
      </c>
      <c r="AO20" s="238">
        <f>VALO_PERSO!AW49</f>
        <v>2980.3256403415162</v>
      </c>
      <c r="AP20" s="238">
        <f>VALO_PERSO!AX49</f>
        <v>0</v>
      </c>
      <c r="AQ20" s="238">
        <f>VALO_PERSO!AZ49</f>
        <v>2980.3256403415162</v>
      </c>
      <c r="AR20" s="241">
        <f>VALO_PERSO!BB49</f>
        <v>0</v>
      </c>
      <c r="AS20" s="241">
        <f>VALO_PERSO!BD49</f>
        <v>0</v>
      </c>
      <c r="AT20" s="238">
        <f t="shared" si="2"/>
        <v>2980.3256403415162</v>
      </c>
      <c r="AU20" s="240"/>
      <c r="AV20" s="318"/>
      <c r="AW20" s="240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I20" s="111"/>
      <c r="BJ20" s="111"/>
      <c r="BK20" s="111"/>
      <c r="BL20" s="111"/>
      <c r="BM20" s="111"/>
      <c r="BN20" s="111"/>
      <c r="BO20" s="111"/>
      <c r="BP20" s="111"/>
      <c r="BQ20" s="111"/>
      <c r="BS20" s="111"/>
      <c r="BT20" s="111"/>
      <c r="BU20" s="111"/>
      <c r="BV20" s="111"/>
    </row>
    <row r="21" spans="1:74" x14ac:dyDescent="0.25">
      <c r="Q21" s="111"/>
      <c r="R21" s="312">
        <f>VALO_PERSO!G50</f>
        <v>0</v>
      </c>
      <c r="S21" s="237">
        <f>VALO_PERSO!H50</f>
        <v>0</v>
      </c>
      <c r="T21" s="237">
        <f>VALO_PERSO!I50</f>
        <v>0</v>
      </c>
      <c r="U21" s="238">
        <f>VALO_PERSO!W50</f>
        <v>0</v>
      </c>
      <c r="V21" s="238">
        <f>VALO_PERSO!Y50</f>
        <v>5718.6520449041291</v>
      </c>
      <c r="W21" s="238">
        <f>VALO_PERSO!Z50</f>
        <v>21903.924203602095</v>
      </c>
      <c r="X21" s="238">
        <f>VALO_PERSO!AA50</f>
        <v>11249.254666175582</v>
      </c>
      <c r="Y21" s="238">
        <f>VALO_PERSO!AB50</f>
        <v>2013.2688883495109</v>
      </c>
      <c r="Z21" s="238">
        <f>VALO_PERSO!AC50</f>
        <v>2798.1223300970901</v>
      </c>
      <c r="AA21" s="238">
        <f>VALO_PERSO!AD50</f>
        <v>700.58386687160214</v>
      </c>
      <c r="AB21" s="238">
        <f>VALO_PERSO!AF50</f>
        <v>44383.806000000011</v>
      </c>
      <c r="AC21" s="238">
        <f>VALO_PERSO!AI50</f>
        <v>0</v>
      </c>
      <c r="AD21" s="238">
        <f>VALO_PERSO!AK50</f>
        <v>0</v>
      </c>
      <c r="AE21" s="238">
        <f t="shared" si="0"/>
        <v>44383.806000000011</v>
      </c>
      <c r="AF21" s="252" t="e">
        <f t="shared" si="1"/>
        <v>#REF!</v>
      </c>
      <c r="AG21" s="111"/>
      <c r="AH21" s="237">
        <f>VALO_PERSO!G50</f>
        <v>0</v>
      </c>
      <c r="AI21" s="237">
        <f>VALO_PERSO!H50</f>
        <v>0</v>
      </c>
      <c r="AJ21" s="237">
        <f>VALO_PERSO!I50</f>
        <v>0</v>
      </c>
      <c r="AK21" s="238">
        <f>VALO_PERSO!AS50</f>
        <v>265179.57388605969</v>
      </c>
      <c r="AL21" s="238">
        <f>VALO_PERSO!AT50</f>
        <v>1010469.3655903434</v>
      </c>
      <c r="AM21" s="238">
        <f>VALO_PERSO!AU50</f>
        <v>489463.51341966179</v>
      </c>
      <c r="AN21" s="238">
        <f>VALO_PERSO!AV50</f>
        <v>110422.64993353636</v>
      </c>
      <c r="AO21" s="238">
        <f>VALO_PERSO!AW50</f>
        <v>136662.03178787552</v>
      </c>
      <c r="AP21" s="238">
        <f>VALO_PERSO!AX50</f>
        <v>36003.563384795474</v>
      </c>
      <c r="AQ21" s="238">
        <f>VALO_PERSO!AZ50</f>
        <v>2048200.6980022709</v>
      </c>
      <c r="AR21" s="241">
        <f>VALO_PERSO!BB50</f>
        <v>0</v>
      </c>
      <c r="AS21" s="241">
        <f>VALO_PERSO!BD50</f>
        <v>0</v>
      </c>
      <c r="AT21" s="238">
        <f t="shared" si="2"/>
        <v>2048200.6980022709</v>
      </c>
      <c r="AU21" s="240"/>
      <c r="AV21" s="318"/>
      <c r="AW21" s="240"/>
      <c r="AX21" s="111"/>
      <c r="AY21" s="111"/>
      <c r="AZ21" s="111"/>
      <c r="BA21" s="111"/>
      <c r="BB21" s="111"/>
      <c r="BC21" s="111"/>
      <c r="BD21" s="111"/>
      <c r="BE21" s="111"/>
      <c r="BF21" s="111"/>
      <c r="BG21" s="111"/>
      <c r="BI21" s="111"/>
      <c r="BJ21" s="111"/>
      <c r="BK21" s="111"/>
      <c r="BL21" s="111"/>
      <c r="BM21" s="111"/>
      <c r="BN21" s="111"/>
      <c r="BO21" s="111"/>
      <c r="BP21" s="111"/>
      <c r="BQ21" s="111"/>
      <c r="BS21" s="111"/>
      <c r="BT21" s="111"/>
      <c r="BU21" s="111"/>
      <c r="BV21" s="111"/>
    </row>
    <row r="22" spans="1:74" x14ac:dyDescent="0.25">
      <c r="Q22" s="111"/>
      <c r="R22" s="312">
        <f>VALO_PERSO!G51</f>
        <v>0</v>
      </c>
      <c r="S22" s="237">
        <f>VALO_PERSO!H51</f>
        <v>0</v>
      </c>
      <c r="T22" s="237">
        <f>VALO_PERSO!I51</f>
        <v>0</v>
      </c>
      <c r="U22" s="238">
        <f>VALO_PERSO!W51</f>
        <v>0</v>
      </c>
      <c r="V22" s="238">
        <f>VALO_PERSO!Y51</f>
        <v>0</v>
      </c>
      <c r="W22" s="238">
        <f>VALO_PERSO!Z51</f>
        <v>0</v>
      </c>
      <c r="X22" s="238">
        <f>VALO_PERSO!AA51</f>
        <v>0</v>
      </c>
      <c r="Y22" s="238">
        <f>VALO_PERSO!AB51</f>
        <v>0</v>
      </c>
      <c r="Z22" s="238">
        <f>VALO_PERSO!AC51</f>
        <v>0</v>
      </c>
      <c r="AA22" s="238">
        <f>VALO_PERSO!AD51</f>
        <v>0</v>
      </c>
      <c r="AB22" s="238">
        <f>VALO_PERSO!AF51</f>
        <v>0</v>
      </c>
      <c r="AC22" s="238">
        <f>VALO_PERSO!AI51</f>
        <v>0</v>
      </c>
      <c r="AD22" s="238">
        <f>VALO_PERSO!AK51</f>
        <v>0</v>
      </c>
      <c r="AE22" s="238">
        <f t="shared" si="0"/>
        <v>0</v>
      </c>
      <c r="AF22" s="252" t="e">
        <f t="shared" si="1"/>
        <v>#REF!</v>
      </c>
      <c r="AG22" s="111"/>
      <c r="AH22" s="237">
        <f>VALO_PERSO!G51</f>
        <v>0</v>
      </c>
      <c r="AI22" s="237">
        <f>VALO_PERSO!H51</f>
        <v>0</v>
      </c>
      <c r="AJ22" s="237">
        <f>VALO_PERSO!I51</f>
        <v>0</v>
      </c>
      <c r="AK22" s="238">
        <f>VALO_PERSO!AS51</f>
        <v>0</v>
      </c>
      <c r="AL22" s="238">
        <f>VALO_PERSO!AT51</f>
        <v>0</v>
      </c>
      <c r="AM22" s="238">
        <f>VALO_PERSO!AU51</f>
        <v>0</v>
      </c>
      <c r="AN22" s="238">
        <f>VALO_PERSO!AV51</f>
        <v>0</v>
      </c>
      <c r="AO22" s="238">
        <f>VALO_PERSO!AW51</f>
        <v>0</v>
      </c>
      <c r="AP22" s="238">
        <f>VALO_PERSO!AX51</f>
        <v>0</v>
      </c>
      <c r="AQ22" s="238">
        <f>VALO_PERSO!AZ51</f>
        <v>0</v>
      </c>
      <c r="AR22" s="241">
        <f>VALO_PERSO!BB51</f>
        <v>0</v>
      </c>
      <c r="AS22" s="241">
        <f>VALO_PERSO!BD51</f>
        <v>0</v>
      </c>
      <c r="AT22" s="238">
        <f t="shared" si="2"/>
        <v>0</v>
      </c>
      <c r="AU22" s="240"/>
      <c r="AV22" s="318"/>
      <c r="AW22" s="240"/>
      <c r="AX22" s="111"/>
      <c r="AY22" s="111"/>
      <c r="AZ22" s="111"/>
      <c r="BA22" s="111"/>
      <c r="BB22" s="111"/>
      <c r="BC22" s="111"/>
      <c r="BD22" s="111"/>
      <c r="BE22" s="111"/>
      <c r="BF22" s="111"/>
      <c r="BG22" s="111"/>
      <c r="BI22" s="111"/>
      <c r="BJ22" s="111"/>
      <c r="BK22" s="111"/>
      <c r="BL22" s="111"/>
      <c r="BM22" s="111"/>
      <c r="BN22" s="111"/>
      <c r="BO22" s="111"/>
      <c r="BP22" s="111"/>
      <c r="BQ22" s="111"/>
      <c r="BS22" s="111"/>
      <c r="BT22" s="111"/>
      <c r="BU22" s="111"/>
      <c r="BV22" s="111"/>
    </row>
    <row r="23" spans="1:74" x14ac:dyDescent="0.25">
      <c r="Q23" s="111"/>
      <c r="R23" s="312">
        <f>VALO_PERSO!G52</f>
        <v>0</v>
      </c>
      <c r="S23" s="237">
        <f>VALO_PERSO!H52</f>
        <v>0</v>
      </c>
      <c r="T23" s="237">
        <f>VALO_PERSO!I52</f>
        <v>0</v>
      </c>
      <c r="U23" s="238">
        <f>VALO_PERSO!W52</f>
        <v>0</v>
      </c>
      <c r="V23" s="238">
        <f>VALO_PERSO!Y52</f>
        <v>0</v>
      </c>
      <c r="W23" s="238">
        <f>VALO_PERSO!Z52</f>
        <v>0</v>
      </c>
      <c r="X23" s="238">
        <f>VALO_PERSO!AA52</f>
        <v>0</v>
      </c>
      <c r="Y23" s="238">
        <f>VALO_PERSO!AB52</f>
        <v>0</v>
      </c>
      <c r="Z23" s="238">
        <f>VALO_PERSO!AC52</f>
        <v>0</v>
      </c>
      <c r="AA23" s="238">
        <f>VALO_PERSO!AD52</f>
        <v>0</v>
      </c>
      <c r="AB23" s="238">
        <f>VALO_PERSO!AF52</f>
        <v>0</v>
      </c>
      <c r="AC23" s="238">
        <f>VALO_PERSO!AI52</f>
        <v>0</v>
      </c>
      <c r="AD23" s="238">
        <f>VALO_PERSO!AK52</f>
        <v>0</v>
      </c>
      <c r="AE23" s="238">
        <f t="shared" si="0"/>
        <v>0</v>
      </c>
      <c r="AF23" s="252" t="e">
        <f t="shared" si="1"/>
        <v>#REF!</v>
      </c>
      <c r="AG23" s="111"/>
      <c r="AH23" s="237">
        <f>VALO_PERSO!G52</f>
        <v>0</v>
      </c>
      <c r="AI23" s="237">
        <f>VALO_PERSO!H52</f>
        <v>0</v>
      </c>
      <c r="AJ23" s="237">
        <f>VALO_PERSO!I52</f>
        <v>0</v>
      </c>
      <c r="AK23" s="238">
        <f>VALO_PERSO!AS52</f>
        <v>0</v>
      </c>
      <c r="AL23" s="238">
        <f>VALO_PERSO!AT52</f>
        <v>0</v>
      </c>
      <c r="AM23" s="238">
        <f>VALO_PERSO!AU52</f>
        <v>0</v>
      </c>
      <c r="AN23" s="238">
        <f>VALO_PERSO!AV52</f>
        <v>0</v>
      </c>
      <c r="AO23" s="238">
        <f>VALO_PERSO!AW52</f>
        <v>0</v>
      </c>
      <c r="AP23" s="238">
        <f>VALO_PERSO!AX52</f>
        <v>0</v>
      </c>
      <c r="AQ23" s="238">
        <f>VALO_PERSO!AZ52</f>
        <v>0</v>
      </c>
      <c r="AR23" s="241">
        <f>VALO_PERSO!BB52</f>
        <v>0</v>
      </c>
      <c r="AS23" s="241">
        <f>VALO_PERSO!BD52</f>
        <v>0</v>
      </c>
      <c r="AT23" s="238">
        <f t="shared" si="2"/>
        <v>0</v>
      </c>
      <c r="AU23" s="240"/>
      <c r="AV23" s="318"/>
      <c r="AW23" s="240"/>
      <c r="AX23" s="111"/>
      <c r="AY23" s="111"/>
      <c r="AZ23" s="111"/>
      <c r="BA23" s="111"/>
      <c r="BB23" s="111"/>
      <c r="BC23" s="111"/>
      <c r="BD23" s="111"/>
      <c r="BE23" s="111"/>
      <c r="BF23" s="111"/>
      <c r="BG23" s="111"/>
      <c r="BI23" s="111"/>
      <c r="BJ23" s="111"/>
      <c r="BK23" s="111"/>
      <c r="BL23" s="111"/>
      <c r="BM23" s="111"/>
      <c r="BN23" s="111"/>
      <c r="BO23" s="111"/>
      <c r="BP23" s="111"/>
      <c r="BQ23" s="111"/>
      <c r="BS23" s="111"/>
      <c r="BT23" s="111"/>
      <c r="BU23" s="111"/>
      <c r="BV23" s="111"/>
    </row>
    <row r="24" spans="1:74" x14ac:dyDescent="0.25">
      <c r="Q24" s="111"/>
      <c r="R24" s="312">
        <f>VALO_PERSO!G53</f>
        <v>0</v>
      </c>
      <c r="S24" s="237">
        <f>VALO_PERSO!H53</f>
        <v>0</v>
      </c>
      <c r="T24" s="237">
        <f>VALO_PERSO!I53</f>
        <v>0</v>
      </c>
      <c r="U24" s="238">
        <f>VALO_PERSO!W53</f>
        <v>0</v>
      </c>
      <c r="V24" s="238">
        <f>VALO_PERSO!Y53</f>
        <v>0</v>
      </c>
      <c r="W24" s="238">
        <f>VALO_PERSO!Z53</f>
        <v>0</v>
      </c>
      <c r="X24" s="238">
        <f>VALO_PERSO!AA53</f>
        <v>0</v>
      </c>
      <c r="Y24" s="238">
        <f>VALO_PERSO!AB53</f>
        <v>0</v>
      </c>
      <c r="Z24" s="238">
        <f>VALO_PERSO!AC53</f>
        <v>0</v>
      </c>
      <c r="AA24" s="238">
        <f>VALO_PERSO!AD53</f>
        <v>0</v>
      </c>
      <c r="AB24" s="238">
        <f>VALO_PERSO!AF53</f>
        <v>0</v>
      </c>
      <c r="AC24" s="238">
        <f>VALO_PERSO!AI53</f>
        <v>0</v>
      </c>
      <c r="AD24" s="238">
        <f>VALO_PERSO!AK53</f>
        <v>0</v>
      </c>
      <c r="AE24" s="238">
        <f t="shared" si="0"/>
        <v>0</v>
      </c>
      <c r="AF24" s="252" t="e">
        <f t="shared" si="1"/>
        <v>#REF!</v>
      </c>
      <c r="AG24" s="111"/>
      <c r="AH24" s="237">
        <f>VALO_PERSO!G53</f>
        <v>0</v>
      </c>
      <c r="AI24" s="237">
        <f>VALO_PERSO!H53</f>
        <v>0</v>
      </c>
      <c r="AJ24" s="237">
        <f>VALO_PERSO!I53</f>
        <v>0</v>
      </c>
      <c r="AK24" s="238">
        <f>VALO_PERSO!AS53</f>
        <v>0</v>
      </c>
      <c r="AL24" s="238">
        <f>VALO_PERSO!AT53</f>
        <v>0</v>
      </c>
      <c r="AM24" s="238">
        <f>VALO_PERSO!AU53</f>
        <v>0</v>
      </c>
      <c r="AN24" s="238">
        <f>VALO_PERSO!AV53</f>
        <v>0</v>
      </c>
      <c r="AO24" s="238">
        <f>VALO_PERSO!AW53</f>
        <v>0</v>
      </c>
      <c r="AP24" s="238">
        <f>VALO_PERSO!AX53</f>
        <v>0</v>
      </c>
      <c r="AQ24" s="238">
        <f>VALO_PERSO!AZ53</f>
        <v>0</v>
      </c>
      <c r="AR24" s="241">
        <f>VALO_PERSO!BB53</f>
        <v>0</v>
      </c>
      <c r="AS24" s="241">
        <f>VALO_PERSO!BD53</f>
        <v>0</v>
      </c>
      <c r="AT24" s="238">
        <f t="shared" si="2"/>
        <v>0</v>
      </c>
      <c r="AU24" s="240"/>
      <c r="AV24" s="318"/>
      <c r="AW24" s="240"/>
      <c r="AX24" s="111"/>
      <c r="AY24" s="111"/>
      <c r="AZ24" s="111"/>
      <c r="BA24" s="111"/>
      <c r="BB24" s="111"/>
      <c r="BC24" s="111"/>
      <c r="BD24" s="111"/>
      <c r="BE24" s="111"/>
      <c r="BF24" s="111"/>
      <c r="BG24" s="111"/>
      <c r="BI24" s="111"/>
      <c r="BJ24" s="111"/>
      <c r="BK24" s="111"/>
      <c r="BL24" s="111"/>
      <c r="BM24" s="111"/>
      <c r="BN24" s="111"/>
      <c r="BO24" s="111"/>
      <c r="BP24" s="111"/>
      <c r="BQ24" s="111"/>
      <c r="BS24" s="111"/>
      <c r="BT24" s="111"/>
      <c r="BU24" s="111"/>
      <c r="BV24" s="111"/>
    </row>
    <row r="25" spans="1:74" x14ac:dyDescent="0.25">
      <c r="Q25" s="111"/>
      <c r="R25" s="313" t="s">
        <v>555</v>
      </c>
      <c r="S25" s="299"/>
      <c r="T25" s="299"/>
      <c r="U25" s="239" t="e">
        <f>SUM(U7:U24)</f>
        <v>#REF!</v>
      </c>
      <c r="V25" s="239"/>
      <c r="W25" s="239"/>
      <c r="X25" s="239"/>
      <c r="Y25" s="239"/>
      <c r="Z25" s="239"/>
      <c r="AA25" s="239"/>
      <c r="AB25" s="239" t="e">
        <f>SUM(AB7:AB24)</f>
        <v>#REF!</v>
      </c>
      <c r="AC25" s="239" t="e">
        <f t="shared" ref="AC25:AE25" si="3">SUM(AC7:AC24)</f>
        <v>#REF!</v>
      </c>
      <c r="AD25" s="239" t="e">
        <f t="shared" si="3"/>
        <v>#REF!</v>
      </c>
      <c r="AE25" s="239" t="e">
        <f t="shared" si="3"/>
        <v>#REF!</v>
      </c>
      <c r="AF25" s="239" t="e">
        <f>SUM(AF7:AF24)</f>
        <v>#REF!</v>
      </c>
      <c r="AG25" s="240"/>
      <c r="AH25" s="299" t="s">
        <v>555</v>
      </c>
      <c r="AI25" s="299"/>
      <c r="AJ25" s="299"/>
      <c r="AK25" s="239" t="e">
        <f t="shared" ref="AK25:AP25" si="4">SUM(AK7:AK24)</f>
        <v>#REF!</v>
      </c>
      <c r="AL25" s="239" t="e">
        <f t="shared" si="4"/>
        <v>#REF!</v>
      </c>
      <c r="AM25" s="239" t="e">
        <f t="shared" si="4"/>
        <v>#REF!</v>
      </c>
      <c r="AN25" s="239" t="e">
        <f t="shared" si="4"/>
        <v>#REF!</v>
      </c>
      <c r="AO25" s="239" t="e">
        <f t="shared" si="4"/>
        <v>#REF!</v>
      </c>
      <c r="AP25" s="239" t="e">
        <f t="shared" si="4"/>
        <v>#REF!</v>
      </c>
      <c r="AQ25" s="239" t="e">
        <f t="shared" ref="AQ25:AT25" si="5">SUM(AQ7:AQ24)</f>
        <v>#REF!</v>
      </c>
      <c r="AR25" s="243" t="e">
        <f t="shared" si="5"/>
        <v>#REF!</v>
      </c>
      <c r="AS25" s="243" t="e">
        <f t="shared" si="5"/>
        <v>#REF!</v>
      </c>
      <c r="AT25" s="239" t="e">
        <f t="shared" si="5"/>
        <v>#REF!</v>
      </c>
      <c r="AU25" s="309"/>
      <c r="AV25" s="319"/>
      <c r="AW25" s="309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  <c r="BI25" s="111"/>
      <c r="BJ25" s="111"/>
      <c r="BK25" s="111"/>
      <c r="BL25" s="111"/>
      <c r="BM25" s="111"/>
      <c r="BN25" s="111"/>
      <c r="BO25" s="111"/>
      <c r="BP25" s="111"/>
      <c r="BQ25" s="111"/>
      <c r="BS25" s="111"/>
      <c r="BT25" s="111"/>
      <c r="BU25" s="111"/>
      <c r="BV25" s="111"/>
    </row>
    <row r="26" spans="1:74" x14ac:dyDescent="0.25"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X26" s="111"/>
      <c r="AY26" s="111"/>
      <c r="AZ26" s="111"/>
      <c r="BA26" s="111"/>
      <c r="BB26" s="111"/>
      <c r="BC26" s="111"/>
      <c r="BD26" s="111"/>
      <c r="BE26" s="111"/>
      <c r="BF26" s="111"/>
      <c r="BG26" s="111"/>
      <c r="BI26" s="111"/>
      <c r="BJ26" s="111"/>
      <c r="BK26" s="111"/>
      <c r="BL26" s="111"/>
      <c r="BM26" s="111"/>
      <c r="BN26" s="111"/>
      <c r="BO26" s="111"/>
      <c r="BP26" s="111"/>
      <c r="BQ26" s="111"/>
      <c r="BS26" s="111"/>
      <c r="BT26" s="111"/>
      <c r="BU26" s="111"/>
      <c r="BV26" s="111"/>
    </row>
    <row r="27" spans="1:74" x14ac:dyDescent="0.25"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X27" s="111"/>
      <c r="AY27" s="111"/>
      <c r="AZ27" s="111"/>
      <c r="BA27" s="111"/>
      <c r="BB27" s="111"/>
      <c r="BC27" s="111"/>
      <c r="BD27" s="111"/>
      <c r="BE27" s="111"/>
      <c r="BF27" s="111"/>
      <c r="BG27" s="111"/>
      <c r="BI27" s="111"/>
      <c r="BJ27" s="111"/>
      <c r="BK27" s="111"/>
      <c r="BL27" s="111"/>
      <c r="BM27" s="111"/>
      <c r="BN27" s="111"/>
      <c r="BO27" s="111"/>
      <c r="BP27" s="111"/>
      <c r="BQ27" s="111"/>
      <c r="BS27" s="111"/>
      <c r="BT27" s="111"/>
      <c r="BU27" s="111"/>
      <c r="BV27" s="111"/>
    </row>
    <row r="28" spans="1:74" x14ac:dyDescent="0.25">
      <c r="Q28" s="111"/>
      <c r="R28" s="555" t="s">
        <v>13</v>
      </c>
      <c r="S28" s="555"/>
      <c r="T28" s="555"/>
      <c r="U28" s="555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278" t="s">
        <v>27</v>
      </c>
      <c r="AI28" s="278"/>
      <c r="AJ28" s="278"/>
      <c r="AK28" s="111"/>
      <c r="AL28" s="111"/>
      <c r="AM28" s="111"/>
      <c r="AN28" s="111"/>
      <c r="AO28" s="111"/>
      <c r="AP28" s="111"/>
      <c r="AR28" s="111"/>
      <c r="AS28" s="111"/>
      <c r="AT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I28" s="111"/>
      <c r="BJ28" s="111"/>
      <c r="BK28" s="111"/>
      <c r="BL28" s="111"/>
      <c r="BM28" s="111"/>
      <c r="BN28" s="111"/>
      <c r="BO28" s="111"/>
      <c r="BP28" s="111"/>
      <c r="BQ28" s="111"/>
      <c r="BS28" s="111"/>
      <c r="BT28" s="111"/>
      <c r="BU28" s="111"/>
      <c r="BV28" s="111"/>
    </row>
    <row r="29" spans="1:74" ht="33" x14ac:dyDescent="0.25">
      <c r="A29" s="255"/>
      <c r="Q29" s="111"/>
      <c r="R29" s="311" t="s">
        <v>475</v>
      </c>
      <c r="S29" s="235" t="s">
        <v>600</v>
      </c>
      <c r="T29" s="235" t="s">
        <v>601</v>
      </c>
      <c r="U29" s="235" t="s">
        <v>602</v>
      </c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235" t="s">
        <v>475</v>
      </c>
      <c r="AI29" s="235" t="s">
        <v>603</v>
      </c>
      <c r="AJ29" s="235" t="s">
        <v>601</v>
      </c>
      <c r="AK29" s="235" t="s">
        <v>602</v>
      </c>
      <c r="AL29" s="235" t="s">
        <v>602</v>
      </c>
      <c r="AM29" s="235" t="s">
        <v>602</v>
      </c>
      <c r="AN29" s="235" t="s">
        <v>602</v>
      </c>
      <c r="AO29" s="235" t="s">
        <v>602</v>
      </c>
      <c r="AP29" s="235" t="s">
        <v>602</v>
      </c>
      <c r="AQ29" s="111"/>
      <c r="AR29" s="111"/>
      <c r="AS29" s="111"/>
      <c r="AT29" s="111"/>
      <c r="AX29" s="111"/>
      <c r="AY29" s="111"/>
      <c r="AZ29" s="111"/>
      <c r="BA29" s="111"/>
      <c r="BB29" s="111"/>
      <c r="BC29" s="111"/>
      <c r="BD29" s="111"/>
      <c r="BE29" s="111"/>
      <c r="BF29" s="111"/>
      <c r="BG29" s="111"/>
      <c r="BI29" s="111"/>
      <c r="BJ29" s="111"/>
      <c r="BK29" s="111"/>
      <c r="BL29" s="111"/>
      <c r="BM29" s="111"/>
      <c r="BN29" s="111"/>
      <c r="BO29" s="111"/>
      <c r="BP29" s="111"/>
      <c r="BQ29" s="111"/>
      <c r="BS29" s="111"/>
      <c r="BT29" s="111"/>
      <c r="BU29" s="111"/>
      <c r="BV29" s="111"/>
    </row>
    <row r="30" spans="1:74" x14ac:dyDescent="0.25">
      <c r="Q30" s="111"/>
      <c r="R30" s="111" t="s">
        <v>22</v>
      </c>
      <c r="S30" s="294">
        <f>SUMIF(VALO_PERSO!L5:L49,"chercheur",VALO_PERSO!AF5:AF49)</f>
        <v>25796.136000000017</v>
      </c>
      <c r="T30" s="294">
        <f>SUMIF(VALO_PERSO!L5:L49,"chercheur",VALO_PERSO!AZ5:AZ49)</f>
        <v>1503600.8920527666</v>
      </c>
      <c r="U30" s="306">
        <f t="shared" ref="U30:U38" si="6">S30/$S$39</f>
        <v>0.58120603717491026</v>
      </c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 t="s">
        <v>22</v>
      </c>
      <c r="AI30" s="294">
        <f>SUMIF(VALO_PERSO!L5:L49,"chercheur",VALO_PERSO!AI5:AI49)</f>
        <v>0</v>
      </c>
      <c r="AJ30" s="294">
        <f>SUMIF(VALO_PERSO!L5:L49,"chercheur",VALO_PERSO!BB5:BB49)</f>
        <v>0</v>
      </c>
      <c r="AK30" s="306" t="e">
        <f t="shared" ref="AK30:AP38" si="7">AI30/$AI$39</f>
        <v>#DIV/0!</v>
      </c>
      <c r="AL30" s="306" t="e">
        <f t="shared" si="7"/>
        <v>#DIV/0!</v>
      </c>
      <c r="AM30" s="306" t="e">
        <f t="shared" si="7"/>
        <v>#DIV/0!</v>
      </c>
      <c r="AN30" s="306" t="e">
        <f t="shared" si="7"/>
        <v>#DIV/0!</v>
      </c>
      <c r="AO30" s="306" t="e">
        <f t="shared" si="7"/>
        <v>#DIV/0!</v>
      </c>
      <c r="AP30" s="306" t="e">
        <f t="shared" si="7"/>
        <v>#DIV/0!</v>
      </c>
      <c r="AQ30" s="111"/>
      <c r="AR30" s="111"/>
      <c r="AS30" s="111"/>
      <c r="AT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  <c r="BI30" s="111"/>
      <c r="BJ30" s="111"/>
      <c r="BK30" s="111"/>
      <c r="BL30" s="111"/>
      <c r="BM30" s="111"/>
      <c r="BN30" s="111"/>
      <c r="BO30" s="111"/>
      <c r="BP30" s="111"/>
      <c r="BQ30" s="111"/>
      <c r="BS30" s="111"/>
      <c r="BT30" s="111"/>
      <c r="BU30" s="111"/>
      <c r="BV30" s="111"/>
    </row>
    <row r="31" spans="1:74" x14ac:dyDescent="0.25">
      <c r="A31" s="255"/>
      <c r="Q31" s="111"/>
      <c r="R31" s="111" t="s">
        <v>35</v>
      </c>
      <c r="S31" s="294">
        <f>SUMIF(VALO_PERSO!L5:L49,"Technicien",VALO_PERSO!AF5:AF49)</f>
        <v>15399.840000000002</v>
      </c>
      <c r="T31" s="294">
        <f>SUMIF(VALO_PERSO!L5:L49,"Technicien",VALO_PERSO!AZ5:AZ49)</f>
        <v>506000.55988307431</v>
      </c>
      <c r="U31" s="306">
        <f t="shared" si="6"/>
        <v>0.34696979344222972</v>
      </c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 t="s">
        <v>35</v>
      </c>
      <c r="AI31" s="294">
        <f>SUMIF(VALO_PERSO!L5:L49,"Technicien",VALO_PERSO!AI5:AI49)</f>
        <v>0</v>
      </c>
      <c r="AJ31" s="294">
        <f>SUMIF(VALO_PERSO!L5:L49,"Technicien",VALO_PERSO!BB5:BB49)</f>
        <v>0</v>
      </c>
      <c r="AK31" s="306" t="e">
        <f t="shared" si="7"/>
        <v>#DIV/0!</v>
      </c>
      <c r="AL31" s="306" t="e">
        <f t="shared" si="7"/>
        <v>#DIV/0!</v>
      </c>
      <c r="AM31" s="306" t="e">
        <f t="shared" si="7"/>
        <v>#DIV/0!</v>
      </c>
      <c r="AN31" s="306" t="e">
        <f t="shared" si="7"/>
        <v>#DIV/0!</v>
      </c>
      <c r="AO31" s="306" t="e">
        <f t="shared" si="7"/>
        <v>#DIV/0!</v>
      </c>
      <c r="AP31" s="306" t="e">
        <f t="shared" si="7"/>
        <v>#DIV/0!</v>
      </c>
      <c r="AQ31" s="111"/>
      <c r="AR31" s="111"/>
      <c r="AS31" s="111"/>
      <c r="AT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I31" s="111"/>
      <c r="BJ31" s="111"/>
      <c r="BK31" s="111"/>
      <c r="BL31" s="111"/>
      <c r="BM31" s="111"/>
      <c r="BN31" s="111"/>
      <c r="BO31" s="111"/>
      <c r="BP31" s="111"/>
      <c r="BQ31" s="111"/>
      <c r="BS31" s="111"/>
      <c r="BT31" s="111"/>
      <c r="BU31" s="111"/>
      <c r="BV31" s="111"/>
    </row>
    <row r="32" spans="1:74" hidden="1" x14ac:dyDescent="0.25">
      <c r="Q32" s="111"/>
      <c r="R32" s="111" t="s">
        <v>48</v>
      </c>
      <c r="S32" s="294">
        <f>SUMIF(VALO_PERSO!L5:L49,"Jeune docteur",VALO_PERSO!Y5:Y49)</f>
        <v>0</v>
      </c>
      <c r="T32" s="294">
        <f>SUMIF(VALO_PERSO!L5:L49,"Jeune docteur",VALO_PERSO!AS5:AS49)</f>
        <v>0</v>
      </c>
      <c r="U32" s="306">
        <f t="shared" si="6"/>
        <v>0</v>
      </c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 t="s">
        <v>48</v>
      </c>
      <c r="AI32" s="294">
        <f>SUMIF(VALO_PERSO!L5:L49,"Jeune docteur",VALO_PERSO!AI5:AI49)</f>
        <v>0</v>
      </c>
      <c r="AJ32" s="294">
        <f>SUMIF(VALO_PERSO!L5:L49,"Jeune docteur",VALO_PERSO!BB5:BB49)</f>
        <v>0</v>
      </c>
      <c r="AK32" s="306" t="e">
        <f t="shared" si="7"/>
        <v>#DIV/0!</v>
      </c>
      <c r="AL32" s="306" t="e">
        <f t="shared" si="7"/>
        <v>#DIV/0!</v>
      </c>
      <c r="AM32" s="306" t="e">
        <f t="shared" si="7"/>
        <v>#DIV/0!</v>
      </c>
      <c r="AN32" s="306" t="e">
        <f t="shared" si="7"/>
        <v>#DIV/0!</v>
      </c>
      <c r="AO32" s="306" t="e">
        <f t="shared" si="7"/>
        <v>#DIV/0!</v>
      </c>
      <c r="AP32" s="306" t="e">
        <f t="shared" si="7"/>
        <v>#DIV/0!</v>
      </c>
      <c r="AQ32" s="111"/>
      <c r="AR32" s="111"/>
      <c r="AS32" s="111"/>
      <c r="AT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I32" s="111"/>
      <c r="BJ32" s="111"/>
      <c r="BK32" s="111"/>
      <c r="BL32" s="111"/>
      <c r="BM32" s="111"/>
      <c r="BN32" s="111"/>
      <c r="BO32" s="111"/>
      <c r="BP32" s="111"/>
      <c r="BQ32" s="111"/>
      <c r="BS32" s="111"/>
      <c r="BT32" s="111"/>
      <c r="BU32" s="111"/>
      <c r="BV32" s="111"/>
    </row>
    <row r="33" spans="17:74" hidden="1" x14ac:dyDescent="0.25">
      <c r="Q33" s="111"/>
      <c r="R33" s="111" t="s">
        <v>54</v>
      </c>
      <c r="S33" s="294">
        <f>SUMIF(VALO_PERSO!L5:L49,"Dirigeant",VALO_PERSO!Y5:Y49)</f>
        <v>0</v>
      </c>
      <c r="T33" s="294">
        <f>SUMIF(VALO_PERSO!L5:L49,"Dirigeant",VALO_PERSO!AS5:AS49)</f>
        <v>0</v>
      </c>
      <c r="U33" s="306">
        <f t="shared" si="6"/>
        <v>0</v>
      </c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 t="s">
        <v>54</v>
      </c>
      <c r="AI33" s="294">
        <f>SUMIF(VALO_PERSO!L5:L49,"Dirigeant",VALO_PERSO!AI5:AI49)</f>
        <v>0</v>
      </c>
      <c r="AJ33" s="294">
        <f>SUMIF(VALO_PERSO!L5:L49,"Dirigeant",VALO_PERSO!BB5:BB49)</f>
        <v>0</v>
      </c>
      <c r="AK33" s="306" t="e">
        <f t="shared" si="7"/>
        <v>#DIV/0!</v>
      </c>
      <c r="AL33" s="306" t="e">
        <f t="shared" si="7"/>
        <v>#DIV/0!</v>
      </c>
      <c r="AM33" s="306" t="e">
        <f t="shared" si="7"/>
        <v>#DIV/0!</v>
      </c>
      <c r="AN33" s="306" t="e">
        <f t="shared" si="7"/>
        <v>#DIV/0!</v>
      </c>
      <c r="AO33" s="306" t="e">
        <f t="shared" si="7"/>
        <v>#DIV/0!</v>
      </c>
      <c r="AP33" s="306" t="e">
        <f t="shared" si="7"/>
        <v>#DIV/0!</v>
      </c>
      <c r="AQ33" s="111"/>
      <c r="AR33" s="111"/>
      <c r="AS33" s="111"/>
      <c r="AT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I33" s="111"/>
      <c r="BJ33" s="111"/>
      <c r="BK33" s="111"/>
      <c r="BL33" s="111"/>
      <c r="BM33" s="111"/>
      <c r="BN33" s="111"/>
      <c r="BO33" s="111"/>
      <c r="BP33" s="111"/>
      <c r="BQ33" s="111"/>
      <c r="BS33" s="111"/>
      <c r="BT33" s="111"/>
      <c r="BU33" s="111"/>
      <c r="BV33" s="111"/>
    </row>
    <row r="34" spans="17:74" hidden="1" x14ac:dyDescent="0.25">
      <c r="Q34" s="111"/>
      <c r="R34" s="111" t="s">
        <v>58</v>
      </c>
      <c r="S34" s="294">
        <f>SUMIF(VALO_PERSO!L5:L49,"Contrat MAD / intérim",VALO_PERSO!Y5:Y49)</f>
        <v>0</v>
      </c>
      <c r="T34" s="294">
        <f>SUMIF(VALO_PERSO!L5:L49,"Contrat MAD / intérim",VALO_PERSO!AS5:AS49)</f>
        <v>0</v>
      </c>
      <c r="U34" s="306">
        <f t="shared" si="6"/>
        <v>0</v>
      </c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 t="s">
        <v>58</v>
      </c>
      <c r="AI34" s="294">
        <f>SUMIF(VALO_PERSO!L5:L49,"Contrat MAD / intérim",VALO_PERSO!AI5:AI49)</f>
        <v>0</v>
      </c>
      <c r="AJ34" s="294">
        <f>SUMIF(VALO_PERSO!L5:L49,"Contrat MAD / intérim",VALO_PERSO!BB5:BB49)</f>
        <v>0</v>
      </c>
      <c r="AK34" s="306" t="e">
        <f t="shared" si="7"/>
        <v>#DIV/0!</v>
      </c>
      <c r="AL34" s="306" t="e">
        <f t="shared" si="7"/>
        <v>#DIV/0!</v>
      </c>
      <c r="AM34" s="306" t="e">
        <f t="shared" si="7"/>
        <v>#DIV/0!</v>
      </c>
      <c r="AN34" s="306" t="e">
        <f t="shared" si="7"/>
        <v>#DIV/0!</v>
      </c>
      <c r="AO34" s="306" t="e">
        <f t="shared" si="7"/>
        <v>#DIV/0!</v>
      </c>
      <c r="AP34" s="306" t="e">
        <f t="shared" si="7"/>
        <v>#DIV/0!</v>
      </c>
      <c r="AQ34" s="111"/>
      <c r="AR34" s="111"/>
      <c r="AS34" s="111"/>
      <c r="AT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  <c r="BI34" s="111"/>
      <c r="BJ34" s="111"/>
      <c r="BK34" s="111"/>
      <c r="BL34" s="111"/>
      <c r="BM34" s="111"/>
      <c r="BN34" s="111"/>
      <c r="BO34" s="111"/>
      <c r="BP34" s="111"/>
      <c r="BQ34" s="111"/>
      <c r="BS34" s="111"/>
      <c r="BT34" s="111"/>
      <c r="BU34" s="111"/>
      <c r="BV34" s="111"/>
    </row>
    <row r="35" spans="17:74" x14ac:dyDescent="0.25">
      <c r="Q35" s="111"/>
      <c r="R35" s="111" t="s">
        <v>61</v>
      </c>
      <c r="S35" s="294">
        <f>SUMIF(VALO_PERSO!L5:L49,"Thésard",VALO_PERSO!AF5:AF49)</f>
        <v>243.19999999999987</v>
      </c>
      <c r="T35" s="294">
        <f>SUMIF(VALO_PERSO!L5:L49,"Thésard",VALO_PERSO!AZ5:AZ49)</f>
        <v>7194.8769847838512</v>
      </c>
      <c r="U35" s="306">
        <f t="shared" si="6"/>
        <v>5.4794760052799384E-3</v>
      </c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 t="s">
        <v>61</v>
      </c>
      <c r="AI35" s="294">
        <f>SUMIF(VALO_PERSO!L5:L49,"Thésard",VALO_PERSO!AI5:AI49)</f>
        <v>0</v>
      </c>
      <c r="AJ35" s="294">
        <f>SUMIF(VALO_PERSO!L5:L49,"Thésard",VALO_PERSO!BB5:BB49)</f>
        <v>0</v>
      </c>
      <c r="AK35" s="306" t="e">
        <f t="shared" si="7"/>
        <v>#DIV/0!</v>
      </c>
      <c r="AL35" s="306" t="e">
        <f t="shared" si="7"/>
        <v>#DIV/0!</v>
      </c>
      <c r="AM35" s="306" t="e">
        <f t="shared" si="7"/>
        <v>#DIV/0!</v>
      </c>
      <c r="AN35" s="306" t="e">
        <f t="shared" si="7"/>
        <v>#DIV/0!</v>
      </c>
      <c r="AO35" s="306" t="e">
        <f t="shared" si="7"/>
        <v>#DIV/0!</v>
      </c>
      <c r="AP35" s="306" t="e">
        <f t="shared" si="7"/>
        <v>#DIV/0!</v>
      </c>
      <c r="AQ35" s="111"/>
      <c r="AR35" s="111"/>
      <c r="AS35" s="111"/>
      <c r="AT35" s="111"/>
      <c r="AX35" s="111"/>
      <c r="AY35" s="111"/>
      <c r="AZ35" s="111"/>
      <c r="BA35" s="111"/>
      <c r="BB35" s="111"/>
      <c r="BC35" s="111"/>
      <c r="BD35" s="111"/>
      <c r="BE35" s="111"/>
      <c r="BF35" s="111"/>
      <c r="BG35" s="111"/>
      <c r="BI35" s="111"/>
      <c r="BJ35" s="111"/>
      <c r="BK35" s="111"/>
      <c r="BL35" s="111"/>
      <c r="BM35" s="111"/>
      <c r="BN35" s="111"/>
      <c r="BO35" s="111"/>
      <c r="BP35" s="111"/>
      <c r="BQ35" s="111"/>
      <c r="BS35" s="111"/>
      <c r="BT35" s="111"/>
      <c r="BU35" s="111"/>
      <c r="BV35" s="111"/>
    </row>
    <row r="36" spans="17:74" x14ac:dyDescent="0.25">
      <c r="Q36" s="111"/>
      <c r="R36" s="111" t="s">
        <v>63</v>
      </c>
      <c r="S36" s="294">
        <f>SUMIF(VALO_PERSO!L5:L49,"Stagiaire/apprenti",VALO_PERSO!AF5:AF49)</f>
        <v>2619.83</v>
      </c>
      <c r="T36" s="294">
        <f>SUMIF(VALO_PERSO!L5:L49,"Stagiaire/apprenti",VALO_PERSO!AZ5:AZ49)</f>
        <v>22993.145606446524</v>
      </c>
      <c r="U36" s="306">
        <f t="shared" si="6"/>
        <v>5.9026708975791729E-2</v>
      </c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 t="s">
        <v>63</v>
      </c>
      <c r="AI36" s="294">
        <f>SUMIF(VALO_PERSO!L5:L49,"Stagiaire/apprenti",VALO_PERSO!AI5:AI49)</f>
        <v>0</v>
      </c>
      <c r="AJ36" s="294">
        <f>SUMIF(VALO_PERSO!L5:L49,"Stagiaire/apprenti",VALO_PERSO!BB5:BB49)</f>
        <v>0</v>
      </c>
      <c r="AK36" s="306" t="e">
        <f t="shared" si="7"/>
        <v>#DIV/0!</v>
      </c>
      <c r="AL36" s="306" t="e">
        <f t="shared" si="7"/>
        <v>#DIV/0!</v>
      </c>
      <c r="AM36" s="306" t="e">
        <f t="shared" si="7"/>
        <v>#DIV/0!</v>
      </c>
      <c r="AN36" s="306" t="e">
        <f t="shared" si="7"/>
        <v>#DIV/0!</v>
      </c>
      <c r="AO36" s="306" t="e">
        <f t="shared" si="7"/>
        <v>#DIV/0!</v>
      </c>
      <c r="AP36" s="306" t="e">
        <f t="shared" si="7"/>
        <v>#DIV/0!</v>
      </c>
      <c r="AQ36" s="111"/>
      <c r="AR36" s="111"/>
      <c r="AS36" s="111"/>
      <c r="AT36" s="111"/>
      <c r="AX36" s="111"/>
      <c r="AY36" s="111"/>
      <c r="AZ36" s="111"/>
      <c r="BA36" s="111"/>
      <c r="BB36" s="111"/>
      <c r="BC36" s="111"/>
      <c r="BD36" s="111"/>
      <c r="BE36" s="111"/>
      <c r="BF36" s="111"/>
      <c r="BG36" s="111"/>
      <c r="BI36" s="111"/>
      <c r="BJ36" s="111"/>
      <c r="BK36" s="111"/>
      <c r="BL36" s="111"/>
      <c r="BM36" s="111"/>
      <c r="BN36" s="111"/>
      <c r="BO36" s="111"/>
      <c r="BP36" s="111"/>
      <c r="BQ36" s="111"/>
      <c r="BS36" s="111"/>
      <c r="BT36" s="111"/>
      <c r="BU36" s="111"/>
      <c r="BV36" s="111"/>
    </row>
    <row r="37" spans="17:74" x14ac:dyDescent="0.25">
      <c r="Q37" s="111"/>
      <c r="R37" s="111" t="s">
        <v>64</v>
      </c>
      <c r="S37" s="294">
        <f>SUMIF(VALO_PERSO!L5:L49,"Profil à risque (acheteur, qualité)",VALO_PERSO!AF5:AF49)</f>
        <v>324.8</v>
      </c>
      <c r="T37" s="294">
        <f>SUMIF(VALO_PERSO!L5:L49,"Profil à risque (acheteur, qualité)",VALO_PERSO!AZ5:AZ49)</f>
        <v>8411.2234752000022</v>
      </c>
      <c r="U37" s="306">
        <f t="shared" si="6"/>
        <v>7.3179844017883435E-3</v>
      </c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 t="s">
        <v>64</v>
      </c>
      <c r="AI37" s="294">
        <f>SUMIF(VALO_PERSO!L5:L49,"Profil à risque (acheteur, qualité)",VALO_PERSO!AI5:AI49)</f>
        <v>0</v>
      </c>
      <c r="AJ37" s="294">
        <f>SUMIF(VALO_PERSO!L5:L49,"Profil à risque (acheteur, qualité)",VALO_PERSO!BB5:BB49)</f>
        <v>0</v>
      </c>
      <c r="AK37" s="306" t="e">
        <f t="shared" si="7"/>
        <v>#DIV/0!</v>
      </c>
      <c r="AL37" s="306" t="e">
        <f t="shared" si="7"/>
        <v>#DIV/0!</v>
      </c>
      <c r="AM37" s="306" t="e">
        <f t="shared" si="7"/>
        <v>#DIV/0!</v>
      </c>
      <c r="AN37" s="306" t="e">
        <f t="shared" si="7"/>
        <v>#DIV/0!</v>
      </c>
      <c r="AO37" s="306" t="e">
        <f t="shared" si="7"/>
        <v>#DIV/0!</v>
      </c>
      <c r="AP37" s="306" t="e">
        <f t="shared" si="7"/>
        <v>#DIV/0!</v>
      </c>
      <c r="AQ37" s="111"/>
      <c r="AR37" s="111"/>
      <c r="AS37" s="111"/>
      <c r="AT37" s="111"/>
      <c r="AX37" s="111"/>
      <c r="AY37" s="111"/>
      <c r="AZ37" s="111"/>
      <c r="BA37" s="111"/>
      <c r="BB37" s="111"/>
      <c r="BC37" s="111"/>
      <c r="BD37" s="111"/>
      <c r="BE37" s="111"/>
      <c r="BF37" s="111"/>
      <c r="BG37" s="111"/>
      <c r="BI37" s="111"/>
      <c r="BJ37" s="111"/>
      <c r="BK37" s="111"/>
      <c r="BL37" s="111"/>
      <c r="BM37" s="111"/>
      <c r="BN37" s="111"/>
      <c r="BO37" s="111"/>
      <c r="BP37" s="111"/>
      <c r="BQ37" s="111"/>
      <c r="BS37" s="111"/>
      <c r="BT37" s="111"/>
      <c r="BU37" s="111"/>
      <c r="BV37" s="111"/>
    </row>
    <row r="38" spans="17:74" hidden="1" x14ac:dyDescent="0.25">
      <c r="Q38" s="111"/>
      <c r="R38" s="111" t="s">
        <v>65</v>
      </c>
      <c r="S38" s="294">
        <f>SUMIF(VALO_PERSO!L5:L49,"Profil très risqué (admin, financier)",VALO_PERSO!Y5:Y49)</f>
        <v>0</v>
      </c>
      <c r="T38" s="294">
        <f>SUMIF(VALO_PERSO!L5:L49,"Profil très risqué (admin, financier)",VALO_PERSO!AS5:AS49)</f>
        <v>0</v>
      </c>
      <c r="U38" s="306">
        <f t="shared" si="6"/>
        <v>0</v>
      </c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 t="s">
        <v>65</v>
      </c>
      <c r="AI38" s="294">
        <f>SUMIF(VALO_PERSO!L5:L49,"Profil très risqué (admin, financier)",VALO_PERSO!AI5:AI49)</f>
        <v>0</v>
      </c>
      <c r="AJ38" s="294">
        <f>SUMIF(VALO_PERSO!L5:L49,"Profil très risqué (admin, financier)",VALO_PERSO!BB5:BB49)</f>
        <v>0</v>
      </c>
      <c r="AK38" s="306" t="e">
        <f t="shared" si="7"/>
        <v>#DIV/0!</v>
      </c>
      <c r="AL38" s="306" t="e">
        <f t="shared" si="7"/>
        <v>#DIV/0!</v>
      </c>
      <c r="AM38" s="306" t="e">
        <f t="shared" si="7"/>
        <v>#DIV/0!</v>
      </c>
      <c r="AN38" s="306" t="e">
        <f t="shared" si="7"/>
        <v>#DIV/0!</v>
      </c>
      <c r="AO38" s="306" t="e">
        <f t="shared" si="7"/>
        <v>#DIV/0!</v>
      </c>
      <c r="AP38" s="306" t="e">
        <f t="shared" si="7"/>
        <v>#DIV/0!</v>
      </c>
      <c r="AQ38" s="111"/>
      <c r="AR38" s="111"/>
      <c r="AS38" s="111"/>
      <c r="AT38" s="111"/>
      <c r="AX38" s="111"/>
      <c r="AY38" s="111"/>
      <c r="AZ38" s="111"/>
      <c r="BA38" s="111"/>
      <c r="BB38" s="111"/>
      <c r="BC38" s="111"/>
      <c r="BD38" s="111"/>
      <c r="BE38" s="111"/>
      <c r="BF38" s="111"/>
      <c r="BG38" s="111"/>
      <c r="BI38" s="111"/>
      <c r="BJ38" s="111"/>
      <c r="BK38" s="111"/>
      <c r="BL38" s="111"/>
      <c r="BM38" s="111"/>
      <c r="BN38" s="111"/>
      <c r="BO38" s="111"/>
      <c r="BP38" s="111"/>
      <c r="BQ38" s="111"/>
      <c r="BS38" s="111"/>
      <c r="BT38" s="111"/>
      <c r="BU38" s="111"/>
      <c r="BV38" s="111"/>
    </row>
    <row r="39" spans="17:74" x14ac:dyDescent="0.25">
      <c r="Q39" s="111"/>
      <c r="R39" s="296" t="s">
        <v>555</v>
      </c>
      <c r="S39" s="295">
        <f>SUM(S30:S38)</f>
        <v>44383.806000000019</v>
      </c>
      <c r="T39" s="295">
        <f>SUM(T30:T38)</f>
        <v>2048200.6980022714</v>
      </c>
      <c r="U39" s="295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296" t="s">
        <v>555</v>
      </c>
      <c r="AI39" s="295">
        <f>SUM(AI30:AI38)</f>
        <v>0</v>
      </c>
      <c r="AJ39" s="295">
        <f>SUM(AJ30:AJ38)</f>
        <v>0</v>
      </c>
      <c r="AK39" s="295"/>
      <c r="AL39" s="295"/>
      <c r="AM39" s="295"/>
      <c r="AN39" s="295"/>
      <c r="AO39" s="295"/>
      <c r="AP39" s="295"/>
      <c r="AQ39" s="111"/>
      <c r="AR39" s="111"/>
      <c r="AS39" s="111"/>
      <c r="AT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I39" s="111"/>
      <c r="BJ39" s="111"/>
      <c r="BK39" s="111"/>
      <c r="BL39" s="111"/>
      <c r="BM39" s="111"/>
      <c r="BN39" s="111"/>
      <c r="BO39" s="111"/>
      <c r="BP39" s="111"/>
      <c r="BQ39" s="111"/>
      <c r="BS39" s="111"/>
      <c r="BT39" s="111"/>
      <c r="BU39" s="111"/>
      <c r="BV39" s="111"/>
    </row>
    <row r="40" spans="17:74" x14ac:dyDescent="0.25">
      <c r="Q40" s="111"/>
      <c r="R40" s="111"/>
      <c r="S40" s="111"/>
      <c r="T40" s="294"/>
      <c r="U40" s="294"/>
      <c r="V40" s="294"/>
      <c r="W40" s="294"/>
      <c r="X40" s="294"/>
      <c r="Y40" s="294"/>
      <c r="Z40" s="294"/>
      <c r="AA40" s="294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I40" s="111"/>
      <c r="BJ40" s="111"/>
      <c r="BK40" s="111"/>
      <c r="BL40" s="111"/>
      <c r="BM40" s="111"/>
      <c r="BN40" s="111"/>
      <c r="BO40" s="111"/>
      <c r="BP40" s="111"/>
      <c r="BQ40" s="111"/>
      <c r="BS40" s="111"/>
      <c r="BT40" s="111"/>
      <c r="BU40" s="111"/>
      <c r="BV40" s="111"/>
    </row>
    <row r="41" spans="17:74" x14ac:dyDescent="0.25"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I41" s="111"/>
      <c r="BJ41" s="111"/>
      <c r="BK41" s="111"/>
      <c r="BL41" s="111"/>
      <c r="BM41" s="111"/>
      <c r="BN41" s="111"/>
      <c r="BO41" s="111"/>
      <c r="BP41" s="111"/>
      <c r="BQ41" s="111"/>
      <c r="BS41" s="111"/>
      <c r="BT41" s="111"/>
      <c r="BU41" s="111"/>
      <c r="BV41" s="111"/>
    </row>
    <row r="42" spans="17:74" x14ac:dyDescent="0.25"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I42" s="111"/>
      <c r="BJ42" s="111"/>
      <c r="BK42" s="111"/>
      <c r="BL42" s="111"/>
      <c r="BM42" s="111"/>
      <c r="BN42" s="111"/>
      <c r="BO42" s="111"/>
      <c r="BP42" s="111"/>
      <c r="BQ42" s="111"/>
      <c r="BS42" s="111"/>
      <c r="BT42" s="111"/>
      <c r="BU42" s="111"/>
      <c r="BV42" s="111"/>
    </row>
    <row r="43" spans="17:74" x14ac:dyDescent="0.25"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I43" s="111"/>
      <c r="BJ43" s="111"/>
      <c r="BK43" s="111"/>
      <c r="BL43" s="111"/>
      <c r="BM43" s="111"/>
      <c r="BN43" s="111"/>
      <c r="BO43" s="111"/>
      <c r="BP43" s="111"/>
      <c r="BQ43" s="111"/>
      <c r="BS43" s="111"/>
      <c r="BT43" s="111"/>
      <c r="BU43" s="111"/>
      <c r="BV43" s="111"/>
    </row>
    <row r="44" spans="17:74" x14ac:dyDescent="0.25"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  <c r="BI44" s="111"/>
      <c r="BJ44" s="111"/>
      <c r="BK44" s="111"/>
      <c r="BL44" s="111"/>
      <c r="BM44" s="111"/>
      <c r="BN44" s="111"/>
      <c r="BO44" s="111"/>
      <c r="BP44" s="111"/>
      <c r="BQ44" s="111"/>
      <c r="BS44" s="111"/>
      <c r="BT44" s="111"/>
      <c r="BU44" s="111"/>
      <c r="BV44" s="111"/>
    </row>
    <row r="45" spans="17:74" x14ac:dyDescent="0.25"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I45" s="111"/>
      <c r="BJ45" s="111"/>
      <c r="BK45" s="111"/>
      <c r="BL45" s="111"/>
      <c r="BM45" s="111"/>
      <c r="BN45" s="111"/>
      <c r="BO45" s="111"/>
      <c r="BP45" s="111"/>
      <c r="BQ45" s="111"/>
      <c r="BS45" s="111"/>
      <c r="BT45" s="111"/>
      <c r="BU45" s="111"/>
      <c r="BV45" s="111"/>
    </row>
    <row r="46" spans="17:74" x14ac:dyDescent="0.25"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  <c r="AL46" s="111"/>
      <c r="AM46" s="111"/>
      <c r="AN46" s="111"/>
      <c r="AO46" s="111"/>
      <c r="AP46" s="111"/>
      <c r="AQ46" s="111"/>
      <c r="AR46" s="111"/>
      <c r="AS46" s="111"/>
      <c r="AT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  <c r="BI46" s="111"/>
      <c r="BJ46" s="111"/>
      <c r="BK46" s="111"/>
      <c r="BL46" s="111"/>
      <c r="BM46" s="111"/>
      <c r="BN46" s="111"/>
      <c r="BO46" s="111"/>
      <c r="BP46" s="111"/>
      <c r="BQ46" s="111"/>
      <c r="BS46" s="111"/>
      <c r="BT46" s="111"/>
      <c r="BU46" s="111"/>
      <c r="BV46" s="111"/>
    </row>
    <row r="47" spans="17:74" x14ac:dyDescent="0.25"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  <c r="BI47" s="111"/>
      <c r="BJ47" s="111"/>
      <c r="BK47" s="111"/>
      <c r="BL47" s="111"/>
      <c r="BM47" s="111"/>
      <c r="BN47" s="111"/>
      <c r="BO47" s="111"/>
      <c r="BP47" s="111"/>
      <c r="BQ47" s="111"/>
      <c r="BS47" s="111"/>
      <c r="BT47" s="111"/>
      <c r="BU47" s="111"/>
      <c r="BV47" s="111"/>
    </row>
    <row r="48" spans="17:74" x14ac:dyDescent="0.25"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111"/>
      <c r="AO48" s="111"/>
      <c r="AP48" s="111"/>
      <c r="AQ48" s="111"/>
      <c r="AR48" s="111"/>
      <c r="AS48" s="111"/>
      <c r="AT48" s="111"/>
      <c r="AX48" s="111"/>
      <c r="AY48" s="111"/>
      <c r="AZ48" s="111"/>
      <c r="BA48" s="111"/>
      <c r="BB48" s="111"/>
      <c r="BC48" s="111"/>
      <c r="BD48" s="111"/>
      <c r="BE48" s="111"/>
      <c r="BF48" s="111"/>
      <c r="BG48" s="111"/>
      <c r="BI48" s="111"/>
      <c r="BJ48" s="111"/>
      <c r="BK48" s="111"/>
      <c r="BL48" s="111"/>
      <c r="BM48" s="111"/>
      <c r="BN48" s="111"/>
      <c r="BO48" s="111"/>
      <c r="BP48" s="111"/>
      <c r="BQ48" s="111"/>
      <c r="BS48" s="111"/>
      <c r="BT48" s="111"/>
      <c r="BU48" s="111"/>
      <c r="BV48" s="111"/>
    </row>
    <row r="49" spans="17:74" x14ac:dyDescent="0.25"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I49" s="111"/>
      <c r="BJ49" s="111"/>
      <c r="BK49" s="111"/>
      <c r="BL49" s="111"/>
      <c r="BM49" s="111"/>
      <c r="BN49" s="111"/>
      <c r="BO49" s="111"/>
      <c r="BP49" s="111"/>
      <c r="BQ49" s="111"/>
      <c r="BS49" s="111"/>
      <c r="BT49" s="111"/>
      <c r="BU49" s="111"/>
      <c r="BV49" s="111"/>
    </row>
    <row r="50" spans="17:74" x14ac:dyDescent="0.25"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  <c r="BI50" s="111"/>
      <c r="BJ50" s="111"/>
      <c r="BK50" s="111"/>
      <c r="BL50" s="111"/>
      <c r="BM50" s="111"/>
      <c r="BN50" s="111"/>
      <c r="BO50" s="111"/>
      <c r="BP50" s="111"/>
      <c r="BQ50" s="111"/>
      <c r="BS50" s="111"/>
      <c r="BT50" s="111"/>
      <c r="BU50" s="111"/>
      <c r="BV50" s="111"/>
    </row>
    <row r="51" spans="17:74" x14ac:dyDescent="0.25"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  <c r="AS51" s="111"/>
      <c r="AT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  <c r="BI51" s="111"/>
      <c r="BJ51" s="111"/>
      <c r="BK51" s="111"/>
      <c r="BL51" s="111"/>
      <c r="BM51" s="111"/>
      <c r="BN51" s="111"/>
      <c r="BO51" s="111"/>
      <c r="BP51" s="111"/>
      <c r="BQ51" s="111"/>
      <c r="BS51" s="111"/>
      <c r="BT51" s="111"/>
      <c r="BU51" s="111"/>
      <c r="BV51" s="111"/>
    </row>
    <row r="52" spans="17:74" x14ac:dyDescent="0.25"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X52" s="111"/>
      <c r="AY52" s="111"/>
      <c r="AZ52" s="111"/>
      <c r="BA52" s="111"/>
      <c r="BB52" s="111"/>
      <c r="BC52" s="111"/>
      <c r="BD52" s="111"/>
      <c r="BE52" s="111"/>
      <c r="BF52" s="111"/>
      <c r="BG52" s="111"/>
      <c r="BI52" s="111"/>
      <c r="BJ52" s="111"/>
      <c r="BK52" s="111"/>
      <c r="BL52" s="111"/>
      <c r="BM52" s="111"/>
      <c r="BN52" s="111"/>
      <c r="BO52" s="111"/>
      <c r="BP52" s="111"/>
      <c r="BQ52" s="111"/>
      <c r="BS52" s="111"/>
      <c r="BT52" s="111"/>
      <c r="BU52" s="111"/>
      <c r="BV52" s="111"/>
    </row>
    <row r="53" spans="17:74" x14ac:dyDescent="0.25"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  <c r="BI53" s="111"/>
      <c r="BJ53" s="111"/>
      <c r="BK53" s="111"/>
      <c r="BL53" s="111"/>
      <c r="BM53" s="111"/>
      <c r="BN53" s="111"/>
      <c r="BO53" s="111"/>
      <c r="BP53" s="111"/>
      <c r="BQ53" s="111"/>
      <c r="BS53" s="111"/>
      <c r="BT53" s="111"/>
      <c r="BU53" s="111"/>
      <c r="BV53" s="111"/>
    </row>
    <row r="54" spans="17:74" x14ac:dyDescent="0.25"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  <c r="AS54" s="111"/>
      <c r="AT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  <c r="BI54" s="111"/>
      <c r="BJ54" s="111"/>
      <c r="BK54" s="111"/>
      <c r="BL54" s="111"/>
      <c r="BM54" s="111"/>
      <c r="BN54" s="111"/>
      <c r="BO54" s="111"/>
      <c r="BP54" s="111"/>
      <c r="BQ54" s="111"/>
      <c r="BS54" s="111"/>
      <c r="BT54" s="111"/>
      <c r="BU54" s="111"/>
      <c r="BV54" s="111"/>
    </row>
    <row r="55" spans="17:74" x14ac:dyDescent="0.25"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  <c r="BI55" s="111"/>
      <c r="BJ55" s="111"/>
      <c r="BK55" s="111"/>
      <c r="BL55" s="111"/>
      <c r="BM55" s="111"/>
      <c r="BN55" s="111"/>
      <c r="BO55" s="111"/>
      <c r="BP55" s="111"/>
      <c r="BQ55" s="111"/>
      <c r="BS55" s="111"/>
      <c r="BT55" s="111"/>
      <c r="BU55" s="111"/>
      <c r="BV55" s="111"/>
    </row>
    <row r="56" spans="17:74" x14ac:dyDescent="0.25"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  <c r="BI56" s="111"/>
      <c r="BJ56" s="111"/>
      <c r="BK56" s="111"/>
      <c r="BL56" s="111"/>
      <c r="BM56" s="111"/>
      <c r="BN56" s="111"/>
      <c r="BO56" s="111"/>
      <c r="BP56" s="111"/>
      <c r="BQ56" s="111"/>
      <c r="BS56" s="111"/>
      <c r="BT56" s="111"/>
      <c r="BU56" s="111"/>
      <c r="BV56" s="111"/>
    </row>
    <row r="57" spans="17:74" x14ac:dyDescent="0.25"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X57" s="111"/>
      <c r="AY57" s="111"/>
      <c r="AZ57" s="111"/>
      <c r="BA57" s="111"/>
      <c r="BB57" s="111"/>
      <c r="BC57" s="111"/>
      <c r="BD57" s="111"/>
      <c r="BE57" s="111"/>
      <c r="BF57" s="111"/>
      <c r="BG57" s="111"/>
      <c r="BI57" s="111"/>
      <c r="BJ57" s="111"/>
      <c r="BK57" s="111"/>
      <c r="BL57" s="111"/>
      <c r="BM57" s="111"/>
      <c r="BN57" s="111"/>
      <c r="BO57" s="111"/>
      <c r="BP57" s="111"/>
      <c r="BQ57" s="111"/>
      <c r="BS57" s="111"/>
      <c r="BT57" s="111"/>
      <c r="BU57" s="111"/>
      <c r="BV57" s="111"/>
    </row>
    <row r="58" spans="17:74" x14ac:dyDescent="0.25"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X58" s="111"/>
      <c r="AY58" s="111"/>
      <c r="AZ58" s="111"/>
      <c r="BA58" s="111"/>
      <c r="BB58" s="111"/>
      <c r="BC58" s="111"/>
      <c r="BD58" s="111"/>
      <c r="BE58" s="111"/>
      <c r="BF58" s="111"/>
      <c r="BG58" s="111"/>
      <c r="BI58" s="111"/>
      <c r="BJ58" s="111"/>
      <c r="BK58" s="111"/>
      <c r="BL58" s="111"/>
      <c r="BM58" s="111"/>
      <c r="BN58" s="111"/>
      <c r="BO58" s="111"/>
      <c r="BP58" s="111"/>
      <c r="BQ58" s="111"/>
      <c r="BS58" s="111"/>
      <c r="BT58" s="111"/>
      <c r="BU58" s="111"/>
      <c r="BV58" s="111"/>
    </row>
    <row r="59" spans="17:74" x14ac:dyDescent="0.25"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I59" s="111"/>
      <c r="BJ59" s="111"/>
      <c r="BK59" s="111"/>
      <c r="BL59" s="111"/>
      <c r="BM59" s="111"/>
      <c r="BN59" s="111"/>
      <c r="BO59" s="111"/>
      <c r="BP59" s="111"/>
      <c r="BQ59" s="111"/>
      <c r="BS59" s="111"/>
      <c r="BT59" s="111"/>
      <c r="BU59" s="111"/>
      <c r="BV59" s="111"/>
    </row>
    <row r="60" spans="17:74" x14ac:dyDescent="0.25"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L60" s="111"/>
      <c r="AM60" s="111"/>
      <c r="AN60" s="111"/>
      <c r="AO60" s="111"/>
      <c r="AP60" s="111"/>
      <c r="AQ60" s="111"/>
      <c r="AR60" s="111"/>
      <c r="AS60" s="111"/>
      <c r="AT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  <c r="BI60" s="111"/>
      <c r="BJ60" s="111"/>
      <c r="BK60" s="111"/>
      <c r="BL60" s="111"/>
      <c r="BM60" s="111"/>
      <c r="BN60" s="111"/>
      <c r="BO60" s="111"/>
      <c r="BP60" s="111"/>
      <c r="BQ60" s="111"/>
      <c r="BS60" s="111"/>
      <c r="BT60" s="111"/>
      <c r="BU60" s="111"/>
      <c r="BV60" s="111"/>
    </row>
    <row r="61" spans="17:74" x14ac:dyDescent="0.25"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  <c r="BI61" s="111"/>
      <c r="BJ61" s="111"/>
      <c r="BK61" s="111"/>
      <c r="BL61" s="111"/>
      <c r="BM61" s="111"/>
      <c r="BN61" s="111"/>
      <c r="BO61" s="111"/>
      <c r="BP61" s="111"/>
      <c r="BQ61" s="111"/>
      <c r="BS61" s="111"/>
      <c r="BT61" s="111"/>
      <c r="BU61" s="111"/>
      <c r="BV61" s="111"/>
    </row>
    <row r="62" spans="17:74" x14ac:dyDescent="0.25"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  <c r="BI62" s="111"/>
      <c r="BJ62" s="111"/>
      <c r="BK62" s="111"/>
      <c r="BL62" s="111"/>
      <c r="BM62" s="111"/>
      <c r="BN62" s="111"/>
      <c r="BO62" s="111"/>
      <c r="BP62" s="111"/>
      <c r="BQ62" s="111"/>
      <c r="BS62" s="111"/>
      <c r="BT62" s="111"/>
      <c r="BU62" s="111"/>
      <c r="BV62" s="111"/>
    </row>
    <row r="63" spans="17:74" x14ac:dyDescent="0.25"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  <c r="BI63" s="111"/>
      <c r="BJ63" s="111"/>
      <c r="BK63" s="111"/>
      <c r="BL63" s="111"/>
      <c r="BM63" s="111"/>
      <c r="BN63" s="111"/>
      <c r="BO63" s="111"/>
      <c r="BP63" s="111"/>
      <c r="BQ63" s="111"/>
      <c r="BS63" s="111"/>
      <c r="BT63" s="111"/>
      <c r="BU63" s="111"/>
      <c r="BV63" s="111"/>
    </row>
    <row r="64" spans="17:74" x14ac:dyDescent="0.25"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I64" s="111"/>
      <c r="BJ64" s="111"/>
      <c r="BK64" s="111"/>
      <c r="BL64" s="111"/>
      <c r="BM64" s="111"/>
      <c r="BN64" s="111"/>
      <c r="BO64" s="111"/>
      <c r="BP64" s="111"/>
      <c r="BQ64" s="111"/>
      <c r="BS64" s="111"/>
      <c r="BT64" s="111"/>
      <c r="BU64" s="111"/>
      <c r="BV64" s="111"/>
    </row>
    <row r="65" spans="17:74" x14ac:dyDescent="0.25"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X65" s="111"/>
      <c r="AY65" s="111"/>
      <c r="AZ65" s="111"/>
      <c r="BA65" s="111"/>
      <c r="BB65" s="111"/>
      <c r="BC65" s="111"/>
      <c r="BD65" s="111"/>
      <c r="BE65" s="111"/>
      <c r="BF65" s="111"/>
      <c r="BG65" s="111"/>
      <c r="BI65" s="111"/>
      <c r="BJ65" s="111"/>
      <c r="BK65" s="111"/>
      <c r="BL65" s="111"/>
      <c r="BM65" s="111"/>
      <c r="BN65" s="111"/>
      <c r="BO65" s="111"/>
      <c r="BP65" s="111"/>
      <c r="BQ65" s="111"/>
      <c r="BS65" s="111"/>
      <c r="BT65" s="111"/>
      <c r="BU65" s="111"/>
      <c r="BV65" s="111"/>
    </row>
    <row r="66" spans="17:74" x14ac:dyDescent="0.25"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11"/>
      <c r="AO66" s="111"/>
      <c r="AP66" s="111"/>
      <c r="AQ66" s="111"/>
      <c r="AR66" s="111"/>
      <c r="AS66" s="111"/>
      <c r="AT66" s="111"/>
      <c r="AX66" s="111"/>
      <c r="AY66" s="111"/>
      <c r="AZ66" s="111"/>
      <c r="BA66" s="111"/>
      <c r="BB66" s="111"/>
      <c r="BC66" s="111"/>
      <c r="BD66" s="111"/>
      <c r="BE66" s="111"/>
      <c r="BF66" s="111"/>
      <c r="BG66" s="111"/>
      <c r="BI66" s="111"/>
      <c r="BJ66" s="111"/>
      <c r="BK66" s="111"/>
      <c r="BL66" s="111"/>
      <c r="BM66" s="111"/>
      <c r="BN66" s="111"/>
      <c r="BO66" s="111"/>
      <c r="BP66" s="111"/>
      <c r="BQ66" s="111"/>
      <c r="BS66" s="111"/>
      <c r="BT66" s="111"/>
      <c r="BU66" s="111"/>
      <c r="BV66" s="111"/>
    </row>
    <row r="67" spans="17:74" x14ac:dyDescent="0.25"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11"/>
      <c r="AO67" s="111"/>
      <c r="AP67" s="111"/>
      <c r="AQ67" s="111"/>
      <c r="AR67" s="111"/>
      <c r="AS67" s="111"/>
      <c r="AT67" s="111"/>
      <c r="AX67" s="111"/>
      <c r="AY67" s="111"/>
      <c r="AZ67" s="111"/>
      <c r="BA67" s="111"/>
      <c r="BB67" s="111"/>
      <c r="BC67" s="111"/>
      <c r="BD67" s="111"/>
      <c r="BE67" s="111"/>
      <c r="BF67" s="111"/>
      <c r="BG67" s="111"/>
      <c r="BI67" s="111"/>
      <c r="BJ67" s="111"/>
      <c r="BK67" s="111"/>
      <c r="BL67" s="111"/>
      <c r="BM67" s="111"/>
      <c r="BN67" s="111"/>
      <c r="BO67" s="111"/>
      <c r="BP67" s="111"/>
      <c r="BQ67" s="111"/>
      <c r="BS67" s="111"/>
      <c r="BT67" s="111"/>
      <c r="BU67" s="111"/>
      <c r="BV67" s="111"/>
    </row>
    <row r="68" spans="17:74" x14ac:dyDescent="0.25"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11"/>
      <c r="AO68" s="111"/>
      <c r="AP68" s="111"/>
      <c r="AQ68" s="111"/>
      <c r="AR68" s="111"/>
      <c r="AS68" s="111"/>
      <c r="AT68" s="111"/>
      <c r="AX68" s="111"/>
      <c r="AY68" s="111"/>
      <c r="AZ68" s="111"/>
      <c r="BA68" s="111"/>
      <c r="BB68" s="111"/>
      <c r="BC68" s="111"/>
      <c r="BD68" s="111"/>
      <c r="BE68" s="111"/>
      <c r="BF68" s="111"/>
      <c r="BG68" s="111"/>
      <c r="BI68" s="111"/>
      <c r="BJ68" s="111"/>
      <c r="BK68" s="111"/>
      <c r="BL68" s="111"/>
      <c r="BM68" s="111"/>
      <c r="BN68" s="111"/>
      <c r="BO68" s="111"/>
      <c r="BP68" s="111"/>
      <c r="BQ68" s="111"/>
      <c r="BS68" s="111"/>
      <c r="BT68" s="111"/>
      <c r="BU68" s="111"/>
      <c r="BV68" s="111"/>
    </row>
    <row r="69" spans="17:74" x14ac:dyDescent="0.25"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11"/>
      <c r="AO69" s="111"/>
      <c r="AP69" s="111"/>
      <c r="AQ69" s="111"/>
      <c r="AR69" s="111"/>
      <c r="AS69" s="111"/>
      <c r="AT69" s="111"/>
      <c r="AX69" s="111"/>
      <c r="AY69" s="111"/>
      <c r="AZ69" s="111"/>
      <c r="BA69" s="111"/>
      <c r="BB69" s="111"/>
      <c r="BC69" s="111"/>
      <c r="BD69" s="111"/>
      <c r="BE69" s="111"/>
      <c r="BF69" s="111"/>
      <c r="BG69" s="111"/>
      <c r="BI69" s="111"/>
      <c r="BJ69" s="111"/>
      <c r="BK69" s="111"/>
      <c r="BL69" s="111"/>
      <c r="BM69" s="111"/>
      <c r="BN69" s="111"/>
      <c r="BO69" s="111"/>
      <c r="BP69" s="111"/>
      <c r="BQ69" s="111"/>
      <c r="BS69" s="111"/>
      <c r="BT69" s="111"/>
      <c r="BU69" s="111"/>
      <c r="BV69" s="111"/>
    </row>
    <row r="70" spans="17:74" x14ac:dyDescent="0.25"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L70" s="111"/>
      <c r="AM70" s="111"/>
      <c r="AN70" s="111"/>
      <c r="AO70" s="111"/>
      <c r="AP70" s="111"/>
      <c r="AQ70" s="111"/>
      <c r="AR70" s="111"/>
      <c r="AS70" s="111"/>
      <c r="AT70" s="111"/>
      <c r="AX70" s="111"/>
      <c r="AY70" s="111"/>
      <c r="AZ70" s="111"/>
      <c r="BA70" s="111"/>
      <c r="BB70" s="111"/>
      <c r="BC70" s="111"/>
      <c r="BD70" s="111"/>
      <c r="BE70" s="111"/>
      <c r="BF70" s="111"/>
      <c r="BG70" s="111"/>
      <c r="BI70" s="111"/>
      <c r="BJ70" s="111"/>
      <c r="BK70" s="111"/>
      <c r="BL70" s="111"/>
      <c r="BM70" s="111"/>
      <c r="BN70" s="111"/>
      <c r="BO70" s="111"/>
      <c r="BP70" s="111"/>
      <c r="BQ70" s="111"/>
      <c r="BS70" s="111"/>
      <c r="BT70" s="111"/>
      <c r="BU70" s="111"/>
      <c r="BV70" s="111"/>
    </row>
    <row r="71" spans="17:74" x14ac:dyDescent="0.25"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L71" s="111"/>
      <c r="AM71" s="111"/>
      <c r="AN71" s="111"/>
      <c r="AO71" s="111"/>
      <c r="AP71" s="111"/>
      <c r="AQ71" s="111"/>
      <c r="AR71" s="111"/>
      <c r="AS71" s="111"/>
      <c r="AT71" s="111"/>
      <c r="AX71" s="111"/>
      <c r="AY71" s="111"/>
      <c r="AZ71" s="111"/>
      <c r="BA71" s="111"/>
      <c r="BB71" s="111"/>
      <c r="BC71" s="111"/>
      <c r="BD71" s="111"/>
      <c r="BE71" s="111"/>
      <c r="BF71" s="111"/>
      <c r="BG71" s="111"/>
      <c r="BI71" s="111"/>
      <c r="BJ71" s="111"/>
      <c r="BK71" s="111"/>
      <c r="BL71" s="111"/>
      <c r="BM71" s="111"/>
      <c r="BN71" s="111"/>
      <c r="BO71" s="111"/>
      <c r="BP71" s="111"/>
      <c r="BQ71" s="111"/>
      <c r="BS71" s="111"/>
      <c r="BT71" s="111"/>
      <c r="BU71" s="111"/>
      <c r="BV71" s="111"/>
    </row>
    <row r="72" spans="17:74" x14ac:dyDescent="0.25"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L72" s="111"/>
      <c r="AM72" s="111"/>
      <c r="AN72" s="111"/>
      <c r="AO72" s="111"/>
      <c r="AP72" s="111"/>
      <c r="AQ72" s="111"/>
      <c r="AR72" s="111"/>
      <c r="AS72" s="111"/>
      <c r="AT72" s="111"/>
      <c r="AX72" s="111"/>
      <c r="AY72" s="111"/>
      <c r="AZ72" s="111"/>
      <c r="BA72" s="111"/>
      <c r="BB72" s="111"/>
      <c r="BC72" s="111"/>
      <c r="BD72" s="111"/>
      <c r="BE72" s="111"/>
      <c r="BF72" s="111"/>
      <c r="BG72" s="111"/>
      <c r="BI72" s="111"/>
      <c r="BJ72" s="111"/>
      <c r="BK72" s="111"/>
      <c r="BL72" s="111"/>
      <c r="BM72" s="111"/>
      <c r="BN72" s="111"/>
      <c r="BO72" s="111"/>
      <c r="BP72" s="111"/>
      <c r="BQ72" s="111"/>
      <c r="BS72" s="111"/>
      <c r="BT72" s="111"/>
      <c r="BU72" s="111"/>
      <c r="BV72" s="111"/>
    </row>
    <row r="73" spans="17:74" x14ac:dyDescent="0.25"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1"/>
      <c r="AS73" s="111"/>
      <c r="AT73" s="111"/>
      <c r="AX73" s="111"/>
      <c r="AY73" s="111"/>
      <c r="AZ73" s="111"/>
      <c r="BA73" s="111"/>
      <c r="BB73" s="111"/>
      <c r="BC73" s="111"/>
      <c r="BD73" s="111"/>
      <c r="BE73" s="111"/>
      <c r="BF73" s="111"/>
      <c r="BG73" s="111"/>
      <c r="BI73" s="111"/>
      <c r="BJ73" s="111"/>
      <c r="BK73" s="111"/>
      <c r="BL73" s="111"/>
      <c r="BM73" s="111"/>
      <c r="BN73" s="111"/>
      <c r="BO73" s="111"/>
      <c r="BP73" s="111"/>
      <c r="BQ73" s="111"/>
      <c r="BS73" s="111"/>
      <c r="BT73" s="111"/>
      <c r="BU73" s="111"/>
      <c r="BV73" s="111"/>
    </row>
    <row r="74" spans="17:74" x14ac:dyDescent="0.25"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1"/>
      <c r="AS74" s="111"/>
      <c r="AT74" s="111"/>
      <c r="AX74" s="111"/>
      <c r="AY74" s="111"/>
      <c r="AZ74" s="111"/>
      <c r="BA74" s="111"/>
      <c r="BB74" s="111"/>
      <c r="BC74" s="111"/>
      <c r="BD74" s="111"/>
      <c r="BE74" s="111"/>
      <c r="BF74" s="111"/>
      <c r="BG74" s="111"/>
      <c r="BI74" s="111"/>
      <c r="BJ74" s="111"/>
      <c r="BK74" s="111"/>
      <c r="BL74" s="111"/>
      <c r="BM74" s="111"/>
      <c r="BN74" s="111"/>
      <c r="BO74" s="111"/>
      <c r="BP74" s="111"/>
      <c r="BQ74" s="111"/>
      <c r="BS74" s="111"/>
      <c r="BT74" s="111"/>
      <c r="BU74" s="111"/>
      <c r="BV74" s="111"/>
    </row>
    <row r="75" spans="17:74" x14ac:dyDescent="0.25"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1"/>
      <c r="AS75" s="111"/>
      <c r="AT75" s="111"/>
      <c r="AX75" s="111"/>
      <c r="AY75" s="111"/>
      <c r="AZ75" s="111"/>
      <c r="BA75" s="111"/>
      <c r="BB75" s="111"/>
      <c r="BC75" s="111"/>
      <c r="BD75" s="111"/>
      <c r="BE75" s="111"/>
      <c r="BF75" s="111"/>
      <c r="BG75" s="111"/>
      <c r="BI75" s="111"/>
      <c r="BJ75" s="111"/>
      <c r="BK75" s="111"/>
      <c r="BL75" s="111"/>
      <c r="BM75" s="111"/>
      <c r="BN75" s="111"/>
      <c r="BO75" s="111"/>
      <c r="BP75" s="111"/>
      <c r="BQ75" s="111"/>
      <c r="BS75" s="111"/>
      <c r="BT75" s="111"/>
      <c r="BU75" s="111"/>
      <c r="BV75" s="111"/>
    </row>
    <row r="76" spans="17:74" x14ac:dyDescent="0.25"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1"/>
      <c r="AS76" s="111"/>
      <c r="AT76" s="111"/>
      <c r="AX76" s="111"/>
      <c r="AY76" s="111"/>
      <c r="AZ76" s="111"/>
      <c r="BA76" s="111"/>
      <c r="BB76" s="111"/>
      <c r="BC76" s="111"/>
      <c r="BD76" s="111"/>
      <c r="BE76" s="111"/>
      <c r="BF76" s="111"/>
      <c r="BG76" s="111"/>
      <c r="BI76" s="111"/>
      <c r="BJ76" s="111"/>
      <c r="BK76" s="111"/>
      <c r="BL76" s="111"/>
      <c r="BM76" s="111"/>
      <c r="BN76" s="111"/>
      <c r="BO76" s="111"/>
      <c r="BP76" s="111"/>
      <c r="BQ76" s="111"/>
      <c r="BS76" s="111"/>
      <c r="BT76" s="111"/>
      <c r="BU76" s="111"/>
      <c r="BV76" s="111"/>
    </row>
    <row r="77" spans="17:74" x14ac:dyDescent="0.25"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1"/>
      <c r="AS77" s="111"/>
      <c r="AT77" s="111"/>
      <c r="AX77" s="111"/>
      <c r="AY77" s="111"/>
      <c r="AZ77" s="111"/>
      <c r="BA77" s="111"/>
      <c r="BB77" s="111"/>
      <c r="BC77" s="111"/>
      <c r="BD77" s="111"/>
      <c r="BE77" s="111"/>
      <c r="BF77" s="111"/>
      <c r="BG77" s="111"/>
      <c r="BI77" s="111"/>
      <c r="BJ77" s="111"/>
      <c r="BK77" s="111"/>
      <c r="BL77" s="111"/>
      <c r="BM77" s="111"/>
      <c r="BN77" s="111"/>
      <c r="BO77" s="111"/>
      <c r="BP77" s="111"/>
      <c r="BQ77" s="111"/>
      <c r="BS77" s="111"/>
      <c r="BT77" s="111"/>
      <c r="BU77" s="111"/>
      <c r="BV77" s="111"/>
    </row>
    <row r="78" spans="17:74" x14ac:dyDescent="0.25"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1"/>
      <c r="AS78" s="111"/>
      <c r="AT78" s="111"/>
      <c r="AX78" s="111"/>
      <c r="AY78" s="111"/>
      <c r="AZ78" s="111"/>
      <c r="BA78" s="111"/>
      <c r="BB78" s="111"/>
      <c r="BC78" s="111"/>
      <c r="BD78" s="111"/>
      <c r="BE78" s="111"/>
      <c r="BF78" s="111"/>
      <c r="BG78" s="111"/>
      <c r="BI78" s="111"/>
      <c r="BJ78" s="111"/>
      <c r="BK78" s="111"/>
      <c r="BL78" s="111"/>
      <c r="BM78" s="111"/>
      <c r="BN78" s="111"/>
      <c r="BO78" s="111"/>
      <c r="BP78" s="111"/>
      <c r="BQ78" s="111"/>
      <c r="BS78" s="111"/>
      <c r="BT78" s="111"/>
      <c r="BU78" s="111"/>
      <c r="BV78" s="111"/>
    </row>
    <row r="79" spans="17:74" x14ac:dyDescent="0.25"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1"/>
      <c r="AS79" s="111"/>
      <c r="AT79" s="111"/>
      <c r="AX79" s="111"/>
      <c r="AY79" s="111"/>
      <c r="AZ79" s="111"/>
      <c r="BA79" s="111"/>
      <c r="BB79" s="111"/>
      <c r="BC79" s="111"/>
      <c r="BD79" s="111"/>
      <c r="BE79" s="111"/>
      <c r="BF79" s="111"/>
      <c r="BG79" s="111"/>
      <c r="BI79" s="111"/>
      <c r="BJ79" s="111"/>
      <c r="BK79" s="111"/>
      <c r="BL79" s="111"/>
      <c r="BM79" s="111"/>
      <c r="BN79" s="111"/>
      <c r="BO79" s="111"/>
      <c r="BP79" s="111"/>
      <c r="BQ79" s="111"/>
      <c r="BS79" s="111"/>
      <c r="BT79" s="111"/>
      <c r="BU79" s="111"/>
      <c r="BV79" s="111"/>
    </row>
    <row r="80" spans="17:74" x14ac:dyDescent="0.25"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1"/>
      <c r="AS80" s="111"/>
      <c r="AT80" s="111"/>
      <c r="AX80" s="111"/>
      <c r="AY80" s="111"/>
      <c r="AZ80" s="111"/>
      <c r="BA80" s="111"/>
      <c r="BB80" s="111"/>
      <c r="BC80" s="111"/>
      <c r="BD80" s="111"/>
      <c r="BE80" s="111"/>
      <c r="BF80" s="111"/>
      <c r="BG80" s="111"/>
      <c r="BI80" s="111"/>
      <c r="BJ80" s="111"/>
      <c r="BK80" s="111"/>
      <c r="BL80" s="111"/>
      <c r="BM80" s="111"/>
      <c r="BN80" s="111"/>
      <c r="BO80" s="111"/>
      <c r="BP80" s="111"/>
      <c r="BQ80" s="111"/>
      <c r="BS80" s="111"/>
      <c r="BT80" s="111"/>
      <c r="BU80" s="111"/>
      <c r="BV80" s="111"/>
    </row>
    <row r="81" spans="17:74" x14ac:dyDescent="0.25"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1"/>
      <c r="AS81" s="111"/>
      <c r="AT81" s="111"/>
      <c r="AX81" s="111"/>
      <c r="AY81" s="111"/>
      <c r="AZ81" s="111"/>
      <c r="BA81" s="111"/>
      <c r="BB81" s="111"/>
      <c r="BC81" s="111"/>
      <c r="BD81" s="111"/>
      <c r="BE81" s="111"/>
      <c r="BF81" s="111"/>
      <c r="BG81" s="111"/>
      <c r="BI81" s="111"/>
      <c r="BJ81" s="111"/>
      <c r="BK81" s="111"/>
      <c r="BL81" s="111"/>
      <c r="BM81" s="111"/>
      <c r="BN81" s="111"/>
      <c r="BO81" s="111"/>
      <c r="BP81" s="111"/>
      <c r="BQ81" s="111"/>
      <c r="BS81" s="111"/>
      <c r="BT81" s="111"/>
      <c r="BU81" s="111"/>
      <c r="BV81" s="111"/>
    </row>
    <row r="82" spans="17:74" x14ac:dyDescent="0.25"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1"/>
      <c r="AS82" s="111"/>
      <c r="AT82" s="111"/>
      <c r="AX82" s="111"/>
      <c r="AY82" s="111"/>
      <c r="AZ82" s="111"/>
      <c r="BA82" s="111"/>
      <c r="BB82" s="111"/>
      <c r="BC82" s="111"/>
      <c r="BD82" s="111"/>
      <c r="BE82" s="111"/>
      <c r="BF82" s="111"/>
      <c r="BG82" s="111"/>
      <c r="BI82" s="111"/>
      <c r="BJ82" s="111"/>
      <c r="BK82" s="111"/>
      <c r="BL82" s="111"/>
      <c r="BM82" s="111"/>
      <c r="BN82" s="111"/>
      <c r="BO82" s="111"/>
      <c r="BP82" s="111"/>
      <c r="BQ82" s="111"/>
      <c r="BS82" s="111"/>
      <c r="BT82" s="111"/>
      <c r="BU82" s="111"/>
      <c r="BV82" s="111"/>
    </row>
    <row r="83" spans="17:74" x14ac:dyDescent="0.25"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1"/>
      <c r="AS83" s="111"/>
      <c r="AT83" s="111"/>
      <c r="AX83" s="111"/>
      <c r="AY83" s="111"/>
      <c r="AZ83" s="111"/>
      <c r="BA83" s="111"/>
      <c r="BB83" s="111"/>
      <c r="BC83" s="111"/>
      <c r="BD83" s="111"/>
      <c r="BE83" s="111"/>
      <c r="BF83" s="111"/>
      <c r="BG83" s="111"/>
      <c r="BI83" s="111"/>
      <c r="BJ83" s="111"/>
      <c r="BK83" s="111"/>
      <c r="BL83" s="111"/>
      <c r="BM83" s="111"/>
      <c r="BN83" s="111"/>
      <c r="BO83" s="111"/>
      <c r="BP83" s="111"/>
      <c r="BQ83" s="111"/>
      <c r="BS83" s="111"/>
      <c r="BT83" s="111"/>
      <c r="BU83" s="111"/>
      <c r="BV83" s="111"/>
    </row>
    <row r="84" spans="17:74" x14ac:dyDescent="0.25"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1"/>
      <c r="AS84" s="111"/>
      <c r="AT84" s="111"/>
      <c r="AX84" s="111"/>
      <c r="AY84" s="111"/>
      <c r="AZ84" s="111"/>
      <c r="BA84" s="111"/>
      <c r="BB84" s="111"/>
      <c r="BC84" s="111"/>
      <c r="BD84" s="111"/>
      <c r="BE84" s="111"/>
      <c r="BF84" s="111"/>
      <c r="BG84" s="111"/>
      <c r="BI84" s="111"/>
      <c r="BJ84" s="111"/>
      <c r="BK84" s="111"/>
      <c r="BL84" s="111"/>
      <c r="BM84" s="111"/>
      <c r="BN84" s="111"/>
      <c r="BO84" s="111"/>
      <c r="BP84" s="111"/>
      <c r="BQ84" s="111"/>
      <c r="BS84" s="111"/>
      <c r="BT84" s="111"/>
      <c r="BU84" s="111"/>
      <c r="BV84" s="111"/>
    </row>
    <row r="85" spans="17:74" x14ac:dyDescent="0.25"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1"/>
      <c r="AS85" s="111"/>
      <c r="AT85" s="111"/>
      <c r="AX85" s="111"/>
      <c r="AY85" s="111"/>
      <c r="AZ85" s="111"/>
      <c r="BA85" s="111"/>
      <c r="BB85" s="111"/>
      <c r="BC85" s="111"/>
      <c r="BD85" s="111"/>
      <c r="BE85" s="111"/>
      <c r="BF85" s="111"/>
      <c r="BG85" s="111"/>
      <c r="BI85" s="111"/>
      <c r="BJ85" s="111"/>
      <c r="BK85" s="111"/>
      <c r="BL85" s="111"/>
      <c r="BM85" s="111"/>
      <c r="BN85" s="111"/>
      <c r="BO85" s="111"/>
      <c r="BP85" s="111"/>
      <c r="BQ85" s="111"/>
      <c r="BS85" s="111"/>
      <c r="BT85" s="111"/>
      <c r="BU85" s="111"/>
      <c r="BV85" s="111"/>
    </row>
    <row r="86" spans="17:74" x14ac:dyDescent="0.25"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1"/>
      <c r="AS86" s="111"/>
      <c r="AT86" s="111"/>
      <c r="AX86" s="111"/>
      <c r="AY86" s="111"/>
      <c r="AZ86" s="111"/>
      <c r="BA86" s="111"/>
      <c r="BB86" s="111"/>
      <c r="BC86" s="111"/>
      <c r="BD86" s="111"/>
      <c r="BE86" s="111"/>
      <c r="BF86" s="111"/>
      <c r="BG86" s="111"/>
      <c r="BI86" s="111"/>
      <c r="BJ86" s="111"/>
      <c r="BK86" s="111"/>
      <c r="BL86" s="111"/>
      <c r="BM86" s="111"/>
      <c r="BN86" s="111"/>
      <c r="BO86" s="111"/>
      <c r="BP86" s="111"/>
      <c r="BQ86" s="111"/>
      <c r="BS86" s="111"/>
      <c r="BT86" s="111"/>
      <c r="BU86" s="111"/>
      <c r="BV86" s="111"/>
    </row>
    <row r="87" spans="17:74" x14ac:dyDescent="0.25"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  <c r="AL87" s="111"/>
      <c r="AM87" s="111"/>
      <c r="AN87" s="111"/>
      <c r="AO87" s="111"/>
      <c r="AP87" s="111"/>
      <c r="AQ87" s="111"/>
      <c r="AR87" s="111"/>
      <c r="AS87" s="111"/>
      <c r="AT87" s="111"/>
      <c r="AX87" s="111"/>
      <c r="AY87" s="111"/>
      <c r="AZ87" s="111"/>
      <c r="BA87" s="111"/>
      <c r="BB87" s="111"/>
      <c r="BC87" s="111"/>
      <c r="BD87" s="111"/>
      <c r="BE87" s="111"/>
      <c r="BF87" s="111"/>
      <c r="BG87" s="111"/>
      <c r="BI87" s="111"/>
      <c r="BJ87" s="111"/>
      <c r="BK87" s="111"/>
      <c r="BL87" s="111"/>
      <c r="BM87" s="111"/>
      <c r="BN87" s="111"/>
      <c r="BO87" s="111"/>
      <c r="BP87" s="111"/>
      <c r="BQ87" s="111"/>
      <c r="BS87" s="111"/>
      <c r="BT87" s="111"/>
      <c r="BU87" s="111"/>
      <c r="BV87" s="111"/>
    </row>
    <row r="88" spans="17:74" x14ac:dyDescent="0.25"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  <c r="AL88" s="111"/>
      <c r="AM88" s="111"/>
      <c r="AN88" s="111"/>
      <c r="AO88" s="111"/>
      <c r="AP88" s="111"/>
      <c r="AQ88" s="111"/>
      <c r="AR88" s="111"/>
      <c r="AS88" s="111"/>
      <c r="AT88" s="111"/>
      <c r="AX88" s="111"/>
      <c r="AY88" s="111"/>
      <c r="AZ88" s="111"/>
      <c r="BA88" s="111"/>
      <c r="BB88" s="111"/>
      <c r="BC88" s="111"/>
      <c r="BD88" s="111"/>
      <c r="BE88" s="111"/>
      <c r="BF88" s="111"/>
      <c r="BG88" s="111"/>
      <c r="BI88" s="111"/>
      <c r="BJ88" s="111"/>
      <c r="BK88" s="111"/>
      <c r="BL88" s="111"/>
      <c r="BM88" s="111"/>
      <c r="BN88" s="111"/>
      <c r="BO88" s="111"/>
      <c r="BP88" s="111"/>
      <c r="BQ88" s="111"/>
      <c r="BS88" s="111"/>
      <c r="BT88" s="111"/>
      <c r="BU88" s="111"/>
      <c r="BV88" s="111"/>
    </row>
    <row r="89" spans="17:74" x14ac:dyDescent="0.25"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111"/>
      <c r="AB89" s="111"/>
      <c r="AC89" s="111"/>
      <c r="AD89" s="111"/>
      <c r="AE89" s="111"/>
      <c r="AF89" s="111"/>
      <c r="AG89" s="111"/>
      <c r="AH89" s="111"/>
      <c r="AI89" s="111"/>
      <c r="AJ89" s="111"/>
      <c r="AK89" s="111"/>
      <c r="AL89" s="111"/>
      <c r="AM89" s="111"/>
      <c r="AN89" s="111"/>
      <c r="AO89" s="111"/>
      <c r="AP89" s="111"/>
      <c r="AQ89" s="111"/>
      <c r="AR89" s="111"/>
      <c r="AS89" s="111"/>
      <c r="AT89" s="111"/>
      <c r="AX89" s="111"/>
      <c r="AY89" s="111"/>
      <c r="AZ89" s="111"/>
      <c r="BA89" s="111"/>
      <c r="BB89" s="111"/>
      <c r="BC89" s="111"/>
      <c r="BD89" s="111"/>
      <c r="BE89" s="111"/>
      <c r="BF89" s="111"/>
      <c r="BG89" s="111"/>
      <c r="BI89" s="111"/>
      <c r="BJ89" s="111"/>
      <c r="BK89" s="111"/>
      <c r="BL89" s="111"/>
      <c r="BM89" s="111"/>
      <c r="BN89" s="111"/>
      <c r="BO89" s="111"/>
      <c r="BP89" s="111"/>
      <c r="BQ89" s="111"/>
      <c r="BS89" s="111"/>
      <c r="BT89" s="111"/>
      <c r="BU89" s="111"/>
      <c r="BV89" s="111"/>
    </row>
    <row r="90" spans="17:74" x14ac:dyDescent="0.25"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  <c r="AC90" s="111"/>
      <c r="AD90" s="111"/>
      <c r="AE90" s="111"/>
      <c r="AF90" s="111"/>
      <c r="AG90" s="111"/>
      <c r="AH90" s="111"/>
      <c r="AI90" s="111"/>
      <c r="AJ90" s="111"/>
      <c r="AK90" s="111"/>
      <c r="AL90" s="111"/>
      <c r="AM90" s="111"/>
      <c r="AN90" s="111"/>
      <c r="AO90" s="111"/>
      <c r="AP90" s="111"/>
      <c r="AQ90" s="111"/>
      <c r="AR90" s="111"/>
      <c r="AS90" s="111"/>
      <c r="AT90" s="111"/>
      <c r="AX90" s="111"/>
      <c r="AY90" s="111"/>
      <c r="AZ90" s="111"/>
      <c r="BA90" s="111"/>
      <c r="BB90" s="111"/>
      <c r="BC90" s="111"/>
      <c r="BD90" s="111"/>
      <c r="BE90" s="111"/>
      <c r="BF90" s="111"/>
      <c r="BG90" s="111"/>
      <c r="BI90" s="111"/>
      <c r="BJ90" s="111"/>
      <c r="BK90" s="111"/>
      <c r="BL90" s="111"/>
      <c r="BM90" s="111"/>
      <c r="BN90" s="111"/>
      <c r="BO90" s="111"/>
      <c r="BP90" s="111"/>
      <c r="BQ90" s="111"/>
      <c r="BS90" s="111"/>
      <c r="BT90" s="111"/>
      <c r="BU90" s="111"/>
      <c r="BV90" s="111"/>
    </row>
    <row r="91" spans="17:74" x14ac:dyDescent="0.25"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  <c r="AC91" s="111"/>
      <c r="AD91" s="111"/>
      <c r="AE91" s="111"/>
      <c r="AF91" s="111"/>
      <c r="AG91" s="111"/>
      <c r="AH91" s="111"/>
      <c r="AI91" s="111"/>
      <c r="AJ91" s="111"/>
      <c r="AK91" s="111"/>
      <c r="AL91" s="111"/>
      <c r="AM91" s="111"/>
      <c r="AN91" s="111"/>
      <c r="AO91" s="111"/>
      <c r="AP91" s="111"/>
      <c r="AQ91" s="111"/>
      <c r="AR91" s="111"/>
      <c r="AS91" s="111"/>
      <c r="AT91" s="111"/>
      <c r="AX91" s="111"/>
      <c r="AY91" s="111"/>
      <c r="AZ91" s="111"/>
      <c r="BA91" s="111"/>
      <c r="BB91" s="111"/>
      <c r="BC91" s="111"/>
      <c r="BD91" s="111"/>
      <c r="BE91" s="111"/>
      <c r="BF91" s="111"/>
      <c r="BG91" s="111"/>
      <c r="BI91" s="111"/>
      <c r="BJ91" s="111"/>
      <c r="BK91" s="111"/>
      <c r="BL91" s="111"/>
      <c r="BM91" s="111"/>
      <c r="BN91" s="111"/>
      <c r="BO91" s="111"/>
      <c r="BP91" s="111"/>
      <c r="BQ91" s="111"/>
      <c r="BS91" s="111"/>
      <c r="BT91" s="111"/>
      <c r="BU91" s="111"/>
      <c r="BV91" s="111"/>
    </row>
    <row r="92" spans="17:74" x14ac:dyDescent="0.25"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  <c r="AC92" s="111"/>
      <c r="AD92" s="111"/>
      <c r="AE92" s="111"/>
      <c r="AF92" s="111"/>
      <c r="AG92" s="111"/>
      <c r="AH92" s="111"/>
      <c r="AI92" s="111"/>
      <c r="AJ92" s="111"/>
      <c r="AK92" s="111"/>
      <c r="AL92" s="111"/>
      <c r="AM92" s="111"/>
      <c r="AN92" s="111"/>
      <c r="AO92" s="111"/>
      <c r="AP92" s="111"/>
      <c r="AQ92" s="111"/>
      <c r="AR92" s="111"/>
      <c r="AS92" s="111"/>
      <c r="AT92" s="111"/>
      <c r="AX92" s="111"/>
      <c r="AY92" s="111"/>
      <c r="AZ92" s="111"/>
      <c r="BA92" s="111"/>
      <c r="BB92" s="111"/>
      <c r="BC92" s="111"/>
      <c r="BD92" s="111"/>
      <c r="BE92" s="111"/>
      <c r="BF92" s="111"/>
      <c r="BG92" s="111"/>
      <c r="BI92" s="111"/>
      <c r="BJ92" s="111"/>
      <c r="BK92" s="111"/>
      <c r="BL92" s="111"/>
      <c r="BM92" s="111"/>
      <c r="BN92" s="111"/>
      <c r="BO92" s="111"/>
      <c r="BP92" s="111"/>
      <c r="BQ92" s="111"/>
      <c r="BS92" s="111"/>
      <c r="BT92" s="111"/>
      <c r="BU92" s="111"/>
      <c r="BV92" s="111"/>
    </row>
    <row r="93" spans="17:74" x14ac:dyDescent="0.25"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  <c r="AC93" s="111"/>
      <c r="AD93" s="111"/>
      <c r="AE93" s="111"/>
      <c r="AF93" s="111"/>
      <c r="AG93" s="111"/>
      <c r="AH93" s="111"/>
      <c r="AI93" s="111"/>
      <c r="AJ93" s="111"/>
      <c r="AK93" s="111"/>
      <c r="AL93" s="111"/>
      <c r="AM93" s="111"/>
      <c r="AN93" s="111"/>
      <c r="AO93" s="111"/>
      <c r="AP93" s="111"/>
      <c r="AQ93" s="111"/>
      <c r="AR93" s="111"/>
      <c r="AS93" s="111"/>
      <c r="AT93" s="111"/>
      <c r="AX93" s="111"/>
      <c r="AY93" s="111"/>
      <c r="AZ93" s="111"/>
      <c r="BA93" s="111"/>
      <c r="BB93" s="111"/>
      <c r="BC93" s="111"/>
      <c r="BD93" s="111"/>
      <c r="BE93" s="111"/>
      <c r="BF93" s="111"/>
      <c r="BG93" s="111"/>
      <c r="BI93" s="111"/>
      <c r="BJ93" s="111"/>
      <c r="BK93" s="111"/>
      <c r="BL93" s="111"/>
      <c r="BM93" s="111"/>
      <c r="BN93" s="111"/>
      <c r="BO93" s="111"/>
      <c r="BP93" s="111"/>
      <c r="BQ93" s="111"/>
      <c r="BS93" s="111"/>
      <c r="BT93" s="111"/>
      <c r="BU93" s="111"/>
      <c r="BV93" s="111"/>
    </row>
    <row r="94" spans="17:74" x14ac:dyDescent="0.25"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X94" s="111"/>
      <c r="AY94" s="111"/>
      <c r="AZ94" s="111"/>
      <c r="BA94" s="111"/>
      <c r="BB94" s="111"/>
      <c r="BC94" s="111"/>
      <c r="BD94" s="111"/>
      <c r="BE94" s="111"/>
      <c r="BF94" s="111"/>
      <c r="BG94" s="111"/>
      <c r="BI94" s="111"/>
      <c r="BJ94" s="111"/>
      <c r="BK94" s="111"/>
      <c r="BL94" s="111"/>
      <c r="BM94" s="111"/>
      <c r="BN94" s="111"/>
      <c r="BO94" s="111"/>
      <c r="BP94" s="111"/>
      <c r="BQ94" s="111"/>
      <c r="BS94" s="111"/>
      <c r="BT94" s="111"/>
      <c r="BU94" s="111"/>
      <c r="BV94" s="111"/>
    </row>
    <row r="95" spans="17:74" x14ac:dyDescent="0.25"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  <c r="AC95" s="111"/>
      <c r="AD95" s="111"/>
      <c r="AE95" s="111"/>
      <c r="AF95" s="111"/>
      <c r="AG95" s="111"/>
      <c r="AH95" s="111"/>
      <c r="AI95" s="111"/>
      <c r="AJ95" s="111"/>
      <c r="AK95" s="111"/>
      <c r="AL95" s="111"/>
      <c r="AM95" s="111"/>
      <c r="AN95" s="111"/>
      <c r="AO95" s="111"/>
      <c r="AP95" s="111"/>
      <c r="AQ95" s="111"/>
      <c r="AR95" s="111"/>
      <c r="AS95" s="111"/>
      <c r="AT95" s="111"/>
      <c r="AX95" s="111"/>
      <c r="AY95" s="111"/>
      <c r="AZ95" s="111"/>
      <c r="BA95" s="111"/>
      <c r="BB95" s="111"/>
      <c r="BC95" s="111"/>
      <c r="BD95" s="111"/>
      <c r="BE95" s="111"/>
      <c r="BF95" s="111"/>
      <c r="BG95" s="111"/>
      <c r="BI95" s="111"/>
      <c r="BJ95" s="111"/>
      <c r="BK95" s="111"/>
      <c r="BL95" s="111"/>
      <c r="BM95" s="111"/>
      <c r="BN95" s="111"/>
      <c r="BO95" s="111"/>
      <c r="BP95" s="111"/>
      <c r="BQ95" s="111"/>
      <c r="BS95" s="111"/>
      <c r="BT95" s="111"/>
      <c r="BU95" s="111"/>
      <c r="BV95" s="111"/>
    </row>
    <row r="96" spans="17:74" x14ac:dyDescent="0.25"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  <c r="AH96" s="111"/>
      <c r="AI96" s="111"/>
      <c r="AJ96" s="111"/>
      <c r="AK96" s="111"/>
      <c r="AL96" s="111"/>
      <c r="AM96" s="111"/>
      <c r="AN96" s="111"/>
      <c r="AO96" s="111"/>
      <c r="AP96" s="111"/>
      <c r="AQ96" s="111"/>
      <c r="AR96" s="111"/>
      <c r="AS96" s="111"/>
      <c r="AT96" s="111"/>
      <c r="AX96" s="111"/>
      <c r="AY96" s="111"/>
      <c r="AZ96" s="111"/>
      <c r="BA96" s="111"/>
      <c r="BB96" s="111"/>
      <c r="BC96" s="111"/>
      <c r="BD96" s="111"/>
      <c r="BE96" s="111"/>
      <c r="BF96" s="111"/>
      <c r="BG96" s="111"/>
      <c r="BI96" s="111"/>
      <c r="BJ96" s="111"/>
      <c r="BK96" s="111"/>
      <c r="BL96" s="111"/>
      <c r="BM96" s="111"/>
      <c r="BN96" s="111"/>
      <c r="BO96" s="111"/>
      <c r="BP96" s="111"/>
      <c r="BQ96" s="111"/>
      <c r="BS96" s="111"/>
      <c r="BT96" s="111"/>
      <c r="BU96" s="111"/>
      <c r="BV96" s="111"/>
    </row>
    <row r="97" spans="17:74" x14ac:dyDescent="0.25"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111"/>
      <c r="AB97" s="111"/>
      <c r="AC97" s="111"/>
      <c r="AD97" s="111"/>
      <c r="AE97" s="111"/>
      <c r="AF97" s="111"/>
      <c r="AG97" s="111"/>
      <c r="AH97" s="111"/>
      <c r="AI97" s="111"/>
      <c r="AJ97" s="111"/>
      <c r="AK97" s="111"/>
      <c r="AL97" s="111"/>
      <c r="AM97" s="111"/>
      <c r="AN97" s="111"/>
      <c r="AO97" s="111"/>
      <c r="AP97" s="111"/>
      <c r="AQ97" s="111"/>
      <c r="AR97" s="111"/>
      <c r="AS97" s="111"/>
      <c r="AT97" s="111"/>
      <c r="AX97" s="111"/>
      <c r="AY97" s="111"/>
      <c r="AZ97" s="111"/>
      <c r="BA97" s="111"/>
      <c r="BB97" s="111"/>
      <c r="BC97" s="111"/>
      <c r="BD97" s="111"/>
      <c r="BE97" s="111"/>
      <c r="BF97" s="111"/>
      <c r="BG97" s="111"/>
      <c r="BI97" s="111"/>
      <c r="BJ97" s="111"/>
      <c r="BK97" s="111"/>
      <c r="BL97" s="111"/>
      <c r="BM97" s="111"/>
      <c r="BN97" s="111"/>
      <c r="BO97" s="111"/>
      <c r="BP97" s="111"/>
      <c r="BQ97" s="111"/>
      <c r="BS97" s="111"/>
      <c r="BT97" s="111"/>
      <c r="BU97" s="111"/>
      <c r="BV97" s="111"/>
    </row>
    <row r="98" spans="17:74" x14ac:dyDescent="0.25"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111"/>
      <c r="AB98" s="111"/>
      <c r="AC98" s="111"/>
      <c r="AD98" s="111"/>
      <c r="AE98" s="111"/>
      <c r="AF98" s="111"/>
      <c r="AG98" s="111"/>
      <c r="AH98" s="111"/>
      <c r="AI98" s="111"/>
      <c r="AJ98" s="111"/>
      <c r="AK98" s="111"/>
      <c r="AL98" s="111"/>
      <c r="AM98" s="111"/>
      <c r="AN98" s="111"/>
      <c r="AO98" s="111"/>
      <c r="AP98" s="111"/>
      <c r="AQ98" s="111"/>
      <c r="AR98" s="111"/>
      <c r="AS98" s="111"/>
      <c r="AT98" s="111"/>
      <c r="AX98" s="111"/>
      <c r="AY98" s="111"/>
      <c r="AZ98" s="111"/>
      <c r="BA98" s="111"/>
      <c r="BB98" s="111"/>
      <c r="BC98" s="111"/>
      <c r="BD98" s="111"/>
      <c r="BE98" s="111"/>
      <c r="BF98" s="111"/>
      <c r="BG98" s="111"/>
      <c r="BI98" s="111"/>
      <c r="BJ98" s="111"/>
      <c r="BK98" s="111"/>
      <c r="BL98" s="111"/>
      <c r="BM98" s="111"/>
      <c r="BN98" s="111"/>
      <c r="BO98" s="111"/>
      <c r="BP98" s="111"/>
      <c r="BQ98" s="111"/>
      <c r="BS98" s="111"/>
      <c r="BT98" s="111"/>
      <c r="BU98" s="111"/>
      <c r="BV98" s="111"/>
    </row>
    <row r="99" spans="17:74" x14ac:dyDescent="0.25"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  <c r="AC99" s="111"/>
      <c r="AD99" s="111"/>
      <c r="AE99" s="111"/>
      <c r="AF99" s="111"/>
      <c r="AG99" s="111"/>
      <c r="AH99" s="111"/>
      <c r="AI99" s="111"/>
      <c r="AJ99" s="111"/>
      <c r="AK99" s="111"/>
      <c r="AL99" s="111"/>
      <c r="AM99" s="111"/>
      <c r="AN99" s="111"/>
      <c r="AO99" s="111"/>
      <c r="AP99" s="111"/>
      <c r="AQ99" s="111"/>
      <c r="AR99" s="111"/>
      <c r="AS99" s="111"/>
      <c r="AT99" s="111"/>
      <c r="AX99" s="111"/>
      <c r="AY99" s="111"/>
      <c r="AZ99" s="111"/>
      <c r="BA99" s="111"/>
      <c r="BB99" s="111"/>
      <c r="BC99" s="111"/>
      <c r="BD99" s="111"/>
      <c r="BE99" s="111"/>
      <c r="BF99" s="111"/>
      <c r="BG99" s="111"/>
      <c r="BI99" s="111"/>
      <c r="BJ99" s="111"/>
      <c r="BK99" s="111"/>
      <c r="BL99" s="111"/>
      <c r="BM99" s="111"/>
      <c r="BN99" s="111"/>
      <c r="BO99" s="111"/>
      <c r="BP99" s="111"/>
      <c r="BQ99" s="111"/>
      <c r="BS99" s="111"/>
      <c r="BT99" s="111"/>
      <c r="BU99" s="111"/>
      <c r="BV99" s="111"/>
    </row>
    <row r="100" spans="17:74" x14ac:dyDescent="0.25"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  <c r="AH100" s="111"/>
      <c r="AI100" s="111"/>
      <c r="AJ100" s="111"/>
      <c r="AK100" s="111"/>
      <c r="AL100" s="111"/>
      <c r="AM100" s="111"/>
      <c r="AN100" s="111"/>
      <c r="AO100" s="111"/>
      <c r="AP100" s="111"/>
      <c r="AQ100" s="111"/>
      <c r="AR100" s="111"/>
      <c r="AS100" s="111"/>
      <c r="AT100" s="111"/>
      <c r="AX100" s="111"/>
      <c r="AY100" s="111"/>
      <c r="AZ100" s="111"/>
      <c r="BA100" s="111"/>
      <c r="BB100" s="111"/>
      <c r="BC100" s="111"/>
      <c r="BD100" s="111"/>
      <c r="BE100" s="111"/>
      <c r="BF100" s="111"/>
      <c r="BG100" s="111"/>
      <c r="BI100" s="111"/>
      <c r="BJ100" s="111"/>
      <c r="BK100" s="111"/>
      <c r="BL100" s="111"/>
      <c r="BM100" s="111"/>
      <c r="BN100" s="111"/>
      <c r="BO100" s="111"/>
      <c r="BP100" s="111"/>
      <c r="BQ100" s="111"/>
      <c r="BS100" s="111"/>
      <c r="BT100" s="111"/>
      <c r="BU100" s="111"/>
      <c r="BV100" s="111"/>
    </row>
    <row r="101" spans="17:74" x14ac:dyDescent="0.25"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  <c r="AH101" s="111"/>
      <c r="AI101" s="111"/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X101" s="111"/>
      <c r="AY101" s="111"/>
      <c r="AZ101" s="111"/>
      <c r="BA101" s="111"/>
      <c r="BB101" s="111"/>
      <c r="BC101" s="111"/>
      <c r="BD101" s="111"/>
      <c r="BE101" s="111"/>
      <c r="BF101" s="111"/>
      <c r="BG101" s="111"/>
      <c r="BI101" s="111"/>
      <c r="BJ101" s="111"/>
      <c r="BK101" s="111"/>
      <c r="BL101" s="111"/>
      <c r="BM101" s="111"/>
      <c r="BN101" s="111"/>
      <c r="BO101" s="111"/>
      <c r="BP101" s="111"/>
      <c r="BQ101" s="111"/>
      <c r="BS101" s="111"/>
      <c r="BT101" s="111"/>
      <c r="BU101" s="111"/>
      <c r="BV101" s="111"/>
    </row>
    <row r="102" spans="17:74" x14ac:dyDescent="0.25"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111"/>
      <c r="AB102" s="111"/>
      <c r="AC102" s="111"/>
      <c r="AD102" s="111"/>
      <c r="AE102" s="111"/>
      <c r="AF102" s="111"/>
      <c r="AG102" s="111"/>
      <c r="AH102" s="111"/>
      <c r="AI102" s="111"/>
      <c r="AJ102" s="111"/>
      <c r="AK102" s="111"/>
      <c r="AL102" s="111"/>
      <c r="AM102" s="111"/>
      <c r="AN102" s="111"/>
      <c r="AO102" s="111"/>
      <c r="AP102" s="111"/>
      <c r="AQ102" s="111"/>
      <c r="AR102" s="111"/>
      <c r="AS102" s="111"/>
      <c r="AT102" s="111"/>
      <c r="AX102" s="111"/>
      <c r="AY102" s="111"/>
      <c r="AZ102" s="111"/>
      <c r="BA102" s="111"/>
      <c r="BB102" s="111"/>
      <c r="BC102" s="111"/>
      <c r="BD102" s="111"/>
      <c r="BE102" s="111"/>
      <c r="BF102" s="111"/>
      <c r="BG102" s="111"/>
      <c r="BI102" s="111"/>
      <c r="BJ102" s="111"/>
      <c r="BK102" s="111"/>
      <c r="BL102" s="111"/>
      <c r="BM102" s="111"/>
      <c r="BN102" s="111"/>
      <c r="BO102" s="111"/>
      <c r="BP102" s="111"/>
      <c r="BQ102" s="111"/>
      <c r="BS102" s="111"/>
      <c r="BT102" s="111"/>
      <c r="BU102" s="111"/>
      <c r="BV102" s="111"/>
    </row>
    <row r="103" spans="17:74" x14ac:dyDescent="0.25"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  <c r="AH103" s="111"/>
      <c r="AI103" s="111"/>
      <c r="AJ103" s="111"/>
      <c r="AK103" s="111"/>
      <c r="AL103" s="111"/>
      <c r="AM103" s="111"/>
      <c r="AN103" s="111"/>
      <c r="AO103" s="111"/>
      <c r="AP103" s="111"/>
      <c r="AQ103" s="111"/>
      <c r="AR103" s="111"/>
      <c r="AS103" s="111"/>
      <c r="AT103" s="111"/>
      <c r="AX103" s="111"/>
      <c r="AY103" s="111"/>
      <c r="AZ103" s="111"/>
      <c r="BA103" s="111"/>
      <c r="BB103" s="111"/>
      <c r="BC103" s="111"/>
      <c r="BD103" s="111"/>
      <c r="BE103" s="111"/>
      <c r="BF103" s="111"/>
      <c r="BG103" s="111"/>
      <c r="BI103" s="111"/>
      <c r="BJ103" s="111"/>
      <c r="BK103" s="111"/>
      <c r="BL103" s="111"/>
      <c r="BM103" s="111"/>
      <c r="BN103" s="111"/>
      <c r="BO103" s="111"/>
      <c r="BP103" s="111"/>
      <c r="BQ103" s="111"/>
      <c r="BS103" s="111"/>
      <c r="BT103" s="111"/>
      <c r="BU103" s="111"/>
      <c r="BV103" s="111"/>
    </row>
    <row r="104" spans="17:74" x14ac:dyDescent="0.25"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111"/>
      <c r="AB104" s="111"/>
      <c r="AC104" s="111"/>
      <c r="AD104" s="111"/>
      <c r="AE104" s="111"/>
      <c r="AF104" s="111"/>
      <c r="AG104" s="111"/>
      <c r="AH104" s="111"/>
      <c r="AI104" s="111"/>
      <c r="AJ104" s="111"/>
      <c r="AK104" s="111"/>
      <c r="AL104" s="111"/>
      <c r="AM104" s="111"/>
      <c r="AN104" s="111"/>
      <c r="AO104" s="111"/>
      <c r="AP104" s="111"/>
      <c r="AQ104" s="111"/>
      <c r="AR104" s="111"/>
      <c r="AS104" s="111"/>
      <c r="AT104" s="111"/>
      <c r="AX104" s="111"/>
      <c r="AY104" s="111"/>
      <c r="AZ104" s="111"/>
      <c r="BA104" s="111"/>
      <c r="BB104" s="111"/>
      <c r="BC104" s="111"/>
      <c r="BD104" s="111"/>
      <c r="BE104" s="111"/>
      <c r="BF104" s="111"/>
      <c r="BG104" s="111"/>
      <c r="BI104" s="111"/>
      <c r="BJ104" s="111"/>
      <c r="BK104" s="111"/>
      <c r="BL104" s="111"/>
      <c r="BM104" s="111"/>
      <c r="BN104" s="111"/>
      <c r="BO104" s="111"/>
      <c r="BP104" s="111"/>
      <c r="BQ104" s="111"/>
      <c r="BS104" s="111"/>
      <c r="BT104" s="111"/>
      <c r="BU104" s="111"/>
      <c r="BV104" s="111"/>
    </row>
    <row r="105" spans="17:74" x14ac:dyDescent="0.25"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111"/>
      <c r="AB105" s="111"/>
      <c r="AC105" s="111"/>
      <c r="AD105" s="111"/>
      <c r="AE105" s="111"/>
      <c r="AF105" s="111"/>
      <c r="AG105" s="111"/>
      <c r="AH105" s="111"/>
      <c r="AI105" s="111"/>
      <c r="AJ105" s="111"/>
      <c r="AK105" s="111"/>
      <c r="AL105" s="111"/>
      <c r="AM105" s="111"/>
      <c r="AN105" s="111"/>
      <c r="AO105" s="111"/>
      <c r="AP105" s="111"/>
      <c r="AQ105" s="111"/>
      <c r="AR105" s="111"/>
      <c r="AS105" s="111"/>
      <c r="AT105" s="111"/>
      <c r="AX105" s="111"/>
      <c r="AY105" s="111"/>
      <c r="AZ105" s="111"/>
      <c r="BA105" s="111"/>
      <c r="BB105" s="111"/>
      <c r="BC105" s="111"/>
      <c r="BD105" s="111"/>
      <c r="BE105" s="111"/>
      <c r="BF105" s="111"/>
      <c r="BG105" s="111"/>
      <c r="BI105" s="111"/>
      <c r="BJ105" s="111"/>
      <c r="BK105" s="111"/>
      <c r="BL105" s="111"/>
      <c r="BM105" s="111"/>
      <c r="BN105" s="111"/>
      <c r="BO105" s="111"/>
      <c r="BP105" s="111"/>
      <c r="BQ105" s="111"/>
      <c r="BS105" s="111"/>
      <c r="BT105" s="111"/>
      <c r="BU105" s="111"/>
      <c r="BV105" s="111"/>
    </row>
    <row r="106" spans="17:74" x14ac:dyDescent="0.25"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111"/>
      <c r="AB106" s="111"/>
      <c r="AC106" s="111"/>
      <c r="AD106" s="111"/>
      <c r="AE106" s="111"/>
      <c r="AF106" s="111"/>
      <c r="AG106" s="111"/>
      <c r="AH106" s="111"/>
      <c r="AI106" s="111"/>
      <c r="AJ106" s="111"/>
      <c r="AK106" s="111"/>
      <c r="AL106" s="111"/>
      <c r="AM106" s="111"/>
      <c r="AN106" s="111"/>
      <c r="AO106" s="111"/>
      <c r="AP106" s="111"/>
      <c r="AQ106" s="111"/>
      <c r="AR106" s="111"/>
      <c r="AS106" s="111"/>
      <c r="AT106" s="111"/>
      <c r="AX106" s="111"/>
      <c r="AY106" s="111"/>
      <c r="AZ106" s="111"/>
      <c r="BA106" s="111"/>
      <c r="BB106" s="111"/>
      <c r="BC106" s="111"/>
      <c r="BD106" s="111"/>
      <c r="BE106" s="111"/>
      <c r="BF106" s="111"/>
      <c r="BG106" s="111"/>
      <c r="BI106" s="111"/>
      <c r="BJ106" s="111"/>
      <c r="BK106" s="111"/>
      <c r="BL106" s="111"/>
      <c r="BM106" s="111"/>
      <c r="BN106" s="111"/>
      <c r="BO106" s="111"/>
      <c r="BP106" s="111"/>
      <c r="BQ106" s="111"/>
      <c r="BS106" s="111"/>
      <c r="BT106" s="111"/>
      <c r="BU106" s="111"/>
      <c r="BV106" s="111"/>
    </row>
    <row r="107" spans="17:74" x14ac:dyDescent="0.25"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  <c r="AC107" s="111"/>
      <c r="AD107" s="111"/>
      <c r="AE107" s="111"/>
      <c r="AF107" s="111"/>
      <c r="AG107" s="111"/>
      <c r="AH107" s="111"/>
      <c r="AI107" s="111"/>
      <c r="AJ107" s="111"/>
      <c r="AK107" s="111"/>
      <c r="AL107" s="111"/>
      <c r="AM107" s="111"/>
      <c r="AN107" s="111"/>
      <c r="AO107" s="111"/>
      <c r="AP107" s="111"/>
      <c r="AQ107" s="111"/>
      <c r="AR107" s="111"/>
      <c r="AS107" s="111"/>
      <c r="AT107" s="111"/>
      <c r="AX107" s="111"/>
      <c r="AY107" s="111"/>
      <c r="AZ107" s="111"/>
      <c r="BA107" s="111"/>
      <c r="BB107" s="111"/>
      <c r="BC107" s="111"/>
      <c r="BD107" s="111"/>
      <c r="BE107" s="111"/>
      <c r="BF107" s="111"/>
      <c r="BG107" s="111"/>
      <c r="BI107" s="111"/>
      <c r="BJ107" s="111"/>
      <c r="BK107" s="111"/>
      <c r="BL107" s="111"/>
      <c r="BM107" s="111"/>
      <c r="BN107" s="111"/>
      <c r="BO107" s="111"/>
      <c r="BP107" s="111"/>
      <c r="BQ107" s="111"/>
      <c r="BS107" s="111"/>
      <c r="BT107" s="111"/>
      <c r="BU107" s="111"/>
      <c r="BV107" s="111"/>
    </row>
    <row r="108" spans="17:74" x14ac:dyDescent="0.25"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  <c r="AC108" s="111"/>
      <c r="AD108" s="111"/>
      <c r="AE108" s="111"/>
      <c r="AF108" s="111"/>
      <c r="AG108" s="111"/>
      <c r="AH108" s="111"/>
      <c r="AI108" s="111"/>
      <c r="AJ108" s="111"/>
      <c r="AK108" s="111"/>
      <c r="AL108" s="111"/>
      <c r="AM108" s="111"/>
      <c r="AN108" s="111"/>
      <c r="AO108" s="111"/>
      <c r="AP108" s="111"/>
      <c r="AQ108" s="111"/>
      <c r="AR108" s="111"/>
      <c r="AS108" s="111"/>
      <c r="AT108" s="111"/>
      <c r="AX108" s="111"/>
      <c r="AY108" s="111"/>
      <c r="AZ108" s="111"/>
      <c r="BA108" s="111"/>
      <c r="BB108" s="111"/>
      <c r="BC108" s="111"/>
      <c r="BD108" s="111"/>
      <c r="BE108" s="111"/>
      <c r="BF108" s="111"/>
      <c r="BG108" s="111"/>
      <c r="BI108" s="111"/>
      <c r="BJ108" s="111"/>
      <c r="BK108" s="111"/>
      <c r="BL108" s="111"/>
      <c r="BM108" s="111"/>
      <c r="BN108" s="111"/>
      <c r="BO108" s="111"/>
      <c r="BP108" s="111"/>
      <c r="BQ108" s="111"/>
      <c r="BS108" s="111"/>
      <c r="BT108" s="111"/>
      <c r="BU108" s="111"/>
      <c r="BV108" s="111"/>
    </row>
    <row r="109" spans="17:74" x14ac:dyDescent="0.25"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S109" s="111"/>
      <c r="BT109" s="111"/>
      <c r="BU109" s="111"/>
      <c r="BV109" s="111"/>
    </row>
    <row r="110" spans="17:74" x14ac:dyDescent="0.25"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111"/>
      <c r="AB110" s="111"/>
      <c r="AC110" s="111"/>
      <c r="AD110" s="111"/>
      <c r="AE110" s="111"/>
      <c r="AF110" s="111"/>
      <c r="AG110" s="111"/>
      <c r="AH110" s="111"/>
      <c r="AI110" s="111"/>
      <c r="AJ110" s="111"/>
      <c r="AK110" s="111"/>
      <c r="AL110" s="111"/>
      <c r="AM110" s="111"/>
      <c r="AN110" s="111"/>
      <c r="AO110" s="111"/>
      <c r="AP110" s="111"/>
      <c r="AQ110" s="111"/>
      <c r="AR110" s="111"/>
      <c r="AS110" s="111"/>
      <c r="AT110" s="111"/>
      <c r="AX110" s="111"/>
      <c r="AY110" s="111"/>
      <c r="AZ110" s="111"/>
      <c r="BA110" s="111"/>
      <c r="BB110" s="111"/>
      <c r="BC110" s="111"/>
      <c r="BD110" s="111"/>
      <c r="BE110" s="111"/>
      <c r="BF110" s="111"/>
      <c r="BG110" s="111"/>
      <c r="BI110" s="111"/>
      <c r="BJ110" s="111"/>
      <c r="BK110" s="111"/>
      <c r="BL110" s="111"/>
      <c r="BM110" s="111"/>
      <c r="BN110" s="111"/>
      <c r="BO110" s="111"/>
      <c r="BP110" s="111"/>
      <c r="BQ110" s="111"/>
      <c r="BS110" s="111"/>
      <c r="BT110" s="111"/>
      <c r="BU110" s="111"/>
      <c r="BV110" s="111"/>
    </row>
    <row r="111" spans="17:74" x14ac:dyDescent="0.25"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1"/>
      <c r="AM111" s="111"/>
      <c r="AN111" s="111"/>
      <c r="AO111" s="111"/>
      <c r="AP111" s="111"/>
      <c r="AQ111" s="111"/>
      <c r="AR111" s="111"/>
      <c r="AS111" s="111"/>
      <c r="AT111" s="111"/>
      <c r="AX111" s="111"/>
      <c r="AY111" s="111"/>
      <c r="AZ111" s="111"/>
      <c r="BA111" s="111"/>
      <c r="BB111" s="111"/>
      <c r="BC111" s="111"/>
      <c r="BD111" s="111"/>
      <c r="BE111" s="111"/>
      <c r="BF111" s="111"/>
      <c r="BG111" s="111"/>
      <c r="BI111" s="111"/>
      <c r="BJ111" s="111"/>
      <c r="BK111" s="111"/>
      <c r="BL111" s="111"/>
      <c r="BM111" s="111"/>
      <c r="BN111" s="111"/>
      <c r="BO111" s="111"/>
      <c r="BP111" s="111"/>
      <c r="BQ111" s="111"/>
      <c r="BS111" s="111"/>
      <c r="BT111" s="111"/>
      <c r="BU111" s="111"/>
      <c r="BV111" s="111"/>
    </row>
    <row r="112" spans="17:74" x14ac:dyDescent="0.25"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  <c r="AC112" s="111"/>
      <c r="AD112" s="111"/>
      <c r="AE112" s="111"/>
      <c r="AF112" s="111"/>
      <c r="AG112" s="111"/>
      <c r="AH112" s="111"/>
      <c r="AI112" s="111"/>
      <c r="AJ112" s="111"/>
      <c r="AK112" s="111"/>
      <c r="AL112" s="111"/>
      <c r="AM112" s="111"/>
      <c r="AN112" s="111"/>
      <c r="AO112" s="111"/>
      <c r="AP112" s="111"/>
      <c r="AQ112" s="111"/>
      <c r="AR112" s="111"/>
      <c r="AS112" s="111"/>
      <c r="AT112" s="111"/>
      <c r="AX112" s="111"/>
      <c r="AY112" s="111"/>
      <c r="AZ112" s="111"/>
      <c r="BA112" s="111"/>
      <c r="BB112" s="111"/>
      <c r="BC112" s="111"/>
      <c r="BD112" s="111"/>
      <c r="BE112" s="111"/>
      <c r="BF112" s="111"/>
      <c r="BG112" s="111"/>
      <c r="BI112" s="111"/>
      <c r="BJ112" s="111"/>
      <c r="BK112" s="111"/>
      <c r="BL112" s="111"/>
      <c r="BM112" s="111"/>
      <c r="BN112" s="111"/>
      <c r="BO112" s="111"/>
      <c r="BP112" s="111"/>
      <c r="BQ112" s="111"/>
      <c r="BS112" s="111"/>
      <c r="BT112" s="111"/>
      <c r="BU112" s="111"/>
      <c r="BV112" s="111"/>
    </row>
    <row r="113" spans="17:74" x14ac:dyDescent="0.25"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  <c r="AC113" s="111"/>
      <c r="AD113" s="111"/>
      <c r="AE113" s="111"/>
      <c r="AF113" s="111"/>
      <c r="AG113" s="111"/>
      <c r="AH113" s="111"/>
      <c r="AI113" s="111"/>
      <c r="AJ113" s="111"/>
      <c r="AK113" s="111"/>
      <c r="AL113" s="111"/>
      <c r="AM113" s="111"/>
      <c r="AN113" s="111"/>
      <c r="AO113" s="111"/>
      <c r="AP113" s="111"/>
      <c r="AQ113" s="111"/>
      <c r="AR113" s="111"/>
      <c r="AS113" s="111"/>
      <c r="AT113" s="111"/>
      <c r="AX113" s="111"/>
      <c r="AY113" s="111"/>
      <c r="AZ113" s="111"/>
      <c r="BA113" s="111"/>
      <c r="BB113" s="111"/>
      <c r="BC113" s="111"/>
      <c r="BD113" s="111"/>
      <c r="BE113" s="111"/>
      <c r="BF113" s="111"/>
      <c r="BG113" s="111"/>
      <c r="BI113" s="111"/>
      <c r="BJ113" s="111"/>
      <c r="BK113" s="111"/>
      <c r="BL113" s="111"/>
      <c r="BM113" s="111"/>
      <c r="BN113" s="111"/>
      <c r="BO113" s="111"/>
      <c r="BP113" s="111"/>
      <c r="BQ113" s="111"/>
      <c r="BS113" s="111"/>
      <c r="BT113" s="111"/>
      <c r="BU113" s="111"/>
      <c r="BV113" s="111"/>
    </row>
    <row r="114" spans="17:74" x14ac:dyDescent="0.25"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  <c r="AH114" s="111"/>
      <c r="AI114" s="111"/>
      <c r="AJ114" s="111"/>
      <c r="AK114" s="111"/>
      <c r="AL114" s="111"/>
      <c r="AM114" s="111"/>
      <c r="AN114" s="111"/>
      <c r="AO114" s="111"/>
      <c r="AP114" s="111"/>
      <c r="AQ114" s="111"/>
      <c r="AR114" s="111"/>
      <c r="AS114" s="111"/>
      <c r="AT114" s="111"/>
      <c r="AX114" s="111"/>
      <c r="AY114" s="111"/>
      <c r="AZ114" s="111"/>
      <c r="BA114" s="111"/>
      <c r="BB114" s="111"/>
      <c r="BC114" s="111"/>
      <c r="BD114" s="111"/>
      <c r="BE114" s="111"/>
      <c r="BF114" s="111"/>
      <c r="BG114" s="111"/>
      <c r="BI114" s="111"/>
      <c r="BJ114" s="111"/>
      <c r="BK114" s="111"/>
      <c r="BL114" s="111"/>
      <c r="BM114" s="111"/>
      <c r="BN114" s="111"/>
      <c r="BO114" s="111"/>
      <c r="BP114" s="111"/>
      <c r="BQ114" s="111"/>
      <c r="BS114" s="111"/>
      <c r="BT114" s="111"/>
      <c r="BU114" s="111"/>
      <c r="BV114" s="111"/>
    </row>
    <row r="115" spans="17:74" x14ac:dyDescent="0.25"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  <c r="AC115" s="111"/>
      <c r="AD115" s="111"/>
      <c r="AE115" s="111"/>
      <c r="AF115" s="111"/>
      <c r="AG115" s="111"/>
      <c r="AH115" s="111"/>
      <c r="AI115" s="111"/>
      <c r="AJ115" s="111"/>
      <c r="AK115" s="111"/>
      <c r="AL115" s="111"/>
      <c r="AM115" s="111"/>
      <c r="AN115" s="111"/>
      <c r="AO115" s="111"/>
      <c r="AP115" s="111"/>
      <c r="AQ115" s="111"/>
      <c r="AR115" s="111"/>
      <c r="AS115" s="111"/>
      <c r="AT115" s="111"/>
      <c r="AX115" s="111"/>
      <c r="AY115" s="111"/>
      <c r="AZ115" s="111"/>
      <c r="BA115" s="111"/>
      <c r="BB115" s="111"/>
      <c r="BC115" s="111"/>
      <c r="BD115" s="111"/>
      <c r="BE115" s="111"/>
      <c r="BF115" s="111"/>
      <c r="BG115" s="111"/>
      <c r="BI115" s="111"/>
      <c r="BJ115" s="111"/>
      <c r="BK115" s="111"/>
      <c r="BL115" s="111"/>
      <c r="BM115" s="111"/>
      <c r="BN115" s="111"/>
      <c r="BO115" s="111"/>
      <c r="BP115" s="111"/>
      <c r="BQ115" s="111"/>
      <c r="BS115" s="111"/>
      <c r="BT115" s="111"/>
      <c r="BU115" s="111"/>
      <c r="BV115" s="111"/>
    </row>
    <row r="116" spans="17:74" x14ac:dyDescent="0.25"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  <c r="AH116" s="111"/>
      <c r="AI116" s="111"/>
      <c r="AJ116" s="111"/>
      <c r="AK116" s="111"/>
      <c r="AL116" s="111"/>
      <c r="AM116" s="111"/>
      <c r="AN116" s="111"/>
      <c r="AO116" s="111"/>
      <c r="AP116" s="111"/>
      <c r="AQ116" s="111"/>
      <c r="AR116" s="111"/>
      <c r="AS116" s="111"/>
      <c r="AT116" s="111"/>
      <c r="AX116" s="111"/>
      <c r="AY116" s="111"/>
      <c r="AZ116" s="111"/>
      <c r="BA116" s="111"/>
      <c r="BB116" s="111"/>
      <c r="BC116" s="111"/>
      <c r="BD116" s="111"/>
      <c r="BE116" s="111"/>
      <c r="BF116" s="111"/>
      <c r="BG116" s="111"/>
      <c r="BI116" s="111"/>
      <c r="BJ116" s="111"/>
      <c r="BK116" s="111"/>
      <c r="BL116" s="111"/>
      <c r="BM116" s="111"/>
      <c r="BN116" s="111"/>
      <c r="BO116" s="111"/>
      <c r="BP116" s="111"/>
      <c r="BQ116" s="111"/>
      <c r="BS116" s="111"/>
      <c r="BT116" s="111"/>
      <c r="BU116" s="111"/>
      <c r="BV116" s="111"/>
    </row>
    <row r="117" spans="17:74" x14ac:dyDescent="0.25"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111"/>
      <c r="AB117" s="111"/>
      <c r="AC117" s="111"/>
      <c r="AD117" s="111"/>
      <c r="AE117" s="111"/>
      <c r="AF117" s="111"/>
      <c r="AG117" s="111"/>
      <c r="AH117" s="111"/>
      <c r="AI117" s="111"/>
      <c r="AJ117" s="111"/>
      <c r="AK117" s="111"/>
      <c r="AL117" s="111"/>
      <c r="AM117" s="111"/>
      <c r="AN117" s="111"/>
      <c r="AO117" s="111"/>
      <c r="AP117" s="111"/>
      <c r="AQ117" s="111"/>
      <c r="AR117" s="111"/>
      <c r="AS117" s="111"/>
      <c r="AT117" s="111"/>
      <c r="AX117" s="111"/>
      <c r="AY117" s="111"/>
      <c r="AZ117" s="111"/>
      <c r="BA117" s="111"/>
      <c r="BB117" s="111"/>
      <c r="BC117" s="111"/>
      <c r="BD117" s="111"/>
      <c r="BE117" s="111"/>
      <c r="BF117" s="111"/>
      <c r="BG117" s="111"/>
      <c r="BI117" s="111"/>
      <c r="BJ117" s="111"/>
      <c r="BK117" s="111"/>
      <c r="BL117" s="111"/>
      <c r="BM117" s="111"/>
      <c r="BN117" s="111"/>
      <c r="BO117" s="111"/>
      <c r="BP117" s="111"/>
      <c r="BQ117" s="111"/>
      <c r="BS117" s="111"/>
      <c r="BT117" s="111"/>
      <c r="BU117" s="111"/>
      <c r="BV117" s="111"/>
    </row>
    <row r="118" spans="17:74" x14ac:dyDescent="0.25"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  <c r="AC118" s="111"/>
      <c r="AD118" s="111"/>
      <c r="AE118" s="111"/>
      <c r="AF118" s="111"/>
      <c r="AG118" s="111"/>
      <c r="AH118" s="111"/>
      <c r="AI118" s="111"/>
      <c r="AJ118" s="111"/>
      <c r="AK118" s="111"/>
      <c r="AL118" s="111"/>
      <c r="AM118" s="111"/>
      <c r="AN118" s="111"/>
      <c r="AO118" s="111"/>
      <c r="AP118" s="111"/>
      <c r="AQ118" s="111"/>
      <c r="AR118" s="111"/>
      <c r="AS118" s="111"/>
      <c r="AT118" s="111"/>
      <c r="AX118" s="111"/>
      <c r="AY118" s="111"/>
      <c r="AZ118" s="111"/>
      <c r="BA118" s="111"/>
      <c r="BB118" s="111"/>
      <c r="BC118" s="111"/>
      <c r="BD118" s="111"/>
      <c r="BE118" s="111"/>
      <c r="BF118" s="111"/>
      <c r="BG118" s="111"/>
      <c r="BI118" s="111"/>
      <c r="BJ118" s="111"/>
      <c r="BK118" s="111"/>
      <c r="BL118" s="111"/>
      <c r="BM118" s="111"/>
      <c r="BN118" s="111"/>
      <c r="BO118" s="111"/>
      <c r="BP118" s="111"/>
      <c r="BQ118" s="111"/>
      <c r="BS118" s="111"/>
      <c r="BT118" s="111"/>
      <c r="BU118" s="111"/>
      <c r="BV118" s="111"/>
    </row>
    <row r="119" spans="17:74" x14ac:dyDescent="0.25"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  <c r="AC119" s="111"/>
      <c r="AD119" s="111"/>
      <c r="AE119" s="111"/>
      <c r="AF119" s="111"/>
      <c r="AG119" s="111"/>
      <c r="AH119" s="111"/>
      <c r="AI119" s="111"/>
      <c r="AJ119" s="111"/>
      <c r="AK119" s="111"/>
      <c r="AL119" s="111"/>
      <c r="AM119" s="111"/>
      <c r="AN119" s="111"/>
      <c r="AO119" s="111"/>
      <c r="AP119" s="111"/>
      <c r="AQ119" s="111"/>
      <c r="AR119" s="111"/>
      <c r="AS119" s="111"/>
      <c r="AT119" s="111"/>
      <c r="AX119" s="111"/>
      <c r="AY119" s="111"/>
      <c r="AZ119" s="111"/>
      <c r="BA119" s="111"/>
      <c r="BB119" s="111"/>
      <c r="BC119" s="111"/>
      <c r="BD119" s="111"/>
      <c r="BE119" s="111"/>
      <c r="BF119" s="111"/>
      <c r="BG119" s="111"/>
      <c r="BI119" s="111"/>
      <c r="BJ119" s="111"/>
      <c r="BK119" s="111"/>
      <c r="BL119" s="111"/>
      <c r="BM119" s="111"/>
      <c r="BN119" s="111"/>
      <c r="BO119" s="111"/>
      <c r="BP119" s="111"/>
      <c r="BQ119" s="111"/>
      <c r="BS119" s="111"/>
      <c r="BT119" s="111"/>
      <c r="BU119" s="111"/>
      <c r="BV119" s="111"/>
    </row>
    <row r="120" spans="17:74" x14ac:dyDescent="0.25"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  <c r="AC120" s="111"/>
      <c r="AD120" s="111"/>
      <c r="AE120" s="111"/>
      <c r="AF120" s="111"/>
      <c r="AG120" s="111"/>
      <c r="AH120" s="111"/>
      <c r="AI120" s="111"/>
      <c r="AJ120" s="111"/>
      <c r="AK120" s="111"/>
      <c r="AL120" s="111"/>
      <c r="AM120" s="111"/>
      <c r="AN120" s="111"/>
      <c r="AO120" s="111"/>
      <c r="AP120" s="111"/>
      <c r="AQ120" s="111"/>
      <c r="AR120" s="111"/>
      <c r="AS120" s="111"/>
      <c r="AT120" s="111"/>
      <c r="AX120" s="111"/>
      <c r="AY120" s="111"/>
      <c r="AZ120" s="111"/>
      <c r="BA120" s="111"/>
      <c r="BB120" s="111"/>
      <c r="BC120" s="111"/>
      <c r="BD120" s="111"/>
      <c r="BE120" s="111"/>
      <c r="BF120" s="111"/>
      <c r="BG120" s="111"/>
      <c r="BI120" s="111"/>
      <c r="BJ120" s="111"/>
      <c r="BK120" s="111"/>
      <c r="BL120" s="111"/>
      <c r="BM120" s="111"/>
      <c r="BN120" s="111"/>
      <c r="BO120" s="111"/>
      <c r="BP120" s="111"/>
      <c r="BQ120" s="111"/>
      <c r="BS120" s="111"/>
      <c r="BT120" s="111"/>
      <c r="BU120" s="111"/>
      <c r="BV120" s="111"/>
    </row>
    <row r="121" spans="17:74" x14ac:dyDescent="0.25"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111"/>
      <c r="AB121" s="111"/>
      <c r="AC121" s="111"/>
      <c r="AD121" s="111"/>
      <c r="AE121" s="111"/>
      <c r="AF121" s="111"/>
      <c r="AG121" s="111"/>
      <c r="AH121" s="111"/>
      <c r="AI121" s="111"/>
      <c r="AJ121" s="111"/>
      <c r="AK121" s="111"/>
      <c r="AL121" s="111"/>
      <c r="AM121" s="111"/>
      <c r="AN121" s="111"/>
      <c r="AO121" s="111"/>
      <c r="AP121" s="111"/>
      <c r="AQ121" s="111"/>
      <c r="AR121" s="111"/>
      <c r="AS121" s="111"/>
      <c r="AT121" s="111"/>
      <c r="AX121" s="111"/>
      <c r="AY121" s="111"/>
      <c r="AZ121" s="111"/>
      <c r="BA121" s="111"/>
      <c r="BB121" s="111"/>
      <c r="BC121" s="111"/>
      <c r="BD121" s="111"/>
      <c r="BE121" s="111"/>
      <c r="BF121" s="111"/>
      <c r="BG121" s="111"/>
      <c r="BI121" s="111"/>
      <c r="BJ121" s="111"/>
      <c r="BK121" s="111"/>
      <c r="BL121" s="111"/>
      <c r="BM121" s="111"/>
      <c r="BN121" s="111"/>
      <c r="BO121" s="111"/>
      <c r="BP121" s="111"/>
      <c r="BQ121" s="111"/>
      <c r="BS121" s="111"/>
      <c r="BT121" s="111"/>
      <c r="BU121" s="111"/>
      <c r="BV121" s="111"/>
    </row>
    <row r="122" spans="17:74" x14ac:dyDescent="0.25"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111"/>
      <c r="AB122" s="111"/>
      <c r="AC122" s="111"/>
      <c r="AD122" s="111"/>
      <c r="AE122" s="111"/>
      <c r="AF122" s="111"/>
      <c r="AG122" s="111"/>
      <c r="AH122" s="111"/>
      <c r="AI122" s="111"/>
      <c r="AJ122" s="111"/>
      <c r="AK122" s="111"/>
      <c r="AL122" s="111"/>
      <c r="AM122" s="111"/>
      <c r="AN122" s="111"/>
      <c r="AO122" s="111"/>
      <c r="AP122" s="111"/>
      <c r="AQ122" s="111"/>
      <c r="AR122" s="111"/>
      <c r="AS122" s="111"/>
      <c r="AT122" s="111"/>
      <c r="AX122" s="111"/>
      <c r="AY122" s="111"/>
      <c r="AZ122" s="111"/>
      <c r="BA122" s="111"/>
      <c r="BB122" s="111"/>
      <c r="BC122" s="111"/>
      <c r="BD122" s="111"/>
      <c r="BE122" s="111"/>
      <c r="BF122" s="111"/>
      <c r="BG122" s="111"/>
      <c r="BI122" s="111"/>
      <c r="BJ122" s="111"/>
      <c r="BK122" s="111"/>
      <c r="BL122" s="111"/>
      <c r="BM122" s="111"/>
      <c r="BN122" s="111"/>
      <c r="BO122" s="111"/>
      <c r="BP122" s="111"/>
      <c r="BQ122" s="111"/>
      <c r="BS122" s="111"/>
      <c r="BT122" s="111"/>
      <c r="BU122" s="111"/>
      <c r="BV122" s="111"/>
    </row>
    <row r="123" spans="17:74" x14ac:dyDescent="0.25"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  <c r="AC123" s="111"/>
      <c r="AD123" s="111"/>
      <c r="AE123" s="111"/>
      <c r="AF123" s="111"/>
      <c r="AG123" s="111"/>
      <c r="AH123" s="111"/>
      <c r="AI123" s="111"/>
      <c r="AJ123" s="111"/>
      <c r="AK123" s="111"/>
      <c r="AL123" s="111"/>
      <c r="AM123" s="111"/>
      <c r="AN123" s="111"/>
      <c r="AO123" s="111"/>
      <c r="AP123" s="111"/>
      <c r="AQ123" s="111"/>
      <c r="AR123" s="111"/>
      <c r="AS123" s="111"/>
      <c r="AT123" s="111"/>
      <c r="AX123" s="111"/>
      <c r="AY123" s="111"/>
      <c r="AZ123" s="111"/>
      <c r="BA123" s="111"/>
      <c r="BB123" s="111"/>
      <c r="BC123" s="111"/>
      <c r="BD123" s="111"/>
      <c r="BE123" s="111"/>
      <c r="BF123" s="111"/>
      <c r="BG123" s="111"/>
      <c r="BI123" s="111"/>
      <c r="BJ123" s="111"/>
      <c r="BK123" s="111"/>
      <c r="BL123" s="111"/>
      <c r="BM123" s="111"/>
      <c r="BN123" s="111"/>
      <c r="BO123" s="111"/>
      <c r="BP123" s="111"/>
      <c r="BQ123" s="111"/>
      <c r="BS123" s="111"/>
      <c r="BT123" s="111"/>
      <c r="BU123" s="111"/>
      <c r="BV123" s="111"/>
    </row>
    <row r="124" spans="17:74" x14ac:dyDescent="0.25"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  <c r="AC124" s="111"/>
      <c r="AD124" s="111"/>
      <c r="AE124" s="111"/>
      <c r="AF124" s="111"/>
      <c r="AG124" s="111"/>
      <c r="AH124" s="111"/>
      <c r="AI124" s="111"/>
      <c r="AJ124" s="111"/>
      <c r="AK124" s="111"/>
      <c r="AL124" s="111"/>
      <c r="AM124" s="111"/>
      <c r="AN124" s="111"/>
      <c r="AO124" s="111"/>
      <c r="AP124" s="111"/>
      <c r="AQ124" s="111"/>
      <c r="AR124" s="111"/>
      <c r="AS124" s="111"/>
      <c r="AT124" s="111"/>
      <c r="AX124" s="111"/>
      <c r="AY124" s="111"/>
      <c r="AZ124" s="111"/>
      <c r="BA124" s="111"/>
      <c r="BB124" s="111"/>
      <c r="BC124" s="111"/>
      <c r="BD124" s="111"/>
      <c r="BE124" s="111"/>
      <c r="BF124" s="111"/>
      <c r="BG124" s="111"/>
      <c r="BI124" s="111"/>
      <c r="BJ124" s="111"/>
      <c r="BK124" s="111"/>
      <c r="BL124" s="111"/>
      <c r="BM124" s="111"/>
      <c r="BN124" s="111"/>
      <c r="BO124" s="111"/>
      <c r="BP124" s="111"/>
      <c r="BQ124" s="111"/>
      <c r="BS124" s="111"/>
      <c r="BT124" s="111"/>
      <c r="BU124" s="111"/>
      <c r="BV124" s="111"/>
    </row>
    <row r="125" spans="17:74" x14ac:dyDescent="0.25"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  <c r="AC125" s="111"/>
      <c r="AD125" s="111"/>
      <c r="AE125" s="111"/>
      <c r="AF125" s="111"/>
      <c r="AG125" s="111"/>
      <c r="AH125" s="111"/>
      <c r="AI125" s="111"/>
      <c r="AJ125" s="111"/>
      <c r="AK125" s="111"/>
      <c r="AL125" s="111"/>
      <c r="AM125" s="111"/>
      <c r="AN125" s="111"/>
      <c r="AO125" s="111"/>
      <c r="AP125" s="111"/>
      <c r="AQ125" s="111"/>
      <c r="AR125" s="111"/>
      <c r="AS125" s="111"/>
      <c r="AT125" s="111"/>
      <c r="AX125" s="111"/>
      <c r="AY125" s="111"/>
      <c r="AZ125" s="111"/>
      <c r="BA125" s="111"/>
      <c r="BB125" s="111"/>
      <c r="BC125" s="111"/>
      <c r="BD125" s="111"/>
      <c r="BE125" s="111"/>
      <c r="BF125" s="111"/>
      <c r="BG125" s="111"/>
      <c r="BI125" s="111"/>
      <c r="BJ125" s="111"/>
      <c r="BK125" s="111"/>
      <c r="BL125" s="111"/>
      <c r="BM125" s="111"/>
      <c r="BN125" s="111"/>
      <c r="BO125" s="111"/>
      <c r="BP125" s="111"/>
      <c r="BQ125" s="111"/>
      <c r="BS125" s="111"/>
      <c r="BT125" s="111"/>
      <c r="BU125" s="111"/>
      <c r="BV125" s="111"/>
    </row>
    <row r="126" spans="17:74" x14ac:dyDescent="0.25"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  <c r="AC126" s="111"/>
      <c r="AD126" s="111"/>
      <c r="AE126" s="111"/>
      <c r="AF126" s="111"/>
      <c r="AG126" s="111"/>
      <c r="AH126" s="111"/>
      <c r="AI126" s="111"/>
      <c r="AJ126" s="111"/>
      <c r="AK126" s="111"/>
      <c r="AL126" s="111"/>
      <c r="AM126" s="111"/>
      <c r="AN126" s="111"/>
      <c r="AO126" s="111"/>
      <c r="AP126" s="111"/>
      <c r="AQ126" s="111"/>
      <c r="AR126" s="111"/>
      <c r="AS126" s="111"/>
      <c r="AT126" s="111"/>
      <c r="AX126" s="111"/>
      <c r="AY126" s="111"/>
      <c r="AZ126" s="111"/>
      <c r="BA126" s="111"/>
      <c r="BB126" s="111"/>
      <c r="BC126" s="111"/>
      <c r="BD126" s="111"/>
      <c r="BE126" s="111"/>
      <c r="BF126" s="111"/>
      <c r="BG126" s="111"/>
      <c r="BI126" s="111"/>
      <c r="BJ126" s="111"/>
      <c r="BK126" s="111"/>
      <c r="BL126" s="111"/>
      <c r="BM126" s="111"/>
      <c r="BN126" s="111"/>
      <c r="BO126" s="111"/>
      <c r="BP126" s="111"/>
      <c r="BQ126" s="111"/>
      <c r="BS126" s="111"/>
      <c r="BT126" s="111"/>
      <c r="BU126" s="111"/>
      <c r="BV126" s="111"/>
    </row>
    <row r="127" spans="17:74" x14ac:dyDescent="0.25"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111"/>
      <c r="AB127" s="111"/>
      <c r="AC127" s="111"/>
      <c r="AD127" s="111"/>
      <c r="AE127" s="111"/>
      <c r="AF127" s="111"/>
      <c r="AG127" s="111"/>
      <c r="AH127" s="111"/>
      <c r="AI127" s="111"/>
      <c r="AJ127" s="111"/>
      <c r="AK127" s="111"/>
      <c r="AL127" s="111"/>
      <c r="AM127" s="111"/>
      <c r="AN127" s="111"/>
      <c r="AO127" s="111"/>
      <c r="AP127" s="111"/>
      <c r="AQ127" s="111"/>
      <c r="AR127" s="111"/>
      <c r="AS127" s="111"/>
      <c r="AT127" s="111"/>
      <c r="AX127" s="111"/>
      <c r="AY127" s="111"/>
      <c r="AZ127" s="111"/>
      <c r="BA127" s="111"/>
      <c r="BB127" s="111"/>
      <c r="BC127" s="111"/>
      <c r="BD127" s="111"/>
      <c r="BE127" s="111"/>
      <c r="BF127" s="111"/>
      <c r="BG127" s="111"/>
      <c r="BI127" s="111"/>
      <c r="BJ127" s="111"/>
      <c r="BK127" s="111"/>
      <c r="BL127" s="111"/>
      <c r="BM127" s="111"/>
      <c r="BN127" s="111"/>
      <c r="BO127" s="111"/>
      <c r="BP127" s="111"/>
      <c r="BQ127" s="111"/>
      <c r="BS127" s="111"/>
      <c r="BT127" s="111"/>
      <c r="BU127" s="111"/>
      <c r="BV127" s="111"/>
    </row>
    <row r="128" spans="17:74" x14ac:dyDescent="0.25"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  <c r="AC128" s="111"/>
      <c r="AD128" s="111"/>
      <c r="AE128" s="111"/>
      <c r="AF128" s="111"/>
      <c r="AG128" s="111"/>
      <c r="AH128" s="111"/>
      <c r="AI128" s="111"/>
      <c r="AJ128" s="111"/>
      <c r="AK128" s="111"/>
      <c r="AL128" s="111"/>
      <c r="AM128" s="111"/>
      <c r="AN128" s="111"/>
      <c r="AO128" s="111"/>
      <c r="AP128" s="111"/>
      <c r="AQ128" s="111"/>
      <c r="AR128" s="111"/>
      <c r="AS128" s="111"/>
      <c r="AT128" s="111"/>
      <c r="AX128" s="111"/>
      <c r="AY128" s="111"/>
      <c r="AZ128" s="111"/>
      <c r="BA128" s="111"/>
      <c r="BB128" s="111"/>
      <c r="BC128" s="111"/>
      <c r="BD128" s="111"/>
      <c r="BE128" s="111"/>
      <c r="BF128" s="111"/>
      <c r="BG128" s="111"/>
      <c r="BI128" s="111"/>
      <c r="BJ128" s="111"/>
      <c r="BK128" s="111"/>
      <c r="BL128" s="111"/>
      <c r="BM128" s="111"/>
      <c r="BN128" s="111"/>
      <c r="BO128" s="111"/>
      <c r="BP128" s="111"/>
      <c r="BQ128" s="111"/>
      <c r="BS128" s="111"/>
      <c r="BT128" s="111"/>
      <c r="BU128" s="111"/>
      <c r="BV128" s="111"/>
    </row>
    <row r="129" spans="17:74" x14ac:dyDescent="0.25"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  <c r="AC129" s="111"/>
      <c r="AD129" s="111"/>
      <c r="AE129" s="111"/>
      <c r="AF129" s="111"/>
      <c r="AG129" s="111"/>
      <c r="AH129" s="111"/>
      <c r="AI129" s="111"/>
      <c r="AJ129" s="111"/>
      <c r="AK129" s="111"/>
      <c r="AL129" s="111"/>
      <c r="AM129" s="111"/>
      <c r="AN129" s="111"/>
      <c r="AO129" s="111"/>
      <c r="AP129" s="111"/>
      <c r="AQ129" s="111"/>
      <c r="AR129" s="111"/>
      <c r="AS129" s="111"/>
      <c r="AT129" s="111"/>
      <c r="AX129" s="111"/>
      <c r="AY129" s="111"/>
      <c r="AZ129" s="111"/>
      <c r="BA129" s="111"/>
      <c r="BB129" s="111"/>
      <c r="BC129" s="111"/>
      <c r="BD129" s="111"/>
      <c r="BE129" s="111"/>
      <c r="BF129" s="111"/>
      <c r="BG129" s="111"/>
      <c r="BI129" s="111"/>
      <c r="BJ129" s="111"/>
      <c r="BK129" s="111"/>
      <c r="BL129" s="111"/>
      <c r="BM129" s="111"/>
      <c r="BN129" s="111"/>
      <c r="BO129" s="111"/>
      <c r="BP129" s="111"/>
      <c r="BQ129" s="111"/>
      <c r="BS129" s="111"/>
      <c r="BT129" s="111"/>
      <c r="BU129" s="111"/>
      <c r="BV129" s="111"/>
    </row>
    <row r="130" spans="17:74" x14ac:dyDescent="0.25"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  <c r="AC130" s="111"/>
      <c r="AD130" s="111"/>
      <c r="AE130" s="111"/>
      <c r="AF130" s="111"/>
      <c r="AG130" s="111"/>
      <c r="AH130" s="111"/>
      <c r="AI130" s="111"/>
      <c r="AJ130" s="111"/>
      <c r="AK130" s="111"/>
      <c r="AL130" s="111"/>
      <c r="AM130" s="111"/>
      <c r="AN130" s="111"/>
      <c r="AO130" s="111"/>
      <c r="AP130" s="111"/>
      <c r="AQ130" s="111"/>
      <c r="AR130" s="111"/>
      <c r="AS130" s="111"/>
      <c r="AT130" s="111"/>
      <c r="AX130" s="111"/>
      <c r="AY130" s="111"/>
      <c r="AZ130" s="111"/>
      <c r="BA130" s="111"/>
      <c r="BB130" s="111"/>
      <c r="BC130" s="111"/>
      <c r="BD130" s="111"/>
      <c r="BE130" s="111"/>
      <c r="BF130" s="111"/>
      <c r="BG130" s="111"/>
      <c r="BI130" s="111"/>
      <c r="BJ130" s="111"/>
      <c r="BK130" s="111"/>
      <c r="BL130" s="111"/>
      <c r="BM130" s="111"/>
      <c r="BN130" s="111"/>
      <c r="BO130" s="111"/>
      <c r="BP130" s="111"/>
      <c r="BQ130" s="111"/>
      <c r="BS130" s="111"/>
      <c r="BT130" s="111"/>
      <c r="BU130" s="111"/>
      <c r="BV130" s="111"/>
    </row>
    <row r="131" spans="17:74" x14ac:dyDescent="0.25"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111"/>
      <c r="AB131" s="111"/>
      <c r="AC131" s="111"/>
      <c r="AD131" s="111"/>
      <c r="AE131" s="111"/>
      <c r="AF131" s="111"/>
      <c r="AG131" s="111"/>
      <c r="AH131" s="111"/>
      <c r="AI131" s="111"/>
      <c r="AJ131" s="111"/>
      <c r="AK131" s="111"/>
      <c r="AL131" s="111"/>
      <c r="AM131" s="111"/>
      <c r="AN131" s="111"/>
      <c r="AO131" s="111"/>
      <c r="AP131" s="111"/>
      <c r="AQ131" s="111"/>
      <c r="AR131" s="111"/>
      <c r="AS131" s="111"/>
      <c r="AT131" s="111"/>
      <c r="AX131" s="111"/>
      <c r="AY131" s="111"/>
      <c r="AZ131" s="111"/>
      <c r="BA131" s="111"/>
      <c r="BB131" s="111"/>
      <c r="BC131" s="111"/>
      <c r="BD131" s="111"/>
      <c r="BE131" s="111"/>
      <c r="BF131" s="111"/>
      <c r="BG131" s="111"/>
      <c r="BI131" s="111"/>
      <c r="BJ131" s="111"/>
      <c r="BK131" s="111"/>
      <c r="BL131" s="111"/>
      <c r="BM131" s="111"/>
      <c r="BN131" s="111"/>
      <c r="BO131" s="111"/>
      <c r="BP131" s="111"/>
      <c r="BQ131" s="111"/>
      <c r="BS131" s="111"/>
      <c r="BT131" s="111"/>
      <c r="BU131" s="111"/>
      <c r="BV131" s="111"/>
    </row>
    <row r="132" spans="17:74" x14ac:dyDescent="0.25"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  <c r="AC132" s="111"/>
      <c r="AD132" s="111"/>
      <c r="AE132" s="111"/>
      <c r="AF132" s="111"/>
      <c r="AG132" s="111"/>
      <c r="AH132" s="111"/>
      <c r="AI132" s="111"/>
      <c r="AJ132" s="111"/>
      <c r="AK132" s="111"/>
      <c r="AL132" s="111"/>
      <c r="AM132" s="111"/>
      <c r="AN132" s="111"/>
      <c r="AO132" s="111"/>
      <c r="AP132" s="111"/>
      <c r="AQ132" s="111"/>
      <c r="AR132" s="111"/>
      <c r="AS132" s="111"/>
      <c r="AT132" s="111"/>
      <c r="AX132" s="111"/>
      <c r="AY132" s="111"/>
      <c r="AZ132" s="111"/>
      <c r="BA132" s="111"/>
      <c r="BB132" s="111"/>
      <c r="BC132" s="111"/>
      <c r="BD132" s="111"/>
      <c r="BE132" s="111"/>
      <c r="BF132" s="111"/>
      <c r="BG132" s="111"/>
      <c r="BI132" s="111"/>
      <c r="BJ132" s="111"/>
      <c r="BK132" s="111"/>
      <c r="BL132" s="111"/>
      <c r="BM132" s="111"/>
      <c r="BN132" s="111"/>
      <c r="BO132" s="111"/>
      <c r="BP132" s="111"/>
      <c r="BQ132" s="111"/>
      <c r="BS132" s="111"/>
      <c r="BT132" s="111"/>
      <c r="BU132" s="111"/>
      <c r="BV132" s="111"/>
    </row>
    <row r="133" spans="17:74" x14ac:dyDescent="0.25"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1"/>
      <c r="AM133" s="111"/>
      <c r="AN133" s="111"/>
      <c r="AO133" s="111"/>
      <c r="AP133" s="111"/>
      <c r="AQ133" s="111"/>
      <c r="AR133" s="111"/>
      <c r="AS133" s="111"/>
      <c r="AT133" s="111"/>
      <c r="AX133" s="111"/>
      <c r="AY133" s="111"/>
      <c r="AZ133" s="111"/>
      <c r="BA133" s="111"/>
      <c r="BB133" s="111"/>
      <c r="BC133" s="111"/>
      <c r="BD133" s="111"/>
      <c r="BE133" s="111"/>
      <c r="BF133" s="111"/>
      <c r="BG133" s="111"/>
      <c r="BI133" s="111"/>
      <c r="BJ133" s="111"/>
      <c r="BK133" s="111"/>
      <c r="BL133" s="111"/>
      <c r="BM133" s="111"/>
      <c r="BN133" s="111"/>
      <c r="BO133" s="111"/>
      <c r="BP133" s="111"/>
      <c r="BQ133" s="111"/>
      <c r="BS133" s="111"/>
      <c r="BT133" s="111"/>
      <c r="BU133" s="111"/>
      <c r="BV133" s="111"/>
    </row>
    <row r="134" spans="17:74" x14ac:dyDescent="0.25"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1"/>
      <c r="AM134" s="111"/>
      <c r="AN134" s="111"/>
      <c r="AO134" s="111"/>
      <c r="AP134" s="111"/>
      <c r="AQ134" s="111"/>
      <c r="AR134" s="111"/>
      <c r="AS134" s="111"/>
      <c r="AT134" s="111"/>
      <c r="AX134" s="111"/>
      <c r="AY134" s="111"/>
      <c r="AZ134" s="111"/>
      <c r="BA134" s="111"/>
      <c r="BB134" s="111"/>
      <c r="BC134" s="111"/>
      <c r="BD134" s="111"/>
      <c r="BE134" s="111"/>
      <c r="BF134" s="111"/>
      <c r="BG134" s="111"/>
      <c r="BI134" s="111"/>
      <c r="BJ134" s="111"/>
      <c r="BK134" s="111"/>
      <c r="BL134" s="111"/>
      <c r="BM134" s="111"/>
      <c r="BN134" s="111"/>
      <c r="BO134" s="111"/>
      <c r="BP134" s="111"/>
      <c r="BQ134" s="111"/>
      <c r="BS134" s="111"/>
      <c r="BT134" s="111"/>
      <c r="BU134" s="111"/>
      <c r="BV134" s="111"/>
    </row>
    <row r="135" spans="17:74" x14ac:dyDescent="0.25"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X135" s="111"/>
      <c r="AY135" s="111"/>
      <c r="AZ135" s="111"/>
      <c r="BA135" s="111"/>
      <c r="BB135" s="111"/>
      <c r="BC135" s="111"/>
      <c r="BD135" s="111"/>
      <c r="BE135" s="111"/>
      <c r="BF135" s="111"/>
      <c r="BG135" s="111"/>
      <c r="BI135" s="111"/>
      <c r="BJ135" s="111"/>
      <c r="BK135" s="111"/>
      <c r="BL135" s="111"/>
      <c r="BM135" s="111"/>
      <c r="BN135" s="111"/>
      <c r="BO135" s="111"/>
      <c r="BP135" s="111"/>
      <c r="BQ135" s="111"/>
      <c r="BS135" s="111"/>
      <c r="BT135" s="111"/>
      <c r="BU135" s="111"/>
      <c r="BV135" s="111"/>
    </row>
    <row r="136" spans="17:74" x14ac:dyDescent="0.25"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111"/>
      <c r="AB136" s="111"/>
      <c r="AC136" s="111"/>
      <c r="AD136" s="111"/>
      <c r="AE136" s="111"/>
      <c r="AF136" s="111"/>
      <c r="AG136" s="111"/>
      <c r="AH136" s="111"/>
      <c r="AI136" s="111"/>
      <c r="AJ136" s="111"/>
      <c r="AK136" s="111"/>
      <c r="AL136" s="111"/>
      <c r="AM136" s="111"/>
      <c r="AN136" s="111"/>
      <c r="AO136" s="111"/>
      <c r="AP136" s="111"/>
      <c r="AQ136" s="111"/>
      <c r="AR136" s="111"/>
      <c r="AS136" s="111"/>
      <c r="AT136" s="111"/>
      <c r="AX136" s="111"/>
      <c r="AY136" s="111"/>
      <c r="AZ136" s="111"/>
      <c r="BA136" s="111"/>
      <c r="BB136" s="111"/>
      <c r="BC136" s="111"/>
      <c r="BD136" s="111"/>
      <c r="BE136" s="111"/>
      <c r="BF136" s="111"/>
      <c r="BG136" s="111"/>
      <c r="BI136" s="111"/>
      <c r="BJ136" s="111"/>
      <c r="BK136" s="111"/>
      <c r="BL136" s="111"/>
      <c r="BM136" s="111"/>
      <c r="BN136" s="111"/>
      <c r="BO136" s="111"/>
      <c r="BP136" s="111"/>
      <c r="BQ136" s="111"/>
      <c r="BS136" s="111"/>
      <c r="BT136" s="111"/>
      <c r="BU136" s="111"/>
      <c r="BV136" s="111"/>
    </row>
    <row r="137" spans="17:74" x14ac:dyDescent="0.25"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111"/>
      <c r="AB137" s="111"/>
      <c r="AC137" s="111"/>
      <c r="AD137" s="111"/>
      <c r="AE137" s="111"/>
      <c r="AF137" s="111"/>
      <c r="AG137" s="111"/>
      <c r="AH137" s="111"/>
      <c r="AI137" s="111"/>
      <c r="AJ137" s="111"/>
      <c r="AK137" s="111"/>
      <c r="AL137" s="111"/>
      <c r="AM137" s="111"/>
      <c r="AN137" s="111"/>
      <c r="AO137" s="111"/>
      <c r="AP137" s="111"/>
      <c r="AQ137" s="111"/>
      <c r="AR137" s="111"/>
      <c r="AS137" s="111"/>
      <c r="AT137" s="111"/>
      <c r="AX137" s="111"/>
      <c r="AY137" s="111"/>
      <c r="AZ137" s="111"/>
      <c r="BA137" s="111"/>
      <c r="BB137" s="111"/>
      <c r="BC137" s="111"/>
      <c r="BD137" s="111"/>
      <c r="BE137" s="111"/>
      <c r="BF137" s="111"/>
      <c r="BG137" s="111"/>
      <c r="BI137" s="111"/>
      <c r="BJ137" s="111"/>
      <c r="BK137" s="111"/>
      <c r="BL137" s="111"/>
      <c r="BM137" s="111"/>
      <c r="BN137" s="111"/>
      <c r="BO137" s="111"/>
      <c r="BP137" s="111"/>
      <c r="BQ137" s="111"/>
      <c r="BS137" s="111"/>
      <c r="BT137" s="111"/>
      <c r="BU137" s="111"/>
      <c r="BV137" s="111"/>
    </row>
    <row r="138" spans="17:74" x14ac:dyDescent="0.25"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111"/>
      <c r="AB138" s="111"/>
      <c r="AC138" s="111"/>
      <c r="AD138" s="111"/>
      <c r="AE138" s="111"/>
      <c r="AF138" s="111"/>
      <c r="AG138" s="111"/>
      <c r="AH138" s="111"/>
      <c r="AI138" s="111"/>
      <c r="AJ138" s="111"/>
      <c r="AK138" s="111"/>
      <c r="AL138" s="111"/>
      <c r="AM138" s="111"/>
      <c r="AN138" s="111"/>
      <c r="AO138" s="111"/>
      <c r="AP138" s="111"/>
      <c r="AQ138" s="111"/>
      <c r="AR138" s="111"/>
      <c r="AS138" s="111"/>
      <c r="AT138" s="111"/>
      <c r="AX138" s="111"/>
      <c r="AY138" s="111"/>
      <c r="AZ138" s="111"/>
      <c r="BA138" s="111"/>
      <c r="BB138" s="111"/>
      <c r="BC138" s="111"/>
      <c r="BD138" s="111"/>
      <c r="BE138" s="111"/>
      <c r="BF138" s="111"/>
      <c r="BG138" s="111"/>
      <c r="BI138" s="111"/>
      <c r="BJ138" s="111"/>
      <c r="BK138" s="111"/>
      <c r="BL138" s="111"/>
      <c r="BM138" s="111"/>
      <c r="BN138" s="111"/>
      <c r="BO138" s="111"/>
      <c r="BP138" s="111"/>
      <c r="BQ138" s="111"/>
      <c r="BS138" s="111"/>
      <c r="BT138" s="111"/>
      <c r="BU138" s="111"/>
      <c r="BV138" s="111"/>
    </row>
    <row r="139" spans="17:74" x14ac:dyDescent="0.25"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111"/>
      <c r="AB139" s="111"/>
      <c r="AC139" s="111"/>
      <c r="AD139" s="111"/>
      <c r="AE139" s="111"/>
      <c r="AF139" s="111"/>
      <c r="AG139" s="111"/>
      <c r="AH139" s="111"/>
      <c r="AI139" s="111"/>
      <c r="AJ139" s="111"/>
      <c r="AK139" s="111"/>
      <c r="AL139" s="111"/>
      <c r="AM139" s="111"/>
      <c r="AN139" s="111"/>
      <c r="AO139" s="111"/>
      <c r="AP139" s="111"/>
      <c r="AQ139" s="111"/>
      <c r="AR139" s="111"/>
      <c r="AS139" s="111"/>
      <c r="AT139" s="111"/>
      <c r="AX139" s="111"/>
      <c r="AY139" s="111"/>
      <c r="AZ139" s="111"/>
      <c r="BA139" s="111"/>
      <c r="BB139" s="111"/>
      <c r="BC139" s="111"/>
      <c r="BD139" s="111"/>
      <c r="BE139" s="111"/>
      <c r="BF139" s="111"/>
      <c r="BG139" s="111"/>
      <c r="BI139" s="111"/>
      <c r="BJ139" s="111"/>
      <c r="BK139" s="111"/>
      <c r="BL139" s="111"/>
      <c r="BM139" s="111"/>
      <c r="BN139" s="111"/>
      <c r="BO139" s="111"/>
      <c r="BP139" s="111"/>
      <c r="BQ139" s="111"/>
      <c r="BS139" s="111"/>
      <c r="BT139" s="111"/>
      <c r="BU139" s="111"/>
      <c r="BV139" s="111"/>
    </row>
    <row r="140" spans="17:74" x14ac:dyDescent="0.25"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  <c r="AC140" s="111"/>
      <c r="AD140" s="111"/>
      <c r="AE140" s="111"/>
      <c r="AF140" s="111"/>
      <c r="AG140" s="111"/>
      <c r="AH140" s="111"/>
      <c r="AI140" s="111"/>
      <c r="AJ140" s="111"/>
      <c r="AK140" s="111"/>
      <c r="AL140" s="111"/>
      <c r="AM140" s="111"/>
      <c r="AN140" s="111"/>
      <c r="AO140" s="111"/>
      <c r="AP140" s="111"/>
      <c r="AQ140" s="111"/>
      <c r="AR140" s="111"/>
      <c r="AS140" s="111"/>
      <c r="AT140" s="111"/>
      <c r="AX140" s="111"/>
      <c r="AY140" s="111"/>
      <c r="AZ140" s="111"/>
      <c r="BA140" s="111"/>
      <c r="BB140" s="111"/>
      <c r="BC140" s="111"/>
      <c r="BD140" s="111"/>
      <c r="BE140" s="111"/>
      <c r="BF140" s="111"/>
      <c r="BG140" s="111"/>
      <c r="BI140" s="111"/>
      <c r="BJ140" s="111"/>
      <c r="BK140" s="111"/>
      <c r="BL140" s="111"/>
      <c r="BM140" s="111"/>
      <c r="BN140" s="111"/>
      <c r="BO140" s="111"/>
      <c r="BP140" s="111"/>
      <c r="BQ140" s="111"/>
      <c r="BS140" s="111"/>
      <c r="BT140" s="111"/>
      <c r="BU140" s="111"/>
      <c r="BV140" s="111"/>
    </row>
    <row r="141" spans="17:74" x14ac:dyDescent="0.25"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X141" s="111"/>
      <c r="AY141" s="111"/>
      <c r="AZ141" s="111"/>
      <c r="BA141" s="111"/>
      <c r="BB141" s="111"/>
      <c r="BC141" s="111"/>
      <c r="BD141" s="111"/>
      <c r="BE141" s="111"/>
      <c r="BF141" s="111"/>
      <c r="BG141" s="111"/>
      <c r="BI141" s="111"/>
      <c r="BJ141" s="111"/>
      <c r="BK141" s="111"/>
      <c r="BL141" s="111"/>
      <c r="BM141" s="111"/>
      <c r="BN141" s="111"/>
      <c r="BO141" s="111"/>
      <c r="BP141" s="111"/>
      <c r="BQ141" s="111"/>
      <c r="BS141" s="111"/>
      <c r="BT141" s="111"/>
      <c r="BU141" s="111"/>
      <c r="BV141" s="111"/>
    </row>
    <row r="142" spans="17:74" x14ac:dyDescent="0.25"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  <c r="AH142" s="111"/>
      <c r="AI142" s="111"/>
      <c r="AJ142" s="111"/>
      <c r="AK142" s="111"/>
      <c r="AL142" s="111"/>
      <c r="AM142" s="111"/>
      <c r="AN142" s="111"/>
      <c r="AO142" s="111"/>
      <c r="AP142" s="111"/>
      <c r="AQ142" s="111"/>
      <c r="AR142" s="111"/>
      <c r="AS142" s="111"/>
      <c r="AT142" s="111"/>
      <c r="AX142" s="111"/>
      <c r="AY142" s="111"/>
      <c r="AZ142" s="111"/>
      <c r="BA142" s="111"/>
      <c r="BB142" s="111"/>
      <c r="BC142" s="111"/>
      <c r="BD142" s="111"/>
      <c r="BE142" s="111"/>
      <c r="BF142" s="111"/>
      <c r="BG142" s="111"/>
      <c r="BI142" s="111"/>
      <c r="BJ142" s="111"/>
      <c r="BK142" s="111"/>
      <c r="BL142" s="111"/>
      <c r="BM142" s="111"/>
      <c r="BN142" s="111"/>
      <c r="BO142" s="111"/>
      <c r="BP142" s="111"/>
      <c r="BQ142" s="111"/>
      <c r="BS142" s="111"/>
      <c r="BT142" s="111"/>
      <c r="BU142" s="111"/>
      <c r="BV142" s="111"/>
    </row>
    <row r="143" spans="17:74" x14ac:dyDescent="0.25"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111"/>
      <c r="AB143" s="111"/>
      <c r="AC143" s="111"/>
      <c r="AD143" s="111"/>
      <c r="AE143" s="111"/>
      <c r="AF143" s="111"/>
      <c r="AG143" s="111"/>
      <c r="AH143" s="111"/>
      <c r="AI143" s="111"/>
      <c r="AJ143" s="111"/>
      <c r="AK143" s="111"/>
      <c r="AL143" s="111"/>
      <c r="AM143" s="111"/>
      <c r="AN143" s="111"/>
      <c r="AO143" s="111"/>
      <c r="AP143" s="111"/>
      <c r="AQ143" s="111"/>
      <c r="AR143" s="111"/>
      <c r="AS143" s="111"/>
      <c r="AT143" s="111"/>
      <c r="AX143" s="111"/>
      <c r="AY143" s="111"/>
      <c r="AZ143" s="111"/>
      <c r="BA143" s="111"/>
      <c r="BB143" s="111"/>
      <c r="BC143" s="111"/>
      <c r="BD143" s="111"/>
      <c r="BE143" s="111"/>
      <c r="BF143" s="111"/>
      <c r="BG143" s="111"/>
      <c r="BI143" s="111"/>
      <c r="BJ143" s="111"/>
      <c r="BK143" s="111"/>
      <c r="BL143" s="111"/>
      <c r="BM143" s="111"/>
      <c r="BN143" s="111"/>
      <c r="BO143" s="111"/>
      <c r="BP143" s="111"/>
      <c r="BQ143" s="111"/>
      <c r="BS143" s="111"/>
      <c r="BT143" s="111"/>
      <c r="BU143" s="111"/>
      <c r="BV143" s="111"/>
    </row>
    <row r="144" spans="17:74" x14ac:dyDescent="0.25"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111"/>
      <c r="AB144" s="111"/>
      <c r="AC144" s="111"/>
      <c r="AD144" s="111"/>
      <c r="AE144" s="111"/>
      <c r="AF144" s="111"/>
      <c r="AG144" s="111"/>
      <c r="AH144" s="111"/>
      <c r="AI144" s="111"/>
      <c r="AJ144" s="111"/>
      <c r="AK144" s="111"/>
      <c r="AL144" s="111"/>
      <c r="AM144" s="111"/>
      <c r="AN144" s="111"/>
      <c r="AO144" s="111"/>
      <c r="AP144" s="111"/>
      <c r="AQ144" s="111"/>
      <c r="AR144" s="111"/>
      <c r="AS144" s="111"/>
      <c r="AT144" s="111"/>
      <c r="AX144" s="111"/>
      <c r="AY144" s="111"/>
      <c r="AZ144" s="111"/>
      <c r="BA144" s="111"/>
      <c r="BB144" s="111"/>
      <c r="BC144" s="111"/>
      <c r="BD144" s="111"/>
      <c r="BE144" s="111"/>
      <c r="BF144" s="111"/>
      <c r="BG144" s="111"/>
      <c r="BI144" s="111"/>
      <c r="BJ144" s="111"/>
      <c r="BK144" s="111"/>
      <c r="BL144" s="111"/>
      <c r="BM144" s="111"/>
      <c r="BN144" s="111"/>
      <c r="BO144" s="111"/>
      <c r="BP144" s="111"/>
      <c r="BQ144" s="111"/>
      <c r="BS144" s="111"/>
      <c r="BT144" s="111"/>
      <c r="BU144" s="111"/>
      <c r="BV144" s="111"/>
    </row>
    <row r="145" spans="17:74" x14ac:dyDescent="0.25"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X145" s="111"/>
      <c r="AY145" s="111"/>
      <c r="AZ145" s="111"/>
      <c r="BA145" s="111"/>
      <c r="BB145" s="111"/>
      <c r="BC145" s="111"/>
      <c r="BD145" s="111"/>
      <c r="BE145" s="111"/>
      <c r="BF145" s="111"/>
      <c r="BG145" s="111"/>
      <c r="BI145" s="111"/>
      <c r="BJ145" s="111"/>
      <c r="BK145" s="111"/>
      <c r="BL145" s="111"/>
      <c r="BM145" s="111"/>
      <c r="BN145" s="111"/>
      <c r="BO145" s="111"/>
      <c r="BP145" s="111"/>
      <c r="BQ145" s="111"/>
      <c r="BS145" s="111"/>
      <c r="BT145" s="111"/>
      <c r="BU145" s="111"/>
      <c r="BV145" s="111"/>
    </row>
    <row r="146" spans="17:74" x14ac:dyDescent="0.25"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X146" s="111"/>
      <c r="AY146" s="111"/>
      <c r="AZ146" s="111"/>
      <c r="BA146" s="111"/>
      <c r="BB146" s="111"/>
      <c r="BC146" s="111"/>
      <c r="BD146" s="111"/>
      <c r="BE146" s="111"/>
      <c r="BF146" s="111"/>
      <c r="BG146" s="111"/>
      <c r="BI146" s="111"/>
      <c r="BJ146" s="111"/>
      <c r="BK146" s="111"/>
      <c r="BL146" s="111"/>
      <c r="BM146" s="111"/>
      <c r="BN146" s="111"/>
      <c r="BO146" s="111"/>
      <c r="BP146" s="111"/>
      <c r="BQ146" s="111"/>
      <c r="BS146" s="111"/>
      <c r="BT146" s="111"/>
      <c r="BU146" s="111"/>
      <c r="BV146" s="111"/>
    </row>
    <row r="147" spans="17:74" x14ac:dyDescent="0.25"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111"/>
      <c r="AB147" s="111"/>
      <c r="AC147" s="111"/>
      <c r="AD147" s="111"/>
      <c r="AE147" s="111"/>
      <c r="AF147" s="111"/>
      <c r="AG147" s="111"/>
      <c r="AH147" s="111"/>
      <c r="AI147" s="111"/>
      <c r="AJ147" s="111"/>
      <c r="AK147" s="111"/>
      <c r="AL147" s="111"/>
      <c r="AM147" s="111"/>
      <c r="AN147" s="111"/>
      <c r="AO147" s="111"/>
      <c r="AP147" s="111"/>
      <c r="AQ147" s="111"/>
      <c r="AR147" s="111"/>
      <c r="AS147" s="111"/>
      <c r="AT147" s="111"/>
      <c r="AX147" s="111"/>
      <c r="AY147" s="111"/>
      <c r="AZ147" s="111"/>
      <c r="BA147" s="111"/>
      <c r="BB147" s="111"/>
      <c r="BC147" s="111"/>
      <c r="BD147" s="111"/>
      <c r="BE147" s="111"/>
      <c r="BF147" s="111"/>
      <c r="BG147" s="111"/>
      <c r="BI147" s="111"/>
      <c r="BJ147" s="111"/>
      <c r="BK147" s="111"/>
      <c r="BL147" s="111"/>
      <c r="BM147" s="111"/>
      <c r="BN147" s="111"/>
      <c r="BO147" s="111"/>
      <c r="BP147" s="111"/>
      <c r="BQ147" s="111"/>
      <c r="BS147" s="111"/>
      <c r="BT147" s="111"/>
      <c r="BU147" s="111"/>
      <c r="BV147" s="111"/>
    </row>
    <row r="148" spans="17:74" x14ac:dyDescent="0.25"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  <c r="AP148" s="111"/>
      <c r="AQ148" s="111"/>
      <c r="AR148" s="111"/>
      <c r="AS148" s="111"/>
      <c r="AT148" s="111"/>
      <c r="AX148" s="111"/>
      <c r="AY148" s="111"/>
      <c r="AZ148" s="111"/>
      <c r="BA148" s="111"/>
      <c r="BB148" s="111"/>
      <c r="BC148" s="111"/>
      <c r="BD148" s="111"/>
      <c r="BE148" s="111"/>
      <c r="BF148" s="111"/>
      <c r="BG148" s="111"/>
      <c r="BI148" s="111"/>
      <c r="BJ148" s="111"/>
      <c r="BK148" s="111"/>
      <c r="BL148" s="111"/>
      <c r="BM148" s="111"/>
      <c r="BN148" s="111"/>
      <c r="BO148" s="111"/>
      <c r="BP148" s="111"/>
      <c r="BQ148" s="111"/>
      <c r="BS148" s="111"/>
      <c r="BT148" s="111"/>
      <c r="BU148" s="111"/>
      <c r="BV148" s="111"/>
    </row>
    <row r="149" spans="17:74" x14ac:dyDescent="0.25"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  <c r="AP149" s="111"/>
      <c r="AQ149" s="111"/>
      <c r="AR149" s="111"/>
      <c r="AS149" s="111"/>
      <c r="AT149" s="111"/>
      <c r="AX149" s="111"/>
      <c r="AY149" s="111"/>
      <c r="AZ149" s="111"/>
      <c r="BA149" s="111"/>
      <c r="BB149" s="111"/>
      <c r="BC149" s="111"/>
      <c r="BD149" s="111"/>
      <c r="BE149" s="111"/>
      <c r="BF149" s="111"/>
      <c r="BG149" s="111"/>
      <c r="BI149" s="111"/>
      <c r="BJ149" s="111"/>
      <c r="BK149" s="111"/>
      <c r="BL149" s="111"/>
      <c r="BM149" s="111"/>
      <c r="BN149" s="111"/>
      <c r="BO149" s="111"/>
      <c r="BP149" s="111"/>
      <c r="BQ149" s="111"/>
      <c r="BS149" s="111"/>
      <c r="BT149" s="111"/>
      <c r="BU149" s="111"/>
      <c r="BV149" s="111"/>
    </row>
    <row r="150" spans="17:74" x14ac:dyDescent="0.25"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  <c r="AP150" s="111"/>
      <c r="AQ150" s="111"/>
      <c r="AR150" s="111"/>
      <c r="AS150" s="111"/>
      <c r="AT150" s="111"/>
      <c r="AX150" s="111"/>
      <c r="AY150" s="111"/>
      <c r="AZ150" s="111"/>
      <c r="BA150" s="111"/>
      <c r="BB150" s="111"/>
      <c r="BC150" s="111"/>
      <c r="BD150" s="111"/>
      <c r="BE150" s="111"/>
      <c r="BF150" s="111"/>
      <c r="BG150" s="111"/>
      <c r="BI150" s="111"/>
      <c r="BJ150" s="111"/>
      <c r="BK150" s="111"/>
      <c r="BL150" s="111"/>
      <c r="BM150" s="111"/>
      <c r="BN150" s="111"/>
      <c r="BO150" s="111"/>
      <c r="BP150" s="111"/>
      <c r="BQ150" s="111"/>
      <c r="BS150" s="111"/>
      <c r="BT150" s="111"/>
      <c r="BU150" s="111"/>
      <c r="BV150" s="111"/>
    </row>
    <row r="151" spans="17:74" x14ac:dyDescent="0.25"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X151" s="111"/>
      <c r="AY151" s="111"/>
      <c r="AZ151" s="111"/>
      <c r="BA151" s="111"/>
      <c r="BB151" s="111"/>
      <c r="BC151" s="111"/>
      <c r="BD151" s="111"/>
      <c r="BE151" s="111"/>
      <c r="BF151" s="111"/>
      <c r="BG151" s="111"/>
      <c r="BI151" s="111"/>
      <c r="BJ151" s="111"/>
      <c r="BK151" s="111"/>
      <c r="BL151" s="111"/>
      <c r="BM151" s="111"/>
      <c r="BN151" s="111"/>
      <c r="BO151" s="111"/>
      <c r="BP151" s="111"/>
      <c r="BQ151" s="111"/>
      <c r="BS151" s="111"/>
      <c r="BT151" s="111"/>
      <c r="BU151" s="111"/>
      <c r="BV151" s="111"/>
    </row>
    <row r="152" spans="17:74" x14ac:dyDescent="0.25"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111"/>
      <c r="AB152" s="111"/>
      <c r="AC152" s="111"/>
      <c r="AD152" s="111"/>
      <c r="AE152" s="111"/>
      <c r="AF152" s="111"/>
      <c r="AG152" s="111"/>
      <c r="AH152" s="111"/>
      <c r="AI152" s="111"/>
      <c r="AJ152" s="111"/>
      <c r="AK152" s="111"/>
      <c r="AL152" s="111"/>
      <c r="AM152" s="111"/>
      <c r="AN152" s="111"/>
      <c r="AO152" s="111"/>
      <c r="AP152" s="111"/>
      <c r="AQ152" s="111"/>
      <c r="AR152" s="111"/>
      <c r="AS152" s="111"/>
      <c r="AT152" s="111"/>
      <c r="AX152" s="111"/>
      <c r="AY152" s="111"/>
      <c r="AZ152" s="111"/>
      <c r="BA152" s="111"/>
      <c r="BB152" s="111"/>
      <c r="BC152" s="111"/>
      <c r="BD152" s="111"/>
      <c r="BE152" s="111"/>
      <c r="BF152" s="111"/>
      <c r="BG152" s="111"/>
      <c r="BI152" s="111"/>
      <c r="BJ152" s="111"/>
      <c r="BK152" s="111"/>
      <c r="BL152" s="111"/>
      <c r="BM152" s="111"/>
      <c r="BN152" s="111"/>
      <c r="BO152" s="111"/>
      <c r="BP152" s="111"/>
      <c r="BQ152" s="111"/>
      <c r="BS152" s="111"/>
      <c r="BT152" s="111"/>
      <c r="BU152" s="111"/>
      <c r="BV152" s="111"/>
    </row>
    <row r="153" spans="17:74" x14ac:dyDescent="0.25"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111"/>
      <c r="AB153" s="111"/>
      <c r="AC153" s="111"/>
      <c r="AD153" s="111"/>
      <c r="AE153" s="111"/>
      <c r="AF153" s="111"/>
      <c r="AG153" s="111"/>
      <c r="AH153" s="111"/>
      <c r="AI153" s="111"/>
      <c r="AJ153" s="111"/>
      <c r="AK153" s="111"/>
      <c r="AL153" s="111"/>
      <c r="AM153" s="111"/>
      <c r="AN153" s="111"/>
      <c r="AO153" s="111"/>
      <c r="AP153" s="111"/>
      <c r="AQ153" s="111"/>
      <c r="AR153" s="111"/>
      <c r="AS153" s="111"/>
      <c r="AT153" s="111"/>
      <c r="AX153" s="111"/>
      <c r="AY153" s="111"/>
      <c r="AZ153" s="111"/>
      <c r="BA153" s="111"/>
      <c r="BB153" s="111"/>
      <c r="BC153" s="111"/>
      <c r="BD153" s="111"/>
      <c r="BE153" s="111"/>
      <c r="BF153" s="111"/>
      <c r="BG153" s="111"/>
      <c r="BI153" s="111"/>
      <c r="BJ153" s="111"/>
      <c r="BK153" s="111"/>
      <c r="BL153" s="111"/>
      <c r="BM153" s="111"/>
      <c r="BN153" s="111"/>
      <c r="BO153" s="111"/>
      <c r="BP153" s="111"/>
      <c r="BQ153" s="111"/>
      <c r="BS153" s="111"/>
      <c r="BT153" s="111"/>
      <c r="BU153" s="111"/>
      <c r="BV153" s="111"/>
    </row>
    <row r="154" spans="17:74" x14ac:dyDescent="0.25"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  <c r="AP154" s="111"/>
      <c r="AQ154" s="111"/>
      <c r="AR154" s="111"/>
      <c r="AS154" s="111"/>
      <c r="AT154" s="111"/>
      <c r="AX154" s="111"/>
      <c r="AY154" s="111"/>
      <c r="AZ154" s="111"/>
      <c r="BA154" s="111"/>
      <c r="BB154" s="111"/>
      <c r="BC154" s="111"/>
      <c r="BD154" s="111"/>
      <c r="BE154" s="111"/>
      <c r="BF154" s="111"/>
      <c r="BG154" s="111"/>
      <c r="BI154" s="111"/>
      <c r="BJ154" s="111"/>
      <c r="BK154" s="111"/>
      <c r="BL154" s="111"/>
      <c r="BM154" s="111"/>
      <c r="BN154" s="111"/>
      <c r="BO154" s="111"/>
      <c r="BP154" s="111"/>
      <c r="BQ154" s="111"/>
      <c r="BS154" s="111"/>
      <c r="BT154" s="111"/>
      <c r="BU154" s="111"/>
      <c r="BV154" s="111"/>
    </row>
    <row r="155" spans="17:74" x14ac:dyDescent="0.25"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  <c r="AP155" s="111"/>
      <c r="AQ155" s="111"/>
      <c r="AR155" s="111"/>
      <c r="AS155" s="111"/>
      <c r="AT155" s="111"/>
      <c r="AX155" s="111"/>
      <c r="AY155" s="111"/>
      <c r="AZ155" s="111"/>
      <c r="BA155" s="111"/>
      <c r="BB155" s="111"/>
      <c r="BC155" s="111"/>
      <c r="BD155" s="111"/>
      <c r="BE155" s="111"/>
      <c r="BF155" s="111"/>
      <c r="BG155" s="111"/>
      <c r="BI155" s="111"/>
      <c r="BJ155" s="111"/>
      <c r="BK155" s="111"/>
      <c r="BL155" s="111"/>
      <c r="BM155" s="111"/>
      <c r="BN155" s="111"/>
      <c r="BO155" s="111"/>
      <c r="BP155" s="111"/>
      <c r="BQ155" s="111"/>
      <c r="BS155" s="111"/>
      <c r="BT155" s="111"/>
      <c r="BU155" s="111"/>
      <c r="BV155" s="111"/>
    </row>
    <row r="156" spans="17:74" x14ac:dyDescent="0.25"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111"/>
      <c r="AB156" s="111"/>
      <c r="AC156" s="111"/>
      <c r="AD156" s="111"/>
      <c r="AE156" s="111"/>
      <c r="AF156" s="111"/>
      <c r="AG156" s="111"/>
      <c r="AH156" s="111"/>
      <c r="AI156" s="111"/>
      <c r="AJ156" s="111"/>
      <c r="AK156" s="111"/>
      <c r="AL156" s="111"/>
      <c r="AM156" s="111"/>
      <c r="AN156" s="111"/>
      <c r="AO156" s="111"/>
      <c r="AP156" s="111"/>
      <c r="AQ156" s="111"/>
      <c r="AR156" s="111"/>
      <c r="AS156" s="111"/>
      <c r="AT156" s="111"/>
      <c r="AX156" s="111"/>
      <c r="AY156" s="111"/>
      <c r="AZ156" s="111"/>
      <c r="BA156" s="111"/>
      <c r="BB156" s="111"/>
      <c r="BC156" s="111"/>
      <c r="BD156" s="111"/>
      <c r="BE156" s="111"/>
      <c r="BF156" s="111"/>
      <c r="BG156" s="111"/>
      <c r="BI156" s="111"/>
      <c r="BJ156" s="111"/>
      <c r="BK156" s="111"/>
      <c r="BL156" s="111"/>
      <c r="BM156" s="111"/>
      <c r="BN156" s="111"/>
      <c r="BO156" s="111"/>
      <c r="BP156" s="111"/>
      <c r="BQ156" s="111"/>
      <c r="BS156" s="111"/>
      <c r="BT156" s="111"/>
      <c r="BU156" s="111"/>
      <c r="BV156" s="111"/>
    </row>
    <row r="157" spans="17:74" x14ac:dyDescent="0.25"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111"/>
      <c r="AB157" s="111"/>
      <c r="AC157" s="111"/>
      <c r="AD157" s="111"/>
      <c r="AE157" s="111"/>
      <c r="AF157" s="111"/>
      <c r="AG157" s="111"/>
      <c r="AH157" s="111"/>
      <c r="AI157" s="111"/>
      <c r="AJ157" s="111"/>
      <c r="AK157" s="111"/>
      <c r="AL157" s="111"/>
      <c r="AM157" s="111"/>
      <c r="AN157" s="111"/>
      <c r="AO157" s="111"/>
      <c r="AP157" s="111"/>
      <c r="AQ157" s="111"/>
      <c r="AR157" s="111"/>
      <c r="AS157" s="111"/>
      <c r="AT157" s="111"/>
      <c r="AX157" s="111"/>
      <c r="AY157" s="111"/>
      <c r="AZ157" s="111"/>
      <c r="BA157" s="111"/>
      <c r="BB157" s="111"/>
      <c r="BC157" s="111"/>
      <c r="BD157" s="111"/>
      <c r="BE157" s="111"/>
      <c r="BF157" s="111"/>
      <c r="BG157" s="111"/>
      <c r="BI157" s="111"/>
      <c r="BJ157" s="111"/>
      <c r="BK157" s="111"/>
      <c r="BL157" s="111"/>
      <c r="BM157" s="111"/>
      <c r="BN157" s="111"/>
      <c r="BO157" s="111"/>
      <c r="BP157" s="111"/>
      <c r="BQ157" s="111"/>
      <c r="BS157" s="111"/>
      <c r="BT157" s="111"/>
      <c r="BU157" s="111"/>
      <c r="BV157" s="111"/>
    </row>
    <row r="158" spans="17:74" x14ac:dyDescent="0.25"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111"/>
      <c r="AH158" s="111"/>
      <c r="AI158" s="111"/>
      <c r="AJ158" s="111"/>
      <c r="AK158" s="111"/>
      <c r="AL158" s="111"/>
      <c r="AM158" s="111"/>
      <c r="AN158" s="111"/>
      <c r="AO158" s="111"/>
      <c r="AP158" s="111"/>
      <c r="AQ158" s="111"/>
      <c r="AR158" s="111"/>
      <c r="AS158" s="111"/>
      <c r="AT158" s="111"/>
      <c r="AX158" s="111"/>
      <c r="AY158" s="111"/>
      <c r="AZ158" s="111"/>
      <c r="BA158" s="111"/>
      <c r="BB158" s="111"/>
      <c r="BC158" s="111"/>
      <c r="BD158" s="111"/>
      <c r="BE158" s="111"/>
      <c r="BF158" s="111"/>
      <c r="BG158" s="111"/>
      <c r="BI158" s="111"/>
      <c r="BJ158" s="111"/>
      <c r="BK158" s="111"/>
      <c r="BL158" s="111"/>
      <c r="BM158" s="111"/>
      <c r="BN158" s="111"/>
      <c r="BO158" s="111"/>
      <c r="BP158" s="111"/>
      <c r="BQ158" s="111"/>
      <c r="BS158" s="111"/>
      <c r="BT158" s="111"/>
      <c r="BU158" s="111"/>
      <c r="BV158" s="111"/>
    </row>
    <row r="159" spans="17:74" x14ac:dyDescent="0.25"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111"/>
      <c r="AQ159" s="111"/>
      <c r="AR159" s="111"/>
      <c r="AS159" s="111"/>
      <c r="AT159" s="111"/>
      <c r="AX159" s="111"/>
      <c r="AY159" s="111"/>
      <c r="AZ159" s="111"/>
      <c r="BA159" s="111"/>
      <c r="BB159" s="111"/>
      <c r="BC159" s="111"/>
      <c r="BD159" s="111"/>
      <c r="BE159" s="111"/>
      <c r="BF159" s="111"/>
      <c r="BG159" s="111"/>
      <c r="BI159" s="111"/>
      <c r="BJ159" s="111"/>
      <c r="BK159" s="111"/>
      <c r="BL159" s="111"/>
      <c r="BM159" s="111"/>
      <c r="BN159" s="111"/>
      <c r="BO159" s="111"/>
      <c r="BP159" s="111"/>
      <c r="BQ159" s="111"/>
      <c r="BS159" s="111"/>
      <c r="BT159" s="111"/>
      <c r="BU159" s="111"/>
      <c r="BV159" s="111"/>
    </row>
    <row r="160" spans="17:74" x14ac:dyDescent="0.25"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111"/>
      <c r="AQ160" s="111"/>
      <c r="AR160" s="111"/>
      <c r="AS160" s="111"/>
      <c r="AT160" s="111"/>
      <c r="AX160" s="111"/>
      <c r="AY160" s="111"/>
      <c r="AZ160" s="111"/>
      <c r="BA160" s="111"/>
      <c r="BB160" s="111"/>
      <c r="BC160" s="111"/>
      <c r="BD160" s="111"/>
      <c r="BE160" s="111"/>
      <c r="BF160" s="111"/>
      <c r="BG160" s="111"/>
      <c r="BI160" s="111"/>
      <c r="BJ160" s="111"/>
      <c r="BK160" s="111"/>
      <c r="BL160" s="111"/>
      <c r="BM160" s="111"/>
      <c r="BN160" s="111"/>
      <c r="BO160" s="111"/>
      <c r="BP160" s="111"/>
      <c r="BQ160" s="111"/>
      <c r="BS160" s="111"/>
      <c r="BT160" s="111"/>
      <c r="BU160" s="111"/>
      <c r="BV160" s="111"/>
    </row>
    <row r="161" spans="17:74" x14ac:dyDescent="0.25"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  <c r="AT161" s="111"/>
      <c r="AX161" s="111"/>
      <c r="AY161" s="111"/>
      <c r="AZ161" s="111"/>
      <c r="BA161" s="111"/>
      <c r="BB161" s="111"/>
      <c r="BC161" s="111"/>
      <c r="BD161" s="111"/>
      <c r="BE161" s="111"/>
      <c r="BF161" s="111"/>
      <c r="BG161" s="111"/>
      <c r="BI161" s="111"/>
      <c r="BJ161" s="111"/>
      <c r="BK161" s="111"/>
      <c r="BL161" s="111"/>
      <c r="BM161" s="111"/>
      <c r="BN161" s="111"/>
      <c r="BO161" s="111"/>
      <c r="BP161" s="111"/>
      <c r="BQ161" s="111"/>
      <c r="BS161" s="111"/>
      <c r="BT161" s="111"/>
      <c r="BU161" s="111"/>
      <c r="BV161" s="111"/>
    </row>
    <row r="162" spans="17:74" x14ac:dyDescent="0.25"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P162" s="111"/>
      <c r="AQ162" s="111"/>
      <c r="AR162" s="111"/>
      <c r="AS162" s="111"/>
      <c r="AT162" s="111"/>
      <c r="AX162" s="111"/>
      <c r="AY162" s="111"/>
      <c r="AZ162" s="111"/>
      <c r="BA162" s="111"/>
      <c r="BB162" s="111"/>
      <c r="BC162" s="111"/>
      <c r="BD162" s="111"/>
      <c r="BE162" s="111"/>
      <c r="BF162" s="111"/>
      <c r="BG162" s="111"/>
      <c r="BI162" s="111"/>
      <c r="BJ162" s="111"/>
      <c r="BK162" s="111"/>
      <c r="BL162" s="111"/>
      <c r="BM162" s="111"/>
      <c r="BN162" s="111"/>
      <c r="BO162" s="111"/>
      <c r="BP162" s="111"/>
      <c r="BQ162" s="111"/>
      <c r="BS162" s="111"/>
      <c r="BT162" s="111"/>
      <c r="BU162" s="111"/>
      <c r="BV162" s="111"/>
    </row>
    <row r="163" spans="17:74" x14ac:dyDescent="0.25"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S163" s="111"/>
      <c r="BT163" s="111"/>
      <c r="BU163" s="111"/>
      <c r="BV163" s="111"/>
    </row>
    <row r="164" spans="17:74" x14ac:dyDescent="0.25"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  <c r="AP164" s="111"/>
      <c r="AQ164" s="111"/>
      <c r="AR164" s="111"/>
      <c r="AS164" s="111"/>
      <c r="AT164" s="111"/>
      <c r="AX164" s="111"/>
      <c r="AY164" s="111"/>
      <c r="AZ164" s="111"/>
      <c r="BA164" s="111"/>
      <c r="BB164" s="111"/>
      <c r="BC164" s="111"/>
      <c r="BD164" s="111"/>
      <c r="BE164" s="111"/>
      <c r="BF164" s="111"/>
      <c r="BG164" s="111"/>
      <c r="BI164" s="111"/>
      <c r="BJ164" s="111"/>
      <c r="BK164" s="111"/>
      <c r="BL164" s="111"/>
      <c r="BM164" s="111"/>
      <c r="BN164" s="111"/>
      <c r="BO164" s="111"/>
      <c r="BP164" s="111"/>
      <c r="BQ164" s="111"/>
      <c r="BS164" s="111"/>
      <c r="BT164" s="111"/>
      <c r="BU164" s="111"/>
      <c r="BV164" s="111"/>
    </row>
    <row r="165" spans="17:74" x14ac:dyDescent="0.25"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  <c r="AP165" s="111"/>
      <c r="AQ165" s="111"/>
      <c r="AR165" s="111"/>
      <c r="AS165" s="111"/>
      <c r="AT165" s="111"/>
      <c r="AX165" s="111"/>
      <c r="AY165" s="111"/>
      <c r="AZ165" s="111"/>
      <c r="BA165" s="111"/>
      <c r="BB165" s="111"/>
      <c r="BC165" s="111"/>
      <c r="BD165" s="111"/>
      <c r="BE165" s="111"/>
      <c r="BF165" s="111"/>
      <c r="BG165" s="111"/>
      <c r="BI165" s="111"/>
      <c r="BJ165" s="111"/>
      <c r="BK165" s="111"/>
      <c r="BL165" s="111"/>
      <c r="BM165" s="111"/>
      <c r="BN165" s="111"/>
      <c r="BO165" s="111"/>
      <c r="BP165" s="111"/>
      <c r="BQ165" s="111"/>
      <c r="BS165" s="111"/>
      <c r="BT165" s="111"/>
      <c r="BU165" s="111"/>
      <c r="BV165" s="111"/>
    </row>
    <row r="166" spans="17:74" x14ac:dyDescent="0.25"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  <c r="AP166" s="111"/>
      <c r="AQ166" s="111"/>
      <c r="AR166" s="111"/>
      <c r="AS166" s="111"/>
      <c r="AT166" s="111"/>
      <c r="AX166" s="111"/>
      <c r="AY166" s="111"/>
      <c r="AZ166" s="111"/>
      <c r="BA166" s="111"/>
      <c r="BB166" s="111"/>
      <c r="BC166" s="111"/>
      <c r="BD166" s="111"/>
      <c r="BE166" s="111"/>
      <c r="BF166" s="111"/>
      <c r="BG166" s="111"/>
      <c r="BI166" s="111"/>
      <c r="BJ166" s="111"/>
      <c r="BK166" s="111"/>
      <c r="BL166" s="111"/>
      <c r="BM166" s="111"/>
      <c r="BN166" s="111"/>
      <c r="BO166" s="111"/>
      <c r="BP166" s="111"/>
      <c r="BQ166" s="111"/>
      <c r="BS166" s="111"/>
      <c r="BT166" s="111"/>
      <c r="BU166" s="111"/>
      <c r="BV166" s="111"/>
    </row>
    <row r="167" spans="17:74" x14ac:dyDescent="0.25"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  <c r="AP167" s="111"/>
      <c r="AQ167" s="111"/>
      <c r="AR167" s="111"/>
      <c r="AS167" s="111"/>
      <c r="AT167" s="111"/>
      <c r="AX167" s="111"/>
      <c r="AY167" s="111"/>
      <c r="AZ167" s="111"/>
      <c r="BA167" s="111"/>
      <c r="BB167" s="111"/>
      <c r="BC167" s="111"/>
      <c r="BD167" s="111"/>
      <c r="BE167" s="111"/>
      <c r="BF167" s="111"/>
      <c r="BG167" s="111"/>
      <c r="BI167" s="111"/>
      <c r="BJ167" s="111"/>
      <c r="BK167" s="111"/>
      <c r="BL167" s="111"/>
      <c r="BM167" s="111"/>
      <c r="BN167" s="111"/>
      <c r="BO167" s="111"/>
      <c r="BP167" s="111"/>
      <c r="BQ167" s="111"/>
      <c r="BS167" s="111"/>
      <c r="BT167" s="111"/>
      <c r="BU167" s="111"/>
      <c r="BV167" s="111"/>
    </row>
    <row r="168" spans="17:74" x14ac:dyDescent="0.25"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  <c r="AP168" s="111"/>
      <c r="AQ168" s="111"/>
      <c r="AR168" s="111"/>
      <c r="AS168" s="111"/>
      <c r="AT168" s="111"/>
      <c r="AX168" s="111"/>
      <c r="AY168" s="111"/>
      <c r="AZ168" s="111"/>
      <c r="BA168" s="111"/>
      <c r="BB168" s="111"/>
      <c r="BC168" s="111"/>
      <c r="BD168" s="111"/>
      <c r="BE168" s="111"/>
      <c r="BF168" s="111"/>
      <c r="BG168" s="111"/>
      <c r="BI168" s="111"/>
      <c r="BJ168" s="111"/>
      <c r="BK168" s="111"/>
      <c r="BL168" s="111"/>
      <c r="BM168" s="111"/>
      <c r="BN168" s="111"/>
      <c r="BO168" s="111"/>
      <c r="BP168" s="111"/>
      <c r="BQ168" s="111"/>
      <c r="BS168" s="111"/>
      <c r="BT168" s="111"/>
      <c r="BU168" s="111"/>
      <c r="BV168" s="111"/>
    </row>
    <row r="169" spans="17:74" x14ac:dyDescent="0.25"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  <c r="AP169" s="111"/>
      <c r="AQ169" s="111"/>
      <c r="AR169" s="111"/>
      <c r="AS169" s="111"/>
      <c r="AT169" s="111"/>
      <c r="AX169" s="111"/>
      <c r="AY169" s="111"/>
      <c r="AZ169" s="111"/>
      <c r="BA169" s="111"/>
      <c r="BB169" s="111"/>
      <c r="BC169" s="111"/>
      <c r="BD169" s="111"/>
      <c r="BE169" s="111"/>
      <c r="BF169" s="111"/>
      <c r="BG169" s="111"/>
      <c r="BI169" s="111"/>
      <c r="BJ169" s="111"/>
      <c r="BK169" s="111"/>
      <c r="BL169" s="111"/>
      <c r="BM169" s="111"/>
      <c r="BN169" s="111"/>
      <c r="BO169" s="111"/>
      <c r="BP169" s="111"/>
      <c r="BQ169" s="111"/>
      <c r="BS169" s="111"/>
      <c r="BT169" s="111"/>
      <c r="BU169" s="111"/>
      <c r="BV169" s="111"/>
    </row>
    <row r="170" spans="17:74" x14ac:dyDescent="0.25"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  <c r="AP170" s="111"/>
      <c r="AQ170" s="111"/>
      <c r="AR170" s="111"/>
      <c r="AS170" s="111"/>
      <c r="AT170" s="111"/>
      <c r="AX170" s="111"/>
      <c r="AY170" s="111"/>
      <c r="AZ170" s="111"/>
      <c r="BA170" s="111"/>
      <c r="BB170" s="111"/>
      <c r="BC170" s="111"/>
      <c r="BD170" s="111"/>
      <c r="BE170" s="111"/>
      <c r="BF170" s="111"/>
      <c r="BG170" s="111"/>
      <c r="BI170" s="111"/>
      <c r="BJ170" s="111"/>
      <c r="BK170" s="111"/>
      <c r="BL170" s="111"/>
      <c r="BM170" s="111"/>
      <c r="BN170" s="111"/>
      <c r="BO170" s="111"/>
      <c r="BP170" s="111"/>
      <c r="BQ170" s="111"/>
      <c r="BS170" s="111"/>
      <c r="BT170" s="111"/>
      <c r="BU170" s="111"/>
      <c r="BV170" s="111"/>
    </row>
    <row r="171" spans="17:74" x14ac:dyDescent="0.25"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  <c r="AP171" s="111"/>
      <c r="AQ171" s="111"/>
      <c r="AR171" s="111"/>
      <c r="AS171" s="111"/>
      <c r="AT171" s="111"/>
      <c r="AX171" s="111"/>
      <c r="AY171" s="111"/>
      <c r="AZ171" s="111"/>
      <c r="BA171" s="111"/>
      <c r="BB171" s="111"/>
      <c r="BC171" s="111"/>
      <c r="BD171" s="111"/>
      <c r="BE171" s="111"/>
      <c r="BF171" s="111"/>
      <c r="BG171" s="111"/>
      <c r="BI171" s="111"/>
      <c r="BJ171" s="111"/>
      <c r="BK171" s="111"/>
      <c r="BL171" s="111"/>
      <c r="BM171" s="111"/>
      <c r="BN171" s="111"/>
      <c r="BO171" s="111"/>
      <c r="BP171" s="111"/>
      <c r="BQ171" s="111"/>
      <c r="BS171" s="111"/>
      <c r="BT171" s="111"/>
      <c r="BU171" s="111"/>
      <c r="BV171" s="111"/>
    </row>
    <row r="172" spans="17:74" x14ac:dyDescent="0.25"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  <c r="AP172" s="111"/>
      <c r="AQ172" s="111"/>
      <c r="AR172" s="111"/>
      <c r="AS172" s="111"/>
      <c r="AT172" s="111"/>
      <c r="AX172" s="111"/>
      <c r="AY172" s="111"/>
      <c r="AZ172" s="111"/>
      <c r="BA172" s="111"/>
      <c r="BB172" s="111"/>
      <c r="BC172" s="111"/>
      <c r="BD172" s="111"/>
      <c r="BE172" s="111"/>
      <c r="BF172" s="111"/>
      <c r="BG172" s="111"/>
      <c r="BI172" s="111"/>
      <c r="BJ172" s="111"/>
      <c r="BK172" s="111"/>
      <c r="BL172" s="111"/>
      <c r="BM172" s="111"/>
      <c r="BN172" s="111"/>
      <c r="BO172" s="111"/>
      <c r="BP172" s="111"/>
      <c r="BQ172" s="111"/>
      <c r="BS172" s="111"/>
      <c r="BT172" s="111"/>
      <c r="BU172" s="111"/>
      <c r="BV172" s="111"/>
    </row>
    <row r="173" spans="17:74" x14ac:dyDescent="0.25"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X173" s="111"/>
      <c r="AY173" s="111"/>
      <c r="AZ173" s="111"/>
      <c r="BA173" s="111"/>
      <c r="BB173" s="111"/>
      <c r="BC173" s="111"/>
      <c r="BD173" s="111"/>
      <c r="BE173" s="111"/>
      <c r="BF173" s="111"/>
      <c r="BG173" s="111"/>
      <c r="BI173" s="111"/>
      <c r="BJ173" s="111"/>
      <c r="BK173" s="111"/>
      <c r="BL173" s="111"/>
      <c r="BM173" s="111"/>
      <c r="BN173" s="111"/>
      <c r="BO173" s="111"/>
      <c r="BP173" s="111"/>
      <c r="BQ173" s="111"/>
      <c r="BS173" s="111"/>
      <c r="BT173" s="111"/>
      <c r="BU173" s="111"/>
      <c r="BV173" s="111"/>
    </row>
    <row r="174" spans="17:74" x14ac:dyDescent="0.25"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111"/>
      <c r="AQ174" s="111"/>
      <c r="AR174" s="111"/>
      <c r="AS174" s="111"/>
      <c r="AT174" s="111"/>
      <c r="AX174" s="111"/>
      <c r="AY174" s="111"/>
      <c r="AZ174" s="111"/>
      <c r="BA174" s="111"/>
      <c r="BB174" s="111"/>
      <c r="BC174" s="111"/>
      <c r="BD174" s="111"/>
      <c r="BE174" s="111"/>
      <c r="BF174" s="111"/>
      <c r="BG174" s="111"/>
      <c r="BI174" s="111"/>
      <c r="BJ174" s="111"/>
      <c r="BK174" s="111"/>
      <c r="BL174" s="111"/>
      <c r="BM174" s="111"/>
      <c r="BN174" s="111"/>
      <c r="BO174" s="111"/>
      <c r="BP174" s="111"/>
      <c r="BQ174" s="111"/>
      <c r="BS174" s="111"/>
      <c r="BT174" s="111"/>
      <c r="BU174" s="111"/>
      <c r="BV174" s="111"/>
    </row>
    <row r="175" spans="17:74" x14ac:dyDescent="0.25"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  <c r="AP175" s="111"/>
      <c r="AQ175" s="111"/>
      <c r="AR175" s="111"/>
      <c r="AS175" s="111"/>
      <c r="AT175" s="111"/>
      <c r="AX175" s="111"/>
      <c r="AY175" s="111"/>
      <c r="AZ175" s="111"/>
      <c r="BA175" s="111"/>
      <c r="BB175" s="111"/>
      <c r="BC175" s="111"/>
      <c r="BD175" s="111"/>
      <c r="BE175" s="111"/>
      <c r="BF175" s="111"/>
      <c r="BG175" s="111"/>
      <c r="BI175" s="111"/>
      <c r="BJ175" s="111"/>
      <c r="BK175" s="111"/>
      <c r="BL175" s="111"/>
      <c r="BM175" s="111"/>
      <c r="BN175" s="111"/>
      <c r="BO175" s="111"/>
      <c r="BP175" s="111"/>
      <c r="BQ175" s="111"/>
      <c r="BS175" s="111"/>
      <c r="BT175" s="111"/>
      <c r="BU175" s="111"/>
      <c r="BV175" s="111"/>
    </row>
    <row r="176" spans="17:74" x14ac:dyDescent="0.25"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  <c r="AP176" s="111"/>
      <c r="AQ176" s="111"/>
      <c r="AR176" s="111"/>
      <c r="AS176" s="111"/>
      <c r="AT176" s="111"/>
      <c r="AX176" s="111"/>
      <c r="AY176" s="111"/>
      <c r="AZ176" s="111"/>
      <c r="BA176" s="111"/>
      <c r="BB176" s="111"/>
      <c r="BC176" s="111"/>
      <c r="BD176" s="111"/>
      <c r="BE176" s="111"/>
      <c r="BF176" s="111"/>
      <c r="BG176" s="111"/>
      <c r="BI176" s="111"/>
      <c r="BJ176" s="111"/>
      <c r="BK176" s="111"/>
      <c r="BL176" s="111"/>
      <c r="BM176" s="111"/>
      <c r="BN176" s="111"/>
      <c r="BO176" s="111"/>
      <c r="BP176" s="111"/>
      <c r="BQ176" s="111"/>
      <c r="BS176" s="111"/>
      <c r="BT176" s="111"/>
      <c r="BU176" s="111"/>
      <c r="BV176" s="111"/>
    </row>
    <row r="177" spans="17:74" x14ac:dyDescent="0.25"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  <c r="AP177" s="111"/>
      <c r="AQ177" s="111"/>
      <c r="AR177" s="111"/>
      <c r="AS177" s="111"/>
      <c r="AT177" s="111"/>
      <c r="AX177" s="111"/>
      <c r="AY177" s="111"/>
      <c r="AZ177" s="111"/>
      <c r="BA177" s="111"/>
      <c r="BB177" s="111"/>
      <c r="BC177" s="111"/>
      <c r="BD177" s="111"/>
      <c r="BE177" s="111"/>
      <c r="BF177" s="111"/>
      <c r="BG177" s="111"/>
      <c r="BI177" s="111"/>
      <c r="BJ177" s="111"/>
      <c r="BK177" s="111"/>
      <c r="BL177" s="111"/>
      <c r="BM177" s="111"/>
      <c r="BN177" s="111"/>
      <c r="BO177" s="111"/>
      <c r="BP177" s="111"/>
      <c r="BQ177" s="111"/>
      <c r="BS177" s="111"/>
      <c r="BT177" s="111"/>
      <c r="BU177" s="111"/>
      <c r="BV177" s="111"/>
    </row>
    <row r="178" spans="17:74" x14ac:dyDescent="0.25"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P178" s="111"/>
      <c r="AQ178" s="111"/>
      <c r="AR178" s="111"/>
      <c r="AS178" s="111"/>
      <c r="AT178" s="111"/>
      <c r="AX178" s="111"/>
      <c r="AY178" s="111"/>
      <c r="AZ178" s="111"/>
      <c r="BA178" s="111"/>
      <c r="BB178" s="111"/>
      <c r="BC178" s="111"/>
      <c r="BD178" s="111"/>
      <c r="BE178" s="111"/>
      <c r="BF178" s="111"/>
      <c r="BG178" s="111"/>
      <c r="BI178" s="111"/>
      <c r="BJ178" s="111"/>
      <c r="BK178" s="111"/>
      <c r="BL178" s="111"/>
      <c r="BM178" s="111"/>
      <c r="BN178" s="111"/>
      <c r="BO178" s="111"/>
      <c r="BP178" s="111"/>
      <c r="BQ178" s="111"/>
      <c r="BS178" s="111"/>
      <c r="BT178" s="111"/>
      <c r="BU178" s="111"/>
      <c r="BV178" s="111"/>
    </row>
    <row r="179" spans="17:74" x14ac:dyDescent="0.25"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P179" s="111"/>
      <c r="AQ179" s="111"/>
      <c r="AR179" s="111"/>
      <c r="AS179" s="111"/>
      <c r="AT179" s="111"/>
      <c r="AX179" s="111"/>
      <c r="AY179" s="111"/>
      <c r="AZ179" s="111"/>
      <c r="BA179" s="111"/>
      <c r="BB179" s="111"/>
      <c r="BC179" s="111"/>
      <c r="BD179" s="111"/>
      <c r="BE179" s="111"/>
      <c r="BF179" s="111"/>
      <c r="BG179" s="111"/>
      <c r="BI179" s="111"/>
      <c r="BJ179" s="111"/>
      <c r="BK179" s="111"/>
      <c r="BL179" s="111"/>
      <c r="BM179" s="111"/>
      <c r="BN179" s="111"/>
      <c r="BO179" s="111"/>
      <c r="BP179" s="111"/>
      <c r="BQ179" s="111"/>
      <c r="BS179" s="111"/>
      <c r="BT179" s="111"/>
      <c r="BU179" s="111"/>
      <c r="BV179" s="111"/>
    </row>
    <row r="180" spans="17:74" x14ac:dyDescent="0.25"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  <c r="AP180" s="111"/>
      <c r="AQ180" s="111"/>
      <c r="AR180" s="111"/>
      <c r="AS180" s="111"/>
      <c r="AT180" s="111"/>
      <c r="AX180" s="111"/>
      <c r="AY180" s="111"/>
      <c r="AZ180" s="111"/>
      <c r="BA180" s="111"/>
      <c r="BB180" s="111"/>
      <c r="BC180" s="111"/>
      <c r="BD180" s="111"/>
      <c r="BE180" s="111"/>
      <c r="BF180" s="111"/>
      <c r="BG180" s="111"/>
      <c r="BI180" s="111"/>
      <c r="BJ180" s="111"/>
      <c r="BK180" s="111"/>
      <c r="BL180" s="111"/>
      <c r="BM180" s="111"/>
      <c r="BN180" s="111"/>
      <c r="BO180" s="111"/>
      <c r="BP180" s="111"/>
      <c r="BQ180" s="111"/>
      <c r="BS180" s="111"/>
      <c r="BT180" s="111"/>
      <c r="BU180" s="111"/>
      <c r="BV180" s="111"/>
    </row>
    <row r="181" spans="17:74" x14ac:dyDescent="0.25"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  <c r="AP181" s="111"/>
      <c r="AQ181" s="111"/>
      <c r="AR181" s="111"/>
      <c r="AS181" s="111"/>
      <c r="AT181" s="111"/>
      <c r="AX181" s="111"/>
      <c r="AY181" s="111"/>
      <c r="AZ181" s="111"/>
      <c r="BA181" s="111"/>
      <c r="BB181" s="111"/>
      <c r="BC181" s="111"/>
      <c r="BD181" s="111"/>
      <c r="BE181" s="111"/>
      <c r="BF181" s="111"/>
      <c r="BG181" s="111"/>
      <c r="BI181" s="111"/>
      <c r="BJ181" s="111"/>
      <c r="BK181" s="111"/>
      <c r="BL181" s="111"/>
      <c r="BM181" s="111"/>
      <c r="BN181" s="111"/>
      <c r="BO181" s="111"/>
      <c r="BP181" s="111"/>
      <c r="BQ181" s="111"/>
      <c r="BS181" s="111"/>
      <c r="BT181" s="111"/>
      <c r="BU181" s="111"/>
      <c r="BV181" s="111"/>
    </row>
    <row r="182" spans="17:74" x14ac:dyDescent="0.25"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  <c r="AP182" s="111"/>
      <c r="AQ182" s="111"/>
      <c r="AR182" s="111"/>
      <c r="AS182" s="111"/>
      <c r="AT182" s="111"/>
      <c r="AX182" s="111"/>
      <c r="AY182" s="111"/>
      <c r="AZ182" s="111"/>
      <c r="BA182" s="111"/>
      <c r="BB182" s="111"/>
      <c r="BC182" s="111"/>
      <c r="BD182" s="111"/>
      <c r="BE182" s="111"/>
      <c r="BF182" s="111"/>
      <c r="BG182" s="111"/>
      <c r="BI182" s="111"/>
      <c r="BJ182" s="111"/>
      <c r="BK182" s="111"/>
      <c r="BL182" s="111"/>
      <c r="BM182" s="111"/>
      <c r="BN182" s="111"/>
      <c r="BO182" s="111"/>
      <c r="BP182" s="111"/>
      <c r="BQ182" s="111"/>
      <c r="BS182" s="111"/>
      <c r="BT182" s="111"/>
      <c r="BU182" s="111"/>
      <c r="BV182" s="111"/>
    </row>
    <row r="183" spans="17:74" x14ac:dyDescent="0.25"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  <c r="AP183" s="111"/>
      <c r="AQ183" s="111"/>
      <c r="AR183" s="111"/>
      <c r="AS183" s="111"/>
      <c r="AT183" s="111"/>
      <c r="AX183" s="111"/>
      <c r="AY183" s="111"/>
      <c r="AZ183" s="111"/>
      <c r="BA183" s="111"/>
      <c r="BB183" s="111"/>
      <c r="BC183" s="111"/>
      <c r="BD183" s="111"/>
      <c r="BE183" s="111"/>
      <c r="BF183" s="111"/>
      <c r="BG183" s="111"/>
      <c r="BI183" s="111"/>
      <c r="BJ183" s="111"/>
      <c r="BK183" s="111"/>
      <c r="BL183" s="111"/>
      <c r="BM183" s="111"/>
      <c r="BN183" s="111"/>
      <c r="BO183" s="111"/>
      <c r="BP183" s="111"/>
      <c r="BQ183" s="111"/>
      <c r="BS183" s="111"/>
      <c r="BT183" s="111"/>
      <c r="BU183" s="111"/>
      <c r="BV183" s="111"/>
    </row>
    <row r="184" spans="17:74" x14ac:dyDescent="0.25"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  <c r="AP184" s="111"/>
      <c r="AQ184" s="111"/>
      <c r="AR184" s="111"/>
      <c r="AS184" s="111"/>
      <c r="AT184" s="111"/>
      <c r="AX184" s="111"/>
      <c r="AY184" s="111"/>
      <c r="AZ184" s="111"/>
      <c r="BA184" s="111"/>
      <c r="BB184" s="111"/>
      <c r="BC184" s="111"/>
      <c r="BD184" s="111"/>
      <c r="BE184" s="111"/>
      <c r="BF184" s="111"/>
      <c r="BG184" s="111"/>
      <c r="BI184" s="111"/>
      <c r="BJ184" s="111"/>
      <c r="BK184" s="111"/>
      <c r="BL184" s="111"/>
      <c r="BM184" s="111"/>
      <c r="BN184" s="111"/>
      <c r="BO184" s="111"/>
      <c r="BP184" s="111"/>
      <c r="BQ184" s="111"/>
      <c r="BS184" s="111"/>
      <c r="BT184" s="111"/>
      <c r="BU184" s="111"/>
      <c r="BV184" s="111"/>
    </row>
    <row r="185" spans="17:74" x14ac:dyDescent="0.25"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  <c r="AC185" s="111"/>
      <c r="AD185" s="111"/>
      <c r="AE185" s="111"/>
      <c r="AF185" s="111"/>
      <c r="AG185" s="111"/>
      <c r="AH185" s="111"/>
      <c r="AI185" s="111"/>
      <c r="AJ185" s="111"/>
      <c r="AK185" s="111"/>
      <c r="AL185" s="111"/>
      <c r="AM185" s="111"/>
      <c r="AN185" s="111"/>
      <c r="AO185" s="111"/>
      <c r="AP185" s="111"/>
      <c r="AQ185" s="111"/>
      <c r="AR185" s="111"/>
      <c r="AS185" s="111"/>
      <c r="AT185" s="111"/>
      <c r="AX185" s="111"/>
      <c r="AY185" s="111"/>
      <c r="AZ185" s="111"/>
      <c r="BA185" s="111"/>
      <c r="BB185" s="111"/>
      <c r="BC185" s="111"/>
      <c r="BD185" s="111"/>
      <c r="BE185" s="111"/>
      <c r="BF185" s="111"/>
      <c r="BG185" s="111"/>
      <c r="BI185" s="111"/>
      <c r="BJ185" s="111"/>
      <c r="BK185" s="111"/>
      <c r="BL185" s="111"/>
      <c r="BM185" s="111"/>
      <c r="BN185" s="111"/>
      <c r="BO185" s="111"/>
      <c r="BP185" s="111"/>
      <c r="BQ185" s="111"/>
      <c r="BS185" s="111"/>
      <c r="BT185" s="111"/>
      <c r="BU185" s="111"/>
      <c r="BV185" s="111"/>
    </row>
    <row r="186" spans="17:74" x14ac:dyDescent="0.25"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111"/>
      <c r="AB186" s="111"/>
      <c r="AC186" s="111"/>
      <c r="AD186" s="111"/>
      <c r="AE186" s="111"/>
      <c r="AF186" s="111"/>
      <c r="AG186" s="111"/>
      <c r="AH186" s="111"/>
      <c r="AI186" s="111"/>
      <c r="AJ186" s="111"/>
      <c r="AK186" s="111"/>
      <c r="AL186" s="111"/>
      <c r="AM186" s="111"/>
      <c r="AN186" s="111"/>
      <c r="AO186" s="111"/>
      <c r="AP186" s="111"/>
      <c r="AQ186" s="111"/>
      <c r="AR186" s="111"/>
      <c r="AS186" s="111"/>
      <c r="AT186" s="111"/>
      <c r="AX186" s="111"/>
      <c r="AY186" s="111"/>
      <c r="AZ186" s="111"/>
      <c r="BA186" s="111"/>
      <c r="BB186" s="111"/>
      <c r="BC186" s="111"/>
      <c r="BD186" s="111"/>
      <c r="BE186" s="111"/>
      <c r="BF186" s="111"/>
      <c r="BG186" s="111"/>
      <c r="BI186" s="111"/>
      <c r="BJ186" s="111"/>
      <c r="BK186" s="111"/>
      <c r="BL186" s="111"/>
      <c r="BM186" s="111"/>
      <c r="BN186" s="111"/>
      <c r="BO186" s="111"/>
      <c r="BP186" s="111"/>
      <c r="BQ186" s="111"/>
      <c r="BS186" s="111"/>
      <c r="BT186" s="111"/>
      <c r="BU186" s="111"/>
      <c r="BV186" s="111"/>
    </row>
    <row r="187" spans="17:74" x14ac:dyDescent="0.25"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  <c r="AP187" s="111"/>
      <c r="AQ187" s="111"/>
      <c r="AR187" s="111"/>
      <c r="AS187" s="111"/>
      <c r="AT187" s="111"/>
      <c r="AX187" s="111"/>
      <c r="AY187" s="111"/>
      <c r="AZ187" s="111"/>
      <c r="BA187" s="111"/>
      <c r="BB187" s="111"/>
      <c r="BC187" s="111"/>
      <c r="BD187" s="111"/>
      <c r="BE187" s="111"/>
      <c r="BF187" s="111"/>
      <c r="BG187" s="111"/>
      <c r="BI187" s="111"/>
      <c r="BJ187" s="111"/>
      <c r="BK187" s="111"/>
      <c r="BL187" s="111"/>
      <c r="BM187" s="111"/>
      <c r="BN187" s="111"/>
      <c r="BO187" s="111"/>
      <c r="BP187" s="111"/>
      <c r="BQ187" s="111"/>
      <c r="BS187" s="111"/>
      <c r="BT187" s="111"/>
      <c r="BU187" s="111"/>
      <c r="BV187" s="111"/>
    </row>
    <row r="188" spans="17:74" x14ac:dyDescent="0.25"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  <c r="AP188" s="111"/>
      <c r="AQ188" s="111"/>
      <c r="AR188" s="111"/>
      <c r="AS188" s="111"/>
      <c r="AT188" s="111"/>
      <c r="AX188" s="111"/>
      <c r="AY188" s="111"/>
      <c r="AZ188" s="111"/>
      <c r="BA188" s="111"/>
      <c r="BB188" s="111"/>
      <c r="BC188" s="111"/>
      <c r="BD188" s="111"/>
      <c r="BE188" s="111"/>
      <c r="BF188" s="111"/>
      <c r="BG188" s="111"/>
      <c r="BI188" s="111"/>
      <c r="BJ188" s="111"/>
      <c r="BK188" s="111"/>
      <c r="BL188" s="111"/>
      <c r="BM188" s="111"/>
      <c r="BN188" s="111"/>
      <c r="BO188" s="111"/>
      <c r="BP188" s="111"/>
      <c r="BQ188" s="111"/>
      <c r="BS188" s="111"/>
      <c r="BT188" s="111"/>
      <c r="BU188" s="111"/>
      <c r="BV188" s="111"/>
    </row>
    <row r="189" spans="17:74" x14ac:dyDescent="0.25"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  <c r="AP189" s="111"/>
      <c r="AQ189" s="111"/>
      <c r="AR189" s="111"/>
      <c r="AS189" s="111"/>
      <c r="AT189" s="111"/>
      <c r="AX189" s="111"/>
      <c r="AY189" s="111"/>
      <c r="AZ189" s="111"/>
      <c r="BA189" s="111"/>
      <c r="BB189" s="111"/>
      <c r="BC189" s="111"/>
      <c r="BD189" s="111"/>
      <c r="BE189" s="111"/>
      <c r="BF189" s="111"/>
      <c r="BG189" s="111"/>
      <c r="BI189" s="111"/>
      <c r="BJ189" s="111"/>
      <c r="BK189" s="111"/>
      <c r="BL189" s="111"/>
      <c r="BM189" s="111"/>
      <c r="BN189" s="111"/>
      <c r="BO189" s="111"/>
      <c r="BP189" s="111"/>
      <c r="BQ189" s="111"/>
      <c r="BS189" s="111"/>
      <c r="BT189" s="111"/>
      <c r="BU189" s="111"/>
      <c r="BV189" s="111"/>
    </row>
    <row r="190" spans="17:74" x14ac:dyDescent="0.25"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  <c r="AP190" s="111"/>
      <c r="AQ190" s="111"/>
      <c r="AR190" s="111"/>
      <c r="AS190" s="111"/>
      <c r="AT190" s="111"/>
      <c r="AX190" s="111"/>
      <c r="AY190" s="111"/>
      <c r="AZ190" s="111"/>
      <c r="BA190" s="111"/>
      <c r="BB190" s="111"/>
      <c r="BC190" s="111"/>
      <c r="BD190" s="111"/>
      <c r="BE190" s="111"/>
      <c r="BF190" s="111"/>
      <c r="BG190" s="111"/>
      <c r="BI190" s="111"/>
      <c r="BJ190" s="111"/>
      <c r="BK190" s="111"/>
      <c r="BL190" s="111"/>
      <c r="BM190" s="111"/>
      <c r="BN190" s="111"/>
      <c r="BO190" s="111"/>
      <c r="BP190" s="111"/>
      <c r="BQ190" s="111"/>
      <c r="BS190" s="111"/>
      <c r="BT190" s="111"/>
      <c r="BU190" s="111"/>
      <c r="BV190" s="111"/>
    </row>
    <row r="191" spans="17:74" x14ac:dyDescent="0.25"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  <c r="AP191" s="111"/>
      <c r="AQ191" s="111"/>
      <c r="AR191" s="111"/>
      <c r="AS191" s="111"/>
      <c r="AT191" s="111"/>
      <c r="AX191" s="111"/>
      <c r="AY191" s="111"/>
      <c r="AZ191" s="111"/>
      <c r="BA191" s="111"/>
      <c r="BB191" s="111"/>
      <c r="BC191" s="111"/>
      <c r="BD191" s="111"/>
      <c r="BE191" s="111"/>
      <c r="BF191" s="111"/>
      <c r="BG191" s="111"/>
      <c r="BI191" s="111"/>
      <c r="BJ191" s="111"/>
      <c r="BK191" s="111"/>
      <c r="BL191" s="111"/>
      <c r="BM191" s="111"/>
      <c r="BN191" s="111"/>
      <c r="BO191" s="111"/>
      <c r="BP191" s="111"/>
      <c r="BQ191" s="111"/>
      <c r="BS191" s="111"/>
      <c r="BT191" s="111"/>
      <c r="BU191" s="111"/>
      <c r="BV191" s="111"/>
    </row>
    <row r="192" spans="17:74" x14ac:dyDescent="0.25"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  <c r="AP192" s="111"/>
      <c r="AQ192" s="111"/>
      <c r="AR192" s="111"/>
      <c r="AS192" s="111"/>
      <c r="AT192" s="111"/>
      <c r="AX192" s="111"/>
      <c r="AY192" s="111"/>
      <c r="AZ192" s="111"/>
      <c r="BA192" s="111"/>
      <c r="BB192" s="111"/>
      <c r="BC192" s="111"/>
      <c r="BD192" s="111"/>
      <c r="BE192" s="111"/>
      <c r="BF192" s="111"/>
      <c r="BG192" s="111"/>
      <c r="BI192" s="111"/>
      <c r="BJ192" s="111"/>
      <c r="BK192" s="111"/>
      <c r="BL192" s="111"/>
      <c r="BM192" s="111"/>
      <c r="BN192" s="111"/>
      <c r="BO192" s="111"/>
      <c r="BP192" s="111"/>
      <c r="BQ192" s="111"/>
      <c r="BS192" s="111"/>
      <c r="BT192" s="111"/>
      <c r="BU192" s="111"/>
      <c r="BV192" s="111"/>
    </row>
    <row r="193" spans="17:74" x14ac:dyDescent="0.25"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  <c r="AP193" s="111"/>
      <c r="AQ193" s="111"/>
      <c r="AR193" s="111"/>
      <c r="AS193" s="111"/>
      <c r="AT193" s="111"/>
      <c r="AX193" s="111"/>
      <c r="AY193" s="111"/>
      <c r="AZ193" s="111"/>
      <c r="BA193" s="111"/>
      <c r="BB193" s="111"/>
      <c r="BC193" s="111"/>
      <c r="BD193" s="111"/>
      <c r="BE193" s="111"/>
      <c r="BF193" s="111"/>
      <c r="BG193" s="111"/>
      <c r="BI193" s="111"/>
      <c r="BJ193" s="111"/>
      <c r="BK193" s="111"/>
      <c r="BL193" s="111"/>
      <c r="BM193" s="111"/>
      <c r="BN193" s="111"/>
      <c r="BO193" s="111"/>
      <c r="BP193" s="111"/>
      <c r="BQ193" s="111"/>
      <c r="BS193" s="111"/>
      <c r="BT193" s="111"/>
      <c r="BU193" s="111"/>
      <c r="BV193" s="111"/>
    </row>
    <row r="194" spans="17:74" x14ac:dyDescent="0.25"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  <c r="AP194" s="111"/>
      <c r="AQ194" s="111"/>
      <c r="AR194" s="111"/>
      <c r="AS194" s="111"/>
      <c r="AT194" s="111"/>
      <c r="AX194" s="111"/>
      <c r="AY194" s="111"/>
      <c r="AZ194" s="111"/>
      <c r="BA194" s="111"/>
      <c r="BB194" s="111"/>
      <c r="BC194" s="111"/>
      <c r="BD194" s="111"/>
      <c r="BE194" s="111"/>
      <c r="BF194" s="111"/>
      <c r="BG194" s="111"/>
      <c r="BI194" s="111"/>
      <c r="BJ194" s="111"/>
      <c r="BK194" s="111"/>
      <c r="BL194" s="111"/>
      <c r="BM194" s="111"/>
      <c r="BN194" s="111"/>
      <c r="BO194" s="111"/>
      <c r="BP194" s="111"/>
      <c r="BQ194" s="111"/>
      <c r="BS194" s="111"/>
      <c r="BT194" s="111"/>
      <c r="BU194" s="111"/>
      <c r="BV194" s="111"/>
    </row>
    <row r="195" spans="17:74" x14ac:dyDescent="0.25"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  <c r="AP195" s="111"/>
      <c r="AQ195" s="111"/>
      <c r="AR195" s="111"/>
      <c r="AS195" s="111"/>
      <c r="AT195" s="111"/>
      <c r="AX195" s="111"/>
      <c r="AY195" s="111"/>
      <c r="AZ195" s="111"/>
      <c r="BA195" s="111"/>
      <c r="BB195" s="111"/>
      <c r="BC195" s="111"/>
      <c r="BD195" s="111"/>
      <c r="BE195" s="111"/>
      <c r="BF195" s="111"/>
      <c r="BG195" s="111"/>
      <c r="BI195" s="111"/>
      <c r="BJ195" s="111"/>
      <c r="BK195" s="111"/>
      <c r="BL195" s="111"/>
      <c r="BM195" s="111"/>
      <c r="BN195" s="111"/>
      <c r="BO195" s="111"/>
      <c r="BP195" s="111"/>
      <c r="BQ195" s="111"/>
      <c r="BS195" s="111"/>
      <c r="BT195" s="111"/>
      <c r="BU195" s="111"/>
      <c r="BV195" s="111"/>
    </row>
    <row r="196" spans="17:74" x14ac:dyDescent="0.25"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11"/>
      <c r="AC196" s="111"/>
      <c r="AD196" s="111"/>
      <c r="AE196" s="111"/>
      <c r="AF196" s="111"/>
      <c r="AG196" s="111"/>
      <c r="AH196" s="111"/>
      <c r="AI196" s="111"/>
      <c r="AJ196" s="111"/>
      <c r="AK196" s="111"/>
      <c r="AL196" s="111"/>
      <c r="AM196" s="111"/>
      <c r="AN196" s="111"/>
      <c r="AO196" s="111"/>
      <c r="AP196" s="111"/>
      <c r="AQ196" s="111"/>
      <c r="AR196" s="111"/>
      <c r="AS196" s="111"/>
      <c r="AT196" s="111"/>
      <c r="AX196" s="111"/>
      <c r="AY196" s="111"/>
      <c r="AZ196" s="111"/>
      <c r="BA196" s="111"/>
      <c r="BB196" s="111"/>
      <c r="BC196" s="111"/>
      <c r="BD196" s="111"/>
      <c r="BE196" s="111"/>
      <c r="BF196" s="111"/>
      <c r="BG196" s="111"/>
      <c r="BI196" s="111"/>
      <c r="BJ196" s="111"/>
      <c r="BK196" s="111"/>
      <c r="BL196" s="111"/>
      <c r="BM196" s="111"/>
      <c r="BN196" s="111"/>
      <c r="BO196" s="111"/>
      <c r="BP196" s="111"/>
      <c r="BQ196" s="111"/>
      <c r="BS196" s="111"/>
      <c r="BT196" s="111"/>
      <c r="BU196" s="111"/>
      <c r="BV196" s="111"/>
    </row>
    <row r="197" spans="17:74" x14ac:dyDescent="0.25"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  <c r="AP197" s="111"/>
      <c r="AQ197" s="111"/>
      <c r="AR197" s="111"/>
      <c r="AS197" s="111"/>
      <c r="AT197" s="111"/>
      <c r="AX197" s="111"/>
      <c r="AY197" s="111"/>
      <c r="AZ197" s="111"/>
      <c r="BA197" s="111"/>
      <c r="BB197" s="111"/>
      <c r="BC197" s="111"/>
      <c r="BD197" s="111"/>
      <c r="BE197" s="111"/>
      <c r="BF197" s="111"/>
      <c r="BG197" s="111"/>
      <c r="BI197" s="111"/>
      <c r="BJ197" s="111"/>
      <c r="BK197" s="111"/>
      <c r="BL197" s="111"/>
      <c r="BM197" s="111"/>
      <c r="BN197" s="111"/>
      <c r="BO197" s="111"/>
      <c r="BP197" s="111"/>
      <c r="BQ197" s="111"/>
      <c r="BS197" s="111"/>
      <c r="BT197" s="111"/>
      <c r="BU197" s="111"/>
      <c r="BV197" s="111"/>
    </row>
    <row r="198" spans="17:74" x14ac:dyDescent="0.25"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  <c r="AP198" s="111"/>
      <c r="AQ198" s="111"/>
      <c r="AR198" s="111"/>
      <c r="AS198" s="111"/>
      <c r="AT198" s="111"/>
      <c r="AX198" s="111"/>
      <c r="AY198" s="111"/>
      <c r="AZ198" s="111"/>
      <c r="BA198" s="111"/>
      <c r="BB198" s="111"/>
      <c r="BC198" s="111"/>
      <c r="BD198" s="111"/>
      <c r="BE198" s="111"/>
      <c r="BF198" s="111"/>
      <c r="BG198" s="111"/>
      <c r="BI198" s="111"/>
      <c r="BJ198" s="111"/>
      <c r="BK198" s="111"/>
      <c r="BL198" s="111"/>
      <c r="BM198" s="111"/>
      <c r="BN198" s="111"/>
      <c r="BO198" s="111"/>
      <c r="BP198" s="111"/>
      <c r="BQ198" s="111"/>
      <c r="BS198" s="111"/>
      <c r="BT198" s="111"/>
      <c r="BU198" s="111"/>
      <c r="BV198" s="111"/>
    </row>
    <row r="199" spans="17:74" x14ac:dyDescent="0.25"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  <c r="AP199" s="111"/>
      <c r="AQ199" s="111"/>
      <c r="AR199" s="111"/>
      <c r="AS199" s="111"/>
      <c r="AT199" s="111"/>
      <c r="AX199" s="111"/>
      <c r="AY199" s="111"/>
      <c r="AZ199" s="111"/>
      <c r="BA199" s="111"/>
      <c r="BB199" s="111"/>
      <c r="BC199" s="111"/>
      <c r="BD199" s="111"/>
      <c r="BE199" s="111"/>
      <c r="BF199" s="111"/>
      <c r="BG199" s="111"/>
      <c r="BI199" s="111"/>
      <c r="BJ199" s="111"/>
      <c r="BK199" s="111"/>
      <c r="BL199" s="111"/>
      <c r="BM199" s="111"/>
      <c r="BN199" s="111"/>
      <c r="BO199" s="111"/>
      <c r="BP199" s="111"/>
      <c r="BQ199" s="111"/>
      <c r="BS199" s="111"/>
      <c r="BT199" s="111"/>
      <c r="BU199" s="111"/>
      <c r="BV199" s="111"/>
    </row>
    <row r="200" spans="17:74" x14ac:dyDescent="0.25"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  <c r="AP200" s="111"/>
      <c r="AQ200" s="111"/>
      <c r="AR200" s="111"/>
      <c r="AS200" s="111"/>
      <c r="AT200" s="111"/>
      <c r="AX200" s="111"/>
      <c r="AY200" s="111"/>
      <c r="AZ200" s="111"/>
      <c r="BA200" s="111"/>
      <c r="BB200" s="111"/>
      <c r="BC200" s="111"/>
      <c r="BD200" s="111"/>
      <c r="BE200" s="111"/>
      <c r="BF200" s="111"/>
      <c r="BG200" s="111"/>
      <c r="BI200" s="111"/>
      <c r="BJ200" s="111"/>
      <c r="BK200" s="111"/>
      <c r="BL200" s="111"/>
      <c r="BM200" s="111"/>
      <c r="BN200" s="111"/>
      <c r="BO200" s="111"/>
      <c r="BP200" s="111"/>
      <c r="BQ200" s="111"/>
      <c r="BS200" s="111"/>
      <c r="BT200" s="111"/>
      <c r="BU200" s="111"/>
      <c r="BV200" s="111"/>
    </row>
    <row r="201" spans="17:74" x14ac:dyDescent="0.25"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  <c r="AP201" s="111"/>
      <c r="AQ201" s="111"/>
      <c r="AR201" s="111"/>
      <c r="AS201" s="111"/>
      <c r="AT201" s="111"/>
      <c r="AX201" s="111"/>
      <c r="AY201" s="111"/>
      <c r="AZ201" s="111"/>
      <c r="BA201" s="111"/>
      <c r="BB201" s="111"/>
      <c r="BC201" s="111"/>
      <c r="BD201" s="111"/>
      <c r="BE201" s="111"/>
      <c r="BF201" s="111"/>
      <c r="BG201" s="111"/>
      <c r="BI201" s="111"/>
      <c r="BJ201" s="111"/>
      <c r="BK201" s="111"/>
      <c r="BL201" s="111"/>
      <c r="BM201" s="111"/>
      <c r="BN201" s="111"/>
      <c r="BO201" s="111"/>
      <c r="BP201" s="111"/>
      <c r="BQ201" s="111"/>
      <c r="BS201" s="111"/>
      <c r="BT201" s="111"/>
      <c r="BU201" s="111"/>
      <c r="BV201" s="111"/>
    </row>
    <row r="202" spans="17:74" x14ac:dyDescent="0.25"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P202" s="111"/>
      <c r="AQ202" s="111"/>
      <c r="AR202" s="111"/>
      <c r="AS202" s="111"/>
      <c r="AT202" s="111"/>
      <c r="AX202" s="111"/>
      <c r="AY202" s="111"/>
      <c r="AZ202" s="111"/>
      <c r="BA202" s="111"/>
      <c r="BB202" s="111"/>
      <c r="BC202" s="111"/>
      <c r="BD202" s="111"/>
      <c r="BE202" s="111"/>
      <c r="BF202" s="111"/>
      <c r="BG202" s="111"/>
      <c r="BI202" s="111"/>
      <c r="BJ202" s="111"/>
      <c r="BK202" s="111"/>
      <c r="BL202" s="111"/>
      <c r="BM202" s="111"/>
      <c r="BN202" s="111"/>
      <c r="BO202" s="111"/>
      <c r="BP202" s="111"/>
      <c r="BQ202" s="111"/>
      <c r="BS202" s="111"/>
      <c r="BT202" s="111"/>
      <c r="BU202" s="111"/>
      <c r="BV202" s="111"/>
    </row>
    <row r="203" spans="17:74" x14ac:dyDescent="0.25"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P203" s="111"/>
      <c r="AQ203" s="111"/>
      <c r="AR203" s="111"/>
      <c r="AS203" s="111"/>
      <c r="AT203" s="111"/>
      <c r="AX203" s="111"/>
      <c r="AY203" s="111"/>
      <c r="AZ203" s="111"/>
      <c r="BA203" s="111"/>
      <c r="BB203" s="111"/>
      <c r="BC203" s="111"/>
      <c r="BD203" s="111"/>
      <c r="BE203" s="111"/>
      <c r="BF203" s="111"/>
      <c r="BG203" s="111"/>
      <c r="BI203" s="111"/>
      <c r="BJ203" s="111"/>
      <c r="BK203" s="111"/>
      <c r="BL203" s="111"/>
      <c r="BM203" s="111"/>
      <c r="BN203" s="111"/>
      <c r="BO203" s="111"/>
      <c r="BP203" s="111"/>
      <c r="BQ203" s="111"/>
      <c r="BS203" s="111"/>
      <c r="BT203" s="111"/>
      <c r="BU203" s="111"/>
      <c r="BV203" s="111"/>
    </row>
    <row r="204" spans="17:74" x14ac:dyDescent="0.25"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  <c r="AP204" s="111"/>
      <c r="AQ204" s="111"/>
      <c r="AR204" s="111"/>
      <c r="AS204" s="111"/>
      <c r="AT204" s="111"/>
      <c r="AX204" s="111"/>
      <c r="AY204" s="111"/>
      <c r="AZ204" s="111"/>
      <c r="BA204" s="111"/>
      <c r="BB204" s="111"/>
      <c r="BC204" s="111"/>
      <c r="BD204" s="111"/>
      <c r="BE204" s="111"/>
      <c r="BF204" s="111"/>
      <c r="BG204" s="111"/>
      <c r="BI204" s="111"/>
      <c r="BJ204" s="111"/>
      <c r="BK204" s="111"/>
      <c r="BL204" s="111"/>
      <c r="BM204" s="111"/>
      <c r="BN204" s="111"/>
      <c r="BO204" s="111"/>
      <c r="BP204" s="111"/>
      <c r="BQ204" s="111"/>
      <c r="BS204" s="111"/>
      <c r="BT204" s="111"/>
      <c r="BU204" s="111"/>
      <c r="BV204" s="111"/>
    </row>
    <row r="205" spans="17:74" x14ac:dyDescent="0.25"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  <c r="AP205" s="111"/>
      <c r="AQ205" s="111"/>
      <c r="AR205" s="111"/>
      <c r="AS205" s="111"/>
      <c r="AT205" s="111"/>
      <c r="AX205" s="111"/>
      <c r="AY205" s="111"/>
      <c r="AZ205" s="111"/>
      <c r="BA205" s="111"/>
      <c r="BB205" s="111"/>
      <c r="BC205" s="111"/>
      <c r="BD205" s="111"/>
      <c r="BE205" s="111"/>
      <c r="BF205" s="111"/>
      <c r="BG205" s="111"/>
      <c r="BI205" s="111"/>
      <c r="BJ205" s="111"/>
      <c r="BK205" s="111"/>
      <c r="BL205" s="111"/>
      <c r="BM205" s="111"/>
      <c r="BN205" s="111"/>
      <c r="BO205" s="111"/>
      <c r="BP205" s="111"/>
      <c r="BQ205" s="111"/>
      <c r="BS205" s="111"/>
      <c r="BT205" s="111"/>
      <c r="BU205" s="111"/>
      <c r="BV205" s="111"/>
    </row>
    <row r="206" spans="17:74" x14ac:dyDescent="0.25"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  <c r="AC206" s="111"/>
      <c r="AD206" s="111"/>
      <c r="AE206" s="111"/>
      <c r="AF206" s="111"/>
      <c r="AG206" s="111"/>
      <c r="AH206" s="111"/>
      <c r="AI206" s="111"/>
      <c r="AJ206" s="111"/>
      <c r="AK206" s="111"/>
      <c r="AL206" s="111"/>
      <c r="AM206" s="111"/>
      <c r="AN206" s="111"/>
      <c r="AO206" s="111"/>
      <c r="AP206" s="111"/>
      <c r="AQ206" s="111"/>
      <c r="AR206" s="111"/>
      <c r="AS206" s="111"/>
      <c r="AT206" s="111"/>
      <c r="AX206" s="111"/>
      <c r="AY206" s="111"/>
      <c r="AZ206" s="111"/>
      <c r="BA206" s="111"/>
      <c r="BB206" s="111"/>
      <c r="BC206" s="111"/>
      <c r="BD206" s="111"/>
      <c r="BE206" s="111"/>
      <c r="BF206" s="111"/>
      <c r="BG206" s="111"/>
      <c r="BI206" s="111"/>
      <c r="BJ206" s="111"/>
      <c r="BK206" s="111"/>
      <c r="BL206" s="111"/>
      <c r="BM206" s="111"/>
      <c r="BN206" s="111"/>
      <c r="BO206" s="111"/>
      <c r="BP206" s="111"/>
      <c r="BQ206" s="111"/>
      <c r="BS206" s="111"/>
      <c r="BT206" s="111"/>
      <c r="BU206" s="111"/>
      <c r="BV206" s="111"/>
    </row>
    <row r="207" spans="17:74" x14ac:dyDescent="0.25"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  <c r="AC207" s="111"/>
      <c r="AD207" s="111"/>
      <c r="AE207" s="111"/>
      <c r="AF207" s="111"/>
      <c r="AG207" s="111"/>
      <c r="AH207" s="111"/>
      <c r="AI207" s="111"/>
      <c r="AJ207" s="111"/>
      <c r="AK207" s="111"/>
      <c r="AL207" s="111"/>
      <c r="AM207" s="111"/>
      <c r="AN207" s="111"/>
      <c r="AO207" s="111"/>
      <c r="AP207" s="111"/>
      <c r="AQ207" s="111"/>
      <c r="AR207" s="111"/>
      <c r="AS207" s="111"/>
      <c r="AT207" s="111"/>
      <c r="AX207" s="111"/>
      <c r="AY207" s="111"/>
      <c r="AZ207" s="111"/>
      <c r="BA207" s="111"/>
      <c r="BB207" s="111"/>
      <c r="BC207" s="111"/>
      <c r="BD207" s="111"/>
      <c r="BE207" s="111"/>
      <c r="BF207" s="111"/>
      <c r="BG207" s="111"/>
      <c r="BI207" s="111"/>
      <c r="BJ207" s="111"/>
      <c r="BK207" s="111"/>
      <c r="BL207" s="111"/>
      <c r="BM207" s="111"/>
      <c r="BN207" s="111"/>
      <c r="BO207" s="111"/>
      <c r="BP207" s="111"/>
      <c r="BQ207" s="111"/>
      <c r="BS207" s="111"/>
      <c r="BT207" s="111"/>
      <c r="BU207" s="111"/>
      <c r="BV207" s="111"/>
    </row>
    <row r="208" spans="17:74" x14ac:dyDescent="0.25"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  <c r="AP208" s="111"/>
      <c r="AQ208" s="111"/>
      <c r="AR208" s="111"/>
      <c r="AS208" s="111"/>
      <c r="AT208" s="111"/>
      <c r="AX208" s="111"/>
      <c r="AY208" s="111"/>
      <c r="AZ208" s="111"/>
      <c r="BA208" s="111"/>
      <c r="BB208" s="111"/>
      <c r="BC208" s="111"/>
      <c r="BD208" s="111"/>
      <c r="BE208" s="111"/>
      <c r="BF208" s="111"/>
      <c r="BG208" s="111"/>
      <c r="BI208" s="111"/>
      <c r="BJ208" s="111"/>
      <c r="BK208" s="111"/>
      <c r="BL208" s="111"/>
      <c r="BM208" s="111"/>
      <c r="BN208" s="111"/>
      <c r="BO208" s="111"/>
      <c r="BP208" s="111"/>
      <c r="BQ208" s="111"/>
      <c r="BS208" s="111"/>
      <c r="BT208" s="111"/>
      <c r="BU208" s="111"/>
      <c r="BV208" s="111"/>
    </row>
    <row r="209" spans="17:74" x14ac:dyDescent="0.25"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  <c r="AP209" s="111"/>
      <c r="AQ209" s="111"/>
      <c r="AR209" s="111"/>
      <c r="AS209" s="111"/>
      <c r="AT209" s="111"/>
      <c r="AX209" s="111"/>
      <c r="AY209" s="111"/>
      <c r="AZ209" s="111"/>
      <c r="BA209" s="111"/>
      <c r="BB209" s="111"/>
      <c r="BC209" s="111"/>
      <c r="BD209" s="111"/>
      <c r="BE209" s="111"/>
      <c r="BF209" s="111"/>
      <c r="BG209" s="111"/>
      <c r="BI209" s="111"/>
      <c r="BJ209" s="111"/>
      <c r="BK209" s="111"/>
      <c r="BL209" s="111"/>
      <c r="BM209" s="111"/>
      <c r="BN209" s="111"/>
      <c r="BO209" s="111"/>
      <c r="BP209" s="111"/>
      <c r="BQ209" s="111"/>
      <c r="BS209" s="111"/>
      <c r="BT209" s="111"/>
      <c r="BU209" s="111"/>
      <c r="BV209" s="111"/>
    </row>
    <row r="210" spans="17:74" x14ac:dyDescent="0.25"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  <c r="AP210" s="111"/>
      <c r="AQ210" s="111"/>
      <c r="AR210" s="111"/>
      <c r="AS210" s="111"/>
      <c r="AT210" s="111"/>
      <c r="AX210" s="111"/>
      <c r="AY210" s="111"/>
      <c r="AZ210" s="111"/>
      <c r="BA210" s="111"/>
      <c r="BB210" s="111"/>
      <c r="BC210" s="111"/>
      <c r="BD210" s="111"/>
      <c r="BE210" s="111"/>
      <c r="BF210" s="111"/>
      <c r="BG210" s="111"/>
      <c r="BI210" s="111"/>
      <c r="BJ210" s="111"/>
      <c r="BK210" s="111"/>
      <c r="BL210" s="111"/>
      <c r="BM210" s="111"/>
      <c r="BN210" s="111"/>
      <c r="BO210" s="111"/>
      <c r="BP210" s="111"/>
      <c r="BQ210" s="111"/>
      <c r="BS210" s="111"/>
      <c r="BT210" s="111"/>
      <c r="BU210" s="111"/>
      <c r="BV210" s="111"/>
    </row>
    <row r="211" spans="17:74" x14ac:dyDescent="0.25"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P211" s="111"/>
      <c r="AQ211" s="111"/>
      <c r="AR211" s="111"/>
      <c r="AS211" s="111"/>
      <c r="AT211" s="111"/>
      <c r="AX211" s="111"/>
      <c r="AY211" s="111"/>
      <c r="AZ211" s="111"/>
      <c r="BA211" s="111"/>
      <c r="BB211" s="111"/>
      <c r="BC211" s="111"/>
      <c r="BD211" s="111"/>
      <c r="BE211" s="111"/>
      <c r="BF211" s="111"/>
      <c r="BG211" s="111"/>
      <c r="BI211" s="111"/>
      <c r="BJ211" s="111"/>
      <c r="BK211" s="111"/>
      <c r="BL211" s="111"/>
      <c r="BM211" s="111"/>
      <c r="BN211" s="111"/>
      <c r="BO211" s="111"/>
      <c r="BP211" s="111"/>
      <c r="BQ211" s="111"/>
      <c r="BS211" s="111"/>
      <c r="BT211" s="111"/>
      <c r="BU211" s="111"/>
      <c r="BV211" s="111"/>
    </row>
    <row r="212" spans="17:74" x14ac:dyDescent="0.25"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P212" s="111"/>
      <c r="AQ212" s="111"/>
      <c r="AR212" s="111"/>
      <c r="AS212" s="111"/>
      <c r="AT212" s="111"/>
      <c r="AX212" s="111"/>
      <c r="AY212" s="111"/>
      <c r="AZ212" s="111"/>
      <c r="BA212" s="111"/>
      <c r="BB212" s="111"/>
      <c r="BC212" s="111"/>
      <c r="BD212" s="111"/>
      <c r="BE212" s="111"/>
      <c r="BF212" s="111"/>
      <c r="BG212" s="111"/>
      <c r="BI212" s="111"/>
      <c r="BJ212" s="111"/>
      <c r="BK212" s="111"/>
      <c r="BL212" s="111"/>
      <c r="BM212" s="111"/>
      <c r="BN212" s="111"/>
      <c r="BO212" s="111"/>
      <c r="BP212" s="111"/>
      <c r="BQ212" s="111"/>
      <c r="BS212" s="111"/>
      <c r="BT212" s="111"/>
      <c r="BU212" s="111"/>
      <c r="BV212" s="111"/>
    </row>
    <row r="213" spans="17:74" x14ac:dyDescent="0.25"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  <c r="AP213" s="111"/>
      <c r="AQ213" s="111"/>
      <c r="AR213" s="111"/>
      <c r="AS213" s="111"/>
      <c r="AT213" s="111"/>
      <c r="AX213" s="111"/>
      <c r="AY213" s="111"/>
      <c r="AZ213" s="111"/>
      <c r="BA213" s="111"/>
      <c r="BB213" s="111"/>
      <c r="BC213" s="111"/>
      <c r="BD213" s="111"/>
      <c r="BE213" s="111"/>
      <c r="BF213" s="111"/>
      <c r="BG213" s="111"/>
      <c r="BI213" s="111"/>
      <c r="BJ213" s="111"/>
      <c r="BK213" s="111"/>
      <c r="BL213" s="111"/>
      <c r="BM213" s="111"/>
      <c r="BN213" s="111"/>
      <c r="BO213" s="111"/>
      <c r="BP213" s="111"/>
      <c r="BQ213" s="111"/>
      <c r="BS213" s="111"/>
      <c r="BT213" s="111"/>
      <c r="BU213" s="111"/>
      <c r="BV213" s="111"/>
    </row>
    <row r="214" spans="17:74" x14ac:dyDescent="0.25"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  <c r="AQ214" s="111"/>
      <c r="AR214" s="111"/>
      <c r="AS214" s="111"/>
      <c r="AT214" s="111"/>
      <c r="AX214" s="111"/>
      <c r="AY214" s="111"/>
      <c r="AZ214" s="111"/>
      <c r="BA214" s="111"/>
      <c r="BB214" s="111"/>
      <c r="BC214" s="111"/>
      <c r="BD214" s="111"/>
      <c r="BE214" s="111"/>
      <c r="BF214" s="111"/>
      <c r="BG214" s="111"/>
      <c r="BI214" s="111"/>
      <c r="BJ214" s="111"/>
      <c r="BK214" s="111"/>
      <c r="BL214" s="111"/>
      <c r="BM214" s="111"/>
      <c r="BN214" s="111"/>
      <c r="BO214" s="111"/>
      <c r="BP214" s="111"/>
      <c r="BQ214" s="111"/>
      <c r="BS214" s="111"/>
      <c r="BT214" s="111"/>
      <c r="BU214" s="111"/>
      <c r="BV214" s="111"/>
    </row>
    <row r="215" spans="17:74" x14ac:dyDescent="0.25"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  <c r="AQ215" s="111"/>
      <c r="AR215" s="111"/>
      <c r="AS215" s="111"/>
      <c r="AT215" s="111"/>
      <c r="AX215" s="111"/>
      <c r="AY215" s="111"/>
      <c r="AZ215" s="111"/>
      <c r="BA215" s="111"/>
      <c r="BB215" s="111"/>
      <c r="BC215" s="111"/>
      <c r="BD215" s="111"/>
      <c r="BE215" s="111"/>
      <c r="BF215" s="111"/>
      <c r="BG215" s="111"/>
      <c r="BI215" s="111"/>
      <c r="BJ215" s="111"/>
      <c r="BK215" s="111"/>
      <c r="BL215" s="111"/>
      <c r="BM215" s="111"/>
      <c r="BN215" s="111"/>
      <c r="BO215" s="111"/>
      <c r="BP215" s="111"/>
      <c r="BQ215" s="111"/>
      <c r="BS215" s="111"/>
      <c r="BT215" s="111"/>
      <c r="BU215" s="111"/>
      <c r="BV215" s="111"/>
    </row>
    <row r="216" spans="17:74" x14ac:dyDescent="0.25"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  <c r="AQ216" s="111"/>
      <c r="AR216" s="111"/>
      <c r="AS216" s="111"/>
      <c r="AT216" s="111"/>
      <c r="AX216" s="111"/>
      <c r="AY216" s="111"/>
      <c r="AZ216" s="111"/>
      <c r="BA216" s="111"/>
      <c r="BB216" s="111"/>
      <c r="BC216" s="111"/>
      <c r="BD216" s="111"/>
      <c r="BE216" s="111"/>
      <c r="BF216" s="111"/>
      <c r="BG216" s="111"/>
      <c r="BI216" s="111"/>
      <c r="BJ216" s="111"/>
      <c r="BK216" s="111"/>
      <c r="BL216" s="111"/>
      <c r="BM216" s="111"/>
      <c r="BN216" s="111"/>
      <c r="BO216" s="111"/>
      <c r="BP216" s="111"/>
      <c r="BQ216" s="111"/>
      <c r="BS216" s="111"/>
      <c r="BT216" s="111"/>
      <c r="BU216" s="111"/>
      <c r="BV216" s="111"/>
    </row>
    <row r="217" spans="17:74" x14ac:dyDescent="0.25"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  <c r="AQ217" s="111"/>
      <c r="AR217" s="111"/>
      <c r="AS217" s="111"/>
      <c r="AT217" s="111"/>
      <c r="AX217" s="111"/>
      <c r="AY217" s="111"/>
      <c r="AZ217" s="111"/>
      <c r="BA217" s="111"/>
      <c r="BB217" s="111"/>
      <c r="BC217" s="111"/>
      <c r="BD217" s="111"/>
      <c r="BE217" s="111"/>
      <c r="BF217" s="111"/>
      <c r="BG217" s="111"/>
      <c r="BI217" s="111"/>
      <c r="BJ217" s="111"/>
      <c r="BK217" s="111"/>
      <c r="BL217" s="111"/>
      <c r="BM217" s="111"/>
      <c r="BN217" s="111"/>
      <c r="BO217" s="111"/>
      <c r="BP217" s="111"/>
      <c r="BQ217" s="111"/>
      <c r="BS217" s="111"/>
      <c r="BT217" s="111"/>
      <c r="BU217" s="111"/>
      <c r="BV217" s="111"/>
    </row>
    <row r="218" spans="17:74" x14ac:dyDescent="0.25"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  <c r="AQ218" s="111"/>
      <c r="AR218" s="111"/>
      <c r="AS218" s="111"/>
      <c r="AT218" s="111"/>
      <c r="AX218" s="111"/>
      <c r="AY218" s="111"/>
      <c r="AZ218" s="111"/>
      <c r="BA218" s="111"/>
      <c r="BB218" s="111"/>
      <c r="BC218" s="111"/>
      <c r="BD218" s="111"/>
      <c r="BE218" s="111"/>
      <c r="BF218" s="111"/>
      <c r="BG218" s="111"/>
      <c r="BI218" s="111"/>
      <c r="BJ218" s="111"/>
      <c r="BK218" s="111"/>
      <c r="BL218" s="111"/>
      <c r="BM218" s="111"/>
      <c r="BN218" s="111"/>
      <c r="BO218" s="111"/>
      <c r="BP218" s="111"/>
      <c r="BQ218" s="111"/>
      <c r="BS218" s="111"/>
      <c r="BT218" s="111"/>
      <c r="BU218" s="111"/>
      <c r="BV218" s="111"/>
    </row>
    <row r="219" spans="17:74" x14ac:dyDescent="0.25"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  <c r="AQ219" s="111"/>
      <c r="AR219" s="111"/>
      <c r="AS219" s="111"/>
      <c r="AT219" s="111"/>
      <c r="AX219" s="111"/>
      <c r="AY219" s="111"/>
      <c r="AZ219" s="111"/>
      <c r="BA219" s="111"/>
      <c r="BB219" s="111"/>
      <c r="BC219" s="111"/>
      <c r="BD219" s="111"/>
      <c r="BE219" s="111"/>
      <c r="BF219" s="111"/>
      <c r="BG219" s="111"/>
      <c r="BI219" s="111"/>
      <c r="BJ219" s="111"/>
      <c r="BK219" s="111"/>
      <c r="BL219" s="111"/>
      <c r="BM219" s="111"/>
      <c r="BN219" s="111"/>
      <c r="BO219" s="111"/>
      <c r="BP219" s="111"/>
      <c r="BQ219" s="111"/>
      <c r="BS219" s="111"/>
      <c r="BT219" s="111"/>
      <c r="BU219" s="111"/>
      <c r="BV219" s="111"/>
    </row>
    <row r="220" spans="17:74" x14ac:dyDescent="0.25"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  <c r="AQ220" s="111"/>
      <c r="AR220" s="111"/>
      <c r="AS220" s="111"/>
      <c r="AT220" s="111"/>
      <c r="AX220" s="111"/>
      <c r="AY220" s="111"/>
      <c r="AZ220" s="111"/>
      <c r="BA220" s="111"/>
      <c r="BB220" s="111"/>
      <c r="BC220" s="111"/>
      <c r="BD220" s="111"/>
      <c r="BE220" s="111"/>
      <c r="BF220" s="111"/>
      <c r="BG220" s="111"/>
      <c r="BI220" s="111"/>
      <c r="BJ220" s="111"/>
      <c r="BK220" s="111"/>
      <c r="BL220" s="111"/>
      <c r="BM220" s="111"/>
      <c r="BN220" s="111"/>
      <c r="BO220" s="111"/>
      <c r="BP220" s="111"/>
      <c r="BQ220" s="111"/>
      <c r="BS220" s="111"/>
      <c r="BT220" s="111"/>
      <c r="BU220" s="111"/>
      <c r="BV220" s="111"/>
    </row>
    <row r="221" spans="17:74" x14ac:dyDescent="0.25"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  <c r="AQ221" s="111"/>
      <c r="AR221" s="111"/>
      <c r="AS221" s="111"/>
      <c r="AT221" s="111"/>
      <c r="AX221" s="111"/>
      <c r="AY221" s="111"/>
      <c r="AZ221" s="111"/>
      <c r="BA221" s="111"/>
      <c r="BB221" s="111"/>
      <c r="BC221" s="111"/>
      <c r="BD221" s="111"/>
      <c r="BE221" s="111"/>
      <c r="BF221" s="111"/>
      <c r="BG221" s="111"/>
      <c r="BI221" s="111"/>
      <c r="BJ221" s="111"/>
      <c r="BK221" s="111"/>
      <c r="BL221" s="111"/>
      <c r="BM221" s="111"/>
      <c r="BN221" s="111"/>
      <c r="BO221" s="111"/>
      <c r="BP221" s="111"/>
      <c r="BQ221" s="111"/>
      <c r="BS221" s="111"/>
      <c r="BT221" s="111"/>
      <c r="BU221" s="111"/>
      <c r="BV221" s="111"/>
    </row>
    <row r="222" spans="17:74" x14ac:dyDescent="0.25"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  <c r="AQ222" s="111"/>
      <c r="AR222" s="111"/>
      <c r="AS222" s="111"/>
      <c r="AT222" s="111"/>
      <c r="AX222" s="111"/>
      <c r="AY222" s="111"/>
      <c r="AZ222" s="111"/>
      <c r="BA222" s="111"/>
      <c r="BB222" s="111"/>
      <c r="BC222" s="111"/>
      <c r="BD222" s="111"/>
      <c r="BE222" s="111"/>
      <c r="BF222" s="111"/>
      <c r="BG222" s="111"/>
      <c r="BI222" s="111"/>
      <c r="BJ222" s="111"/>
      <c r="BK222" s="111"/>
      <c r="BL222" s="111"/>
      <c r="BM222" s="111"/>
      <c r="BN222" s="111"/>
      <c r="BO222" s="111"/>
      <c r="BP222" s="111"/>
      <c r="BQ222" s="111"/>
      <c r="BS222" s="111"/>
      <c r="BT222" s="111"/>
      <c r="BU222" s="111"/>
      <c r="BV222" s="111"/>
    </row>
    <row r="223" spans="17:74" x14ac:dyDescent="0.25"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  <c r="AQ223" s="111"/>
      <c r="AR223" s="111"/>
      <c r="AS223" s="111"/>
      <c r="AT223" s="111"/>
      <c r="AX223" s="111"/>
      <c r="AY223" s="111"/>
      <c r="AZ223" s="111"/>
      <c r="BA223" s="111"/>
      <c r="BB223" s="111"/>
      <c r="BC223" s="111"/>
      <c r="BD223" s="111"/>
      <c r="BE223" s="111"/>
      <c r="BF223" s="111"/>
      <c r="BG223" s="111"/>
      <c r="BI223" s="111"/>
      <c r="BJ223" s="111"/>
      <c r="BK223" s="111"/>
      <c r="BL223" s="111"/>
      <c r="BM223" s="111"/>
      <c r="BN223" s="111"/>
      <c r="BO223" s="111"/>
      <c r="BP223" s="111"/>
      <c r="BQ223" s="111"/>
      <c r="BS223" s="111"/>
      <c r="BT223" s="111"/>
      <c r="BU223" s="111"/>
      <c r="BV223" s="111"/>
    </row>
    <row r="224" spans="17:74" x14ac:dyDescent="0.25"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  <c r="AQ224" s="111"/>
      <c r="AR224" s="111"/>
      <c r="AS224" s="111"/>
      <c r="AT224" s="111"/>
      <c r="AX224" s="111"/>
      <c r="AY224" s="111"/>
      <c r="AZ224" s="111"/>
      <c r="BA224" s="111"/>
      <c r="BB224" s="111"/>
      <c r="BC224" s="111"/>
      <c r="BD224" s="111"/>
      <c r="BE224" s="111"/>
      <c r="BF224" s="111"/>
      <c r="BG224" s="111"/>
      <c r="BI224" s="111"/>
      <c r="BJ224" s="111"/>
      <c r="BK224" s="111"/>
      <c r="BL224" s="111"/>
      <c r="BM224" s="111"/>
      <c r="BN224" s="111"/>
      <c r="BO224" s="111"/>
      <c r="BP224" s="111"/>
      <c r="BQ224" s="111"/>
      <c r="BS224" s="111"/>
      <c r="BT224" s="111"/>
      <c r="BU224" s="111"/>
      <c r="BV224" s="111"/>
    </row>
    <row r="225" spans="17:74" x14ac:dyDescent="0.25"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  <c r="AQ225" s="111"/>
      <c r="AR225" s="111"/>
      <c r="AS225" s="111"/>
      <c r="AT225" s="111"/>
      <c r="AX225" s="111"/>
      <c r="AY225" s="111"/>
      <c r="AZ225" s="111"/>
      <c r="BA225" s="111"/>
      <c r="BB225" s="111"/>
      <c r="BC225" s="111"/>
      <c r="BD225" s="111"/>
      <c r="BE225" s="111"/>
      <c r="BF225" s="111"/>
      <c r="BG225" s="111"/>
      <c r="BI225" s="111"/>
      <c r="BJ225" s="111"/>
      <c r="BK225" s="111"/>
      <c r="BL225" s="111"/>
      <c r="BM225" s="111"/>
      <c r="BN225" s="111"/>
      <c r="BO225" s="111"/>
      <c r="BP225" s="111"/>
      <c r="BQ225" s="111"/>
      <c r="BS225" s="111"/>
      <c r="BT225" s="111"/>
      <c r="BU225" s="111"/>
      <c r="BV225" s="111"/>
    </row>
    <row r="226" spans="17:74" x14ac:dyDescent="0.25"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  <c r="AQ226" s="111"/>
      <c r="AR226" s="111"/>
      <c r="AS226" s="111"/>
      <c r="AT226" s="111"/>
      <c r="AX226" s="111"/>
      <c r="AY226" s="111"/>
      <c r="AZ226" s="111"/>
      <c r="BA226" s="111"/>
      <c r="BB226" s="111"/>
      <c r="BC226" s="111"/>
      <c r="BD226" s="111"/>
      <c r="BE226" s="111"/>
      <c r="BF226" s="111"/>
      <c r="BG226" s="111"/>
      <c r="BI226" s="111"/>
      <c r="BJ226" s="111"/>
      <c r="BK226" s="111"/>
      <c r="BL226" s="111"/>
      <c r="BM226" s="111"/>
      <c r="BN226" s="111"/>
      <c r="BO226" s="111"/>
      <c r="BP226" s="111"/>
      <c r="BQ226" s="111"/>
      <c r="BS226" s="111"/>
      <c r="BT226" s="111"/>
      <c r="BU226" s="111"/>
      <c r="BV226" s="111"/>
    </row>
    <row r="227" spans="17:74" x14ac:dyDescent="0.25"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  <c r="AQ227" s="111"/>
      <c r="AR227" s="111"/>
      <c r="AS227" s="111"/>
      <c r="AT227" s="111"/>
      <c r="AX227" s="111"/>
      <c r="AY227" s="111"/>
      <c r="AZ227" s="111"/>
      <c r="BA227" s="111"/>
      <c r="BB227" s="111"/>
      <c r="BC227" s="111"/>
      <c r="BD227" s="111"/>
      <c r="BE227" s="111"/>
      <c r="BF227" s="111"/>
      <c r="BG227" s="111"/>
      <c r="BI227" s="111"/>
      <c r="BJ227" s="111"/>
      <c r="BK227" s="111"/>
      <c r="BL227" s="111"/>
      <c r="BM227" s="111"/>
      <c r="BN227" s="111"/>
      <c r="BO227" s="111"/>
      <c r="BP227" s="111"/>
      <c r="BQ227" s="111"/>
      <c r="BS227" s="111"/>
      <c r="BT227" s="111"/>
      <c r="BU227" s="111"/>
      <c r="BV227" s="111"/>
    </row>
    <row r="228" spans="17:74" x14ac:dyDescent="0.25"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  <c r="AQ228" s="111"/>
      <c r="AR228" s="111"/>
      <c r="AS228" s="111"/>
      <c r="AT228" s="111"/>
      <c r="AX228" s="111"/>
      <c r="AY228" s="111"/>
      <c r="AZ228" s="111"/>
      <c r="BA228" s="111"/>
      <c r="BB228" s="111"/>
      <c r="BC228" s="111"/>
      <c r="BD228" s="111"/>
      <c r="BE228" s="111"/>
      <c r="BF228" s="111"/>
      <c r="BG228" s="111"/>
      <c r="BI228" s="111"/>
      <c r="BJ228" s="111"/>
      <c r="BK228" s="111"/>
      <c r="BL228" s="111"/>
      <c r="BM228" s="111"/>
      <c r="BN228" s="111"/>
      <c r="BO228" s="111"/>
      <c r="BP228" s="111"/>
      <c r="BQ228" s="111"/>
      <c r="BS228" s="111"/>
      <c r="BT228" s="111"/>
      <c r="BU228" s="111"/>
      <c r="BV228" s="111"/>
    </row>
    <row r="229" spans="17:74" x14ac:dyDescent="0.25"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  <c r="AQ229" s="111"/>
      <c r="AR229" s="111"/>
      <c r="AS229" s="111"/>
      <c r="AT229" s="111"/>
      <c r="AX229" s="111"/>
      <c r="AY229" s="111"/>
      <c r="AZ229" s="111"/>
      <c r="BA229" s="111"/>
      <c r="BB229" s="111"/>
      <c r="BC229" s="111"/>
      <c r="BD229" s="111"/>
      <c r="BE229" s="111"/>
      <c r="BF229" s="111"/>
      <c r="BG229" s="111"/>
      <c r="BI229" s="111"/>
      <c r="BJ229" s="111"/>
      <c r="BK229" s="111"/>
      <c r="BL229" s="111"/>
      <c r="BM229" s="111"/>
      <c r="BN229" s="111"/>
      <c r="BO229" s="111"/>
      <c r="BP229" s="111"/>
      <c r="BQ229" s="111"/>
      <c r="BS229" s="111"/>
      <c r="BT229" s="111"/>
      <c r="BU229" s="111"/>
      <c r="BV229" s="111"/>
    </row>
    <row r="230" spans="17:74" x14ac:dyDescent="0.25"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  <c r="AQ230" s="111"/>
      <c r="AR230" s="111"/>
      <c r="AS230" s="111"/>
      <c r="AT230" s="111"/>
      <c r="AX230" s="111"/>
      <c r="AY230" s="111"/>
      <c r="AZ230" s="111"/>
      <c r="BA230" s="111"/>
      <c r="BB230" s="111"/>
      <c r="BC230" s="111"/>
      <c r="BD230" s="111"/>
      <c r="BE230" s="111"/>
      <c r="BF230" s="111"/>
      <c r="BG230" s="111"/>
      <c r="BI230" s="111"/>
      <c r="BJ230" s="111"/>
      <c r="BK230" s="111"/>
      <c r="BL230" s="111"/>
      <c r="BM230" s="111"/>
      <c r="BN230" s="111"/>
      <c r="BO230" s="111"/>
      <c r="BP230" s="111"/>
      <c r="BQ230" s="111"/>
      <c r="BS230" s="111"/>
      <c r="BT230" s="111"/>
      <c r="BU230" s="111"/>
      <c r="BV230" s="111"/>
    </row>
    <row r="231" spans="17:74" x14ac:dyDescent="0.25"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  <c r="AQ231" s="111"/>
      <c r="AR231" s="111"/>
      <c r="AS231" s="111"/>
      <c r="AT231" s="111"/>
      <c r="AX231" s="111"/>
      <c r="AY231" s="111"/>
      <c r="AZ231" s="111"/>
      <c r="BA231" s="111"/>
      <c r="BB231" s="111"/>
      <c r="BC231" s="111"/>
      <c r="BD231" s="111"/>
      <c r="BE231" s="111"/>
      <c r="BF231" s="111"/>
      <c r="BG231" s="111"/>
      <c r="BI231" s="111"/>
      <c r="BJ231" s="111"/>
      <c r="BK231" s="111"/>
      <c r="BL231" s="111"/>
      <c r="BM231" s="111"/>
      <c r="BN231" s="111"/>
      <c r="BO231" s="111"/>
      <c r="BP231" s="111"/>
      <c r="BQ231" s="111"/>
      <c r="BS231" s="111"/>
      <c r="BT231" s="111"/>
      <c r="BU231" s="111"/>
      <c r="BV231" s="111"/>
    </row>
    <row r="232" spans="17:74" x14ac:dyDescent="0.25"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  <c r="AQ232" s="111"/>
      <c r="AR232" s="111"/>
      <c r="AS232" s="111"/>
      <c r="AT232" s="111"/>
      <c r="AX232" s="111"/>
      <c r="AY232" s="111"/>
      <c r="AZ232" s="111"/>
      <c r="BA232" s="111"/>
      <c r="BB232" s="111"/>
      <c r="BC232" s="111"/>
      <c r="BD232" s="111"/>
      <c r="BE232" s="111"/>
      <c r="BF232" s="111"/>
      <c r="BG232" s="111"/>
      <c r="BI232" s="111"/>
      <c r="BJ232" s="111"/>
      <c r="BK232" s="111"/>
      <c r="BL232" s="111"/>
      <c r="BM232" s="111"/>
      <c r="BN232" s="111"/>
      <c r="BO232" s="111"/>
      <c r="BP232" s="111"/>
      <c r="BQ232" s="111"/>
      <c r="BS232" s="111"/>
      <c r="BT232" s="111"/>
      <c r="BU232" s="111"/>
      <c r="BV232" s="111"/>
    </row>
    <row r="233" spans="17:74" x14ac:dyDescent="0.25"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  <c r="AQ233" s="111"/>
      <c r="AR233" s="111"/>
      <c r="AS233" s="111"/>
      <c r="AT233" s="111"/>
      <c r="AX233" s="111"/>
      <c r="AY233" s="111"/>
      <c r="AZ233" s="111"/>
      <c r="BA233" s="111"/>
      <c r="BB233" s="111"/>
      <c r="BC233" s="111"/>
      <c r="BD233" s="111"/>
      <c r="BE233" s="111"/>
      <c r="BF233" s="111"/>
      <c r="BG233" s="111"/>
      <c r="BI233" s="111"/>
      <c r="BJ233" s="111"/>
      <c r="BK233" s="111"/>
      <c r="BL233" s="111"/>
      <c r="BM233" s="111"/>
      <c r="BN233" s="111"/>
      <c r="BO233" s="111"/>
      <c r="BP233" s="111"/>
      <c r="BQ233" s="111"/>
      <c r="BS233" s="111"/>
      <c r="BT233" s="111"/>
      <c r="BU233" s="111"/>
      <c r="BV233" s="111"/>
    </row>
    <row r="234" spans="17:74" x14ac:dyDescent="0.25"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  <c r="AQ234" s="111"/>
      <c r="AR234" s="111"/>
      <c r="AS234" s="111"/>
      <c r="AT234" s="111"/>
      <c r="AX234" s="111"/>
      <c r="AY234" s="111"/>
      <c r="AZ234" s="111"/>
      <c r="BA234" s="111"/>
      <c r="BB234" s="111"/>
      <c r="BC234" s="111"/>
      <c r="BD234" s="111"/>
      <c r="BE234" s="111"/>
      <c r="BF234" s="111"/>
      <c r="BG234" s="111"/>
      <c r="BI234" s="111"/>
      <c r="BJ234" s="111"/>
      <c r="BK234" s="111"/>
      <c r="BL234" s="111"/>
      <c r="BM234" s="111"/>
      <c r="BN234" s="111"/>
      <c r="BO234" s="111"/>
      <c r="BP234" s="111"/>
      <c r="BQ234" s="111"/>
      <c r="BS234" s="111"/>
      <c r="BT234" s="111"/>
      <c r="BU234" s="111"/>
      <c r="BV234" s="111"/>
    </row>
    <row r="235" spans="17:74" x14ac:dyDescent="0.25"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  <c r="AQ235" s="111"/>
      <c r="AR235" s="111"/>
      <c r="AS235" s="111"/>
      <c r="AT235" s="111"/>
      <c r="AX235" s="111"/>
      <c r="AY235" s="111"/>
      <c r="AZ235" s="111"/>
      <c r="BA235" s="111"/>
      <c r="BB235" s="111"/>
      <c r="BC235" s="111"/>
      <c r="BD235" s="111"/>
      <c r="BE235" s="111"/>
      <c r="BF235" s="111"/>
      <c r="BG235" s="111"/>
      <c r="BI235" s="111"/>
      <c r="BJ235" s="111"/>
      <c r="BK235" s="111"/>
      <c r="BL235" s="111"/>
      <c r="BM235" s="111"/>
      <c r="BN235" s="111"/>
      <c r="BO235" s="111"/>
      <c r="BP235" s="111"/>
      <c r="BQ235" s="111"/>
      <c r="BS235" s="111"/>
      <c r="BT235" s="111"/>
      <c r="BU235" s="111"/>
      <c r="BV235" s="111"/>
    </row>
    <row r="236" spans="17:74" x14ac:dyDescent="0.25"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  <c r="AQ236" s="111"/>
      <c r="AR236" s="111"/>
      <c r="AS236" s="111"/>
      <c r="AT236" s="111"/>
      <c r="AX236" s="111"/>
      <c r="AY236" s="111"/>
      <c r="AZ236" s="111"/>
      <c r="BA236" s="111"/>
      <c r="BB236" s="111"/>
      <c r="BC236" s="111"/>
      <c r="BD236" s="111"/>
      <c r="BE236" s="111"/>
      <c r="BF236" s="111"/>
      <c r="BG236" s="111"/>
      <c r="BI236" s="111"/>
      <c r="BJ236" s="111"/>
      <c r="BK236" s="111"/>
      <c r="BL236" s="111"/>
      <c r="BM236" s="111"/>
      <c r="BN236" s="111"/>
      <c r="BO236" s="111"/>
      <c r="BP236" s="111"/>
      <c r="BQ236" s="111"/>
      <c r="BS236" s="111"/>
      <c r="BT236" s="111"/>
      <c r="BU236" s="111"/>
      <c r="BV236" s="111"/>
    </row>
    <row r="237" spans="17:74" x14ac:dyDescent="0.25"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  <c r="AQ237" s="111"/>
      <c r="AR237" s="111"/>
      <c r="AS237" s="111"/>
      <c r="AT237" s="111"/>
      <c r="AX237" s="111"/>
      <c r="AY237" s="111"/>
      <c r="AZ237" s="111"/>
      <c r="BA237" s="111"/>
      <c r="BB237" s="111"/>
      <c r="BC237" s="111"/>
      <c r="BD237" s="111"/>
      <c r="BE237" s="111"/>
      <c r="BF237" s="111"/>
      <c r="BG237" s="111"/>
      <c r="BI237" s="111"/>
      <c r="BJ237" s="111"/>
      <c r="BK237" s="111"/>
      <c r="BL237" s="111"/>
      <c r="BM237" s="111"/>
      <c r="BN237" s="111"/>
      <c r="BO237" s="111"/>
      <c r="BP237" s="111"/>
      <c r="BQ237" s="111"/>
      <c r="BS237" s="111"/>
      <c r="BT237" s="111"/>
      <c r="BU237" s="111"/>
      <c r="BV237" s="111"/>
    </row>
    <row r="238" spans="17:74" x14ac:dyDescent="0.25"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  <c r="AQ238" s="111"/>
      <c r="AR238" s="111"/>
      <c r="AS238" s="111"/>
      <c r="AT238" s="111"/>
      <c r="AX238" s="111"/>
      <c r="AY238" s="111"/>
      <c r="AZ238" s="111"/>
      <c r="BA238" s="111"/>
      <c r="BB238" s="111"/>
      <c r="BC238" s="111"/>
      <c r="BD238" s="111"/>
      <c r="BE238" s="111"/>
      <c r="BF238" s="111"/>
      <c r="BG238" s="111"/>
      <c r="BI238" s="111"/>
      <c r="BJ238" s="111"/>
      <c r="BK238" s="111"/>
      <c r="BL238" s="111"/>
      <c r="BM238" s="111"/>
      <c r="BN238" s="111"/>
      <c r="BO238" s="111"/>
      <c r="BP238" s="111"/>
      <c r="BQ238" s="111"/>
      <c r="BS238" s="111"/>
      <c r="BT238" s="111"/>
      <c r="BU238" s="111"/>
      <c r="BV238" s="111"/>
    </row>
    <row r="239" spans="17:74" x14ac:dyDescent="0.25"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  <c r="AQ239" s="111"/>
      <c r="AR239" s="111"/>
      <c r="AS239" s="111"/>
      <c r="AT239" s="111"/>
      <c r="AX239" s="111"/>
      <c r="AY239" s="111"/>
      <c r="AZ239" s="111"/>
      <c r="BA239" s="111"/>
      <c r="BB239" s="111"/>
      <c r="BC239" s="111"/>
      <c r="BD239" s="111"/>
      <c r="BE239" s="111"/>
      <c r="BF239" s="111"/>
      <c r="BG239" s="111"/>
      <c r="BI239" s="111"/>
      <c r="BJ239" s="111"/>
      <c r="BK239" s="111"/>
      <c r="BL239" s="111"/>
      <c r="BM239" s="111"/>
      <c r="BN239" s="111"/>
      <c r="BO239" s="111"/>
      <c r="BP239" s="111"/>
      <c r="BQ239" s="111"/>
      <c r="BS239" s="111"/>
      <c r="BT239" s="111"/>
      <c r="BU239" s="111"/>
      <c r="BV239" s="111"/>
    </row>
    <row r="240" spans="17:74" x14ac:dyDescent="0.25"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  <c r="AQ240" s="111"/>
      <c r="AR240" s="111"/>
      <c r="AS240" s="111"/>
      <c r="AT240" s="111"/>
      <c r="AX240" s="111"/>
      <c r="AY240" s="111"/>
      <c r="AZ240" s="111"/>
      <c r="BA240" s="111"/>
      <c r="BB240" s="111"/>
      <c r="BC240" s="111"/>
      <c r="BD240" s="111"/>
      <c r="BE240" s="111"/>
      <c r="BF240" s="111"/>
      <c r="BG240" s="111"/>
      <c r="BI240" s="111"/>
      <c r="BJ240" s="111"/>
      <c r="BK240" s="111"/>
      <c r="BL240" s="111"/>
      <c r="BM240" s="111"/>
      <c r="BN240" s="111"/>
      <c r="BO240" s="111"/>
      <c r="BP240" s="111"/>
      <c r="BQ240" s="111"/>
      <c r="BS240" s="111"/>
      <c r="BT240" s="111"/>
      <c r="BU240" s="111"/>
      <c r="BV240" s="111"/>
    </row>
    <row r="241" spans="17:74" x14ac:dyDescent="0.25"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  <c r="AQ241" s="111"/>
      <c r="AR241" s="111"/>
      <c r="AS241" s="111"/>
      <c r="AT241" s="111"/>
      <c r="AX241" s="111"/>
      <c r="AY241" s="111"/>
      <c r="AZ241" s="111"/>
      <c r="BA241" s="111"/>
      <c r="BB241" s="111"/>
      <c r="BC241" s="111"/>
      <c r="BD241" s="111"/>
      <c r="BE241" s="111"/>
      <c r="BF241" s="111"/>
      <c r="BG241" s="111"/>
      <c r="BI241" s="111"/>
      <c r="BJ241" s="111"/>
      <c r="BK241" s="111"/>
      <c r="BL241" s="111"/>
      <c r="BM241" s="111"/>
      <c r="BN241" s="111"/>
      <c r="BO241" s="111"/>
      <c r="BP241" s="111"/>
      <c r="BQ241" s="111"/>
      <c r="BS241" s="111"/>
      <c r="BT241" s="111"/>
      <c r="BU241" s="111"/>
      <c r="BV241" s="111"/>
    </row>
    <row r="242" spans="17:74" x14ac:dyDescent="0.25"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  <c r="AQ242" s="111"/>
      <c r="AR242" s="111"/>
      <c r="AS242" s="111"/>
      <c r="AT242" s="111"/>
      <c r="AX242" s="111"/>
      <c r="AY242" s="111"/>
      <c r="AZ242" s="111"/>
      <c r="BA242" s="111"/>
      <c r="BB242" s="111"/>
      <c r="BC242" s="111"/>
      <c r="BD242" s="111"/>
      <c r="BE242" s="111"/>
      <c r="BF242" s="111"/>
      <c r="BG242" s="111"/>
      <c r="BI242" s="111"/>
      <c r="BJ242" s="111"/>
      <c r="BK242" s="111"/>
      <c r="BL242" s="111"/>
      <c r="BM242" s="111"/>
      <c r="BN242" s="111"/>
      <c r="BO242" s="111"/>
      <c r="BP242" s="111"/>
      <c r="BQ242" s="111"/>
      <c r="BS242" s="111"/>
      <c r="BT242" s="111"/>
      <c r="BU242" s="111"/>
      <c r="BV242" s="111"/>
    </row>
    <row r="243" spans="17:74" x14ac:dyDescent="0.25"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  <c r="AQ243" s="111"/>
      <c r="AR243" s="111"/>
      <c r="AS243" s="111"/>
      <c r="AT243" s="111"/>
      <c r="AX243" s="111"/>
      <c r="AY243" s="111"/>
      <c r="AZ243" s="111"/>
      <c r="BA243" s="111"/>
      <c r="BB243" s="111"/>
      <c r="BC243" s="111"/>
      <c r="BD243" s="111"/>
      <c r="BE243" s="111"/>
      <c r="BF243" s="111"/>
      <c r="BG243" s="111"/>
      <c r="BI243" s="111"/>
      <c r="BJ243" s="111"/>
      <c r="BK243" s="111"/>
      <c r="BL243" s="111"/>
      <c r="BM243" s="111"/>
      <c r="BN243" s="111"/>
      <c r="BO243" s="111"/>
      <c r="BP243" s="111"/>
      <c r="BQ243" s="111"/>
      <c r="BS243" s="111"/>
      <c r="BT243" s="111"/>
      <c r="BU243" s="111"/>
      <c r="BV243" s="111"/>
    </row>
    <row r="244" spans="17:74" x14ac:dyDescent="0.25"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  <c r="AQ244" s="111"/>
      <c r="AR244" s="111"/>
      <c r="AS244" s="111"/>
      <c r="AT244" s="111"/>
      <c r="AX244" s="111"/>
      <c r="AY244" s="111"/>
      <c r="AZ244" s="111"/>
      <c r="BA244" s="111"/>
      <c r="BB244" s="111"/>
      <c r="BC244" s="111"/>
      <c r="BD244" s="111"/>
      <c r="BE244" s="111"/>
      <c r="BF244" s="111"/>
      <c r="BG244" s="111"/>
      <c r="BI244" s="111"/>
      <c r="BJ244" s="111"/>
      <c r="BK244" s="111"/>
      <c r="BL244" s="111"/>
      <c r="BM244" s="111"/>
      <c r="BN244" s="111"/>
      <c r="BO244" s="111"/>
      <c r="BP244" s="111"/>
      <c r="BQ244" s="111"/>
      <c r="BS244" s="111"/>
      <c r="BT244" s="111"/>
      <c r="BU244" s="111"/>
      <c r="BV244" s="111"/>
    </row>
    <row r="245" spans="17:74" x14ac:dyDescent="0.25"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  <c r="AQ245" s="111"/>
      <c r="AR245" s="111"/>
      <c r="AS245" s="111"/>
      <c r="AT245" s="111"/>
      <c r="AX245" s="111"/>
      <c r="AY245" s="111"/>
      <c r="AZ245" s="111"/>
      <c r="BA245" s="111"/>
      <c r="BB245" s="111"/>
      <c r="BC245" s="111"/>
      <c r="BD245" s="111"/>
      <c r="BE245" s="111"/>
      <c r="BF245" s="111"/>
      <c r="BG245" s="111"/>
      <c r="BI245" s="111"/>
      <c r="BJ245" s="111"/>
      <c r="BK245" s="111"/>
      <c r="BL245" s="111"/>
      <c r="BM245" s="111"/>
      <c r="BN245" s="111"/>
      <c r="BO245" s="111"/>
      <c r="BP245" s="111"/>
      <c r="BQ245" s="111"/>
      <c r="BS245" s="111"/>
      <c r="BT245" s="111"/>
      <c r="BU245" s="111"/>
      <c r="BV245" s="111"/>
    </row>
    <row r="246" spans="17:74" x14ac:dyDescent="0.25"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  <c r="AQ246" s="111"/>
      <c r="AR246" s="111"/>
      <c r="AS246" s="111"/>
      <c r="AT246" s="111"/>
      <c r="AX246" s="111"/>
      <c r="AY246" s="111"/>
      <c r="AZ246" s="111"/>
      <c r="BA246" s="111"/>
      <c r="BB246" s="111"/>
      <c r="BC246" s="111"/>
      <c r="BD246" s="111"/>
      <c r="BE246" s="111"/>
      <c r="BF246" s="111"/>
      <c r="BG246" s="111"/>
      <c r="BI246" s="111"/>
      <c r="BJ246" s="111"/>
      <c r="BK246" s="111"/>
      <c r="BL246" s="111"/>
      <c r="BM246" s="111"/>
      <c r="BN246" s="111"/>
      <c r="BO246" s="111"/>
      <c r="BP246" s="111"/>
      <c r="BQ246" s="111"/>
      <c r="BS246" s="111"/>
      <c r="BT246" s="111"/>
      <c r="BU246" s="111"/>
      <c r="BV246" s="111"/>
    </row>
    <row r="247" spans="17:74" x14ac:dyDescent="0.25"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  <c r="AQ247" s="111"/>
      <c r="AR247" s="111"/>
      <c r="AS247" s="111"/>
      <c r="AT247" s="111"/>
      <c r="AX247" s="111"/>
      <c r="AY247" s="111"/>
      <c r="AZ247" s="111"/>
      <c r="BA247" s="111"/>
      <c r="BB247" s="111"/>
      <c r="BC247" s="111"/>
      <c r="BD247" s="111"/>
      <c r="BE247" s="111"/>
      <c r="BF247" s="111"/>
      <c r="BG247" s="111"/>
      <c r="BI247" s="111"/>
      <c r="BJ247" s="111"/>
      <c r="BK247" s="111"/>
      <c r="BL247" s="111"/>
      <c r="BM247" s="111"/>
      <c r="BN247" s="111"/>
      <c r="BO247" s="111"/>
      <c r="BP247" s="111"/>
      <c r="BQ247" s="111"/>
      <c r="BS247" s="111"/>
      <c r="BT247" s="111"/>
      <c r="BU247" s="111"/>
      <c r="BV247" s="111"/>
    </row>
    <row r="248" spans="17:74" x14ac:dyDescent="0.25"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  <c r="AQ248" s="111"/>
      <c r="AR248" s="111"/>
      <c r="AS248" s="111"/>
      <c r="AT248" s="111"/>
      <c r="AX248" s="111"/>
      <c r="AY248" s="111"/>
      <c r="AZ248" s="111"/>
      <c r="BA248" s="111"/>
      <c r="BB248" s="111"/>
      <c r="BC248" s="111"/>
      <c r="BD248" s="111"/>
      <c r="BE248" s="111"/>
      <c r="BF248" s="111"/>
      <c r="BG248" s="111"/>
      <c r="BI248" s="111"/>
      <c r="BJ248" s="111"/>
      <c r="BK248" s="111"/>
      <c r="BL248" s="111"/>
      <c r="BM248" s="111"/>
      <c r="BN248" s="111"/>
      <c r="BO248" s="111"/>
      <c r="BP248" s="111"/>
      <c r="BQ248" s="111"/>
      <c r="BS248" s="111"/>
      <c r="BT248" s="111"/>
      <c r="BU248" s="111"/>
      <c r="BV248" s="111"/>
    </row>
    <row r="249" spans="17:74" x14ac:dyDescent="0.25"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  <c r="AQ249" s="111"/>
      <c r="AR249" s="111"/>
      <c r="AS249" s="111"/>
      <c r="AT249" s="111"/>
      <c r="AX249" s="111"/>
      <c r="AY249" s="111"/>
      <c r="AZ249" s="111"/>
      <c r="BA249" s="111"/>
      <c r="BB249" s="111"/>
      <c r="BC249" s="111"/>
      <c r="BD249" s="111"/>
      <c r="BE249" s="111"/>
      <c r="BF249" s="111"/>
      <c r="BG249" s="111"/>
      <c r="BI249" s="111"/>
      <c r="BJ249" s="111"/>
      <c r="BK249" s="111"/>
      <c r="BL249" s="111"/>
      <c r="BM249" s="111"/>
      <c r="BN249" s="111"/>
      <c r="BO249" s="111"/>
      <c r="BP249" s="111"/>
      <c r="BQ249" s="111"/>
      <c r="BS249" s="111"/>
      <c r="BT249" s="111"/>
      <c r="BU249" s="111"/>
      <c r="BV249" s="111"/>
    </row>
    <row r="250" spans="17:74" x14ac:dyDescent="0.25"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  <c r="AQ250" s="111"/>
      <c r="AR250" s="111"/>
      <c r="AS250" s="111"/>
      <c r="AT250" s="111"/>
      <c r="AX250" s="111"/>
      <c r="AY250" s="111"/>
      <c r="AZ250" s="111"/>
      <c r="BA250" s="111"/>
      <c r="BB250" s="111"/>
      <c r="BC250" s="111"/>
      <c r="BD250" s="111"/>
      <c r="BE250" s="111"/>
      <c r="BF250" s="111"/>
      <c r="BG250" s="111"/>
      <c r="BI250" s="111"/>
      <c r="BJ250" s="111"/>
      <c r="BK250" s="111"/>
      <c r="BL250" s="111"/>
      <c r="BM250" s="111"/>
      <c r="BN250" s="111"/>
      <c r="BO250" s="111"/>
      <c r="BP250" s="111"/>
      <c r="BQ250" s="111"/>
      <c r="BS250" s="111"/>
      <c r="BT250" s="111"/>
      <c r="BU250" s="111"/>
      <c r="BV250" s="111"/>
    </row>
    <row r="251" spans="17:74" x14ac:dyDescent="0.25"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  <c r="AQ251" s="111"/>
      <c r="AR251" s="111"/>
      <c r="AS251" s="111"/>
      <c r="AT251" s="111"/>
      <c r="AX251" s="111"/>
      <c r="AY251" s="111"/>
      <c r="AZ251" s="111"/>
      <c r="BA251" s="111"/>
      <c r="BB251" s="111"/>
      <c r="BC251" s="111"/>
      <c r="BD251" s="111"/>
      <c r="BE251" s="111"/>
      <c r="BF251" s="111"/>
      <c r="BG251" s="111"/>
      <c r="BI251" s="111"/>
      <c r="BJ251" s="111"/>
      <c r="BK251" s="111"/>
      <c r="BL251" s="111"/>
      <c r="BM251" s="111"/>
      <c r="BN251" s="111"/>
      <c r="BO251" s="111"/>
      <c r="BP251" s="111"/>
      <c r="BQ251" s="111"/>
      <c r="BS251" s="111"/>
      <c r="BT251" s="111"/>
      <c r="BU251" s="111"/>
      <c r="BV251" s="111"/>
    </row>
    <row r="252" spans="17:74" x14ac:dyDescent="0.25"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  <c r="AQ252" s="111"/>
      <c r="AR252" s="111"/>
      <c r="AS252" s="111"/>
      <c r="AT252" s="111"/>
      <c r="AX252" s="111"/>
      <c r="AY252" s="111"/>
      <c r="AZ252" s="111"/>
      <c r="BA252" s="111"/>
      <c r="BB252" s="111"/>
      <c r="BC252" s="111"/>
      <c r="BD252" s="111"/>
      <c r="BE252" s="111"/>
      <c r="BF252" s="111"/>
      <c r="BG252" s="111"/>
      <c r="BI252" s="111"/>
      <c r="BJ252" s="111"/>
      <c r="BK252" s="111"/>
      <c r="BL252" s="111"/>
      <c r="BM252" s="111"/>
      <c r="BN252" s="111"/>
      <c r="BO252" s="111"/>
      <c r="BP252" s="111"/>
      <c r="BQ252" s="111"/>
      <c r="BS252" s="111"/>
      <c r="BT252" s="111"/>
      <c r="BU252" s="111"/>
      <c r="BV252" s="111"/>
    </row>
    <row r="253" spans="17:74" x14ac:dyDescent="0.25"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  <c r="AQ253" s="111"/>
      <c r="AR253" s="111"/>
      <c r="AS253" s="111"/>
      <c r="AT253" s="111"/>
      <c r="AX253" s="111"/>
      <c r="AY253" s="111"/>
      <c r="AZ253" s="111"/>
      <c r="BA253" s="111"/>
      <c r="BB253" s="111"/>
      <c r="BC253" s="111"/>
      <c r="BD253" s="111"/>
      <c r="BE253" s="111"/>
      <c r="BF253" s="111"/>
      <c r="BG253" s="111"/>
      <c r="BI253" s="111"/>
      <c r="BJ253" s="111"/>
      <c r="BK253" s="111"/>
      <c r="BL253" s="111"/>
      <c r="BM253" s="111"/>
      <c r="BN253" s="111"/>
      <c r="BO253" s="111"/>
      <c r="BP253" s="111"/>
      <c r="BQ253" s="111"/>
      <c r="BS253" s="111"/>
      <c r="BT253" s="111"/>
      <c r="BU253" s="111"/>
      <c r="BV253" s="111"/>
    </row>
    <row r="254" spans="17:74" x14ac:dyDescent="0.25"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  <c r="AQ254" s="111"/>
      <c r="AR254" s="111"/>
      <c r="AS254" s="111"/>
      <c r="AT254" s="111"/>
      <c r="AX254" s="111"/>
      <c r="AY254" s="111"/>
      <c r="AZ254" s="111"/>
      <c r="BA254" s="111"/>
      <c r="BB254" s="111"/>
      <c r="BC254" s="111"/>
      <c r="BD254" s="111"/>
      <c r="BE254" s="111"/>
      <c r="BF254" s="111"/>
      <c r="BG254" s="111"/>
      <c r="BI254" s="111"/>
      <c r="BJ254" s="111"/>
      <c r="BK254" s="111"/>
      <c r="BL254" s="111"/>
      <c r="BM254" s="111"/>
      <c r="BN254" s="111"/>
      <c r="BO254" s="111"/>
      <c r="BP254" s="111"/>
      <c r="BQ254" s="111"/>
      <c r="BS254" s="111"/>
      <c r="BT254" s="111"/>
      <c r="BU254" s="111"/>
      <c r="BV254" s="111"/>
    </row>
    <row r="255" spans="17:74" x14ac:dyDescent="0.25"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  <c r="AQ255" s="111"/>
      <c r="AR255" s="111"/>
      <c r="AS255" s="111"/>
      <c r="AT255" s="111"/>
      <c r="AX255" s="111"/>
      <c r="AY255" s="111"/>
      <c r="AZ255" s="111"/>
      <c r="BA255" s="111"/>
      <c r="BB255" s="111"/>
      <c r="BC255" s="111"/>
      <c r="BD255" s="111"/>
      <c r="BE255" s="111"/>
      <c r="BF255" s="111"/>
      <c r="BG255" s="111"/>
      <c r="BI255" s="111"/>
      <c r="BJ255" s="111"/>
      <c r="BK255" s="111"/>
      <c r="BL255" s="111"/>
      <c r="BM255" s="111"/>
      <c r="BN255" s="111"/>
      <c r="BO255" s="111"/>
      <c r="BP255" s="111"/>
      <c r="BQ255" s="111"/>
      <c r="BS255" s="111"/>
      <c r="BT255" s="111"/>
      <c r="BU255" s="111"/>
      <c r="BV255" s="111"/>
    </row>
    <row r="256" spans="17:74" x14ac:dyDescent="0.25"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  <c r="AQ256" s="111"/>
      <c r="AR256" s="111"/>
      <c r="AS256" s="111"/>
      <c r="AT256" s="111"/>
      <c r="AX256" s="111"/>
      <c r="AY256" s="111"/>
      <c r="AZ256" s="111"/>
      <c r="BA256" s="111"/>
      <c r="BB256" s="111"/>
      <c r="BC256" s="111"/>
      <c r="BD256" s="111"/>
      <c r="BE256" s="111"/>
      <c r="BF256" s="111"/>
      <c r="BG256" s="111"/>
      <c r="BI256" s="111"/>
      <c r="BJ256" s="111"/>
      <c r="BK256" s="111"/>
      <c r="BL256" s="111"/>
      <c r="BM256" s="111"/>
      <c r="BN256" s="111"/>
      <c r="BO256" s="111"/>
      <c r="BP256" s="111"/>
      <c r="BQ256" s="111"/>
      <c r="BS256" s="111"/>
      <c r="BT256" s="111"/>
      <c r="BU256" s="111"/>
      <c r="BV256" s="111"/>
    </row>
    <row r="257" spans="17:74" x14ac:dyDescent="0.25"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  <c r="AQ257" s="111"/>
      <c r="AR257" s="111"/>
      <c r="AS257" s="111"/>
      <c r="AT257" s="111"/>
      <c r="AX257" s="111"/>
      <c r="AY257" s="111"/>
      <c r="AZ257" s="111"/>
      <c r="BA257" s="111"/>
      <c r="BB257" s="111"/>
      <c r="BC257" s="111"/>
      <c r="BD257" s="111"/>
      <c r="BE257" s="111"/>
      <c r="BF257" s="111"/>
      <c r="BG257" s="111"/>
      <c r="BI257" s="111"/>
      <c r="BJ257" s="111"/>
      <c r="BK257" s="111"/>
      <c r="BL257" s="111"/>
      <c r="BM257" s="111"/>
      <c r="BN257" s="111"/>
      <c r="BO257" s="111"/>
      <c r="BP257" s="111"/>
      <c r="BQ257" s="111"/>
      <c r="BS257" s="111"/>
      <c r="BT257" s="111"/>
      <c r="BU257" s="111"/>
      <c r="BV257" s="111"/>
    </row>
    <row r="258" spans="17:74" x14ac:dyDescent="0.25"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  <c r="AQ258" s="111"/>
      <c r="AR258" s="111"/>
      <c r="AS258" s="111"/>
      <c r="AT258" s="111"/>
      <c r="AX258" s="111"/>
      <c r="AY258" s="111"/>
      <c r="AZ258" s="111"/>
      <c r="BA258" s="111"/>
      <c r="BB258" s="111"/>
      <c r="BC258" s="111"/>
      <c r="BD258" s="111"/>
      <c r="BE258" s="111"/>
      <c r="BF258" s="111"/>
      <c r="BG258" s="111"/>
      <c r="BI258" s="111"/>
      <c r="BJ258" s="111"/>
      <c r="BK258" s="111"/>
      <c r="BL258" s="111"/>
      <c r="BM258" s="111"/>
      <c r="BN258" s="111"/>
      <c r="BO258" s="111"/>
      <c r="BP258" s="111"/>
      <c r="BQ258" s="111"/>
      <c r="BS258" s="111"/>
      <c r="BT258" s="111"/>
      <c r="BU258" s="111"/>
      <c r="BV258" s="111"/>
    </row>
    <row r="259" spans="17:74" x14ac:dyDescent="0.25"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  <c r="AC259" s="111"/>
      <c r="AD259" s="111"/>
      <c r="AE259" s="111"/>
      <c r="AF259" s="111"/>
      <c r="AG259" s="111"/>
      <c r="AH259" s="111"/>
      <c r="AI259" s="111"/>
      <c r="AJ259" s="111"/>
      <c r="AK259" s="111"/>
      <c r="AL259" s="111"/>
      <c r="AM259" s="111"/>
      <c r="AN259" s="111"/>
      <c r="AO259" s="111"/>
      <c r="AP259" s="111"/>
      <c r="AQ259" s="111"/>
      <c r="AR259" s="111"/>
      <c r="AS259" s="111"/>
      <c r="AT259" s="111"/>
      <c r="AX259" s="111"/>
      <c r="AY259" s="111"/>
      <c r="AZ259" s="111"/>
      <c r="BA259" s="111"/>
      <c r="BB259" s="111"/>
      <c r="BC259" s="111"/>
      <c r="BD259" s="111"/>
      <c r="BE259" s="111"/>
      <c r="BF259" s="111"/>
      <c r="BG259" s="111"/>
      <c r="BI259" s="111"/>
      <c r="BJ259" s="111"/>
      <c r="BK259" s="111"/>
      <c r="BL259" s="111"/>
      <c r="BM259" s="111"/>
      <c r="BN259" s="111"/>
      <c r="BO259" s="111"/>
      <c r="BP259" s="111"/>
      <c r="BQ259" s="111"/>
      <c r="BS259" s="111"/>
      <c r="BT259" s="111"/>
      <c r="BU259" s="111"/>
      <c r="BV259" s="111"/>
    </row>
    <row r="260" spans="17:74" x14ac:dyDescent="0.25"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  <c r="AP260" s="111"/>
      <c r="AQ260" s="111"/>
      <c r="AR260" s="111"/>
      <c r="AS260" s="111"/>
      <c r="AT260" s="111"/>
      <c r="AX260" s="111"/>
      <c r="AY260" s="111"/>
      <c r="AZ260" s="111"/>
      <c r="BA260" s="111"/>
      <c r="BB260" s="111"/>
      <c r="BC260" s="111"/>
      <c r="BD260" s="111"/>
      <c r="BE260" s="111"/>
      <c r="BF260" s="111"/>
      <c r="BG260" s="111"/>
      <c r="BI260" s="111"/>
      <c r="BJ260" s="111"/>
      <c r="BK260" s="111"/>
      <c r="BL260" s="111"/>
      <c r="BM260" s="111"/>
      <c r="BN260" s="111"/>
      <c r="BO260" s="111"/>
      <c r="BP260" s="111"/>
      <c r="BQ260" s="111"/>
      <c r="BS260" s="111"/>
      <c r="BT260" s="111"/>
      <c r="BU260" s="111"/>
      <c r="BV260" s="111"/>
    </row>
    <row r="261" spans="17:74" x14ac:dyDescent="0.25"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  <c r="AP261" s="111"/>
      <c r="AQ261" s="111"/>
      <c r="AR261" s="111"/>
      <c r="AS261" s="111"/>
      <c r="AT261" s="111"/>
      <c r="AX261" s="111"/>
      <c r="AY261" s="111"/>
      <c r="AZ261" s="111"/>
      <c r="BA261" s="111"/>
      <c r="BB261" s="111"/>
      <c r="BC261" s="111"/>
      <c r="BD261" s="111"/>
      <c r="BE261" s="111"/>
      <c r="BF261" s="111"/>
      <c r="BG261" s="111"/>
      <c r="BI261" s="111"/>
      <c r="BJ261" s="111"/>
      <c r="BK261" s="111"/>
      <c r="BL261" s="111"/>
      <c r="BM261" s="111"/>
      <c r="BN261" s="111"/>
      <c r="BO261" s="111"/>
      <c r="BP261" s="111"/>
      <c r="BQ261" s="111"/>
      <c r="BS261" s="111"/>
      <c r="BT261" s="111"/>
      <c r="BU261" s="111"/>
      <c r="BV261" s="111"/>
    </row>
    <row r="262" spans="17:74" x14ac:dyDescent="0.25"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  <c r="AP262" s="111"/>
      <c r="AQ262" s="111"/>
      <c r="AR262" s="111"/>
      <c r="AS262" s="111"/>
      <c r="AT262" s="111"/>
      <c r="AX262" s="111"/>
      <c r="AY262" s="111"/>
      <c r="AZ262" s="111"/>
      <c r="BA262" s="111"/>
      <c r="BB262" s="111"/>
      <c r="BC262" s="111"/>
      <c r="BD262" s="111"/>
      <c r="BE262" s="111"/>
      <c r="BF262" s="111"/>
      <c r="BG262" s="111"/>
      <c r="BI262" s="111"/>
      <c r="BJ262" s="111"/>
      <c r="BK262" s="111"/>
      <c r="BL262" s="111"/>
      <c r="BM262" s="111"/>
      <c r="BN262" s="111"/>
      <c r="BO262" s="111"/>
      <c r="BP262" s="111"/>
      <c r="BQ262" s="111"/>
      <c r="BS262" s="111"/>
      <c r="BT262" s="111"/>
      <c r="BU262" s="111"/>
      <c r="BV262" s="111"/>
    </row>
    <row r="263" spans="17:74" x14ac:dyDescent="0.25"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  <c r="AC263" s="111"/>
      <c r="AD263" s="111"/>
      <c r="AE263" s="111"/>
      <c r="AF263" s="111"/>
      <c r="AG263" s="111"/>
      <c r="AH263" s="111"/>
      <c r="AI263" s="111"/>
      <c r="AJ263" s="111"/>
      <c r="AK263" s="111"/>
      <c r="AL263" s="111"/>
      <c r="AM263" s="111"/>
      <c r="AN263" s="111"/>
      <c r="AO263" s="111"/>
      <c r="AP263" s="111"/>
      <c r="AQ263" s="111"/>
      <c r="AR263" s="111"/>
      <c r="AS263" s="111"/>
      <c r="AT263" s="111"/>
      <c r="AX263" s="111"/>
      <c r="AY263" s="111"/>
      <c r="AZ263" s="111"/>
      <c r="BA263" s="111"/>
      <c r="BB263" s="111"/>
      <c r="BC263" s="111"/>
      <c r="BD263" s="111"/>
      <c r="BE263" s="111"/>
      <c r="BF263" s="111"/>
      <c r="BG263" s="111"/>
      <c r="BI263" s="111"/>
      <c r="BJ263" s="111"/>
      <c r="BK263" s="111"/>
      <c r="BL263" s="111"/>
      <c r="BM263" s="111"/>
      <c r="BN263" s="111"/>
      <c r="BO263" s="111"/>
      <c r="BP263" s="111"/>
      <c r="BQ263" s="111"/>
      <c r="BS263" s="111"/>
      <c r="BT263" s="111"/>
      <c r="BU263" s="111"/>
      <c r="BV263" s="111"/>
    </row>
    <row r="264" spans="17:74" x14ac:dyDescent="0.25"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  <c r="AC264" s="111"/>
      <c r="AD264" s="111"/>
      <c r="AE264" s="111"/>
      <c r="AF264" s="111"/>
      <c r="AG264" s="111"/>
      <c r="AH264" s="111"/>
      <c r="AI264" s="111"/>
      <c r="AJ264" s="111"/>
      <c r="AK264" s="111"/>
      <c r="AL264" s="111"/>
      <c r="AM264" s="111"/>
      <c r="AN264" s="111"/>
      <c r="AO264" s="111"/>
      <c r="AP264" s="111"/>
      <c r="AQ264" s="111"/>
      <c r="AR264" s="111"/>
      <c r="AS264" s="111"/>
      <c r="AT264" s="111"/>
      <c r="AX264" s="111"/>
      <c r="AY264" s="111"/>
      <c r="AZ264" s="111"/>
      <c r="BA264" s="111"/>
      <c r="BB264" s="111"/>
      <c r="BC264" s="111"/>
      <c r="BD264" s="111"/>
      <c r="BE264" s="111"/>
      <c r="BF264" s="111"/>
      <c r="BG264" s="111"/>
      <c r="BI264" s="111"/>
      <c r="BJ264" s="111"/>
      <c r="BK264" s="111"/>
      <c r="BL264" s="111"/>
      <c r="BM264" s="111"/>
      <c r="BN264" s="111"/>
      <c r="BO264" s="111"/>
      <c r="BP264" s="111"/>
      <c r="BQ264" s="111"/>
      <c r="BS264" s="111"/>
      <c r="BT264" s="111"/>
      <c r="BU264" s="111"/>
      <c r="BV264" s="111"/>
    </row>
    <row r="265" spans="17:74" x14ac:dyDescent="0.25"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  <c r="AP265" s="111"/>
      <c r="AQ265" s="111"/>
      <c r="AR265" s="111"/>
      <c r="AS265" s="111"/>
      <c r="AT265" s="111"/>
      <c r="AX265" s="111"/>
      <c r="AY265" s="111"/>
      <c r="AZ265" s="111"/>
      <c r="BA265" s="111"/>
      <c r="BB265" s="111"/>
      <c r="BC265" s="111"/>
      <c r="BD265" s="111"/>
      <c r="BE265" s="111"/>
      <c r="BF265" s="111"/>
      <c r="BG265" s="111"/>
      <c r="BI265" s="111"/>
      <c r="BJ265" s="111"/>
      <c r="BK265" s="111"/>
      <c r="BL265" s="111"/>
      <c r="BM265" s="111"/>
      <c r="BN265" s="111"/>
      <c r="BO265" s="111"/>
      <c r="BP265" s="111"/>
      <c r="BQ265" s="111"/>
      <c r="BS265" s="111"/>
      <c r="BT265" s="111"/>
      <c r="BU265" s="111"/>
      <c r="BV265" s="111"/>
    </row>
    <row r="266" spans="17:74" x14ac:dyDescent="0.25"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  <c r="AP266" s="111"/>
      <c r="AQ266" s="111"/>
      <c r="AR266" s="111"/>
      <c r="AS266" s="111"/>
      <c r="AT266" s="111"/>
      <c r="AX266" s="111"/>
      <c r="AY266" s="111"/>
      <c r="AZ266" s="111"/>
      <c r="BA266" s="111"/>
      <c r="BB266" s="111"/>
      <c r="BC266" s="111"/>
      <c r="BD266" s="111"/>
      <c r="BE266" s="111"/>
      <c r="BF266" s="111"/>
      <c r="BG266" s="111"/>
      <c r="BI266" s="111"/>
      <c r="BJ266" s="111"/>
      <c r="BK266" s="111"/>
      <c r="BL266" s="111"/>
      <c r="BM266" s="111"/>
      <c r="BN266" s="111"/>
      <c r="BO266" s="111"/>
      <c r="BP266" s="111"/>
      <c r="BQ266" s="111"/>
      <c r="BS266" s="111"/>
      <c r="BT266" s="111"/>
      <c r="BU266" s="111"/>
      <c r="BV266" s="111"/>
    </row>
    <row r="267" spans="17:74" x14ac:dyDescent="0.25"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  <c r="AP267" s="111"/>
      <c r="AQ267" s="111"/>
      <c r="AR267" s="111"/>
      <c r="AS267" s="111"/>
      <c r="AT267" s="111"/>
      <c r="AX267" s="111"/>
      <c r="AY267" s="111"/>
      <c r="AZ267" s="111"/>
      <c r="BA267" s="111"/>
      <c r="BB267" s="111"/>
      <c r="BC267" s="111"/>
      <c r="BD267" s="111"/>
      <c r="BE267" s="111"/>
      <c r="BF267" s="111"/>
      <c r="BG267" s="111"/>
      <c r="BI267" s="111"/>
      <c r="BJ267" s="111"/>
      <c r="BK267" s="111"/>
      <c r="BL267" s="111"/>
      <c r="BM267" s="111"/>
      <c r="BN267" s="111"/>
      <c r="BO267" s="111"/>
      <c r="BP267" s="111"/>
      <c r="BQ267" s="111"/>
      <c r="BS267" s="111"/>
      <c r="BT267" s="111"/>
      <c r="BU267" s="111"/>
      <c r="BV267" s="111"/>
    </row>
    <row r="268" spans="17:74" x14ac:dyDescent="0.25"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  <c r="AC268" s="111"/>
      <c r="AD268" s="111"/>
      <c r="AE268" s="111"/>
      <c r="AF268" s="111"/>
      <c r="AG268" s="111"/>
      <c r="AH268" s="111"/>
      <c r="AI268" s="111"/>
      <c r="AJ268" s="111"/>
      <c r="AK268" s="111"/>
      <c r="AL268" s="111"/>
      <c r="AM268" s="111"/>
      <c r="AN268" s="111"/>
      <c r="AO268" s="111"/>
      <c r="AP268" s="111"/>
      <c r="AQ268" s="111"/>
      <c r="AR268" s="111"/>
      <c r="AS268" s="111"/>
      <c r="AT268" s="111"/>
      <c r="AX268" s="111"/>
      <c r="AY268" s="111"/>
      <c r="AZ268" s="111"/>
      <c r="BA268" s="111"/>
      <c r="BB268" s="111"/>
      <c r="BC268" s="111"/>
      <c r="BD268" s="111"/>
      <c r="BE268" s="111"/>
      <c r="BF268" s="111"/>
      <c r="BG268" s="111"/>
      <c r="BI268" s="111"/>
      <c r="BJ268" s="111"/>
      <c r="BK268" s="111"/>
      <c r="BL268" s="111"/>
      <c r="BM268" s="111"/>
      <c r="BN268" s="111"/>
      <c r="BO268" s="111"/>
      <c r="BP268" s="111"/>
      <c r="BQ268" s="111"/>
      <c r="BS268" s="111"/>
      <c r="BT268" s="111"/>
      <c r="BU268" s="111"/>
      <c r="BV268" s="111"/>
    </row>
    <row r="269" spans="17:74" x14ac:dyDescent="0.25"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  <c r="AC269" s="111"/>
      <c r="AD269" s="111"/>
      <c r="AE269" s="111"/>
      <c r="AF269" s="111"/>
      <c r="AG269" s="111"/>
      <c r="AH269" s="111"/>
      <c r="AI269" s="111"/>
      <c r="AJ269" s="111"/>
      <c r="AK269" s="111"/>
      <c r="AL269" s="111"/>
      <c r="AM269" s="111"/>
      <c r="AN269" s="111"/>
      <c r="AO269" s="111"/>
      <c r="AP269" s="111"/>
      <c r="AQ269" s="111"/>
      <c r="AR269" s="111"/>
      <c r="AS269" s="111"/>
      <c r="AT269" s="111"/>
      <c r="AX269" s="111"/>
      <c r="AY269" s="111"/>
      <c r="AZ269" s="111"/>
      <c r="BA269" s="111"/>
      <c r="BB269" s="111"/>
      <c r="BC269" s="111"/>
      <c r="BD269" s="111"/>
      <c r="BE269" s="111"/>
      <c r="BF269" s="111"/>
      <c r="BG269" s="111"/>
      <c r="BI269" s="111"/>
      <c r="BJ269" s="111"/>
      <c r="BK269" s="111"/>
      <c r="BL269" s="111"/>
      <c r="BM269" s="111"/>
      <c r="BN269" s="111"/>
      <c r="BO269" s="111"/>
      <c r="BP269" s="111"/>
      <c r="BQ269" s="111"/>
      <c r="BS269" s="111"/>
      <c r="BT269" s="111"/>
      <c r="BU269" s="111"/>
      <c r="BV269" s="111"/>
    </row>
    <row r="270" spans="17:74" x14ac:dyDescent="0.25"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  <c r="AP270" s="111"/>
      <c r="AQ270" s="111"/>
      <c r="AR270" s="111"/>
      <c r="AS270" s="111"/>
      <c r="AT270" s="111"/>
      <c r="AX270" s="111"/>
      <c r="AY270" s="111"/>
      <c r="AZ270" s="111"/>
      <c r="BA270" s="111"/>
      <c r="BB270" s="111"/>
      <c r="BC270" s="111"/>
      <c r="BD270" s="111"/>
      <c r="BE270" s="111"/>
      <c r="BF270" s="111"/>
      <c r="BG270" s="111"/>
      <c r="BI270" s="111"/>
      <c r="BJ270" s="111"/>
      <c r="BK270" s="111"/>
      <c r="BL270" s="111"/>
      <c r="BM270" s="111"/>
      <c r="BN270" s="111"/>
      <c r="BO270" s="111"/>
      <c r="BP270" s="111"/>
      <c r="BQ270" s="111"/>
      <c r="BS270" s="111"/>
      <c r="BT270" s="111"/>
      <c r="BU270" s="111"/>
      <c r="BV270" s="111"/>
    </row>
    <row r="271" spans="17:74" x14ac:dyDescent="0.25"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  <c r="AP271" s="111"/>
      <c r="AQ271" s="111"/>
      <c r="AR271" s="111"/>
      <c r="AS271" s="111"/>
      <c r="AT271" s="111"/>
      <c r="AX271" s="111"/>
      <c r="AY271" s="111"/>
      <c r="AZ271" s="111"/>
      <c r="BA271" s="111"/>
      <c r="BB271" s="111"/>
      <c r="BC271" s="111"/>
      <c r="BD271" s="111"/>
      <c r="BE271" s="111"/>
      <c r="BF271" s="111"/>
      <c r="BG271" s="111"/>
      <c r="BI271" s="111"/>
      <c r="BJ271" s="111"/>
      <c r="BK271" s="111"/>
      <c r="BL271" s="111"/>
      <c r="BM271" s="111"/>
      <c r="BN271" s="111"/>
      <c r="BO271" s="111"/>
      <c r="BP271" s="111"/>
      <c r="BQ271" s="111"/>
      <c r="BS271" s="111"/>
      <c r="BT271" s="111"/>
      <c r="BU271" s="111"/>
      <c r="BV271" s="111"/>
    </row>
    <row r="272" spans="17:74" x14ac:dyDescent="0.25"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  <c r="AP272" s="111"/>
      <c r="AQ272" s="111"/>
      <c r="AR272" s="111"/>
      <c r="AS272" s="111"/>
      <c r="AT272" s="111"/>
      <c r="AX272" s="111"/>
      <c r="AY272" s="111"/>
      <c r="AZ272" s="111"/>
      <c r="BA272" s="111"/>
      <c r="BB272" s="111"/>
      <c r="BC272" s="111"/>
      <c r="BD272" s="111"/>
      <c r="BE272" s="111"/>
      <c r="BF272" s="111"/>
      <c r="BG272" s="111"/>
      <c r="BI272" s="111"/>
      <c r="BJ272" s="111"/>
      <c r="BK272" s="111"/>
      <c r="BL272" s="111"/>
      <c r="BM272" s="111"/>
      <c r="BN272" s="111"/>
      <c r="BO272" s="111"/>
      <c r="BP272" s="111"/>
      <c r="BQ272" s="111"/>
      <c r="BS272" s="111"/>
      <c r="BT272" s="111"/>
      <c r="BU272" s="111"/>
      <c r="BV272" s="111"/>
    </row>
    <row r="273" spans="17:74" x14ac:dyDescent="0.25"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  <c r="AC273" s="111"/>
      <c r="AD273" s="111"/>
      <c r="AE273" s="111"/>
      <c r="AF273" s="111"/>
      <c r="AG273" s="111"/>
      <c r="AH273" s="111"/>
      <c r="AI273" s="111"/>
      <c r="AJ273" s="111"/>
      <c r="AK273" s="111"/>
      <c r="AL273" s="111"/>
      <c r="AM273" s="111"/>
      <c r="AN273" s="111"/>
      <c r="AO273" s="111"/>
      <c r="AP273" s="111"/>
      <c r="AQ273" s="111"/>
      <c r="AR273" s="111"/>
      <c r="AS273" s="111"/>
      <c r="AT273" s="111"/>
      <c r="AX273" s="111"/>
      <c r="AY273" s="111"/>
      <c r="AZ273" s="111"/>
      <c r="BA273" s="111"/>
      <c r="BB273" s="111"/>
      <c r="BC273" s="111"/>
      <c r="BD273" s="111"/>
      <c r="BE273" s="111"/>
      <c r="BF273" s="111"/>
      <c r="BG273" s="111"/>
      <c r="BI273" s="111"/>
      <c r="BJ273" s="111"/>
      <c r="BK273" s="111"/>
      <c r="BL273" s="111"/>
      <c r="BM273" s="111"/>
      <c r="BN273" s="111"/>
      <c r="BO273" s="111"/>
      <c r="BP273" s="111"/>
      <c r="BQ273" s="111"/>
      <c r="BS273" s="111"/>
      <c r="BT273" s="111"/>
      <c r="BU273" s="111"/>
      <c r="BV273" s="111"/>
    </row>
    <row r="274" spans="17:74" x14ac:dyDescent="0.25"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  <c r="AC274" s="111"/>
      <c r="AD274" s="111"/>
      <c r="AE274" s="111"/>
      <c r="AF274" s="111"/>
      <c r="AG274" s="111"/>
      <c r="AH274" s="111"/>
      <c r="AI274" s="111"/>
      <c r="AJ274" s="111"/>
      <c r="AK274" s="111"/>
      <c r="AL274" s="111"/>
      <c r="AM274" s="111"/>
      <c r="AN274" s="111"/>
      <c r="AO274" s="111"/>
      <c r="AP274" s="111"/>
      <c r="AQ274" s="111"/>
      <c r="AR274" s="111"/>
      <c r="AS274" s="111"/>
      <c r="AT274" s="111"/>
      <c r="AX274" s="111"/>
      <c r="AY274" s="111"/>
      <c r="AZ274" s="111"/>
      <c r="BA274" s="111"/>
      <c r="BB274" s="111"/>
      <c r="BC274" s="111"/>
      <c r="BD274" s="111"/>
      <c r="BE274" s="111"/>
      <c r="BF274" s="111"/>
      <c r="BG274" s="111"/>
      <c r="BI274" s="111"/>
      <c r="BJ274" s="111"/>
      <c r="BK274" s="111"/>
      <c r="BL274" s="111"/>
      <c r="BM274" s="111"/>
      <c r="BN274" s="111"/>
      <c r="BO274" s="111"/>
      <c r="BP274" s="111"/>
      <c r="BQ274" s="111"/>
      <c r="BS274" s="111"/>
      <c r="BT274" s="111"/>
      <c r="BU274" s="111"/>
      <c r="BV274" s="111"/>
    </row>
    <row r="275" spans="17:74" x14ac:dyDescent="0.25"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  <c r="AC275" s="111"/>
      <c r="AD275" s="111"/>
      <c r="AE275" s="111"/>
      <c r="AF275" s="111"/>
      <c r="AG275" s="111"/>
      <c r="AH275" s="111"/>
      <c r="AI275" s="111"/>
      <c r="AJ275" s="111"/>
      <c r="AK275" s="111"/>
      <c r="AL275" s="111"/>
      <c r="AM275" s="111"/>
      <c r="AN275" s="111"/>
      <c r="AO275" s="111"/>
      <c r="AP275" s="111"/>
      <c r="AQ275" s="111"/>
      <c r="AR275" s="111"/>
      <c r="AS275" s="111"/>
      <c r="AT275" s="111"/>
      <c r="AX275" s="111"/>
      <c r="AY275" s="111"/>
      <c r="AZ275" s="111"/>
      <c r="BA275" s="111"/>
      <c r="BB275" s="111"/>
      <c r="BC275" s="111"/>
      <c r="BD275" s="111"/>
      <c r="BE275" s="111"/>
      <c r="BF275" s="111"/>
      <c r="BG275" s="111"/>
      <c r="BI275" s="111"/>
      <c r="BJ275" s="111"/>
      <c r="BK275" s="111"/>
      <c r="BL275" s="111"/>
      <c r="BM275" s="111"/>
      <c r="BN275" s="111"/>
      <c r="BO275" s="111"/>
      <c r="BP275" s="111"/>
      <c r="BQ275" s="111"/>
      <c r="BS275" s="111"/>
      <c r="BT275" s="111"/>
      <c r="BU275" s="111"/>
      <c r="BV275" s="111"/>
    </row>
    <row r="276" spans="17:74" x14ac:dyDescent="0.25"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  <c r="AP276" s="111"/>
      <c r="AQ276" s="111"/>
      <c r="AR276" s="111"/>
      <c r="AS276" s="111"/>
      <c r="AT276" s="111"/>
      <c r="AX276" s="111"/>
      <c r="AY276" s="111"/>
      <c r="AZ276" s="111"/>
      <c r="BA276" s="111"/>
      <c r="BB276" s="111"/>
      <c r="BC276" s="111"/>
      <c r="BD276" s="111"/>
      <c r="BE276" s="111"/>
      <c r="BF276" s="111"/>
      <c r="BG276" s="111"/>
      <c r="BI276" s="111"/>
      <c r="BJ276" s="111"/>
      <c r="BK276" s="111"/>
      <c r="BL276" s="111"/>
      <c r="BM276" s="111"/>
      <c r="BN276" s="111"/>
      <c r="BO276" s="111"/>
      <c r="BP276" s="111"/>
      <c r="BQ276" s="111"/>
      <c r="BS276" s="111"/>
      <c r="BT276" s="111"/>
      <c r="BU276" s="111"/>
      <c r="BV276" s="111"/>
    </row>
    <row r="277" spans="17:74" x14ac:dyDescent="0.25"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  <c r="AP277" s="111"/>
      <c r="AQ277" s="111"/>
      <c r="AR277" s="111"/>
      <c r="AS277" s="111"/>
      <c r="AT277" s="111"/>
      <c r="AX277" s="111"/>
      <c r="AY277" s="111"/>
      <c r="AZ277" s="111"/>
      <c r="BA277" s="111"/>
      <c r="BB277" s="111"/>
      <c r="BC277" s="111"/>
      <c r="BD277" s="111"/>
      <c r="BE277" s="111"/>
      <c r="BF277" s="111"/>
      <c r="BG277" s="111"/>
      <c r="BI277" s="111"/>
      <c r="BJ277" s="111"/>
      <c r="BK277" s="111"/>
      <c r="BL277" s="111"/>
      <c r="BM277" s="111"/>
      <c r="BN277" s="111"/>
      <c r="BO277" s="111"/>
      <c r="BP277" s="111"/>
      <c r="BQ277" s="111"/>
      <c r="BS277" s="111"/>
      <c r="BT277" s="111"/>
      <c r="BU277" s="111"/>
      <c r="BV277" s="111"/>
    </row>
    <row r="278" spans="17:74" x14ac:dyDescent="0.25"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  <c r="AH278" s="111"/>
      <c r="AI278" s="111"/>
      <c r="AJ278" s="111"/>
      <c r="AK278" s="111"/>
      <c r="AL278" s="111"/>
      <c r="AM278" s="111"/>
      <c r="AN278" s="111"/>
      <c r="AO278" s="111"/>
      <c r="AP278" s="111"/>
      <c r="AQ278" s="111"/>
      <c r="AR278" s="111"/>
      <c r="AS278" s="111"/>
      <c r="AT278" s="111"/>
      <c r="AX278" s="111"/>
      <c r="AY278" s="111"/>
      <c r="AZ278" s="111"/>
      <c r="BA278" s="111"/>
      <c r="BB278" s="111"/>
      <c r="BC278" s="111"/>
      <c r="BD278" s="111"/>
      <c r="BE278" s="111"/>
      <c r="BF278" s="111"/>
      <c r="BG278" s="111"/>
      <c r="BI278" s="111"/>
      <c r="BJ278" s="111"/>
      <c r="BK278" s="111"/>
      <c r="BL278" s="111"/>
      <c r="BM278" s="111"/>
      <c r="BN278" s="111"/>
      <c r="BO278" s="111"/>
      <c r="BP278" s="111"/>
      <c r="BQ278" s="111"/>
      <c r="BS278" s="111"/>
      <c r="BT278" s="111"/>
      <c r="BU278" s="111"/>
      <c r="BV278" s="111"/>
    </row>
    <row r="279" spans="17:74" x14ac:dyDescent="0.25"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  <c r="AC279" s="111"/>
      <c r="AD279" s="111"/>
      <c r="AE279" s="111"/>
      <c r="AF279" s="111"/>
      <c r="AG279" s="111"/>
      <c r="AH279" s="111"/>
      <c r="AI279" s="111"/>
      <c r="AJ279" s="111"/>
      <c r="AK279" s="111"/>
      <c r="AL279" s="111"/>
      <c r="AM279" s="111"/>
      <c r="AN279" s="111"/>
      <c r="AO279" s="111"/>
      <c r="AP279" s="111"/>
      <c r="AQ279" s="111"/>
      <c r="AR279" s="111"/>
      <c r="AS279" s="111"/>
      <c r="AT279" s="111"/>
      <c r="AX279" s="111"/>
      <c r="AY279" s="111"/>
      <c r="AZ279" s="111"/>
      <c r="BA279" s="111"/>
      <c r="BB279" s="111"/>
      <c r="BC279" s="111"/>
      <c r="BD279" s="111"/>
      <c r="BE279" s="111"/>
      <c r="BF279" s="111"/>
      <c r="BG279" s="111"/>
      <c r="BI279" s="111"/>
      <c r="BJ279" s="111"/>
      <c r="BK279" s="111"/>
      <c r="BL279" s="111"/>
      <c r="BM279" s="111"/>
      <c r="BN279" s="111"/>
      <c r="BO279" s="111"/>
      <c r="BP279" s="111"/>
      <c r="BQ279" s="111"/>
      <c r="BS279" s="111"/>
      <c r="BT279" s="111"/>
      <c r="BU279" s="111"/>
      <c r="BV279" s="111"/>
    </row>
    <row r="280" spans="17:74" x14ac:dyDescent="0.25"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  <c r="AC280" s="111"/>
      <c r="AD280" s="111"/>
      <c r="AE280" s="111"/>
      <c r="AF280" s="111"/>
      <c r="AG280" s="111"/>
      <c r="AH280" s="111"/>
      <c r="AI280" s="111"/>
      <c r="AJ280" s="111"/>
      <c r="AK280" s="111"/>
      <c r="AL280" s="111"/>
      <c r="AM280" s="111"/>
      <c r="AN280" s="111"/>
      <c r="AO280" s="111"/>
      <c r="AP280" s="111"/>
      <c r="AQ280" s="111"/>
      <c r="AR280" s="111"/>
      <c r="AS280" s="111"/>
      <c r="AT280" s="111"/>
      <c r="AX280" s="111"/>
      <c r="AY280" s="111"/>
      <c r="AZ280" s="111"/>
      <c r="BA280" s="111"/>
      <c r="BB280" s="111"/>
      <c r="BC280" s="111"/>
      <c r="BD280" s="111"/>
      <c r="BE280" s="111"/>
      <c r="BF280" s="111"/>
      <c r="BG280" s="111"/>
      <c r="BI280" s="111"/>
      <c r="BJ280" s="111"/>
      <c r="BK280" s="111"/>
      <c r="BL280" s="111"/>
      <c r="BM280" s="111"/>
      <c r="BN280" s="111"/>
      <c r="BO280" s="111"/>
      <c r="BP280" s="111"/>
      <c r="BQ280" s="111"/>
      <c r="BS280" s="111"/>
      <c r="BT280" s="111"/>
      <c r="BU280" s="111"/>
      <c r="BV280" s="111"/>
    </row>
    <row r="281" spans="17:74" x14ac:dyDescent="0.25"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  <c r="AP281" s="111"/>
      <c r="AQ281" s="111"/>
      <c r="AR281" s="111"/>
      <c r="AS281" s="111"/>
      <c r="AT281" s="111"/>
      <c r="AX281" s="111"/>
      <c r="AY281" s="111"/>
      <c r="AZ281" s="111"/>
      <c r="BA281" s="111"/>
      <c r="BB281" s="111"/>
      <c r="BC281" s="111"/>
      <c r="BD281" s="111"/>
      <c r="BE281" s="111"/>
      <c r="BF281" s="111"/>
      <c r="BG281" s="111"/>
      <c r="BI281" s="111"/>
      <c r="BJ281" s="111"/>
      <c r="BK281" s="111"/>
      <c r="BL281" s="111"/>
      <c r="BM281" s="111"/>
      <c r="BN281" s="111"/>
      <c r="BO281" s="111"/>
      <c r="BP281" s="111"/>
      <c r="BQ281" s="111"/>
      <c r="BS281" s="111"/>
      <c r="BT281" s="111"/>
      <c r="BU281" s="111"/>
      <c r="BV281" s="111"/>
    </row>
    <row r="282" spans="17:74" x14ac:dyDescent="0.25"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  <c r="AP282" s="111"/>
      <c r="AQ282" s="111"/>
      <c r="AR282" s="111"/>
      <c r="AS282" s="111"/>
      <c r="AT282" s="111"/>
      <c r="AX282" s="111"/>
      <c r="AY282" s="111"/>
      <c r="AZ282" s="111"/>
      <c r="BA282" s="111"/>
      <c r="BB282" s="111"/>
      <c r="BC282" s="111"/>
      <c r="BD282" s="111"/>
      <c r="BE282" s="111"/>
      <c r="BF282" s="111"/>
      <c r="BG282" s="111"/>
      <c r="BI282" s="111"/>
      <c r="BJ282" s="111"/>
      <c r="BK282" s="111"/>
      <c r="BL282" s="111"/>
      <c r="BM282" s="111"/>
      <c r="BN282" s="111"/>
      <c r="BO282" s="111"/>
      <c r="BP282" s="111"/>
      <c r="BQ282" s="111"/>
      <c r="BS282" s="111"/>
      <c r="BT282" s="111"/>
      <c r="BU282" s="111"/>
      <c r="BV282" s="111"/>
    </row>
    <row r="283" spans="17:74" x14ac:dyDescent="0.25"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  <c r="AC283" s="111"/>
      <c r="AD283" s="111"/>
      <c r="AE283" s="111"/>
      <c r="AF283" s="111"/>
      <c r="AG283" s="111"/>
      <c r="AH283" s="111"/>
      <c r="AI283" s="111"/>
      <c r="AJ283" s="111"/>
      <c r="AK283" s="111"/>
      <c r="AL283" s="111"/>
      <c r="AM283" s="111"/>
      <c r="AN283" s="111"/>
      <c r="AO283" s="111"/>
      <c r="AP283" s="111"/>
      <c r="AQ283" s="111"/>
      <c r="AR283" s="111"/>
      <c r="AS283" s="111"/>
      <c r="AT283" s="111"/>
      <c r="AX283" s="111"/>
      <c r="AY283" s="111"/>
      <c r="AZ283" s="111"/>
      <c r="BA283" s="111"/>
      <c r="BB283" s="111"/>
      <c r="BC283" s="111"/>
      <c r="BD283" s="111"/>
      <c r="BE283" s="111"/>
      <c r="BF283" s="111"/>
      <c r="BG283" s="111"/>
      <c r="BI283" s="111"/>
      <c r="BJ283" s="111"/>
      <c r="BK283" s="111"/>
      <c r="BL283" s="111"/>
      <c r="BM283" s="111"/>
      <c r="BN283" s="111"/>
      <c r="BO283" s="111"/>
      <c r="BP283" s="111"/>
      <c r="BQ283" s="111"/>
      <c r="BS283" s="111"/>
      <c r="BT283" s="111"/>
      <c r="BU283" s="111"/>
      <c r="BV283" s="111"/>
    </row>
    <row r="284" spans="17:74" x14ac:dyDescent="0.25"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  <c r="AC284" s="111"/>
      <c r="AD284" s="111"/>
      <c r="AE284" s="111"/>
      <c r="AF284" s="111"/>
      <c r="AG284" s="111"/>
      <c r="AH284" s="111"/>
      <c r="AI284" s="111"/>
      <c r="AJ284" s="111"/>
      <c r="AK284" s="111"/>
      <c r="AL284" s="111"/>
      <c r="AM284" s="111"/>
      <c r="AN284" s="111"/>
      <c r="AO284" s="111"/>
      <c r="AP284" s="111"/>
      <c r="AQ284" s="111"/>
      <c r="AR284" s="111"/>
      <c r="AS284" s="111"/>
      <c r="AT284" s="111"/>
      <c r="AX284" s="111"/>
      <c r="AY284" s="111"/>
      <c r="AZ284" s="111"/>
      <c r="BA284" s="111"/>
      <c r="BB284" s="111"/>
      <c r="BC284" s="111"/>
      <c r="BD284" s="111"/>
      <c r="BE284" s="111"/>
      <c r="BF284" s="111"/>
      <c r="BG284" s="111"/>
      <c r="BI284" s="111"/>
      <c r="BJ284" s="111"/>
      <c r="BK284" s="111"/>
      <c r="BL284" s="111"/>
      <c r="BM284" s="111"/>
      <c r="BN284" s="111"/>
      <c r="BO284" s="111"/>
      <c r="BP284" s="111"/>
      <c r="BQ284" s="111"/>
      <c r="BS284" s="111"/>
      <c r="BT284" s="111"/>
      <c r="BU284" s="111"/>
      <c r="BV284" s="111"/>
    </row>
    <row r="285" spans="17:74" x14ac:dyDescent="0.25"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  <c r="AP285" s="111"/>
      <c r="AQ285" s="111"/>
      <c r="AR285" s="111"/>
      <c r="AS285" s="111"/>
      <c r="AT285" s="111"/>
      <c r="AX285" s="111"/>
      <c r="AY285" s="111"/>
      <c r="AZ285" s="111"/>
      <c r="BA285" s="111"/>
      <c r="BB285" s="111"/>
      <c r="BC285" s="111"/>
      <c r="BD285" s="111"/>
      <c r="BE285" s="111"/>
      <c r="BF285" s="111"/>
      <c r="BG285" s="111"/>
      <c r="BI285" s="111"/>
      <c r="BJ285" s="111"/>
      <c r="BK285" s="111"/>
      <c r="BL285" s="111"/>
      <c r="BM285" s="111"/>
      <c r="BN285" s="111"/>
      <c r="BO285" s="111"/>
      <c r="BP285" s="111"/>
      <c r="BQ285" s="111"/>
      <c r="BS285" s="111"/>
      <c r="BT285" s="111"/>
      <c r="BU285" s="111"/>
      <c r="BV285" s="111"/>
    </row>
    <row r="286" spans="17:74" x14ac:dyDescent="0.25"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  <c r="AP286" s="111"/>
      <c r="AQ286" s="111"/>
      <c r="AR286" s="111"/>
      <c r="AS286" s="111"/>
      <c r="AT286" s="111"/>
      <c r="AX286" s="111"/>
      <c r="AY286" s="111"/>
      <c r="AZ286" s="111"/>
      <c r="BA286" s="111"/>
      <c r="BB286" s="111"/>
      <c r="BC286" s="111"/>
      <c r="BD286" s="111"/>
      <c r="BE286" s="111"/>
      <c r="BF286" s="111"/>
      <c r="BG286" s="111"/>
      <c r="BI286" s="111"/>
      <c r="BJ286" s="111"/>
      <c r="BK286" s="111"/>
      <c r="BL286" s="111"/>
      <c r="BM286" s="111"/>
      <c r="BN286" s="111"/>
      <c r="BO286" s="111"/>
      <c r="BP286" s="111"/>
      <c r="BQ286" s="111"/>
      <c r="BS286" s="111"/>
      <c r="BT286" s="111"/>
      <c r="BU286" s="111"/>
      <c r="BV286" s="111"/>
    </row>
    <row r="287" spans="17:74" x14ac:dyDescent="0.25"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  <c r="AP287" s="111"/>
      <c r="AQ287" s="111"/>
      <c r="AR287" s="111"/>
      <c r="AS287" s="111"/>
      <c r="AT287" s="111"/>
      <c r="AX287" s="111"/>
      <c r="AY287" s="111"/>
      <c r="AZ287" s="111"/>
      <c r="BA287" s="111"/>
      <c r="BB287" s="111"/>
      <c r="BC287" s="111"/>
      <c r="BD287" s="111"/>
      <c r="BE287" s="111"/>
      <c r="BF287" s="111"/>
      <c r="BG287" s="111"/>
      <c r="BI287" s="111"/>
      <c r="BJ287" s="111"/>
      <c r="BK287" s="111"/>
      <c r="BL287" s="111"/>
      <c r="BM287" s="111"/>
      <c r="BN287" s="111"/>
      <c r="BO287" s="111"/>
      <c r="BP287" s="111"/>
      <c r="BQ287" s="111"/>
      <c r="BS287" s="111"/>
      <c r="BT287" s="111"/>
      <c r="BU287" s="111"/>
      <c r="BV287" s="111"/>
    </row>
    <row r="288" spans="17:74" x14ac:dyDescent="0.25"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P288" s="111"/>
      <c r="AQ288" s="111"/>
      <c r="AR288" s="111"/>
      <c r="AS288" s="111"/>
      <c r="AT288" s="111"/>
      <c r="AX288" s="111"/>
      <c r="AY288" s="111"/>
      <c r="AZ288" s="111"/>
      <c r="BA288" s="111"/>
      <c r="BB288" s="111"/>
      <c r="BC288" s="111"/>
      <c r="BD288" s="111"/>
      <c r="BE288" s="111"/>
      <c r="BF288" s="111"/>
      <c r="BG288" s="111"/>
      <c r="BI288" s="111"/>
      <c r="BJ288" s="111"/>
      <c r="BK288" s="111"/>
      <c r="BL288" s="111"/>
      <c r="BM288" s="111"/>
      <c r="BN288" s="111"/>
      <c r="BO288" s="111"/>
      <c r="BP288" s="111"/>
      <c r="BQ288" s="111"/>
      <c r="BS288" s="111"/>
      <c r="BT288" s="111"/>
      <c r="BU288" s="111"/>
      <c r="BV288" s="111"/>
    </row>
    <row r="289" spans="17:74" x14ac:dyDescent="0.25"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P289" s="111"/>
      <c r="AQ289" s="111"/>
      <c r="AR289" s="111"/>
      <c r="AS289" s="111"/>
      <c r="AT289" s="111"/>
      <c r="AX289" s="111"/>
      <c r="AY289" s="111"/>
      <c r="AZ289" s="111"/>
      <c r="BA289" s="111"/>
      <c r="BB289" s="111"/>
      <c r="BC289" s="111"/>
      <c r="BD289" s="111"/>
      <c r="BE289" s="111"/>
      <c r="BF289" s="111"/>
      <c r="BG289" s="111"/>
      <c r="BI289" s="111"/>
      <c r="BJ289" s="111"/>
      <c r="BK289" s="111"/>
      <c r="BL289" s="111"/>
      <c r="BM289" s="111"/>
      <c r="BN289" s="111"/>
      <c r="BO289" s="111"/>
      <c r="BP289" s="111"/>
      <c r="BQ289" s="111"/>
      <c r="BS289" s="111"/>
      <c r="BT289" s="111"/>
      <c r="BU289" s="111"/>
      <c r="BV289" s="111"/>
    </row>
    <row r="290" spans="17:74" x14ac:dyDescent="0.25"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  <c r="AP290" s="111"/>
      <c r="AQ290" s="111"/>
      <c r="AR290" s="111"/>
      <c r="AS290" s="111"/>
      <c r="AT290" s="111"/>
      <c r="AX290" s="111"/>
      <c r="AY290" s="111"/>
      <c r="AZ290" s="111"/>
      <c r="BA290" s="111"/>
      <c r="BB290" s="111"/>
      <c r="BC290" s="111"/>
      <c r="BD290" s="111"/>
      <c r="BE290" s="111"/>
      <c r="BF290" s="111"/>
      <c r="BG290" s="111"/>
      <c r="BI290" s="111"/>
      <c r="BJ290" s="111"/>
      <c r="BK290" s="111"/>
      <c r="BL290" s="111"/>
      <c r="BM290" s="111"/>
      <c r="BN290" s="111"/>
      <c r="BO290" s="111"/>
      <c r="BP290" s="111"/>
      <c r="BQ290" s="111"/>
      <c r="BS290" s="111"/>
      <c r="BT290" s="111"/>
      <c r="BU290" s="111"/>
      <c r="BV290" s="111"/>
    </row>
    <row r="291" spans="17:74" x14ac:dyDescent="0.25"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  <c r="AP291" s="111"/>
      <c r="AQ291" s="111"/>
      <c r="AR291" s="111"/>
      <c r="AS291" s="111"/>
      <c r="AT291" s="111"/>
      <c r="AX291" s="111"/>
      <c r="AY291" s="111"/>
      <c r="AZ291" s="111"/>
      <c r="BA291" s="111"/>
      <c r="BB291" s="111"/>
      <c r="BC291" s="111"/>
      <c r="BD291" s="111"/>
      <c r="BE291" s="111"/>
      <c r="BF291" s="111"/>
      <c r="BG291" s="111"/>
      <c r="BI291" s="111"/>
      <c r="BJ291" s="111"/>
      <c r="BK291" s="111"/>
      <c r="BL291" s="111"/>
      <c r="BM291" s="111"/>
      <c r="BN291" s="111"/>
      <c r="BO291" s="111"/>
      <c r="BP291" s="111"/>
      <c r="BQ291" s="111"/>
      <c r="BS291" s="111"/>
      <c r="BT291" s="111"/>
      <c r="BU291" s="111"/>
      <c r="BV291" s="111"/>
    </row>
    <row r="292" spans="17:74" x14ac:dyDescent="0.25"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  <c r="AP292" s="111"/>
      <c r="AQ292" s="111"/>
      <c r="AR292" s="111"/>
      <c r="AS292" s="111"/>
      <c r="AT292" s="111"/>
      <c r="AX292" s="111"/>
      <c r="AY292" s="111"/>
      <c r="AZ292" s="111"/>
      <c r="BA292" s="111"/>
      <c r="BB292" s="111"/>
      <c r="BC292" s="111"/>
      <c r="BD292" s="111"/>
      <c r="BE292" s="111"/>
      <c r="BF292" s="111"/>
      <c r="BG292" s="111"/>
      <c r="BI292" s="111"/>
      <c r="BJ292" s="111"/>
      <c r="BK292" s="111"/>
      <c r="BL292" s="111"/>
      <c r="BM292" s="111"/>
      <c r="BN292" s="111"/>
      <c r="BO292" s="111"/>
      <c r="BP292" s="111"/>
      <c r="BQ292" s="111"/>
      <c r="BS292" s="111"/>
      <c r="BT292" s="111"/>
      <c r="BU292" s="111"/>
      <c r="BV292" s="111"/>
    </row>
    <row r="293" spans="17:74" x14ac:dyDescent="0.25"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  <c r="AP293" s="111"/>
      <c r="AQ293" s="111"/>
      <c r="AR293" s="111"/>
      <c r="AS293" s="111"/>
      <c r="AT293" s="111"/>
      <c r="AX293" s="111"/>
      <c r="AY293" s="111"/>
      <c r="AZ293" s="111"/>
      <c r="BA293" s="111"/>
      <c r="BB293" s="111"/>
      <c r="BC293" s="111"/>
      <c r="BD293" s="111"/>
      <c r="BE293" s="111"/>
      <c r="BF293" s="111"/>
      <c r="BG293" s="111"/>
      <c r="BI293" s="111"/>
      <c r="BJ293" s="111"/>
      <c r="BK293" s="111"/>
      <c r="BL293" s="111"/>
      <c r="BM293" s="111"/>
      <c r="BN293" s="111"/>
      <c r="BO293" s="111"/>
      <c r="BP293" s="111"/>
      <c r="BQ293" s="111"/>
      <c r="BS293" s="111"/>
      <c r="BT293" s="111"/>
      <c r="BU293" s="111"/>
      <c r="BV293" s="111"/>
    </row>
    <row r="294" spans="17:74" x14ac:dyDescent="0.25"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  <c r="AP294" s="111"/>
      <c r="AQ294" s="111"/>
      <c r="AR294" s="111"/>
      <c r="AS294" s="111"/>
      <c r="AT294" s="111"/>
      <c r="AX294" s="111"/>
      <c r="AY294" s="111"/>
      <c r="AZ294" s="111"/>
      <c r="BA294" s="111"/>
      <c r="BB294" s="111"/>
      <c r="BC294" s="111"/>
      <c r="BD294" s="111"/>
      <c r="BE294" s="111"/>
      <c r="BF294" s="111"/>
      <c r="BG294" s="111"/>
      <c r="BI294" s="111"/>
      <c r="BJ294" s="111"/>
      <c r="BK294" s="111"/>
      <c r="BL294" s="111"/>
      <c r="BM294" s="111"/>
      <c r="BN294" s="111"/>
      <c r="BO294" s="111"/>
      <c r="BP294" s="111"/>
      <c r="BQ294" s="111"/>
      <c r="BS294" s="111"/>
      <c r="BT294" s="111"/>
      <c r="BU294" s="111"/>
      <c r="BV294" s="111"/>
    </row>
    <row r="295" spans="17:74" x14ac:dyDescent="0.25"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  <c r="AP295" s="111"/>
      <c r="AQ295" s="111"/>
      <c r="AR295" s="111"/>
      <c r="AS295" s="111"/>
      <c r="AT295" s="111"/>
      <c r="AX295" s="111"/>
      <c r="AY295" s="111"/>
      <c r="AZ295" s="111"/>
      <c r="BA295" s="111"/>
      <c r="BB295" s="111"/>
      <c r="BC295" s="111"/>
      <c r="BD295" s="111"/>
      <c r="BE295" s="111"/>
      <c r="BF295" s="111"/>
      <c r="BG295" s="111"/>
      <c r="BI295" s="111"/>
      <c r="BJ295" s="111"/>
      <c r="BK295" s="111"/>
      <c r="BL295" s="111"/>
      <c r="BM295" s="111"/>
      <c r="BN295" s="111"/>
      <c r="BO295" s="111"/>
      <c r="BP295" s="111"/>
      <c r="BQ295" s="111"/>
      <c r="BS295" s="111"/>
      <c r="BT295" s="111"/>
      <c r="BU295" s="111"/>
      <c r="BV295" s="111"/>
    </row>
    <row r="296" spans="17:74" x14ac:dyDescent="0.25"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  <c r="AP296" s="111"/>
      <c r="AQ296" s="111"/>
      <c r="AR296" s="111"/>
      <c r="AS296" s="111"/>
      <c r="AT296" s="111"/>
      <c r="AX296" s="111"/>
      <c r="AY296" s="111"/>
      <c r="AZ296" s="111"/>
      <c r="BA296" s="111"/>
      <c r="BB296" s="111"/>
      <c r="BC296" s="111"/>
      <c r="BD296" s="111"/>
      <c r="BE296" s="111"/>
      <c r="BF296" s="111"/>
      <c r="BG296" s="111"/>
      <c r="BI296" s="111"/>
      <c r="BJ296" s="111"/>
      <c r="BK296" s="111"/>
      <c r="BL296" s="111"/>
      <c r="BM296" s="111"/>
      <c r="BN296" s="111"/>
      <c r="BO296" s="111"/>
      <c r="BP296" s="111"/>
      <c r="BQ296" s="111"/>
      <c r="BS296" s="111"/>
      <c r="BT296" s="111"/>
      <c r="BU296" s="111"/>
      <c r="BV296" s="111"/>
    </row>
    <row r="297" spans="17:74" x14ac:dyDescent="0.25"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  <c r="AP297" s="111"/>
      <c r="AQ297" s="111"/>
      <c r="AR297" s="111"/>
      <c r="AS297" s="111"/>
      <c r="AT297" s="111"/>
      <c r="AX297" s="111"/>
      <c r="AY297" s="111"/>
      <c r="AZ297" s="111"/>
      <c r="BA297" s="111"/>
      <c r="BB297" s="111"/>
      <c r="BC297" s="111"/>
      <c r="BD297" s="111"/>
      <c r="BE297" s="111"/>
      <c r="BF297" s="111"/>
      <c r="BG297" s="111"/>
      <c r="BI297" s="111"/>
      <c r="BJ297" s="111"/>
      <c r="BK297" s="111"/>
      <c r="BL297" s="111"/>
      <c r="BM297" s="111"/>
      <c r="BN297" s="111"/>
      <c r="BO297" s="111"/>
      <c r="BP297" s="111"/>
      <c r="BQ297" s="111"/>
      <c r="BS297" s="111"/>
      <c r="BT297" s="111"/>
      <c r="BU297" s="111"/>
      <c r="BV297" s="111"/>
    </row>
    <row r="298" spans="17:74" x14ac:dyDescent="0.25"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  <c r="AP298" s="111"/>
      <c r="AQ298" s="111"/>
      <c r="AR298" s="111"/>
      <c r="AS298" s="111"/>
      <c r="AT298" s="111"/>
      <c r="AX298" s="111"/>
      <c r="AY298" s="111"/>
      <c r="AZ298" s="111"/>
      <c r="BA298" s="111"/>
      <c r="BB298" s="111"/>
      <c r="BC298" s="111"/>
      <c r="BD298" s="111"/>
      <c r="BE298" s="111"/>
      <c r="BF298" s="111"/>
      <c r="BG298" s="111"/>
      <c r="BI298" s="111"/>
      <c r="BJ298" s="111"/>
      <c r="BK298" s="111"/>
      <c r="BL298" s="111"/>
      <c r="BM298" s="111"/>
      <c r="BN298" s="111"/>
      <c r="BO298" s="111"/>
      <c r="BP298" s="111"/>
      <c r="BQ298" s="111"/>
      <c r="BS298" s="111"/>
      <c r="BT298" s="111"/>
      <c r="BU298" s="111"/>
      <c r="BV298" s="111"/>
    </row>
    <row r="299" spans="17:74" x14ac:dyDescent="0.25"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  <c r="AP299" s="111"/>
      <c r="AQ299" s="111"/>
      <c r="AR299" s="111"/>
      <c r="AS299" s="111"/>
      <c r="AT299" s="111"/>
      <c r="AX299" s="111"/>
      <c r="AY299" s="111"/>
      <c r="AZ299" s="111"/>
      <c r="BA299" s="111"/>
      <c r="BB299" s="111"/>
      <c r="BC299" s="111"/>
      <c r="BD299" s="111"/>
      <c r="BE299" s="111"/>
      <c r="BF299" s="111"/>
      <c r="BG299" s="111"/>
      <c r="BI299" s="111"/>
      <c r="BJ299" s="111"/>
      <c r="BK299" s="111"/>
      <c r="BL299" s="111"/>
      <c r="BM299" s="111"/>
      <c r="BN299" s="111"/>
      <c r="BO299" s="111"/>
      <c r="BP299" s="111"/>
      <c r="BQ299" s="111"/>
      <c r="BS299" s="111"/>
      <c r="BT299" s="111"/>
      <c r="BU299" s="111"/>
      <c r="BV299" s="111"/>
    </row>
    <row r="300" spans="17:74" x14ac:dyDescent="0.25"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  <c r="AP300" s="111"/>
      <c r="AQ300" s="111"/>
      <c r="AR300" s="111"/>
      <c r="AS300" s="111"/>
      <c r="AT300" s="111"/>
      <c r="AX300" s="111"/>
      <c r="AY300" s="111"/>
      <c r="AZ300" s="111"/>
      <c r="BA300" s="111"/>
      <c r="BB300" s="111"/>
      <c r="BC300" s="111"/>
      <c r="BD300" s="111"/>
      <c r="BE300" s="111"/>
      <c r="BF300" s="111"/>
      <c r="BG300" s="111"/>
      <c r="BI300" s="111"/>
      <c r="BJ300" s="111"/>
      <c r="BK300" s="111"/>
      <c r="BL300" s="111"/>
      <c r="BM300" s="111"/>
      <c r="BN300" s="111"/>
      <c r="BO300" s="111"/>
      <c r="BP300" s="111"/>
      <c r="BQ300" s="111"/>
      <c r="BS300" s="111"/>
      <c r="BT300" s="111"/>
      <c r="BU300" s="111"/>
      <c r="BV300" s="111"/>
    </row>
    <row r="301" spans="17:74" x14ac:dyDescent="0.25"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  <c r="AP301" s="111"/>
      <c r="AQ301" s="111"/>
      <c r="AR301" s="111"/>
      <c r="AS301" s="111"/>
      <c r="AT301" s="111"/>
      <c r="AX301" s="111"/>
      <c r="AY301" s="111"/>
      <c r="AZ301" s="111"/>
      <c r="BA301" s="111"/>
      <c r="BB301" s="111"/>
      <c r="BC301" s="111"/>
      <c r="BD301" s="111"/>
      <c r="BE301" s="111"/>
      <c r="BF301" s="111"/>
      <c r="BG301" s="111"/>
      <c r="BI301" s="111"/>
      <c r="BJ301" s="111"/>
      <c r="BK301" s="111"/>
      <c r="BL301" s="111"/>
      <c r="BM301" s="111"/>
      <c r="BN301" s="111"/>
      <c r="BO301" s="111"/>
      <c r="BP301" s="111"/>
      <c r="BQ301" s="111"/>
      <c r="BS301" s="111"/>
      <c r="BT301" s="111"/>
      <c r="BU301" s="111"/>
      <c r="BV301" s="111"/>
    </row>
    <row r="302" spans="17:74" x14ac:dyDescent="0.25"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  <c r="AP302" s="111"/>
      <c r="AQ302" s="111"/>
      <c r="AR302" s="111"/>
      <c r="AS302" s="111"/>
      <c r="AT302" s="111"/>
      <c r="AX302" s="111"/>
      <c r="AY302" s="111"/>
      <c r="AZ302" s="111"/>
      <c r="BA302" s="111"/>
      <c r="BB302" s="111"/>
      <c r="BC302" s="111"/>
      <c r="BD302" s="111"/>
      <c r="BE302" s="111"/>
      <c r="BF302" s="111"/>
      <c r="BG302" s="111"/>
      <c r="BI302" s="111"/>
      <c r="BJ302" s="111"/>
      <c r="BK302" s="111"/>
      <c r="BL302" s="111"/>
      <c r="BM302" s="111"/>
      <c r="BN302" s="111"/>
      <c r="BO302" s="111"/>
      <c r="BP302" s="111"/>
      <c r="BQ302" s="111"/>
      <c r="BS302" s="111"/>
      <c r="BT302" s="111"/>
      <c r="BU302" s="111"/>
      <c r="BV302" s="111"/>
    </row>
    <row r="303" spans="17:74" x14ac:dyDescent="0.25"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  <c r="AP303" s="111"/>
      <c r="AQ303" s="111"/>
      <c r="AR303" s="111"/>
      <c r="AS303" s="111"/>
      <c r="AT303" s="111"/>
      <c r="AX303" s="111"/>
      <c r="AY303" s="111"/>
      <c r="AZ303" s="111"/>
      <c r="BA303" s="111"/>
      <c r="BB303" s="111"/>
      <c r="BC303" s="111"/>
      <c r="BD303" s="111"/>
      <c r="BE303" s="111"/>
      <c r="BF303" s="111"/>
      <c r="BG303" s="111"/>
      <c r="BI303" s="111"/>
      <c r="BJ303" s="111"/>
      <c r="BK303" s="111"/>
      <c r="BL303" s="111"/>
      <c r="BM303" s="111"/>
      <c r="BN303" s="111"/>
      <c r="BO303" s="111"/>
      <c r="BP303" s="111"/>
      <c r="BQ303" s="111"/>
      <c r="BS303" s="111"/>
      <c r="BT303" s="111"/>
      <c r="BU303" s="111"/>
      <c r="BV303" s="111"/>
    </row>
    <row r="304" spans="17:74" x14ac:dyDescent="0.25"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  <c r="AP304" s="111"/>
      <c r="AQ304" s="111"/>
      <c r="AR304" s="111"/>
      <c r="AS304" s="111"/>
      <c r="AT304" s="111"/>
      <c r="AX304" s="111"/>
      <c r="AY304" s="111"/>
      <c r="AZ304" s="111"/>
      <c r="BA304" s="111"/>
      <c r="BB304" s="111"/>
      <c r="BC304" s="111"/>
      <c r="BD304" s="111"/>
      <c r="BE304" s="111"/>
      <c r="BF304" s="111"/>
      <c r="BG304" s="111"/>
      <c r="BI304" s="111"/>
      <c r="BJ304" s="111"/>
      <c r="BK304" s="111"/>
      <c r="BL304" s="111"/>
      <c r="BM304" s="111"/>
      <c r="BN304" s="111"/>
      <c r="BO304" s="111"/>
      <c r="BP304" s="111"/>
      <c r="BQ304" s="111"/>
      <c r="BS304" s="111"/>
      <c r="BT304" s="111"/>
      <c r="BU304" s="111"/>
      <c r="BV304" s="111"/>
    </row>
    <row r="305" spans="17:74" x14ac:dyDescent="0.25"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  <c r="AP305" s="111"/>
      <c r="AQ305" s="111"/>
      <c r="AR305" s="111"/>
      <c r="AS305" s="111"/>
      <c r="AT305" s="111"/>
      <c r="AX305" s="111"/>
      <c r="AY305" s="111"/>
      <c r="AZ305" s="111"/>
      <c r="BA305" s="111"/>
      <c r="BB305" s="111"/>
      <c r="BC305" s="111"/>
      <c r="BD305" s="111"/>
      <c r="BE305" s="111"/>
      <c r="BF305" s="111"/>
      <c r="BG305" s="111"/>
      <c r="BI305" s="111"/>
      <c r="BJ305" s="111"/>
      <c r="BK305" s="111"/>
      <c r="BL305" s="111"/>
      <c r="BM305" s="111"/>
      <c r="BN305" s="111"/>
      <c r="BO305" s="111"/>
      <c r="BP305" s="111"/>
      <c r="BQ305" s="111"/>
      <c r="BS305" s="111"/>
      <c r="BT305" s="111"/>
      <c r="BU305" s="111"/>
      <c r="BV305" s="111"/>
    </row>
    <row r="306" spans="17:74" x14ac:dyDescent="0.25"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  <c r="AP306" s="111"/>
      <c r="AQ306" s="111"/>
      <c r="AR306" s="111"/>
      <c r="AS306" s="111"/>
      <c r="AT306" s="111"/>
      <c r="AX306" s="111"/>
      <c r="AY306" s="111"/>
      <c r="AZ306" s="111"/>
      <c r="BA306" s="111"/>
      <c r="BB306" s="111"/>
      <c r="BC306" s="111"/>
      <c r="BD306" s="111"/>
      <c r="BE306" s="111"/>
      <c r="BF306" s="111"/>
      <c r="BG306" s="111"/>
      <c r="BI306" s="111"/>
      <c r="BJ306" s="111"/>
      <c r="BK306" s="111"/>
      <c r="BL306" s="111"/>
      <c r="BM306" s="111"/>
      <c r="BN306" s="111"/>
      <c r="BO306" s="111"/>
      <c r="BP306" s="111"/>
      <c r="BQ306" s="111"/>
      <c r="BS306" s="111"/>
      <c r="BT306" s="111"/>
      <c r="BU306" s="111"/>
      <c r="BV306" s="111"/>
    </row>
    <row r="307" spans="17:74" x14ac:dyDescent="0.25"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  <c r="AP307" s="111"/>
      <c r="AQ307" s="111"/>
      <c r="AR307" s="111"/>
      <c r="AS307" s="111"/>
      <c r="AT307" s="111"/>
      <c r="AX307" s="111"/>
      <c r="AY307" s="111"/>
      <c r="AZ307" s="111"/>
      <c r="BA307" s="111"/>
      <c r="BB307" s="111"/>
      <c r="BC307" s="111"/>
      <c r="BD307" s="111"/>
      <c r="BE307" s="111"/>
      <c r="BF307" s="111"/>
      <c r="BG307" s="111"/>
      <c r="BI307" s="111"/>
      <c r="BJ307" s="111"/>
      <c r="BK307" s="111"/>
      <c r="BL307" s="111"/>
      <c r="BM307" s="111"/>
      <c r="BN307" s="111"/>
      <c r="BO307" s="111"/>
      <c r="BP307" s="111"/>
      <c r="BQ307" s="111"/>
      <c r="BS307" s="111"/>
      <c r="BT307" s="111"/>
      <c r="BU307" s="111"/>
      <c r="BV307" s="111"/>
    </row>
    <row r="308" spans="17:74" x14ac:dyDescent="0.25"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X308" s="111"/>
      <c r="AY308" s="111"/>
      <c r="AZ308" s="111"/>
      <c r="BA308" s="111"/>
      <c r="BB308" s="111"/>
      <c r="BC308" s="111"/>
      <c r="BD308" s="111"/>
      <c r="BE308" s="111"/>
      <c r="BF308" s="111"/>
      <c r="BG308" s="111"/>
      <c r="BI308" s="111"/>
      <c r="BJ308" s="111"/>
      <c r="BK308" s="111"/>
      <c r="BL308" s="111"/>
      <c r="BM308" s="111"/>
      <c r="BN308" s="111"/>
      <c r="BO308" s="111"/>
      <c r="BP308" s="111"/>
      <c r="BQ308" s="111"/>
      <c r="BS308" s="111"/>
      <c r="BT308" s="111"/>
      <c r="BU308" s="111"/>
      <c r="BV308" s="111"/>
    </row>
    <row r="309" spans="17:74" x14ac:dyDescent="0.25"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111"/>
      <c r="AB309" s="111"/>
      <c r="AC309" s="111"/>
      <c r="AD309" s="111"/>
      <c r="AE309" s="111"/>
      <c r="AF309" s="111"/>
      <c r="AG309" s="111"/>
      <c r="AH309" s="111"/>
      <c r="AI309" s="111"/>
      <c r="AJ309" s="111"/>
      <c r="AK309" s="111"/>
      <c r="AL309" s="111"/>
      <c r="AM309" s="111"/>
      <c r="AN309" s="111"/>
      <c r="AO309" s="111"/>
      <c r="AP309" s="111"/>
      <c r="AQ309" s="111"/>
      <c r="AR309" s="111"/>
      <c r="AS309" s="111"/>
      <c r="AT309" s="111"/>
      <c r="AX309" s="111"/>
      <c r="AY309" s="111"/>
      <c r="AZ309" s="111"/>
      <c r="BA309" s="111"/>
      <c r="BB309" s="111"/>
      <c r="BC309" s="111"/>
      <c r="BD309" s="111"/>
      <c r="BE309" s="111"/>
      <c r="BF309" s="111"/>
      <c r="BG309" s="111"/>
      <c r="BI309" s="111"/>
      <c r="BJ309" s="111"/>
      <c r="BK309" s="111"/>
      <c r="BL309" s="111"/>
      <c r="BM309" s="111"/>
      <c r="BN309" s="111"/>
      <c r="BO309" s="111"/>
      <c r="BP309" s="111"/>
      <c r="BQ309" s="111"/>
      <c r="BS309" s="111"/>
      <c r="BT309" s="111"/>
      <c r="BU309" s="111"/>
      <c r="BV309" s="111"/>
    </row>
    <row r="310" spans="17:74" x14ac:dyDescent="0.25"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  <c r="AP310" s="111"/>
      <c r="AQ310" s="111"/>
      <c r="AR310" s="111"/>
      <c r="AS310" s="111"/>
      <c r="AT310" s="111"/>
      <c r="AX310" s="111"/>
      <c r="AY310" s="111"/>
      <c r="AZ310" s="111"/>
      <c r="BA310" s="111"/>
      <c r="BB310" s="111"/>
      <c r="BC310" s="111"/>
      <c r="BD310" s="111"/>
      <c r="BE310" s="111"/>
      <c r="BF310" s="111"/>
      <c r="BG310" s="111"/>
      <c r="BI310" s="111"/>
      <c r="BJ310" s="111"/>
      <c r="BK310" s="111"/>
      <c r="BL310" s="111"/>
      <c r="BM310" s="111"/>
      <c r="BN310" s="111"/>
      <c r="BO310" s="111"/>
      <c r="BP310" s="111"/>
      <c r="BQ310" s="111"/>
      <c r="BS310" s="111"/>
      <c r="BT310" s="111"/>
      <c r="BU310" s="111"/>
      <c r="BV310" s="111"/>
    </row>
    <row r="311" spans="17:74" x14ac:dyDescent="0.25"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X311" s="111"/>
      <c r="AY311" s="111"/>
      <c r="AZ311" s="111"/>
      <c r="BA311" s="111"/>
      <c r="BB311" s="111"/>
      <c r="BC311" s="111"/>
      <c r="BD311" s="111"/>
      <c r="BE311" s="111"/>
      <c r="BF311" s="111"/>
      <c r="BG311" s="111"/>
      <c r="BI311" s="111"/>
      <c r="BJ311" s="111"/>
      <c r="BK311" s="111"/>
      <c r="BL311" s="111"/>
      <c r="BM311" s="111"/>
      <c r="BN311" s="111"/>
      <c r="BO311" s="111"/>
      <c r="BP311" s="111"/>
      <c r="BQ311" s="111"/>
      <c r="BS311" s="111"/>
      <c r="BT311" s="111"/>
      <c r="BU311" s="111"/>
      <c r="BV311" s="111"/>
    </row>
    <row r="312" spans="17:74" x14ac:dyDescent="0.25"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  <c r="AP312" s="111"/>
      <c r="AQ312" s="111"/>
      <c r="AR312" s="111"/>
      <c r="AS312" s="111"/>
      <c r="AT312" s="111"/>
      <c r="AX312" s="111"/>
      <c r="AY312" s="111"/>
      <c r="AZ312" s="111"/>
      <c r="BA312" s="111"/>
      <c r="BB312" s="111"/>
      <c r="BC312" s="111"/>
      <c r="BD312" s="111"/>
      <c r="BE312" s="111"/>
      <c r="BF312" s="111"/>
      <c r="BG312" s="111"/>
      <c r="BI312" s="111"/>
      <c r="BJ312" s="111"/>
      <c r="BK312" s="111"/>
      <c r="BL312" s="111"/>
      <c r="BM312" s="111"/>
      <c r="BN312" s="111"/>
      <c r="BO312" s="111"/>
      <c r="BP312" s="111"/>
      <c r="BQ312" s="111"/>
      <c r="BS312" s="111"/>
      <c r="BT312" s="111"/>
      <c r="BU312" s="111"/>
      <c r="BV312" s="111"/>
    </row>
    <row r="313" spans="17:74" x14ac:dyDescent="0.25"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  <c r="AP313" s="111"/>
      <c r="AQ313" s="111"/>
      <c r="AR313" s="111"/>
      <c r="AS313" s="111"/>
      <c r="AT313" s="111"/>
      <c r="AX313" s="111"/>
      <c r="AY313" s="111"/>
      <c r="AZ313" s="111"/>
      <c r="BA313" s="111"/>
      <c r="BB313" s="111"/>
      <c r="BC313" s="111"/>
      <c r="BD313" s="111"/>
      <c r="BE313" s="111"/>
      <c r="BF313" s="111"/>
      <c r="BG313" s="111"/>
      <c r="BI313" s="111"/>
      <c r="BJ313" s="111"/>
      <c r="BK313" s="111"/>
      <c r="BL313" s="111"/>
      <c r="BM313" s="111"/>
      <c r="BN313" s="111"/>
      <c r="BO313" s="111"/>
      <c r="BP313" s="111"/>
      <c r="BQ313" s="111"/>
      <c r="BS313" s="111"/>
      <c r="BT313" s="111"/>
      <c r="BU313" s="111"/>
      <c r="BV313" s="111"/>
    </row>
    <row r="314" spans="17:74" x14ac:dyDescent="0.25"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  <c r="AP314" s="111"/>
      <c r="AQ314" s="111"/>
      <c r="AR314" s="111"/>
      <c r="AS314" s="111"/>
      <c r="AT314" s="111"/>
      <c r="AX314" s="111"/>
      <c r="AY314" s="111"/>
      <c r="AZ314" s="111"/>
      <c r="BA314" s="111"/>
      <c r="BB314" s="111"/>
      <c r="BC314" s="111"/>
      <c r="BD314" s="111"/>
      <c r="BE314" s="111"/>
      <c r="BF314" s="111"/>
      <c r="BG314" s="111"/>
      <c r="BI314" s="111"/>
      <c r="BJ314" s="111"/>
      <c r="BK314" s="111"/>
      <c r="BL314" s="111"/>
      <c r="BM314" s="111"/>
      <c r="BN314" s="111"/>
      <c r="BO314" s="111"/>
      <c r="BP314" s="111"/>
      <c r="BQ314" s="111"/>
      <c r="BS314" s="111"/>
      <c r="BT314" s="111"/>
      <c r="BU314" s="111"/>
      <c r="BV314" s="111"/>
    </row>
    <row r="315" spans="17:74" x14ac:dyDescent="0.25"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P315" s="111"/>
      <c r="AQ315" s="111"/>
      <c r="AR315" s="111"/>
      <c r="AS315" s="111"/>
      <c r="AT315" s="111"/>
      <c r="AX315" s="111"/>
      <c r="AY315" s="111"/>
      <c r="AZ315" s="111"/>
      <c r="BA315" s="111"/>
      <c r="BB315" s="111"/>
      <c r="BC315" s="111"/>
      <c r="BD315" s="111"/>
      <c r="BE315" s="111"/>
      <c r="BF315" s="111"/>
      <c r="BG315" s="111"/>
      <c r="BI315" s="111"/>
      <c r="BJ315" s="111"/>
      <c r="BK315" s="111"/>
      <c r="BL315" s="111"/>
      <c r="BM315" s="111"/>
      <c r="BN315" s="111"/>
      <c r="BO315" s="111"/>
      <c r="BP315" s="111"/>
      <c r="BQ315" s="111"/>
      <c r="BS315" s="111"/>
      <c r="BT315" s="111"/>
      <c r="BU315" s="111"/>
      <c r="BV315" s="111"/>
    </row>
    <row r="316" spans="17:74" x14ac:dyDescent="0.25"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P316" s="111"/>
      <c r="AQ316" s="111"/>
      <c r="AR316" s="111"/>
      <c r="AS316" s="111"/>
      <c r="AT316" s="111"/>
      <c r="AX316" s="111"/>
      <c r="AY316" s="111"/>
      <c r="AZ316" s="111"/>
      <c r="BA316" s="111"/>
      <c r="BB316" s="111"/>
      <c r="BC316" s="111"/>
      <c r="BD316" s="111"/>
      <c r="BE316" s="111"/>
      <c r="BF316" s="111"/>
      <c r="BG316" s="111"/>
      <c r="BI316" s="111"/>
      <c r="BJ316" s="111"/>
      <c r="BK316" s="111"/>
      <c r="BL316" s="111"/>
      <c r="BM316" s="111"/>
      <c r="BN316" s="111"/>
      <c r="BO316" s="111"/>
      <c r="BP316" s="111"/>
      <c r="BQ316" s="111"/>
      <c r="BS316" s="111"/>
      <c r="BT316" s="111"/>
      <c r="BU316" s="111"/>
      <c r="BV316" s="111"/>
    </row>
    <row r="317" spans="17:74" x14ac:dyDescent="0.25"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  <c r="AP317" s="111"/>
      <c r="AQ317" s="111"/>
      <c r="AR317" s="111"/>
      <c r="AS317" s="111"/>
      <c r="AT317" s="111"/>
      <c r="AX317" s="111"/>
      <c r="AY317" s="111"/>
      <c r="AZ317" s="111"/>
      <c r="BA317" s="111"/>
      <c r="BB317" s="111"/>
      <c r="BC317" s="111"/>
      <c r="BD317" s="111"/>
      <c r="BE317" s="111"/>
      <c r="BF317" s="111"/>
      <c r="BG317" s="111"/>
      <c r="BI317" s="111"/>
      <c r="BJ317" s="111"/>
      <c r="BK317" s="111"/>
      <c r="BL317" s="111"/>
      <c r="BM317" s="111"/>
      <c r="BN317" s="111"/>
      <c r="BO317" s="111"/>
      <c r="BP317" s="111"/>
      <c r="BQ317" s="111"/>
      <c r="BS317" s="111"/>
      <c r="BT317" s="111"/>
      <c r="BU317" s="111"/>
      <c r="BV317" s="111"/>
    </row>
    <row r="318" spans="17:74" x14ac:dyDescent="0.25"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  <c r="AP318" s="111"/>
      <c r="AQ318" s="111"/>
      <c r="AR318" s="111"/>
      <c r="AS318" s="111"/>
      <c r="AT318" s="111"/>
      <c r="AX318" s="111"/>
      <c r="AY318" s="111"/>
      <c r="AZ318" s="111"/>
      <c r="BA318" s="111"/>
      <c r="BB318" s="111"/>
      <c r="BC318" s="111"/>
      <c r="BD318" s="111"/>
      <c r="BE318" s="111"/>
      <c r="BF318" s="111"/>
      <c r="BG318" s="111"/>
      <c r="BI318" s="111"/>
      <c r="BJ318" s="111"/>
      <c r="BK318" s="111"/>
      <c r="BL318" s="111"/>
      <c r="BM318" s="111"/>
      <c r="BN318" s="111"/>
      <c r="BO318" s="111"/>
      <c r="BP318" s="111"/>
      <c r="BQ318" s="111"/>
      <c r="BS318" s="111"/>
      <c r="BT318" s="111"/>
      <c r="BU318" s="111"/>
      <c r="BV318" s="111"/>
    </row>
    <row r="319" spans="17:74" x14ac:dyDescent="0.25"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  <c r="AP319" s="111"/>
      <c r="AQ319" s="111"/>
      <c r="AR319" s="111"/>
      <c r="AS319" s="111"/>
      <c r="AT319" s="111"/>
      <c r="AX319" s="111"/>
      <c r="AY319" s="111"/>
      <c r="AZ319" s="111"/>
      <c r="BA319" s="111"/>
      <c r="BB319" s="111"/>
      <c r="BC319" s="111"/>
      <c r="BD319" s="111"/>
      <c r="BE319" s="111"/>
      <c r="BF319" s="111"/>
      <c r="BG319" s="111"/>
      <c r="BI319" s="111"/>
      <c r="BJ319" s="111"/>
      <c r="BK319" s="111"/>
      <c r="BL319" s="111"/>
      <c r="BM319" s="111"/>
      <c r="BN319" s="111"/>
      <c r="BO319" s="111"/>
      <c r="BP319" s="111"/>
      <c r="BQ319" s="111"/>
      <c r="BS319" s="111"/>
      <c r="BT319" s="111"/>
      <c r="BU319" s="111"/>
      <c r="BV319" s="111"/>
    </row>
    <row r="320" spans="17:74" x14ac:dyDescent="0.25"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  <c r="AP320" s="111"/>
      <c r="AQ320" s="111"/>
      <c r="AR320" s="111"/>
      <c r="AS320" s="111"/>
      <c r="AT320" s="111"/>
      <c r="AX320" s="111"/>
      <c r="AY320" s="111"/>
      <c r="AZ320" s="111"/>
      <c r="BA320" s="111"/>
      <c r="BB320" s="111"/>
      <c r="BC320" s="111"/>
      <c r="BD320" s="111"/>
      <c r="BE320" s="111"/>
      <c r="BF320" s="111"/>
      <c r="BG320" s="111"/>
      <c r="BI320" s="111"/>
      <c r="BJ320" s="111"/>
      <c r="BK320" s="111"/>
      <c r="BL320" s="111"/>
      <c r="BM320" s="111"/>
      <c r="BN320" s="111"/>
      <c r="BO320" s="111"/>
      <c r="BP320" s="111"/>
      <c r="BQ320" s="111"/>
      <c r="BS320" s="111"/>
      <c r="BT320" s="111"/>
      <c r="BU320" s="111"/>
      <c r="BV320" s="111"/>
    </row>
    <row r="321" spans="17:74" x14ac:dyDescent="0.25"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  <c r="AP321" s="111"/>
      <c r="AQ321" s="111"/>
      <c r="AR321" s="111"/>
      <c r="AS321" s="111"/>
      <c r="AT321" s="111"/>
      <c r="AX321" s="111"/>
      <c r="AY321" s="111"/>
      <c r="AZ321" s="111"/>
      <c r="BA321" s="111"/>
      <c r="BB321" s="111"/>
      <c r="BC321" s="111"/>
      <c r="BD321" s="111"/>
      <c r="BE321" s="111"/>
      <c r="BF321" s="111"/>
      <c r="BG321" s="111"/>
      <c r="BI321" s="111"/>
      <c r="BJ321" s="111"/>
      <c r="BK321" s="111"/>
      <c r="BL321" s="111"/>
      <c r="BM321" s="111"/>
      <c r="BN321" s="111"/>
      <c r="BO321" s="111"/>
      <c r="BP321" s="111"/>
      <c r="BQ321" s="111"/>
      <c r="BS321" s="111"/>
      <c r="BT321" s="111"/>
      <c r="BU321" s="111"/>
      <c r="BV321" s="111"/>
    </row>
    <row r="322" spans="17:74" x14ac:dyDescent="0.25"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  <c r="AP322" s="111"/>
      <c r="AQ322" s="111"/>
      <c r="AR322" s="111"/>
      <c r="AS322" s="111"/>
      <c r="AT322" s="111"/>
      <c r="AX322" s="111"/>
      <c r="AY322" s="111"/>
      <c r="AZ322" s="111"/>
      <c r="BA322" s="111"/>
      <c r="BB322" s="111"/>
      <c r="BC322" s="111"/>
      <c r="BD322" s="111"/>
      <c r="BE322" s="111"/>
      <c r="BF322" s="111"/>
      <c r="BG322" s="111"/>
      <c r="BI322" s="111"/>
      <c r="BJ322" s="111"/>
      <c r="BK322" s="111"/>
      <c r="BL322" s="111"/>
      <c r="BM322" s="111"/>
      <c r="BN322" s="111"/>
      <c r="BO322" s="111"/>
      <c r="BP322" s="111"/>
      <c r="BQ322" s="111"/>
      <c r="BS322" s="111"/>
      <c r="BT322" s="111"/>
      <c r="BU322" s="111"/>
      <c r="BV322" s="111"/>
    </row>
    <row r="323" spans="17:74" x14ac:dyDescent="0.25"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  <c r="AP323" s="111"/>
      <c r="AQ323" s="111"/>
      <c r="AR323" s="111"/>
      <c r="AS323" s="111"/>
      <c r="AT323" s="111"/>
      <c r="AX323" s="111"/>
      <c r="AY323" s="111"/>
      <c r="AZ323" s="111"/>
      <c r="BA323" s="111"/>
      <c r="BB323" s="111"/>
      <c r="BC323" s="111"/>
      <c r="BD323" s="111"/>
      <c r="BE323" s="111"/>
      <c r="BF323" s="111"/>
      <c r="BG323" s="111"/>
      <c r="BI323" s="111"/>
      <c r="BJ323" s="111"/>
      <c r="BK323" s="111"/>
      <c r="BL323" s="111"/>
      <c r="BM323" s="111"/>
      <c r="BN323" s="111"/>
      <c r="BO323" s="111"/>
      <c r="BP323" s="111"/>
      <c r="BQ323" s="111"/>
      <c r="BS323" s="111"/>
      <c r="BT323" s="111"/>
      <c r="BU323" s="111"/>
      <c r="BV323" s="111"/>
    </row>
    <row r="324" spans="17:74" x14ac:dyDescent="0.25"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  <c r="AP324" s="111"/>
      <c r="AQ324" s="111"/>
      <c r="AR324" s="111"/>
      <c r="AS324" s="111"/>
      <c r="AT324" s="111"/>
      <c r="AX324" s="111"/>
      <c r="AY324" s="111"/>
      <c r="AZ324" s="111"/>
      <c r="BA324" s="111"/>
      <c r="BB324" s="111"/>
      <c r="BC324" s="111"/>
      <c r="BD324" s="111"/>
      <c r="BE324" s="111"/>
      <c r="BF324" s="111"/>
      <c r="BG324" s="111"/>
      <c r="BI324" s="111"/>
      <c r="BJ324" s="111"/>
      <c r="BK324" s="111"/>
      <c r="BL324" s="111"/>
      <c r="BM324" s="111"/>
      <c r="BN324" s="111"/>
      <c r="BO324" s="111"/>
      <c r="BP324" s="111"/>
      <c r="BQ324" s="111"/>
      <c r="BS324" s="111"/>
      <c r="BT324" s="111"/>
      <c r="BU324" s="111"/>
      <c r="BV324" s="111"/>
    </row>
    <row r="325" spans="17:74" x14ac:dyDescent="0.25"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  <c r="AP325" s="111"/>
      <c r="AQ325" s="111"/>
      <c r="AR325" s="111"/>
      <c r="AS325" s="111"/>
      <c r="AT325" s="111"/>
      <c r="AX325" s="111"/>
      <c r="AY325" s="111"/>
      <c r="AZ325" s="111"/>
      <c r="BA325" s="111"/>
      <c r="BB325" s="111"/>
      <c r="BC325" s="111"/>
      <c r="BD325" s="111"/>
      <c r="BE325" s="111"/>
      <c r="BF325" s="111"/>
      <c r="BG325" s="111"/>
      <c r="BI325" s="111"/>
      <c r="BJ325" s="111"/>
      <c r="BK325" s="111"/>
      <c r="BL325" s="111"/>
      <c r="BM325" s="111"/>
      <c r="BN325" s="111"/>
      <c r="BO325" s="111"/>
      <c r="BP325" s="111"/>
      <c r="BQ325" s="111"/>
      <c r="BS325" s="111"/>
      <c r="BT325" s="111"/>
      <c r="BU325" s="111"/>
      <c r="BV325" s="111"/>
    </row>
    <row r="326" spans="17:74" x14ac:dyDescent="0.25"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  <c r="AP326" s="111"/>
      <c r="AQ326" s="111"/>
      <c r="AR326" s="111"/>
      <c r="AS326" s="111"/>
      <c r="AT326" s="111"/>
      <c r="AX326" s="111"/>
      <c r="AY326" s="111"/>
      <c r="AZ326" s="111"/>
      <c r="BA326" s="111"/>
      <c r="BB326" s="111"/>
      <c r="BC326" s="111"/>
      <c r="BD326" s="111"/>
      <c r="BE326" s="111"/>
      <c r="BF326" s="111"/>
      <c r="BG326" s="111"/>
      <c r="BI326" s="111"/>
      <c r="BJ326" s="111"/>
      <c r="BK326" s="111"/>
      <c r="BL326" s="111"/>
      <c r="BM326" s="111"/>
      <c r="BN326" s="111"/>
      <c r="BO326" s="111"/>
      <c r="BP326" s="111"/>
      <c r="BQ326" s="111"/>
      <c r="BS326" s="111"/>
      <c r="BT326" s="111"/>
      <c r="BU326" s="111"/>
      <c r="BV326" s="111"/>
    </row>
    <row r="327" spans="17:74" x14ac:dyDescent="0.25"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  <c r="AP327" s="111"/>
      <c r="AQ327" s="111"/>
      <c r="AR327" s="111"/>
      <c r="AS327" s="111"/>
      <c r="AT327" s="111"/>
      <c r="AX327" s="111"/>
      <c r="AY327" s="111"/>
      <c r="AZ327" s="111"/>
      <c r="BA327" s="111"/>
      <c r="BB327" s="111"/>
      <c r="BC327" s="111"/>
      <c r="BD327" s="111"/>
      <c r="BE327" s="111"/>
      <c r="BF327" s="111"/>
      <c r="BG327" s="111"/>
      <c r="BI327" s="111"/>
      <c r="BJ327" s="111"/>
      <c r="BK327" s="111"/>
      <c r="BL327" s="111"/>
      <c r="BM327" s="111"/>
      <c r="BN327" s="111"/>
      <c r="BO327" s="111"/>
      <c r="BP327" s="111"/>
      <c r="BQ327" s="111"/>
      <c r="BS327" s="111"/>
      <c r="BT327" s="111"/>
      <c r="BU327" s="111"/>
      <c r="BV327" s="111"/>
    </row>
    <row r="328" spans="17:74" x14ac:dyDescent="0.25"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  <c r="AP328" s="111"/>
      <c r="AQ328" s="111"/>
      <c r="AR328" s="111"/>
      <c r="AS328" s="111"/>
      <c r="AT328" s="111"/>
      <c r="AX328" s="111"/>
      <c r="AY328" s="111"/>
      <c r="AZ328" s="111"/>
      <c r="BA328" s="111"/>
      <c r="BB328" s="111"/>
      <c r="BC328" s="111"/>
      <c r="BD328" s="111"/>
      <c r="BE328" s="111"/>
      <c r="BF328" s="111"/>
      <c r="BG328" s="111"/>
      <c r="BI328" s="111"/>
      <c r="BJ328" s="111"/>
      <c r="BK328" s="111"/>
      <c r="BL328" s="111"/>
      <c r="BM328" s="111"/>
      <c r="BN328" s="111"/>
      <c r="BO328" s="111"/>
      <c r="BP328" s="111"/>
      <c r="BQ328" s="111"/>
      <c r="BS328" s="111"/>
      <c r="BT328" s="111"/>
      <c r="BU328" s="111"/>
      <c r="BV328" s="111"/>
    </row>
    <row r="329" spans="17:74" x14ac:dyDescent="0.25"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  <c r="AP329" s="111"/>
      <c r="AQ329" s="111"/>
      <c r="AR329" s="111"/>
      <c r="AS329" s="111"/>
      <c r="AT329" s="111"/>
      <c r="AX329" s="111"/>
      <c r="AY329" s="111"/>
      <c r="AZ329" s="111"/>
      <c r="BA329" s="111"/>
      <c r="BB329" s="111"/>
      <c r="BC329" s="111"/>
      <c r="BD329" s="111"/>
      <c r="BE329" s="111"/>
      <c r="BF329" s="111"/>
      <c r="BG329" s="111"/>
      <c r="BI329" s="111"/>
      <c r="BJ329" s="111"/>
      <c r="BK329" s="111"/>
      <c r="BL329" s="111"/>
      <c r="BM329" s="111"/>
      <c r="BN329" s="111"/>
      <c r="BO329" s="111"/>
      <c r="BP329" s="111"/>
      <c r="BQ329" s="111"/>
      <c r="BS329" s="111"/>
      <c r="BT329" s="111"/>
      <c r="BU329" s="111"/>
      <c r="BV329" s="111"/>
    </row>
    <row r="330" spans="17:74" x14ac:dyDescent="0.25"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  <c r="AP330" s="111"/>
      <c r="AQ330" s="111"/>
      <c r="AR330" s="111"/>
      <c r="AS330" s="111"/>
      <c r="AT330" s="111"/>
      <c r="AX330" s="111"/>
      <c r="AY330" s="111"/>
      <c r="AZ330" s="111"/>
      <c r="BA330" s="111"/>
      <c r="BB330" s="111"/>
      <c r="BC330" s="111"/>
      <c r="BD330" s="111"/>
      <c r="BE330" s="111"/>
      <c r="BF330" s="111"/>
      <c r="BG330" s="111"/>
      <c r="BI330" s="111"/>
      <c r="BJ330" s="111"/>
      <c r="BK330" s="111"/>
      <c r="BL330" s="111"/>
      <c r="BM330" s="111"/>
      <c r="BN330" s="111"/>
      <c r="BO330" s="111"/>
      <c r="BP330" s="111"/>
      <c r="BQ330" s="111"/>
      <c r="BS330" s="111"/>
      <c r="BT330" s="111"/>
      <c r="BU330" s="111"/>
      <c r="BV330" s="111"/>
    </row>
    <row r="331" spans="17:74" x14ac:dyDescent="0.25"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  <c r="AP331" s="111"/>
      <c r="AQ331" s="111"/>
      <c r="AR331" s="111"/>
      <c r="AS331" s="111"/>
      <c r="AT331" s="111"/>
      <c r="AX331" s="111"/>
      <c r="AY331" s="111"/>
      <c r="AZ331" s="111"/>
      <c r="BA331" s="111"/>
      <c r="BB331" s="111"/>
      <c r="BC331" s="111"/>
      <c r="BD331" s="111"/>
      <c r="BE331" s="111"/>
      <c r="BF331" s="111"/>
      <c r="BG331" s="111"/>
      <c r="BI331" s="111"/>
      <c r="BJ331" s="111"/>
      <c r="BK331" s="111"/>
      <c r="BL331" s="111"/>
      <c r="BM331" s="111"/>
      <c r="BN331" s="111"/>
      <c r="BO331" s="111"/>
      <c r="BP331" s="111"/>
      <c r="BQ331" s="111"/>
      <c r="BS331" s="111"/>
      <c r="BT331" s="111"/>
      <c r="BU331" s="111"/>
      <c r="BV331" s="111"/>
    </row>
    <row r="332" spans="17:74" x14ac:dyDescent="0.25"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  <c r="AP332" s="111"/>
      <c r="AQ332" s="111"/>
      <c r="AR332" s="111"/>
      <c r="AS332" s="111"/>
      <c r="AT332" s="111"/>
      <c r="AX332" s="111"/>
      <c r="AY332" s="111"/>
      <c r="AZ332" s="111"/>
      <c r="BA332" s="111"/>
      <c r="BB332" s="111"/>
      <c r="BC332" s="111"/>
      <c r="BD332" s="111"/>
      <c r="BE332" s="111"/>
      <c r="BF332" s="111"/>
      <c r="BG332" s="111"/>
      <c r="BI332" s="111"/>
      <c r="BJ332" s="111"/>
      <c r="BK332" s="111"/>
      <c r="BL332" s="111"/>
      <c r="BM332" s="111"/>
      <c r="BN332" s="111"/>
      <c r="BO332" s="111"/>
      <c r="BP332" s="111"/>
      <c r="BQ332" s="111"/>
      <c r="BS332" s="111"/>
      <c r="BT332" s="111"/>
      <c r="BU332" s="111"/>
      <c r="BV332" s="111"/>
    </row>
    <row r="333" spans="17:74" x14ac:dyDescent="0.25"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  <c r="AP333" s="111"/>
      <c r="AQ333" s="111"/>
      <c r="AR333" s="111"/>
      <c r="AS333" s="111"/>
      <c r="AT333" s="111"/>
      <c r="AX333" s="111"/>
      <c r="AY333" s="111"/>
      <c r="AZ333" s="111"/>
      <c r="BA333" s="111"/>
      <c r="BB333" s="111"/>
      <c r="BC333" s="111"/>
      <c r="BD333" s="111"/>
      <c r="BE333" s="111"/>
      <c r="BF333" s="111"/>
      <c r="BG333" s="111"/>
      <c r="BI333" s="111"/>
      <c r="BJ333" s="111"/>
      <c r="BK333" s="111"/>
      <c r="BL333" s="111"/>
      <c r="BM333" s="111"/>
      <c r="BN333" s="111"/>
      <c r="BO333" s="111"/>
      <c r="BP333" s="111"/>
      <c r="BQ333" s="111"/>
      <c r="BS333" s="111"/>
      <c r="BT333" s="111"/>
      <c r="BU333" s="111"/>
      <c r="BV333" s="111"/>
    </row>
    <row r="334" spans="17:74" x14ac:dyDescent="0.25"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  <c r="AP334" s="111"/>
      <c r="AQ334" s="111"/>
      <c r="AR334" s="111"/>
      <c r="AS334" s="111"/>
      <c r="AT334" s="111"/>
      <c r="AX334" s="111"/>
      <c r="AY334" s="111"/>
      <c r="AZ334" s="111"/>
      <c r="BA334" s="111"/>
      <c r="BB334" s="111"/>
      <c r="BC334" s="111"/>
      <c r="BD334" s="111"/>
      <c r="BE334" s="111"/>
      <c r="BF334" s="111"/>
      <c r="BG334" s="111"/>
      <c r="BI334" s="111"/>
      <c r="BJ334" s="111"/>
      <c r="BK334" s="111"/>
      <c r="BL334" s="111"/>
      <c r="BM334" s="111"/>
      <c r="BN334" s="111"/>
      <c r="BO334" s="111"/>
      <c r="BP334" s="111"/>
      <c r="BQ334" s="111"/>
      <c r="BS334" s="111"/>
      <c r="BT334" s="111"/>
      <c r="BU334" s="111"/>
      <c r="BV334" s="111"/>
    </row>
    <row r="335" spans="17:74" x14ac:dyDescent="0.25"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  <c r="AP335" s="111"/>
      <c r="AQ335" s="111"/>
      <c r="AR335" s="111"/>
      <c r="AS335" s="111"/>
      <c r="AT335" s="111"/>
      <c r="AX335" s="111"/>
      <c r="AY335" s="111"/>
      <c r="AZ335" s="111"/>
      <c r="BA335" s="111"/>
      <c r="BB335" s="111"/>
      <c r="BC335" s="111"/>
      <c r="BD335" s="111"/>
      <c r="BE335" s="111"/>
      <c r="BF335" s="111"/>
      <c r="BG335" s="111"/>
      <c r="BI335" s="111"/>
      <c r="BJ335" s="111"/>
      <c r="BK335" s="111"/>
      <c r="BL335" s="111"/>
      <c r="BM335" s="111"/>
      <c r="BN335" s="111"/>
      <c r="BO335" s="111"/>
      <c r="BP335" s="111"/>
      <c r="BQ335" s="111"/>
      <c r="BS335" s="111"/>
      <c r="BT335" s="111"/>
      <c r="BU335" s="111"/>
      <c r="BV335" s="111"/>
    </row>
    <row r="336" spans="17:74" x14ac:dyDescent="0.25"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  <c r="AP336" s="111"/>
      <c r="AQ336" s="111"/>
      <c r="AR336" s="111"/>
      <c r="AS336" s="111"/>
      <c r="AT336" s="111"/>
      <c r="AX336" s="111"/>
      <c r="AY336" s="111"/>
      <c r="AZ336" s="111"/>
      <c r="BA336" s="111"/>
      <c r="BB336" s="111"/>
      <c r="BC336" s="111"/>
      <c r="BD336" s="111"/>
      <c r="BE336" s="111"/>
      <c r="BF336" s="111"/>
      <c r="BG336" s="111"/>
      <c r="BI336" s="111"/>
      <c r="BJ336" s="111"/>
      <c r="BK336" s="111"/>
      <c r="BL336" s="111"/>
      <c r="BM336" s="111"/>
      <c r="BN336" s="111"/>
      <c r="BO336" s="111"/>
      <c r="BP336" s="111"/>
      <c r="BQ336" s="111"/>
      <c r="BS336" s="111"/>
      <c r="BT336" s="111"/>
      <c r="BU336" s="111"/>
      <c r="BV336" s="111"/>
    </row>
    <row r="337" spans="17:74" x14ac:dyDescent="0.25"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  <c r="AP337" s="111"/>
      <c r="AQ337" s="111"/>
      <c r="AR337" s="111"/>
      <c r="AS337" s="111"/>
      <c r="AT337" s="111"/>
      <c r="AX337" s="111"/>
      <c r="AY337" s="111"/>
      <c r="AZ337" s="111"/>
      <c r="BA337" s="111"/>
      <c r="BB337" s="111"/>
      <c r="BC337" s="111"/>
      <c r="BD337" s="111"/>
      <c r="BE337" s="111"/>
      <c r="BF337" s="111"/>
      <c r="BG337" s="111"/>
      <c r="BI337" s="111"/>
      <c r="BJ337" s="111"/>
      <c r="BK337" s="111"/>
      <c r="BL337" s="111"/>
      <c r="BM337" s="111"/>
      <c r="BN337" s="111"/>
      <c r="BO337" s="111"/>
      <c r="BP337" s="111"/>
      <c r="BQ337" s="111"/>
      <c r="BS337" s="111"/>
      <c r="BT337" s="111"/>
      <c r="BU337" s="111"/>
      <c r="BV337" s="111"/>
    </row>
    <row r="338" spans="17:74" x14ac:dyDescent="0.25"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  <c r="AP338" s="111"/>
      <c r="AQ338" s="111"/>
      <c r="AR338" s="111"/>
      <c r="AS338" s="111"/>
      <c r="AT338" s="111"/>
      <c r="AX338" s="111"/>
      <c r="AY338" s="111"/>
      <c r="AZ338" s="111"/>
      <c r="BA338" s="111"/>
      <c r="BB338" s="111"/>
      <c r="BC338" s="111"/>
      <c r="BD338" s="111"/>
      <c r="BE338" s="111"/>
      <c r="BF338" s="111"/>
      <c r="BG338" s="111"/>
      <c r="BI338" s="111"/>
      <c r="BJ338" s="111"/>
      <c r="BK338" s="111"/>
      <c r="BL338" s="111"/>
      <c r="BM338" s="111"/>
      <c r="BN338" s="111"/>
      <c r="BO338" s="111"/>
      <c r="BP338" s="111"/>
      <c r="BQ338" s="111"/>
      <c r="BS338" s="111"/>
      <c r="BT338" s="111"/>
      <c r="BU338" s="111"/>
      <c r="BV338" s="111"/>
    </row>
    <row r="339" spans="17:74" x14ac:dyDescent="0.25"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  <c r="AP339" s="111"/>
      <c r="AQ339" s="111"/>
      <c r="AR339" s="111"/>
      <c r="AS339" s="111"/>
      <c r="AT339" s="111"/>
      <c r="AX339" s="111"/>
      <c r="AY339" s="111"/>
      <c r="AZ339" s="111"/>
      <c r="BA339" s="111"/>
      <c r="BB339" s="111"/>
      <c r="BC339" s="111"/>
      <c r="BD339" s="111"/>
      <c r="BE339" s="111"/>
      <c r="BF339" s="111"/>
      <c r="BG339" s="111"/>
      <c r="BI339" s="111"/>
      <c r="BJ339" s="111"/>
      <c r="BK339" s="111"/>
      <c r="BL339" s="111"/>
      <c r="BM339" s="111"/>
      <c r="BN339" s="111"/>
      <c r="BO339" s="111"/>
      <c r="BP339" s="111"/>
      <c r="BQ339" s="111"/>
      <c r="BS339" s="111"/>
      <c r="BT339" s="111"/>
      <c r="BU339" s="111"/>
      <c r="BV339" s="111"/>
    </row>
    <row r="340" spans="17:74" x14ac:dyDescent="0.25"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111"/>
      <c r="AB340" s="111"/>
      <c r="AC340" s="111"/>
      <c r="AD340" s="111"/>
      <c r="AE340" s="111"/>
      <c r="AF340" s="111"/>
      <c r="AG340" s="111"/>
      <c r="AH340" s="111"/>
      <c r="AI340" s="111"/>
      <c r="AJ340" s="111"/>
      <c r="AK340" s="111"/>
      <c r="AL340" s="111"/>
      <c r="AM340" s="111"/>
      <c r="AN340" s="111"/>
      <c r="AO340" s="111"/>
      <c r="AP340" s="111"/>
      <c r="AQ340" s="111"/>
      <c r="AR340" s="111"/>
      <c r="AS340" s="111"/>
      <c r="AT340" s="111"/>
      <c r="AX340" s="111"/>
      <c r="AY340" s="111"/>
      <c r="AZ340" s="111"/>
      <c r="BA340" s="111"/>
      <c r="BB340" s="111"/>
      <c r="BC340" s="111"/>
      <c r="BD340" s="111"/>
      <c r="BE340" s="111"/>
      <c r="BF340" s="111"/>
      <c r="BG340" s="111"/>
      <c r="BI340" s="111"/>
      <c r="BJ340" s="111"/>
      <c r="BK340" s="111"/>
      <c r="BL340" s="111"/>
      <c r="BM340" s="111"/>
      <c r="BN340" s="111"/>
      <c r="BO340" s="111"/>
      <c r="BP340" s="111"/>
      <c r="BQ340" s="111"/>
      <c r="BS340" s="111"/>
      <c r="BT340" s="111"/>
      <c r="BU340" s="111"/>
      <c r="BV340" s="111"/>
    </row>
    <row r="341" spans="17:74" x14ac:dyDescent="0.25"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111"/>
      <c r="AB341" s="111"/>
      <c r="AC341" s="111"/>
      <c r="AD341" s="111"/>
      <c r="AE341" s="111"/>
      <c r="AF341" s="111"/>
      <c r="AG341" s="111"/>
      <c r="AH341" s="111"/>
      <c r="AI341" s="111"/>
      <c r="AJ341" s="111"/>
      <c r="AK341" s="111"/>
      <c r="AL341" s="111"/>
      <c r="AM341" s="111"/>
      <c r="AN341" s="111"/>
      <c r="AO341" s="111"/>
      <c r="AP341" s="111"/>
      <c r="AQ341" s="111"/>
      <c r="AR341" s="111"/>
      <c r="AS341" s="111"/>
      <c r="AT341" s="111"/>
      <c r="AX341" s="111"/>
      <c r="AY341" s="111"/>
      <c r="AZ341" s="111"/>
      <c r="BA341" s="111"/>
      <c r="BB341" s="111"/>
      <c r="BC341" s="111"/>
      <c r="BD341" s="111"/>
      <c r="BE341" s="111"/>
      <c r="BF341" s="111"/>
      <c r="BG341" s="111"/>
      <c r="BI341" s="111"/>
      <c r="BJ341" s="111"/>
      <c r="BK341" s="111"/>
      <c r="BL341" s="111"/>
      <c r="BM341" s="111"/>
      <c r="BN341" s="111"/>
      <c r="BO341" s="111"/>
      <c r="BP341" s="111"/>
      <c r="BQ341" s="111"/>
      <c r="BS341" s="111"/>
      <c r="BT341" s="111"/>
      <c r="BU341" s="111"/>
      <c r="BV341" s="111"/>
    </row>
    <row r="342" spans="17:74" x14ac:dyDescent="0.25"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  <c r="AP342" s="111"/>
      <c r="AQ342" s="111"/>
      <c r="AR342" s="111"/>
      <c r="AS342" s="111"/>
      <c r="AT342" s="111"/>
      <c r="AX342" s="111"/>
      <c r="AY342" s="111"/>
      <c r="AZ342" s="111"/>
      <c r="BA342" s="111"/>
      <c r="BB342" s="111"/>
      <c r="BC342" s="111"/>
      <c r="BD342" s="111"/>
      <c r="BE342" s="111"/>
      <c r="BF342" s="111"/>
      <c r="BG342" s="111"/>
      <c r="BI342" s="111"/>
      <c r="BJ342" s="111"/>
      <c r="BK342" s="111"/>
      <c r="BL342" s="111"/>
      <c r="BM342" s="111"/>
      <c r="BN342" s="111"/>
      <c r="BO342" s="111"/>
      <c r="BP342" s="111"/>
      <c r="BQ342" s="111"/>
      <c r="BS342" s="111"/>
      <c r="BT342" s="111"/>
      <c r="BU342" s="111"/>
      <c r="BV342" s="111"/>
    </row>
    <row r="343" spans="17:74" x14ac:dyDescent="0.25"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  <c r="AP343" s="111"/>
      <c r="AQ343" s="111"/>
      <c r="AR343" s="111"/>
      <c r="AS343" s="111"/>
      <c r="AT343" s="111"/>
      <c r="AX343" s="111"/>
      <c r="AY343" s="111"/>
      <c r="AZ343" s="111"/>
      <c r="BA343" s="111"/>
      <c r="BB343" s="111"/>
      <c r="BC343" s="111"/>
      <c r="BD343" s="111"/>
      <c r="BE343" s="111"/>
      <c r="BF343" s="111"/>
      <c r="BG343" s="111"/>
      <c r="BI343" s="111"/>
      <c r="BJ343" s="111"/>
      <c r="BK343" s="111"/>
      <c r="BL343" s="111"/>
      <c r="BM343" s="111"/>
      <c r="BN343" s="111"/>
      <c r="BO343" s="111"/>
      <c r="BP343" s="111"/>
      <c r="BQ343" s="111"/>
      <c r="BS343" s="111"/>
      <c r="BT343" s="111"/>
      <c r="BU343" s="111"/>
      <c r="BV343" s="111"/>
    </row>
    <row r="344" spans="17:74" x14ac:dyDescent="0.25"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  <c r="AP344" s="111"/>
      <c r="AQ344" s="111"/>
      <c r="AR344" s="111"/>
      <c r="AS344" s="111"/>
      <c r="AT344" s="111"/>
      <c r="AX344" s="111"/>
      <c r="AY344" s="111"/>
      <c r="AZ344" s="111"/>
      <c r="BA344" s="111"/>
      <c r="BB344" s="111"/>
      <c r="BC344" s="111"/>
      <c r="BD344" s="111"/>
      <c r="BE344" s="111"/>
      <c r="BF344" s="111"/>
      <c r="BG344" s="111"/>
      <c r="BI344" s="111"/>
      <c r="BJ344" s="111"/>
      <c r="BK344" s="111"/>
      <c r="BL344" s="111"/>
      <c r="BM344" s="111"/>
      <c r="BN344" s="111"/>
      <c r="BO344" s="111"/>
      <c r="BP344" s="111"/>
      <c r="BQ344" s="111"/>
      <c r="BS344" s="111"/>
      <c r="BT344" s="111"/>
      <c r="BU344" s="111"/>
      <c r="BV344" s="111"/>
    </row>
    <row r="345" spans="17:74" x14ac:dyDescent="0.25"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  <c r="AP345" s="111"/>
      <c r="AQ345" s="111"/>
      <c r="AR345" s="111"/>
      <c r="AS345" s="111"/>
      <c r="AT345" s="111"/>
      <c r="AX345" s="111"/>
      <c r="AY345" s="111"/>
      <c r="AZ345" s="111"/>
      <c r="BA345" s="111"/>
      <c r="BB345" s="111"/>
      <c r="BC345" s="111"/>
      <c r="BD345" s="111"/>
      <c r="BE345" s="111"/>
      <c r="BF345" s="111"/>
      <c r="BG345" s="111"/>
      <c r="BI345" s="111"/>
      <c r="BJ345" s="111"/>
      <c r="BK345" s="111"/>
      <c r="BL345" s="111"/>
      <c r="BM345" s="111"/>
      <c r="BN345" s="111"/>
      <c r="BO345" s="111"/>
      <c r="BP345" s="111"/>
      <c r="BQ345" s="111"/>
      <c r="BS345" s="111"/>
      <c r="BT345" s="111"/>
      <c r="BU345" s="111"/>
      <c r="BV345" s="111"/>
    </row>
    <row r="346" spans="17:74" x14ac:dyDescent="0.25"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  <c r="AP346" s="111"/>
      <c r="AQ346" s="111"/>
      <c r="AR346" s="111"/>
      <c r="AS346" s="111"/>
      <c r="AT346" s="111"/>
      <c r="AX346" s="111"/>
      <c r="AY346" s="111"/>
      <c r="AZ346" s="111"/>
      <c r="BA346" s="111"/>
      <c r="BB346" s="111"/>
      <c r="BC346" s="111"/>
      <c r="BD346" s="111"/>
      <c r="BE346" s="111"/>
      <c r="BF346" s="111"/>
      <c r="BG346" s="111"/>
      <c r="BI346" s="111"/>
      <c r="BJ346" s="111"/>
      <c r="BK346" s="111"/>
      <c r="BL346" s="111"/>
      <c r="BM346" s="111"/>
      <c r="BN346" s="111"/>
      <c r="BO346" s="111"/>
      <c r="BP346" s="111"/>
      <c r="BQ346" s="111"/>
      <c r="BS346" s="111"/>
      <c r="BT346" s="111"/>
      <c r="BU346" s="111"/>
      <c r="BV346" s="111"/>
    </row>
    <row r="347" spans="17:74" x14ac:dyDescent="0.25"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P347" s="111"/>
      <c r="AQ347" s="111"/>
      <c r="AR347" s="111"/>
      <c r="AS347" s="111"/>
      <c r="AT347" s="111"/>
      <c r="AX347" s="111"/>
      <c r="AY347" s="111"/>
      <c r="AZ347" s="111"/>
      <c r="BA347" s="111"/>
      <c r="BB347" s="111"/>
      <c r="BC347" s="111"/>
      <c r="BD347" s="111"/>
      <c r="BE347" s="111"/>
      <c r="BF347" s="111"/>
      <c r="BG347" s="111"/>
      <c r="BI347" s="111"/>
      <c r="BJ347" s="111"/>
      <c r="BK347" s="111"/>
      <c r="BL347" s="111"/>
      <c r="BM347" s="111"/>
      <c r="BN347" s="111"/>
      <c r="BO347" s="111"/>
      <c r="BP347" s="111"/>
      <c r="BQ347" s="111"/>
      <c r="BS347" s="111"/>
      <c r="BT347" s="111"/>
      <c r="BU347" s="111"/>
      <c r="BV347" s="111"/>
    </row>
    <row r="348" spans="17:74" x14ac:dyDescent="0.25"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P348" s="111"/>
      <c r="AQ348" s="111"/>
      <c r="AR348" s="111"/>
      <c r="AS348" s="111"/>
      <c r="AT348" s="111"/>
      <c r="AX348" s="111"/>
      <c r="AY348" s="111"/>
      <c r="AZ348" s="111"/>
      <c r="BA348" s="111"/>
      <c r="BB348" s="111"/>
      <c r="BC348" s="111"/>
      <c r="BD348" s="111"/>
      <c r="BE348" s="111"/>
      <c r="BF348" s="111"/>
      <c r="BG348" s="111"/>
      <c r="BI348" s="111"/>
      <c r="BJ348" s="111"/>
      <c r="BK348" s="111"/>
      <c r="BL348" s="111"/>
      <c r="BM348" s="111"/>
      <c r="BN348" s="111"/>
      <c r="BO348" s="111"/>
      <c r="BP348" s="111"/>
      <c r="BQ348" s="111"/>
      <c r="BS348" s="111"/>
      <c r="BT348" s="111"/>
      <c r="BU348" s="111"/>
      <c r="BV348" s="111"/>
    </row>
    <row r="349" spans="17:74" x14ac:dyDescent="0.25"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  <c r="AP349" s="111"/>
      <c r="AQ349" s="111"/>
      <c r="AR349" s="111"/>
      <c r="AS349" s="111"/>
      <c r="AT349" s="111"/>
      <c r="AX349" s="111"/>
      <c r="AY349" s="111"/>
      <c r="AZ349" s="111"/>
      <c r="BA349" s="111"/>
      <c r="BB349" s="111"/>
      <c r="BC349" s="111"/>
      <c r="BD349" s="111"/>
      <c r="BE349" s="111"/>
      <c r="BF349" s="111"/>
      <c r="BG349" s="111"/>
      <c r="BI349" s="111"/>
      <c r="BJ349" s="111"/>
      <c r="BK349" s="111"/>
      <c r="BL349" s="111"/>
      <c r="BM349" s="111"/>
      <c r="BN349" s="111"/>
      <c r="BO349" s="111"/>
      <c r="BP349" s="111"/>
      <c r="BQ349" s="111"/>
      <c r="BS349" s="111"/>
      <c r="BT349" s="111"/>
      <c r="BU349" s="111"/>
      <c r="BV349" s="111"/>
    </row>
    <row r="350" spans="17:74" x14ac:dyDescent="0.25"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  <c r="AP350" s="111"/>
      <c r="AQ350" s="111"/>
      <c r="AR350" s="111"/>
      <c r="AS350" s="111"/>
      <c r="AT350" s="111"/>
      <c r="AX350" s="111"/>
      <c r="AY350" s="111"/>
      <c r="AZ350" s="111"/>
      <c r="BA350" s="111"/>
      <c r="BB350" s="111"/>
      <c r="BC350" s="111"/>
      <c r="BD350" s="111"/>
      <c r="BE350" s="111"/>
      <c r="BF350" s="111"/>
      <c r="BG350" s="111"/>
      <c r="BI350" s="111"/>
      <c r="BJ350" s="111"/>
      <c r="BK350" s="111"/>
      <c r="BL350" s="111"/>
      <c r="BM350" s="111"/>
      <c r="BN350" s="111"/>
      <c r="BO350" s="111"/>
      <c r="BP350" s="111"/>
      <c r="BQ350" s="111"/>
      <c r="BS350" s="111"/>
      <c r="BT350" s="111"/>
      <c r="BU350" s="111"/>
      <c r="BV350" s="111"/>
    </row>
    <row r="351" spans="17:74" x14ac:dyDescent="0.25"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  <c r="AP351" s="111"/>
      <c r="AQ351" s="111"/>
      <c r="AR351" s="111"/>
      <c r="AS351" s="111"/>
      <c r="AT351" s="111"/>
      <c r="AX351" s="111"/>
      <c r="AY351" s="111"/>
      <c r="AZ351" s="111"/>
      <c r="BA351" s="111"/>
      <c r="BB351" s="111"/>
      <c r="BC351" s="111"/>
      <c r="BD351" s="111"/>
      <c r="BE351" s="111"/>
      <c r="BF351" s="111"/>
      <c r="BG351" s="111"/>
      <c r="BI351" s="111"/>
      <c r="BJ351" s="111"/>
      <c r="BK351" s="111"/>
      <c r="BL351" s="111"/>
      <c r="BM351" s="111"/>
      <c r="BN351" s="111"/>
      <c r="BO351" s="111"/>
      <c r="BP351" s="111"/>
      <c r="BQ351" s="111"/>
      <c r="BS351" s="111"/>
      <c r="BT351" s="111"/>
      <c r="BU351" s="111"/>
      <c r="BV351" s="111"/>
    </row>
    <row r="352" spans="17:74" x14ac:dyDescent="0.25"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X352" s="111"/>
      <c r="AY352" s="111"/>
      <c r="AZ352" s="111"/>
      <c r="BA352" s="111"/>
      <c r="BB352" s="111"/>
      <c r="BC352" s="111"/>
      <c r="BD352" s="111"/>
      <c r="BE352" s="111"/>
      <c r="BF352" s="111"/>
      <c r="BG352" s="111"/>
      <c r="BI352" s="111"/>
      <c r="BJ352" s="111"/>
      <c r="BK352" s="111"/>
      <c r="BL352" s="111"/>
      <c r="BM352" s="111"/>
      <c r="BN352" s="111"/>
      <c r="BO352" s="111"/>
      <c r="BP352" s="111"/>
      <c r="BQ352" s="111"/>
      <c r="BS352" s="111"/>
      <c r="BT352" s="111"/>
      <c r="BU352" s="111"/>
      <c r="BV352" s="111"/>
    </row>
    <row r="353" spans="17:74" x14ac:dyDescent="0.25"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  <c r="AP353" s="111"/>
      <c r="AQ353" s="111"/>
      <c r="AR353" s="111"/>
      <c r="AS353" s="111"/>
      <c r="AT353" s="111"/>
      <c r="AX353" s="111"/>
      <c r="AY353" s="111"/>
      <c r="AZ353" s="111"/>
      <c r="BA353" s="111"/>
      <c r="BB353" s="111"/>
      <c r="BC353" s="111"/>
      <c r="BD353" s="111"/>
      <c r="BE353" s="111"/>
      <c r="BF353" s="111"/>
      <c r="BG353" s="111"/>
      <c r="BI353" s="111"/>
      <c r="BJ353" s="111"/>
      <c r="BK353" s="111"/>
      <c r="BL353" s="111"/>
      <c r="BM353" s="111"/>
      <c r="BN353" s="111"/>
      <c r="BO353" s="111"/>
      <c r="BP353" s="111"/>
      <c r="BQ353" s="111"/>
      <c r="BS353" s="111"/>
      <c r="BT353" s="111"/>
      <c r="BU353" s="111"/>
      <c r="BV353" s="111"/>
    </row>
    <row r="354" spans="17:74" x14ac:dyDescent="0.25"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  <c r="AP354" s="111"/>
      <c r="AQ354" s="111"/>
      <c r="AR354" s="111"/>
      <c r="AS354" s="111"/>
      <c r="AT354" s="111"/>
      <c r="AX354" s="111"/>
      <c r="AY354" s="111"/>
      <c r="AZ354" s="111"/>
      <c r="BA354" s="111"/>
      <c r="BB354" s="111"/>
      <c r="BC354" s="111"/>
      <c r="BD354" s="111"/>
      <c r="BE354" s="111"/>
      <c r="BF354" s="111"/>
      <c r="BG354" s="111"/>
      <c r="BI354" s="111"/>
      <c r="BJ354" s="111"/>
      <c r="BK354" s="111"/>
      <c r="BL354" s="111"/>
      <c r="BM354" s="111"/>
      <c r="BN354" s="111"/>
      <c r="BO354" s="111"/>
      <c r="BP354" s="111"/>
      <c r="BQ354" s="111"/>
      <c r="BS354" s="111"/>
      <c r="BT354" s="111"/>
      <c r="BU354" s="111"/>
      <c r="BV354" s="111"/>
    </row>
    <row r="355" spans="17:74" x14ac:dyDescent="0.25"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  <c r="AP355" s="111"/>
      <c r="AQ355" s="111"/>
      <c r="AR355" s="111"/>
      <c r="AS355" s="111"/>
      <c r="AT355" s="111"/>
      <c r="AX355" s="111"/>
      <c r="AY355" s="111"/>
      <c r="AZ355" s="111"/>
      <c r="BA355" s="111"/>
      <c r="BB355" s="111"/>
      <c r="BC355" s="111"/>
      <c r="BD355" s="111"/>
      <c r="BE355" s="111"/>
      <c r="BF355" s="111"/>
      <c r="BG355" s="111"/>
      <c r="BI355" s="111"/>
      <c r="BJ355" s="111"/>
      <c r="BK355" s="111"/>
      <c r="BL355" s="111"/>
      <c r="BM355" s="111"/>
      <c r="BN355" s="111"/>
      <c r="BO355" s="111"/>
      <c r="BP355" s="111"/>
      <c r="BQ355" s="111"/>
      <c r="BS355" s="111"/>
      <c r="BT355" s="111"/>
      <c r="BU355" s="111"/>
      <c r="BV355" s="111"/>
    </row>
    <row r="356" spans="17:74" x14ac:dyDescent="0.25"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  <c r="AP356" s="111"/>
      <c r="AQ356" s="111"/>
      <c r="AR356" s="111"/>
      <c r="AS356" s="111"/>
      <c r="AT356" s="111"/>
      <c r="AX356" s="111"/>
      <c r="AY356" s="111"/>
      <c r="AZ356" s="111"/>
      <c r="BA356" s="111"/>
      <c r="BB356" s="111"/>
      <c r="BC356" s="111"/>
      <c r="BD356" s="111"/>
      <c r="BE356" s="111"/>
      <c r="BF356" s="111"/>
      <c r="BG356" s="111"/>
      <c r="BI356" s="111"/>
      <c r="BJ356" s="111"/>
      <c r="BK356" s="111"/>
      <c r="BL356" s="111"/>
      <c r="BM356" s="111"/>
      <c r="BN356" s="111"/>
      <c r="BO356" s="111"/>
      <c r="BP356" s="111"/>
      <c r="BQ356" s="111"/>
      <c r="BS356" s="111"/>
      <c r="BT356" s="111"/>
      <c r="BU356" s="111"/>
      <c r="BV356" s="111"/>
    </row>
    <row r="357" spans="17:74" x14ac:dyDescent="0.25"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  <c r="AP357" s="111"/>
      <c r="AQ357" s="111"/>
      <c r="AR357" s="111"/>
      <c r="AS357" s="111"/>
      <c r="AT357" s="111"/>
      <c r="AX357" s="111"/>
      <c r="AY357" s="111"/>
      <c r="AZ357" s="111"/>
      <c r="BA357" s="111"/>
      <c r="BB357" s="111"/>
      <c r="BC357" s="111"/>
      <c r="BD357" s="111"/>
      <c r="BE357" s="111"/>
      <c r="BF357" s="111"/>
      <c r="BG357" s="111"/>
      <c r="BI357" s="111"/>
      <c r="BJ357" s="111"/>
      <c r="BK357" s="111"/>
      <c r="BL357" s="111"/>
      <c r="BM357" s="111"/>
      <c r="BN357" s="111"/>
      <c r="BO357" s="111"/>
      <c r="BP357" s="111"/>
      <c r="BQ357" s="111"/>
      <c r="BS357" s="111"/>
      <c r="BT357" s="111"/>
      <c r="BU357" s="111"/>
      <c r="BV357" s="111"/>
    </row>
    <row r="358" spans="17:74" x14ac:dyDescent="0.25"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  <c r="AP358" s="111"/>
      <c r="AQ358" s="111"/>
      <c r="AR358" s="111"/>
      <c r="AS358" s="111"/>
      <c r="AT358" s="111"/>
      <c r="AX358" s="111"/>
      <c r="AY358" s="111"/>
      <c r="AZ358" s="111"/>
      <c r="BA358" s="111"/>
      <c r="BB358" s="111"/>
      <c r="BC358" s="111"/>
      <c r="BD358" s="111"/>
      <c r="BE358" s="111"/>
      <c r="BF358" s="111"/>
      <c r="BG358" s="111"/>
      <c r="BI358" s="111"/>
      <c r="BJ358" s="111"/>
      <c r="BK358" s="111"/>
      <c r="BL358" s="111"/>
      <c r="BM358" s="111"/>
      <c r="BN358" s="111"/>
      <c r="BO358" s="111"/>
      <c r="BP358" s="111"/>
      <c r="BQ358" s="111"/>
      <c r="BS358" s="111"/>
      <c r="BT358" s="111"/>
      <c r="BU358" s="111"/>
      <c r="BV358" s="111"/>
    </row>
    <row r="359" spans="17:74" x14ac:dyDescent="0.25"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  <c r="AP359" s="111"/>
      <c r="AQ359" s="111"/>
      <c r="AR359" s="111"/>
      <c r="AS359" s="111"/>
      <c r="AT359" s="111"/>
      <c r="AX359" s="111"/>
      <c r="AY359" s="111"/>
      <c r="AZ359" s="111"/>
      <c r="BA359" s="111"/>
      <c r="BB359" s="111"/>
      <c r="BC359" s="111"/>
      <c r="BD359" s="111"/>
      <c r="BE359" s="111"/>
      <c r="BF359" s="111"/>
      <c r="BG359" s="111"/>
      <c r="BI359" s="111"/>
      <c r="BJ359" s="111"/>
      <c r="BK359" s="111"/>
      <c r="BL359" s="111"/>
      <c r="BM359" s="111"/>
      <c r="BN359" s="111"/>
      <c r="BO359" s="111"/>
      <c r="BP359" s="111"/>
      <c r="BQ359" s="111"/>
      <c r="BS359" s="111"/>
      <c r="BT359" s="111"/>
      <c r="BU359" s="111"/>
      <c r="BV359" s="111"/>
    </row>
    <row r="360" spans="17:74" x14ac:dyDescent="0.25"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  <c r="AP360" s="111"/>
      <c r="AQ360" s="111"/>
      <c r="AR360" s="111"/>
      <c r="AS360" s="111"/>
      <c r="AT360" s="111"/>
      <c r="AX360" s="111"/>
      <c r="AY360" s="111"/>
      <c r="AZ360" s="111"/>
      <c r="BA360" s="111"/>
      <c r="BB360" s="111"/>
      <c r="BC360" s="111"/>
      <c r="BD360" s="111"/>
      <c r="BE360" s="111"/>
      <c r="BF360" s="111"/>
      <c r="BG360" s="111"/>
      <c r="BI360" s="111"/>
      <c r="BJ360" s="111"/>
      <c r="BK360" s="111"/>
      <c r="BL360" s="111"/>
      <c r="BM360" s="111"/>
      <c r="BN360" s="111"/>
      <c r="BO360" s="111"/>
      <c r="BP360" s="111"/>
      <c r="BQ360" s="111"/>
      <c r="BS360" s="111"/>
      <c r="BT360" s="111"/>
      <c r="BU360" s="111"/>
      <c r="BV360" s="111"/>
    </row>
    <row r="361" spans="17:74" x14ac:dyDescent="0.25"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  <c r="AP361" s="111"/>
      <c r="AQ361" s="111"/>
      <c r="AR361" s="111"/>
      <c r="AS361" s="111"/>
      <c r="AT361" s="111"/>
      <c r="AX361" s="111"/>
      <c r="AY361" s="111"/>
      <c r="AZ361" s="111"/>
      <c r="BA361" s="111"/>
      <c r="BB361" s="111"/>
      <c r="BC361" s="111"/>
      <c r="BD361" s="111"/>
      <c r="BE361" s="111"/>
      <c r="BF361" s="111"/>
      <c r="BG361" s="111"/>
      <c r="BI361" s="111"/>
      <c r="BJ361" s="111"/>
      <c r="BK361" s="111"/>
      <c r="BL361" s="111"/>
      <c r="BM361" s="111"/>
      <c r="BN361" s="111"/>
      <c r="BO361" s="111"/>
      <c r="BP361" s="111"/>
      <c r="BQ361" s="111"/>
      <c r="BS361" s="111"/>
      <c r="BT361" s="111"/>
      <c r="BU361" s="111"/>
      <c r="BV361" s="111"/>
    </row>
    <row r="362" spans="17:74" x14ac:dyDescent="0.25"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  <c r="AP362" s="111"/>
      <c r="AQ362" s="111"/>
      <c r="AR362" s="111"/>
      <c r="AS362" s="111"/>
      <c r="AT362" s="111"/>
      <c r="AX362" s="111"/>
      <c r="AY362" s="111"/>
      <c r="AZ362" s="111"/>
      <c r="BA362" s="111"/>
      <c r="BB362" s="111"/>
      <c r="BC362" s="111"/>
      <c r="BD362" s="111"/>
      <c r="BE362" s="111"/>
      <c r="BF362" s="111"/>
      <c r="BG362" s="111"/>
      <c r="BI362" s="111"/>
      <c r="BJ362" s="111"/>
      <c r="BK362" s="111"/>
      <c r="BL362" s="111"/>
      <c r="BM362" s="111"/>
      <c r="BN362" s="111"/>
      <c r="BO362" s="111"/>
      <c r="BP362" s="111"/>
      <c r="BQ362" s="111"/>
      <c r="BS362" s="111"/>
      <c r="BT362" s="111"/>
      <c r="BU362" s="111"/>
      <c r="BV362" s="111"/>
    </row>
    <row r="363" spans="17:74" x14ac:dyDescent="0.25"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  <c r="AP363" s="111"/>
      <c r="AQ363" s="111"/>
      <c r="AR363" s="111"/>
      <c r="AS363" s="111"/>
      <c r="AT363" s="111"/>
      <c r="AX363" s="111"/>
      <c r="AY363" s="111"/>
      <c r="AZ363" s="111"/>
      <c r="BA363" s="111"/>
      <c r="BB363" s="111"/>
      <c r="BC363" s="111"/>
      <c r="BD363" s="111"/>
      <c r="BE363" s="111"/>
      <c r="BF363" s="111"/>
      <c r="BG363" s="111"/>
      <c r="BI363" s="111"/>
      <c r="BJ363" s="111"/>
      <c r="BK363" s="111"/>
      <c r="BL363" s="111"/>
      <c r="BM363" s="111"/>
      <c r="BN363" s="111"/>
      <c r="BO363" s="111"/>
      <c r="BP363" s="111"/>
      <c r="BQ363" s="111"/>
      <c r="BS363" s="111"/>
      <c r="BT363" s="111"/>
      <c r="BU363" s="111"/>
      <c r="BV363" s="111"/>
    </row>
    <row r="364" spans="17:74" x14ac:dyDescent="0.25"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  <c r="AP364" s="111"/>
      <c r="AQ364" s="111"/>
      <c r="AR364" s="111"/>
      <c r="AS364" s="111"/>
      <c r="AT364" s="111"/>
      <c r="AX364" s="111"/>
      <c r="AY364" s="111"/>
      <c r="AZ364" s="111"/>
      <c r="BA364" s="111"/>
      <c r="BB364" s="111"/>
      <c r="BC364" s="111"/>
      <c r="BD364" s="111"/>
      <c r="BE364" s="111"/>
      <c r="BF364" s="111"/>
      <c r="BG364" s="111"/>
      <c r="BI364" s="111"/>
      <c r="BJ364" s="111"/>
      <c r="BK364" s="111"/>
      <c r="BL364" s="111"/>
      <c r="BM364" s="111"/>
      <c r="BN364" s="111"/>
      <c r="BO364" s="111"/>
      <c r="BP364" s="111"/>
      <c r="BQ364" s="111"/>
      <c r="BS364" s="111"/>
      <c r="BT364" s="111"/>
      <c r="BU364" s="111"/>
      <c r="BV364" s="111"/>
    </row>
    <row r="365" spans="17:74" x14ac:dyDescent="0.25"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  <c r="AP365" s="111"/>
      <c r="AQ365" s="111"/>
      <c r="AR365" s="111"/>
      <c r="AS365" s="111"/>
      <c r="AT365" s="111"/>
      <c r="AX365" s="111"/>
      <c r="AY365" s="111"/>
      <c r="AZ365" s="111"/>
      <c r="BA365" s="111"/>
      <c r="BB365" s="111"/>
      <c r="BC365" s="111"/>
      <c r="BD365" s="111"/>
      <c r="BE365" s="111"/>
      <c r="BF365" s="111"/>
      <c r="BG365" s="111"/>
      <c r="BI365" s="111"/>
      <c r="BJ365" s="111"/>
      <c r="BK365" s="111"/>
      <c r="BL365" s="111"/>
      <c r="BM365" s="111"/>
      <c r="BN365" s="111"/>
      <c r="BO365" s="111"/>
      <c r="BP365" s="111"/>
      <c r="BQ365" s="111"/>
      <c r="BS365" s="111"/>
      <c r="BT365" s="111"/>
      <c r="BU365" s="111"/>
      <c r="BV365" s="111"/>
    </row>
    <row r="366" spans="17:74" x14ac:dyDescent="0.25"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  <c r="AP366" s="111"/>
      <c r="AQ366" s="111"/>
      <c r="AR366" s="111"/>
      <c r="AS366" s="111"/>
      <c r="AT366" s="111"/>
      <c r="AX366" s="111"/>
      <c r="AY366" s="111"/>
      <c r="AZ366" s="111"/>
      <c r="BA366" s="111"/>
      <c r="BB366" s="111"/>
      <c r="BC366" s="111"/>
      <c r="BD366" s="111"/>
      <c r="BE366" s="111"/>
      <c r="BF366" s="111"/>
      <c r="BG366" s="111"/>
      <c r="BI366" s="111"/>
      <c r="BJ366" s="111"/>
      <c r="BK366" s="111"/>
      <c r="BL366" s="111"/>
      <c r="BM366" s="111"/>
      <c r="BN366" s="111"/>
      <c r="BO366" s="111"/>
      <c r="BP366" s="111"/>
      <c r="BQ366" s="111"/>
      <c r="BS366" s="111"/>
      <c r="BT366" s="111"/>
      <c r="BU366" s="111"/>
      <c r="BV366" s="111"/>
    </row>
    <row r="367" spans="17:74" x14ac:dyDescent="0.25"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  <c r="AP367" s="111"/>
      <c r="AQ367" s="111"/>
      <c r="AR367" s="111"/>
      <c r="AS367" s="111"/>
      <c r="AT367" s="111"/>
      <c r="AX367" s="111"/>
      <c r="AY367" s="111"/>
      <c r="AZ367" s="111"/>
      <c r="BA367" s="111"/>
      <c r="BB367" s="111"/>
      <c r="BC367" s="111"/>
      <c r="BD367" s="111"/>
      <c r="BE367" s="111"/>
      <c r="BF367" s="111"/>
      <c r="BG367" s="111"/>
      <c r="BI367" s="111"/>
      <c r="BJ367" s="111"/>
      <c r="BK367" s="111"/>
      <c r="BL367" s="111"/>
      <c r="BM367" s="111"/>
      <c r="BN367" s="111"/>
      <c r="BO367" s="111"/>
      <c r="BP367" s="111"/>
      <c r="BQ367" s="111"/>
      <c r="BS367" s="111"/>
      <c r="BT367" s="111"/>
      <c r="BU367" s="111"/>
      <c r="BV367" s="111"/>
    </row>
    <row r="368" spans="17:74" x14ac:dyDescent="0.25"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  <c r="AP368" s="111"/>
      <c r="AQ368" s="111"/>
      <c r="AR368" s="111"/>
      <c r="AS368" s="111"/>
      <c r="AT368" s="111"/>
      <c r="AX368" s="111"/>
      <c r="AY368" s="111"/>
      <c r="AZ368" s="111"/>
      <c r="BA368" s="111"/>
      <c r="BB368" s="111"/>
      <c r="BC368" s="111"/>
      <c r="BD368" s="111"/>
      <c r="BE368" s="111"/>
      <c r="BF368" s="111"/>
      <c r="BG368" s="111"/>
      <c r="BI368" s="111"/>
      <c r="BJ368" s="111"/>
      <c r="BK368" s="111"/>
      <c r="BL368" s="111"/>
      <c r="BM368" s="111"/>
      <c r="BN368" s="111"/>
      <c r="BO368" s="111"/>
      <c r="BP368" s="111"/>
      <c r="BQ368" s="111"/>
      <c r="BS368" s="111"/>
      <c r="BT368" s="111"/>
      <c r="BU368" s="111"/>
      <c r="BV368" s="111"/>
    </row>
    <row r="369" spans="17:74" x14ac:dyDescent="0.25"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  <c r="AP369" s="111"/>
      <c r="AQ369" s="111"/>
      <c r="AR369" s="111"/>
      <c r="AS369" s="111"/>
      <c r="AT369" s="111"/>
      <c r="AX369" s="111"/>
      <c r="AY369" s="111"/>
      <c r="AZ369" s="111"/>
      <c r="BA369" s="111"/>
      <c r="BB369" s="111"/>
      <c r="BC369" s="111"/>
      <c r="BD369" s="111"/>
      <c r="BE369" s="111"/>
      <c r="BF369" s="111"/>
      <c r="BG369" s="111"/>
      <c r="BI369" s="111"/>
      <c r="BJ369" s="111"/>
      <c r="BK369" s="111"/>
      <c r="BL369" s="111"/>
      <c r="BM369" s="111"/>
      <c r="BN369" s="111"/>
      <c r="BO369" s="111"/>
      <c r="BP369" s="111"/>
      <c r="BQ369" s="111"/>
      <c r="BS369" s="111"/>
      <c r="BT369" s="111"/>
      <c r="BU369" s="111"/>
      <c r="BV369" s="111"/>
    </row>
    <row r="370" spans="17:74" x14ac:dyDescent="0.25"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  <c r="AP370" s="111"/>
      <c r="AQ370" s="111"/>
      <c r="AR370" s="111"/>
      <c r="AS370" s="111"/>
      <c r="AT370" s="111"/>
      <c r="AX370" s="111"/>
      <c r="AY370" s="111"/>
      <c r="AZ370" s="111"/>
      <c r="BA370" s="111"/>
      <c r="BB370" s="111"/>
      <c r="BC370" s="111"/>
      <c r="BD370" s="111"/>
      <c r="BE370" s="111"/>
      <c r="BF370" s="111"/>
      <c r="BG370" s="111"/>
      <c r="BI370" s="111"/>
      <c r="BJ370" s="111"/>
      <c r="BK370" s="111"/>
      <c r="BL370" s="111"/>
      <c r="BM370" s="111"/>
      <c r="BN370" s="111"/>
      <c r="BO370" s="111"/>
      <c r="BP370" s="111"/>
      <c r="BQ370" s="111"/>
      <c r="BS370" s="111"/>
      <c r="BT370" s="111"/>
      <c r="BU370" s="111"/>
      <c r="BV370" s="111"/>
    </row>
    <row r="371" spans="17:74" x14ac:dyDescent="0.25"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  <c r="AP371" s="111"/>
      <c r="AQ371" s="111"/>
      <c r="AR371" s="111"/>
      <c r="AS371" s="111"/>
      <c r="AT371" s="111"/>
      <c r="AX371" s="111"/>
      <c r="AY371" s="111"/>
      <c r="AZ371" s="111"/>
      <c r="BA371" s="111"/>
      <c r="BB371" s="111"/>
      <c r="BC371" s="111"/>
      <c r="BD371" s="111"/>
      <c r="BE371" s="111"/>
      <c r="BF371" s="111"/>
      <c r="BG371" s="111"/>
      <c r="BI371" s="111"/>
      <c r="BJ371" s="111"/>
      <c r="BK371" s="111"/>
      <c r="BL371" s="111"/>
      <c r="BM371" s="111"/>
      <c r="BN371" s="111"/>
      <c r="BO371" s="111"/>
      <c r="BP371" s="111"/>
      <c r="BQ371" s="111"/>
      <c r="BS371" s="111"/>
      <c r="BT371" s="111"/>
      <c r="BU371" s="111"/>
      <c r="BV371" s="111"/>
    </row>
    <row r="372" spans="17:74" x14ac:dyDescent="0.25"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111"/>
      <c r="AB372" s="111"/>
      <c r="AC372" s="111"/>
      <c r="AD372" s="111"/>
      <c r="AE372" s="111"/>
      <c r="AF372" s="111"/>
      <c r="AG372" s="111"/>
      <c r="AH372" s="111"/>
      <c r="AI372" s="111"/>
      <c r="AJ372" s="111"/>
      <c r="AK372" s="111"/>
      <c r="AL372" s="111"/>
      <c r="AM372" s="111"/>
      <c r="AN372" s="111"/>
      <c r="AO372" s="111"/>
      <c r="AP372" s="111"/>
      <c r="AQ372" s="111"/>
      <c r="AR372" s="111"/>
      <c r="AS372" s="111"/>
      <c r="AT372" s="111"/>
      <c r="AX372" s="111"/>
      <c r="AY372" s="111"/>
      <c r="AZ372" s="111"/>
      <c r="BA372" s="111"/>
      <c r="BB372" s="111"/>
      <c r="BC372" s="111"/>
      <c r="BD372" s="111"/>
      <c r="BE372" s="111"/>
      <c r="BF372" s="111"/>
      <c r="BG372" s="111"/>
      <c r="BI372" s="111"/>
      <c r="BJ372" s="111"/>
      <c r="BK372" s="111"/>
      <c r="BL372" s="111"/>
      <c r="BM372" s="111"/>
      <c r="BN372" s="111"/>
      <c r="BO372" s="111"/>
      <c r="BP372" s="111"/>
      <c r="BQ372" s="111"/>
      <c r="BS372" s="111"/>
      <c r="BT372" s="111"/>
      <c r="BU372" s="111"/>
      <c r="BV372" s="111"/>
    </row>
    <row r="373" spans="17:74" x14ac:dyDescent="0.25"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111"/>
      <c r="AB373" s="111"/>
      <c r="AC373" s="111"/>
      <c r="AD373" s="111"/>
      <c r="AE373" s="111"/>
      <c r="AF373" s="111"/>
      <c r="AG373" s="111"/>
      <c r="AH373" s="111"/>
      <c r="AI373" s="111"/>
      <c r="AJ373" s="111"/>
      <c r="AK373" s="111"/>
      <c r="AL373" s="111"/>
      <c r="AM373" s="111"/>
      <c r="AN373" s="111"/>
      <c r="AO373" s="111"/>
      <c r="AP373" s="111"/>
      <c r="AQ373" s="111"/>
      <c r="AR373" s="111"/>
      <c r="AS373" s="111"/>
      <c r="AT373" s="111"/>
      <c r="AX373" s="111"/>
      <c r="AY373" s="111"/>
      <c r="AZ373" s="111"/>
      <c r="BA373" s="111"/>
      <c r="BB373" s="111"/>
      <c r="BC373" s="111"/>
      <c r="BD373" s="111"/>
      <c r="BE373" s="111"/>
      <c r="BF373" s="111"/>
      <c r="BG373" s="111"/>
      <c r="BI373" s="111"/>
      <c r="BJ373" s="111"/>
      <c r="BK373" s="111"/>
      <c r="BL373" s="111"/>
      <c r="BM373" s="111"/>
      <c r="BN373" s="111"/>
      <c r="BO373" s="111"/>
      <c r="BP373" s="111"/>
      <c r="BQ373" s="111"/>
      <c r="BS373" s="111"/>
      <c r="BT373" s="111"/>
      <c r="BU373" s="111"/>
      <c r="BV373" s="111"/>
    </row>
    <row r="374" spans="17:74" x14ac:dyDescent="0.25"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  <c r="AP374" s="111"/>
      <c r="AQ374" s="111"/>
      <c r="AR374" s="111"/>
      <c r="AS374" s="111"/>
      <c r="AT374" s="111"/>
      <c r="AX374" s="111"/>
      <c r="AY374" s="111"/>
      <c r="AZ374" s="111"/>
      <c r="BA374" s="111"/>
      <c r="BB374" s="111"/>
      <c r="BC374" s="111"/>
      <c r="BD374" s="111"/>
      <c r="BE374" s="111"/>
      <c r="BF374" s="111"/>
      <c r="BG374" s="111"/>
      <c r="BI374" s="111"/>
      <c r="BJ374" s="111"/>
      <c r="BK374" s="111"/>
      <c r="BL374" s="111"/>
      <c r="BM374" s="111"/>
      <c r="BN374" s="111"/>
      <c r="BO374" s="111"/>
      <c r="BP374" s="111"/>
      <c r="BQ374" s="111"/>
      <c r="BS374" s="111"/>
      <c r="BT374" s="111"/>
      <c r="BU374" s="111"/>
      <c r="BV374" s="111"/>
    </row>
    <row r="375" spans="17:74" x14ac:dyDescent="0.25"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  <c r="AP375" s="111"/>
      <c r="AQ375" s="111"/>
      <c r="AR375" s="111"/>
      <c r="AS375" s="111"/>
      <c r="AT375" s="111"/>
      <c r="AX375" s="111"/>
      <c r="AY375" s="111"/>
      <c r="AZ375" s="111"/>
      <c r="BA375" s="111"/>
      <c r="BB375" s="111"/>
      <c r="BC375" s="111"/>
      <c r="BD375" s="111"/>
      <c r="BE375" s="111"/>
      <c r="BF375" s="111"/>
      <c r="BG375" s="111"/>
      <c r="BI375" s="111"/>
      <c r="BJ375" s="111"/>
      <c r="BK375" s="111"/>
      <c r="BL375" s="111"/>
      <c r="BM375" s="111"/>
      <c r="BN375" s="111"/>
      <c r="BO375" s="111"/>
      <c r="BP375" s="111"/>
      <c r="BQ375" s="111"/>
      <c r="BS375" s="111"/>
      <c r="BT375" s="111"/>
      <c r="BU375" s="111"/>
      <c r="BV375" s="111"/>
    </row>
    <row r="376" spans="17:74" x14ac:dyDescent="0.25"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  <c r="AP376" s="111"/>
      <c r="AQ376" s="111"/>
      <c r="AR376" s="111"/>
      <c r="AS376" s="111"/>
      <c r="AT376" s="111"/>
      <c r="AX376" s="111"/>
      <c r="AY376" s="111"/>
      <c r="AZ376" s="111"/>
      <c r="BA376" s="111"/>
      <c r="BB376" s="111"/>
      <c r="BC376" s="111"/>
      <c r="BD376" s="111"/>
      <c r="BE376" s="111"/>
      <c r="BF376" s="111"/>
      <c r="BG376" s="111"/>
      <c r="BI376" s="111"/>
      <c r="BJ376" s="111"/>
      <c r="BK376" s="111"/>
      <c r="BL376" s="111"/>
      <c r="BM376" s="111"/>
      <c r="BN376" s="111"/>
      <c r="BO376" s="111"/>
      <c r="BP376" s="111"/>
      <c r="BQ376" s="111"/>
      <c r="BS376" s="111"/>
      <c r="BT376" s="111"/>
      <c r="BU376" s="111"/>
      <c r="BV376" s="111"/>
    </row>
    <row r="377" spans="17:74" x14ac:dyDescent="0.25"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  <c r="AP377" s="111"/>
      <c r="AQ377" s="111"/>
      <c r="AR377" s="111"/>
      <c r="AS377" s="111"/>
      <c r="AT377" s="111"/>
      <c r="AX377" s="111"/>
      <c r="AY377" s="111"/>
      <c r="AZ377" s="111"/>
      <c r="BA377" s="111"/>
      <c r="BB377" s="111"/>
      <c r="BC377" s="111"/>
      <c r="BD377" s="111"/>
      <c r="BE377" s="111"/>
      <c r="BF377" s="111"/>
      <c r="BG377" s="111"/>
      <c r="BI377" s="111"/>
      <c r="BJ377" s="111"/>
      <c r="BK377" s="111"/>
      <c r="BL377" s="111"/>
      <c r="BM377" s="111"/>
      <c r="BN377" s="111"/>
      <c r="BO377" s="111"/>
      <c r="BP377" s="111"/>
      <c r="BQ377" s="111"/>
      <c r="BS377" s="111"/>
      <c r="BT377" s="111"/>
      <c r="BU377" s="111"/>
      <c r="BV377" s="111"/>
    </row>
    <row r="378" spans="17:74" x14ac:dyDescent="0.25"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  <c r="AP378" s="111"/>
      <c r="AQ378" s="111"/>
      <c r="AR378" s="111"/>
      <c r="AS378" s="111"/>
      <c r="AT378" s="111"/>
      <c r="AX378" s="111"/>
      <c r="AY378" s="111"/>
      <c r="AZ378" s="111"/>
      <c r="BA378" s="111"/>
      <c r="BB378" s="111"/>
      <c r="BC378" s="111"/>
      <c r="BD378" s="111"/>
      <c r="BE378" s="111"/>
      <c r="BF378" s="111"/>
      <c r="BG378" s="111"/>
      <c r="BI378" s="111"/>
      <c r="BJ378" s="111"/>
      <c r="BK378" s="111"/>
      <c r="BL378" s="111"/>
      <c r="BM378" s="111"/>
      <c r="BN378" s="111"/>
      <c r="BO378" s="111"/>
      <c r="BP378" s="111"/>
      <c r="BQ378" s="111"/>
      <c r="BS378" s="111"/>
      <c r="BT378" s="111"/>
      <c r="BU378" s="111"/>
      <c r="BV378" s="111"/>
    </row>
    <row r="379" spans="17:74" x14ac:dyDescent="0.25"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P379" s="111"/>
      <c r="AQ379" s="111"/>
      <c r="AR379" s="111"/>
      <c r="AS379" s="111"/>
      <c r="AT379" s="111"/>
      <c r="AX379" s="111"/>
      <c r="AY379" s="111"/>
      <c r="AZ379" s="111"/>
      <c r="BA379" s="111"/>
      <c r="BB379" s="111"/>
      <c r="BC379" s="111"/>
      <c r="BD379" s="111"/>
      <c r="BE379" s="111"/>
      <c r="BF379" s="111"/>
      <c r="BG379" s="111"/>
      <c r="BI379" s="111"/>
      <c r="BJ379" s="111"/>
      <c r="BK379" s="111"/>
      <c r="BL379" s="111"/>
      <c r="BM379" s="111"/>
      <c r="BN379" s="111"/>
      <c r="BO379" s="111"/>
      <c r="BP379" s="111"/>
      <c r="BQ379" s="111"/>
      <c r="BS379" s="111"/>
      <c r="BT379" s="111"/>
      <c r="BU379" s="111"/>
      <c r="BV379" s="111"/>
    </row>
    <row r="380" spans="17:74" x14ac:dyDescent="0.25"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P380" s="111"/>
      <c r="AQ380" s="111"/>
      <c r="AR380" s="111"/>
      <c r="AS380" s="111"/>
      <c r="AT380" s="111"/>
      <c r="AX380" s="111"/>
      <c r="AY380" s="111"/>
      <c r="AZ380" s="111"/>
      <c r="BA380" s="111"/>
      <c r="BB380" s="111"/>
      <c r="BC380" s="111"/>
      <c r="BD380" s="111"/>
      <c r="BE380" s="111"/>
      <c r="BF380" s="111"/>
      <c r="BG380" s="111"/>
      <c r="BI380" s="111"/>
      <c r="BJ380" s="111"/>
      <c r="BK380" s="111"/>
      <c r="BL380" s="111"/>
      <c r="BM380" s="111"/>
      <c r="BN380" s="111"/>
      <c r="BO380" s="111"/>
      <c r="BP380" s="111"/>
      <c r="BQ380" s="111"/>
      <c r="BS380" s="111"/>
      <c r="BT380" s="111"/>
      <c r="BU380" s="111"/>
      <c r="BV380" s="111"/>
    </row>
    <row r="381" spans="17:74" x14ac:dyDescent="0.25"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  <c r="AP381" s="111"/>
      <c r="AQ381" s="111"/>
      <c r="AR381" s="111"/>
      <c r="AS381" s="111"/>
      <c r="AT381" s="111"/>
      <c r="AX381" s="111"/>
      <c r="AY381" s="111"/>
      <c r="AZ381" s="111"/>
      <c r="BA381" s="111"/>
      <c r="BB381" s="111"/>
      <c r="BC381" s="111"/>
      <c r="BD381" s="111"/>
      <c r="BE381" s="111"/>
      <c r="BF381" s="111"/>
      <c r="BG381" s="111"/>
      <c r="BI381" s="111"/>
      <c r="BJ381" s="111"/>
      <c r="BK381" s="111"/>
      <c r="BL381" s="111"/>
      <c r="BM381" s="111"/>
      <c r="BN381" s="111"/>
      <c r="BO381" s="111"/>
      <c r="BP381" s="111"/>
      <c r="BQ381" s="111"/>
      <c r="BS381" s="111"/>
      <c r="BT381" s="111"/>
      <c r="BU381" s="111"/>
      <c r="BV381" s="111"/>
    </row>
    <row r="382" spans="17:74" x14ac:dyDescent="0.25"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  <c r="AP382" s="111"/>
      <c r="AQ382" s="111"/>
      <c r="AR382" s="111"/>
      <c r="AS382" s="111"/>
      <c r="AT382" s="111"/>
      <c r="AX382" s="111"/>
      <c r="AY382" s="111"/>
      <c r="AZ382" s="111"/>
      <c r="BA382" s="111"/>
      <c r="BB382" s="111"/>
      <c r="BC382" s="111"/>
      <c r="BD382" s="111"/>
      <c r="BE382" s="111"/>
      <c r="BF382" s="111"/>
      <c r="BG382" s="111"/>
      <c r="BI382" s="111"/>
      <c r="BJ382" s="111"/>
      <c r="BK382" s="111"/>
      <c r="BL382" s="111"/>
      <c r="BM382" s="111"/>
      <c r="BN382" s="111"/>
      <c r="BO382" s="111"/>
      <c r="BP382" s="111"/>
      <c r="BQ382" s="111"/>
      <c r="BS382" s="111"/>
      <c r="BT382" s="111"/>
      <c r="BU382" s="111"/>
      <c r="BV382" s="111"/>
    </row>
    <row r="383" spans="17:74" x14ac:dyDescent="0.25"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  <c r="AP383" s="111"/>
      <c r="AQ383" s="111"/>
      <c r="AR383" s="111"/>
      <c r="AS383" s="111"/>
      <c r="AT383" s="111"/>
      <c r="AX383" s="111"/>
      <c r="AY383" s="111"/>
      <c r="AZ383" s="111"/>
      <c r="BA383" s="111"/>
      <c r="BB383" s="111"/>
      <c r="BC383" s="111"/>
      <c r="BD383" s="111"/>
      <c r="BE383" s="111"/>
      <c r="BF383" s="111"/>
      <c r="BG383" s="111"/>
      <c r="BI383" s="111"/>
      <c r="BJ383" s="111"/>
      <c r="BK383" s="111"/>
      <c r="BL383" s="111"/>
      <c r="BM383" s="111"/>
      <c r="BN383" s="111"/>
      <c r="BO383" s="111"/>
      <c r="BP383" s="111"/>
      <c r="BQ383" s="111"/>
      <c r="BS383" s="111"/>
      <c r="BT383" s="111"/>
      <c r="BU383" s="111"/>
      <c r="BV383" s="111"/>
    </row>
    <row r="384" spans="17:74" x14ac:dyDescent="0.25"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  <c r="AP384" s="111"/>
      <c r="AQ384" s="111"/>
      <c r="AR384" s="111"/>
      <c r="AS384" s="111"/>
      <c r="AT384" s="111"/>
      <c r="AX384" s="111"/>
      <c r="AY384" s="111"/>
      <c r="AZ384" s="111"/>
      <c r="BA384" s="111"/>
      <c r="BB384" s="111"/>
      <c r="BC384" s="111"/>
      <c r="BD384" s="111"/>
      <c r="BE384" s="111"/>
      <c r="BF384" s="111"/>
      <c r="BG384" s="111"/>
      <c r="BI384" s="111"/>
      <c r="BJ384" s="111"/>
      <c r="BK384" s="111"/>
      <c r="BL384" s="111"/>
      <c r="BM384" s="111"/>
      <c r="BN384" s="111"/>
      <c r="BO384" s="111"/>
      <c r="BP384" s="111"/>
      <c r="BQ384" s="111"/>
      <c r="BS384" s="111"/>
      <c r="BT384" s="111"/>
      <c r="BU384" s="111"/>
      <c r="BV384" s="111"/>
    </row>
    <row r="385" spans="17:74" x14ac:dyDescent="0.25"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  <c r="AH385" s="111"/>
      <c r="AI385" s="111"/>
      <c r="AJ385" s="111"/>
      <c r="AK385" s="111"/>
      <c r="AL385" s="111"/>
      <c r="AM385" s="111"/>
      <c r="AN385" s="111"/>
      <c r="AO385" s="111"/>
      <c r="AP385" s="111"/>
      <c r="AQ385" s="111"/>
      <c r="AR385" s="111"/>
      <c r="AS385" s="111"/>
      <c r="AT385" s="111"/>
      <c r="AX385" s="111"/>
      <c r="AY385" s="111"/>
      <c r="AZ385" s="111"/>
      <c r="BA385" s="111"/>
      <c r="BB385" s="111"/>
      <c r="BC385" s="111"/>
      <c r="BD385" s="111"/>
      <c r="BE385" s="111"/>
      <c r="BF385" s="111"/>
      <c r="BG385" s="111"/>
      <c r="BI385" s="111"/>
      <c r="BJ385" s="111"/>
      <c r="BK385" s="111"/>
      <c r="BL385" s="111"/>
      <c r="BM385" s="111"/>
      <c r="BN385" s="111"/>
      <c r="BO385" s="111"/>
      <c r="BP385" s="111"/>
      <c r="BQ385" s="111"/>
      <c r="BS385" s="111"/>
      <c r="BT385" s="111"/>
      <c r="BU385" s="111"/>
      <c r="BV385" s="111"/>
    </row>
    <row r="386" spans="17:74" x14ac:dyDescent="0.25"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111"/>
      <c r="AB386" s="111"/>
      <c r="AC386" s="111"/>
      <c r="AD386" s="111"/>
      <c r="AE386" s="111"/>
      <c r="AF386" s="111"/>
      <c r="AG386" s="111"/>
      <c r="AH386" s="111"/>
      <c r="AI386" s="111"/>
      <c r="AJ386" s="111"/>
      <c r="AK386" s="111"/>
      <c r="AL386" s="111"/>
      <c r="AM386" s="111"/>
      <c r="AN386" s="111"/>
      <c r="AO386" s="111"/>
      <c r="AP386" s="111"/>
      <c r="AQ386" s="111"/>
      <c r="AR386" s="111"/>
      <c r="AS386" s="111"/>
      <c r="AT386" s="111"/>
      <c r="AX386" s="111"/>
      <c r="AY386" s="111"/>
      <c r="AZ386" s="111"/>
      <c r="BA386" s="111"/>
      <c r="BB386" s="111"/>
      <c r="BC386" s="111"/>
      <c r="BD386" s="111"/>
      <c r="BE386" s="111"/>
      <c r="BF386" s="111"/>
      <c r="BG386" s="111"/>
      <c r="BI386" s="111"/>
      <c r="BJ386" s="111"/>
      <c r="BK386" s="111"/>
      <c r="BL386" s="111"/>
      <c r="BM386" s="111"/>
      <c r="BN386" s="111"/>
      <c r="BO386" s="111"/>
      <c r="BP386" s="111"/>
      <c r="BQ386" s="111"/>
      <c r="BS386" s="111"/>
      <c r="BT386" s="111"/>
      <c r="BU386" s="111"/>
      <c r="BV386" s="111"/>
    </row>
    <row r="387" spans="17:74" x14ac:dyDescent="0.25"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  <c r="AP387" s="111"/>
      <c r="AQ387" s="111"/>
      <c r="AR387" s="111"/>
      <c r="AS387" s="111"/>
      <c r="AT387" s="111"/>
      <c r="AX387" s="111"/>
      <c r="AY387" s="111"/>
      <c r="AZ387" s="111"/>
      <c r="BA387" s="111"/>
      <c r="BB387" s="111"/>
      <c r="BC387" s="111"/>
      <c r="BD387" s="111"/>
      <c r="BE387" s="111"/>
      <c r="BF387" s="111"/>
      <c r="BG387" s="111"/>
      <c r="BI387" s="111"/>
      <c r="BJ387" s="111"/>
      <c r="BK387" s="111"/>
      <c r="BL387" s="111"/>
      <c r="BM387" s="111"/>
      <c r="BN387" s="111"/>
      <c r="BO387" s="111"/>
      <c r="BP387" s="111"/>
      <c r="BQ387" s="111"/>
      <c r="BS387" s="111"/>
      <c r="BT387" s="111"/>
      <c r="BU387" s="111"/>
      <c r="BV387" s="111"/>
    </row>
    <row r="388" spans="17:74" x14ac:dyDescent="0.25"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  <c r="AP388" s="111"/>
      <c r="AQ388" s="111"/>
      <c r="AR388" s="111"/>
      <c r="AS388" s="111"/>
      <c r="AT388" s="111"/>
      <c r="AX388" s="111"/>
      <c r="AY388" s="111"/>
      <c r="AZ388" s="111"/>
      <c r="BA388" s="111"/>
      <c r="BB388" s="111"/>
      <c r="BC388" s="111"/>
      <c r="BD388" s="111"/>
      <c r="BE388" s="111"/>
      <c r="BF388" s="111"/>
      <c r="BG388" s="111"/>
      <c r="BI388" s="111"/>
      <c r="BJ388" s="111"/>
      <c r="BK388" s="111"/>
      <c r="BL388" s="111"/>
      <c r="BM388" s="111"/>
      <c r="BN388" s="111"/>
      <c r="BO388" s="111"/>
      <c r="BP388" s="111"/>
      <c r="BQ388" s="111"/>
      <c r="BS388" s="111"/>
      <c r="BT388" s="111"/>
      <c r="BU388" s="111"/>
      <c r="BV388" s="111"/>
    </row>
    <row r="389" spans="17:74" x14ac:dyDescent="0.25"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111"/>
      <c r="AB389" s="111"/>
      <c r="AC389" s="111"/>
      <c r="AD389" s="111"/>
      <c r="AE389" s="111"/>
      <c r="AF389" s="111"/>
      <c r="AG389" s="111"/>
      <c r="AH389" s="111"/>
      <c r="AI389" s="111"/>
      <c r="AJ389" s="111"/>
      <c r="AK389" s="111"/>
      <c r="AL389" s="111"/>
      <c r="AM389" s="111"/>
      <c r="AN389" s="111"/>
      <c r="AO389" s="111"/>
      <c r="AP389" s="111"/>
      <c r="AQ389" s="111"/>
      <c r="AR389" s="111"/>
      <c r="AS389" s="111"/>
      <c r="AT389" s="111"/>
      <c r="AX389" s="111"/>
      <c r="AY389" s="111"/>
      <c r="AZ389" s="111"/>
      <c r="BA389" s="111"/>
      <c r="BB389" s="111"/>
      <c r="BC389" s="111"/>
      <c r="BD389" s="111"/>
      <c r="BE389" s="111"/>
      <c r="BF389" s="111"/>
      <c r="BG389" s="111"/>
      <c r="BI389" s="111"/>
      <c r="BJ389" s="111"/>
      <c r="BK389" s="111"/>
      <c r="BL389" s="111"/>
      <c r="BM389" s="111"/>
      <c r="BN389" s="111"/>
      <c r="BO389" s="111"/>
      <c r="BP389" s="111"/>
      <c r="BQ389" s="111"/>
      <c r="BS389" s="111"/>
      <c r="BT389" s="111"/>
      <c r="BU389" s="111"/>
      <c r="BV389" s="111"/>
    </row>
    <row r="390" spans="17:74" x14ac:dyDescent="0.25"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111"/>
      <c r="AB390" s="111"/>
      <c r="AC390" s="111"/>
      <c r="AD390" s="111"/>
      <c r="AE390" s="111"/>
      <c r="AF390" s="111"/>
      <c r="AG390" s="111"/>
      <c r="AH390" s="111"/>
      <c r="AI390" s="111"/>
      <c r="AJ390" s="111"/>
      <c r="AK390" s="111"/>
      <c r="AL390" s="111"/>
      <c r="AM390" s="111"/>
      <c r="AN390" s="111"/>
      <c r="AO390" s="111"/>
      <c r="AP390" s="111"/>
      <c r="AQ390" s="111"/>
      <c r="AR390" s="111"/>
      <c r="AS390" s="111"/>
      <c r="AT390" s="111"/>
      <c r="AX390" s="111"/>
      <c r="AY390" s="111"/>
      <c r="AZ390" s="111"/>
      <c r="BA390" s="111"/>
      <c r="BB390" s="111"/>
      <c r="BC390" s="111"/>
      <c r="BD390" s="111"/>
      <c r="BE390" s="111"/>
      <c r="BF390" s="111"/>
      <c r="BG390" s="111"/>
      <c r="BI390" s="111"/>
      <c r="BJ390" s="111"/>
      <c r="BK390" s="111"/>
      <c r="BL390" s="111"/>
      <c r="BM390" s="111"/>
      <c r="BN390" s="111"/>
      <c r="BO390" s="111"/>
      <c r="BP390" s="111"/>
      <c r="BQ390" s="111"/>
      <c r="BS390" s="111"/>
      <c r="BT390" s="111"/>
      <c r="BU390" s="111"/>
      <c r="BV390" s="111"/>
    </row>
    <row r="391" spans="17:74" x14ac:dyDescent="0.25"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111"/>
      <c r="AB391" s="111"/>
      <c r="AC391" s="111"/>
      <c r="AD391" s="111"/>
      <c r="AE391" s="111"/>
      <c r="AF391" s="111"/>
      <c r="AG391" s="111"/>
      <c r="AH391" s="111"/>
      <c r="AI391" s="111"/>
      <c r="AJ391" s="111"/>
      <c r="AK391" s="111"/>
      <c r="AL391" s="111"/>
      <c r="AM391" s="111"/>
      <c r="AN391" s="111"/>
      <c r="AO391" s="111"/>
      <c r="AP391" s="111"/>
      <c r="AQ391" s="111"/>
      <c r="AR391" s="111"/>
      <c r="AS391" s="111"/>
      <c r="AT391" s="111"/>
      <c r="AX391" s="111"/>
      <c r="AY391" s="111"/>
      <c r="AZ391" s="111"/>
      <c r="BA391" s="111"/>
      <c r="BB391" s="111"/>
      <c r="BC391" s="111"/>
      <c r="BD391" s="111"/>
      <c r="BE391" s="111"/>
      <c r="BF391" s="111"/>
      <c r="BG391" s="111"/>
      <c r="BI391" s="111"/>
      <c r="BJ391" s="111"/>
      <c r="BK391" s="111"/>
      <c r="BL391" s="111"/>
      <c r="BM391" s="111"/>
      <c r="BN391" s="111"/>
      <c r="BO391" s="111"/>
      <c r="BP391" s="111"/>
      <c r="BQ391" s="111"/>
      <c r="BS391" s="111"/>
      <c r="BT391" s="111"/>
      <c r="BU391" s="111"/>
      <c r="BV391" s="111"/>
    </row>
    <row r="392" spans="17:74" x14ac:dyDescent="0.25"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111"/>
      <c r="AB392" s="111"/>
      <c r="AC392" s="111"/>
      <c r="AD392" s="111"/>
      <c r="AE392" s="111"/>
      <c r="AF392" s="111"/>
      <c r="AG392" s="111"/>
      <c r="AH392" s="111"/>
      <c r="AI392" s="111"/>
      <c r="AJ392" s="111"/>
      <c r="AK392" s="111"/>
      <c r="AL392" s="111"/>
      <c r="AM392" s="111"/>
      <c r="AN392" s="111"/>
      <c r="AO392" s="111"/>
      <c r="AP392" s="111"/>
      <c r="AQ392" s="111"/>
      <c r="AR392" s="111"/>
      <c r="AS392" s="111"/>
      <c r="AT392" s="111"/>
      <c r="AX392" s="111"/>
      <c r="AY392" s="111"/>
      <c r="AZ392" s="111"/>
      <c r="BA392" s="111"/>
      <c r="BB392" s="111"/>
      <c r="BC392" s="111"/>
      <c r="BD392" s="111"/>
      <c r="BE392" s="111"/>
      <c r="BF392" s="111"/>
      <c r="BG392" s="111"/>
      <c r="BI392" s="111"/>
      <c r="BJ392" s="111"/>
      <c r="BK392" s="111"/>
      <c r="BL392" s="111"/>
      <c r="BM392" s="111"/>
      <c r="BN392" s="111"/>
      <c r="BO392" s="111"/>
      <c r="BP392" s="111"/>
      <c r="BQ392" s="111"/>
      <c r="BS392" s="111"/>
      <c r="BT392" s="111"/>
      <c r="BU392" s="111"/>
      <c r="BV392" s="111"/>
    </row>
    <row r="393" spans="17:74" x14ac:dyDescent="0.25"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111"/>
      <c r="AB393" s="111"/>
      <c r="AC393" s="111"/>
      <c r="AD393" s="111"/>
      <c r="AE393" s="111"/>
      <c r="AF393" s="111"/>
      <c r="AG393" s="111"/>
      <c r="AH393" s="111"/>
      <c r="AI393" s="111"/>
      <c r="AJ393" s="111"/>
      <c r="AK393" s="111"/>
      <c r="AL393" s="111"/>
      <c r="AM393" s="111"/>
      <c r="AN393" s="111"/>
      <c r="AO393" s="111"/>
      <c r="AP393" s="111"/>
      <c r="AQ393" s="111"/>
      <c r="AR393" s="111"/>
      <c r="AS393" s="111"/>
      <c r="AT393" s="111"/>
      <c r="AX393" s="111"/>
      <c r="AY393" s="111"/>
      <c r="AZ393" s="111"/>
      <c r="BA393" s="111"/>
      <c r="BB393" s="111"/>
      <c r="BC393" s="111"/>
      <c r="BD393" s="111"/>
      <c r="BE393" s="111"/>
      <c r="BF393" s="111"/>
      <c r="BG393" s="111"/>
      <c r="BI393" s="111"/>
      <c r="BJ393" s="111"/>
      <c r="BK393" s="111"/>
      <c r="BL393" s="111"/>
      <c r="BM393" s="111"/>
      <c r="BN393" s="111"/>
      <c r="BO393" s="111"/>
      <c r="BP393" s="111"/>
      <c r="BQ393" s="111"/>
      <c r="BS393" s="111"/>
      <c r="BT393" s="111"/>
      <c r="BU393" s="111"/>
      <c r="BV393" s="111"/>
    </row>
    <row r="394" spans="17:74" x14ac:dyDescent="0.25"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111"/>
      <c r="AB394" s="111"/>
      <c r="AC394" s="111"/>
      <c r="AD394" s="111"/>
      <c r="AE394" s="111"/>
      <c r="AF394" s="111"/>
      <c r="AG394" s="111"/>
      <c r="AH394" s="111"/>
      <c r="AI394" s="111"/>
      <c r="AJ394" s="111"/>
      <c r="AK394" s="111"/>
      <c r="AL394" s="111"/>
      <c r="AM394" s="111"/>
      <c r="AN394" s="111"/>
      <c r="AO394" s="111"/>
      <c r="AP394" s="111"/>
      <c r="AQ394" s="111"/>
      <c r="AR394" s="111"/>
      <c r="AS394" s="111"/>
      <c r="AT394" s="111"/>
      <c r="AX394" s="111"/>
      <c r="AY394" s="111"/>
      <c r="AZ394" s="111"/>
      <c r="BA394" s="111"/>
      <c r="BB394" s="111"/>
      <c r="BC394" s="111"/>
      <c r="BD394" s="111"/>
      <c r="BE394" s="111"/>
      <c r="BF394" s="111"/>
      <c r="BG394" s="111"/>
      <c r="BI394" s="111"/>
      <c r="BJ394" s="111"/>
      <c r="BK394" s="111"/>
      <c r="BL394" s="111"/>
      <c r="BM394" s="111"/>
      <c r="BN394" s="111"/>
      <c r="BO394" s="111"/>
      <c r="BP394" s="111"/>
      <c r="BQ394" s="111"/>
      <c r="BS394" s="111"/>
      <c r="BT394" s="111"/>
      <c r="BU394" s="111"/>
      <c r="BV394" s="111"/>
    </row>
    <row r="395" spans="17:74" x14ac:dyDescent="0.25"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111"/>
      <c r="AB395" s="111"/>
      <c r="AC395" s="111"/>
      <c r="AD395" s="111"/>
      <c r="AE395" s="111"/>
      <c r="AF395" s="111"/>
      <c r="AG395" s="111"/>
      <c r="AH395" s="111"/>
      <c r="AI395" s="111"/>
      <c r="AJ395" s="111"/>
      <c r="AK395" s="111"/>
      <c r="AL395" s="111"/>
      <c r="AM395" s="111"/>
      <c r="AN395" s="111"/>
      <c r="AO395" s="111"/>
      <c r="AP395" s="111"/>
      <c r="AQ395" s="111"/>
      <c r="AR395" s="111"/>
      <c r="AS395" s="111"/>
      <c r="AT395" s="111"/>
      <c r="AX395" s="111"/>
      <c r="AY395" s="111"/>
      <c r="AZ395" s="111"/>
      <c r="BA395" s="111"/>
      <c r="BB395" s="111"/>
      <c r="BC395" s="111"/>
      <c r="BD395" s="111"/>
      <c r="BE395" s="111"/>
      <c r="BF395" s="111"/>
      <c r="BG395" s="111"/>
      <c r="BI395" s="111"/>
      <c r="BJ395" s="111"/>
      <c r="BK395" s="111"/>
      <c r="BL395" s="111"/>
      <c r="BM395" s="111"/>
      <c r="BN395" s="111"/>
      <c r="BO395" s="111"/>
      <c r="BP395" s="111"/>
      <c r="BQ395" s="111"/>
      <c r="BS395" s="111"/>
      <c r="BT395" s="111"/>
      <c r="BU395" s="111"/>
      <c r="BV395" s="111"/>
    </row>
    <row r="396" spans="17:74" x14ac:dyDescent="0.25"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  <c r="AP396" s="111"/>
      <c r="AQ396" s="111"/>
      <c r="AR396" s="111"/>
      <c r="AS396" s="111"/>
      <c r="AT396" s="111"/>
      <c r="AX396" s="111"/>
      <c r="AY396" s="111"/>
      <c r="AZ396" s="111"/>
      <c r="BA396" s="111"/>
      <c r="BB396" s="111"/>
      <c r="BC396" s="111"/>
      <c r="BD396" s="111"/>
      <c r="BE396" s="111"/>
      <c r="BF396" s="111"/>
      <c r="BG396" s="111"/>
      <c r="BI396" s="111"/>
      <c r="BJ396" s="111"/>
      <c r="BK396" s="111"/>
      <c r="BL396" s="111"/>
      <c r="BM396" s="111"/>
      <c r="BN396" s="111"/>
      <c r="BO396" s="111"/>
      <c r="BP396" s="111"/>
      <c r="BQ396" s="111"/>
      <c r="BS396" s="111"/>
      <c r="BT396" s="111"/>
      <c r="BU396" s="111"/>
      <c r="BV396" s="111"/>
    </row>
    <row r="397" spans="17:74" x14ac:dyDescent="0.25"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  <c r="AP397" s="111"/>
      <c r="AQ397" s="111"/>
      <c r="AR397" s="111"/>
      <c r="AS397" s="111"/>
      <c r="AT397" s="111"/>
      <c r="AX397" s="111"/>
      <c r="AY397" s="111"/>
      <c r="AZ397" s="111"/>
      <c r="BA397" s="111"/>
      <c r="BB397" s="111"/>
      <c r="BC397" s="111"/>
      <c r="BD397" s="111"/>
      <c r="BE397" s="111"/>
      <c r="BF397" s="111"/>
      <c r="BG397" s="111"/>
      <c r="BI397" s="111"/>
      <c r="BJ397" s="111"/>
      <c r="BK397" s="111"/>
      <c r="BL397" s="111"/>
      <c r="BM397" s="111"/>
      <c r="BN397" s="111"/>
      <c r="BO397" s="111"/>
      <c r="BP397" s="111"/>
      <c r="BQ397" s="111"/>
      <c r="BS397" s="111"/>
      <c r="BT397" s="111"/>
      <c r="BU397" s="111"/>
      <c r="BV397" s="111"/>
    </row>
    <row r="398" spans="17:74" x14ac:dyDescent="0.25"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  <c r="AP398" s="111"/>
      <c r="AQ398" s="111"/>
      <c r="AR398" s="111"/>
      <c r="AS398" s="111"/>
      <c r="AT398" s="111"/>
      <c r="AX398" s="111"/>
      <c r="AY398" s="111"/>
      <c r="AZ398" s="111"/>
      <c r="BA398" s="111"/>
      <c r="BB398" s="111"/>
      <c r="BC398" s="111"/>
      <c r="BD398" s="111"/>
      <c r="BE398" s="111"/>
      <c r="BF398" s="111"/>
      <c r="BG398" s="111"/>
      <c r="BI398" s="111"/>
      <c r="BJ398" s="111"/>
      <c r="BK398" s="111"/>
      <c r="BL398" s="111"/>
      <c r="BM398" s="111"/>
      <c r="BN398" s="111"/>
      <c r="BO398" s="111"/>
      <c r="BP398" s="111"/>
      <c r="BQ398" s="111"/>
      <c r="BS398" s="111"/>
      <c r="BT398" s="111"/>
      <c r="BU398" s="111"/>
      <c r="BV398" s="111"/>
    </row>
    <row r="399" spans="17:74" x14ac:dyDescent="0.25"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111"/>
      <c r="AB399" s="111"/>
      <c r="AC399" s="111"/>
      <c r="AD399" s="111"/>
      <c r="AE399" s="111"/>
      <c r="AF399" s="111"/>
      <c r="AG399" s="111"/>
      <c r="AH399" s="111"/>
      <c r="AI399" s="111"/>
      <c r="AJ399" s="111"/>
      <c r="AK399" s="111"/>
      <c r="AL399" s="111"/>
      <c r="AM399" s="111"/>
      <c r="AN399" s="111"/>
      <c r="AO399" s="111"/>
      <c r="AP399" s="111"/>
      <c r="AQ399" s="111"/>
      <c r="AR399" s="111"/>
      <c r="AS399" s="111"/>
      <c r="AT399" s="111"/>
      <c r="AX399" s="111"/>
      <c r="AY399" s="111"/>
      <c r="AZ399" s="111"/>
      <c r="BA399" s="111"/>
      <c r="BB399" s="111"/>
      <c r="BC399" s="111"/>
      <c r="BD399" s="111"/>
      <c r="BE399" s="111"/>
      <c r="BF399" s="111"/>
      <c r="BG399" s="111"/>
      <c r="BI399" s="111"/>
      <c r="BJ399" s="111"/>
      <c r="BK399" s="111"/>
      <c r="BL399" s="111"/>
      <c r="BM399" s="111"/>
      <c r="BN399" s="111"/>
      <c r="BO399" s="111"/>
      <c r="BP399" s="111"/>
      <c r="BQ399" s="111"/>
      <c r="BS399" s="111"/>
      <c r="BT399" s="111"/>
      <c r="BU399" s="111"/>
      <c r="BV399" s="111"/>
    </row>
    <row r="400" spans="17:74" x14ac:dyDescent="0.25"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111"/>
      <c r="AB400" s="111"/>
      <c r="AC400" s="111"/>
      <c r="AD400" s="111"/>
      <c r="AE400" s="111"/>
      <c r="AF400" s="111"/>
      <c r="AG400" s="111"/>
      <c r="AH400" s="111"/>
      <c r="AI400" s="111"/>
      <c r="AJ400" s="111"/>
      <c r="AK400" s="111"/>
      <c r="AL400" s="111"/>
      <c r="AM400" s="111"/>
      <c r="AN400" s="111"/>
      <c r="AO400" s="111"/>
      <c r="AP400" s="111"/>
      <c r="AQ400" s="111"/>
      <c r="AR400" s="111"/>
      <c r="AS400" s="111"/>
      <c r="AT400" s="111"/>
      <c r="AX400" s="111"/>
      <c r="AY400" s="111"/>
      <c r="AZ400" s="111"/>
      <c r="BA400" s="111"/>
      <c r="BB400" s="111"/>
      <c r="BC400" s="111"/>
      <c r="BD400" s="111"/>
      <c r="BE400" s="111"/>
      <c r="BF400" s="111"/>
      <c r="BG400" s="111"/>
      <c r="BI400" s="111"/>
      <c r="BJ400" s="111"/>
      <c r="BK400" s="111"/>
      <c r="BL400" s="111"/>
      <c r="BM400" s="111"/>
      <c r="BN400" s="111"/>
      <c r="BO400" s="111"/>
      <c r="BP400" s="111"/>
      <c r="BQ400" s="111"/>
      <c r="BS400" s="111"/>
      <c r="BT400" s="111"/>
      <c r="BU400" s="111"/>
      <c r="BV400" s="111"/>
    </row>
    <row r="401" spans="17:74" x14ac:dyDescent="0.25"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  <c r="AP401" s="111"/>
      <c r="AQ401" s="111"/>
      <c r="AR401" s="111"/>
      <c r="AS401" s="111"/>
      <c r="AT401" s="111"/>
      <c r="AX401" s="111"/>
      <c r="AY401" s="111"/>
      <c r="AZ401" s="111"/>
      <c r="BA401" s="111"/>
      <c r="BB401" s="111"/>
      <c r="BC401" s="111"/>
      <c r="BD401" s="111"/>
      <c r="BE401" s="111"/>
      <c r="BF401" s="111"/>
      <c r="BG401" s="111"/>
      <c r="BI401" s="111"/>
      <c r="BJ401" s="111"/>
      <c r="BK401" s="111"/>
      <c r="BL401" s="111"/>
      <c r="BM401" s="111"/>
      <c r="BN401" s="111"/>
      <c r="BO401" s="111"/>
      <c r="BP401" s="111"/>
      <c r="BQ401" s="111"/>
      <c r="BS401" s="111"/>
      <c r="BT401" s="111"/>
      <c r="BU401" s="111"/>
      <c r="BV401" s="111"/>
    </row>
    <row r="402" spans="17:74" x14ac:dyDescent="0.25"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  <c r="AP402" s="111"/>
      <c r="AQ402" s="111"/>
      <c r="AR402" s="111"/>
      <c r="AS402" s="111"/>
      <c r="AT402" s="111"/>
      <c r="AX402" s="111"/>
      <c r="AY402" s="111"/>
      <c r="AZ402" s="111"/>
      <c r="BA402" s="111"/>
      <c r="BB402" s="111"/>
      <c r="BC402" s="111"/>
      <c r="BD402" s="111"/>
      <c r="BE402" s="111"/>
      <c r="BF402" s="111"/>
      <c r="BG402" s="111"/>
      <c r="BI402" s="111"/>
      <c r="BJ402" s="111"/>
      <c r="BK402" s="111"/>
      <c r="BL402" s="111"/>
      <c r="BM402" s="111"/>
      <c r="BN402" s="111"/>
      <c r="BO402" s="111"/>
      <c r="BP402" s="111"/>
      <c r="BQ402" s="111"/>
      <c r="BS402" s="111"/>
      <c r="BT402" s="111"/>
      <c r="BU402" s="111"/>
      <c r="BV402" s="111"/>
    </row>
    <row r="403" spans="17:74" x14ac:dyDescent="0.25"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  <c r="AH403" s="111"/>
      <c r="AI403" s="111"/>
      <c r="AJ403" s="111"/>
      <c r="AK403" s="111"/>
      <c r="AL403" s="111"/>
      <c r="AM403" s="111"/>
      <c r="AN403" s="111"/>
      <c r="AO403" s="111"/>
      <c r="AP403" s="111"/>
      <c r="AQ403" s="111"/>
      <c r="AR403" s="111"/>
      <c r="AS403" s="111"/>
      <c r="AT403" s="111"/>
      <c r="AX403" s="111"/>
      <c r="AY403" s="111"/>
      <c r="AZ403" s="111"/>
      <c r="BA403" s="111"/>
      <c r="BB403" s="111"/>
      <c r="BC403" s="111"/>
      <c r="BD403" s="111"/>
      <c r="BE403" s="111"/>
      <c r="BF403" s="111"/>
      <c r="BG403" s="111"/>
      <c r="BI403" s="111"/>
      <c r="BJ403" s="111"/>
      <c r="BK403" s="111"/>
      <c r="BL403" s="111"/>
      <c r="BM403" s="111"/>
      <c r="BN403" s="111"/>
      <c r="BO403" s="111"/>
      <c r="BP403" s="111"/>
      <c r="BQ403" s="111"/>
      <c r="BS403" s="111"/>
      <c r="BT403" s="111"/>
      <c r="BU403" s="111"/>
      <c r="BV403" s="111"/>
    </row>
    <row r="404" spans="17:74" x14ac:dyDescent="0.25"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111"/>
      <c r="AB404" s="111"/>
      <c r="AC404" s="111"/>
      <c r="AD404" s="111"/>
      <c r="AE404" s="111"/>
      <c r="AF404" s="111"/>
      <c r="AG404" s="111"/>
      <c r="AH404" s="111"/>
      <c r="AI404" s="111"/>
      <c r="AJ404" s="111"/>
      <c r="AK404" s="111"/>
      <c r="AL404" s="111"/>
      <c r="AM404" s="111"/>
      <c r="AN404" s="111"/>
      <c r="AO404" s="111"/>
      <c r="AP404" s="111"/>
      <c r="AQ404" s="111"/>
      <c r="AR404" s="111"/>
      <c r="AS404" s="111"/>
      <c r="AT404" s="111"/>
      <c r="AX404" s="111"/>
      <c r="AY404" s="111"/>
      <c r="AZ404" s="111"/>
      <c r="BA404" s="111"/>
      <c r="BB404" s="111"/>
      <c r="BC404" s="111"/>
      <c r="BD404" s="111"/>
      <c r="BE404" s="111"/>
      <c r="BF404" s="111"/>
      <c r="BG404" s="111"/>
      <c r="BI404" s="111"/>
      <c r="BJ404" s="111"/>
      <c r="BK404" s="111"/>
      <c r="BL404" s="111"/>
      <c r="BM404" s="111"/>
      <c r="BN404" s="111"/>
      <c r="BO404" s="111"/>
      <c r="BP404" s="111"/>
      <c r="BQ404" s="111"/>
      <c r="BS404" s="111"/>
      <c r="BT404" s="111"/>
      <c r="BU404" s="111"/>
      <c r="BV404" s="111"/>
    </row>
    <row r="405" spans="17:74" x14ac:dyDescent="0.25"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111"/>
      <c r="AB405" s="111"/>
      <c r="AC405" s="111"/>
      <c r="AD405" s="111"/>
      <c r="AE405" s="111"/>
      <c r="AF405" s="111"/>
      <c r="AG405" s="111"/>
      <c r="AH405" s="111"/>
      <c r="AI405" s="111"/>
      <c r="AJ405" s="111"/>
      <c r="AK405" s="111"/>
      <c r="AL405" s="111"/>
      <c r="AM405" s="111"/>
      <c r="AN405" s="111"/>
      <c r="AO405" s="111"/>
      <c r="AP405" s="111"/>
      <c r="AQ405" s="111"/>
      <c r="AR405" s="111"/>
      <c r="AS405" s="111"/>
      <c r="AT405" s="111"/>
      <c r="AX405" s="111"/>
      <c r="AY405" s="111"/>
      <c r="AZ405" s="111"/>
      <c r="BA405" s="111"/>
      <c r="BB405" s="111"/>
      <c r="BC405" s="111"/>
      <c r="BD405" s="111"/>
      <c r="BE405" s="111"/>
      <c r="BF405" s="111"/>
      <c r="BG405" s="111"/>
      <c r="BI405" s="111"/>
      <c r="BJ405" s="111"/>
      <c r="BK405" s="111"/>
      <c r="BL405" s="111"/>
      <c r="BM405" s="111"/>
      <c r="BN405" s="111"/>
      <c r="BO405" s="111"/>
      <c r="BP405" s="111"/>
      <c r="BQ405" s="111"/>
      <c r="BS405" s="111"/>
      <c r="BT405" s="111"/>
      <c r="BU405" s="111"/>
      <c r="BV405" s="111"/>
    </row>
    <row r="406" spans="17:74" x14ac:dyDescent="0.25"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O406" s="111"/>
      <c r="AP406" s="111"/>
      <c r="AQ406" s="111"/>
      <c r="AR406" s="111"/>
      <c r="AS406" s="111"/>
      <c r="AT406" s="111"/>
      <c r="AX406" s="111"/>
      <c r="AY406" s="111"/>
      <c r="AZ406" s="111"/>
      <c r="BA406" s="111"/>
      <c r="BB406" s="111"/>
      <c r="BC406" s="111"/>
      <c r="BD406" s="111"/>
      <c r="BE406" s="111"/>
      <c r="BF406" s="111"/>
      <c r="BG406" s="111"/>
      <c r="BI406" s="111"/>
      <c r="BJ406" s="111"/>
      <c r="BK406" s="111"/>
      <c r="BL406" s="111"/>
      <c r="BM406" s="111"/>
      <c r="BN406" s="111"/>
      <c r="BO406" s="111"/>
      <c r="BP406" s="111"/>
      <c r="BQ406" s="111"/>
      <c r="BS406" s="111"/>
      <c r="BT406" s="111"/>
      <c r="BU406" s="111"/>
      <c r="BV406" s="111"/>
    </row>
    <row r="407" spans="17:74" x14ac:dyDescent="0.25"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O407" s="111"/>
      <c r="AP407" s="111"/>
      <c r="AQ407" s="111"/>
      <c r="AR407" s="111"/>
      <c r="AS407" s="111"/>
      <c r="AT407" s="111"/>
      <c r="AX407" s="111"/>
      <c r="AY407" s="111"/>
      <c r="AZ407" s="111"/>
      <c r="BA407" s="111"/>
      <c r="BB407" s="111"/>
      <c r="BC407" s="111"/>
      <c r="BD407" s="111"/>
      <c r="BE407" s="111"/>
      <c r="BF407" s="111"/>
      <c r="BG407" s="111"/>
      <c r="BI407" s="111"/>
      <c r="BJ407" s="111"/>
      <c r="BK407" s="111"/>
      <c r="BL407" s="111"/>
      <c r="BM407" s="111"/>
      <c r="BN407" s="111"/>
      <c r="BO407" s="111"/>
      <c r="BP407" s="111"/>
      <c r="BQ407" s="111"/>
      <c r="BS407" s="111"/>
      <c r="BT407" s="111"/>
      <c r="BU407" s="111"/>
      <c r="BV407" s="111"/>
    </row>
    <row r="408" spans="17:74" x14ac:dyDescent="0.25"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O408" s="111"/>
      <c r="AP408" s="111"/>
      <c r="AQ408" s="111"/>
      <c r="AR408" s="111"/>
      <c r="AS408" s="111"/>
      <c r="AT408" s="111"/>
      <c r="AX408" s="111"/>
      <c r="AY408" s="111"/>
      <c r="AZ408" s="111"/>
      <c r="BA408" s="111"/>
      <c r="BB408" s="111"/>
      <c r="BC408" s="111"/>
      <c r="BD408" s="111"/>
      <c r="BE408" s="111"/>
      <c r="BF408" s="111"/>
      <c r="BG408" s="111"/>
      <c r="BI408" s="111"/>
      <c r="BJ408" s="111"/>
      <c r="BK408" s="111"/>
      <c r="BL408" s="111"/>
      <c r="BM408" s="111"/>
      <c r="BN408" s="111"/>
      <c r="BO408" s="111"/>
      <c r="BP408" s="111"/>
      <c r="BQ408" s="111"/>
      <c r="BS408" s="111"/>
      <c r="BT408" s="111"/>
      <c r="BU408" s="111"/>
      <c r="BV408" s="111"/>
    </row>
    <row r="409" spans="17:74" x14ac:dyDescent="0.25"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O409" s="111"/>
      <c r="AP409" s="111"/>
      <c r="AQ409" s="111"/>
      <c r="AR409" s="111"/>
      <c r="AS409" s="111"/>
      <c r="AT409" s="111"/>
      <c r="AX409" s="111"/>
      <c r="AY409" s="111"/>
      <c r="AZ409" s="111"/>
      <c r="BA409" s="111"/>
      <c r="BB409" s="111"/>
      <c r="BC409" s="111"/>
      <c r="BD409" s="111"/>
      <c r="BE409" s="111"/>
      <c r="BF409" s="111"/>
      <c r="BG409" s="111"/>
      <c r="BI409" s="111"/>
      <c r="BJ409" s="111"/>
      <c r="BK409" s="111"/>
      <c r="BL409" s="111"/>
      <c r="BM409" s="111"/>
      <c r="BN409" s="111"/>
      <c r="BO409" s="111"/>
      <c r="BP409" s="111"/>
      <c r="BQ409" s="111"/>
      <c r="BS409" s="111"/>
      <c r="BT409" s="111"/>
      <c r="BU409" s="111"/>
      <c r="BV409" s="111"/>
    </row>
    <row r="410" spans="17:74" x14ac:dyDescent="0.25"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O410" s="111"/>
      <c r="AP410" s="111"/>
      <c r="AQ410" s="111"/>
      <c r="AR410" s="111"/>
      <c r="AS410" s="111"/>
      <c r="AT410" s="111"/>
      <c r="AX410" s="111"/>
      <c r="AY410" s="111"/>
      <c r="AZ410" s="111"/>
      <c r="BA410" s="111"/>
      <c r="BB410" s="111"/>
      <c r="BC410" s="111"/>
      <c r="BD410" s="111"/>
      <c r="BE410" s="111"/>
      <c r="BF410" s="111"/>
      <c r="BG410" s="111"/>
      <c r="BI410" s="111"/>
      <c r="BJ410" s="111"/>
      <c r="BK410" s="111"/>
      <c r="BL410" s="111"/>
      <c r="BM410" s="111"/>
      <c r="BN410" s="111"/>
      <c r="BO410" s="111"/>
      <c r="BP410" s="111"/>
      <c r="BQ410" s="111"/>
      <c r="BS410" s="111"/>
      <c r="BT410" s="111"/>
      <c r="BU410" s="111"/>
      <c r="BV410" s="111"/>
    </row>
    <row r="411" spans="17:74" x14ac:dyDescent="0.25"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  <c r="AP411" s="111"/>
      <c r="AQ411" s="111"/>
      <c r="AR411" s="111"/>
      <c r="AS411" s="111"/>
      <c r="AT411" s="111"/>
      <c r="AX411" s="111"/>
      <c r="AY411" s="111"/>
      <c r="AZ411" s="111"/>
      <c r="BA411" s="111"/>
      <c r="BB411" s="111"/>
      <c r="BC411" s="111"/>
      <c r="BD411" s="111"/>
      <c r="BE411" s="111"/>
      <c r="BF411" s="111"/>
      <c r="BG411" s="111"/>
      <c r="BI411" s="111"/>
      <c r="BJ411" s="111"/>
      <c r="BK411" s="111"/>
      <c r="BL411" s="111"/>
      <c r="BM411" s="111"/>
      <c r="BN411" s="111"/>
      <c r="BO411" s="111"/>
      <c r="BP411" s="111"/>
      <c r="BQ411" s="111"/>
      <c r="BS411" s="111"/>
      <c r="BT411" s="111"/>
      <c r="BU411" s="111"/>
      <c r="BV411" s="111"/>
    </row>
    <row r="412" spans="17:74" x14ac:dyDescent="0.25"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O412" s="111"/>
      <c r="AP412" s="111"/>
      <c r="AQ412" s="111"/>
      <c r="AR412" s="111"/>
      <c r="AS412" s="111"/>
      <c r="AT412" s="111"/>
      <c r="AX412" s="111"/>
      <c r="AY412" s="111"/>
      <c r="AZ412" s="111"/>
      <c r="BA412" s="111"/>
      <c r="BB412" s="111"/>
      <c r="BC412" s="111"/>
      <c r="BD412" s="111"/>
      <c r="BE412" s="111"/>
      <c r="BF412" s="111"/>
      <c r="BG412" s="111"/>
      <c r="BI412" s="111"/>
      <c r="BJ412" s="111"/>
      <c r="BK412" s="111"/>
      <c r="BL412" s="111"/>
      <c r="BM412" s="111"/>
      <c r="BN412" s="111"/>
      <c r="BO412" s="111"/>
      <c r="BP412" s="111"/>
      <c r="BQ412" s="111"/>
      <c r="BS412" s="111"/>
      <c r="BT412" s="111"/>
      <c r="BU412" s="111"/>
      <c r="BV412" s="111"/>
    </row>
    <row r="413" spans="17:74" x14ac:dyDescent="0.25"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111"/>
      <c r="AB413" s="111"/>
      <c r="AC413" s="111"/>
      <c r="AD413" s="111"/>
      <c r="AE413" s="111"/>
      <c r="AF413" s="111"/>
      <c r="AG413" s="111"/>
      <c r="AH413" s="111"/>
      <c r="AI413" s="111"/>
      <c r="AJ413" s="111"/>
      <c r="AK413" s="111"/>
      <c r="AL413" s="111"/>
      <c r="AM413" s="111"/>
      <c r="AN413" s="111"/>
      <c r="AO413" s="111"/>
      <c r="AP413" s="111"/>
      <c r="AQ413" s="111"/>
      <c r="AR413" s="111"/>
      <c r="AS413" s="111"/>
      <c r="AT413" s="111"/>
      <c r="AX413" s="111"/>
      <c r="AY413" s="111"/>
      <c r="AZ413" s="111"/>
      <c r="BA413" s="111"/>
      <c r="BB413" s="111"/>
      <c r="BC413" s="111"/>
      <c r="BD413" s="111"/>
      <c r="BE413" s="111"/>
      <c r="BF413" s="111"/>
      <c r="BG413" s="111"/>
      <c r="BI413" s="111"/>
      <c r="BJ413" s="111"/>
      <c r="BK413" s="111"/>
      <c r="BL413" s="111"/>
      <c r="BM413" s="111"/>
      <c r="BN413" s="111"/>
      <c r="BO413" s="111"/>
      <c r="BP413" s="111"/>
      <c r="BQ413" s="111"/>
      <c r="BS413" s="111"/>
      <c r="BT413" s="111"/>
      <c r="BU413" s="111"/>
      <c r="BV413" s="111"/>
    </row>
    <row r="414" spans="17:74" x14ac:dyDescent="0.25"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111"/>
      <c r="AB414" s="111"/>
      <c r="AC414" s="111"/>
      <c r="AD414" s="111"/>
      <c r="AE414" s="111"/>
      <c r="AF414" s="111"/>
      <c r="AG414" s="111"/>
      <c r="AH414" s="111"/>
      <c r="AI414" s="111"/>
      <c r="AJ414" s="111"/>
      <c r="AK414" s="111"/>
      <c r="AL414" s="111"/>
      <c r="AM414" s="111"/>
      <c r="AN414" s="111"/>
      <c r="AO414" s="111"/>
      <c r="AP414" s="111"/>
      <c r="AQ414" s="111"/>
      <c r="AR414" s="111"/>
      <c r="AS414" s="111"/>
      <c r="AT414" s="111"/>
      <c r="AX414" s="111"/>
      <c r="AY414" s="111"/>
      <c r="AZ414" s="111"/>
      <c r="BA414" s="111"/>
      <c r="BB414" s="111"/>
      <c r="BC414" s="111"/>
      <c r="BD414" s="111"/>
      <c r="BE414" s="111"/>
      <c r="BF414" s="111"/>
      <c r="BG414" s="111"/>
      <c r="BI414" s="111"/>
      <c r="BJ414" s="111"/>
      <c r="BK414" s="111"/>
      <c r="BL414" s="111"/>
      <c r="BM414" s="111"/>
      <c r="BN414" s="111"/>
      <c r="BO414" s="111"/>
      <c r="BP414" s="111"/>
      <c r="BQ414" s="111"/>
      <c r="BS414" s="111"/>
      <c r="BT414" s="111"/>
      <c r="BU414" s="111"/>
      <c r="BV414" s="111"/>
    </row>
    <row r="415" spans="17:74" x14ac:dyDescent="0.25"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111"/>
      <c r="AB415" s="111"/>
      <c r="AC415" s="111"/>
      <c r="AD415" s="111"/>
      <c r="AE415" s="111"/>
      <c r="AF415" s="111"/>
      <c r="AG415" s="111"/>
      <c r="AH415" s="111"/>
      <c r="AI415" s="111"/>
      <c r="AJ415" s="111"/>
      <c r="AK415" s="111"/>
      <c r="AL415" s="111"/>
      <c r="AM415" s="111"/>
      <c r="AN415" s="111"/>
      <c r="AO415" s="111"/>
      <c r="AP415" s="111"/>
      <c r="AQ415" s="111"/>
      <c r="AR415" s="111"/>
      <c r="AS415" s="111"/>
      <c r="AT415" s="111"/>
      <c r="AX415" s="111"/>
      <c r="AY415" s="111"/>
      <c r="AZ415" s="111"/>
      <c r="BA415" s="111"/>
      <c r="BB415" s="111"/>
      <c r="BC415" s="111"/>
      <c r="BD415" s="111"/>
      <c r="BE415" s="111"/>
      <c r="BF415" s="111"/>
      <c r="BG415" s="111"/>
      <c r="BI415" s="111"/>
      <c r="BJ415" s="111"/>
      <c r="BK415" s="111"/>
      <c r="BL415" s="111"/>
      <c r="BM415" s="111"/>
      <c r="BN415" s="111"/>
      <c r="BO415" s="111"/>
      <c r="BP415" s="111"/>
      <c r="BQ415" s="111"/>
      <c r="BS415" s="111"/>
      <c r="BT415" s="111"/>
      <c r="BU415" s="111"/>
      <c r="BV415" s="111"/>
    </row>
    <row r="416" spans="17:74" x14ac:dyDescent="0.25"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111"/>
      <c r="AB416" s="111"/>
      <c r="AC416" s="111"/>
      <c r="AD416" s="111"/>
      <c r="AE416" s="111"/>
      <c r="AF416" s="111"/>
      <c r="AG416" s="111"/>
      <c r="AH416" s="111"/>
      <c r="AI416" s="111"/>
      <c r="AJ416" s="111"/>
      <c r="AK416" s="111"/>
      <c r="AL416" s="111"/>
      <c r="AM416" s="111"/>
      <c r="AN416" s="111"/>
      <c r="AO416" s="111"/>
      <c r="AP416" s="111"/>
      <c r="AQ416" s="111"/>
      <c r="AR416" s="111"/>
      <c r="AS416" s="111"/>
      <c r="AT416" s="111"/>
      <c r="AX416" s="111"/>
      <c r="AY416" s="111"/>
      <c r="AZ416" s="111"/>
      <c r="BA416" s="111"/>
      <c r="BB416" s="111"/>
      <c r="BC416" s="111"/>
      <c r="BD416" s="111"/>
      <c r="BE416" s="111"/>
      <c r="BF416" s="111"/>
      <c r="BG416" s="111"/>
      <c r="BI416" s="111"/>
      <c r="BJ416" s="111"/>
      <c r="BK416" s="111"/>
      <c r="BL416" s="111"/>
      <c r="BM416" s="111"/>
      <c r="BN416" s="111"/>
      <c r="BO416" s="111"/>
      <c r="BP416" s="111"/>
      <c r="BQ416" s="111"/>
      <c r="BS416" s="111"/>
      <c r="BT416" s="111"/>
      <c r="BU416" s="111"/>
      <c r="BV416" s="111"/>
    </row>
    <row r="417" spans="17:74" x14ac:dyDescent="0.25"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111"/>
      <c r="AB417" s="111"/>
      <c r="AC417" s="111"/>
      <c r="AD417" s="111"/>
      <c r="AE417" s="111"/>
      <c r="AF417" s="111"/>
      <c r="AG417" s="111"/>
      <c r="AH417" s="111"/>
      <c r="AI417" s="111"/>
      <c r="AJ417" s="111"/>
      <c r="AK417" s="111"/>
      <c r="AL417" s="111"/>
      <c r="AM417" s="111"/>
      <c r="AN417" s="111"/>
      <c r="AO417" s="111"/>
      <c r="AP417" s="111"/>
      <c r="AQ417" s="111"/>
      <c r="AR417" s="111"/>
      <c r="AS417" s="111"/>
      <c r="AT417" s="111"/>
      <c r="AX417" s="111"/>
      <c r="AY417" s="111"/>
      <c r="AZ417" s="111"/>
      <c r="BA417" s="111"/>
      <c r="BB417" s="111"/>
      <c r="BC417" s="111"/>
      <c r="BD417" s="111"/>
      <c r="BE417" s="111"/>
      <c r="BF417" s="111"/>
      <c r="BG417" s="111"/>
      <c r="BI417" s="111"/>
      <c r="BJ417" s="111"/>
      <c r="BK417" s="111"/>
      <c r="BL417" s="111"/>
      <c r="BM417" s="111"/>
      <c r="BN417" s="111"/>
      <c r="BO417" s="111"/>
      <c r="BP417" s="111"/>
      <c r="BQ417" s="111"/>
      <c r="BS417" s="111"/>
      <c r="BT417" s="111"/>
      <c r="BU417" s="111"/>
      <c r="BV417" s="111"/>
    </row>
    <row r="418" spans="17:74" x14ac:dyDescent="0.25"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111"/>
      <c r="AB418" s="111"/>
      <c r="AC418" s="111"/>
      <c r="AD418" s="111"/>
      <c r="AE418" s="111"/>
      <c r="AF418" s="111"/>
      <c r="AG418" s="111"/>
      <c r="AH418" s="111"/>
      <c r="AI418" s="111"/>
      <c r="AJ418" s="111"/>
      <c r="AK418" s="111"/>
      <c r="AL418" s="111"/>
      <c r="AM418" s="111"/>
      <c r="AN418" s="111"/>
      <c r="AO418" s="111"/>
      <c r="AP418" s="111"/>
      <c r="AQ418" s="111"/>
      <c r="AR418" s="111"/>
      <c r="AS418" s="111"/>
      <c r="AT418" s="111"/>
      <c r="AX418" s="111"/>
      <c r="AY418" s="111"/>
      <c r="AZ418" s="111"/>
      <c r="BA418" s="111"/>
      <c r="BB418" s="111"/>
      <c r="BC418" s="111"/>
      <c r="BD418" s="111"/>
      <c r="BE418" s="111"/>
      <c r="BF418" s="111"/>
      <c r="BG418" s="111"/>
      <c r="BI418" s="111"/>
      <c r="BJ418" s="111"/>
      <c r="BK418" s="111"/>
      <c r="BL418" s="111"/>
      <c r="BM418" s="111"/>
      <c r="BN418" s="111"/>
      <c r="BO418" s="111"/>
      <c r="BP418" s="111"/>
      <c r="BQ418" s="111"/>
      <c r="BS418" s="111"/>
      <c r="BT418" s="111"/>
      <c r="BU418" s="111"/>
      <c r="BV418" s="111"/>
    </row>
    <row r="419" spans="17:74" x14ac:dyDescent="0.25"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111"/>
      <c r="AB419" s="111"/>
      <c r="AC419" s="111"/>
      <c r="AD419" s="111"/>
      <c r="AE419" s="111"/>
      <c r="AF419" s="111"/>
      <c r="AG419" s="111"/>
      <c r="AH419" s="111"/>
      <c r="AI419" s="111"/>
      <c r="AJ419" s="111"/>
      <c r="AK419" s="111"/>
      <c r="AL419" s="111"/>
      <c r="AM419" s="111"/>
      <c r="AN419" s="111"/>
      <c r="AO419" s="111"/>
      <c r="AP419" s="111"/>
      <c r="AQ419" s="111"/>
      <c r="AR419" s="111"/>
      <c r="AS419" s="111"/>
      <c r="AT419" s="111"/>
      <c r="AX419" s="111"/>
      <c r="AY419" s="111"/>
      <c r="AZ419" s="111"/>
      <c r="BA419" s="111"/>
      <c r="BB419" s="111"/>
      <c r="BC419" s="111"/>
      <c r="BD419" s="111"/>
      <c r="BE419" s="111"/>
      <c r="BF419" s="111"/>
      <c r="BG419" s="111"/>
      <c r="BI419" s="111"/>
      <c r="BJ419" s="111"/>
      <c r="BK419" s="111"/>
      <c r="BL419" s="111"/>
      <c r="BM419" s="111"/>
      <c r="BN419" s="111"/>
      <c r="BO419" s="111"/>
      <c r="BP419" s="111"/>
      <c r="BQ419" s="111"/>
      <c r="BS419" s="111"/>
      <c r="BT419" s="111"/>
      <c r="BU419" s="111"/>
      <c r="BV419" s="111"/>
    </row>
    <row r="420" spans="17:74" x14ac:dyDescent="0.25"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111"/>
      <c r="AB420" s="111"/>
      <c r="AC420" s="111"/>
      <c r="AD420" s="111"/>
      <c r="AE420" s="111"/>
      <c r="AF420" s="111"/>
      <c r="AG420" s="111"/>
      <c r="AH420" s="111"/>
      <c r="AI420" s="111"/>
      <c r="AJ420" s="111"/>
      <c r="AK420" s="111"/>
      <c r="AL420" s="111"/>
      <c r="AM420" s="111"/>
      <c r="AN420" s="111"/>
      <c r="AO420" s="111"/>
      <c r="AP420" s="111"/>
      <c r="AQ420" s="111"/>
      <c r="AR420" s="111"/>
      <c r="AS420" s="111"/>
      <c r="AT420" s="111"/>
      <c r="AX420" s="111"/>
      <c r="AY420" s="111"/>
      <c r="AZ420" s="111"/>
      <c r="BA420" s="111"/>
      <c r="BB420" s="111"/>
      <c r="BC420" s="111"/>
      <c r="BD420" s="111"/>
      <c r="BE420" s="111"/>
      <c r="BF420" s="111"/>
      <c r="BG420" s="111"/>
      <c r="BI420" s="111"/>
      <c r="BJ420" s="111"/>
      <c r="BK420" s="111"/>
      <c r="BL420" s="111"/>
      <c r="BM420" s="111"/>
      <c r="BN420" s="111"/>
      <c r="BO420" s="111"/>
      <c r="BP420" s="111"/>
      <c r="BQ420" s="111"/>
      <c r="BS420" s="111"/>
      <c r="BT420" s="111"/>
      <c r="BU420" s="111"/>
      <c r="BV420" s="111"/>
    </row>
    <row r="421" spans="17:74" x14ac:dyDescent="0.25"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O421" s="111"/>
      <c r="AP421" s="111"/>
      <c r="AQ421" s="111"/>
      <c r="AR421" s="111"/>
      <c r="AS421" s="111"/>
      <c r="AT421" s="111"/>
      <c r="AX421" s="111"/>
      <c r="AY421" s="111"/>
      <c r="AZ421" s="111"/>
      <c r="BA421" s="111"/>
      <c r="BB421" s="111"/>
      <c r="BC421" s="111"/>
      <c r="BD421" s="111"/>
      <c r="BE421" s="111"/>
      <c r="BF421" s="111"/>
      <c r="BG421" s="111"/>
      <c r="BI421" s="111"/>
      <c r="BJ421" s="111"/>
      <c r="BK421" s="111"/>
      <c r="BL421" s="111"/>
      <c r="BM421" s="111"/>
      <c r="BN421" s="111"/>
      <c r="BO421" s="111"/>
      <c r="BP421" s="111"/>
      <c r="BQ421" s="111"/>
      <c r="BS421" s="111"/>
      <c r="BT421" s="111"/>
      <c r="BU421" s="111"/>
      <c r="BV421" s="111"/>
    </row>
    <row r="422" spans="17:74" x14ac:dyDescent="0.25"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O422" s="111"/>
      <c r="AP422" s="111"/>
      <c r="AQ422" s="111"/>
      <c r="AR422" s="111"/>
      <c r="AS422" s="111"/>
      <c r="AT422" s="111"/>
      <c r="AX422" s="111"/>
      <c r="AY422" s="111"/>
      <c r="AZ422" s="111"/>
      <c r="BA422" s="111"/>
      <c r="BB422" s="111"/>
      <c r="BC422" s="111"/>
      <c r="BD422" s="111"/>
      <c r="BE422" s="111"/>
      <c r="BF422" s="111"/>
      <c r="BG422" s="111"/>
      <c r="BI422" s="111"/>
      <c r="BJ422" s="111"/>
      <c r="BK422" s="111"/>
      <c r="BL422" s="111"/>
      <c r="BM422" s="111"/>
      <c r="BN422" s="111"/>
      <c r="BO422" s="111"/>
      <c r="BP422" s="111"/>
      <c r="BQ422" s="111"/>
      <c r="BS422" s="111"/>
      <c r="BT422" s="111"/>
      <c r="BU422" s="111"/>
      <c r="BV422" s="111"/>
    </row>
    <row r="423" spans="17:74" x14ac:dyDescent="0.25"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O423" s="111"/>
      <c r="AP423" s="111"/>
      <c r="AQ423" s="111"/>
      <c r="AR423" s="111"/>
      <c r="AS423" s="111"/>
      <c r="AT423" s="111"/>
      <c r="AX423" s="111"/>
      <c r="AY423" s="111"/>
      <c r="AZ423" s="111"/>
      <c r="BA423" s="111"/>
      <c r="BB423" s="111"/>
      <c r="BC423" s="111"/>
      <c r="BD423" s="111"/>
      <c r="BE423" s="111"/>
      <c r="BF423" s="111"/>
      <c r="BG423" s="111"/>
      <c r="BI423" s="111"/>
      <c r="BJ423" s="111"/>
      <c r="BK423" s="111"/>
      <c r="BL423" s="111"/>
      <c r="BM423" s="111"/>
      <c r="BN423" s="111"/>
      <c r="BO423" s="111"/>
      <c r="BP423" s="111"/>
      <c r="BQ423" s="111"/>
      <c r="BS423" s="111"/>
      <c r="BT423" s="111"/>
      <c r="BU423" s="111"/>
      <c r="BV423" s="111"/>
    </row>
    <row r="424" spans="17:74" x14ac:dyDescent="0.25"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  <c r="AP424" s="111"/>
      <c r="AQ424" s="111"/>
      <c r="AR424" s="111"/>
      <c r="AS424" s="111"/>
      <c r="AT424" s="111"/>
      <c r="AX424" s="111"/>
      <c r="AY424" s="111"/>
      <c r="AZ424" s="111"/>
      <c r="BA424" s="111"/>
      <c r="BB424" s="111"/>
      <c r="BC424" s="111"/>
      <c r="BD424" s="111"/>
      <c r="BE424" s="111"/>
      <c r="BF424" s="111"/>
      <c r="BG424" s="111"/>
      <c r="BI424" s="111"/>
      <c r="BJ424" s="111"/>
      <c r="BK424" s="111"/>
      <c r="BL424" s="111"/>
      <c r="BM424" s="111"/>
      <c r="BN424" s="111"/>
      <c r="BO424" s="111"/>
      <c r="BP424" s="111"/>
      <c r="BQ424" s="111"/>
      <c r="BS424" s="111"/>
      <c r="BT424" s="111"/>
      <c r="BU424" s="111"/>
      <c r="BV424" s="111"/>
    </row>
    <row r="425" spans="17:74" x14ac:dyDescent="0.25"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O425" s="111"/>
      <c r="AP425" s="111"/>
      <c r="AQ425" s="111"/>
      <c r="AR425" s="111"/>
      <c r="AS425" s="111"/>
      <c r="AT425" s="111"/>
      <c r="AX425" s="111"/>
      <c r="AY425" s="111"/>
      <c r="AZ425" s="111"/>
      <c r="BA425" s="111"/>
      <c r="BB425" s="111"/>
      <c r="BC425" s="111"/>
      <c r="BD425" s="111"/>
      <c r="BE425" s="111"/>
      <c r="BF425" s="111"/>
      <c r="BG425" s="111"/>
      <c r="BI425" s="111"/>
      <c r="BJ425" s="111"/>
      <c r="BK425" s="111"/>
      <c r="BL425" s="111"/>
      <c r="BM425" s="111"/>
      <c r="BN425" s="111"/>
      <c r="BO425" s="111"/>
      <c r="BP425" s="111"/>
      <c r="BQ425" s="111"/>
      <c r="BS425" s="111"/>
      <c r="BT425" s="111"/>
      <c r="BU425" s="111"/>
      <c r="BV425" s="111"/>
    </row>
    <row r="426" spans="17:74" x14ac:dyDescent="0.25"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O426" s="111"/>
      <c r="AP426" s="111"/>
      <c r="AQ426" s="111"/>
      <c r="AR426" s="111"/>
      <c r="AS426" s="111"/>
      <c r="AT426" s="111"/>
      <c r="AX426" s="111"/>
      <c r="AY426" s="111"/>
      <c r="AZ426" s="111"/>
      <c r="BA426" s="111"/>
      <c r="BB426" s="111"/>
      <c r="BC426" s="111"/>
      <c r="BD426" s="111"/>
      <c r="BE426" s="111"/>
      <c r="BF426" s="111"/>
      <c r="BG426" s="111"/>
      <c r="BI426" s="111"/>
      <c r="BJ426" s="111"/>
      <c r="BK426" s="111"/>
      <c r="BL426" s="111"/>
      <c r="BM426" s="111"/>
      <c r="BN426" s="111"/>
      <c r="BO426" s="111"/>
      <c r="BP426" s="111"/>
      <c r="BQ426" s="111"/>
      <c r="BS426" s="111"/>
      <c r="BT426" s="111"/>
      <c r="BU426" s="111"/>
      <c r="BV426" s="111"/>
    </row>
    <row r="427" spans="17:74" x14ac:dyDescent="0.25"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  <c r="AP427" s="111"/>
      <c r="AQ427" s="111"/>
      <c r="AR427" s="111"/>
      <c r="AS427" s="111"/>
      <c r="AT427" s="111"/>
      <c r="AX427" s="111"/>
      <c r="AY427" s="111"/>
      <c r="AZ427" s="111"/>
      <c r="BA427" s="111"/>
      <c r="BB427" s="111"/>
      <c r="BC427" s="111"/>
      <c r="BD427" s="111"/>
      <c r="BE427" s="111"/>
      <c r="BF427" s="111"/>
      <c r="BG427" s="111"/>
      <c r="BI427" s="111"/>
      <c r="BJ427" s="111"/>
      <c r="BK427" s="111"/>
      <c r="BL427" s="111"/>
      <c r="BM427" s="111"/>
      <c r="BN427" s="111"/>
      <c r="BO427" s="111"/>
      <c r="BP427" s="111"/>
      <c r="BQ427" s="111"/>
      <c r="BS427" s="111"/>
      <c r="BT427" s="111"/>
      <c r="BU427" s="111"/>
      <c r="BV427" s="111"/>
    </row>
    <row r="428" spans="17:74" x14ac:dyDescent="0.25"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  <c r="AP428" s="111"/>
      <c r="AQ428" s="111"/>
      <c r="AR428" s="111"/>
      <c r="AS428" s="111"/>
      <c r="AT428" s="111"/>
      <c r="AX428" s="111"/>
      <c r="AY428" s="111"/>
      <c r="AZ428" s="111"/>
      <c r="BA428" s="111"/>
      <c r="BB428" s="111"/>
      <c r="BC428" s="111"/>
      <c r="BD428" s="111"/>
      <c r="BE428" s="111"/>
      <c r="BF428" s="111"/>
      <c r="BG428" s="111"/>
      <c r="BI428" s="111"/>
      <c r="BJ428" s="111"/>
      <c r="BK428" s="111"/>
      <c r="BL428" s="111"/>
      <c r="BM428" s="111"/>
      <c r="BN428" s="111"/>
      <c r="BO428" s="111"/>
      <c r="BP428" s="111"/>
      <c r="BQ428" s="111"/>
      <c r="BS428" s="111"/>
      <c r="BT428" s="111"/>
      <c r="BU428" s="111"/>
      <c r="BV428" s="111"/>
    </row>
    <row r="429" spans="17:74" x14ac:dyDescent="0.25"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  <c r="AP429" s="111"/>
      <c r="AQ429" s="111"/>
      <c r="AR429" s="111"/>
      <c r="AS429" s="111"/>
      <c r="AT429" s="111"/>
      <c r="AX429" s="111"/>
      <c r="AY429" s="111"/>
      <c r="AZ429" s="111"/>
      <c r="BA429" s="111"/>
      <c r="BB429" s="111"/>
      <c r="BC429" s="111"/>
      <c r="BD429" s="111"/>
      <c r="BE429" s="111"/>
      <c r="BF429" s="111"/>
      <c r="BG429" s="111"/>
      <c r="BI429" s="111"/>
      <c r="BJ429" s="111"/>
      <c r="BK429" s="111"/>
      <c r="BL429" s="111"/>
      <c r="BM429" s="111"/>
      <c r="BN429" s="111"/>
      <c r="BO429" s="111"/>
      <c r="BP429" s="111"/>
      <c r="BQ429" s="111"/>
      <c r="BS429" s="111"/>
      <c r="BT429" s="111"/>
      <c r="BU429" s="111"/>
      <c r="BV429" s="111"/>
    </row>
    <row r="430" spans="17:74" x14ac:dyDescent="0.25"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  <c r="AP430" s="111"/>
      <c r="AQ430" s="111"/>
      <c r="AR430" s="111"/>
      <c r="AS430" s="111"/>
      <c r="AT430" s="111"/>
      <c r="AX430" s="111"/>
      <c r="AY430" s="111"/>
      <c r="AZ430" s="111"/>
      <c r="BA430" s="111"/>
      <c r="BB430" s="111"/>
      <c r="BC430" s="111"/>
      <c r="BD430" s="111"/>
      <c r="BE430" s="111"/>
      <c r="BF430" s="111"/>
      <c r="BG430" s="111"/>
      <c r="BI430" s="111"/>
      <c r="BJ430" s="111"/>
      <c r="BK430" s="111"/>
      <c r="BL430" s="111"/>
      <c r="BM430" s="111"/>
      <c r="BN430" s="111"/>
      <c r="BO430" s="111"/>
      <c r="BP430" s="111"/>
      <c r="BQ430" s="111"/>
      <c r="BS430" s="111"/>
      <c r="BT430" s="111"/>
      <c r="BU430" s="111"/>
      <c r="BV430" s="111"/>
    </row>
    <row r="431" spans="17:74" x14ac:dyDescent="0.25"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  <c r="AP431" s="111"/>
      <c r="AQ431" s="111"/>
      <c r="AR431" s="111"/>
      <c r="AS431" s="111"/>
      <c r="AT431" s="111"/>
      <c r="AX431" s="111"/>
      <c r="AY431" s="111"/>
      <c r="AZ431" s="111"/>
      <c r="BA431" s="111"/>
      <c r="BB431" s="111"/>
      <c r="BC431" s="111"/>
      <c r="BD431" s="111"/>
      <c r="BE431" s="111"/>
      <c r="BF431" s="111"/>
      <c r="BG431" s="111"/>
      <c r="BI431" s="111"/>
      <c r="BJ431" s="111"/>
      <c r="BK431" s="111"/>
      <c r="BL431" s="111"/>
      <c r="BM431" s="111"/>
      <c r="BN431" s="111"/>
      <c r="BO431" s="111"/>
      <c r="BP431" s="111"/>
      <c r="BQ431" s="111"/>
      <c r="BS431" s="111"/>
      <c r="BT431" s="111"/>
      <c r="BU431" s="111"/>
      <c r="BV431" s="111"/>
    </row>
    <row r="432" spans="17:74" x14ac:dyDescent="0.25"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  <c r="AP432" s="111"/>
      <c r="AQ432" s="111"/>
      <c r="AR432" s="111"/>
      <c r="AS432" s="111"/>
      <c r="AT432" s="111"/>
      <c r="AX432" s="111"/>
      <c r="AY432" s="111"/>
      <c r="AZ432" s="111"/>
      <c r="BA432" s="111"/>
      <c r="BB432" s="111"/>
      <c r="BC432" s="111"/>
      <c r="BD432" s="111"/>
      <c r="BE432" s="111"/>
      <c r="BF432" s="111"/>
      <c r="BG432" s="111"/>
      <c r="BI432" s="111"/>
      <c r="BJ432" s="111"/>
      <c r="BK432" s="111"/>
      <c r="BL432" s="111"/>
      <c r="BM432" s="111"/>
      <c r="BN432" s="111"/>
      <c r="BO432" s="111"/>
      <c r="BP432" s="111"/>
      <c r="BQ432" s="111"/>
      <c r="BS432" s="111"/>
      <c r="BT432" s="111"/>
      <c r="BU432" s="111"/>
      <c r="BV432" s="111"/>
    </row>
    <row r="433" spans="17:74" x14ac:dyDescent="0.25"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  <c r="AP433" s="111"/>
      <c r="AQ433" s="111"/>
      <c r="AR433" s="111"/>
      <c r="AS433" s="111"/>
      <c r="AT433" s="111"/>
      <c r="AX433" s="111"/>
      <c r="AY433" s="111"/>
      <c r="AZ433" s="111"/>
      <c r="BA433" s="111"/>
      <c r="BB433" s="111"/>
      <c r="BC433" s="111"/>
      <c r="BD433" s="111"/>
      <c r="BE433" s="111"/>
      <c r="BF433" s="111"/>
      <c r="BG433" s="111"/>
      <c r="BI433" s="111"/>
      <c r="BJ433" s="111"/>
      <c r="BK433" s="111"/>
      <c r="BL433" s="111"/>
      <c r="BM433" s="111"/>
      <c r="BN433" s="111"/>
      <c r="BO433" s="111"/>
      <c r="BP433" s="111"/>
      <c r="BQ433" s="111"/>
      <c r="BS433" s="111"/>
      <c r="BT433" s="111"/>
      <c r="BU433" s="111"/>
      <c r="BV433" s="111"/>
    </row>
    <row r="434" spans="17:74" x14ac:dyDescent="0.25"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O434" s="111"/>
      <c r="AP434" s="111"/>
      <c r="AQ434" s="111"/>
      <c r="AR434" s="111"/>
      <c r="AS434" s="111"/>
      <c r="AT434" s="111"/>
      <c r="AX434" s="111"/>
      <c r="AY434" s="111"/>
      <c r="AZ434" s="111"/>
      <c r="BA434" s="111"/>
      <c r="BB434" s="111"/>
      <c r="BC434" s="111"/>
      <c r="BD434" s="111"/>
      <c r="BE434" s="111"/>
      <c r="BF434" s="111"/>
      <c r="BG434" s="111"/>
      <c r="BI434" s="111"/>
      <c r="BJ434" s="111"/>
      <c r="BK434" s="111"/>
      <c r="BL434" s="111"/>
      <c r="BM434" s="111"/>
      <c r="BN434" s="111"/>
      <c r="BO434" s="111"/>
      <c r="BP434" s="111"/>
      <c r="BQ434" s="111"/>
      <c r="BS434" s="111"/>
      <c r="BT434" s="111"/>
      <c r="BU434" s="111"/>
      <c r="BV434" s="111"/>
    </row>
    <row r="435" spans="17:74" x14ac:dyDescent="0.25"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111"/>
      <c r="AB435" s="111"/>
      <c r="AC435" s="111"/>
      <c r="AD435" s="111"/>
      <c r="AE435" s="111"/>
      <c r="AF435" s="111"/>
      <c r="AG435" s="111"/>
      <c r="AH435" s="111"/>
      <c r="AI435" s="111"/>
      <c r="AJ435" s="111"/>
      <c r="AK435" s="111"/>
      <c r="AL435" s="111"/>
      <c r="AM435" s="111"/>
      <c r="AN435" s="111"/>
      <c r="AO435" s="111"/>
      <c r="AP435" s="111"/>
      <c r="AQ435" s="111"/>
      <c r="AR435" s="111"/>
      <c r="AS435" s="111"/>
      <c r="AT435" s="111"/>
      <c r="AX435" s="111"/>
      <c r="AY435" s="111"/>
      <c r="AZ435" s="111"/>
      <c r="BA435" s="111"/>
      <c r="BB435" s="111"/>
      <c r="BC435" s="111"/>
      <c r="BD435" s="111"/>
      <c r="BE435" s="111"/>
      <c r="BF435" s="111"/>
      <c r="BG435" s="111"/>
      <c r="BI435" s="111"/>
      <c r="BJ435" s="111"/>
      <c r="BK435" s="111"/>
      <c r="BL435" s="111"/>
      <c r="BM435" s="111"/>
      <c r="BN435" s="111"/>
      <c r="BO435" s="111"/>
      <c r="BP435" s="111"/>
      <c r="BQ435" s="111"/>
      <c r="BS435" s="111"/>
      <c r="BT435" s="111"/>
      <c r="BU435" s="111"/>
      <c r="BV435" s="111"/>
    </row>
    <row r="436" spans="17:74" x14ac:dyDescent="0.25"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111"/>
      <c r="AB436" s="111"/>
      <c r="AC436" s="111"/>
      <c r="AD436" s="111"/>
      <c r="AE436" s="111"/>
      <c r="AF436" s="111"/>
      <c r="AG436" s="111"/>
      <c r="AH436" s="111"/>
      <c r="AI436" s="111"/>
      <c r="AJ436" s="111"/>
      <c r="AK436" s="111"/>
      <c r="AL436" s="111"/>
      <c r="AM436" s="111"/>
      <c r="AN436" s="111"/>
      <c r="AO436" s="111"/>
      <c r="AP436" s="111"/>
      <c r="AQ436" s="111"/>
      <c r="AR436" s="111"/>
      <c r="AS436" s="111"/>
      <c r="AT436" s="111"/>
      <c r="AX436" s="111"/>
      <c r="AY436" s="111"/>
      <c r="AZ436" s="111"/>
      <c r="BA436" s="111"/>
      <c r="BB436" s="111"/>
      <c r="BC436" s="111"/>
      <c r="BD436" s="111"/>
      <c r="BE436" s="111"/>
      <c r="BF436" s="111"/>
      <c r="BG436" s="111"/>
      <c r="BI436" s="111"/>
      <c r="BJ436" s="111"/>
      <c r="BK436" s="111"/>
      <c r="BL436" s="111"/>
      <c r="BM436" s="111"/>
      <c r="BN436" s="111"/>
      <c r="BO436" s="111"/>
      <c r="BP436" s="111"/>
      <c r="BQ436" s="111"/>
      <c r="BS436" s="111"/>
      <c r="BT436" s="111"/>
      <c r="BU436" s="111"/>
      <c r="BV436" s="111"/>
    </row>
    <row r="437" spans="17:74" x14ac:dyDescent="0.25"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111"/>
      <c r="AB437" s="111"/>
      <c r="AC437" s="111"/>
      <c r="AD437" s="111"/>
      <c r="AE437" s="111"/>
      <c r="AF437" s="111"/>
      <c r="AG437" s="111"/>
      <c r="AH437" s="111"/>
      <c r="AI437" s="111"/>
      <c r="AJ437" s="111"/>
      <c r="AK437" s="111"/>
      <c r="AL437" s="111"/>
      <c r="AM437" s="111"/>
      <c r="AN437" s="111"/>
      <c r="AO437" s="111"/>
      <c r="AP437" s="111"/>
      <c r="AQ437" s="111"/>
      <c r="AR437" s="111"/>
      <c r="AS437" s="111"/>
      <c r="AT437" s="111"/>
      <c r="AX437" s="111"/>
      <c r="AY437" s="111"/>
      <c r="AZ437" s="111"/>
      <c r="BA437" s="111"/>
      <c r="BB437" s="111"/>
      <c r="BC437" s="111"/>
      <c r="BD437" s="111"/>
      <c r="BE437" s="111"/>
      <c r="BF437" s="111"/>
      <c r="BG437" s="111"/>
      <c r="BI437" s="111"/>
      <c r="BJ437" s="111"/>
      <c r="BK437" s="111"/>
      <c r="BL437" s="111"/>
      <c r="BM437" s="111"/>
      <c r="BN437" s="111"/>
      <c r="BO437" s="111"/>
      <c r="BP437" s="111"/>
      <c r="BQ437" s="111"/>
      <c r="BS437" s="111"/>
      <c r="BT437" s="111"/>
      <c r="BU437" s="111"/>
      <c r="BV437" s="111"/>
    </row>
    <row r="438" spans="17:74" x14ac:dyDescent="0.25"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111"/>
      <c r="AB438" s="111"/>
      <c r="AC438" s="111"/>
      <c r="AD438" s="111"/>
      <c r="AE438" s="111"/>
      <c r="AF438" s="111"/>
      <c r="AG438" s="111"/>
      <c r="AH438" s="111"/>
      <c r="AI438" s="111"/>
      <c r="AJ438" s="111"/>
      <c r="AK438" s="111"/>
      <c r="AL438" s="111"/>
      <c r="AM438" s="111"/>
      <c r="AN438" s="111"/>
      <c r="AO438" s="111"/>
      <c r="AP438" s="111"/>
      <c r="AQ438" s="111"/>
      <c r="AR438" s="111"/>
      <c r="AS438" s="111"/>
      <c r="AT438" s="111"/>
      <c r="AX438" s="111"/>
      <c r="AY438" s="111"/>
      <c r="AZ438" s="111"/>
      <c r="BA438" s="111"/>
      <c r="BB438" s="111"/>
      <c r="BC438" s="111"/>
      <c r="BD438" s="111"/>
      <c r="BE438" s="111"/>
      <c r="BF438" s="111"/>
      <c r="BG438" s="111"/>
      <c r="BI438" s="111"/>
      <c r="BJ438" s="111"/>
      <c r="BK438" s="111"/>
      <c r="BL438" s="111"/>
      <c r="BM438" s="111"/>
      <c r="BN438" s="111"/>
      <c r="BO438" s="111"/>
      <c r="BP438" s="111"/>
      <c r="BQ438" s="111"/>
      <c r="BS438" s="111"/>
      <c r="BT438" s="111"/>
      <c r="BU438" s="111"/>
      <c r="BV438" s="111"/>
    </row>
    <row r="439" spans="17:74" x14ac:dyDescent="0.25"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111"/>
      <c r="AB439" s="111"/>
      <c r="AC439" s="111"/>
      <c r="AD439" s="111"/>
      <c r="AE439" s="111"/>
      <c r="AF439" s="111"/>
      <c r="AG439" s="111"/>
      <c r="AH439" s="111"/>
      <c r="AI439" s="111"/>
      <c r="AJ439" s="111"/>
      <c r="AK439" s="111"/>
      <c r="AL439" s="111"/>
      <c r="AM439" s="111"/>
      <c r="AN439" s="111"/>
      <c r="AO439" s="111"/>
      <c r="AP439" s="111"/>
      <c r="AQ439" s="111"/>
      <c r="AR439" s="111"/>
      <c r="AS439" s="111"/>
      <c r="AT439" s="111"/>
      <c r="AX439" s="111"/>
      <c r="AY439" s="111"/>
      <c r="AZ439" s="111"/>
      <c r="BA439" s="111"/>
      <c r="BB439" s="111"/>
      <c r="BC439" s="111"/>
      <c r="BD439" s="111"/>
      <c r="BE439" s="111"/>
      <c r="BF439" s="111"/>
      <c r="BG439" s="111"/>
      <c r="BI439" s="111"/>
      <c r="BJ439" s="111"/>
      <c r="BK439" s="111"/>
      <c r="BL439" s="111"/>
      <c r="BM439" s="111"/>
      <c r="BN439" s="111"/>
      <c r="BO439" s="111"/>
      <c r="BP439" s="111"/>
      <c r="BQ439" s="111"/>
      <c r="BS439" s="111"/>
      <c r="BT439" s="111"/>
      <c r="BU439" s="111"/>
      <c r="BV439" s="111"/>
    </row>
    <row r="440" spans="17:74" x14ac:dyDescent="0.25"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111"/>
      <c r="AB440" s="111"/>
      <c r="AC440" s="111"/>
      <c r="AD440" s="111"/>
      <c r="AE440" s="111"/>
      <c r="AF440" s="111"/>
      <c r="AG440" s="111"/>
      <c r="AH440" s="111"/>
      <c r="AI440" s="111"/>
      <c r="AJ440" s="111"/>
      <c r="AK440" s="111"/>
      <c r="AL440" s="111"/>
      <c r="AM440" s="111"/>
      <c r="AN440" s="111"/>
      <c r="AO440" s="111"/>
      <c r="AP440" s="111"/>
      <c r="AQ440" s="111"/>
      <c r="AR440" s="111"/>
      <c r="AS440" s="111"/>
      <c r="AT440" s="111"/>
      <c r="AX440" s="111"/>
      <c r="AY440" s="111"/>
      <c r="AZ440" s="111"/>
      <c r="BA440" s="111"/>
      <c r="BB440" s="111"/>
      <c r="BC440" s="111"/>
      <c r="BD440" s="111"/>
      <c r="BE440" s="111"/>
      <c r="BF440" s="111"/>
      <c r="BG440" s="111"/>
      <c r="BI440" s="111"/>
      <c r="BJ440" s="111"/>
      <c r="BK440" s="111"/>
      <c r="BL440" s="111"/>
      <c r="BM440" s="111"/>
      <c r="BN440" s="111"/>
      <c r="BO440" s="111"/>
      <c r="BP440" s="111"/>
      <c r="BQ440" s="111"/>
      <c r="BS440" s="111"/>
      <c r="BT440" s="111"/>
      <c r="BU440" s="111"/>
      <c r="BV440" s="111"/>
    </row>
    <row r="441" spans="17:74" x14ac:dyDescent="0.25"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111"/>
      <c r="AB441" s="111"/>
      <c r="AC441" s="111"/>
      <c r="AD441" s="111"/>
      <c r="AE441" s="111"/>
      <c r="AF441" s="111"/>
      <c r="AG441" s="111"/>
      <c r="AH441" s="111"/>
      <c r="AI441" s="111"/>
      <c r="AJ441" s="111"/>
      <c r="AK441" s="111"/>
      <c r="AL441" s="111"/>
      <c r="AM441" s="111"/>
      <c r="AN441" s="111"/>
      <c r="AO441" s="111"/>
      <c r="AP441" s="111"/>
      <c r="AQ441" s="111"/>
      <c r="AR441" s="111"/>
      <c r="AS441" s="111"/>
      <c r="AT441" s="111"/>
      <c r="AX441" s="111"/>
      <c r="AY441" s="111"/>
      <c r="AZ441" s="111"/>
      <c r="BA441" s="111"/>
      <c r="BB441" s="111"/>
      <c r="BC441" s="111"/>
      <c r="BD441" s="111"/>
      <c r="BE441" s="111"/>
      <c r="BF441" s="111"/>
      <c r="BG441" s="111"/>
      <c r="BI441" s="111"/>
      <c r="BJ441" s="111"/>
      <c r="BK441" s="111"/>
      <c r="BL441" s="111"/>
      <c r="BM441" s="111"/>
      <c r="BN441" s="111"/>
      <c r="BO441" s="111"/>
      <c r="BP441" s="111"/>
      <c r="BQ441" s="111"/>
      <c r="BS441" s="111"/>
      <c r="BT441" s="111"/>
      <c r="BU441" s="111"/>
      <c r="BV441" s="111"/>
    </row>
    <row r="442" spans="17:74" x14ac:dyDescent="0.25"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111"/>
      <c r="AB442" s="111"/>
      <c r="AC442" s="111"/>
      <c r="AD442" s="111"/>
      <c r="AE442" s="111"/>
      <c r="AF442" s="111"/>
      <c r="AG442" s="111"/>
      <c r="AH442" s="111"/>
      <c r="AI442" s="111"/>
      <c r="AJ442" s="111"/>
      <c r="AK442" s="111"/>
      <c r="AL442" s="111"/>
      <c r="AM442" s="111"/>
      <c r="AN442" s="111"/>
      <c r="AO442" s="111"/>
      <c r="AP442" s="111"/>
      <c r="AQ442" s="111"/>
      <c r="AR442" s="111"/>
      <c r="AS442" s="111"/>
      <c r="AT442" s="111"/>
      <c r="AX442" s="111"/>
      <c r="AY442" s="111"/>
      <c r="AZ442" s="111"/>
      <c r="BA442" s="111"/>
      <c r="BB442" s="111"/>
      <c r="BC442" s="111"/>
      <c r="BD442" s="111"/>
      <c r="BE442" s="111"/>
      <c r="BF442" s="111"/>
      <c r="BG442" s="111"/>
      <c r="BI442" s="111"/>
      <c r="BJ442" s="111"/>
      <c r="BK442" s="111"/>
      <c r="BL442" s="111"/>
      <c r="BM442" s="111"/>
      <c r="BN442" s="111"/>
      <c r="BO442" s="111"/>
      <c r="BP442" s="111"/>
      <c r="BQ442" s="111"/>
      <c r="BS442" s="111"/>
      <c r="BT442" s="111"/>
      <c r="BU442" s="111"/>
      <c r="BV442" s="111"/>
    </row>
    <row r="443" spans="17:74" x14ac:dyDescent="0.25"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111"/>
      <c r="AB443" s="111"/>
      <c r="AC443" s="111"/>
      <c r="AD443" s="111"/>
      <c r="AE443" s="111"/>
      <c r="AF443" s="111"/>
      <c r="AG443" s="111"/>
      <c r="AH443" s="111"/>
      <c r="AI443" s="111"/>
      <c r="AJ443" s="111"/>
      <c r="AK443" s="111"/>
      <c r="AL443" s="111"/>
      <c r="AM443" s="111"/>
      <c r="AN443" s="111"/>
      <c r="AO443" s="111"/>
      <c r="AP443" s="111"/>
      <c r="AQ443" s="111"/>
      <c r="AR443" s="111"/>
      <c r="AS443" s="111"/>
      <c r="AT443" s="111"/>
      <c r="AX443" s="111"/>
      <c r="AY443" s="111"/>
      <c r="AZ443" s="111"/>
      <c r="BA443" s="111"/>
      <c r="BB443" s="111"/>
      <c r="BC443" s="111"/>
      <c r="BD443" s="111"/>
      <c r="BE443" s="111"/>
      <c r="BF443" s="111"/>
      <c r="BG443" s="111"/>
      <c r="BI443" s="111"/>
      <c r="BJ443" s="111"/>
      <c r="BK443" s="111"/>
      <c r="BL443" s="111"/>
      <c r="BM443" s="111"/>
      <c r="BN443" s="111"/>
      <c r="BO443" s="111"/>
      <c r="BP443" s="111"/>
      <c r="BQ443" s="111"/>
      <c r="BS443" s="111"/>
      <c r="BT443" s="111"/>
      <c r="BU443" s="111"/>
      <c r="BV443" s="111"/>
    </row>
    <row r="444" spans="17:74" x14ac:dyDescent="0.25"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111"/>
      <c r="AB444" s="111"/>
      <c r="AC444" s="111"/>
      <c r="AD444" s="111"/>
      <c r="AE444" s="111"/>
      <c r="AF444" s="111"/>
      <c r="AG444" s="111"/>
      <c r="AH444" s="111"/>
      <c r="AI444" s="111"/>
      <c r="AJ444" s="111"/>
      <c r="AK444" s="111"/>
      <c r="AL444" s="111"/>
      <c r="AM444" s="111"/>
      <c r="AN444" s="111"/>
      <c r="AO444" s="111"/>
      <c r="AP444" s="111"/>
      <c r="AQ444" s="111"/>
      <c r="AR444" s="111"/>
      <c r="AS444" s="111"/>
      <c r="AT444" s="111"/>
      <c r="AX444" s="111"/>
      <c r="AY444" s="111"/>
      <c r="AZ444" s="111"/>
      <c r="BA444" s="111"/>
      <c r="BB444" s="111"/>
      <c r="BC444" s="111"/>
      <c r="BD444" s="111"/>
      <c r="BE444" s="111"/>
      <c r="BF444" s="111"/>
      <c r="BG444" s="111"/>
      <c r="BI444" s="111"/>
      <c r="BJ444" s="111"/>
      <c r="BK444" s="111"/>
      <c r="BL444" s="111"/>
      <c r="BM444" s="111"/>
      <c r="BN444" s="111"/>
      <c r="BO444" s="111"/>
      <c r="BP444" s="111"/>
      <c r="BQ444" s="111"/>
      <c r="BS444" s="111"/>
      <c r="BT444" s="111"/>
      <c r="BU444" s="111"/>
      <c r="BV444" s="111"/>
    </row>
    <row r="445" spans="17:74" x14ac:dyDescent="0.25"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111"/>
      <c r="AB445" s="111"/>
      <c r="AC445" s="111"/>
      <c r="AD445" s="111"/>
      <c r="AE445" s="111"/>
      <c r="AF445" s="111"/>
      <c r="AG445" s="111"/>
      <c r="AH445" s="111"/>
      <c r="AI445" s="111"/>
      <c r="AJ445" s="111"/>
      <c r="AK445" s="111"/>
      <c r="AL445" s="111"/>
      <c r="AM445" s="111"/>
      <c r="AN445" s="111"/>
      <c r="AO445" s="111"/>
      <c r="AP445" s="111"/>
      <c r="AQ445" s="111"/>
      <c r="AR445" s="111"/>
      <c r="AS445" s="111"/>
      <c r="AT445" s="111"/>
      <c r="AX445" s="111"/>
      <c r="AY445" s="111"/>
      <c r="AZ445" s="111"/>
      <c r="BA445" s="111"/>
      <c r="BB445" s="111"/>
      <c r="BC445" s="111"/>
      <c r="BD445" s="111"/>
      <c r="BE445" s="111"/>
      <c r="BF445" s="111"/>
      <c r="BG445" s="111"/>
      <c r="BI445" s="111"/>
      <c r="BJ445" s="111"/>
      <c r="BK445" s="111"/>
      <c r="BL445" s="111"/>
      <c r="BM445" s="111"/>
      <c r="BN445" s="111"/>
      <c r="BO445" s="111"/>
      <c r="BP445" s="111"/>
      <c r="BQ445" s="111"/>
      <c r="BS445" s="111"/>
      <c r="BT445" s="111"/>
      <c r="BU445" s="111"/>
      <c r="BV445" s="111"/>
    </row>
    <row r="446" spans="17:74" x14ac:dyDescent="0.25"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111"/>
      <c r="AB446" s="111"/>
      <c r="AC446" s="111"/>
      <c r="AD446" s="111"/>
      <c r="AE446" s="111"/>
      <c r="AF446" s="111"/>
      <c r="AG446" s="111"/>
      <c r="AH446" s="111"/>
      <c r="AI446" s="111"/>
      <c r="AJ446" s="111"/>
      <c r="AK446" s="111"/>
      <c r="AL446" s="111"/>
      <c r="AM446" s="111"/>
      <c r="AN446" s="111"/>
      <c r="AO446" s="111"/>
      <c r="AP446" s="111"/>
      <c r="AQ446" s="111"/>
      <c r="AR446" s="111"/>
      <c r="AS446" s="111"/>
      <c r="AT446" s="111"/>
      <c r="AX446" s="111"/>
      <c r="AY446" s="111"/>
      <c r="AZ446" s="111"/>
      <c r="BA446" s="111"/>
      <c r="BB446" s="111"/>
      <c r="BC446" s="111"/>
      <c r="BD446" s="111"/>
      <c r="BE446" s="111"/>
      <c r="BF446" s="111"/>
      <c r="BG446" s="111"/>
      <c r="BI446" s="111"/>
      <c r="BJ446" s="111"/>
      <c r="BK446" s="111"/>
      <c r="BL446" s="111"/>
      <c r="BM446" s="111"/>
      <c r="BN446" s="111"/>
      <c r="BO446" s="111"/>
      <c r="BP446" s="111"/>
      <c r="BQ446" s="111"/>
      <c r="BS446" s="111"/>
      <c r="BT446" s="111"/>
      <c r="BU446" s="111"/>
      <c r="BV446" s="111"/>
    </row>
    <row r="447" spans="17:74" x14ac:dyDescent="0.25"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111"/>
      <c r="AB447" s="111"/>
      <c r="AC447" s="111"/>
      <c r="AD447" s="111"/>
      <c r="AE447" s="111"/>
      <c r="AF447" s="111"/>
      <c r="AG447" s="111"/>
      <c r="AH447" s="111"/>
      <c r="AI447" s="111"/>
      <c r="AJ447" s="111"/>
      <c r="AK447" s="111"/>
      <c r="AL447" s="111"/>
      <c r="AM447" s="111"/>
      <c r="AN447" s="111"/>
      <c r="AO447" s="111"/>
      <c r="AP447" s="111"/>
      <c r="AQ447" s="111"/>
      <c r="AR447" s="111"/>
      <c r="AS447" s="111"/>
      <c r="AT447" s="111"/>
      <c r="AX447" s="111"/>
      <c r="AY447" s="111"/>
      <c r="AZ447" s="111"/>
      <c r="BA447" s="111"/>
      <c r="BB447" s="111"/>
      <c r="BC447" s="111"/>
      <c r="BD447" s="111"/>
      <c r="BE447" s="111"/>
      <c r="BF447" s="111"/>
      <c r="BG447" s="111"/>
      <c r="BI447" s="111"/>
      <c r="BJ447" s="111"/>
      <c r="BK447" s="111"/>
      <c r="BL447" s="111"/>
      <c r="BM447" s="111"/>
      <c r="BN447" s="111"/>
      <c r="BO447" s="111"/>
      <c r="BP447" s="111"/>
      <c r="BQ447" s="111"/>
      <c r="BS447" s="111"/>
      <c r="BT447" s="111"/>
      <c r="BU447" s="111"/>
      <c r="BV447" s="111"/>
    </row>
    <row r="448" spans="17:74" x14ac:dyDescent="0.25"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111"/>
      <c r="AB448" s="111"/>
      <c r="AC448" s="111"/>
      <c r="AD448" s="111"/>
      <c r="AE448" s="111"/>
      <c r="AF448" s="111"/>
      <c r="AG448" s="111"/>
      <c r="AH448" s="111"/>
      <c r="AI448" s="111"/>
      <c r="AJ448" s="111"/>
      <c r="AK448" s="111"/>
      <c r="AL448" s="111"/>
      <c r="AM448" s="111"/>
      <c r="AN448" s="111"/>
      <c r="AO448" s="111"/>
      <c r="AP448" s="111"/>
      <c r="AQ448" s="111"/>
      <c r="AR448" s="111"/>
      <c r="AS448" s="111"/>
      <c r="AT448" s="111"/>
      <c r="AX448" s="111"/>
      <c r="AY448" s="111"/>
      <c r="AZ448" s="111"/>
      <c r="BA448" s="111"/>
      <c r="BB448" s="111"/>
      <c r="BC448" s="111"/>
      <c r="BD448" s="111"/>
      <c r="BE448" s="111"/>
      <c r="BF448" s="111"/>
      <c r="BG448" s="111"/>
      <c r="BI448" s="111"/>
      <c r="BJ448" s="111"/>
      <c r="BK448" s="111"/>
      <c r="BL448" s="111"/>
      <c r="BM448" s="111"/>
      <c r="BN448" s="111"/>
      <c r="BO448" s="111"/>
      <c r="BP448" s="111"/>
      <c r="BQ448" s="111"/>
      <c r="BS448" s="111"/>
      <c r="BT448" s="111"/>
      <c r="BU448" s="111"/>
      <c r="BV448" s="111"/>
    </row>
    <row r="449" spans="17:74" x14ac:dyDescent="0.25"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111"/>
      <c r="AB449" s="111"/>
      <c r="AC449" s="111"/>
      <c r="AD449" s="111"/>
      <c r="AE449" s="111"/>
      <c r="AF449" s="111"/>
      <c r="AG449" s="111"/>
      <c r="AH449" s="111"/>
      <c r="AI449" s="111"/>
      <c r="AJ449" s="111"/>
      <c r="AK449" s="111"/>
      <c r="AL449" s="111"/>
      <c r="AM449" s="111"/>
      <c r="AN449" s="111"/>
      <c r="AO449" s="111"/>
      <c r="AP449" s="111"/>
      <c r="AQ449" s="111"/>
      <c r="AR449" s="111"/>
      <c r="AS449" s="111"/>
      <c r="AT449" s="111"/>
      <c r="AX449" s="111"/>
      <c r="AY449" s="111"/>
      <c r="AZ449" s="111"/>
      <c r="BA449" s="111"/>
      <c r="BB449" s="111"/>
      <c r="BC449" s="111"/>
      <c r="BD449" s="111"/>
      <c r="BE449" s="111"/>
      <c r="BF449" s="111"/>
      <c r="BG449" s="111"/>
      <c r="BI449" s="111"/>
      <c r="BJ449" s="111"/>
      <c r="BK449" s="111"/>
      <c r="BL449" s="111"/>
      <c r="BM449" s="111"/>
      <c r="BN449" s="111"/>
      <c r="BO449" s="111"/>
      <c r="BP449" s="111"/>
      <c r="BQ449" s="111"/>
      <c r="BS449" s="111"/>
      <c r="BT449" s="111"/>
      <c r="BU449" s="111"/>
      <c r="BV449" s="111"/>
    </row>
    <row r="450" spans="17:74" x14ac:dyDescent="0.25"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111"/>
      <c r="AB450" s="111"/>
      <c r="AC450" s="111"/>
      <c r="AD450" s="111"/>
      <c r="AE450" s="111"/>
      <c r="AF450" s="111"/>
      <c r="AG450" s="111"/>
      <c r="AH450" s="111"/>
      <c r="AI450" s="111"/>
      <c r="AJ450" s="111"/>
      <c r="AK450" s="111"/>
      <c r="AL450" s="111"/>
      <c r="AM450" s="111"/>
      <c r="AN450" s="111"/>
      <c r="AO450" s="111"/>
      <c r="AP450" s="111"/>
      <c r="AQ450" s="111"/>
      <c r="AR450" s="111"/>
      <c r="AS450" s="111"/>
      <c r="AT450" s="111"/>
      <c r="AX450" s="111"/>
      <c r="AY450" s="111"/>
      <c r="AZ450" s="111"/>
      <c r="BA450" s="111"/>
      <c r="BB450" s="111"/>
      <c r="BC450" s="111"/>
      <c r="BD450" s="111"/>
      <c r="BE450" s="111"/>
      <c r="BF450" s="111"/>
      <c r="BG450" s="111"/>
      <c r="BI450" s="111"/>
      <c r="BJ450" s="111"/>
      <c r="BK450" s="111"/>
      <c r="BL450" s="111"/>
      <c r="BM450" s="111"/>
      <c r="BN450" s="111"/>
      <c r="BO450" s="111"/>
      <c r="BP450" s="111"/>
      <c r="BQ450" s="111"/>
      <c r="BS450" s="111"/>
      <c r="BT450" s="111"/>
      <c r="BU450" s="111"/>
      <c r="BV450" s="111"/>
    </row>
    <row r="451" spans="17:74" x14ac:dyDescent="0.25"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111"/>
      <c r="AB451" s="111"/>
      <c r="AC451" s="111"/>
      <c r="AD451" s="111"/>
      <c r="AE451" s="111"/>
      <c r="AF451" s="111"/>
      <c r="AG451" s="111"/>
      <c r="AH451" s="111"/>
      <c r="AI451" s="111"/>
      <c r="AJ451" s="111"/>
      <c r="AK451" s="111"/>
      <c r="AL451" s="111"/>
      <c r="AM451" s="111"/>
      <c r="AN451" s="111"/>
      <c r="AO451" s="111"/>
      <c r="AP451" s="111"/>
      <c r="AQ451" s="111"/>
      <c r="AR451" s="111"/>
      <c r="AS451" s="111"/>
      <c r="AT451" s="111"/>
      <c r="AX451" s="111"/>
      <c r="AY451" s="111"/>
      <c r="AZ451" s="111"/>
      <c r="BA451" s="111"/>
      <c r="BB451" s="111"/>
      <c r="BC451" s="111"/>
      <c r="BD451" s="111"/>
      <c r="BE451" s="111"/>
      <c r="BF451" s="111"/>
      <c r="BG451" s="111"/>
      <c r="BI451" s="111"/>
      <c r="BJ451" s="111"/>
      <c r="BK451" s="111"/>
      <c r="BL451" s="111"/>
      <c r="BM451" s="111"/>
      <c r="BN451" s="111"/>
      <c r="BO451" s="111"/>
      <c r="BP451" s="111"/>
      <c r="BQ451" s="111"/>
      <c r="BS451" s="111"/>
      <c r="BT451" s="111"/>
      <c r="BU451" s="111"/>
      <c r="BV451" s="111"/>
    </row>
    <row r="452" spans="17:74" x14ac:dyDescent="0.25"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111"/>
      <c r="AB452" s="111"/>
      <c r="AC452" s="111"/>
      <c r="AD452" s="111"/>
      <c r="AE452" s="111"/>
      <c r="AF452" s="111"/>
      <c r="AG452" s="111"/>
      <c r="AH452" s="111"/>
      <c r="AI452" s="111"/>
      <c r="AJ452" s="111"/>
      <c r="AK452" s="111"/>
      <c r="AL452" s="111"/>
      <c r="AM452" s="111"/>
      <c r="AN452" s="111"/>
      <c r="AO452" s="111"/>
      <c r="AP452" s="111"/>
      <c r="AQ452" s="111"/>
      <c r="AR452" s="111"/>
      <c r="AS452" s="111"/>
      <c r="AT452" s="111"/>
      <c r="AX452" s="111"/>
      <c r="AY452" s="111"/>
      <c r="AZ452" s="111"/>
      <c r="BA452" s="111"/>
      <c r="BB452" s="111"/>
      <c r="BC452" s="111"/>
      <c r="BD452" s="111"/>
      <c r="BE452" s="111"/>
      <c r="BF452" s="111"/>
      <c r="BG452" s="111"/>
      <c r="BI452" s="111"/>
      <c r="BJ452" s="111"/>
      <c r="BK452" s="111"/>
      <c r="BL452" s="111"/>
      <c r="BM452" s="111"/>
      <c r="BN452" s="111"/>
      <c r="BO452" s="111"/>
      <c r="BP452" s="111"/>
      <c r="BQ452" s="111"/>
      <c r="BS452" s="111"/>
      <c r="BT452" s="111"/>
      <c r="BU452" s="111"/>
      <c r="BV452" s="111"/>
    </row>
    <row r="453" spans="17:74" x14ac:dyDescent="0.25"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111"/>
      <c r="AB453" s="111"/>
      <c r="AC453" s="111"/>
      <c r="AD453" s="111"/>
      <c r="AE453" s="111"/>
      <c r="AF453" s="111"/>
      <c r="AG453" s="111"/>
      <c r="AH453" s="111"/>
      <c r="AI453" s="111"/>
      <c r="AJ453" s="111"/>
      <c r="AK453" s="111"/>
      <c r="AL453" s="111"/>
      <c r="AM453" s="111"/>
      <c r="AN453" s="111"/>
      <c r="AO453" s="111"/>
      <c r="AP453" s="111"/>
      <c r="AQ453" s="111"/>
      <c r="AR453" s="111"/>
      <c r="AS453" s="111"/>
      <c r="AT453" s="111"/>
      <c r="AX453" s="111"/>
      <c r="AY453" s="111"/>
      <c r="AZ453" s="111"/>
      <c r="BA453" s="111"/>
      <c r="BB453" s="111"/>
      <c r="BC453" s="111"/>
      <c r="BD453" s="111"/>
      <c r="BE453" s="111"/>
      <c r="BF453" s="111"/>
      <c r="BG453" s="111"/>
      <c r="BI453" s="111"/>
      <c r="BJ453" s="111"/>
      <c r="BK453" s="111"/>
      <c r="BL453" s="111"/>
      <c r="BM453" s="111"/>
      <c r="BN453" s="111"/>
      <c r="BO453" s="111"/>
      <c r="BP453" s="111"/>
      <c r="BQ453" s="111"/>
      <c r="BS453" s="111"/>
      <c r="BT453" s="111"/>
      <c r="BU453" s="111"/>
      <c r="BV453" s="111"/>
    </row>
    <row r="454" spans="17:74" x14ac:dyDescent="0.25"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111"/>
      <c r="AB454" s="111"/>
      <c r="AC454" s="111"/>
      <c r="AD454" s="111"/>
      <c r="AE454" s="111"/>
      <c r="AF454" s="111"/>
      <c r="AG454" s="111"/>
      <c r="AH454" s="111"/>
      <c r="AI454" s="111"/>
      <c r="AJ454" s="111"/>
      <c r="AK454" s="111"/>
      <c r="AL454" s="111"/>
      <c r="AM454" s="111"/>
      <c r="AN454" s="111"/>
      <c r="AO454" s="111"/>
      <c r="AP454" s="111"/>
      <c r="AQ454" s="111"/>
      <c r="AR454" s="111"/>
      <c r="AS454" s="111"/>
      <c r="AT454" s="111"/>
      <c r="AX454" s="111"/>
      <c r="AY454" s="111"/>
      <c r="AZ454" s="111"/>
      <c r="BA454" s="111"/>
      <c r="BB454" s="111"/>
      <c r="BC454" s="111"/>
      <c r="BD454" s="111"/>
      <c r="BE454" s="111"/>
      <c r="BF454" s="111"/>
      <c r="BG454" s="111"/>
      <c r="BI454" s="111"/>
      <c r="BJ454" s="111"/>
      <c r="BK454" s="111"/>
      <c r="BL454" s="111"/>
      <c r="BM454" s="111"/>
      <c r="BN454" s="111"/>
      <c r="BO454" s="111"/>
      <c r="BP454" s="111"/>
      <c r="BQ454" s="111"/>
      <c r="BS454" s="111"/>
      <c r="BT454" s="111"/>
      <c r="BU454" s="111"/>
      <c r="BV454" s="111"/>
    </row>
    <row r="455" spans="17:74" x14ac:dyDescent="0.25"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111"/>
      <c r="AB455" s="111"/>
      <c r="AC455" s="111"/>
      <c r="AD455" s="111"/>
      <c r="AE455" s="111"/>
      <c r="AF455" s="111"/>
      <c r="AG455" s="111"/>
      <c r="AH455" s="111"/>
      <c r="AI455" s="111"/>
      <c r="AJ455" s="111"/>
      <c r="AK455" s="111"/>
      <c r="AL455" s="111"/>
      <c r="AM455" s="111"/>
      <c r="AN455" s="111"/>
      <c r="AO455" s="111"/>
      <c r="AP455" s="111"/>
      <c r="AQ455" s="111"/>
      <c r="AR455" s="111"/>
      <c r="AS455" s="111"/>
      <c r="AT455" s="111"/>
      <c r="AX455" s="111"/>
      <c r="AY455" s="111"/>
      <c r="AZ455" s="111"/>
      <c r="BA455" s="111"/>
      <c r="BB455" s="111"/>
      <c r="BC455" s="111"/>
      <c r="BD455" s="111"/>
      <c r="BE455" s="111"/>
      <c r="BF455" s="111"/>
      <c r="BG455" s="111"/>
      <c r="BI455" s="111"/>
      <c r="BJ455" s="111"/>
      <c r="BK455" s="111"/>
      <c r="BL455" s="111"/>
      <c r="BM455" s="111"/>
      <c r="BN455" s="111"/>
      <c r="BO455" s="111"/>
      <c r="BP455" s="111"/>
      <c r="BQ455" s="111"/>
      <c r="BS455" s="111"/>
      <c r="BT455" s="111"/>
      <c r="BU455" s="111"/>
      <c r="BV455" s="111"/>
    </row>
    <row r="456" spans="17:74" x14ac:dyDescent="0.25"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111"/>
      <c r="AB456" s="111"/>
      <c r="AC456" s="111"/>
      <c r="AD456" s="111"/>
      <c r="AE456" s="111"/>
      <c r="AF456" s="111"/>
      <c r="AG456" s="111"/>
      <c r="AH456" s="111"/>
      <c r="AI456" s="111"/>
      <c r="AJ456" s="111"/>
      <c r="AK456" s="111"/>
      <c r="AL456" s="111"/>
      <c r="AM456" s="111"/>
      <c r="AN456" s="111"/>
      <c r="AO456" s="111"/>
      <c r="AP456" s="111"/>
      <c r="AQ456" s="111"/>
      <c r="AR456" s="111"/>
      <c r="AS456" s="111"/>
      <c r="AT456" s="111"/>
      <c r="AX456" s="111"/>
      <c r="AY456" s="111"/>
      <c r="AZ456" s="111"/>
      <c r="BA456" s="111"/>
      <c r="BB456" s="111"/>
      <c r="BC456" s="111"/>
      <c r="BD456" s="111"/>
      <c r="BE456" s="111"/>
      <c r="BF456" s="111"/>
      <c r="BG456" s="111"/>
      <c r="BI456" s="111"/>
      <c r="BJ456" s="111"/>
      <c r="BK456" s="111"/>
      <c r="BL456" s="111"/>
      <c r="BM456" s="111"/>
      <c r="BN456" s="111"/>
      <c r="BO456" s="111"/>
      <c r="BP456" s="111"/>
      <c r="BQ456" s="111"/>
      <c r="BS456" s="111"/>
      <c r="BT456" s="111"/>
      <c r="BU456" s="111"/>
      <c r="BV456" s="111"/>
    </row>
    <row r="457" spans="17:74" x14ac:dyDescent="0.25"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111"/>
      <c r="AB457" s="111"/>
      <c r="AC457" s="111"/>
      <c r="AD457" s="111"/>
      <c r="AE457" s="111"/>
      <c r="AF457" s="111"/>
      <c r="AG457" s="111"/>
      <c r="AH457" s="111"/>
      <c r="AI457" s="111"/>
      <c r="AJ457" s="111"/>
      <c r="AK457" s="111"/>
      <c r="AL457" s="111"/>
      <c r="AM457" s="111"/>
      <c r="AN457" s="111"/>
      <c r="AO457" s="111"/>
      <c r="AP457" s="111"/>
      <c r="AQ457" s="111"/>
      <c r="AR457" s="111"/>
      <c r="AS457" s="111"/>
      <c r="AT457" s="111"/>
      <c r="AX457" s="111"/>
      <c r="AY457" s="111"/>
      <c r="AZ457" s="111"/>
      <c r="BA457" s="111"/>
      <c r="BB457" s="111"/>
      <c r="BC457" s="111"/>
      <c r="BD457" s="111"/>
      <c r="BE457" s="111"/>
      <c r="BF457" s="111"/>
      <c r="BG457" s="111"/>
      <c r="BI457" s="111"/>
      <c r="BJ457" s="111"/>
      <c r="BK457" s="111"/>
      <c r="BL457" s="111"/>
      <c r="BM457" s="111"/>
      <c r="BN457" s="111"/>
      <c r="BO457" s="111"/>
      <c r="BP457" s="111"/>
      <c r="BQ457" s="111"/>
      <c r="BS457" s="111"/>
      <c r="BT457" s="111"/>
      <c r="BU457" s="111"/>
      <c r="BV457" s="111"/>
    </row>
    <row r="458" spans="17:74" x14ac:dyDescent="0.25"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111"/>
      <c r="AB458" s="111"/>
      <c r="AC458" s="111"/>
      <c r="AD458" s="111"/>
      <c r="AE458" s="111"/>
      <c r="AF458" s="111"/>
      <c r="AG458" s="111"/>
      <c r="AH458" s="111"/>
      <c r="AI458" s="111"/>
      <c r="AJ458" s="111"/>
      <c r="AK458" s="111"/>
      <c r="AL458" s="111"/>
      <c r="AM458" s="111"/>
      <c r="AN458" s="111"/>
      <c r="AO458" s="111"/>
      <c r="AP458" s="111"/>
      <c r="AQ458" s="111"/>
      <c r="AR458" s="111"/>
      <c r="AS458" s="111"/>
      <c r="AT458" s="111"/>
      <c r="AX458" s="111"/>
      <c r="AY458" s="111"/>
      <c r="AZ458" s="111"/>
      <c r="BA458" s="111"/>
      <c r="BB458" s="111"/>
      <c r="BC458" s="111"/>
      <c r="BD458" s="111"/>
      <c r="BE458" s="111"/>
      <c r="BF458" s="111"/>
      <c r="BG458" s="111"/>
      <c r="BI458" s="111"/>
      <c r="BJ458" s="111"/>
      <c r="BK458" s="111"/>
      <c r="BL458" s="111"/>
      <c r="BM458" s="111"/>
      <c r="BN458" s="111"/>
      <c r="BO458" s="111"/>
      <c r="BP458" s="111"/>
      <c r="BQ458" s="111"/>
      <c r="BS458" s="111"/>
      <c r="BT458" s="111"/>
      <c r="BU458" s="111"/>
      <c r="BV458" s="111"/>
    </row>
    <row r="459" spans="17:74" x14ac:dyDescent="0.25"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111"/>
      <c r="AB459" s="111"/>
      <c r="AC459" s="111"/>
      <c r="AD459" s="111"/>
      <c r="AE459" s="111"/>
      <c r="AF459" s="111"/>
      <c r="AG459" s="111"/>
      <c r="AH459" s="111"/>
      <c r="AI459" s="111"/>
      <c r="AJ459" s="111"/>
      <c r="AK459" s="111"/>
      <c r="AL459" s="111"/>
      <c r="AM459" s="111"/>
      <c r="AN459" s="111"/>
      <c r="AO459" s="111"/>
      <c r="AP459" s="111"/>
      <c r="AQ459" s="111"/>
      <c r="AR459" s="111"/>
      <c r="AS459" s="111"/>
      <c r="AT459" s="111"/>
      <c r="AX459" s="111"/>
      <c r="AY459" s="111"/>
      <c r="AZ459" s="111"/>
      <c r="BA459" s="111"/>
      <c r="BB459" s="111"/>
      <c r="BC459" s="111"/>
      <c r="BD459" s="111"/>
      <c r="BE459" s="111"/>
      <c r="BF459" s="111"/>
      <c r="BG459" s="111"/>
      <c r="BI459" s="111"/>
      <c r="BJ459" s="111"/>
      <c r="BK459" s="111"/>
      <c r="BL459" s="111"/>
      <c r="BM459" s="111"/>
      <c r="BN459" s="111"/>
      <c r="BO459" s="111"/>
      <c r="BP459" s="111"/>
      <c r="BQ459" s="111"/>
      <c r="BS459" s="111"/>
      <c r="BT459" s="111"/>
      <c r="BU459" s="111"/>
      <c r="BV459" s="111"/>
    </row>
    <row r="460" spans="17:74" x14ac:dyDescent="0.25"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111"/>
      <c r="AB460" s="111"/>
      <c r="AC460" s="111"/>
      <c r="AD460" s="111"/>
      <c r="AE460" s="111"/>
      <c r="AF460" s="111"/>
      <c r="AG460" s="111"/>
      <c r="AH460" s="111"/>
      <c r="AI460" s="111"/>
      <c r="AJ460" s="111"/>
      <c r="AK460" s="111"/>
      <c r="AL460" s="111"/>
      <c r="AM460" s="111"/>
      <c r="AN460" s="111"/>
      <c r="AO460" s="111"/>
      <c r="AP460" s="111"/>
      <c r="AQ460" s="111"/>
      <c r="AR460" s="111"/>
      <c r="AS460" s="111"/>
      <c r="AT460" s="111"/>
      <c r="AX460" s="111"/>
      <c r="AY460" s="111"/>
      <c r="AZ460" s="111"/>
      <c r="BA460" s="111"/>
      <c r="BB460" s="111"/>
      <c r="BC460" s="111"/>
      <c r="BD460" s="111"/>
      <c r="BE460" s="111"/>
      <c r="BF460" s="111"/>
      <c r="BG460" s="111"/>
      <c r="BI460" s="111"/>
      <c r="BJ460" s="111"/>
      <c r="BK460" s="111"/>
      <c r="BL460" s="111"/>
      <c r="BM460" s="111"/>
      <c r="BN460" s="111"/>
      <c r="BO460" s="111"/>
      <c r="BP460" s="111"/>
      <c r="BQ460" s="111"/>
      <c r="BS460" s="111"/>
      <c r="BT460" s="111"/>
      <c r="BU460" s="111"/>
      <c r="BV460" s="111"/>
    </row>
    <row r="461" spans="17:74" x14ac:dyDescent="0.25"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111"/>
      <c r="AB461" s="111"/>
      <c r="AC461" s="111"/>
      <c r="AD461" s="111"/>
      <c r="AE461" s="111"/>
      <c r="AF461" s="111"/>
      <c r="AG461" s="111"/>
      <c r="AH461" s="111"/>
      <c r="AI461" s="111"/>
      <c r="AJ461" s="111"/>
      <c r="AK461" s="111"/>
      <c r="AL461" s="111"/>
      <c r="AM461" s="111"/>
      <c r="AN461" s="111"/>
      <c r="AO461" s="111"/>
      <c r="AP461" s="111"/>
      <c r="AQ461" s="111"/>
      <c r="AR461" s="111"/>
      <c r="AS461" s="111"/>
      <c r="AT461" s="111"/>
      <c r="AX461" s="111"/>
      <c r="AY461" s="111"/>
      <c r="AZ461" s="111"/>
      <c r="BA461" s="111"/>
      <c r="BB461" s="111"/>
      <c r="BC461" s="111"/>
      <c r="BD461" s="111"/>
      <c r="BE461" s="111"/>
      <c r="BF461" s="111"/>
      <c r="BG461" s="111"/>
      <c r="BI461" s="111"/>
      <c r="BJ461" s="111"/>
      <c r="BK461" s="111"/>
      <c r="BL461" s="111"/>
      <c r="BM461" s="111"/>
      <c r="BN461" s="111"/>
      <c r="BO461" s="111"/>
      <c r="BP461" s="111"/>
      <c r="BQ461" s="111"/>
      <c r="BS461" s="111"/>
      <c r="BT461" s="111"/>
      <c r="BU461" s="111"/>
      <c r="BV461" s="111"/>
    </row>
    <row r="462" spans="17:74" x14ac:dyDescent="0.25"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111"/>
      <c r="AB462" s="111"/>
      <c r="AC462" s="111"/>
      <c r="AD462" s="111"/>
      <c r="AE462" s="111"/>
      <c r="AF462" s="111"/>
      <c r="AG462" s="111"/>
      <c r="AH462" s="111"/>
      <c r="AI462" s="111"/>
      <c r="AJ462" s="111"/>
      <c r="AK462" s="111"/>
      <c r="AL462" s="111"/>
      <c r="AM462" s="111"/>
      <c r="AN462" s="111"/>
      <c r="AO462" s="111"/>
      <c r="AP462" s="111"/>
      <c r="AQ462" s="111"/>
      <c r="AR462" s="111"/>
      <c r="AS462" s="111"/>
      <c r="AT462" s="111"/>
      <c r="AX462" s="111"/>
      <c r="AY462" s="111"/>
      <c r="AZ462" s="111"/>
      <c r="BA462" s="111"/>
      <c r="BB462" s="111"/>
      <c r="BC462" s="111"/>
      <c r="BD462" s="111"/>
      <c r="BE462" s="111"/>
      <c r="BF462" s="111"/>
      <c r="BG462" s="111"/>
      <c r="BI462" s="111"/>
      <c r="BJ462" s="111"/>
      <c r="BK462" s="111"/>
      <c r="BL462" s="111"/>
      <c r="BM462" s="111"/>
      <c r="BN462" s="111"/>
      <c r="BO462" s="111"/>
      <c r="BP462" s="111"/>
      <c r="BQ462" s="111"/>
      <c r="BS462" s="111"/>
      <c r="BT462" s="111"/>
      <c r="BU462" s="111"/>
      <c r="BV462" s="111"/>
    </row>
    <row r="463" spans="17:74" x14ac:dyDescent="0.25"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111"/>
      <c r="AB463" s="111"/>
      <c r="AC463" s="111"/>
      <c r="AD463" s="111"/>
      <c r="AE463" s="111"/>
      <c r="AF463" s="111"/>
      <c r="AG463" s="111"/>
      <c r="AH463" s="111"/>
      <c r="AI463" s="111"/>
      <c r="AJ463" s="111"/>
      <c r="AK463" s="111"/>
      <c r="AL463" s="111"/>
      <c r="AM463" s="111"/>
      <c r="AN463" s="111"/>
      <c r="AO463" s="111"/>
      <c r="AP463" s="111"/>
      <c r="AQ463" s="111"/>
      <c r="AR463" s="111"/>
      <c r="AS463" s="111"/>
      <c r="AT463" s="111"/>
      <c r="AX463" s="111"/>
      <c r="AY463" s="111"/>
      <c r="AZ463" s="111"/>
      <c r="BA463" s="111"/>
      <c r="BB463" s="111"/>
      <c r="BC463" s="111"/>
      <c r="BD463" s="111"/>
      <c r="BE463" s="111"/>
      <c r="BF463" s="111"/>
      <c r="BG463" s="111"/>
      <c r="BI463" s="111"/>
      <c r="BJ463" s="111"/>
      <c r="BK463" s="111"/>
      <c r="BL463" s="111"/>
      <c r="BM463" s="111"/>
      <c r="BN463" s="111"/>
      <c r="BO463" s="111"/>
      <c r="BP463" s="111"/>
      <c r="BQ463" s="111"/>
      <c r="BS463" s="111"/>
      <c r="BT463" s="111"/>
      <c r="BU463" s="111"/>
      <c r="BV463" s="111"/>
    </row>
    <row r="464" spans="17:74" x14ac:dyDescent="0.25"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111"/>
      <c r="AB464" s="111"/>
      <c r="AC464" s="111"/>
      <c r="AD464" s="111"/>
      <c r="AE464" s="111"/>
      <c r="AF464" s="111"/>
      <c r="AG464" s="111"/>
      <c r="AH464" s="111"/>
      <c r="AI464" s="111"/>
      <c r="AJ464" s="111"/>
      <c r="AK464" s="111"/>
      <c r="AL464" s="111"/>
      <c r="AM464" s="111"/>
      <c r="AN464" s="111"/>
      <c r="AO464" s="111"/>
      <c r="AP464" s="111"/>
      <c r="AQ464" s="111"/>
      <c r="AR464" s="111"/>
      <c r="AS464" s="111"/>
      <c r="AT464" s="111"/>
      <c r="AX464" s="111"/>
      <c r="AY464" s="111"/>
      <c r="AZ464" s="111"/>
      <c r="BA464" s="111"/>
      <c r="BB464" s="111"/>
      <c r="BC464" s="111"/>
      <c r="BD464" s="111"/>
      <c r="BE464" s="111"/>
      <c r="BF464" s="111"/>
      <c r="BG464" s="111"/>
      <c r="BI464" s="111"/>
      <c r="BJ464" s="111"/>
      <c r="BK464" s="111"/>
      <c r="BL464" s="111"/>
      <c r="BM464" s="111"/>
      <c r="BN464" s="111"/>
      <c r="BO464" s="111"/>
      <c r="BP464" s="111"/>
      <c r="BQ464" s="111"/>
      <c r="BS464" s="111"/>
      <c r="BT464" s="111"/>
      <c r="BU464" s="111"/>
      <c r="BV464" s="111"/>
    </row>
    <row r="465" spans="17:74" x14ac:dyDescent="0.25"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111"/>
      <c r="AB465" s="111"/>
      <c r="AC465" s="111"/>
      <c r="AD465" s="111"/>
      <c r="AE465" s="111"/>
      <c r="AF465" s="111"/>
      <c r="AG465" s="111"/>
      <c r="AH465" s="111"/>
      <c r="AI465" s="111"/>
      <c r="AJ465" s="111"/>
      <c r="AK465" s="111"/>
      <c r="AL465" s="111"/>
      <c r="AM465" s="111"/>
      <c r="AN465" s="111"/>
      <c r="AO465" s="111"/>
      <c r="AP465" s="111"/>
      <c r="AQ465" s="111"/>
      <c r="AR465" s="111"/>
      <c r="AS465" s="111"/>
      <c r="AT465" s="111"/>
      <c r="AX465" s="111"/>
      <c r="AY465" s="111"/>
      <c r="AZ465" s="111"/>
      <c r="BA465" s="111"/>
      <c r="BB465" s="111"/>
      <c r="BC465" s="111"/>
      <c r="BD465" s="111"/>
      <c r="BE465" s="111"/>
      <c r="BF465" s="111"/>
      <c r="BG465" s="111"/>
      <c r="BI465" s="111"/>
      <c r="BJ465" s="111"/>
      <c r="BK465" s="111"/>
      <c r="BL465" s="111"/>
      <c r="BM465" s="111"/>
      <c r="BN465" s="111"/>
      <c r="BO465" s="111"/>
      <c r="BP465" s="111"/>
      <c r="BQ465" s="111"/>
      <c r="BS465" s="111"/>
      <c r="BT465" s="111"/>
      <c r="BU465" s="111"/>
      <c r="BV465" s="111"/>
    </row>
    <row r="466" spans="17:74" x14ac:dyDescent="0.25"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111"/>
      <c r="AB466" s="111"/>
      <c r="AC466" s="111"/>
      <c r="AD466" s="111"/>
      <c r="AE466" s="111"/>
      <c r="AF466" s="111"/>
      <c r="AG466" s="111"/>
      <c r="AH466" s="111"/>
      <c r="AI466" s="111"/>
      <c r="AJ466" s="111"/>
      <c r="AK466" s="111"/>
      <c r="AL466" s="111"/>
      <c r="AM466" s="111"/>
      <c r="AN466" s="111"/>
      <c r="AO466" s="111"/>
      <c r="AP466" s="111"/>
      <c r="AQ466" s="111"/>
      <c r="AR466" s="111"/>
      <c r="AS466" s="111"/>
      <c r="AT466" s="111"/>
      <c r="AX466" s="111"/>
      <c r="AY466" s="111"/>
      <c r="AZ466" s="111"/>
      <c r="BA466" s="111"/>
      <c r="BB466" s="111"/>
      <c r="BC466" s="111"/>
      <c r="BD466" s="111"/>
      <c r="BE466" s="111"/>
      <c r="BF466" s="111"/>
      <c r="BG466" s="111"/>
      <c r="BI466" s="111"/>
      <c r="BJ466" s="111"/>
      <c r="BK466" s="111"/>
      <c r="BL466" s="111"/>
      <c r="BM466" s="111"/>
      <c r="BN466" s="111"/>
      <c r="BO466" s="111"/>
      <c r="BP466" s="111"/>
      <c r="BQ466" s="111"/>
      <c r="BS466" s="111"/>
      <c r="BT466" s="111"/>
      <c r="BU466" s="111"/>
      <c r="BV466" s="111"/>
    </row>
    <row r="467" spans="17:74" x14ac:dyDescent="0.25"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111"/>
      <c r="AB467" s="111"/>
      <c r="AC467" s="111"/>
      <c r="AD467" s="111"/>
      <c r="AE467" s="111"/>
      <c r="AF467" s="111"/>
      <c r="AG467" s="111"/>
      <c r="AH467" s="111"/>
      <c r="AI467" s="111"/>
      <c r="AJ467" s="111"/>
      <c r="AK467" s="111"/>
      <c r="AL467" s="111"/>
      <c r="AM467" s="111"/>
      <c r="AN467" s="111"/>
      <c r="AO467" s="111"/>
      <c r="AP467" s="111"/>
      <c r="AQ467" s="111"/>
      <c r="AR467" s="111"/>
      <c r="AS467" s="111"/>
      <c r="AT467" s="111"/>
      <c r="AX467" s="111"/>
      <c r="AY467" s="111"/>
      <c r="AZ467" s="111"/>
      <c r="BA467" s="111"/>
      <c r="BB467" s="111"/>
      <c r="BC467" s="111"/>
      <c r="BD467" s="111"/>
      <c r="BE467" s="111"/>
      <c r="BF467" s="111"/>
      <c r="BG467" s="111"/>
      <c r="BI467" s="111"/>
      <c r="BJ467" s="111"/>
      <c r="BK467" s="111"/>
      <c r="BL467" s="111"/>
      <c r="BM467" s="111"/>
      <c r="BN467" s="111"/>
      <c r="BO467" s="111"/>
      <c r="BP467" s="111"/>
      <c r="BQ467" s="111"/>
      <c r="BS467" s="111"/>
      <c r="BT467" s="111"/>
      <c r="BU467" s="111"/>
      <c r="BV467" s="111"/>
    </row>
    <row r="468" spans="17:74" x14ac:dyDescent="0.25"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111"/>
      <c r="AB468" s="111"/>
      <c r="AC468" s="111"/>
      <c r="AD468" s="111"/>
      <c r="AE468" s="111"/>
      <c r="AF468" s="111"/>
      <c r="AG468" s="111"/>
      <c r="AH468" s="111"/>
      <c r="AI468" s="111"/>
      <c r="AJ468" s="111"/>
      <c r="AK468" s="111"/>
      <c r="AL468" s="111"/>
      <c r="AM468" s="111"/>
      <c r="AN468" s="111"/>
      <c r="AO468" s="111"/>
      <c r="AP468" s="111"/>
      <c r="AQ468" s="111"/>
      <c r="AR468" s="111"/>
      <c r="AS468" s="111"/>
      <c r="AT468" s="111"/>
      <c r="AX468" s="111"/>
      <c r="AY468" s="111"/>
      <c r="AZ468" s="111"/>
      <c r="BA468" s="111"/>
      <c r="BB468" s="111"/>
      <c r="BC468" s="111"/>
      <c r="BD468" s="111"/>
      <c r="BE468" s="111"/>
      <c r="BF468" s="111"/>
      <c r="BG468" s="111"/>
      <c r="BI468" s="111"/>
      <c r="BJ468" s="111"/>
      <c r="BK468" s="111"/>
      <c r="BL468" s="111"/>
      <c r="BM468" s="111"/>
      <c r="BN468" s="111"/>
      <c r="BO468" s="111"/>
      <c r="BP468" s="111"/>
      <c r="BQ468" s="111"/>
      <c r="BS468" s="111"/>
      <c r="BT468" s="111"/>
      <c r="BU468" s="111"/>
      <c r="BV468" s="111"/>
    </row>
    <row r="469" spans="17:74" x14ac:dyDescent="0.25"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111"/>
      <c r="AB469" s="111"/>
      <c r="AC469" s="111"/>
      <c r="AD469" s="111"/>
      <c r="AE469" s="111"/>
      <c r="AF469" s="111"/>
      <c r="AG469" s="111"/>
      <c r="AH469" s="111"/>
      <c r="AI469" s="111"/>
      <c r="AJ469" s="111"/>
      <c r="AK469" s="111"/>
      <c r="AL469" s="111"/>
      <c r="AM469" s="111"/>
      <c r="AN469" s="111"/>
      <c r="AO469" s="111"/>
      <c r="AP469" s="111"/>
      <c r="AQ469" s="111"/>
      <c r="AR469" s="111"/>
      <c r="AS469" s="111"/>
      <c r="AT469" s="111"/>
      <c r="AX469" s="111"/>
      <c r="AY469" s="111"/>
      <c r="AZ469" s="111"/>
      <c r="BA469" s="111"/>
      <c r="BB469" s="111"/>
      <c r="BC469" s="111"/>
      <c r="BD469" s="111"/>
      <c r="BE469" s="111"/>
      <c r="BF469" s="111"/>
      <c r="BG469" s="111"/>
      <c r="BI469" s="111"/>
      <c r="BJ469" s="111"/>
      <c r="BK469" s="111"/>
      <c r="BL469" s="111"/>
      <c r="BM469" s="111"/>
      <c r="BN469" s="111"/>
      <c r="BO469" s="111"/>
      <c r="BP469" s="111"/>
      <c r="BQ469" s="111"/>
      <c r="BS469" s="111"/>
      <c r="BT469" s="111"/>
      <c r="BU469" s="111"/>
      <c r="BV469" s="111"/>
    </row>
    <row r="470" spans="17:74" x14ac:dyDescent="0.25"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111"/>
      <c r="AB470" s="111"/>
      <c r="AC470" s="111"/>
      <c r="AD470" s="111"/>
      <c r="AE470" s="111"/>
      <c r="AF470" s="111"/>
      <c r="AG470" s="111"/>
      <c r="AH470" s="111"/>
      <c r="AI470" s="111"/>
      <c r="AJ470" s="111"/>
      <c r="AK470" s="111"/>
      <c r="AL470" s="111"/>
      <c r="AM470" s="111"/>
      <c r="AN470" s="111"/>
      <c r="AO470" s="111"/>
      <c r="AP470" s="111"/>
      <c r="AQ470" s="111"/>
      <c r="AR470" s="111"/>
      <c r="AS470" s="111"/>
      <c r="AT470" s="111"/>
      <c r="AX470" s="111"/>
      <c r="AY470" s="111"/>
      <c r="AZ470" s="111"/>
      <c r="BA470" s="111"/>
      <c r="BB470" s="111"/>
      <c r="BC470" s="111"/>
      <c r="BD470" s="111"/>
      <c r="BE470" s="111"/>
      <c r="BF470" s="111"/>
      <c r="BG470" s="111"/>
      <c r="BI470" s="111"/>
      <c r="BJ470" s="111"/>
      <c r="BK470" s="111"/>
      <c r="BL470" s="111"/>
      <c r="BM470" s="111"/>
      <c r="BN470" s="111"/>
      <c r="BO470" s="111"/>
      <c r="BP470" s="111"/>
      <c r="BQ470" s="111"/>
      <c r="BS470" s="111"/>
      <c r="BT470" s="111"/>
      <c r="BU470" s="111"/>
      <c r="BV470" s="111"/>
    </row>
    <row r="471" spans="17:74" x14ac:dyDescent="0.25"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111"/>
      <c r="AB471" s="111"/>
      <c r="AC471" s="111"/>
      <c r="AD471" s="111"/>
      <c r="AE471" s="111"/>
      <c r="AF471" s="111"/>
      <c r="AG471" s="111"/>
      <c r="AH471" s="111"/>
      <c r="AI471" s="111"/>
      <c r="AJ471" s="111"/>
      <c r="AK471" s="111"/>
      <c r="AL471" s="111"/>
      <c r="AM471" s="111"/>
      <c r="AN471" s="111"/>
      <c r="AO471" s="111"/>
      <c r="AP471" s="111"/>
      <c r="AQ471" s="111"/>
      <c r="AR471" s="111"/>
      <c r="AS471" s="111"/>
      <c r="AT471" s="111"/>
      <c r="AX471" s="111"/>
      <c r="AY471" s="111"/>
      <c r="AZ471" s="111"/>
      <c r="BA471" s="111"/>
      <c r="BB471" s="111"/>
      <c r="BC471" s="111"/>
      <c r="BD471" s="111"/>
      <c r="BE471" s="111"/>
      <c r="BF471" s="111"/>
      <c r="BG471" s="111"/>
      <c r="BI471" s="111"/>
      <c r="BJ471" s="111"/>
      <c r="BK471" s="111"/>
      <c r="BL471" s="111"/>
      <c r="BM471" s="111"/>
      <c r="BN471" s="111"/>
      <c r="BO471" s="111"/>
      <c r="BP471" s="111"/>
      <c r="BQ471" s="111"/>
      <c r="BS471" s="111"/>
      <c r="BT471" s="111"/>
      <c r="BU471" s="111"/>
      <c r="BV471" s="111"/>
    </row>
    <row r="472" spans="17:74" x14ac:dyDescent="0.25"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111"/>
      <c r="AB472" s="111"/>
      <c r="AC472" s="111"/>
      <c r="AD472" s="111"/>
      <c r="AE472" s="111"/>
      <c r="AF472" s="111"/>
      <c r="AG472" s="111"/>
      <c r="AH472" s="111"/>
      <c r="AI472" s="111"/>
      <c r="AJ472" s="111"/>
      <c r="AK472" s="111"/>
      <c r="AL472" s="111"/>
      <c r="AM472" s="111"/>
      <c r="AN472" s="111"/>
      <c r="AO472" s="111"/>
      <c r="AP472" s="111"/>
      <c r="AQ472" s="111"/>
      <c r="AR472" s="111"/>
      <c r="AS472" s="111"/>
      <c r="AT472" s="111"/>
      <c r="AX472" s="111"/>
      <c r="AY472" s="111"/>
      <c r="AZ472" s="111"/>
      <c r="BA472" s="111"/>
      <c r="BB472" s="111"/>
      <c r="BC472" s="111"/>
      <c r="BD472" s="111"/>
      <c r="BE472" s="111"/>
      <c r="BF472" s="111"/>
      <c r="BG472" s="111"/>
      <c r="BI472" s="111"/>
      <c r="BJ472" s="111"/>
      <c r="BK472" s="111"/>
      <c r="BL472" s="111"/>
      <c r="BM472" s="111"/>
      <c r="BN472" s="111"/>
      <c r="BO472" s="111"/>
      <c r="BP472" s="111"/>
      <c r="BQ472" s="111"/>
      <c r="BS472" s="111"/>
      <c r="BT472" s="111"/>
      <c r="BU472" s="111"/>
      <c r="BV472" s="111"/>
    </row>
    <row r="473" spans="17:74" x14ac:dyDescent="0.25"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111"/>
      <c r="AB473" s="111"/>
      <c r="AC473" s="111"/>
      <c r="AD473" s="111"/>
      <c r="AE473" s="111"/>
      <c r="AF473" s="111"/>
      <c r="AG473" s="111"/>
      <c r="AH473" s="111"/>
      <c r="AI473" s="111"/>
      <c r="AJ473" s="111"/>
      <c r="AK473" s="111"/>
      <c r="AL473" s="111"/>
      <c r="AM473" s="111"/>
      <c r="AN473" s="111"/>
      <c r="AO473" s="111"/>
      <c r="AP473" s="111"/>
      <c r="AQ473" s="111"/>
      <c r="AR473" s="111"/>
      <c r="AS473" s="111"/>
      <c r="AT473" s="111"/>
      <c r="AX473" s="111"/>
      <c r="AY473" s="111"/>
      <c r="AZ473" s="111"/>
      <c r="BA473" s="111"/>
      <c r="BB473" s="111"/>
      <c r="BC473" s="111"/>
      <c r="BD473" s="111"/>
      <c r="BE473" s="111"/>
      <c r="BF473" s="111"/>
      <c r="BG473" s="111"/>
      <c r="BI473" s="111"/>
      <c r="BJ473" s="111"/>
      <c r="BK473" s="111"/>
      <c r="BL473" s="111"/>
      <c r="BM473" s="111"/>
      <c r="BN473" s="111"/>
      <c r="BO473" s="111"/>
      <c r="BP473" s="111"/>
      <c r="BQ473" s="111"/>
      <c r="BS473" s="111"/>
      <c r="BT473" s="111"/>
      <c r="BU473" s="111"/>
      <c r="BV473" s="111"/>
    </row>
    <row r="474" spans="17:74" x14ac:dyDescent="0.25"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111"/>
      <c r="AB474" s="111"/>
      <c r="AC474" s="111"/>
      <c r="AD474" s="111"/>
      <c r="AE474" s="111"/>
      <c r="AF474" s="111"/>
      <c r="AG474" s="111"/>
      <c r="AH474" s="111"/>
      <c r="AI474" s="111"/>
      <c r="AJ474" s="111"/>
      <c r="AK474" s="111"/>
      <c r="AL474" s="111"/>
      <c r="AM474" s="111"/>
      <c r="AN474" s="111"/>
      <c r="AO474" s="111"/>
      <c r="AP474" s="111"/>
      <c r="AQ474" s="111"/>
      <c r="AR474" s="111"/>
      <c r="AS474" s="111"/>
      <c r="AT474" s="111"/>
      <c r="AX474" s="111"/>
      <c r="AY474" s="111"/>
      <c r="AZ474" s="111"/>
      <c r="BA474" s="111"/>
      <c r="BB474" s="111"/>
      <c r="BC474" s="111"/>
      <c r="BD474" s="111"/>
      <c r="BE474" s="111"/>
      <c r="BF474" s="111"/>
      <c r="BG474" s="111"/>
      <c r="BI474" s="111"/>
      <c r="BJ474" s="111"/>
      <c r="BK474" s="111"/>
      <c r="BL474" s="111"/>
      <c r="BM474" s="111"/>
      <c r="BN474" s="111"/>
      <c r="BO474" s="111"/>
      <c r="BP474" s="111"/>
      <c r="BQ474" s="111"/>
      <c r="BS474" s="111"/>
      <c r="BT474" s="111"/>
      <c r="BU474" s="111"/>
      <c r="BV474" s="111"/>
    </row>
    <row r="475" spans="17:74" x14ac:dyDescent="0.25"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111"/>
      <c r="AB475" s="111"/>
      <c r="AC475" s="111"/>
      <c r="AD475" s="111"/>
      <c r="AE475" s="111"/>
      <c r="AF475" s="111"/>
      <c r="AG475" s="111"/>
      <c r="AH475" s="111"/>
      <c r="AI475" s="111"/>
      <c r="AJ475" s="111"/>
      <c r="AK475" s="111"/>
      <c r="AL475" s="111"/>
      <c r="AM475" s="111"/>
      <c r="AN475" s="111"/>
      <c r="AO475" s="111"/>
      <c r="AP475" s="111"/>
      <c r="AQ475" s="111"/>
      <c r="AR475" s="111"/>
      <c r="AS475" s="111"/>
      <c r="AT475" s="111"/>
      <c r="AX475" s="111"/>
      <c r="AY475" s="111"/>
      <c r="AZ475" s="111"/>
      <c r="BA475" s="111"/>
      <c r="BB475" s="111"/>
      <c r="BC475" s="111"/>
      <c r="BD475" s="111"/>
      <c r="BE475" s="111"/>
      <c r="BF475" s="111"/>
      <c r="BG475" s="111"/>
      <c r="BI475" s="111"/>
      <c r="BJ475" s="111"/>
      <c r="BK475" s="111"/>
      <c r="BL475" s="111"/>
      <c r="BM475" s="111"/>
      <c r="BN475" s="111"/>
      <c r="BO475" s="111"/>
      <c r="BP475" s="111"/>
      <c r="BQ475" s="111"/>
      <c r="BS475" s="111"/>
      <c r="BT475" s="111"/>
      <c r="BU475" s="111"/>
      <c r="BV475" s="111"/>
    </row>
    <row r="476" spans="17:74" x14ac:dyDescent="0.25"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111"/>
      <c r="AB476" s="111"/>
      <c r="AC476" s="111"/>
      <c r="AD476" s="111"/>
      <c r="AE476" s="111"/>
      <c r="AF476" s="111"/>
      <c r="AG476" s="111"/>
      <c r="AH476" s="111"/>
      <c r="AI476" s="111"/>
      <c r="AJ476" s="111"/>
      <c r="AK476" s="111"/>
      <c r="AL476" s="111"/>
      <c r="AM476" s="111"/>
      <c r="AN476" s="111"/>
      <c r="AO476" s="111"/>
      <c r="AP476" s="111"/>
      <c r="AQ476" s="111"/>
      <c r="AR476" s="111"/>
      <c r="AS476" s="111"/>
      <c r="AT476" s="111"/>
      <c r="AX476" s="111"/>
      <c r="AY476" s="111"/>
      <c r="AZ476" s="111"/>
      <c r="BA476" s="111"/>
      <c r="BB476" s="111"/>
      <c r="BC476" s="111"/>
      <c r="BD476" s="111"/>
      <c r="BE476" s="111"/>
      <c r="BF476" s="111"/>
      <c r="BG476" s="111"/>
      <c r="BI476" s="111"/>
      <c r="BJ476" s="111"/>
      <c r="BK476" s="111"/>
      <c r="BL476" s="111"/>
      <c r="BM476" s="111"/>
      <c r="BN476" s="111"/>
      <c r="BO476" s="111"/>
      <c r="BP476" s="111"/>
      <c r="BQ476" s="111"/>
      <c r="BS476" s="111"/>
      <c r="BT476" s="111"/>
      <c r="BU476" s="111"/>
      <c r="BV476" s="111"/>
    </row>
    <row r="477" spans="17:74" x14ac:dyDescent="0.25"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111"/>
      <c r="AB477" s="111"/>
      <c r="AC477" s="111"/>
      <c r="AD477" s="111"/>
      <c r="AE477" s="111"/>
      <c r="AF477" s="111"/>
      <c r="AG477" s="111"/>
      <c r="AH477" s="111"/>
      <c r="AI477" s="111"/>
      <c r="AJ477" s="111"/>
      <c r="AK477" s="111"/>
      <c r="AL477" s="111"/>
      <c r="AM477" s="111"/>
      <c r="AN477" s="111"/>
      <c r="AO477" s="111"/>
      <c r="AP477" s="111"/>
      <c r="AQ477" s="111"/>
      <c r="AR477" s="111"/>
      <c r="AS477" s="111"/>
      <c r="AT477" s="111"/>
      <c r="AX477" s="111"/>
      <c r="AY477" s="111"/>
      <c r="AZ477" s="111"/>
      <c r="BA477" s="111"/>
      <c r="BB477" s="111"/>
      <c r="BC477" s="111"/>
      <c r="BD477" s="111"/>
      <c r="BE477" s="111"/>
      <c r="BF477" s="111"/>
      <c r="BG477" s="111"/>
      <c r="BI477" s="111"/>
      <c r="BJ477" s="111"/>
      <c r="BK477" s="111"/>
      <c r="BL477" s="111"/>
      <c r="BM477" s="111"/>
      <c r="BN477" s="111"/>
      <c r="BO477" s="111"/>
      <c r="BP477" s="111"/>
      <c r="BQ477" s="111"/>
      <c r="BS477" s="111"/>
      <c r="BT477" s="111"/>
      <c r="BU477" s="111"/>
      <c r="BV477" s="111"/>
    </row>
    <row r="478" spans="17:74" x14ac:dyDescent="0.25"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111"/>
      <c r="AB478" s="111"/>
      <c r="AC478" s="111"/>
      <c r="AD478" s="111"/>
      <c r="AE478" s="111"/>
      <c r="AF478" s="111"/>
      <c r="AG478" s="111"/>
      <c r="AH478" s="111"/>
      <c r="AI478" s="111"/>
      <c r="AJ478" s="111"/>
      <c r="AK478" s="111"/>
      <c r="AL478" s="111"/>
      <c r="AM478" s="111"/>
      <c r="AN478" s="111"/>
      <c r="AO478" s="111"/>
      <c r="AP478" s="111"/>
      <c r="AQ478" s="111"/>
      <c r="AR478" s="111"/>
      <c r="AS478" s="111"/>
      <c r="AT478" s="111"/>
      <c r="AX478" s="111"/>
      <c r="AY478" s="111"/>
      <c r="AZ478" s="111"/>
      <c r="BA478" s="111"/>
      <c r="BB478" s="111"/>
      <c r="BC478" s="111"/>
      <c r="BD478" s="111"/>
      <c r="BE478" s="111"/>
      <c r="BF478" s="111"/>
      <c r="BG478" s="111"/>
      <c r="BI478" s="111"/>
      <c r="BJ478" s="111"/>
      <c r="BK478" s="111"/>
      <c r="BL478" s="111"/>
      <c r="BM478" s="111"/>
      <c r="BN478" s="111"/>
      <c r="BO478" s="111"/>
      <c r="BP478" s="111"/>
      <c r="BQ478" s="111"/>
      <c r="BS478" s="111"/>
      <c r="BT478" s="111"/>
      <c r="BU478" s="111"/>
      <c r="BV478" s="111"/>
    </row>
    <row r="479" spans="17:74" x14ac:dyDescent="0.25"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111"/>
      <c r="AB479" s="111"/>
      <c r="AC479" s="111"/>
      <c r="AD479" s="111"/>
      <c r="AE479" s="111"/>
      <c r="AF479" s="111"/>
      <c r="AG479" s="111"/>
      <c r="AH479" s="111"/>
      <c r="AI479" s="111"/>
      <c r="AJ479" s="111"/>
      <c r="AK479" s="111"/>
      <c r="AL479" s="111"/>
      <c r="AM479" s="111"/>
      <c r="AN479" s="111"/>
      <c r="AO479" s="111"/>
      <c r="AP479" s="111"/>
      <c r="AQ479" s="111"/>
      <c r="AR479" s="111"/>
      <c r="AS479" s="111"/>
      <c r="AT479" s="111"/>
      <c r="AX479" s="111"/>
      <c r="AY479" s="111"/>
      <c r="AZ479" s="111"/>
      <c r="BA479" s="111"/>
      <c r="BB479" s="111"/>
      <c r="BC479" s="111"/>
      <c r="BD479" s="111"/>
      <c r="BE479" s="111"/>
      <c r="BF479" s="111"/>
      <c r="BG479" s="111"/>
      <c r="BI479" s="111"/>
      <c r="BJ479" s="111"/>
      <c r="BK479" s="111"/>
      <c r="BL479" s="111"/>
      <c r="BM479" s="111"/>
      <c r="BN479" s="111"/>
      <c r="BO479" s="111"/>
      <c r="BP479" s="111"/>
      <c r="BQ479" s="111"/>
      <c r="BS479" s="111"/>
      <c r="BT479" s="111"/>
      <c r="BU479" s="111"/>
      <c r="BV479" s="111"/>
    </row>
    <row r="480" spans="17:74" x14ac:dyDescent="0.25"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111"/>
      <c r="AB480" s="111"/>
      <c r="AC480" s="111"/>
      <c r="AD480" s="111"/>
      <c r="AE480" s="111"/>
      <c r="AF480" s="111"/>
      <c r="AG480" s="111"/>
      <c r="AH480" s="111"/>
      <c r="AI480" s="111"/>
      <c r="AJ480" s="111"/>
      <c r="AK480" s="111"/>
      <c r="AL480" s="111"/>
      <c r="AM480" s="111"/>
      <c r="AN480" s="111"/>
      <c r="AO480" s="111"/>
      <c r="AP480" s="111"/>
      <c r="AQ480" s="111"/>
      <c r="AR480" s="111"/>
      <c r="AS480" s="111"/>
      <c r="AT480" s="111"/>
      <c r="AX480" s="111"/>
      <c r="AY480" s="111"/>
      <c r="AZ480" s="111"/>
      <c r="BA480" s="111"/>
      <c r="BB480" s="111"/>
      <c r="BC480" s="111"/>
      <c r="BD480" s="111"/>
      <c r="BE480" s="111"/>
      <c r="BF480" s="111"/>
      <c r="BG480" s="111"/>
      <c r="BI480" s="111"/>
      <c r="BJ480" s="111"/>
      <c r="BK480" s="111"/>
      <c r="BL480" s="111"/>
      <c r="BM480" s="111"/>
      <c r="BN480" s="111"/>
      <c r="BO480" s="111"/>
      <c r="BP480" s="111"/>
      <c r="BQ480" s="111"/>
      <c r="BS480" s="111"/>
      <c r="BT480" s="111"/>
      <c r="BU480" s="111"/>
      <c r="BV480" s="111"/>
    </row>
    <row r="481" spans="17:74" x14ac:dyDescent="0.25"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111"/>
      <c r="AB481" s="111"/>
      <c r="AC481" s="111"/>
      <c r="AD481" s="111"/>
      <c r="AE481" s="111"/>
      <c r="AF481" s="111"/>
      <c r="AG481" s="111"/>
      <c r="AH481" s="111"/>
      <c r="AI481" s="111"/>
      <c r="AJ481" s="111"/>
      <c r="AK481" s="111"/>
      <c r="AL481" s="111"/>
      <c r="AM481" s="111"/>
      <c r="AN481" s="111"/>
      <c r="AO481" s="111"/>
      <c r="AP481" s="111"/>
      <c r="AQ481" s="111"/>
      <c r="AR481" s="111"/>
      <c r="AS481" s="111"/>
      <c r="AT481" s="111"/>
      <c r="AX481" s="111"/>
      <c r="AY481" s="111"/>
      <c r="AZ481" s="111"/>
      <c r="BA481" s="111"/>
      <c r="BB481" s="111"/>
      <c r="BC481" s="111"/>
      <c r="BD481" s="111"/>
      <c r="BE481" s="111"/>
      <c r="BF481" s="111"/>
      <c r="BG481" s="111"/>
      <c r="BI481" s="111"/>
      <c r="BJ481" s="111"/>
      <c r="BK481" s="111"/>
      <c r="BL481" s="111"/>
      <c r="BM481" s="111"/>
      <c r="BN481" s="111"/>
      <c r="BO481" s="111"/>
      <c r="BP481" s="111"/>
      <c r="BQ481" s="111"/>
      <c r="BS481" s="111"/>
      <c r="BT481" s="111"/>
      <c r="BU481" s="111"/>
      <c r="BV481" s="111"/>
    </row>
    <row r="482" spans="17:74" x14ac:dyDescent="0.25"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111"/>
      <c r="AB482" s="111"/>
      <c r="AC482" s="111"/>
      <c r="AD482" s="111"/>
      <c r="AE482" s="111"/>
      <c r="AF482" s="111"/>
      <c r="AG482" s="111"/>
      <c r="AH482" s="111"/>
      <c r="AI482" s="111"/>
      <c r="AJ482" s="111"/>
      <c r="AK482" s="111"/>
      <c r="AL482" s="111"/>
      <c r="AM482" s="111"/>
      <c r="AN482" s="111"/>
      <c r="AO482" s="111"/>
      <c r="AP482" s="111"/>
      <c r="AQ482" s="111"/>
      <c r="AR482" s="111"/>
      <c r="AS482" s="111"/>
      <c r="AT482" s="111"/>
      <c r="AX482" s="111"/>
      <c r="AY482" s="111"/>
      <c r="AZ482" s="111"/>
      <c r="BA482" s="111"/>
      <c r="BB482" s="111"/>
      <c r="BC482" s="111"/>
      <c r="BD482" s="111"/>
      <c r="BE482" s="111"/>
      <c r="BF482" s="111"/>
      <c r="BG482" s="111"/>
      <c r="BI482" s="111"/>
      <c r="BJ482" s="111"/>
      <c r="BK482" s="111"/>
      <c r="BL482" s="111"/>
      <c r="BM482" s="111"/>
      <c r="BN482" s="111"/>
      <c r="BO482" s="111"/>
      <c r="BP482" s="111"/>
      <c r="BQ482" s="111"/>
      <c r="BS482" s="111"/>
      <c r="BT482" s="111"/>
      <c r="BU482" s="111"/>
      <c r="BV482" s="111"/>
    </row>
    <row r="483" spans="17:74" x14ac:dyDescent="0.25"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111"/>
      <c r="AB483" s="111"/>
      <c r="AC483" s="111"/>
      <c r="AD483" s="111"/>
      <c r="AE483" s="111"/>
      <c r="AF483" s="111"/>
      <c r="AG483" s="111"/>
      <c r="AH483" s="111"/>
      <c r="AI483" s="111"/>
      <c r="AJ483" s="111"/>
      <c r="AK483" s="111"/>
      <c r="AL483" s="111"/>
      <c r="AM483" s="111"/>
      <c r="AN483" s="111"/>
      <c r="AO483" s="111"/>
      <c r="AP483" s="111"/>
      <c r="AQ483" s="111"/>
      <c r="AR483" s="111"/>
      <c r="AS483" s="111"/>
      <c r="AT483" s="111"/>
      <c r="AX483" s="111"/>
      <c r="AY483" s="111"/>
      <c r="AZ483" s="111"/>
      <c r="BA483" s="111"/>
      <c r="BB483" s="111"/>
      <c r="BC483" s="111"/>
      <c r="BD483" s="111"/>
      <c r="BE483" s="111"/>
      <c r="BF483" s="111"/>
      <c r="BG483" s="111"/>
      <c r="BI483" s="111"/>
      <c r="BJ483" s="111"/>
      <c r="BK483" s="111"/>
      <c r="BL483" s="111"/>
      <c r="BM483" s="111"/>
      <c r="BN483" s="111"/>
      <c r="BO483" s="111"/>
      <c r="BP483" s="111"/>
      <c r="BQ483" s="111"/>
      <c r="BS483" s="111"/>
      <c r="BT483" s="111"/>
      <c r="BU483" s="111"/>
      <c r="BV483" s="111"/>
    </row>
    <row r="484" spans="17:74" x14ac:dyDescent="0.25"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111"/>
      <c r="AB484" s="111"/>
      <c r="AC484" s="111"/>
      <c r="AD484" s="111"/>
      <c r="AE484" s="111"/>
      <c r="AF484" s="111"/>
      <c r="AG484" s="111"/>
      <c r="AH484" s="111"/>
      <c r="AI484" s="111"/>
      <c r="AJ484" s="111"/>
      <c r="AK484" s="111"/>
      <c r="AL484" s="111"/>
      <c r="AM484" s="111"/>
      <c r="AN484" s="111"/>
      <c r="AO484" s="111"/>
      <c r="AP484" s="111"/>
      <c r="AQ484" s="111"/>
      <c r="AR484" s="111"/>
      <c r="AS484" s="111"/>
      <c r="AT484" s="111"/>
      <c r="AX484" s="111"/>
      <c r="AY484" s="111"/>
      <c r="AZ484" s="111"/>
      <c r="BA484" s="111"/>
      <c r="BB484" s="111"/>
      <c r="BC484" s="111"/>
      <c r="BD484" s="111"/>
      <c r="BE484" s="111"/>
      <c r="BF484" s="111"/>
      <c r="BG484" s="111"/>
      <c r="BI484" s="111"/>
      <c r="BJ484" s="111"/>
      <c r="BK484" s="111"/>
      <c r="BL484" s="111"/>
      <c r="BM484" s="111"/>
      <c r="BN484" s="111"/>
      <c r="BO484" s="111"/>
      <c r="BP484" s="111"/>
      <c r="BQ484" s="111"/>
      <c r="BS484" s="111"/>
      <c r="BT484" s="111"/>
      <c r="BU484" s="111"/>
      <c r="BV484" s="111"/>
    </row>
    <row r="485" spans="17:74" x14ac:dyDescent="0.25"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111"/>
      <c r="AB485" s="111"/>
      <c r="AC485" s="111"/>
      <c r="AD485" s="111"/>
      <c r="AE485" s="111"/>
      <c r="AF485" s="111"/>
      <c r="AG485" s="111"/>
      <c r="AH485" s="111"/>
      <c r="AI485" s="111"/>
      <c r="AJ485" s="111"/>
      <c r="AK485" s="111"/>
      <c r="AL485" s="111"/>
      <c r="AM485" s="111"/>
      <c r="AN485" s="111"/>
      <c r="AO485" s="111"/>
      <c r="AP485" s="111"/>
      <c r="AQ485" s="111"/>
      <c r="AR485" s="111"/>
      <c r="AS485" s="111"/>
      <c r="AT485" s="111"/>
      <c r="AX485" s="111"/>
      <c r="AY485" s="111"/>
      <c r="AZ485" s="111"/>
      <c r="BA485" s="111"/>
      <c r="BB485" s="111"/>
      <c r="BC485" s="111"/>
      <c r="BD485" s="111"/>
      <c r="BE485" s="111"/>
      <c r="BF485" s="111"/>
      <c r="BG485" s="111"/>
      <c r="BI485" s="111"/>
      <c r="BJ485" s="111"/>
      <c r="BK485" s="111"/>
      <c r="BL485" s="111"/>
      <c r="BM485" s="111"/>
      <c r="BN485" s="111"/>
      <c r="BO485" s="111"/>
      <c r="BP485" s="111"/>
      <c r="BQ485" s="111"/>
      <c r="BS485" s="111"/>
      <c r="BT485" s="111"/>
      <c r="BU485" s="111"/>
      <c r="BV485" s="111"/>
    </row>
    <row r="486" spans="17:74" x14ac:dyDescent="0.25"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111"/>
      <c r="AB486" s="111"/>
      <c r="AC486" s="111"/>
      <c r="AD486" s="111"/>
      <c r="AE486" s="111"/>
      <c r="AF486" s="111"/>
      <c r="AG486" s="111"/>
      <c r="AH486" s="111"/>
      <c r="AI486" s="111"/>
      <c r="AJ486" s="111"/>
      <c r="AK486" s="111"/>
      <c r="AL486" s="111"/>
      <c r="AM486" s="111"/>
      <c r="AN486" s="111"/>
      <c r="AO486" s="111"/>
      <c r="AP486" s="111"/>
      <c r="AQ486" s="111"/>
      <c r="AR486" s="111"/>
      <c r="AS486" s="111"/>
      <c r="AT486" s="111"/>
      <c r="AX486" s="111"/>
      <c r="AY486" s="111"/>
      <c r="AZ486" s="111"/>
      <c r="BA486" s="111"/>
      <c r="BB486" s="111"/>
      <c r="BC486" s="111"/>
      <c r="BD486" s="111"/>
      <c r="BE486" s="111"/>
      <c r="BF486" s="111"/>
      <c r="BG486" s="111"/>
      <c r="BI486" s="111"/>
      <c r="BJ486" s="111"/>
      <c r="BK486" s="111"/>
      <c r="BL486" s="111"/>
      <c r="BM486" s="111"/>
      <c r="BN486" s="111"/>
      <c r="BO486" s="111"/>
      <c r="BP486" s="111"/>
      <c r="BQ486" s="111"/>
      <c r="BS486" s="111"/>
      <c r="BT486" s="111"/>
      <c r="BU486" s="111"/>
      <c r="BV486" s="111"/>
    </row>
    <row r="487" spans="17:74" x14ac:dyDescent="0.25"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111"/>
      <c r="AB487" s="111"/>
      <c r="AC487" s="111"/>
      <c r="AD487" s="111"/>
      <c r="AE487" s="111"/>
      <c r="AF487" s="111"/>
      <c r="AG487" s="111"/>
      <c r="AH487" s="111"/>
      <c r="AI487" s="111"/>
      <c r="AJ487" s="111"/>
      <c r="AK487" s="111"/>
      <c r="AL487" s="111"/>
      <c r="AM487" s="111"/>
      <c r="AN487" s="111"/>
      <c r="AO487" s="111"/>
      <c r="AP487" s="111"/>
      <c r="AQ487" s="111"/>
      <c r="AR487" s="111"/>
      <c r="AS487" s="111"/>
      <c r="AT487" s="111"/>
      <c r="AX487" s="111"/>
      <c r="AY487" s="111"/>
      <c r="AZ487" s="111"/>
      <c r="BA487" s="111"/>
      <c r="BB487" s="111"/>
      <c r="BC487" s="111"/>
      <c r="BD487" s="111"/>
      <c r="BE487" s="111"/>
      <c r="BF487" s="111"/>
      <c r="BG487" s="111"/>
      <c r="BI487" s="111"/>
      <c r="BJ487" s="111"/>
      <c r="BK487" s="111"/>
      <c r="BL487" s="111"/>
      <c r="BM487" s="111"/>
      <c r="BN487" s="111"/>
      <c r="BO487" s="111"/>
      <c r="BP487" s="111"/>
      <c r="BQ487" s="111"/>
      <c r="BS487" s="111"/>
      <c r="BT487" s="111"/>
      <c r="BU487" s="111"/>
      <c r="BV487" s="111"/>
    </row>
    <row r="488" spans="17:74" x14ac:dyDescent="0.25"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111"/>
      <c r="AB488" s="111"/>
      <c r="AC488" s="111"/>
      <c r="AD488" s="111"/>
      <c r="AE488" s="111"/>
      <c r="AF488" s="111"/>
      <c r="AG488" s="111"/>
      <c r="AH488" s="111"/>
      <c r="AI488" s="111"/>
      <c r="AJ488" s="111"/>
      <c r="AK488" s="111"/>
      <c r="AL488" s="111"/>
      <c r="AM488" s="111"/>
      <c r="AN488" s="111"/>
      <c r="AO488" s="111"/>
      <c r="AP488" s="111"/>
      <c r="AQ488" s="111"/>
      <c r="AR488" s="111"/>
      <c r="AS488" s="111"/>
      <c r="AT488" s="111"/>
      <c r="AX488" s="111"/>
      <c r="AY488" s="111"/>
      <c r="AZ488" s="111"/>
      <c r="BA488" s="111"/>
      <c r="BB488" s="111"/>
      <c r="BC488" s="111"/>
      <c r="BD488" s="111"/>
      <c r="BE488" s="111"/>
      <c r="BF488" s="111"/>
      <c r="BG488" s="111"/>
      <c r="BI488" s="111"/>
      <c r="BJ488" s="111"/>
      <c r="BK488" s="111"/>
      <c r="BL488" s="111"/>
      <c r="BM488" s="111"/>
      <c r="BN488" s="111"/>
      <c r="BO488" s="111"/>
      <c r="BP488" s="111"/>
      <c r="BQ488" s="111"/>
      <c r="BS488" s="111"/>
      <c r="BT488" s="111"/>
      <c r="BU488" s="111"/>
      <c r="BV488" s="111"/>
    </row>
    <row r="489" spans="17:74" x14ac:dyDescent="0.25"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111"/>
      <c r="AB489" s="111"/>
      <c r="AC489" s="111"/>
      <c r="AD489" s="111"/>
      <c r="AE489" s="111"/>
      <c r="AF489" s="111"/>
      <c r="AG489" s="111"/>
      <c r="AH489" s="111"/>
      <c r="AI489" s="111"/>
      <c r="AJ489" s="111"/>
      <c r="AK489" s="111"/>
      <c r="AL489" s="111"/>
      <c r="AM489" s="111"/>
      <c r="AN489" s="111"/>
      <c r="AO489" s="111"/>
      <c r="AP489" s="111"/>
      <c r="AQ489" s="111"/>
      <c r="AR489" s="111"/>
      <c r="AS489" s="111"/>
      <c r="AT489" s="111"/>
      <c r="AX489" s="111"/>
      <c r="AY489" s="111"/>
      <c r="AZ489" s="111"/>
      <c r="BA489" s="111"/>
      <c r="BB489" s="111"/>
      <c r="BC489" s="111"/>
      <c r="BD489" s="111"/>
      <c r="BE489" s="111"/>
      <c r="BF489" s="111"/>
      <c r="BG489" s="111"/>
      <c r="BI489" s="111"/>
      <c r="BJ489" s="111"/>
      <c r="BK489" s="111"/>
      <c r="BL489" s="111"/>
      <c r="BM489" s="111"/>
      <c r="BN489" s="111"/>
      <c r="BO489" s="111"/>
      <c r="BP489" s="111"/>
      <c r="BQ489" s="111"/>
      <c r="BS489" s="111"/>
      <c r="BT489" s="111"/>
      <c r="BU489" s="111"/>
      <c r="BV489" s="111"/>
    </row>
    <row r="490" spans="17:74" x14ac:dyDescent="0.25"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111"/>
      <c r="AB490" s="111"/>
      <c r="AC490" s="111"/>
      <c r="AD490" s="111"/>
      <c r="AE490" s="111"/>
      <c r="AF490" s="111"/>
      <c r="AG490" s="111"/>
      <c r="AH490" s="111"/>
      <c r="AI490" s="111"/>
      <c r="AJ490" s="111"/>
      <c r="AK490" s="111"/>
      <c r="AL490" s="111"/>
      <c r="AM490" s="111"/>
      <c r="AN490" s="111"/>
      <c r="AO490" s="111"/>
      <c r="AP490" s="111"/>
      <c r="AQ490" s="111"/>
      <c r="AR490" s="111"/>
      <c r="AS490" s="111"/>
      <c r="AT490" s="111"/>
      <c r="AX490" s="111"/>
      <c r="AY490" s="111"/>
      <c r="AZ490" s="111"/>
      <c r="BA490" s="111"/>
      <c r="BB490" s="111"/>
      <c r="BC490" s="111"/>
      <c r="BD490" s="111"/>
      <c r="BE490" s="111"/>
      <c r="BF490" s="111"/>
      <c r="BG490" s="111"/>
      <c r="BI490" s="111"/>
      <c r="BJ490" s="111"/>
      <c r="BK490" s="111"/>
      <c r="BL490" s="111"/>
      <c r="BM490" s="111"/>
      <c r="BN490" s="111"/>
      <c r="BO490" s="111"/>
      <c r="BP490" s="111"/>
      <c r="BQ490" s="111"/>
      <c r="BS490" s="111"/>
      <c r="BT490" s="111"/>
      <c r="BU490" s="111"/>
      <c r="BV490" s="111"/>
    </row>
    <row r="491" spans="17:74" x14ac:dyDescent="0.25"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111"/>
      <c r="AB491" s="111"/>
      <c r="AC491" s="111"/>
      <c r="AD491" s="111"/>
      <c r="AE491" s="111"/>
      <c r="AF491" s="111"/>
      <c r="AG491" s="111"/>
      <c r="AH491" s="111"/>
      <c r="AI491" s="111"/>
      <c r="AJ491" s="111"/>
      <c r="AK491" s="111"/>
      <c r="AL491" s="111"/>
      <c r="AM491" s="111"/>
      <c r="AN491" s="111"/>
      <c r="AO491" s="111"/>
      <c r="AP491" s="111"/>
      <c r="AQ491" s="111"/>
      <c r="AR491" s="111"/>
      <c r="AS491" s="111"/>
      <c r="AT491" s="111"/>
      <c r="AX491" s="111"/>
      <c r="AY491" s="111"/>
      <c r="AZ491" s="111"/>
      <c r="BA491" s="111"/>
      <c r="BB491" s="111"/>
      <c r="BC491" s="111"/>
      <c r="BD491" s="111"/>
      <c r="BE491" s="111"/>
      <c r="BF491" s="111"/>
      <c r="BG491" s="111"/>
      <c r="BI491" s="111"/>
      <c r="BJ491" s="111"/>
      <c r="BK491" s="111"/>
      <c r="BL491" s="111"/>
      <c r="BM491" s="111"/>
      <c r="BN491" s="111"/>
      <c r="BO491" s="111"/>
      <c r="BP491" s="111"/>
      <c r="BQ491" s="111"/>
      <c r="BS491" s="111"/>
      <c r="BT491" s="111"/>
      <c r="BU491" s="111"/>
      <c r="BV491" s="111"/>
    </row>
    <row r="492" spans="17:74" x14ac:dyDescent="0.25"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111"/>
      <c r="AB492" s="111"/>
      <c r="AC492" s="111"/>
      <c r="AD492" s="111"/>
      <c r="AE492" s="111"/>
      <c r="AF492" s="111"/>
      <c r="AG492" s="111"/>
      <c r="AH492" s="111"/>
      <c r="AI492" s="111"/>
      <c r="AJ492" s="111"/>
      <c r="AK492" s="111"/>
      <c r="AL492" s="111"/>
      <c r="AM492" s="111"/>
      <c r="AN492" s="111"/>
      <c r="AO492" s="111"/>
      <c r="AP492" s="111"/>
      <c r="AQ492" s="111"/>
      <c r="AR492" s="111"/>
      <c r="AS492" s="111"/>
      <c r="AT492" s="111"/>
      <c r="AX492" s="111"/>
      <c r="AY492" s="111"/>
      <c r="AZ492" s="111"/>
      <c r="BA492" s="111"/>
      <c r="BB492" s="111"/>
      <c r="BC492" s="111"/>
      <c r="BD492" s="111"/>
      <c r="BE492" s="111"/>
      <c r="BF492" s="111"/>
      <c r="BG492" s="111"/>
      <c r="BI492" s="111"/>
      <c r="BJ492" s="111"/>
      <c r="BK492" s="111"/>
      <c r="BL492" s="111"/>
      <c r="BM492" s="111"/>
      <c r="BN492" s="111"/>
      <c r="BO492" s="111"/>
      <c r="BP492" s="111"/>
      <c r="BQ492" s="111"/>
      <c r="BS492" s="111"/>
      <c r="BT492" s="111"/>
      <c r="BU492" s="111"/>
      <c r="BV492" s="111"/>
    </row>
    <row r="493" spans="17:74" x14ac:dyDescent="0.25"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111"/>
      <c r="AB493" s="111"/>
      <c r="AC493" s="111"/>
      <c r="AD493" s="111"/>
      <c r="AE493" s="111"/>
      <c r="AF493" s="111"/>
      <c r="AG493" s="111"/>
      <c r="AH493" s="111"/>
      <c r="AI493" s="111"/>
      <c r="AJ493" s="111"/>
      <c r="AK493" s="111"/>
      <c r="AL493" s="111"/>
      <c r="AM493" s="111"/>
      <c r="AN493" s="111"/>
      <c r="AO493" s="111"/>
      <c r="AP493" s="111"/>
      <c r="AQ493" s="111"/>
      <c r="AR493" s="111"/>
      <c r="AS493" s="111"/>
      <c r="AT493" s="111"/>
      <c r="AX493" s="111"/>
      <c r="AY493" s="111"/>
      <c r="AZ493" s="111"/>
      <c r="BA493" s="111"/>
      <c r="BB493" s="111"/>
      <c r="BC493" s="111"/>
      <c r="BD493" s="111"/>
      <c r="BE493" s="111"/>
      <c r="BF493" s="111"/>
      <c r="BG493" s="111"/>
      <c r="BI493" s="111"/>
      <c r="BJ493" s="111"/>
      <c r="BK493" s="111"/>
      <c r="BL493" s="111"/>
      <c r="BM493" s="111"/>
      <c r="BN493" s="111"/>
      <c r="BO493" s="111"/>
      <c r="BP493" s="111"/>
      <c r="BQ493" s="111"/>
      <c r="BS493" s="111"/>
      <c r="BT493" s="111"/>
      <c r="BU493" s="111"/>
      <c r="BV493" s="111"/>
    </row>
    <row r="494" spans="17:74" x14ac:dyDescent="0.25"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111"/>
      <c r="AB494" s="111"/>
      <c r="AC494" s="111"/>
      <c r="AD494" s="111"/>
      <c r="AE494" s="111"/>
      <c r="AF494" s="111"/>
      <c r="AG494" s="111"/>
      <c r="AH494" s="111"/>
      <c r="AI494" s="111"/>
      <c r="AJ494" s="111"/>
      <c r="AK494" s="111"/>
      <c r="AL494" s="111"/>
      <c r="AM494" s="111"/>
      <c r="AN494" s="111"/>
      <c r="AO494" s="111"/>
      <c r="AP494" s="111"/>
      <c r="AQ494" s="111"/>
      <c r="AR494" s="111"/>
      <c r="AS494" s="111"/>
      <c r="AT494" s="111"/>
      <c r="AX494" s="111"/>
      <c r="AY494" s="111"/>
      <c r="AZ494" s="111"/>
      <c r="BA494" s="111"/>
      <c r="BB494" s="111"/>
      <c r="BC494" s="111"/>
      <c r="BD494" s="111"/>
      <c r="BE494" s="111"/>
      <c r="BF494" s="111"/>
      <c r="BG494" s="111"/>
      <c r="BI494" s="111"/>
      <c r="BJ494" s="111"/>
      <c r="BK494" s="111"/>
      <c r="BL494" s="111"/>
      <c r="BM494" s="111"/>
      <c r="BN494" s="111"/>
      <c r="BO494" s="111"/>
      <c r="BP494" s="111"/>
      <c r="BQ494" s="111"/>
      <c r="BS494" s="111"/>
      <c r="BT494" s="111"/>
      <c r="BU494" s="111"/>
      <c r="BV494" s="111"/>
    </row>
    <row r="495" spans="17:74" x14ac:dyDescent="0.25"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111"/>
      <c r="AB495" s="111"/>
      <c r="AC495" s="111"/>
      <c r="AD495" s="111"/>
      <c r="AE495" s="111"/>
      <c r="AF495" s="111"/>
      <c r="AG495" s="111"/>
      <c r="AH495" s="111"/>
      <c r="AI495" s="111"/>
      <c r="AJ495" s="111"/>
      <c r="AK495" s="111"/>
      <c r="AL495" s="111"/>
      <c r="AM495" s="111"/>
      <c r="AN495" s="111"/>
      <c r="AO495" s="111"/>
      <c r="AP495" s="111"/>
      <c r="AQ495" s="111"/>
      <c r="AR495" s="111"/>
      <c r="AS495" s="111"/>
      <c r="AT495" s="111"/>
      <c r="AX495" s="111"/>
      <c r="AY495" s="111"/>
      <c r="AZ495" s="111"/>
      <c r="BA495" s="111"/>
      <c r="BB495" s="111"/>
      <c r="BC495" s="111"/>
      <c r="BD495" s="111"/>
      <c r="BE495" s="111"/>
      <c r="BF495" s="111"/>
      <c r="BG495" s="111"/>
      <c r="BI495" s="111"/>
      <c r="BJ495" s="111"/>
      <c r="BK495" s="111"/>
      <c r="BL495" s="111"/>
      <c r="BM495" s="111"/>
      <c r="BN495" s="111"/>
      <c r="BO495" s="111"/>
      <c r="BP495" s="111"/>
      <c r="BQ495" s="111"/>
      <c r="BS495" s="111"/>
      <c r="BT495" s="111"/>
      <c r="BU495" s="111"/>
      <c r="BV495" s="111"/>
    </row>
    <row r="496" spans="17:74" x14ac:dyDescent="0.25"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111"/>
      <c r="AB496" s="111"/>
      <c r="AC496" s="111"/>
      <c r="AD496" s="111"/>
      <c r="AE496" s="111"/>
      <c r="AF496" s="111"/>
      <c r="AG496" s="111"/>
      <c r="AH496" s="111"/>
      <c r="AI496" s="111"/>
      <c r="AJ496" s="111"/>
      <c r="AK496" s="111"/>
      <c r="AL496" s="111"/>
      <c r="AM496" s="111"/>
      <c r="AN496" s="111"/>
      <c r="AO496" s="111"/>
      <c r="AP496" s="111"/>
      <c r="AQ496" s="111"/>
      <c r="AR496" s="111"/>
      <c r="AS496" s="111"/>
      <c r="AT496" s="111"/>
      <c r="AX496" s="111"/>
      <c r="AY496" s="111"/>
      <c r="AZ496" s="111"/>
      <c r="BA496" s="111"/>
      <c r="BB496" s="111"/>
      <c r="BC496" s="111"/>
      <c r="BD496" s="111"/>
      <c r="BE496" s="111"/>
      <c r="BF496" s="111"/>
      <c r="BG496" s="111"/>
      <c r="BI496" s="111"/>
      <c r="BJ496" s="111"/>
      <c r="BK496" s="111"/>
      <c r="BL496" s="111"/>
      <c r="BM496" s="111"/>
      <c r="BN496" s="111"/>
      <c r="BO496" s="111"/>
      <c r="BP496" s="111"/>
      <c r="BQ496" s="111"/>
      <c r="BS496" s="111"/>
      <c r="BT496" s="111"/>
      <c r="BU496" s="111"/>
      <c r="BV496" s="111"/>
    </row>
    <row r="497" spans="17:74" x14ac:dyDescent="0.25"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111"/>
      <c r="AB497" s="111"/>
      <c r="AC497" s="111"/>
      <c r="AD497" s="111"/>
      <c r="AE497" s="111"/>
      <c r="AF497" s="111"/>
      <c r="AG497" s="111"/>
      <c r="AH497" s="111"/>
      <c r="AI497" s="111"/>
      <c r="AJ497" s="111"/>
      <c r="AK497" s="111"/>
      <c r="AL497" s="111"/>
      <c r="AM497" s="111"/>
      <c r="AN497" s="111"/>
      <c r="AO497" s="111"/>
      <c r="AP497" s="111"/>
      <c r="AQ497" s="111"/>
      <c r="AR497" s="111"/>
      <c r="AS497" s="111"/>
      <c r="AT497" s="111"/>
      <c r="AX497" s="111"/>
      <c r="AY497" s="111"/>
      <c r="AZ497" s="111"/>
      <c r="BA497" s="111"/>
      <c r="BB497" s="111"/>
      <c r="BC497" s="111"/>
      <c r="BD497" s="111"/>
      <c r="BE497" s="111"/>
      <c r="BF497" s="111"/>
      <c r="BG497" s="111"/>
      <c r="BI497" s="111"/>
      <c r="BJ497" s="111"/>
      <c r="BK497" s="111"/>
      <c r="BL497" s="111"/>
      <c r="BM497" s="111"/>
      <c r="BN497" s="111"/>
      <c r="BO497" s="111"/>
      <c r="BP497" s="111"/>
      <c r="BQ497" s="111"/>
      <c r="BS497" s="111"/>
      <c r="BT497" s="111"/>
      <c r="BU497" s="111"/>
      <c r="BV497" s="111"/>
    </row>
    <row r="498" spans="17:74" x14ac:dyDescent="0.25"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111"/>
      <c r="AB498" s="111"/>
      <c r="AC498" s="111"/>
      <c r="AD498" s="111"/>
      <c r="AE498" s="111"/>
      <c r="AF498" s="111"/>
      <c r="AG498" s="111"/>
      <c r="AH498" s="111"/>
      <c r="AI498" s="111"/>
      <c r="AJ498" s="111"/>
      <c r="AK498" s="111"/>
      <c r="AL498" s="111"/>
      <c r="AM498" s="111"/>
      <c r="AN498" s="111"/>
      <c r="AO498" s="111"/>
      <c r="AP498" s="111"/>
      <c r="AQ498" s="111"/>
      <c r="AR498" s="111"/>
      <c r="AS498" s="111"/>
      <c r="AT498" s="111"/>
      <c r="AX498" s="111"/>
      <c r="AY498" s="111"/>
      <c r="AZ498" s="111"/>
      <c r="BA498" s="111"/>
      <c r="BB498" s="111"/>
      <c r="BC498" s="111"/>
      <c r="BD498" s="111"/>
      <c r="BE498" s="111"/>
      <c r="BF498" s="111"/>
      <c r="BG498" s="111"/>
      <c r="BI498" s="111"/>
      <c r="BJ498" s="111"/>
      <c r="BK498" s="111"/>
      <c r="BL498" s="111"/>
      <c r="BM498" s="111"/>
      <c r="BN498" s="111"/>
      <c r="BO498" s="111"/>
      <c r="BP498" s="111"/>
      <c r="BQ498" s="111"/>
      <c r="BS498" s="111"/>
      <c r="BT498" s="111"/>
      <c r="BU498" s="111"/>
      <c r="BV498" s="111"/>
    </row>
    <row r="499" spans="17:74" x14ac:dyDescent="0.25"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111"/>
      <c r="AB499" s="111"/>
      <c r="AC499" s="111"/>
      <c r="AD499" s="111"/>
      <c r="AE499" s="111"/>
      <c r="AF499" s="111"/>
      <c r="AG499" s="111"/>
      <c r="AH499" s="111"/>
      <c r="AI499" s="111"/>
      <c r="AJ499" s="111"/>
      <c r="AK499" s="111"/>
      <c r="AL499" s="111"/>
      <c r="AM499" s="111"/>
      <c r="AN499" s="111"/>
      <c r="AO499" s="111"/>
      <c r="AP499" s="111"/>
      <c r="AQ499" s="111"/>
      <c r="AR499" s="111"/>
      <c r="AS499" s="111"/>
      <c r="AT499" s="111"/>
      <c r="AX499" s="111"/>
      <c r="AY499" s="111"/>
      <c r="AZ499" s="111"/>
      <c r="BA499" s="111"/>
      <c r="BB499" s="111"/>
      <c r="BC499" s="111"/>
      <c r="BD499" s="111"/>
      <c r="BE499" s="111"/>
      <c r="BF499" s="111"/>
      <c r="BG499" s="111"/>
      <c r="BI499" s="111"/>
      <c r="BJ499" s="111"/>
      <c r="BK499" s="111"/>
      <c r="BL499" s="111"/>
      <c r="BM499" s="111"/>
      <c r="BN499" s="111"/>
      <c r="BO499" s="111"/>
      <c r="BP499" s="111"/>
      <c r="BQ499" s="111"/>
      <c r="BS499" s="111"/>
      <c r="BT499" s="111"/>
      <c r="BU499" s="111"/>
      <c r="BV499" s="111"/>
    </row>
    <row r="500" spans="17:74" x14ac:dyDescent="0.25"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111"/>
      <c r="AB500" s="111"/>
      <c r="AC500" s="111"/>
      <c r="AD500" s="111"/>
      <c r="AE500" s="111"/>
      <c r="AF500" s="111"/>
      <c r="AG500" s="111"/>
      <c r="AH500" s="111"/>
      <c r="AI500" s="111"/>
      <c r="AJ500" s="111"/>
      <c r="AK500" s="111"/>
      <c r="AL500" s="111"/>
      <c r="AM500" s="111"/>
      <c r="AN500" s="111"/>
      <c r="AO500" s="111"/>
      <c r="AP500" s="111"/>
      <c r="AQ500" s="111"/>
      <c r="AR500" s="111"/>
      <c r="AS500" s="111"/>
      <c r="AT500" s="111"/>
      <c r="AX500" s="111"/>
      <c r="AY500" s="111"/>
      <c r="AZ500" s="111"/>
      <c r="BA500" s="111"/>
      <c r="BB500" s="111"/>
      <c r="BC500" s="111"/>
      <c r="BD500" s="111"/>
      <c r="BE500" s="111"/>
      <c r="BF500" s="111"/>
      <c r="BG500" s="111"/>
      <c r="BI500" s="111"/>
      <c r="BJ500" s="111"/>
      <c r="BK500" s="111"/>
      <c r="BL500" s="111"/>
      <c r="BM500" s="111"/>
      <c r="BN500" s="111"/>
      <c r="BO500" s="111"/>
      <c r="BP500" s="111"/>
      <c r="BQ500" s="111"/>
      <c r="BS500" s="111"/>
      <c r="BT500" s="111"/>
      <c r="BU500" s="111"/>
      <c r="BV500" s="111"/>
    </row>
    <row r="501" spans="17:74" x14ac:dyDescent="0.25"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111"/>
      <c r="AB501" s="111"/>
      <c r="AC501" s="111"/>
      <c r="AD501" s="111"/>
      <c r="AE501" s="111"/>
      <c r="AF501" s="111"/>
      <c r="AG501" s="111"/>
      <c r="AH501" s="111"/>
      <c r="AI501" s="111"/>
      <c r="AJ501" s="111"/>
      <c r="AK501" s="111"/>
      <c r="AL501" s="111"/>
      <c r="AM501" s="111"/>
      <c r="AN501" s="111"/>
      <c r="AO501" s="111"/>
      <c r="AP501" s="111"/>
      <c r="AQ501" s="111"/>
      <c r="AR501" s="111"/>
      <c r="AS501" s="111"/>
      <c r="AT501" s="111"/>
      <c r="AX501" s="111"/>
      <c r="AY501" s="111"/>
      <c r="AZ501" s="111"/>
      <c r="BA501" s="111"/>
      <c r="BB501" s="111"/>
      <c r="BC501" s="111"/>
      <c r="BD501" s="111"/>
      <c r="BE501" s="111"/>
      <c r="BF501" s="111"/>
      <c r="BG501" s="111"/>
      <c r="BI501" s="111"/>
      <c r="BJ501" s="111"/>
      <c r="BK501" s="111"/>
      <c r="BL501" s="111"/>
      <c r="BM501" s="111"/>
      <c r="BN501" s="111"/>
      <c r="BO501" s="111"/>
      <c r="BP501" s="111"/>
      <c r="BQ501" s="111"/>
      <c r="BS501" s="111"/>
      <c r="BT501" s="111"/>
      <c r="BU501" s="111"/>
      <c r="BV501" s="111"/>
    </row>
    <row r="502" spans="17:74" x14ac:dyDescent="0.25"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111"/>
      <c r="AB502" s="111"/>
      <c r="AC502" s="111"/>
      <c r="AD502" s="111"/>
      <c r="AE502" s="111"/>
      <c r="AF502" s="111"/>
      <c r="AG502" s="111"/>
      <c r="AH502" s="111"/>
      <c r="AI502" s="111"/>
      <c r="AJ502" s="111"/>
      <c r="AK502" s="111"/>
      <c r="AL502" s="111"/>
      <c r="AM502" s="111"/>
      <c r="AN502" s="111"/>
      <c r="AO502" s="111"/>
      <c r="AP502" s="111"/>
      <c r="AQ502" s="111"/>
      <c r="AR502" s="111"/>
      <c r="AS502" s="111"/>
      <c r="AT502" s="111"/>
      <c r="AX502" s="111"/>
      <c r="AY502" s="111"/>
      <c r="AZ502" s="111"/>
      <c r="BA502" s="111"/>
      <c r="BB502" s="111"/>
      <c r="BC502" s="111"/>
      <c r="BD502" s="111"/>
      <c r="BE502" s="111"/>
      <c r="BF502" s="111"/>
      <c r="BG502" s="111"/>
      <c r="BI502" s="111"/>
      <c r="BJ502" s="111"/>
      <c r="BK502" s="111"/>
      <c r="BL502" s="111"/>
      <c r="BM502" s="111"/>
      <c r="BN502" s="111"/>
      <c r="BO502" s="111"/>
      <c r="BP502" s="111"/>
      <c r="BQ502" s="111"/>
      <c r="BS502" s="111"/>
      <c r="BT502" s="111"/>
      <c r="BU502" s="111"/>
      <c r="BV502" s="111"/>
    </row>
    <row r="503" spans="17:74" x14ac:dyDescent="0.25"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111"/>
      <c r="AB503" s="111"/>
      <c r="AC503" s="111"/>
      <c r="AD503" s="111"/>
      <c r="AE503" s="111"/>
      <c r="AF503" s="111"/>
      <c r="AG503" s="111"/>
      <c r="AH503" s="111"/>
      <c r="AI503" s="111"/>
      <c r="AJ503" s="111"/>
      <c r="AK503" s="111"/>
      <c r="AL503" s="111"/>
      <c r="AM503" s="111"/>
      <c r="AN503" s="111"/>
      <c r="AO503" s="111"/>
      <c r="AP503" s="111"/>
      <c r="AQ503" s="111"/>
      <c r="AR503" s="111"/>
      <c r="AS503" s="111"/>
      <c r="AT503" s="111"/>
      <c r="AX503" s="111"/>
      <c r="AY503" s="111"/>
      <c r="AZ503" s="111"/>
      <c r="BA503" s="111"/>
      <c r="BB503" s="111"/>
      <c r="BC503" s="111"/>
      <c r="BD503" s="111"/>
      <c r="BE503" s="111"/>
      <c r="BF503" s="111"/>
      <c r="BG503" s="111"/>
      <c r="BI503" s="111"/>
      <c r="BJ503" s="111"/>
      <c r="BK503" s="111"/>
      <c r="BL503" s="111"/>
      <c r="BM503" s="111"/>
      <c r="BN503" s="111"/>
      <c r="BO503" s="111"/>
      <c r="BP503" s="111"/>
      <c r="BQ503" s="111"/>
      <c r="BS503" s="111"/>
      <c r="BT503" s="111"/>
      <c r="BU503" s="111"/>
      <c r="BV503" s="111"/>
    </row>
    <row r="504" spans="17:74" x14ac:dyDescent="0.25"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111"/>
      <c r="AB504" s="111"/>
      <c r="AC504" s="111"/>
      <c r="AD504" s="111"/>
      <c r="AE504" s="111"/>
      <c r="AF504" s="111"/>
      <c r="AG504" s="111"/>
      <c r="AH504" s="111"/>
      <c r="AI504" s="111"/>
      <c r="AJ504" s="111"/>
      <c r="AK504" s="111"/>
      <c r="AL504" s="111"/>
      <c r="AM504" s="111"/>
      <c r="AN504" s="111"/>
      <c r="AO504" s="111"/>
      <c r="AP504" s="111"/>
      <c r="AQ504" s="111"/>
      <c r="AR504" s="111"/>
      <c r="AS504" s="111"/>
      <c r="AT504" s="111"/>
      <c r="AX504" s="111"/>
      <c r="AY504" s="111"/>
      <c r="AZ504" s="111"/>
      <c r="BA504" s="111"/>
      <c r="BB504" s="111"/>
      <c r="BC504" s="111"/>
      <c r="BD504" s="111"/>
      <c r="BE504" s="111"/>
      <c r="BF504" s="111"/>
      <c r="BG504" s="111"/>
      <c r="BI504" s="111"/>
      <c r="BJ504" s="111"/>
      <c r="BK504" s="111"/>
      <c r="BL504" s="111"/>
      <c r="BM504" s="111"/>
      <c r="BN504" s="111"/>
      <c r="BO504" s="111"/>
      <c r="BP504" s="111"/>
      <c r="BQ504" s="111"/>
      <c r="BS504" s="111"/>
      <c r="BT504" s="111"/>
      <c r="BU504" s="111"/>
      <c r="BV504" s="111"/>
    </row>
    <row r="505" spans="17:74" x14ac:dyDescent="0.25"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111"/>
      <c r="AB505" s="111"/>
      <c r="AC505" s="111"/>
      <c r="AD505" s="111"/>
      <c r="AE505" s="111"/>
      <c r="AF505" s="111"/>
      <c r="AG505" s="111"/>
      <c r="AH505" s="111"/>
      <c r="AI505" s="111"/>
      <c r="AJ505" s="111"/>
      <c r="AK505" s="111"/>
      <c r="AL505" s="111"/>
      <c r="AM505" s="111"/>
      <c r="AN505" s="111"/>
      <c r="AO505" s="111"/>
      <c r="AP505" s="111"/>
      <c r="AQ505" s="111"/>
      <c r="AR505" s="111"/>
      <c r="AS505" s="111"/>
      <c r="AT505" s="111"/>
      <c r="AX505" s="111"/>
      <c r="AY505" s="111"/>
      <c r="AZ505" s="111"/>
      <c r="BA505" s="111"/>
      <c r="BB505" s="111"/>
      <c r="BC505" s="111"/>
      <c r="BD505" s="111"/>
      <c r="BE505" s="111"/>
      <c r="BF505" s="111"/>
      <c r="BG505" s="111"/>
      <c r="BI505" s="111"/>
      <c r="BJ505" s="111"/>
      <c r="BK505" s="111"/>
      <c r="BL505" s="111"/>
      <c r="BM505" s="111"/>
      <c r="BN505" s="111"/>
      <c r="BO505" s="111"/>
      <c r="BP505" s="111"/>
      <c r="BQ505" s="111"/>
      <c r="BS505" s="111"/>
      <c r="BT505" s="111"/>
      <c r="BU505" s="111"/>
      <c r="BV505" s="111"/>
    </row>
    <row r="506" spans="17:74" x14ac:dyDescent="0.25"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  <c r="AH506" s="111"/>
      <c r="AI506" s="111"/>
      <c r="AJ506" s="111"/>
      <c r="AK506" s="111"/>
      <c r="AL506" s="111"/>
      <c r="AM506" s="111"/>
      <c r="AN506" s="111"/>
      <c r="AO506" s="111"/>
      <c r="AP506" s="111"/>
      <c r="AQ506" s="111"/>
      <c r="AR506" s="111"/>
      <c r="AS506" s="111"/>
      <c r="AT506" s="111"/>
      <c r="AX506" s="111"/>
      <c r="AY506" s="111"/>
      <c r="AZ506" s="111"/>
      <c r="BA506" s="111"/>
      <c r="BB506" s="111"/>
      <c r="BC506" s="111"/>
      <c r="BD506" s="111"/>
      <c r="BE506" s="111"/>
      <c r="BF506" s="111"/>
      <c r="BG506" s="111"/>
      <c r="BI506" s="111"/>
      <c r="BJ506" s="111"/>
      <c r="BK506" s="111"/>
      <c r="BL506" s="111"/>
      <c r="BM506" s="111"/>
      <c r="BN506" s="111"/>
      <c r="BO506" s="111"/>
      <c r="BP506" s="111"/>
      <c r="BQ506" s="111"/>
      <c r="BS506" s="111"/>
      <c r="BT506" s="111"/>
      <c r="BU506" s="111"/>
      <c r="BV506" s="111"/>
    </row>
    <row r="507" spans="17:74" x14ac:dyDescent="0.25"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  <c r="AH507" s="111"/>
      <c r="AI507" s="111"/>
      <c r="AJ507" s="111"/>
      <c r="AK507" s="111"/>
      <c r="AL507" s="111"/>
      <c r="AM507" s="111"/>
      <c r="AN507" s="111"/>
      <c r="AO507" s="111"/>
      <c r="AP507" s="111"/>
      <c r="AQ507" s="111"/>
      <c r="AR507" s="111"/>
      <c r="AS507" s="111"/>
      <c r="AT507" s="111"/>
      <c r="AX507" s="111"/>
      <c r="AY507" s="111"/>
      <c r="AZ507" s="111"/>
      <c r="BA507" s="111"/>
      <c r="BB507" s="111"/>
      <c r="BC507" s="111"/>
      <c r="BD507" s="111"/>
      <c r="BE507" s="111"/>
      <c r="BF507" s="111"/>
      <c r="BG507" s="111"/>
      <c r="BI507" s="111"/>
      <c r="BJ507" s="111"/>
      <c r="BK507" s="111"/>
      <c r="BL507" s="111"/>
      <c r="BM507" s="111"/>
      <c r="BN507" s="111"/>
      <c r="BO507" s="111"/>
      <c r="BP507" s="111"/>
      <c r="BQ507" s="111"/>
      <c r="BS507" s="111"/>
      <c r="BT507" s="111"/>
      <c r="BU507" s="111"/>
      <c r="BV507" s="111"/>
    </row>
    <row r="508" spans="17:74" x14ac:dyDescent="0.25"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  <c r="AQ508" s="111"/>
      <c r="AR508" s="111"/>
      <c r="AS508" s="111"/>
      <c r="AT508" s="111"/>
      <c r="AX508" s="111"/>
      <c r="AY508" s="111"/>
      <c r="AZ508" s="111"/>
      <c r="BA508" s="111"/>
      <c r="BB508" s="111"/>
      <c r="BC508" s="111"/>
      <c r="BD508" s="111"/>
      <c r="BE508" s="111"/>
      <c r="BF508" s="111"/>
      <c r="BG508" s="111"/>
      <c r="BI508" s="111"/>
      <c r="BJ508" s="111"/>
      <c r="BK508" s="111"/>
      <c r="BL508" s="111"/>
      <c r="BM508" s="111"/>
      <c r="BN508" s="111"/>
      <c r="BO508" s="111"/>
      <c r="BP508" s="111"/>
      <c r="BQ508" s="111"/>
      <c r="BS508" s="111"/>
      <c r="BT508" s="111"/>
      <c r="BU508" s="111"/>
      <c r="BV508" s="111"/>
    </row>
    <row r="509" spans="17:74" x14ac:dyDescent="0.25"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  <c r="AQ509" s="111"/>
      <c r="AR509" s="111"/>
      <c r="AS509" s="111"/>
      <c r="AT509" s="111"/>
      <c r="AX509" s="111"/>
      <c r="AY509" s="111"/>
      <c r="AZ509" s="111"/>
      <c r="BA509" s="111"/>
      <c r="BB509" s="111"/>
      <c r="BC509" s="111"/>
      <c r="BD509" s="111"/>
      <c r="BE509" s="111"/>
      <c r="BF509" s="111"/>
      <c r="BG509" s="111"/>
      <c r="BI509" s="111"/>
      <c r="BJ509" s="111"/>
      <c r="BK509" s="111"/>
      <c r="BL509" s="111"/>
      <c r="BM509" s="111"/>
      <c r="BN509" s="111"/>
      <c r="BO509" s="111"/>
      <c r="BP509" s="111"/>
      <c r="BQ509" s="111"/>
      <c r="BS509" s="111"/>
      <c r="BT509" s="111"/>
      <c r="BU509" s="111"/>
      <c r="BV509" s="111"/>
    </row>
    <row r="510" spans="17:74" x14ac:dyDescent="0.25"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  <c r="AQ510" s="111"/>
      <c r="AR510" s="111"/>
      <c r="AS510" s="111"/>
      <c r="AT510" s="111"/>
      <c r="AX510" s="111"/>
      <c r="AY510" s="111"/>
      <c r="AZ510" s="111"/>
      <c r="BA510" s="111"/>
      <c r="BB510" s="111"/>
      <c r="BC510" s="111"/>
      <c r="BD510" s="111"/>
      <c r="BE510" s="111"/>
      <c r="BF510" s="111"/>
      <c r="BG510" s="111"/>
      <c r="BI510" s="111"/>
      <c r="BJ510" s="111"/>
      <c r="BK510" s="111"/>
      <c r="BL510" s="111"/>
      <c r="BM510" s="111"/>
      <c r="BN510" s="111"/>
      <c r="BO510" s="111"/>
      <c r="BP510" s="111"/>
      <c r="BQ510" s="111"/>
      <c r="BS510" s="111"/>
      <c r="BT510" s="111"/>
      <c r="BU510" s="111"/>
      <c r="BV510" s="111"/>
    </row>
    <row r="511" spans="17:74" x14ac:dyDescent="0.25"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  <c r="AQ511" s="111"/>
      <c r="AR511" s="111"/>
      <c r="AS511" s="111"/>
      <c r="AT511" s="111"/>
      <c r="AX511" s="111"/>
      <c r="AY511" s="111"/>
      <c r="AZ511" s="111"/>
      <c r="BA511" s="111"/>
      <c r="BB511" s="111"/>
      <c r="BC511" s="111"/>
      <c r="BD511" s="111"/>
      <c r="BE511" s="111"/>
      <c r="BF511" s="111"/>
      <c r="BG511" s="111"/>
      <c r="BI511" s="111"/>
      <c r="BJ511" s="111"/>
      <c r="BK511" s="111"/>
      <c r="BL511" s="111"/>
      <c r="BM511" s="111"/>
      <c r="BN511" s="111"/>
      <c r="BO511" s="111"/>
      <c r="BP511" s="111"/>
      <c r="BQ511" s="111"/>
      <c r="BS511" s="111"/>
      <c r="BT511" s="111"/>
      <c r="BU511" s="111"/>
      <c r="BV511" s="111"/>
    </row>
    <row r="512" spans="17:74" x14ac:dyDescent="0.25"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  <c r="AQ512" s="111"/>
      <c r="AR512" s="111"/>
      <c r="AS512" s="111"/>
      <c r="AT512" s="111"/>
      <c r="AX512" s="111"/>
      <c r="AY512" s="111"/>
      <c r="AZ512" s="111"/>
      <c r="BA512" s="111"/>
      <c r="BB512" s="111"/>
      <c r="BC512" s="111"/>
      <c r="BD512" s="111"/>
      <c r="BE512" s="111"/>
      <c r="BF512" s="111"/>
      <c r="BG512" s="111"/>
      <c r="BI512" s="111"/>
      <c r="BJ512" s="111"/>
      <c r="BK512" s="111"/>
      <c r="BL512" s="111"/>
      <c r="BM512" s="111"/>
      <c r="BN512" s="111"/>
      <c r="BO512" s="111"/>
      <c r="BP512" s="111"/>
      <c r="BQ512" s="111"/>
      <c r="BS512" s="111"/>
      <c r="BT512" s="111"/>
      <c r="BU512" s="111"/>
      <c r="BV512" s="111"/>
    </row>
    <row r="513" spans="17:74" x14ac:dyDescent="0.25"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  <c r="AH513" s="111"/>
      <c r="AI513" s="111"/>
      <c r="AJ513" s="111"/>
      <c r="AK513" s="111"/>
      <c r="AL513" s="111"/>
      <c r="AM513" s="111"/>
      <c r="AN513" s="111"/>
      <c r="AO513" s="111"/>
      <c r="AP513" s="111"/>
      <c r="AQ513" s="111"/>
      <c r="AR513" s="111"/>
      <c r="AS513" s="111"/>
      <c r="AT513" s="111"/>
      <c r="AX513" s="111"/>
      <c r="AY513" s="111"/>
      <c r="AZ513" s="111"/>
      <c r="BA513" s="111"/>
      <c r="BB513" s="111"/>
      <c r="BC513" s="111"/>
      <c r="BD513" s="111"/>
      <c r="BE513" s="111"/>
      <c r="BF513" s="111"/>
      <c r="BG513" s="111"/>
      <c r="BI513" s="111"/>
      <c r="BJ513" s="111"/>
      <c r="BK513" s="111"/>
      <c r="BL513" s="111"/>
      <c r="BM513" s="111"/>
      <c r="BN513" s="111"/>
      <c r="BO513" s="111"/>
      <c r="BP513" s="111"/>
      <c r="BQ513" s="111"/>
      <c r="BS513" s="111"/>
      <c r="BT513" s="111"/>
      <c r="BU513" s="111"/>
      <c r="BV513" s="111"/>
    </row>
    <row r="514" spans="17:74" x14ac:dyDescent="0.25"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  <c r="AH514" s="111"/>
      <c r="AI514" s="111"/>
      <c r="AJ514" s="111"/>
      <c r="AK514" s="111"/>
      <c r="AL514" s="111"/>
      <c r="AM514" s="111"/>
      <c r="AN514" s="111"/>
      <c r="AO514" s="111"/>
      <c r="AP514" s="111"/>
      <c r="AQ514" s="111"/>
      <c r="AR514" s="111"/>
      <c r="AS514" s="111"/>
      <c r="AT514" s="111"/>
      <c r="AX514" s="111"/>
      <c r="AY514" s="111"/>
      <c r="AZ514" s="111"/>
      <c r="BA514" s="111"/>
      <c r="BB514" s="111"/>
      <c r="BC514" s="111"/>
      <c r="BD514" s="111"/>
      <c r="BE514" s="111"/>
      <c r="BF514" s="111"/>
      <c r="BG514" s="111"/>
      <c r="BI514" s="111"/>
      <c r="BJ514" s="111"/>
      <c r="BK514" s="111"/>
      <c r="BL514" s="111"/>
      <c r="BM514" s="111"/>
      <c r="BN514" s="111"/>
      <c r="BO514" s="111"/>
      <c r="BP514" s="111"/>
      <c r="BQ514" s="111"/>
      <c r="BS514" s="111"/>
      <c r="BT514" s="111"/>
      <c r="BU514" s="111"/>
      <c r="BV514" s="111"/>
    </row>
    <row r="515" spans="17:74" x14ac:dyDescent="0.25"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111"/>
      <c r="AB515" s="111"/>
      <c r="AC515" s="111"/>
      <c r="AD515" s="111"/>
      <c r="AE515" s="111"/>
      <c r="AF515" s="111"/>
      <c r="AG515" s="111"/>
      <c r="AH515" s="111"/>
      <c r="AI515" s="111"/>
      <c r="AJ515" s="111"/>
      <c r="AK515" s="111"/>
      <c r="AL515" s="111"/>
      <c r="AM515" s="111"/>
      <c r="AN515" s="111"/>
      <c r="AO515" s="111"/>
      <c r="AP515" s="111"/>
      <c r="AQ515" s="111"/>
      <c r="AR515" s="111"/>
      <c r="AS515" s="111"/>
      <c r="AT515" s="111"/>
      <c r="AX515" s="111"/>
      <c r="AY515" s="111"/>
      <c r="AZ515" s="111"/>
      <c r="BA515" s="111"/>
      <c r="BB515" s="111"/>
      <c r="BC515" s="111"/>
      <c r="BD515" s="111"/>
      <c r="BE515" s="111"/>
      <c r="BF515" s="111"/>
      <c r="BG515" s="111"/>
      <c r="BI515" s="111"/>
      <c r="BJ515" s="111"/>
      <c r="BK515" s="111"/>
      <c r="BL515" s="111"/>
      <c r="BM515" s="111"/>
      <c r="BN515" s="111"/>
      <c r="BO515" s="111"/>
      <c r="BP515" s="111"/>
      <c r="BQ515" s="111"/>
      <c r="BS515" s="111"/>
      <c r="BT515" s="111"/>
      <c r="BU515" s="111"/>
      <c r="BV515" s="111"/>
    </row>
    <row r="516" spans="17:74" x14ac:dyDescent="0.25"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111"/>
      <c r="AB516" s="111"/>
      <c r="AC516" s="111"/>
      <c r="AD516" s="111"/>
      <c r="AE516" s="111"/>
      <c r="AF516" s="111"/>
      <c r="AG516" s="111"/>
      <c r="AH516" s="111"/>
      <c r="AI516" s="111"/>
      <c r="AJ516" s="111"/>
      <c r="AK516" s="111"/>
      <c r="AL516" s="111"/>
      <c r="AM516" s="111"/>
      <c r="AN516" s="111"/>
      <c r="AO516" s="111"/>
      <c r="AP516" s="111"/>
      <c r="AQ516" s="111"/>
      <c r="AR516" s="111"/>
      <c r="AS516" s="111"/>
      <c r="AT516" s="111"/>
      <c r="AX516" s="111"/>
      <c r="AY516" s="111"/>
      <c r="AZ516" s="111"/>
      <c r="BA516" s="111"/>
      <c r="BB516" s="111"/>
      <c r="BC516" s="111"/>
      <c r="BD516" s="111"/>
      <c r="BE516" s="111"/>
      <c r="BF516" s="111"/>
      <c r="BG516" s="111"/>
      <c r="BI516" s="111"/>
      <c r="BJ516" s="111"/>
      <c r="BK516" s="111"/>
      <c r="BL516" s="111"/>
      <c r="BM516" s="111"/>
      <c r="BN516" s="111"/>
      <c r="BO516" s="111"/>
      <c r="BP516" s="111"/>
      <c r="BQ516" s="111"/>
      <c r="BS516" s="111"/>
      <c r="BT516" s="111"/>
      <c r="BU516" s="111"/>
      <c r="BV516" s="111"/>
    </row>
    <row r="517" spans="17:74" x14ac:dyDescent="0.25"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111"/>
      <c r="AB517" s="111"/>
      <c r="AC517" s="111"/>
      <c r="AD517" s="111"/>
      <c r="AE517" s="111"/>
      <c r="AF517" s="111"/>
      <c r="AG517" s="111"/>
      <c r="AH517" s="111"/>
      <c r="AI517" s="111"/>
      <c r="AJ517" s="111"/>
      <c r="AK517" s="111"/>
      <c r="AL517" s="111"/>
      <c r="AM517" s="111"/>
      <c r="AN517" s="111"/>
      <c r="AO517" s="111"/>
      <c r="AP517" s="111"/>
      <c r="AQ517" s="111"/>
      <c r="AR517" s="111"/>
      <c r="AS517" s="111"/>
      <c r="AT517" s="111"/>
      <c r="AX517" s="111"/>
      <c r="AY517" s="111"/>
      <c r="AZ517" s="111"/>
      <c r="BA517" s="111"/>
      <c r="BB517" s="111"/>
      <c r="BC517" s="111"/>
      <c r="BD517" s="111"/>
      <c r="BE517" s="111"/>
      <c r="BF517" s="111"/>
      <c r="BG517" s="111"/>
      <c r="BI517" s="111"/>
      <c r="BJ517" s="111"/>
      <c r="BK517" s="111"/>
      <c r="BL517" s="111"/>
      <c r="BM517" s="111"/>
      <c r="BN517" s="111"/>
      <c r="BO517" s="111"/>
      <c r="BP517" s="111"/>
      <c r="BQ517" s="111"/>
      <c r="BS517" s="111"/>
      <c r="BT517" s="111"/>
      <c r="BU517" s="111"/>
      <c r="BV517" s="111"/>
    </row>
    <row r="518" spans="17:74" x14ac:dyDescent="0.25"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111"/>
      <c r="AB518" s="111"/>
      <c r="AC518" s="111"/>
      <c r="AD518" s="111"/>
      <c r="AE518" s="111"/>
      <c r="AF518" s="111"/>
      <c r="AG518" s="111"/>
      <c r="AH518" s="111"/>
      <c r="AI518" s="111"/>
      <c r="AJ518" s="111"/>
      <c r="AK518" s="111"/>
      <c r="AL518" s="111"/>
      <c r="AM518" s="111"/>
      <c r="AN518" s="111"/>
      <c r="AO518" s="111"/>
      <c r="AP518" s="111"/>
      <c r="AQ518" s="111"/>
      <c r="AR518" s="111"/>
      <c r="AS518" s="111"/>
      <c r="AT518" s="111"/>
      <c r="AX518" s="111"/>
      <c r="AY518" s="111"/>
      <c r="AZ518" s="111"/>
      <c r="BA518" s="111"/>
      <c r="BB518" s="111"/>
      <c r="BC518" s="111"/>
      <c r="BD518" s="111"/>
      <c r="BE518" s="111"/>
      <c r="BF518" s="111"/>
      <c r="BG518" s="111"/>
      <c r="BI518" s="111"/>
      <c r="BJ518" s="111"/>
      <c r="BK518" s="111"/>
      <c r="BL518" s="111"/>
      <c r="BM518" s="111"/>
      <c r="BN518" s="111"/>
      <c r="BO518" s="111"/>
      <c r="BP518" s="111"/>
      <c r="BQ518" s="111"/>
      <c r="BS518" s="111"/>
      <c r="BT518" s="111"/>
      <c r="BU518" s="111"/>
      <c r="BV518" s="111"/>
    </row>
    <row r="519" spans="17:74" x14ac:dyDescent="0.25"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111"/>
      <c r="AB519" s="111"/>
      <c r="AC519" s="111"/>
      <c r="AD519" s="111"/>
      <c r="AE519" s="111"/>
      <c r="AF519" s="111"/>
      <c r="AG519" s="111"/>
      <c r="AH519" s="111"/>
      <c r="AI519" s="111"/>
      <c r="AJ519" s="111"/>
      <c r="AK519" s="111"/>
      <c r="AL519" s="111"/>
      <c r="AM519" s="111"/>
      <c r="AN519" s="111"/>
      <c r="AO519" s="111"/>
      <c r="AP519" s="111"/>
      <c r="AQ519" s="111"/>
      <c r="AR519" s="111"/>
      <c r="AS519" s="111"/>
      <c r="AT519" s="111"/>
      <c r="AX519" s="111"/>
      <c r="AY519" s="111"/>
      <c r="AZ519" s="111"/>
      <c r="BA519" s="111"/>
      <c r="BB519" s="111"/>
      <c r="BC519" s="111"/>
      <c r="BD519" s="111"/>
      <c r="BE519" s="111"/>
      <c r="BF519" s="111"/>
      <c r="BG519" s="111"/>
      <c r="BI519" s="111"/>
      <c r="BJ519" s="111"/>
      <c r="BK519" s="111"/>
      <c r="BL519" s="111"/>
      <c r="BM519" s="111"/>
      <c r="BN519" s="111"/>
      <c r="BO519" s="111"/>
      <c r="BP519" s="111"/>
      <c r="BQ519" s="111"/>
      <c r="BS519" s="111"/>
      <c r="BT519" s="111"/>
      <c r="BU519" s="111"/>
      <c r="BV519" s="111"/>
    </row>
    <row r="520" spans="17:74" x14ac:dyDescent="0.25"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  <c r="AH520" s="111"/>
      <c r="AI520" s="111"/>
      <c r="AJ520" s="111"/>
      <c r="AK520" s="111"/>
      <c r="AL520" s="111"/>
      <c r="AM520" s="111"/>
      <c r="AN520" s="111"/>
      <c r="AO520" s="111"/>
      <c r="AP520" s="111"/>
      <c r="AQ520" s="111"/>
      <c r="AR520" s="111"/>
      <c r="AS520" s="111"/>
      <c r="AT520" s="111"/>
      <c r="AX520" s="111"/>
      <c r="AY520" s="111"/>
      <c r="AZ520" s="111"/>
      <c r="BA520" s="111"/>
      <c r="BB520" s="111"/>
      <c r="BC520" s="111"/>
      <c r="BD520" s="111"/>
      <c r="BE520" s="111"/>
      <c r="BF520" s="111"/>
      <c r="BG520" s="111"/>
      <c r="BI520" s="111"/>
      <c r="BJ520" s="111"/>
      <c r="BK520" s="111"/>
      <c r="BL520" s="111"/>
      <c r="BM520" s="111"/>
      <c r="BN520" s="111"/>
      <c r="BO520" s="111"/>
      <c r="BP520" s="111"/>
      <c r="BQ520" s="111"/>
      <c r="BS520" s="111"/>
      <c r="BT520" s="111"/>
      <c r="BU520" s="111"/>
      <c r="BV520" s="111"/>
    </row>
    <row r="521" spans="17:74" x14ac:dyDescent="0.25"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111"/>
      <c r="AB521" s="111"/>
      <c r="AC521" s="111"/>
      <c r="AD521" s="111"/>
      <c r="AE521" s="111"/>
      <c r="AF521" s="111"/>
      <c r="AG521" s="111"/>
      <c r="AH521" s="111"/>
      <c r="AI521" s="111"/>
      <c r="AJ521" s="111"/>
      <c r="AK521" s="111"/>
      <c r="AL521" s="111"/>
      <c r="AM521" s="111"/>
      <c r="AN521" s="111"/>
      <c r="AO521" s="111"/>
      <c r="AP521" s="111"/>
      <c r="AQ521" s="111"/>
      <c r="AR521" s="111"/>
      <c r="AS521" s="111"/>
      <c r="AT521" s="111"/>
      <c r="AX521" s="111"/>
      <c r="AY521" s="111"/>
      <c r="AZ521" s="111"/>
      <c r="BA521" s="111"/>
      <c r="BB521" s="111"/>
      <c r="BC521" s="111"/>
      <c r="BD521" s="111"/>
      <c r="BE521" s="111"/>
      <c r="BF521" s="111"/>
      <c r="BG521" s="111"/>
      <c r="BI521" s="111"/>
      <c r="BJ521" s="111"/>
      <c r="BK521" s="111"/>
      <c r="BL521" s="111"/>
      <c r="BM521" s="111"/>
      <c r="BN521" s="111"/>
      <c r="BO521" s="111"/>
      <c r="BP521" s="111"/>
      <c r="BQ521" s="111"/>
      <c r="BS521" s="111"/>
      <c r="BT521" s="111"/>
      <c r="BU521" s="111"/>
      <c r="BV521" s="111"/>
    </row>
    <row r="522" spans="17:74" x14ac:dyDescent="0.25"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111"/>
      <c r="AB522" s="111"/>
      <c r="AC522" s="111"/>
      <c r="AD522" s="111"/>
      <c r="AE522" s="111"/>
      <c r="AF522" s="111"/>
      <c r="AG522" s="111"/>
      <c r="AH522" s="111"/>
      <c r="AI522" s="111"/>
      <c r="AJ522" s="111"/>
      <c r="AK522" s="111"/>
      <c r="AL522" s="111"/>
      <c r="AM522" s="111"/>
      <c r="AN522" s="111"/>
      <c r="AO522" s="111"/>
      <c r="AP522" s="111"/>
      <c r="AQ522" s="111"/>
      <c r="AR522" s="111"/>
      <c r="AS522" s="111"/>
      <c r="AT522" s="111"/>
      <c r="AX522" s="111"/>
      <c r="AY522" s="111"/>
      <c r="AZ522" s="111"/>
      <c r="BA522" s="111"/>
      <c r="BB522" s="111"/>
      <c r="BC522" s="111"/>
      <c r="BD522" s="111"/>
      <c r="BE522" s="111"/>
      <c r="BF522" s="111"/>
      <c r="BG522" s="111"/>
      <c r="BI522" s="111"/>
      <c r="BJ522" s="111"/>
      <c r="BK522" s="111"/>
      <c r="BL522" s="111"/>
      <c r="BM522" s="111"/>
      <c r="BN522" s="111"/>
      <c r="BO522" s="111"/>
      <c r="BP522" s="111"/>
      <c r="BQ522" s="111"/>
      <c r="BS522" s="111"/>
      <c r="BT522" s="111"/>
      <c r="BU522" s="111"/>
      <c r="BV522" s="111"/>
    </row>
    <row r="523" spans="17:74" x14ac:dyDescent="0.25"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111"/>
      <c r="AB523" s="111"/>
      <c r="AC523" s="111"/>
      <c r="AD523" s="111"/>
      <c r="AE523" s="111"/>
      <c r="AF523" s="111"/>
      <c r="AG523" s="111"/>
      <c r="AH523" s="111"/>
      <c r="AI523" s="111"/>
      <c r="AJ523" s="111"/>
      <c r="AK523" s="111"/>
      <c r="AL523" s="111"/>
      <c r="AM523" s="111"/>
      <c r="AN523" s="111"/>
      <c r="AO523" s="111"/>
      <c r="AP523" s="111"/>
      <c r="AQ523" s="111"/>
      <c r="AR523" s="111"/>
      <c r="AS523" s="111"/>
      <c r="AT523" s="111"/>
      <c r="AX523" s="111"/>
      <c r="AY523" s="111"/>
      <c r="AZ523" s="111"/>
      <c r="BA523" s="111"/>
      <c r="BB523" s="111"/>
      <c r="BC523" s="111"/>
      <c r="BD523" s="111"/>
      <c r="BE523" s="111"/>
      <c r="BF523" s="111"/>
      <c r="BG523" s="111"/>
      <c r="BI523" s="111"/>
      <c r="BJ523" s="111"/>
      <c r="BK523" s="111"/>
      <c r="BL523" s="111"/>
      <c r="BM523" s="111"/>
      <c r="BN523" s="111"/>
      <c r="BO523" s="111"/>
      <c r="BP523" s="111"/>
      <c r="BQ523" s="111"/>
      <c r="BS523" s="111"/>
      <c r="BT523" s="111"/>
      <c r="BU523" s="111"/>
      <c r="BV523" s="111"/>
    </row>
    <row r="524" spans="17:74" x14ac:dyDescent="0.25"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111"/>
      <c r="AB524" s="111"/>
      <c r="AC524" s="111"/>
      <c r="AD524" s="111"/>
      <c r="AE524" s="111"/>
      <c r="AF524" s="111"/>
      <c r="AG524" s="111"/>
      <c r="AH524" s="111"/>
      <c r="AI524" s="111"/>
      <c r="AJ524" s="111"/>
      <c r="AK524" s="111"/>
      <c r="AL524" s="111"/>
      <c r="AM524" s="111"/>
      <c r="AN524" s="111"/>
      <c r="AO524" s="111"/>
      <c r="AP524" s="111"/>
      <c r="AQ524" s="111"/>
      <c r="AR524" s="111"/>
      <c r="AS524" s="111"/>
      <c r="AT524" s="111"/>
      <c r="AX524" s="111"/>
      <c r="AY524" s="111"/>
      <c r="AZ524" s="111"/>
      <c r="BA524" s="111"/>
      <c r="BB524" s="111"/>
      <c r="BC524" s="111"/>
      <c r="BD524" s="111"/>
      <c r="BE524" s="111"/>
      <c r="BF524" s="111"/>
      <c r="BG524" s="111"/>
      <c r="BI524" s="111"/>
      <c r="BJ524" s="111"/>
      <c r="BK524" s="111"/>
      <c r="BL524" s="111"/>
      <c r="BM524" s="111"/>
      <c r="BN524" s="111"/>
      <c r="BO524" s="111"/>
      <c r="BP524" s="111"/>
      <c r="BQ524" s="111"/>
      <c r="BS524" s="111"/>
      <c r="BT524" s="111"/>
      <c r="BU524" s="111"/>
      <c r="BV524" s="111"/>
    </row>
    <row r="525" spans="17:74" x14ac:dyDescent="0.25"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111"/>
      <c r="AB525" s="111"/>
      <c r="AC525" s="111"/>
      <c r="AD525" s="111"/>
      <c r="AE525" s="111"/>
      <c r="AF525" s="111"/>
      <c r="AG525" s="111"/>
      <c r="AH525" s="111"/>
      <c r="AI525" s="111"/>
      <c r="AJ525" s="111"/>
      <c r="AK525" s="111"/>
      <c r="AL525" s="111"/>
      <c r="AM525" s="111"/>
      <c r="AN525" s="111"/>
      <c r="AO525" s="111"/>
      <c r="AP525" s="111"/>
      <c r="AQ525" s="111"/>
      <c r="AR525" s="111"/>
      <c r="AS525" s="111"/>
      <c r="AT525" s="111"/>
      <c r="AX525" s="111"/>
      <c r="AY525" s="111"/>
      <c r="AZ525" s="111"/>
      <c r="BA525" s="111"/>
      <c r="BB525" s="111"/>
      <c r="BC525" s="111"/>
      <c r="BD525" s="111"/>
      <c r="BE525" s="111"/>
      <c r="BF525" s="111"/>
      <c r="BG525" s="111"/>
      <c r="BI525" s="111"/>
      <c r="BJ525" s="111"/>
      <c r="BK525" s="111"/>
      <c r="BL525" s="111"/>
      <c r="BM525" s="111"/>
      <c r="BN525" s="111"/>
      <c r="BO525" s="111"/>
      <c r="BP525" s="111"/>
      <c r="BQ525" s="111"/>
      <c r="BS525" s="111"/>
      <c r="BT525" s="111"/>
      <c r="BU525" s="111"/>
      <c r="BV525" s="111"/>
    </row>
    <row r="526" spans="17:74" x14ac:dyDescent="0.25"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111"/>
      <c r="AB526" s="111"/>
      <c r="AC526" s="111"/>
      <c r="AD526" s="111"/>
      <c r="AE526" s="111"/>
      <c r="AF526" s="111"/>
      <c r="AG526" s="111"/>
      <c r="AH526" s="111"/>
      <c r="AI526" s="111"/>
      <c r="AJ526" s="111"/>
      <c r="AK526" s="111"/>
      <c r="AL526" s="111"/>
      <c r="AM526" s="111"/>
      <c r="AN526" s="111"/>
      <c r="AO526" s="111"/>
      <c r="AP526" s="111"/>
      <c r="AQ526" s="111"/>
      <c r="AR526" s="111"/>
      <c r="AS526" s="111"/>
      <c r="AT526" s="111"/>
      <c r="AX526" s="111"/>
      <c r="AY526" s="111"/>
      <c r="AZ526" s="111"/>
      <c r="BA526" s="111"/>
      <c r="BB526" s="111"/>
      <c r="BC526" s="111"/>
      <c r="BD526" s="111"/>
      <c r="BE526" s="111"/>
      <c r="BF526" s="111"/>
      <c r="BG526" s="111"/>
      <c r="BI526" s="111"/>
      <c r="BJ526" s="111"/>
      <c r="BK526" s="111"/>
      <c r="BL526" s="111"/>
      <c r="BM526" s="111"/>
      <c r="BN526" s="111"/>
      <c r="BO526" s="111"/>
      <c r="BP526" s="111"/>
      <c r="BQ526" s="111"/>
      <c r="BS526" s="111"/>
      <c r="BT526" s="111"/>
      <c r="BU526" s="111"/>
      <c r="BV526" s="111"/>
    </row>
    <row r="527" spans="17:74" x14ac:dyDescent="0.25"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111"/>
      <c r="AB527" s="111"/>
      <c r="AC527" s="111"/>
      <c r="AD527" s="111"/>
      <c r="AE527" s="111"/>
      <c r="AF527" s="111"/>
      <c r="AG527" s="111"/>
      <c r="AH527" s="111"/>
      <c r="AI527" s="111"/>
      <c r="AJ527" s="111"/>
      <c r="AK527" s="111"/>
      <c r="AL527" s="111"/>
      <c r="AM527" s="111"/>
      <c r="AN527" s="111"/>
      <c r="AO527" s="111"/>
      <c r="AP527" s="111"/>
      <c r="AQ527" s="111"/>
      <c r="AR527" s="111"/>
      <c r="AS527" s="111"/>
      <c r="AT527" s="111"/>
      <c r="AX527" s="111"/>
      <c r="AY527" s="111"/>
      <c r="AZ527" s="111"/>
      <c r="BA527" s="111"/>
      <c r="BB527" s="111"/>
      <c r="BC527" s="111"/>
      <c r="BD527" s="111"/>
      <c r="BE527" s="111"/>
      <c r="BF527" s="111"/>
      <c r="BG527" s="111"/>
      <c r="BI527" s="111"/>
      <c r="BJ527" s="111"/>
      <c r="BK527" s="111"/>
      <c r="BL527" s="111"/>
      <c r="BM527" s="111"/>
      <c r="BN527" s="111"/>
      <c r="BO527" s="111"/>
      <c r="BP527" s="111"/>
      <c r="BQ527" s="111"/>
      <c r="BS527" s="111"/>
      <c r="BT527" s="111"/>
      <c r="BU527" s="111"/>
      <c r="BV527" s="111"/>
    </row>
    <row r="528" spans="17:74" x14ac:dyDescent="0.25"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111"/>
      <c r="AB528" s="111"/>
      <c r="AC528" s="111"/>
      <c r="AD528" s="111"/>
      <c r="AE528" s="111"/>
      <c r="AF528" s="111"/>
      <c r="AG528" s="111"/>
      <c r="AH528" s="111"/>
      <c r="AI528" s="111"/>
      <c r="AJ528" s="111"/>
      <c r="AK528" s="111"/>
      <c r="AL528" s="111"/>
      <c r="AM528" s="111"/>
      <c r="AN528" s="111"/>
      <c r="AO528" s="111"/>
      <c r="AP528" s="111"/>
      <c r="AQ528" s="111"/>
      <c r="AR528" s="111"/>
      <c r="AS528" s="111"/>
      <c r="AT528" s="111"/>
      <c r="AX528" s="111"/>
      <c r="AY528" s="111"/>
      <c r="AZ528" s="111"/>
      <c r="BA528" s="111"/>
      <c r="BB528" s="111"/>
      <c r="BC528" s="111"/>
      <c r="BD528" s="111"/>
      <c r="BE528" s="111"/>
      <c r="BF528" s="111"/>
      <c r="BG528" s="111"/>
      <c r="BI528" s="111"/>
      <c r="BJ528" s="111"/>
      <c r="BK528" s="111"/>
      <c r="BL528" s="111"/>
      <c r="BM528" s="111"/>
      <c r="BN528" s="111"/>
      <c r="BO528" s="111"/>
      <c r="BP528" s="111"/>
      <c r="BQ528" s="111"/>
      <c r="BS528" s="111"/>
      <c r="BT528" s="111"/>
      <c r="BU528" s="111"/>
      <c r="BV528" s="111"/>
    </row>
    <row r="529" spans="17:74" x14ac:dyDescent="0.25"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111"/>
      <c r="AB529" s="111"/>
      <c r="AC529" s="111"/>
      <c r="AD529" s="111"/>
      <c r="AE529" s="111"/>
      <c r="AF529" s="111"/>
      <c r="AG529" s="111"/>
      <c r="AH529" s="111"/>
      <c r="AI529" s="111"/>
      <c r="AJ529" s="111"/>
      <c r="AK529" s="111"/>
      <c r="AL529" s="111"/>
      <c r="AM529" s="111"/>
      <c r="AN529" s="111"/>
      <c r="AO529" s="111"/>
      <c r="AP529" s="111"/>
      <c r="AQ529" s="111"/>
      <c r="AR529" s="111"/>
      <c r="AS529" s="111"/>
      <c r="AT529" s="111"/>
      <c r="AX529" s="111"/>
      <c r="AY529" s="111"/>
      <c r="AZ529" s="111"/>
      <c r="BA529" s="111"/>
      <c r="BB529" s="111"/>
      <c r="BC529" s="111"/>
      <c r="BD529" s="111"/>
      <c r="BE529" s="111"/>
      <c r="BF529" s="111"/>
      <c r="BG529" s="111"/>
      <c r="BI529" s="111"/>
      <c r="BJ529" s="111"/>
      <c r="BK529" s="111"/>
      <c r="BL529" s="111"/>
      <c r="BM529" s="111"/>
      <c r="BN529" s="111"/>
      <c r="BO529" s="111"/>
      <c r="BP529" s="111"/>
      <c r="BQ529" s="111"/>
      <c r="BS529" s="111"/>
      <c r="BT529" s="111"/>
      <c r="BU529" s="111"/>
      <c r="BV529" s="111"/>
    </row>
    <row r="530" spans="17:74" x14ac:dyDescent="0.25"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111"/>
      <c r="AB530" s="111"/>
      <c r="AC530" s="111"/>
      <c r="AD530" s="111"/>
      <c r="AE530" s="111"/>
      <c r="AF530" s="111"/>
      <c r="AG530" s="111"/>
      <c r="AH530" s="111"/>
      <c r="AI530" s="111"/>
      <c r="AJ530" s="111"/>
      <c r="AK530" s="111"/>
      <c r="AL530" s="111"/>
      <c r="AM530" s="111"/>
      <c r="AN530" s="111"/>
      <c r="AO530" s="111"/>
      <c r="AP530" s="111"/>
      <c r="AQ530" s="111"/>
      <c r="AR530" s="111"/>
      <c r="AS530" s="111"/>
      <c r="AT530" s="111"/>
      <c r="AX530" s="111"/>
      <c r="AY530" s="111"/>
      <c r="AZ530" s="111"/>
      <c r="BA530" s="111"/>
      <c r="BB530" s="111"/>
      <c r="BC530" s="111"/>
      <c r="BD530" s="111"/>
      <c r="BE530" s="111"/>
      <c r="BF530" s="111"/>
      <c r="BG530" s="111"/>
      <c r="BI530" s="111"/>
      <c r="BJ530" s="111"/>
      <c r="BK530" s="111"/>
      <c r="BL530" s="111"/>
      <c r="BM530" s="111"/>
      <c r="BN530" s="111"/>
      <c r="BO530" s="111"/>
      <c r="BP530" s="111"/>
      <c r="BQ530" s="111"/>
      <c r="BS530" s="111"/>
      <c r="BT530" s="111"/>
      <c r="BU530" s="111"/>
      <c r="BV530" s="111"/>
    </row>
    <row r="531" spans="17:74" x14ac:dyDescent="0.25"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111"/>
      <c r="AB531" s="111"/>
      <c r="AC531" s="111"/>
      <c r="AD531" s="111"/>
      <c r="AE531" s="111"/>
      <c r="AF531" s="111"/>
      <c r="AG531" s="111"/>
      <c r="AH531" s="111"/>
      <c r="AI531" s="111"/>
      <c r="AJ531" s="111"/>
      <c r="AK531" s="111"/>
      <c r="AL531" s="111"/>
      <c r="AM531" s="111"/>
      <c r="AN531" s="111"/>
      <c r="AO531" s="111"/>
      <c r="AP531" s="111"/>
      <c r="AQ531" s="111"/>
      <c r="AR531" s="111"/>
      <c r="AS531" s="111"/>
      <c r="AT531" s="111"/>
      <c r="AX531" s="111"/>
      <c r="AY531" s="111"/>
      <c r="AZ531" s="111"/>
      <c r="BA531" s="111"/>
      <c r="BB531" s="111"/>
      <c r="BC531" s="111"/>
      <c r="BD531" s="111"/>
      <c r="BE531" s="111"/>
      <c r="BF531" s="111"/>
      <c r="BG531" s="111"/>
      <c r="BI531" s="111"/>
      <c r="BJ531" s="111"/>
      <c r="BK531" s="111"/>
      <c r="BL531" s="111"/>
      <c r="BM531" s="111"/>
      <c r="BN531" s="111"/>
      <c r="BO531" s="111"/>
      <c r="BP531" s="111"/>
      <c r="BQ531" s="111"/>
      <c r="BS531" s="111"/>
      <c r="BT531" s="111"/>
      <c r="BU531" s="111"/>
      <c r="BV531" s="111"/>
    </row>
    <row r="532" spans="17:74" x14ac:dyDescent="0.25"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111"/>
      <c r="AB532" s="111"/>
      <c r="AC532" s="111"/>
      <c r="AD532" s="111"/>
      <c r="AE532" s="111"/>
      <c r="AF532" s="111"/>
      <c r="AG532" s="111"/>
      <c r="AH532" s="111"/>
      <c r="AI532" s="111"/>
      <c r="AJ532" s="111"/>
      <c r="AK532" s="111"/>
      <c r="AL532" s="111"/>
      <c r="AM532" s="111"/>
      <c r="AN532" s="111"/>
      <c r="AO532" s="111"/>
      <c r="AP532" s="111"/>
      <c r="AQ532" s="111"/>
      <c r="AR532" s="111"/>
      <c r="AS532" s="111"/>
      <c r="AT532" s="111"/>
      <c r="AX532" s="111"/>
      <c r="AY532" s="111"/>
      <c r="AZ532" s="111"/>
      <c r="BA532" s="111"/>
      <c r="BB532" s="111"/>
      <c r="BC532" s="111"/>
      <c r="BD532" s="111"/>
      <c r="BE532" s="111"/>
      <c r="BF532" s="111"/>
      <c r="BG532" s="111"/>
      <c r="BI532" s="111"/>
      <c r="BJ532" s="111"/>
      <c r="BK532" s="111"/>
      <c r="BL532" s="111"/>
      <c r="BM532" s="111"/>
      <c r="BN532" s="111"/>
      <c r="BO532" s="111"/>
      <c r="BP532" s="111"/>
      <c r="BQ532" s="111"/>
      <c r="BS532" s="111"/>
      <c r="BT532" s="111"/>
      <c r="BU532" s="111"/>
      <c r="BV532" s="111"/>
    </row>
    <row r="533" spans="17:74" x14ac:dyDescent="0.25"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111"/>
      <c r="AB533" s="111"/>
      <c r="AC533" s="111"/>
      <c r="AD533" s="111"/>
      <c r="AE533" s="111"/>
      <c r="AF533" s="111"/>
      <c r="AG533" s="111"/>
      <c r="AH533" s="111"/>
      <c r="AI533" s="111"/>
      <c r="AJ533" s="111"/>
      <c r="AK533" s="111"/>
      <c r="AL533" s="111"/>
      <c r="AM533" s="111"/>
      <c r="AN533" s="111"/>
      <c r="AO533" s="111"/>
      <c r="AP533" s="111"/>
      <c r="AQ533" s="111"/>
      <c r="AR533" s="111"/>
      <c r="AS533" s="111"/>
      <c r="AT533" s="111"/>
      <c r="AX533" s="111"/>
      <c r="AY533" s="111"/>
      <c r="AZ533" s="111"/>
      <c r="BA533" s="111"/>
      <c r="BB533" s="111"/>
      <c r="BC533" s="111"/>
      <c r="BD533" s="111"/>
      <c r="BE533" s="111"/>
      <c r="BF533" s="111"/>
      <c r="BG533" s="111"/>
      <c r="BI533" s="111"/>
      <c r="BJ533" s="111"/>
      <c r="BK533" s="111"/>
      <c r="BL533" s="111"/>
      <c r="BM533" s="111"/>
      <c r="BN533" s="111"/>
      <c r="BO533" s="111"/>
      <c r="BP533" s="111"/>
      <c r="BQ533" s="111"/>
      <c r="BS533" s="111"/>
      <c r="BT533" s="111"/>
      <c r="BU533" s="111"/>
      <c r="BV533" s="111"/>
    </row>
    <row r="534" spans="17:74" x14ac:dyDescent="0.25"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111"/>
      <c r="AB534" s="111"/>
      <c r="AC534" s="111"/>
      <c r="AD534" s="111"/>
      <c r="AE534" s="111"/>
      <c r="AF534" s="111"/>
      <c r="AG534" s="111"/>
      <c r="AH534" s="111"/>
      <c r="AI534" s="111"/>
      <c r="AJ534" s="111"/>
      <c r="AK534" s="111"/>
      <c r="AL534" s="111"/>
      <c r="AM534" s="111"/>
      <c r="AN534" s="111"/>
      <c r="AO534" s="111"/>
      <c r="AP534" s="111"/>
      <c r="AQ534" s="111"/>
      <c r="AR534" s="111"/>
      <c r="AS534" s="111"/>
      <c r="AT534" s="111"/>
      <c r="AX534" s="111"/>
      <c r="AY534" s="111"/>
      <c r="AZ534" s="111"/>
      <c r="BA534" s="111"/>
      <c r="BB534" s="111"/>
      <c r="BC534" s="111"/>
      <c r="BD534" s="111"/>
      <c r="BE534" s="111"/>
      <c r="BF534" s="111"/>
      <c r="BG534" s="111"/>
      <c r="BI534" s="111"/>
      <c r="BJ534" s="111"/>
      <c r="BK534" s="111"/>
      <c r="BL534" s="111"/>
      <c r="BM534" s="111"/>
      <c r="BN534" s="111"/>
      <c r="BO534" s="111"/>
      <c r="BP534" s="111"/>
      <c r="BQ534" s="111"/>
      <c r="BS534" s="111"/>
      <c r="BT534" s="111"/>
      <c r="BU534" s="111"/>
      <c r="BV534" s="111"/>
    </row>
    <row r="535" spans="17:74" x14ac:dyDescent="0.25"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111"/>
      <c r="AB535" s="111"/>
      <c r="AC535" s="111"/>
      <c r="AD535" s="111"/>
      <c r="AE535" s="111"/>
      <c r="AF535" s="111"/>
      <c r="AG535" s="111"/>
      <c r="AH535" s="111"/>
      <c r="AI535" s="111"/>
      <c r="AJ535" s="111"/>
      <c r="AK535" s="111"/>
      <c r="AL535" s="111"/>
      <c r="AM535" s="111"/>
      <c r="AN535" s="111"/>
      <c r="AO535" s="111"/>
      <c r="AP535" s="111"/>
      <c r="AQ535" s="111"/>
      <c r="AR535" s="111"/>
      <c r="AS535" s="111"/>
      <c r="AT535" s="111"/>
      <c r="AX535" s="111"/>
      <c r="AY535" s="111"/>
      <c r="AZ535" s="111"/>
      <c r="BA535" s="111"/>
      <c r="BB535" s="111"/>
      <c r="BC535" s="111"/>
      <c r="BD535" s="111"/>
      <c r="BE535" s="111"/>
      <c r="BF535" s="111"/>
      <c r="BG535" s="111"/>
      <c r="BI535" s="111"/>
      <c r="BJ535" s="111"/>
      <c r="BK535" s="111"/>
      <c r="BL535" s="111"/>
      <c r="BM535" s="111"/>
      <c r="BN535" s="111"/>
      <c r="BO535" s="111"/>
      <c r="BP535" s="111"/>
      <c r="BQ535" s="111"/>
      <c r="BS535" s="111"/>
      <c r="BT535" s="111"/>
      <c r="BU535" s="111"/>
      <c r="BV535" s="111"/>
    </row>
    <row r="536" spans="17:74" x14ac:dyDescent="0.25"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111"/>
      <c r="AB536" s="111"/>
      <c r="AC536" s="111"/>
      <c r="AD536" s="111"/>
      <c r="AE536" s="111"/>
      <c r="AF536" s="111"/>
      <c r="AG536" s="111"/>
      <c r="AH536" s="111"/>
      <c r="AI536" s="111"/>
      <c r="AJ536" s="111"/>
      <c r="AK536" s="111"/>
      <c r="AL536" s="111"/>
      <c r="AM536" s="111"/>
      <c r="AN536" s="111"/>
      <c r="AO536" s="111"/>
      <c r="AP536" s="111"/>
      <c r="AQ536" s="111"/>
      <c r="AR536" s="111"/>
      <c r="AS536" s="111"/>
      <c r="AT536" s="111"/>
      <c r="AX536" s="111"/>
      <c r="AY536" s="111"/>
      <c r="AZ536" s="111"/>
      <c r="BA536" s="111"/>
      <c r="BB536" s="111"/>
      <c r="BC536" s="111"/>
      <c r="BD536" s="111"/>
      <c r="BE536" s="111"/>
      <c r="BF536" s="111"/>
      <c r="BG536" s="111"/>
      <c r="BI536" s="111"/>
      <c r="BJ536" s="111"/>
      <c r="BK536" s="111"/>
      <c r="BL536" s="111"/>
      <c r="BM536" s="111"/>
      <c r="BN536" s="111"/>
      <c r="BO536" s="111"/>
      <c r="BP536" s="111"/>
      <c r="BQ536" s="111"/>
      <c r="BS536" s="111"/>
      <c r="BT536" s="111"/>
      <c r="BU536" s="111"/>
      <c r="BV536" s="111"/>
    </row>
    <row r="537" spans="17:74" x14ac:dyDescent="0.25"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111"/>
      <c r="AB537" s="111"/>
      <c r="AC537" s="111"/>
      <c r="AD537" s="111"/>
      <c r="AE537" s="111"/>
      <c r="AF537" s="111"/>
      <c r="AG537" s="111"/>
      <c r="AH537" s="111"/>
      <c r="AI537" s="111"/>
      <c r="AJ537" s="111"/>
      <c r="AK537" s="111"/>
      <c r="AL537" s="111"/>
      <c r="AM537" s="111"/>
      <c r="AN537" s="111"/>
      <c r="AO537" s="111"/>
      <c r="AP537" s="111"/>
      <c r="AQ537" s="111"/>
      <c r="AR537" s="111"/>
      <c r="AS537" s="111"/>
      <c r="AT537" s="111"/>
      <c r="AX537" s="111"/>
      <c r="AY537" s="111"/>
      <c r="AZ537" s="111"/>
      <c r="BA537" s="111"/>
      <c r="BB537" s="111"/>
      <c r="BC537" s="111"/>
      <c r="BD537" s="111"/>
      <c r="BE537" s="111"/>
      <c r="BF537" s="111"/>
      <c r="BG537" s="111"/>
      <c r="BI537" s="111"/>
      <c r="BJ537" s="111"/>
      <c r="BK537" s="111"/>
      <c r="BL537" s="111"/>
      <c r="BM537" s="111"/>
      <c r="BN537" s="111"/>
      <c r="BO537" s="111"/>
      <c r="BP537" s="111"/>
      <c r="BQ537" s="111"/>
      <c r="BS537" s="111"/>
      <c r="BT537" s="111"/>
      <c r="BU537" s="111"/>
      <c r="BV537" s="111"/>
    </row>
    <row r="538" spans="17:74" x14ac:dyDescent="0.25"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111"/>
      <c r="AB538" s="111"/>
      <c r="AC538" s="111"/>
      <c r="AD538" s="111"/>
      <c r="AE538" s="111"/>
      <c r="AF538" s="111"/>
      <c r="AG538" s="111"/>
      <c r="AH538" s="111"/>
      <c r="AI538" s="111"/>
      <c r="AJ538" s="111"/>
      <c r="AK538" s="111"/>
      <c r="AL538" s="111"/>
      <c r="AM538" s="111"/>
      <c r="AN538" s="111"/>
      <c r="AO538" s="111"/>
      <c r="AP538" s="111"/>
      <c r="AQ538" s="111"/>
      <c r="AR538" s="111"/>
      <c r="AS538" s="111"/>
      <c r="AT538" s="111"/>
      <c r="AX538" s="111"/>
      <c r="AY538" s="111"/>
      <c r="AZ538" s="111"/>
      <c r="BA538" s="111"/>
      <c r="BB538" s="111"/>
      <c r="BC538" s="111"/>
      <c r="BD538" s="111"/>
      <c r="BE538" s="111"/>
      <c r="BF538" s="111"/>
      <c r="BG538" s="111"/>
      <c r="BI538" s="111"/>
      <c r="BJ538" s="111"/>
      <c r="BK538" s="111"/>
      <c r="BL538" s="111"/>
      <c r="BM538" s="111"/>
      <c r="BN538" s="111"/>
      <c r="BO538" s="111"/>
      <c r="BP538" s="111"/>
      <c r="BQ538" s="111"/>
      <c r="BS538" s="111"/>
      <c r="BT538" s="111"/>
      <c r="BU538" s="111"/>
      <c r="BV538" s="111"/>
    </row>
    <row r="539" spans="17:74" x14ac:dyDescent="0.25"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111"/>
      <c r="AB539" s="111"/>
      <c r="AC539" s="111"/>
      <c r="AD539" s="111"/>
      <c r="AE539" s="111"/>
      <c r="AF539" s="111"/>
      <c r="AG539" s="111"/>
      <c r="AH539" s="111"/>
      <c r="AI539" s="111"/>
      <c r="AJ539" s="111"/>
      <c r="AK539" s="111"/>
      <c r="AL539" s="111"/>
      <c r="AM539" s="111"/>
      <c r="AN539" s="111"/>
      <c r="AO539" s="111"/>
      <c r="AP539" s="111"/>
      <c r="AQ539" s="111"/>
      <c r="AR539" s="111"/>
      <c r="AS539" s="111"/>
      <c r="AT539" s="111"/>
      <c r="AX539" s="111"/>
      <c r="AY539" s="111"/>
      <c r="AZ539" s="111"/>
      <c r="BA539" s="111"/>
      <c r="BB539" s="111"/>
      <c r="BC539" s="111"/>
      <c r="BD539" s="111"/>
      <c r="BE539" s="111"/>
      <c r="BF539" s="111"/>
      <c r="BG539" s="111"/>
      <c r="BI539" s="111"/>
      <c r="BJ539" s="111"/>
      <c r="BK539" s="111"/>
      <c r="BL539" s="111"/>
      <c r="BM539" s="111"/>
      <c r="BN539" s="111"/>
      <c r="BO539" s="111"/>
      <c r="BP539" s="111"/>
      <c r="BQ539" s="111"/>
      <c r="BS539" s="111"/>
      <c r="BT539" s="111"/>
      <c r="BU539" s="111"/>
      <c r="BV539" s="111"/>
    </row>
    <row r="540" spans="17:74" x14ac:dyDescent="0.25"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111"/>
      <c r="AB540" s="111"/>
      <c r="AC540" s="111"/>
      <c r="AD540" s="111"/>
      <c r="AE540" s="111"/>
      <c r="AF540" s="111"/>
      <c r="AG540" s="111"/>
      <c r="AH540" s="111"/>
      <c r="AI540" s="111"/>
      <c r="AJ540" s="111"/>
      <c r="AK540" s="111"/>
      <c r="AL540" s="111"/>
      <c r="AM540" s="111"/>
      <c r="AN540" s="111"/>
      <c r="AO540" s="111"/>
      <c r="AP540" s="111"/>
      <c r="AQ540" s="111"/>
      <c r="AR540" s="111"/>
      <c r="AS540" s="111"/>
      <c r="AT540" s="111"/>
      <c r="AX540" s="111"/>
      <c r="AY540" s="111"/>
      <c r="AZ540" s="111"/>
      <c r="BA540" s="111"/>
      <c r="BB540" s="111"/>
      <c r="BC540" s="111"/>
      <c r="BD540" s="111"/>
      <c r="BE540" s="111"/>
      <c r="BF540" s="111"/>
      <c r="BG540" s="111"/>
      <c r="BI540" s="111"/>
      <c r="BJ540" s="111"/>
      <c r="BK540" s="111"/>
      <c r="BL540" s="111"/>
      <c r="BM540" s="111"/>
      <c r="BN540" s="111"/>
      <c r="BO540" s="111"/>
      <c r="BP540" s="111"/>
      <c r="BQ540" s="111"/>
      <c r="BS540" s="111"/>
      <c r="BT540" s="111"/>
      <c r="BU540" s="111"/>
      <c r="BV540" s="111"/>
    </row>
    <row r="541" spans="17:74" x14ac:dyDescent="0.25"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111"/>
      <c r="AB541" s="111"/>
      <c r="AC541" s="111"/>
      <c r="AD541" s="111"/>
      <c r="AE541" s="111"/>
      <c r="AF541" s="111"/>
      <c r="AG541" s="111"/>
      <c r="AH541" s="111"/>
      <c r="AI541" s="111"/>
      <c r="AJ541" s="111"/>
      <c r="AK541" s="111"/>
      <c r="AL541" s="111"/>
      <c r="AM541" s="111"/>
      <c r="AN541" s="111"/>
      <c r="AO541" s="111"/>
      <c r="AP541" s="111"/>
      <c r="AQ541" s="111"/>
      <c r="AR541" s="111"/>
      <c r="AS541" s="111"/>
      <c r="AT541" s="111"/>
      <c r="AX541" s="111"/>
      <c r="AY541" s="111"/>
      <c r="AZ541" s="111"/>
      <c r="BA541" s="111"/>
      <c r="BB541" s="111"/>
      <c r="BC541" s="111"/>
      <c r="BD541" s="111"/>
      <c r="BE541" s="111"/>
      <c r="BF541" s="111"/>
      <c r="BG541" s="111"/>
      <c r="BI541" s="111"/>
      <c r="BJ541" s="111"/>
      <c r="BK541" s="111"/>
      <c r="BL541" s="111"/>
      <c r="BM541" s="111"/>
      <c r="BN541" s="111"/>
      <c r="BO541" s="111"/>
      <c r="BP541" s="111"/>
      <c r="BQ541" s="111"/>
      <c r="BS541" s="111"/>
      <c r="BT541" s="111"/>
      <c r="BU541" s="111"/>
      <c r="BV541" s="111"/>
    </row>
    <row r="542" spans="17:74" x14ac:dyDescent="0.25"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111"/>
      <c r="AB542" s="111"/>
      <c r="AC542" s="111"/>
      <c r="AD542" s="111"/>
      <c r="AE542" s="111"/>
      <c r="AF542" s="111"/>
      <c r="AG542" s="111"/>
      <c r="AH542" s="111"/>
      <c r="AI542" s="111"/>
      <c r="AJ542" s="111"/>
      <c r="AK542" s="111"/>
      <c r="AL542" s="111"/>
      <c r="AM542" s="111"/>
      <c r="AN542" s="111"/>
      <c r="AO542" s="111"/>
      <c r="AP542" s="111"/>
      <c r="AQ542" s="111"/>
      <c r="AR542" s="111"/>
      <c r="AS542" s="111"/>
      <c r="AT542" s="111"/>
      <c r="AX542" s="111"/>
      <c r="AY542" s="111"/>
      <c r="AZ542" s="111"/>
      <c r="BA542" s="111"/>
      <c r="BB542" s="111"/>
      <c r="BC542" s="111"/>
      <c r="BD542" s="111"/>
      <c r="BE542" s="111"/>
      <c r="BF542" s="111"/>
      <c r="BG542" s="111"/>
      <c r="BI542" s="111"/>
      <c r="BJ542" s="111"/>
      <c r="BK542" s="111"/>
      <c r="BL542" s="111"/>
      <c r="BM542" s="111"/>
      <c r="BN542" s="111"/>
      <c r="BO542" s="111"/>
      <c r="BP542" s="111"/>
      <c r="BQ542" s="111"/>
      <c r="BS542" s="111"/>
      <c r="BT542" s="111"/>
      <c r="BU542" s="111"/>
      <c r="BV542" s="111"/>
    </row>
    <row r="543" spans="17:74" x14ac:dyDescent="0.25"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111"/>
      <c r="AB543" s="111"/>
      <c r="AC543" s="111"/>
      <c r="AD543" s="111"/>
      <c r="AE543" s="111"/>
      <c r="AF543" s="111"/>
      <c r="AG543" s="111"/>
      <c r="AH543" s="111"/>
      <c r="AI543" s="111"/>
      <c r="AJ543" s="111"/>
      <c r="AK543" s="111"/>
      <c r="AL543" s="111"/>
      <c r="AM543" s="111"/>
      <c r="AN543" s="111"/>
      <c r="AO543" s="111"/>
      <c r="AP543" s="111"/>
      <c r="AQ543" s="111"/>
      <c r="AR543" s="111"/>
      <c r="AS543" s="111"/>
      <c r="AT543" s="111"/>
      <c r="AX543" s="111"/>
      <c r="AY543" s="111"/>
      <c r="AZ543" s="111"/>
      <c r="BA543" s="111"/>
      <c r="BB543" s="111"/>
      <c r="BC543" s="111"/>
      <c r="BD543" s="111"/>
      <c r="BE543" s="111"/>
      <c r="BF543" s="111"/>
      <c r="BG543" s="111"/>
      <c r="BI543" s="111"/>
      <c r="BJ543" s="111"/>
      <c r="BK543" s="111"/>
      <c r="BL543" s="111"/>
      <c r="BM543" s="111"/>
      <c r="BN543" s="111"/>
      <c r="BO543" s="111"/>
      <c r="BP543" s="111"/>
      <c r="BQ543" s="111"/>
      <c r="BS543" s="111"/>
      <c r="BT543" s="111"/>
      <c r="BU543" s="111"/>
      <c r="BV543" s="111"/>
    </row>
    <row r="544" spans="17:74" x14ac:dyDescent="0.25"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111"/>
      <c r="AB544" s="111"/>
      <c r="AC544" s="111"/>
      <c r="AD544" s="111"/>
      <c r="AE544" s="111"/>
      <c r="AF544" s="111"/>
      <c r="AG544" s="111"/>
      <c r="AH544" s="111"/>
      <c r="AI544" s="111"/>
      <c r="AJ544" s="111"/>
      <c r="AK544" s="111"/>
      <c r="AL544" s="111"/>
      <c r="AM544" s="111"/>
      <c r="AN544" s="111"/>
      <c r="AO544" s="111"/>
      <c r="AP544" s="111"/>
      <c r="AQ544" s="111"/>
      <c r="AR544" s="111"/>
      <c r="AS544" s="111"/>
      <c r="AT544" s="111"/>
      <c r="AX544" s="111"/>
      <c r="AY544" s="111"/>
      <c r="AZ544" s="111"/>
      <c r="BA544" s="111"/>
      <c r="BB544" s="111"/>
      <c r="BC544" s="111"/>
      <c r="BD544" s="111"/>
      <c r="BE544" s="111"/>
      <c r="BF544" s="111"/>
      <c r="BG544" s="111"/>
      <c r="BI544" s="111"/>
      <c r="BJ544" s="111"/>
      <c r="BK544" s="111"/>
      <c r="BL544" s="111"/>
      <c r="BM544" s="111"/>
      <c r="BN544" s="111"/>
      <c r="BO544" s="111"/>
      <c r="BP544" s="111"/>
      <c r="BQ544" s="111"/>
      <c r="BS544" s="111"/>
      <c r="BT544" s="111"/>
      <c r="BU544" s="111"/>
      <c r="BV544" s="111"/>
    </row>
    <row r="545" spans="17:74" x14ac:dyDescent="0.25"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111"/>
      <c r="AB545" s="111"/>
      <c r="AC545" s="111"/>
      <c r="AD545" s="111"/>
      <c r="AE545" s="111"/>
      <c r="AF545" s="111"/>
      <c r="AG545" s="111"/>
      <c r="AH545" s="111"/>
      <c r="AI545" s="111"/>
      <c r="AJ545" s="111"/>
      <c r="AK545" s="111"/>
      <c r="AL545" s="111"/>
      <c r="AM545" s="111"/>
      <c r="AN545" s="111"/>
      <c r="AO545" s="111"/>
      <c r="AP545" s="111"/>
      <c r="AQ545" s="111"/>
      <c r="AR545" s="111"/>
      <c r="AS545" s="111"/>
      <c r="AT545" s="111"/>
      <c r="AX545" s="111"/>
      <c r="AY545" s="111"/>
      <c r="AZ545" s="111"/>
      <c r="BA545" s="111"/>
      <c r="BB545" s="111"/>
      <c r="BC545" s="111"/>
      <c r="BD545" s="111"/>
      <c r="BE545" s="111"/>
      <c r="BF545" s="111"/>
      <c r="BG545" s="111"/>
      <c r="BI545" s="111"/>
      <c r="BJ545" s="111"/>
      <c r="BK545" s="111"/>
      <c r="BL545" s="111"/>
      <c r="BM545" s="111"/>
      <c r="BN545" s="111"/>
      <c r="BO545" s="111"/>
      <c r="BP545" s="111"/>
      <c r="BQ545" s="111"/>
      <c r="BS545" s="111"/>
      <c r="BT545" s="111"/>
      <c r="BU545" s="111"/>
      <c r="BV545" s="111"/>
    </row>
    <row r="546" spans="17:74" x14ac:dyDescent="0.25"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111"/>
      <c r="AB546" s="111"/>
      <c r="AC546" s="111"/>
      <c r="AD546" s="111"/>
      <c r="AE546" s="111"/>
      <c r="AF546" s="111"/>
      <c r="AG546" s="111"/>
      <c r="AH546" s="111"/>
      <c r="AI546" s="111"/>
      <c r="AJ546" s="111"/>
      <c r="AK546" s="111"/>
      <c r="AL546" s="111"/>
      <c r="AM546" s="111"/>
      <c r="AN546" s="111"/>
      <c r="AO546" s="111"/>
      <c r="AP546" s="111"/>
      <c r="AQ546" s="111"/>
      <c r="AR546" s="111"/>
      <c r="AS546" s="111"/>
      <c r="AT546" s="111"/>
      <c r="AX546" s="111"/>
      <c r="AY546" s="111"/>
      <c r="AZ546" s="111"/>
      <c r="BA546" s="111"/>
      <c r="BB546" s="111"/>
      <c r="BC546" s="111"/>
      <c r="BD546" s="111"/>
      <c r="BE546" s="111"/>
      <c r="BF546" s="111"/>
      <c r="BG546" s="111"/>
      <c r="BI546" s="111"/>
      <c r="BJ546" s="111"/>
      <c r="BK546" s="111"/>
      <c r="BL546" s="111"/>
      <c r="BM546" s="111"/>
      <c r="BN546" s="111"/>
      <c r="BO546" s="111"/>
      <c r="BP546" s="111"/>
      <c r="BQ546" s="111"/>
      <c r="BS546" s="111"/>
      <c r="BT546" s="111"/>
      <c r="BU546" s="111"/>
      <c r="BV546" s="111"/>
    </row>
    <row r="547" spans="17:74" x14ac:dyDescent="0.25"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111"/>
      <c r="AB547" s="111"/>
      <c r="AC547" s="111"/>
      <c r="AD547" s="111"/>
      <c r="AE547" s="111"/>
      <c r="AF547" s="111"/>
      <c r="AG547" s="111"/>
      <c r="AH547" s="111"/>
      <c r="AI547" s="111"/>
      <c r="AJ547" s="111"/>
      <c r="AK547" s="111"/>
      <c r="AL547" s="111"/>
      <c r="AM547" s="111"/>
      <c r="AN547" s="111"/>
      <c r="AO547" s="111"/>
      <c r="AP547" s="111"/>
      <c r="AQ547" s="111"/>
      <c r="AR547" s="111"/>
      <c r="AS547" s="111"/>
      <c r="AT547" s="111"/>
      <c r="AX547" s="111"/>
      <c r="AY547" s="111"/>
      <c r="AZ547" s="111"/>
      <c r="BA547" s="111"/>
      <c r="BB547" s="111"/>
      <c r="BC547" s="111"/>
      <c r="BD547" s="111"/>
      <c r="BE547" s="111"/>
      <c r="BF547" s="111"/>
      <c r="BG547" s="111"/>
      <c r="BI547" s="111"/>
      <c r="BJ547" s="111"/>
      <c r="BK547" s="111"/>
      <c r="BL547" s="111"/>
      <c r="BM547" s="111"/>
      <c r="BN547" s="111"/>
      <c r="BO547" s="111"/>
      <c r="BP547" s="111"/>
      <c r="BQ547" s="111"/>
      <c r="BS547" s="111"/>
      <c r="BT547" s="111"/>
      <c r="BU547" s="111"/>
      <c r="BV547" s="111"/>
    </row>
    <row r="548" spans="17:74" x14ac:dyDescent="0.25"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111"/>
      <c r="AB548" s="111"/>
      <c r="AC548" s="111"/>
      <c r="AD548" s="111"/>
      <c r="AE548" s="111"/>
      <c r="AF548" s="111"/>
      <c r="AG548" s="111"/>
      <c r="AH548" s="111"/>
      <c r="AI548" s="111"/>
      <c r="AJ548" s="111"/>
      <c r="AK548" s="111"/>
      <c r="AL548" s="111"/>
      <c r="AM548" s="111"/>
      <c r="AN548" s="111"/>
      <c r="AO548" s="111"/>
      <c r="AP548" s="111"/>
      <c r="AQ548" s="111"/>
      <c r="AR548" s="111"/>
      <c r="AS548" s="111"/>
      <c r="AT548" s="111"/>
      <c r="AX548" s="111"/>
      <c r="AY548" s="111"/>
      <c r="AZ548" s="111"/>
      <c r="BA548" s="111"/>
      <c r="BB548" s="111"/>
      <c r="BC548" s="111"/>
      <c r="BD548" s="111"/>
      <c r="BE548" s="111"/>
      <c r="BF548" s="111"/>
      <c r="BG548" s="111"/>
      <c r="BI548" s="111"/>
      <c r="BJ548" s="111"/>
      <c r="BK548" s="111"/>
      <c r="BL548" s="111"/>
      <c r="BM548" s="111"/>
      <c r="BN548" s="111"/>
      <c r="BO548" s="111"/>
      <c r="BP548" s="111"/>
      <c r="BQ548" s="111"/>
      <c r="BS548" s="111"/>
      <c r="BT548" s="111"/>
      <c r="BU548" s="111"/>
      <c r="BV548" s="111"/>
    </row>
    <row r="549" spans="17:74" x14ac:dyDescent="0.25"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111"/>
      <c r="AB549" s="111"/>
      <c r="AC549" s="111"/>
      <c r="AD549" s="111"/>
      <c r="AE549" s="111"/>
      <c r="AF549" s="111"/>
      <c r="AG549" s="111"/>
      <c r="AH549" s="111"/>
      <c r="AI549" s="111"/>
      <c r="AJ549" s="111"/>
      <c r="AK549" s="111"/>
      <c r="AL549" s="111"/>
      <c r="AM549" s="111"/>
      <c r="AN549" s="111"/>
      <c r="AO549" s="111"/>
      <c r="AP549" s="111"/>
      <c r="AQ549" s="111"/>
      <c r="AR549" s="111"/>
      <c r="AS549" s="111"/>
      <c r="AT549" s="111"/>
      <c r="AX549" s="111"/>
      <c r="AY549" s="111"/>
      <c r="AZ549" s="111"/>
      <c r="BA549" s="111"/>
      <c r="BB549" s="111"/>
      <c r="BC549" s="111"/>
      <c r="BD549" s="111"/>
      <c r="BE549" s="111"/>
      <c r="BF549" s="111"/>
      <c r="BG549" s="111"/>
      <c r="BI549" s="111"/>
      <c r="BJ549" s="111"/>
      <c r="BK549" s="111"/>
      <c r="BL549" s="111"/>
      <c r="BM549" s="111"/>
      <c r="BN549" s="111"/>
      <c r="BO549" s="111"/>
      <c r="BP549" s="111"/>
      <c r="BQ549" s="111"/>
      <c r="BS549" s="111"/>
      <c r="BT549" s="111"/>
      <c r="BU549" s="111"/>
      <c r="BV549" s="111"/>
    </row>
    <row r="550" spans="17:74" x14ac:dyDescent="0.25"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111"/>
      <c r="AB550" s="111"/>
      <c r="AC550" s="111"/>
      <c r="AD550" s="111"/>
      <c r="AE550" s="111"/>
      <c r="AF550" s="111"/>
      <c r="AG550" s="111"/>
      <c r="AH550" s="111"/>
      <c r="AI550" s="111"/>
      <c r="AJ550" s="111"/>
      <c r="AK550" s="111"/>
      <c r="AL550" s="111"/>
      <c r="AM550" s="111"/>
      <c r="AN550" s="111"/>
      <c r="AO550" s="111"/>
      <c r="AP550" s="111"/>
      <c r="AQ550" s="111"/>
      <c r="AR550" s="111"/>
      <c r="AS550" s="111"/>
      <c r="AT550" s="111"/>
      <c r="AX550" s="111"/>
      <c r="AY550" s="111"/>
      <c r="AZ550" s="111"/>
      <c r="BA550" s="111"/>
      <c r="BB550" s="111"/>
      <c r="BC550" s="111"/>
      <c r="BD550" s="111"/>
      <c r="BE550" s="111"/>
      <c r="BF550" s="111"/>
      <c r="BG550" s="111"/>
      <c r="BI550" s="111"/>
      <c r="BJ550" s="111"/>
      <c r="BK550" s="111"/>
      <c r="BL550" s="111"/>
      <c r="BM550" s="111"/>
      <c r="BN550" s="111"/>
      <c r="BO550" s="111"/>
      <c r="BP550" s="111"/>
      <c r="BQ550" s="111"/>
      <c r="BS550" s="111"/>
      <c r="BT550" s="111"/>
      <c r="BU550" s="111"/>
      <c r="BV550" s="111"/>
    </row>
    <row r="551" spans="17:74" x14ac:dyDescent="0.25"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111"/>
      <c r="AB551" s="111"/>
      <c r="AC551" s="111"/>
      <c r="AD551" s="111"/>
      <c r="AE551" s="111"/>
      <c r="AF551" s="111"/>
      <c r="AG551" s="111"/>
      <c r="AH551" s="111"/>
      <c r="AI551" s="111"/>
      <c r="AJ551" s="111"/>
      <c r="AK551" s="111"/>
      <c r="AL551" s="111"/>
      <c r="AM551" s="111"/>
      <c r="AN551" s="111"/>
      <c r="AO551" s="111"/>
      <c r="AP551" s="111"/>
      <c r="AQ551" s="111"/>
      <c r="AR551" s="111"/>
      <c r="AS551" s="111"/>
      <c r="AT551" s="111"/>
      <c r="AX551" s="111"/>
      <c r="AY551" s="111"/>
      <c r="AZ551" s="111"/>
      <c r="BA551" s="111"/>
      <c r="BB551" s="111"/>
      <c r="BC551" s="111"/>
      <c r="BD551" s="111"/>
      <c r="BE551" s="111"/>
      <c r="BF551" s="111"/>
      <c r="BG551" s="111"/>
      <c r="BI551" s="111"/>
      <c r="BJ551" s="111"/>
      <c r="BK551" s="111"/>
      <c r="BL551" s="111"/>
      <c r="BM551" s="111"/>
      <c r="BN551" s="111"/>
      <c r="BO551" s="111"/>
      <c r="BP551" s="111"/>
      <c r="BQ551" s="111"/>
      <c r="BS551" s="111"/>
      <c r="BT551" s="111"/>
      <c r="BU551" s="111"/>
      <c r="BV551" s="111"/>
    </row>
    <row r="552" spans="17:74" x14ac:dyDescent="0.25"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111"/>
      <c r="AB552" s="111"/>
      <c r="AC552" s="111"/>
      <c r="AD552" s="111"/>
      <c r="AE552" s="111"/>
      <c r="AF552" s="111"/>
      <c r="AG552" s="111"/>
      <c r="AH552" s="111"/>
      <c r="AI552" s="111"/>
      <c r="AJ552" s="111"/>
      <c r="AK552" s="111"/>
      <c r="AL552" s="111"/>
      <c r="AM552" s="111"/>
      <c r="AN552" s="111"/>
      <c r="AO552" s="111"/>
      <c r="AP552" s="111"/>
      <c r="AQ552" s="111"/>
      <c r="AR552" s="111"/>
      <c r="AS552" s="111"/>
      <c r="AT552" s="111"/>
      <c r="AX552" s="111"/>
      <c r="AY552" s="111"/>
      <c r="AZ552" s="111"/>
      <c r="BA552" s="111"/>
      <c r="BB552" s="111"/>
      <c r="BC552" s="111"/>
      <c r="BD552" s="111"/>
      <c r="BE552" s="111"/>
      <c r="BF552" s="111"/>
      <c r="BG552" s="111"/>
      <c r="BI552" s="111"/>
      <c r="BJ552" s="111"/>
      <c r="BK552" s="111"/>
      <c r="BL552" s="111"/>
      <c r="BM552" s="111"/>
      <c r="BN552" s="111"/>
      <c r="BO552" s="111"/>
      <c r="BP552" s="111"/>
      <c r="BQ552" s="111"/>
      <c r="BS552" s="111"/>
      <c r="BT552" s="111"/>
      <c r="BU552" s="111"/>
      <c r="BV552" s="111"/>
    </row>
    <row r="553" spans="17:74" x14ac:dyDescent="0.25"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111"/>
      <c r="AB553" s="111"/>
      <c r="AC553" s="111"/>
      <c r="AD553" s="111"/>
      <c r="AE553" s="111"/>
      <c r="AF553" s="111"/>
      <c r="AG553" s="111"/>
      <c r="AH553" s="111"/>
      <c r="AI553" s="111"/>
      <c r="AJ553" s="111"/>
      <c r="AK553" s="111"/>
      <c r="AL553" s="111"/>
      <c r="AM553" s="111"/>
      <c r="AN553" s="111"/>
      <c r="AO553" s="111"/>
      <c r="AP553" s="111"/>
      <c r="AQ553" s="111"/>
      <c r="AR553" s="111"/>
      <c r="AS553" s="111"/>
      <c r="AT553" s="111"/>
      <c r="AX553" s="111"/>
      <c r="AY553" s="111"/>
      <c r="AZ553" s="111"/>
      <c r="BA553" s="111"/>
      <c r="BB553" s="111"/>
      <c r="BC553" s="111"/>
      <c r="BD553" s="111"/>
      <c r="BE553" s="111"/>
      <c r="BF553" s="111"/>
      <c r="BG553" s="111"/>
      <c r="BI553" s="111"/>
      <c r="BJ553" s="111"/>
      <c r="BK553" s="111"/>
      <c r="BL553" s="111"/>
      <c r="BM553" s="111"/>
      <c r="BN553" s="111"/>
      <c r="BO553" s="111"/>
      <c r="BP553" s="111"/>
      <c r="BQ553" s="111"/>
      <c r="BS553" s="111"/>
      <c r="BT553" s="111"/>
      <c r="BU553" s="111"/>
      <c r="BV553" s="111"/>
    </row>
    <row r="554" spans="17:74" x14ac:dyDescent="0.25"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111"/>
      <c r="AB554" s="111"/>
      <c r="AC554" s="111"/>
      <c r="AD554" s="111"/>
      <c r="AE554" s="111"/>
      <c r="AF554" s="111"/>
      <c r="AG554" s="111"/>
      <c r="AH554" s="111"/>
      <c r="AI554" s="111"/>
      <c r="AJ554" s="111"/>
      <c r="AK554" s="111"/>
      <c r="AL554" s="111"/>
      <c r="AM554" s="111"/>
      <c r="AN554" s="111"/>
      <c r="AO554" s="111"/>
      <c r="AP554" s="111"/>
      <c r="AQ554" s="111"/>
      <c r="AR554" s="111"/>
      <c r="AS554" s="111"/>
      <c r="AT554" s="111"/>
      <c r="AX554" s="111"/>
      <c r="AY554" s="111"/>
      <c r="AZ554" s="111"/>
      <c r="BA554" s="111"/>
      <c r="BB554" s="111"/>
      <c r="BC554" s="111"/>
      <c r="BD554" s="111"/>
      <c r="BE554" s="111"/>
      <c r="BF554" s="111"/>
      <c r="BG554" s="111"/>
      <c r="BI554" s="111"/>
      <c r="BJ554" s="111"/>
      <c r="BK554" s="111"/>
      <c r="BL554" s="111"/>
      <c r="BM554" s="111"/>
      <c r="BN554" s="111"/>
      <c r="BO554" s="111"/>
      <c r="BP554" s="111"/>
      <c r="BQ554" s="111"/>
      <c r="BS554" s="111"/>
      <c r="BT554" s="111"/>
      <c r="BU554" s="111"/>
      <c r="BV554" s="111"/>
    </row>
    <row r="555" spans="17:74" x14ac:dyDescent="0.25"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111"/>
      <c r="AB555" s="111"/>
      <c r="AC555" s="111"/>
      <c r="AD555" s="111"/>
      <c r="AE555" s="111"/>
      <c r="AF555" s="111"/>
      <c r="AG555" s="111"/>
      <c r="AH555" s="111"/>
      <c r="AI555" s="111"/>
      <c r="AJ555" s="111"/>
      <c r="AK555" s="111"/>
      <c r="AL555" s="111"/>
      <c r="AM555" s="111"/>
      <c r="AN555" s="111"/>
      <c r="AO555" s="111"/>
      <c r="AP555" s="111"/>
      <c r="AQ555" s="111"/>
      <c r="AR555" s="111"/>
      <c r="AS555" s="111"/>
      <c r="AT555" s="111"/>
      <c r="AX555" s="111"/>
      <c r="AY555" s="111"/>
      <c r="AZ555" s="111"/>
      <c r="BA555" s="111"/>
      <c r="BB555" s="111"/>
      <c r="BC555" s="111"/>
      <c r="BD555" s="111"/>
      <c r="BE555" s="111"/>
      <c r="BF555" s="111"/>
      <c r="BG555" s="111"/>
      <c r="BI555" s="111"/>
      <c r="BJ555" s="111"/>
      <c r="BK555" s="111"/>
      <c r="BL555" s="111"/>
      <c r="BM555" s="111"/>
      <c r="BN555" s="111"/>
      <c r="BO555" s="111"/>
      <c r="BP555" s="111"/>
      <c r="BQ555" s="111"/>
      <c r="BS555" s="111"/>
      <c r="BT555" s="111"/>
      <c r="BU555" s="111"/>
      <c r="BV555" s="111"/>
    </row>
    <row r="556" spans="17:74" x14ac:dyDescent="0.25"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111"/>
      <c r="AB556" s="111"/>
      <c r="AC556" s="111"/>
      <c r="AD556" s="111"/>
      <c r="AE556" s="111"/>
      <c r="AF556" s="111"/>
      <c r="AG556" s="111"/>
      <c r="AH556" s="111"/>
      <c r="AI556" s="111"/>
      <c r="AJ556" s="111"/>
      <c r="AK556" s="111"/>
      <c r="AL556" s="111"/>
      <c r="AM556" s="111"/>
      <c r="AN556" s="111"/>
      <c r="AO556" s="111"/>
      <c r="AP556" s="111"/>
      <c r="AQ556" s="111"/>
      <c r="AR556" s="111"/>
      <c r="AS556" s="111"/>
      <c r="AT556" s="111"/>
      <c r="AX556" s="111"/>
      <c r="AY556" s="111"/>
      <c r="AZ556" s="111"/>
      <c r="BA556" s="111"/>
      <c r="BB556" s="111"/>
      <c r="BC556" s="111"/>
      <c r="BD556" s="111"/>
      <c r="BE556" s="111"/>
      <c r="BF556" s="111"/>
      <c r="BG556" s="111"/>
      <c r="BI556" s="111"/>
      <c r="BJ556" s="111"/>
      <c r="BK556" s="111"/>
      <c r="BL556" s="111"/>
      <c r="BM556" s="111"/>
      <c r="BN556" s="111"/>
      <c r="BO556" s="111"/>
      <c r="BP556" s="111"/>
      <c r="BQ556" s="111"/>
      <c r="BS556" s="111"/>
      <c r="BT556" s="111"/>
      <c r="BU556" s="111"/>
      <c r="BV556" s="111"/>
    </row>
    <row r="557" spans="17:74" x14ac:dyDescent="0.25"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111"/>
      <c r="AB557" s="111"/>
      <c r="AC557" s="111"/>
      <c r="AD557" s="111"/>
      <c r="AE557" s="111"/>
      <c r="AF557" s="111"/>
      <c r="AG557" s="111"/>
      <c r="AH557" s="111"/>
      <c r="AI557" s="111"/>
      <c r="AJ557" s="111"/>
      <c r="AK557" s="111"/>
      <c r="AL557" s="111"/>
      <c r="AM557" s="111"/>
      <c r="AN557" s="111"/>
      <c r="AO557" s="111"/>
      <c r="AP557" s="111"/>
      <c r="AQ557" s="111"/>
      <c r="AR557" s="111"/>
      <c r="AS557" s="111"/>
      <c r="AT557" s="111"/>
      <c r="AX557" s="111"/>
      <c r="AY557" s="111"/>
      <c r="AZ557" s="111"/>
      <c r="BA557" s="111"/>
      <c r="BB557" s="111"/>
      <c r="BC557" s="111"/>
      <c r="BD557" s="111"/>
      <c r="BE557" s="111"/>
      <c r="BF557" s="111"/>
      <c r="BG557" s="111"/>
      <c r="BI557" s="111"/>
      <c r="BJ557" s="111"/>
      <c r="BK557" s="111"/>
      <c r="BL557" s="111"/>
      <c r="BM557" s="111"/>
      <c r="BN557" s="111"/>
      <c r="BO557" s="111"/>
      <c r="BP557" s="111"/>
      <c r="BQ557" s="111"/>
      <c r="BS557" s="111"/>
      <c r="BT557" s="111"/>
      <c r="BU557" s="111"/>
      <c r="BV557" s="111"/>
    </row>
    <row r="558" spans="17:74" x14ac:dyDescent="0.25"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111"/>
      <c r="AB558" s="111"/>
      <c r="AC558" s="111"/>
      <c r="AD558" s="111"/>
      <c r="AE558" s="111"/>
      <c r="AF558" s="111"/>
      <c r="AG558" s="111"/>
      <c r="AH558" s="111"/>
      <c r="AI558" s="111"/>
      <c r="AJ558" s="111"/>
      <c r="AK558" s="111"/>
      <c r="AL558" s="111"/>
      <c r="AM558" s="111"/>
      <c r="AN558" s="111"/>
      <c r="AO558" s="111"/>
      <c r="AP558" s="111"/>
      <c r="AQ558" s="111"/>
      <c r="AR558" s="111"/>
      <c r="AS558" s="111"/>
      <c r="AT558" s="111"/>
      <c r="AX558" s="111"/>
      <c r="AY558" s="111"/>
      <c r="AZ558" s="111"/>
      <c r="BA558" s="111"/>
      <c r="BB558" s="111"/>
      <c r="BC558" s="111"/>
      <c r="BD558" s="111"/>
      <c r="BE558" s="111"/>
      <c r="BF558" s="111"/>
      <c r="BG558" s="111"/>
      <c r="BI558" s="111"/>
      <c r="BJ558" s="111"/>
      <c r="BK558" s="111"/>
      <c r="BL558" s="111"/>
      <c r="BM558" s="111"/>
      <c r="BN558" s="111"/>
      <c r="BO558" s="111"/>
      <c r="BP558" s="111"/>
      <c r="BQ558" s="111"/>
      <c r="BS558" s="111"/>
      <c r="BT558" s="111"/>
      <c r="BU558" s="111"/>
      <c r="BV558" s="111"/>
    </row>
    <row r="559" spans="17:74" x14ac:dyDescent="0.25"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111"/>
      <c r="AB559" s="111"/>
      <c r="AC559" s="111"/>
      <c r="AD559" s="111"/>
      <c r="AE559" s="111"/>
      <c r="AF559" s="111"/>
      <c r="AG559" s="111"/>
      <c r="AH559" s="111"/>
      <c r="AI559" s="111"/>
      <c r="AJ559" s="111"/>
      <c r="AK559" s="111"/>
      <c r="AL559" s="111"/>
      <c r="AM559" s="111"/>
      <c r="AN559" s="111"/>
      <c r="AO559" s="111"/>
      <c r="AP559" s="111"/>
      <c r="AQ559" s="111"/>
      <c r="AR559" s="111"/>
      <c r="AS559" s="111"/>
      <c r="AT559" s="111"/>
      <c r="AX559" s="111"/>
      <c r="AY559" s="111"/>
      <c r="AZ559" s="111"/>
      <c r="BA559" s="111"/>
      <c r="BB559" s="111"/>
      <c r="BC559" s="111"/>
      <c r="BD559" s="111"/>
      <c r="BE559" s="111"/>
      <c r="BF559" s="111"/>
      <c r="BG559" s="111"/>
      <c r="BI559" s="111"/>
      <c r="BJ559" s="111"/>
      <c r="BK559" s="111"/>
      <c r="BL559" s="111"/>
      <c r="BM559" s="111"/>
      <c r="BN559" s="111"/>
      <c r="BO559" s="111"/>
      <c r="BP559" s="111"/>
      <c r="BQ559" s="111"/>
      <c r="BS559" s="111"/>
      <c r="BT559" s="111"/>
      <c r="BU559" s="111"/>
      <c r="BV559" s="111"/>
    </row>
    <row r="560" spans="17:74" x14ac:dyDescent="0.25"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111"/>
      <c r="AB560" s="111"/>
      <c r="AC560" s="111"/>
      <c r="AD560" s="111"/>
      <c r="AE560" s="111"/>
      <c r="AF560" s="111"/>
      <c r="AG560" s="111"/>
      <c r="AH560" s="111"/>
      <c r="AI560" s="111"/>
      <c r="AJ560" s="111"/>
      <c r="AK560" s="111"/>
      <c r="AL560" s="111"/>
      <c r="AM560" s="111"/>
      <c r="AN560" s="111"/>
      <c r="AO560" s="111"/>
      <c r="AP560" s="111"/>
      <c r="AQ560" s="111"/>
      <c r="AR560" s="111"/>
      <c r="AS560" s="111"/>
      <c r="AT560" s="111"/>
      <c r="AX560" s="111"/>
      <c r="AY560" s="111"/>
      <c r="AZ560" s="111"/>
      <c r="BA560" s="111"/>
      <c r="BB560" s="111"/>
      <c r="BC560" s="111"/>
      <c r="BD560" s="111"/>
      <c r="BE560" s="111"/>
      <c r="BF560" s="111"/>
      <c r="BG560" s="111"/>
      <c r="BI560" s="111"/>
      <c r="BJ560" s="111"/>
      <c r="BK560" s="111"/>
      <c r="BL560" s="111"/>
      <c r="BM560" s="111"/>
      <c r="BN560" s="111"/>
      <c r="BO560" s="111"/>
      <c r="BP560" s="111"/>
      <c r="BQ560" s="111"/>
      <c r="BS560" s="111"/>
      <c r="BT560" s="111"/>
      <c r="BU560" s="111"/>
      <c r="BV560" s="111"/>
    </row>
    <row r="561" spans="17:74" x14ac:dyDescent="0.25"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111"/>
      <c r="AB561" s="111"/>
      <c r="AC561" s="111"/>
      <c r="AD561" s="111"/>
      <c r="AE561" s="111"/>
      <c r="AF561" s="111"/>
      <c r="AG561" s="111"/>
      <c r="AH561" s="111"/>
      <c r="AI561" s="111"/>
      <c r="AJ561" s="111"/>
      <c r="AK561" s="111"/>
      <c r="AL561" s="111"/>
      <c r="AM561" s="111"/>
      <c r="AN561" s="111"/>
      <c r="AO561" s="111"/>
      <c r="AP561" s="111"/>
      <c r="AQ561" s="111"/>
      <c r="AR561" s="111"/>
      <c r="AS561" s="111"/>
      <c r="AT561" s="111"/>
      <c r="AX561" s="111"/>
      <c r="AY561" s="111"/>
      <c r="AZ561" s="111"/>
      <c r="BA561" s="111"/>
      <c r="BB561" s="111"/>
      <c r="BC561" s="111"/>
      <c r="BD561" s="111"/>
      <c r="BE561" s="111"/>
      <c r="BF561" s="111"/>
      <c r="BG561" s="111"/>
      <c r="BI561" s="111"/>
      <c r="BJ561" s="111"/>
      <c r="BK561" s="111"/>
      <c r="BL561" s="111"/>
      <c r="BM561" s="111"/>
      <c r="BN561" s="111"/>
      <c r="BO561" s="111"/>
      <c r="BP561" s="111"/>
      <c r="BQ561" s="111"/>
      <c r="BS561" s="111"/>
      <c r="BT561" s="111"/>
      <c r="BU561" s="111"/>
      <c r="BV561" s="111"/>
    </row>
    <row r="562" spans="17:74" x14ac:dyDescent="0.25"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111"/>
      <c r="AB562" s="111"/>
      <c r="AC562" s="111"/>
      <c r="AD562" s="111"/>
      <c r="AE562" s="111"/>
      <c r="AF562" s="111"/>
      <c r="AG562" s="111"/>
      <c r="AH562" s="111"/>
      <c r="AI562" s="111"/>
      <c r="AJ562" s="111"/>
      <c r="AK562" s="111"/>
      <c r="AL562" s="111"/>
      <c r="AM562" s="111"/>
      <c r="AN562" s="111"/>
      <c r="AO562" s="111"/>
      <c r="AP562" s="111"/>
      <c r="AQ562" s="111"/>
      <c r="AR562" s="111"/>
      <c r="AS562" s="111"/>
      <c r="AT562" s="111"/>
      <c r="AX562" s="111"/>
      <c r="AY562" s="111"/>
      <c r="AZ562" s="111"/>
      <c r="BA562" s="111"/>
      <c r="BB562" s="111"/>
      <c r="BC562" s="111"/>
      <c r="BD562" s="111"/>
      <c r="BE562" s="111"/>
      <c r="BF562" s="111"/>
      <c r="BG562" s="111"/>
      <c r="BI562" s="111"/>
      <c r="BJ562" s="111"/>
      <c r="BK562" s="111"/>
      <c r="BL562" s="111"/>
      <c r="BM562" s="111"/>
      <c r="BN562" s="111"/>
      <c r="BO562" s="111"/>
      <c r="BP562" s="111"/>
      <c r="BQ562" s="111"/>
      <c r="BS562" s="111"/>
      <c r="BT562" s="111"/>
      <c r="BU562" s="111"/>
      <c r="BV562" s="111"/>
    </row>
    <row r="563" spans="17:74" x14ac:dyDescent="0.25"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111"/>
      <c r="AB563" s="111"/>
      <c r="AC563" s="111"/>
      <c r="AD563" s="111"/>
      <c r="AE563" s="111"/>
      <c r="AF563" s="111"/>
      <c r="AG563" s="111"/>
      <c r="AH563" s="111"/>
      <c r="AI563" s="111"/>
      <c r="AJ563" s="111"/>
      <c r="AK563" s="111"/>
      <c r="AL563" s="111"/>
      <c r="AM563" s="111"/>
      <c r="AN563" s="111"/>
      <c r="AO563" s="111"/>
      <c r="AP563" s="111"/>
      <c r="AQ563" s="111"/>
      <c r="AR563" s="111"/>
      <c r="AS563" s="111"/>
      <c r="AT563" s="111"/>
      <c r="AX563" s="111"/>
      <c r="AY563" s="111"/>
      <c r="AZ563" s="111"/>
      <c r="BA563" s="111"/>
      <c r="BB563" s="111"/>
      <c r="BC563" s="111"/>
      <c r="BD563" s="111"/>
      <c r="BE563" s="111"/>
      <c r="BF563" s="111"/>
      <c r="BG563" s="111"/>
      <c r="BI563" s="111"/>
      <c r="BJ563" s="111"/>
      <c r="BK563" s="111"/>
      <c r="BL563" s="111"/>
      <c r="BM563" s="111"/>
      <c r="BN563" s="111"/>
      <c r="BO563" s="111"/>
      <c r="BP563" s="111"/>
      <c r="BQ563" s="111"/>
      <c r="BS563" s="111"/>
      <c r="BT563" s="111"/>
      <c r="BU563" s="111"/>
      <c r="BV563" s="111"/>
    </row>
    <row r="564" spans="17:74" x14ac:dyDescent="0.25"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111"/>
      <c r="AB564" s="111"/>
      <c r="AC564" s="111"/>
      <c r="AD564" s="111"/>
      <c r="AE564" s="111"/>
      <c r="AF564" s="111"/>
      <c r="AG564" s="111"/>
      <c r="AH564" s="111"/>
      <c r="AI564" s="111"/>
      <c r="AJ564" s="111"/>
      <c r="AK564" s="111"/>
      <c r="AL564" s="111"/>
      <c r="AM564" s="111"/>
      <c r="AN564" s="111"/>
      <c r="AO564" s="111"/>
      <c r="AP564" s="111"/>
      <c r="AQ564" s="111"/>
      <c r="AR564" s="111"/>
      <c r="AS564" s="111"/>
      <c r="AT564" s="111"/>
      <c r="AX564" s="111"/>
      <c r="AY564" s="111"/>
      <c r="AZ564" s="111"/>
      <c r="BA564" s="111"/>
      <c r="BB564" s="111"/>
      <c r="BC564" s="111"/>
      <c r="BD564" s="111"/>
      <c r="BE564" s="111"/>
      <c r="BF564" s="111"/>
      <c r="BG564" s="111"/>
      <c r="BI564" s="111"/>
      <c r="BJ564" s="111"/>
      <c r="BK564" s="111"/>
      <c r="BL564" s="111"/>
      <c r="BM564" s="111"/>
      <c r="BN564" s="111"/>
      <c r="BO564" s="111"/>
      <c r="BP564" s="111"/>
      <c r="BQ564" s="111"/>
      <c r="BS564" s="111"/>
      <c r="BT564" s="111"/>
      <c r="BU564" s="111"/>
      <c r="BV564" s="111"/>
    </row>
    <row r="565" spans="17:74" x14ac:dyDescent="0.25"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111"/>
      <c r="AB565" s="111"/>
      <c r="AC565" s="111"/>
      <c r="AD565" s="111"/>
      <c r="AE565" s="111"/>
      <c r="AF565" s="111"/>
      <c r="AG565" s="111"/>
      <c r="AH565" s="111"/>
      <c r="AI565" s="111"/>
      <c r="AJ565" s="111"/>
      <c r="AK565" s="111"/>
      <c r="AL565" s="111"/>
      <c r="AM565" s="111"/>
      <c r="AN565" s="111"/>
      <c r="AO565" s="111"/>
      <c r="AP565" s="111"/>
      <c r="AQ565" s="111"/>
      <c r="AR565" s="111"/>
      <c r="AS565" s="111"/>
      <c r="AT565" s="111"/>
      <c r="AX565" s="111"/>
      <c r="AY565" s="111"/>
      <c r="AZ565" s="111"/>
      <c r="BA565" s="111"/>
      <c r="BB565" s="111"/>
      <c r="BC565" s="111"/>
      <c r="BD565" s="111"/>
      <c r="BE565" s="111"/>
      <c r="BF565" s="111"/>
      <c r="BG565" s="111"/>
      <c r="BI565" s="111"/>
      <c r="BJ565" s="111"/>
      <c r="BK565" s="111"/>
      <c r="BL565" s="111"/>
      <c r="BM565" s="111"/>
      <c r="BN565" s="111"/>
      <c r="BO565" s="111"/>
      <c r="BP565" s="111"/>
      <c r="BQ565" s="111"/>
      <c r="BS565" s="111"/>
      <c r="BT565" s="111"/>
      <c r="BU565" s="111"/>
      <c r="BV565" s="111"/>
    </row>
    <row r="566" spans="17:74" x14ac:dyDescent="0.25"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111"/>
      <c r="AB566" s="111"/>
      <c r="AC566" s="111"/>
      <c r="AD566" s="111"/>
      <c r="AE566" s="111"/>
      <c r="AF566" s="111"/>
      <c r="AG566" s="111"/>
      <c r="AH566" s="111"/>
      <c r="AI566" s="111"/>
      <c r="AJ566" s="111"/>
      <c r="AK566" s="111"/>
      <c r="AL566" s="111"/>
      <c r="AM566" s="111"/>
      <c r="AN566" s="111"/>
      <c r="AO566" s="111"/>
      <c r="AP566" s="111"/>
      <c r="AQ566" s="111"/>
      <c r="AR566" s="111"/>
      <c r="AS566" s="111"/>
      <c r="AT566" s="111"/>
      <c r="AX566" s="111"/>
      <c r="AY566" s="111"/>
      <c r="AZ566" s="111"/>
      <c r="BA566" s="111"/>
      <c r="BB566" s="111"/>
      <c r="BC566" s="111"/>
      <c r="BD566" s="111"/>
      <c r="BE566" s="111"/>
      <c r="BF566" s="111"/>
      <c r="BG566" s="111"/>
      <c r="BI566" s="111"/>
      <c r="BJ566" s="111"/>
      <c r="BK566" s="111"/>
      <c r="BL566" s="111"/>
      <c r="BM566" s="111"/>
      <c r="BN566" s="111"/>
      <c r="BO566" s="111"/>
      <c r="BP566" s="111"/>
      <c r="BQ566" s="111"/>
      <c r="BS566" s="111"/>
      <c r="BT566" s="111"/>
      <c r="BU566" s="111"/>
      <c r="BV566" s="111"/>
    </row>
    <row r="567" spans="17:74" x14ac:dyDescent="0.25"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111"/>
      <c r="AB567" s="111"/>
      <c r="AC567" s="111"/>
      <c r="AD567" s="111"/>
      <c r="AE567" s="111"/>
      <c r="AF567" s="111"/>
      <c r="AG567" s="111"/>
      <c r="AH567" s="111"/>
      <c r="AI567" s="111"/>
      <c r="AJ567" s="111"/>
      <c r="AK567" s="111"/>
      <c r="AL567" s="111"/>
      <c r="AM567" s="111"/>
      <c r="AN567" s="111"/>
      <c r="AO567" s="111"/>
      <c r="AP567" s="111"/>
      <c r="AQ567" s="111"/>
      <c r="AR567" s="111"/>
      <c r="AS567" s="111"/>
      <c r="AT567" s="111"/>
      <c r="AX567" s="111"/>
      <c r="AY567" s="111"/>
      <c r="AZ567" s="111"/>
      <c r="BA567" s="111"/>
      <c r="BB567" s="111"/>
      <c r="BC567" s="111"/>
      <c r="BD567" s="111"/>
      <c r="BE567" s="111"/>
      <c r="BF567" s="111"/>
      <c r="BG567" s="111"/>
      <c r="BI567" s="111"/>
      <c r="BJ567" s="111"/>
      <c r="BK567" s="111"/>
      <c r="BL567" s="111"/>
      <c r="BM567" s="111"/>
      <c r="BN567" s="111"/>
      <c r="BO567" s="111"/>
      <c r="BP567" s="111"/>
      <c r="BQ567" s="111"/>
      <c r="BS567" s="111"/>
      <c r="BT567" s="111"/>
      <c r="BU567" s="111"/>
      <c r="BV567" s="111"/>
    </row>
    <row r="568" spans="17:74" x14ac:dyDescent="0.25"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111"/>
      <c r="AB568" s="111"/>
      <c r="AC568" s="111"/>
      <c r="AD568" s="111"/>
      <c r="AE568" s="111"/>
      <c r="AF568" s="111"/>
      <c r="AG568" s="111"/>
      <c r="AH568" s="111"/>
      <c r="AI568" s="111"/>
      <c r="AJ568" s="111"/>
      <c r="AK568" s="111"/>
      <c r="AL568" s="111"/>
      <c r="AM568" s="111"/>
      <c r="AN568" s="111"/>
      <c r="AO568" s="111"/>
      <c r="AP568" s="111"/>
      <c r="AQ568" s="111"/>
      <c r="AR568" s="111"/>
      <c r="AS568" s="111"/>
      <c r="AT568" s="111"/>
      <c r="AX568" s="111"/>
      <c r="AY568" s="111"/>
      <c r="AZ568" s="111"/>
      <c r="BA568" s="111"/>
      <c r="BB568" s="111"/>
      <c r="BC568" s="111"/>
      <c r="BD568" s="111"/>
      <c r="BE568" s="111"/>
      <c r="BF568" s="111"/>
      <c r="BG568" s="111"/>
      <c r="BI568" s="111"/>
      <c r="BJ568" s="111"/>
      <c r="BK568" s="111"/>
      <c r="BL568" s="111"/>
      <c r="BM568" s="111"/>
      <c r="BN568" s="111"/>
      <c r="BO568" s="111"/>
      <c r="BP568" s="111"/>
      <c r="BQ568" s="111"/>
      <c r="BS568" s="111"/>
      <c r="BT568" s="111"/>
      <c r="BU568" s="111"/>
      <c r="BV568" s="111"/>
    </row>
    <row r="569" spans="17:74" x14ac:dyDescent="0.25"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111"/>
      <c r="AB569" s="111"/>
      <c r="AC569" s="111"/>
      <c r="AD569" s="111"/>
      <c r="AE569" s="111"/>
      <c r="AF569" s="111"/>
      <c r="AG569" s="111"/>
      <c r="AH569" s="111"/>
      <c r="AI569" s="111"/>
      <c r="AJ569" s="111"/>
      <c r="AK569" s="111"/>
      <c r="AL569" s="111"/>
      <c r="AM569" s="111"/>
      <c r="AN569" s="111"/>
      <c r="AO569" s="111"/>
      <c r="AP569" s="111"/>
      <c r="AQ569" s="111"/>
      <c r="AR569" s="111"/>
      <c r="AS569" s="111"/>
      <c r="AT569" s="111"/>
      <c r="AX569" s="111"/>
      <c r="AY569" s="111"/>
      <c r="AZ569" s="111"/>
      <c r="BA569" s="111"/>
      <c r="BB569" s="111"/>
      <c r="BC569" s="111"/>
      <c r="BD569" s="111"/>
      <c r="BE569" s="111"/>
      <c r="BF569" s="111"/>
      <c r="BG569" s="111"/>
      <c r="BI569" s="111"/>
      <c r="BJ569" s="111"/>
      <c r="BK569" s="111"/>
      <c r="BL569" s="111"/>
      <c r="BM569" s="111"/>
      <c r="BN569" s="111"/>
      <c r="BO569" s="111"/>
      <c r="BP569" s="111"/>
      <c r="BQ569" s="111"/>
      <c r="BS569" s="111"/>
      <c r="BT569" s="111"/>
      <c r="BU569" s="111"/>
      <c r="BV569" s="111"/>
    </row>
    <row r="570" spans="17:74" x14ac:dyDescent="0.25"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111"/>
      <c r="AB570" s="111"/>
      <c r="AC570" s="111"/>
      <c r="AD570" s="111"/>
      <c r="AE570" s="111"/>
      <c r="AF570" s="111"/>
      <c r="AG570" s="111"/>
      <c r="AH570" s="111"/>
      <c r="AI570" s="111"/>
      <c r="AJ570" s="111"/>
      <c r="AK570" s="111"/>
      <c r="AL570" s="111"/>
      <c r="AM570" s="111"/>
      <c r="AN570" s="111"/>
      <c r="AO570" s="111"/>
      <c r="AP570" s="111"/>
      <c r="AQ570" s="111"/>
      <c r="AR570" s="111"/>
      <c r="AS570" s="111"/>
      <c r="AT570" s="111"/>
      <c r="AX570" s="111"/>
      <c r="AY570" s="111"/>
      <c r="AZ570" s="111"/>
      <c r="BA570" s="111"/>
      <c r="BB570" s="111"/>
      <c r="BC570" s="111"/>
      <c r="BD570" s="111"/>
      <c r="BE570" s="111"/>
      <c r="BF570" s="111"/>
      <c r="BG570" s="111"/>
      <c r="BI570" s="111"/>
      <c r="BJ570" s="111"/>
      <c r="BK570" s="111"/>
      <c r="BL570" s="111"/>
      <c r="BM570" s="111"/>
      <c r="BN570" s="111"/>
      <c r="BO570" s="111"/>
      <c r="BP570" s="111"/>
      <c r="BQ570" s="111"/>
      <c r="BS570" s="111"/>
      <c r="BT570" s="111"/>
      <c r="BU570" s="111"/>
      <c r="BV570" s="111"/>
    </row>
  </sheetData>
  <mergeCells count="7">
    <mergeCell ref="R28:U28"/>
    <mergeCell ref="Q2:AT2"/>
    <mergeCell ref="A2:N2"/>
    <mergeCell ref="AX2:BF2"/>
    <mergeCell ref="BJ2:BP2"/>
    <mergeCell ref="R4:AF4"/>
    <mergeCell ref="AH4:AT4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7E77-58ED-4481-86C6-798A2C6E0330}">
  <sheetPr codeName="Feuil7"/>
  <dimension ref="A1:AX872"/>
  <sheetViews>
    <sheetView workbookViewId="0"/>
  </sheetViews>
  <sheetFormatPr baseColWidth="10" defaultColWidth="11.42578125" defaultRowHeight="15" x14ac:dyDescent="0.25"/>
  <cols>
    <col min="1" max="1" width="11.42578125" style="111"/>
    <col min="3" max="3" width="142.85546875" customWidth="1"/>
    <col min="4" max="4" width="62.5703125" style="111" customWidth="1"/>
    <col min="5" max="50" width="11.42578125" style="111"/>
  </cols>
  <sheetData>
    <row r="1" spans="2:4" x14ac:dyDescent="0.25">
      <c r="B1" s="111"/>
      <c r="C1" s="111"/>
    </row>
    <row r="2" spans="2:4" x14ac:dyDescent="0.25">
      <c r="B2" s="111"/>
      <c r="C2" s="111"/>
    </row>
    <row r="3" spans="2:4" ht="18.75" x14ac:dyDescent="0.3">
      <c r="B3" s="244" t="s">
        <v>604</v>
      </c>
      <c r="C3" s="244" t="s">
        <v>605</v>
      </c>
      <c r="D3" s="244" t="s">
        <v>606</v>
      </c>
    </row>
    <row r="4" spans="2:4" ht="18" x14ac:dyDescent="0.35">
      <c r="B4" s="245" t="b">
        <v>1</v>
      </c>
      <c r="C4" s="246" t="s">
        <v>607</v>
      </c>
      <c r="D4" s="247"/>
    </row>
    <row r="5" spans="2:4" ht="18" x14ac:dyDescent="0.35">
      <c r="B5" s="245" t="b">
        <v>1</v>
      </c>
      <c r="C5" s="288" t="s">
        <v>608</v>
      </c>
      <c r="D5" s="247"/>
    </row>
    <row r="6" spans="2:4" ht="18" x14ac:dyDescent="0.35">
      <c r="B6" s="245" t="b">
        <v>1</v>
      </c>
      <c r="C6" s="246" t="s">
        <v>609</v>
      </c>
      <c r="D6" s="247"/>
    </row>
    <row r="7" spans="2:4" ht="18" x14ac:dyDescent="0.35">
      <c r="B7" s="245" t="b">
        <v>1</v>
      </c>
      <c r="C7" s="246" t="s">
        <v>610</v>
      </c>
      <c r="D7" s="247"/>
    </row>
    <row r="8" spans="2:4" ht="18" x14ac:dyDescent="0.35">
      <c r="B8" s="245" t="b">
        <v>1</v>
      </c>
      <c r="C8" s="246" t="s">
        <v>611</v>
      </c>
      <c r="D8" s="247"/>
    </row>
    <row r="9" spans="2:4" ht="18" x14ac:dyDescent="0.35">
      <c r="B9" s="245" t="b">
        <v>1</v>
      </c>
      <c r="C9" s="246" t="s">
        <v>612</v>
      </c>
      <c r="D9" s="247"/>
    </row>
    <row r="10" spans="2:4" ht="18" x14ac:dyDescent="0.35">
      <c r="B10" s="245" t="b">
        <v>1</v>
      </c>
      <c r="C10" s="246" t="s">
        <v>613</v>
      </c>
      <c r="D10" s="247"/>
    </row>
    <row r="11" spans="2:4" ht="18" x14ac:dyDescent="0.35">
      <c r="B11" s="245" t="b">
        <v>1</v>
      </c>
      <c r="C11" s="246" t="s">
        <v>614</v>
      </c>
      <c r="D11" s="247"/>
    </row>
    <row r="12" spans="2:4" ht="18" x14ac:dyDescent="0.35">
      <c r="B12" s="245" t="b">
        <v>1</v>
      </c>
      <c r="C12" s="246" t="s">
        <v>615</v>
      </c>
      <c r="D12" s="247"/>
    </row>
    <row r="13" spans="2:4" ht="18" x14ac:dyDescent="0.35">
      <c r="B13" s="245" t="b">
        <v>1</v>
      </c>
      <c r="C13" s="246" t="s">
        <v>616</v>
      </c>
      <c r="D13" s="247"/>
    </row>
    <row r="14" spans="2:4" ht="18" x14ac:dyDescent="0.35">
      <c r="B14" s="245" t="b">
        <v>1</v>
      </c>
      <c r="C14" s="246" t="s">
        <v>617</v>
      </c>
      <c r="D14" s="247"/>
    </row>
    <row r="15" spans="2:4" ht="18" x14ac:dyDescent="0.35">
      <c r="B15" s="245" t="b">
        <v>1</v>
      </c>
      <c r="C15" s="246" t="s">
        <v>618</v>
      </c>
      <c r="D15" s="247"/>
    </row>
    <row r="16" spans="2:4" ht="18" x14ac:dyDescent="0.35">
      <c r="B16" s="245" t="b">
        <v>1</v>
      </c>
      <c r="C16" s="246" t="s">
        <v>619</v>
      </c>
      <c r="D16" s="247"/>
    </row>
    <row r="17" spans="2:4" ht="18" x14ac:dyDescent="0.35">
      <c r="B17" s="245" t="b">
        <v>1</v>
      </c>
      <c r="C17" s="246" t="s">
        <v>620</v>
      </c>
      <c r="D17" s="247"/>
    </row>
    <row r="18" spans="2:4" ht="18" x14ac:dyDescent="0.35">
      <c r="B18" s="245" t="b">
        <v>1</v>
      </c>
      <c r="C18" s="246" t="s">
        <v>621</v>
      </c>
      <c r="D18" s="247"/>
    </row>
    <row r="19" spans="2:4" ht="18" x14ac:dyDescent="0.35">
      <c r="B19" s="245" t="b">
        <v>1</v>
      </c>
      <c r="C19" s="246" t="s">
        <v>622</v>
      </c>
      <c r="D19" s="247"/>
    </row>
    <row r="20" spans="2:4" ht="18" x14ac:dyDescent="0.35">
      <c r="B20" s="245" t="b">
        <v>1</v>
      </c>
      <c r="C20" s="246" t="s">
        <v>623</v>
      </c>
      <c r="D20" s="247"/>
    </row>
    <row r="21" spans="2:4" ht="18" x14ac:dyDescent="0.35">
      <c r="B21" s="245" t="b">
        <v>1</v>
      </c>
      <c r="C21" s="246" t="s">
        <v>624</v>
      </c>
      <c r="D21" s="247"/>
    </row>
    <row r="22" spans="2:4" ht="18" x14ac:dyDescent="0.35">
      <c r="B22" s="245" t="b">
        <v>1</v>
      </c>
      <c r="C22" s="246" t="s">
        <v>625</v>
      </c>
      <c r="D22" s="247"/>
    </row>
    <row r="23" spans="2:4" ht="18" x14ac:dyDescent="0.35">
      <c r="B23" s="245" t="b">
        <v>1</v>
      </c>
      <c r="C23" s="246" t="s">
        <v>626</v>
      </c>
      <c r="D23" s="247"/>
    </row>
    <row r="24" spans="2:4" ht="18" x14ac:dyDescent="0.35">
      <c r="B24" s="245" t="b">
        <v>1</v>
      </c>
      <c r="C24" s="246" t="s">
        <v>627</v>
      </c>
      <c r="D24" s="247"/>
    </row>
    <row r="25" spans="2:4" ht="18" x14ac:dyDescent="0.35">
      <c r="B25" s="245" t="b">
        <v>1</v>
      </c>
      <c r="C25" s="246" t="s">
        <v>628</v>
      </c>
      <c r="D25" s="247"/>
    </row>
    <row r="26" spans="2:4" ht="18" x14ac:dyDescent="0.35">
      <c r="B26" s="245" t="b">
        <v>1</v>
      </c>
      <c r="C26" s="246" t="s">
        <v>629</v>
      </c>
      <c r="D26" s="247"/>
    </row>
    <row r="27" spans="2:4" ht="18" x14ac:dyDescent="0.35">
      <c r="B27" s="245" t="b">
        <v>1</v>
      </c>
      <c r="C27" s="246" t="s">
        <v>630</v>
      </c>
      <c r="D27" s="247"/>
    </row>
    <row r="28" spans="2:4" ht="18" x14ac:dyDescent="0.35">
      <c r="B28" s="245" t="b">
        <v>1</v>
      </c>
      <c r="C28" s="246" t="s">
        <v>631</v>
      </c>
      <c r="D28" s="247"/>
    </row>
    <row r="29" spans="2:4" ht="18" x14ac:dyDescent="0.35">
      <c r="B29" s="245" t="b">
        <v>1</v>
      </c>
      <c r="C29" s="246" t="s">
        <v>632</v>
      </c>
      <c r="D29" s="247"/>
    </row>
    <row r="30" spans="2:4" ht="18" x14ac:dyDescent="0.35">
      <c r="B30" s="245" t="b">
        <v>1</v>
      </c>
      <c r="C30" s="246" t="s">
        <v>633</v>
      </c>
      <c r="D30" s="247"/>
    </row>
    <row r="31" spans="2:4" ht="18" x14ac:dyDescent="0.35">
      <c r="B31" s="245" t="b">
        <v>1</v>
      </c>
      <c r="C31" s="246" t="s">
        <v>634</v>
      </c>
      <c r="D31" s="247"/>
    </row>
    <row r="32" spans="2:4" ht="18" x14ac:dyDescent="0.35">
      <c r="B32" s="245" t="b">
        <v>1</v>
      </c>
      <c r="C32" s="247" t="s">
        <v>635</v>
      </c>
      <c r="D32" s="247"/>
    </row>
    <row r="33" spans="2:4" ht="18" x14ac:dyDescent="0.35">
      <c r="B33" s="245" t="b">
        <v>1</v>
      </c>
      <c r="C33" s="247" t="s">
        <v>636</v>
      </c>
      <c r="D33" s="247"/>
    </row>
    <row r="34" spans="2:4" x14ac:dyDescent="0.25">
      <c r="B34" s="111"/>
      <c r="C34" s="111"/>
    </row>
    <row r="35" spans="2:4" x14ac:dyDescent="0.25">
      <c r="B35" s="111"/>
      <c r="C35" s="111"/>
    </row>
    <row r="36" spans="2:4" x14ac:dyDescent="0.25">
      <c r="B36" s="111"/>
      <c r="C36" s="111"/>
    </row>
    <row r="37" spans="2:4" x14ac:dyDescent="0.25">
      <c r="B37" s="111"/>
      <c r="C37" s="111"/>
    </row>
    <row r="38" spans="2:4" x14ac:dyDescent="0.25">
      <c r="B38" s="111"/>
      <c r="C38" s="111"/>
    </row>
    <row r="39" spans="2:4" x14ac:dyDescent="0.25">
      <c r="B39" s="111"/>
      <c r="C39" s="111"/>
    </row>
    <row r="40" spans="2:4" x14ac:dyDescent="0.25">
      <c r="B40" s="111"/>
      <c r="C40" s="111"/>
    </row>
    <row r="41" spans="2:4" x14ac:dyDescent="0.25">
      <c r="B41" s="111"/>
      <c r="C41" s="111"/>
    </row>
    <row r="42" spans="2:4" s="111" customFormat="1" x14ac:dyDescent="0.25"/>
    <row r="43" spans="2:4" s="111" customFormat="1" x14ac:dyDescent="0.25"/>
    <row r="44" spans="2:4" s="111" customFormat="1" x14ac:dyDescent="0.25"/>
    <row r="45" spans="2:4" s="111" customFormat="1" x14ac:dyDescent="0.25"/>
    <row r="46" spans="2:4" s="111" customFormat="1" x14ac:dyDescent="0.25"/>
    <row r="47" spans="2:4" s="111" customFormat="1" x14ac:dyDescent="0.25"/>
    <row r="48" spans="2:4" s="111" customFormat="1" x14ac:dyDescent="0.25"/>
    <row r="49" s="111" customFormat="1" x14ac:dyDescent="0.25"/>
    <row r="50" s="111" customFormat="1" x14ac:dyDescent="0.25"/>
    <row r="51" s="111" customFormat="1" x14ac:dyDescent="0.25"/>
    <row r="52" s="111" customFormat="1" x14ac:dyDescent="0.25"/>
    <row r="53" s="111" customFormat="1" x14ac:dyDescent="0.25"/>
    <row r="54" s="111" customFormat="1" x14ac:dyDescent="0.25"/>
    <row r="55" s="111" customFormat="1" x14ac:dyDescent="0.25"/>
    <row r="56" s="111" customFormat="1" x14ac:dyDescent="0.25"/>
    <row r="57" s="111" customFormat="1" x14ac:dyDescent="0.25"/>
    <row r="58" s="111" customFormat="1" x14ac:dyDescent="0.25"/>
    <row r="59" s="111" customFormat="1" x14ac:dyDescent="0.25"/>
    <row r="60" s="111" customFormat="1" x14ac:dyDescent="0.25"/>
    <row r="61" s="111" customFormat="1" x14ac:dyDescent="0.25"/>
    <row r="62" s="111" customFormat="1" x14ac:dyDescent="0.25"/>
    <row r="63" s="111" customFormat="1" x14ac:dyDescent="0.25"/>
    <row r="64" s="111" customFormat="1" x14ac:dyDescent="0.25"/>
    <row r="65" s="111" customFormat="1" x14ac:dyDescent="0.25"/>
    <row r="66" s="111" customFormat="1" x14ac:dyDescent="0.25"/>
    <row r="67" s="111" customFormat="1" x14ac:dyDescent="0.25"/>
    <row r="68" s="111" customFormat="1" x14ac:dyDescent="0.25"/>
    <row r="69" s="111" customFormat="1" x14ac:dyDescent="0.25"/>
    <row r="70" s="111" customFormat="1" x14ac:dyDescent="0.25"/>
    <row r="71" s="111" customFormat="1" x14ac:dyDescent="0.25"/>
    <row r="72" s="111" customFormat="1" x14ac:dyDescent="0.25"/>
    <row r="73" s="111" customFormat="1" x14ac:dyDescent="0.25"/>
    <row r="74" s="111" customFormat="1" x14ac:dyDescent="0.25"/>
    <row r="75" s="111" customFormat="1" x14ac:dyDescent="0.25"/>
    <row r="76" s="111" customFormat="1" x14ac:dyDescent="0.25"/>
    <row r="77" s="111" customFormat="1" x14ac:dyDescent="0.25"/>
    <row r="78" s="111" customFormat="1" x14ac:dyDescent="0.25"/>
    <row r="79" s="111" customFormat="1" x14ac:dyDescent="0.25"/>
    <row r="80" s="111" customFormat="1" x14ac:dyDescent="0.25"/>
    <row r="81" s="111" customFormat="1" x14ac:dyDescent="0.25"/>
    <row r="82" s="111" customFormat="1" x14ac:dyDescent="0.25"/>
    <row r="83" s="111" customFormat="1" x14ac:dyDescent="0.25"/>
    <row r="84" s="111" customFormat="1" x14ac:dyDescent="0.25"/>
    <row r="85" s="111" customFormat="1" x14ac:dyDescent="0.25"/>
    <row r="86" s="111" customFormat="1" x14ac:dyDescent="0.25"/>
    <row r="87" s="111" customFormat="1" x14ac:dyDescent="0.25"/>
    <row r="88" s="111" customFormat="1" x14ac:dyDescent="0.25"/>
    <row r="89" s="111" customFormat="1" x14ac:dyDescent="0.25"/>
    <row r="90" s="111" customFormat="1" x14ac:dyDescent="0.25"/>
    <row r="91" s="111" customFormat="1" x14ac:dyDescent="0.25"/>
    <row r="92" s="111" customFormat="1" x14ac:dyDescent="0.25"/>
    <row r="93" s="111" customFormat="1" x14ac:dyDescent="0.25"/>
    <row r="94" s="111" customFormat="1" x14ac:dyDescent="0.25"/>
    <row r="95" s="111" customFormat="1" x14ac:dyDescent="0.25"/>
    <row r="96" s="111" customFormat="1" x14ac:dyDescent="0.25"/>
    <row r="97" s="111" customFormat="1" x14ac:dyDescent="0.25"/>
    <row r="98" s="111" customFormat="1" x14ac:dyDescent="0.25"/>
    <row r="99" s="111" customFormat="1" x14ac:dyDescent="0.25"/>
    <row r="100" s="111" customFormat="1" x14ac:dyDescent="0.25"/>
    <row r="101" s="111" customFormat="1" x14ac:dyDescent="0.25"/>
    <row r="102" s="111" customFormat="1" x14ac:dyDescent="0.25"/>
    <row r="103" s="111" customFormat="1" x14ac:dyDescent="0.25"/>
    <row r="104" s="111" customFormat="1" x14ac:dyDescent="0.25"/>
    <row r="105" s="111" customFormat="1" x14ac:dyDescent="0.25"/>
    <row r="106" s="111" customFormat="1" x14ac:dyDescent="0.25"/>
    <row r="107" s="111" customFormat="1" x14ac:dyDescent="0.25"/>
    <row r="108" s="111" customFormat="1" x14ac:dyDescent="0.25"/>
    <row r="109" s="111" customFormat="1" x14ac:dyDescent="0.25"/>
    <row r="110" s="111" customFormat="1" x14ac:dyDescent="0.25"/>
    <row r="111" s="111" customFormat="1" x14ac:dyDescent="0.25"/>
    <row r="112" s="111" customFormat="1" x14ac:dyDescent="0.25"/>
    <row r="113" s="111" customFormat="1" x14ac:dyDescent="0.25"/>
    <row r="114" s="111" customFormat="1" x14ac:dyDescent="0.25"/>
    <row r="115" s="111" customFormat="1" x14ac:dyDescent="0.25"/>
    <row r="116" s="111" customFormat="1" x14ac:dyDescent="0.25"/>
    <row r="117" s="111" customFormat="1" x14ac:dyDescent="0.25"/>
    <row r="118" s="111" customFormat="1" x14ac:dyDescent="0.25"/>
    <row r="119" s="111" customFormat="1" x14ac:dyDescent="0.25"/>
    <row r="120" s="111" customFormat="1" x14ac:dyDescent="0.25"/>
    <row r="121" s="111" customFormat="1" x14ac:dyDescent="0.25"/>
    <row r="122" s="111" customFormat="1" x14ac:dyDescent="0.25"/>
    <row r="123" s="111" customFormat="1" x14ac:dyDescent="0.25"/>
    <row r="124" s="111" customFormat="1" x14ac:dyDescent="0.25"/>
    <row r="125" s="111" customFormat="1" x14ac:dyDescent="0.25"/>
    <row r="126" s="111" customFormat="1" x14ac:dyDescent="0.25"/>
    <row r="127" s="111" customFormat="1" x14ac:dyDescent="0.25"/>
    <row r="128" s="111" customFormat="1" x14ac:dyDescent="0.25"/>
    <row r="129" s="111" customFormat="1" x14ac:dyDescent="0.25"/>
    <row r="130" s="111" customFormat="1" x14ac:dyDescent="0.25"/>
    <row r="131" s="111" customFormat="1" x14ac:dyDescent="0.25"/>
    <row r="132" s="111" customFormat="1" x14ac:dyDescent="0.25"/>
    <row r="133" s="111" customFormat="1" x14ac:dyDescent="0.25"/>
    <row r="134" s="111" customFormat="1" x14ac:dyDescent="0.25"/>
    <row r="135" s="111" customFormat="1" x14ac:dyDescent="0.25"/>
    <row r="136" s="111" customFormat="1" x14ac:dyDescent="0.25"/>
    <row r="137" s="111" customFormat="1" x14ac:dyDescent="0.25"/>
    <row r="138" s="111" customFormat="1" x14ac:dyDescent="0.25"/>
    <row r="139" s="111" customFormat="1" x14ac:dyDescent="0.25"/>
    <row r="140" s="111" customFormat="1" x14ac:dyDescent="0.25"/>
    <row r="141" s="111" customFormat="1" x14ac:dyDescent="0.25"/>
    <row r="142" s="111" customFormat="1" x14ac:dyDescent="0.25"/>
    <row r="143" s="111" customFormat="1" x14ac:dyDescent="0.25"/>
    <row r="144" s="111" customFormat="1" x14ac:dyDescent="0.25"/>
    <row r="145" s="111" customFormat="1" x14ac:dyDescent="0.25"/>
    <row r="146" s="111" customFormat="1" x14ac:dyDescent="0.25"/>
    <row r="147" s="111" customFormat="1" x14ac:dyDescent="0.25"/>
    <row r="148" s="111" customFormat="1" x14ac:dyDescent="0.25"/>
    <row r="149" s="111" customFormat="1" x14ac:dyDescent="0.25"/>
    <row r="150" s="111" customFormat="1" x14ac:dyDescent="0.25"/>
    <row r="151" s="111" customFormat="1" x14ac:dyDescent="0.25"/>
    <row r="152" s="111" customFormat="1" x14ac:dyDescent="0.25"/>
    <row r="153" s="111" customFormat="1" x14ac:dyDescent="0.25"/>
    <row r="154" s="111" customFormat="1" x14ac:dyDescent="0.25"/>
    <row r="155" s="111" customFormat="1" x14ac:dyDescent="0.25"/>
    <row r="156" s="111" customFormat="1" x14ac:dyDescent="0.25"/>
    <row r="157" s="111" customFormat="1" x14ac:dyDescent="0.25"/>
    <row r="158" s="111" customFormat="1" x14ac:dyDescent="0.25"/>
    <row r="159" s="111" customFormat="1" x14ac:dyDescent="0.25"/>
    <row r="160" s="111" customFormat="1" x14ac:dyDescent="0.25"/>
    <row r="161" s="111" customFormat="1" x14ac:dyDescent="0.25"/>
    <row r="162" s="111" customFormat="1" x14ac:dyDescent="0.25"/>
    <row r="163" s="111" customFormat="1" x14ac:dyDescent="0.25"/>
    <row r="164" s="111" customFormat="1" x14ac:dyDescent="0.25"/>
    <row r="165" s="111" customFormat="1" x14ac:dyDescent="0.25"/>
    <row r="166" s="111" customFormat="1" x14ac:dyDescent="0.25"/>
    <row r="167" s="111" customFormat="1" x14ac:dyDescent="0.25"/>
    <row r="168" s="111" customFormat="1" x14ac:dyDescent="0.25"/>
    <row r="169" s="111" customFormat="1" x14ac:dyDescent="0.25"/>
    <row r="170" s="111" customFormat="1" x14ac:dyDescent="0.25"/>
    <row r="171" s="111" customFormat="1" x14ac:dyDescent="0.25"/>
    <row r="172" s="111" customFormat="1" x14ac:dyDescent="0.25"/>
    <row r="173" s="111" customFormat="1" x14ac:dyDescent="0.25"/>
    <row r="174" s="111" customFormat="1" x14ac:dyDescent="0.25"/>
    <row r="175" s="111" customFormat="1" x14ac:dyDescent="0.25"/>
    <row r="176" s="111" customFormat="1" x14ac:dyDescent="0.25"/>
    <row r="177" s="111" customFormat="1" x14ac:dyDescent="0.25"/>
    <row r="178" s="111" customFormat="1" x14ac:dyDescent="0.25"/>
    <row r="179" s="111" customFormat="1" x14ac:dyDescent="0.25"/>
    <row r="180" s="111" customFormat="1" x14ac:dyDescent="0.25"/>
    <row r="181" s="111" customFormat="1" x14ac:dyDescent="0.25"/>
    <row r="182" s="111" customFormat="1" x14ac:dyDescent="0.25"/>
    <row r="183" s="111" customFormat="1" x14ac:dyDescent="0.25"/>
    <row r="184" s="111" customFormat="1" x14ac:dyDescent="0.25"/>
    <row r="185" s="111" customFormat="1" x14ac:dyDescent="0.25"/>
    <row r="186" s="111" customFormat="1" x14ac:dyDescent="0.25"/>
    <row r="187" s="111" customFormat="1" x14ac:dyDescent="0.25"/>
    <row r="188" s="111" customFormat="1" x14ac:dyDescent="0.25"/>
    <row r="189" s="111" customFormat="1" x14ac:dyDescent="0.25"/>
    <row r="190" s="111" customFormat="1" x14ac:dyDescent="0.25"/>
    <row r="191" s="111" customFormat="1" x14ac:dyDescent="0.25"/>
    <row r="192" s="111" customFormat="1" x14ac:dyDescent="0.25"/>
    <row r="193" s="111" customFormat="1" x14ac:dyDescent="0.25"/>
    <row r="194" s="111" customFormat="1" x14ac:dyDescent="0.25"/>
    <row r="195" s="111" customFormat="1" x14ac:dyDescent="0.25"/>
    <row r="196" s="111" customFormat="1" x14ac:dyDescent="0.25"/>
    <row r="197" s="111" customFormat="1" x14ac:dyDescent="0.25"/>
    <row r="198" s="111" customFormat="1" x14ac:dyDescent="0.25"/>
    <row r="199" s="111" customFormat="1" x14ac:dyDescent="0.25"/>
    <row r="200" s="111" customFormat="1" x14ac:dyDescent="0.25"/>
    <row r="201" s="111" customFormat="1" x14ac:dyDescent="0.25"/>
    <row r="202" s="111" customFormat="1" x14ac:dyDescent="0.25"/>
    <row r="203" s="111" customFormat="1" x14ac:dyDescent="0.25"/>
    <row r="204" s="111" customFormat="1" x14ac:dyDescent="0.25"/>
    <row r="205" s="111" customFormat="1" x14ac:dyDescent="0.25"/>
    <row r="206" s="111" customFormat="1" x14ac:dyDescent="0.25"/>
    <row r="207" s="111" customFormat="1" x14ac:dyDescent="0.25"/>
    <row r="208" s="111" customFormat="1" x14ac:dyDescent="0.25"/>
    <row r="209" s="111" customFormat="1" x14ac:dyDescent="0.25"/>
    <row r="210" s="111" customFormat="1" x14ac:dyDescent="0.25"/>
    <row r="211" s="111" customFormat="1" x14ac:dyDescent="0.25"/>
    <row r="212" s="111" customFormat="1" x14ac:dyDescent="0.25"/>
    <row r="213" s="111" customFormat="1" x14ac:dyDescent="0.25"/>
    <row r="214" s="111" customFormat="1" x14ac:dyDescent="0.25"/>
    <row r="215" s="111" customFormat="1" x14ac:dyDescent="0.25"/>
    <row r="216" s="111" customFormat="1" x14ac:dyDescent="0.25"/>
    <row r="217" s="111" customFormat="1" x14ac:dyDescent="0.25"/>
    <row r="218" s="111" customFormat="1" x14ac:dyDescent="0.25"/>
    <row r="219" s="111" customFormat="1" x14ac:dyDescent="0.25"/>
    <row r="220" s="111" customFormat="1" x14ac:dyDescent="0.25"/>
    <row r="221" s="111" customFormat="1" x14ac:dyDescent="0.25"/>
    <row r="222" s="111" customFormat="1" x14ac:dyDescent="0.25"/>
    <row r="223" s="111" customFormat="1" x14ac:dyDescent="0.25"/>
    <row r="224" s="111" customFormat="1" x14ac:dyDescent="0.25"/>
    <row r="225" s="111" customFormat="1" x14ac:dyDescent="0.25"/>
    <row r="226" s="111" customFormat="1" x14ac:dyDescent="0.25"/>
    <row r="227" s="111" customFormat="1" x14ac:dyDescent="0.25"/>
    <row r="228" s="111" customFormat="1" x14ac:dyDescent="0.25"/>
    <row r="229" s="111" customFormat="1" x14ac:dyDescent="0.25"/>
    <row r="230" s="111" customFormat="1" x14ac:dyDescent="0.25"/>
    <row r="231" s="111" customFormat="1" x14ac:dyDescent="0.25"/>
    <row r="232" s="111" customFormat="1" x14ac:dyDescent="0.25"/>
    <row r="233" s="111" customFormat="1" x14ac:dyDescent="0.25"/>
    <row r="234" s="111" customFormat="1" x14ac:dyDescent="0.25"/>
    <row r="235" s="111" customFormat="1" x14ac:dyDescent="0.25"/>
    <row r="236" s="111" customFormat="1" x14ac:dyDescent="0.25"/>
    <row r="237" s="111" customFormat="1" x14ac:dyDescent="0.25"/>
    <row r="238" s="111" customFormat="1" x14ac:dyDescent="0.25"/>
    <row r="239" s="111" customFormat="1" x14ac:dyDescent="0.25"/>
    <row r="240" s="111" customFormat="1" x14ac:dyDescent="0.25"/>
    <row r="241" s="111" customFormat="1" x14ac:dyDescent="0.25"/>
    <row r="242" s="111" customFormat="1" x14ac:dyDescent="0.25"/>
    <row r="243" s="111" customFormat="1" x14ac:dyDescent="0.25"/>
    <row r="244" s="111" customFormat="1" x14ac:dyDescent="0.25"/>
    <row r="245" s="111" customFormat="1" x14ac:dyDescent="0.25"/>
    <row r="246" s="111" customFormat="1" x14ac:dyDescent="0.25"/>
    <row r="247" s="111" customFormat="1" x14ac:dyDescent="0.25"/>
    <row r="248" s="111" customFormat="1" x14ac:dyDescent="0.25"/>
    <row r="249" s="111" customFormat="1" x14ac:dyDescent="0.25"/>
    <row r="250" s="111" customFormat="1" x14ac:dyDescent="0.25"/>
    <row r="251" s="111" customFormat="1" x14ac:dyDescent="0.25"/>
    <row r="252" s="111" customFormat="1" x14ac:dyDescent="0.25"/>
    <row r="253" s="111" customFormat="1" x14ac:dyDescent="0.25"/>
    <row r="254" s="111" customFormat="1" x14ac:dyDescent="0.25"/>
    <row r="255" s="111" customFormat="1" x14ac:dyDescent="0.25"/>
    <row r="256" s="111" customFormat="1" x14ac:dyDescent="0.25"/>
    <row r="257" s="111" customFormat="1" x14ac:dyDescent="0.25"/>
    <row r="258" s="111" customFormat="1" x14ac:dyDescent="0.25"/>
    <row r="259" s="111" customFormat="1" x14ac:dyDescent="0.25"/>
    <row r="260" s="111" customFormat="1" x14ac:dyDescent="0.25"/>
    <row r="261" s="111" customFormat="1" x14ac:dyDescent="0.25"/>
    <row r="262" s="111" customFormat="1" x14ac:dyDescent="0.25"/>
    <row r="263" s="111" customFormat="1" x14ac:dyDescent="0.25"/>
    <row r="264" s="111" customFormat="1" x14ac:dyDescent="0.25"/>
    <row r="265" s="111" customFormat="1" x14ac:dyDescent="0.25"/>
    <row r="266" s="111" customFormat="1" x14ac:dyDescent="0.25"/>
    <row r="267" s="111" customFormat="1" x14ac:dyDescent="0.25"/>
    <row r="268" s="111" customFormat="1" x14ac:dyDescent="0.25"/>
    <row r="269" s="111" customFormat="1" x14ac:dyDescent="0.25"/>
    <row r="270" s="111" customFormat="1" x14ac:dyDescent="0.25"/>
    <row r="271" s="111" customFormat="1" x14ac:dyDescent="0.25"/>
    <row r="272" s="111" customFormat="1" x14ac:dyDescent="0.25"/>
    <row r="273" s="111" customFormat="1" x14ac:dyDescent="0.25"/>
    <row r="274" s="111" customFormat="1" x14ac:dyDescent="0.25"/>
    <row r="275" s="111" customFormat="1" x14ac:dyDescent="0.25"/>
    <row r="276" s="111" customFormat="1" x14ac:dyDescent="0.25"/>
    <row r="277" s="111" customFormat="1" x14ac:dyDescent="0.25"/>
    <row r="278" s="111" customFormat="1" x14ac:dyDescent="0.25"/>
    <row r="279" s="111" customFormat="1" x14ac:dyDescent="0.25"/>
    <row r="280" s="111" customFormat="1" x14ac:dyDescent="0.25"/>
    <row r="281" s="111" customFormat="1" x14ac:dyDescent="0.25"/>
    <row r="282" s="111" customFormat="1" x14ac:dyDescent="0.25"/>
    <row r="283" s="111" customFormat="1" x14ac:dyDescent="0.25"/>
    <row r="284" s="111" customFormat="1" x14ac:dyDescent="0.25"/>
    <row r="285" s="111" customFormat="1" x14ac:dyDescent="0.25"/>
    <row r="286" s="111" customFormat="1" x14ac:dyDescent="0.25"/>
    <row r="287" s="111" customFormat="1" x14ac:dyDescent="0.25"/>
    <row r="288" s="111" customFormat="1" x14ac:dyDescent="0.25"/>
    <row r="289" s="111" customFormat="1" x14ac:dyDescent="0.25"/>
    <row r="290" s="111" customFormat="1" x14ac:dyDescent="0.25"/>
    <row r="291" s="111" customFormat="1" x14ac:dyDescent="0.25"/>
    <row r="292" s="111" customFormat="1" x14ac:dyDescent="0.25"/>
    <row r="293" s="111" customFormat="1" x14ac:dyDescent="0.25"/>
    <row r="294" s="111" customFormat="1" x14ac:dyDescent="0.25"/>
    <row r="295" s="111" customFormat="1" x14ac:dyDescent="0.25"/>
    <row r="296" s="111" customFormat="1" x14ac:dyDescent="0.25"/>
    <row r="297" s="111" customFormat="1" x14ac:dyDescent="0.25"/>
    <row r="298" s="111" customFormat="1" x14ac:dyDescent="0.25"/>
    <row r="299" s="111" customFormat="1" x14ac:dyDescent="0.25"/>
    <row r="300" s="111" customFormat="1" x14ac:dyDescent="0.25"/>
    <row r="301" s="111" customFormat="1" x14ac:dyDescent="0.25"/>
    <row r="302" s="111" customFormat="1" x14ac:dyDescent="0.25"/>
    <row r="303" s="111" customFormat="1" x14ac:dyDescent="0.25"/>
    <row r="304" s="111" customFormat="1" x14ac:dyDescent="0.25"/>
    <row r="305" s="111" customFormat="1" x14ac:dyDescent="0.25"/>
    <row r="306" s="111" customFormat="1" x14ac:dyDescent="0.25"/>
    <row r="307" s="111" customFormat="1" x14ac:dyDescent="0.25"/>
    <row r="308" s="111" customFormat="1" x14ac:dyDescent="0.25"/>
    <row r="309" s="111" customFormat="1" x14ac:dyDescent="0.25"/>
    <row r="310" s="111" customFormat="1" x14ac:dyDescent="0.25"/>
    <row r="311" s="111" customFormat="1" x14ac:dyDescent="0.25"/>
    <row r="312" s="111" customFormat="1" x14ac:dyDescent="0.25"/>
    <row r="313" s="111" customFormat="1" x14ac:dyDescent="0.25"/>
    <row r="314" s="111" customFormat="1" x14ac:dyDescent="0.25"/>
    <row r="315" s="111" customFormat="1" x14ac:dyDescent="0.25"/>
    <row r="316" s="111" customFormat="1" x14ac:dyDescent="0.25"/>
    <row r="317" s="111" customFormat="1" x14ac:dyDescent="0.25"/>
    <row r="318" s="111" customFormat="1" x14ac:dyDescent="0.25"/>
    <row r="319" s="111" customFormat="1" x14ac:dyDescent="0.25"/>
    <row r="320" s="111" customFormat="1" x14ac:dyDescent="0.25"/>
    <row r="321" s="111" customFormat="1" x14ac:dyDescent="0.25"/>
    <row r="322" s="111" customFormat="1" x14ac:dyDescent="0.25"/>
    <row r="323" s="111" customFormat="1" x14ac:dyDescent="0.25"/>
    <row r="324" s="111" customFormat="1" x14ac:dyDescent="0.25"/>
    <row r="325" s="111" customFormat="1" x14ac:dyDescent="0.25"/>
    <row r="326" s="111" customFormat="1" x14ac:dyDescent="0.25"/>
    <row r="327" s="111" customFormat="1" x14ac:dyDescent="0.25"/>
    <row r="328" s="111" customFormat="1" x14ac:dyDescent="0.25"/>
    <row r="329" s="111" customFormat="1" x14ac:dyDescent="0.25"/>
    <row r="330" s="111" customFormat="1" x14ac:dyDescent="0.25"/>
    <row r="331" s="111" customFormat="1" x14ac:dyDescent="0.25"/>
    <row r="332" s="111" customFormat="1" x14ac:dyDescent="0.25"/>
    <row r="333" s="111" customFormat="1" x14ac:dyDescent="0.25"/>
    <row r="334" s="111" customFormat="1" x14ac:dyDescent="0.25"/>
    <row r="335" s="111" customFormat="1" x14ac:dyDescent="0.25"/>
    <row r="336" s="111" customFormat="1" x14ac:dyDescent="0.25"/>
    <row r="337" s="111" customFormat="1" x14ac:dyDescent="0.25"/>
    <row r="338" s="111" customFormat="1" x14ac:dyDescent="0.25"/>
    <row r="339" s="111" customFormat="1" x14ac:dyDescent="0.25"/>
    <row r="340" s="111" customFormat="1" x14ac:dyDescent="0.25"/>
    <row r="341" s="111" customFormat="1" x14ac:dyDescent="0.25"/>
    <row r="342" s="111" customFormat="1" x14ac:dyDescent="0.25"/>
    <row r="343" s="111" customFormat="1" x14ac:dyDescent="0.25"/>
    <row r="344" s="111" customFormat="1" x14ac:dyDescent="0.25"/>
    <row r="345" s="111" customFormat="1" x14ac:dyDescent="0.25"/>
    <row r="346" s="111" customFormat="1" x14ac:dyDescent="0.25"/>
    <row r="347" s="111" customFormat="1" x14ac:dyDescent="0.25"/>
    <row r="348" s="111" customFormat="1" x14ac:dyDescent="0.25"/>
    <row r="349" s="111" customFormat="1" x14ac:dyDescent="0.25"/>
    <row r="350" s="111" customFormat="1" x14ac:dyDescent="0.25"/>
    <row r="351" s="111" customFormat="1" x14ac:dyDescent="0.25"/>
    <row r="352" s="111" customFormat="1" x14ac:dyDescent="0.25"/>
    <row r="353" s="111" customFormat="1" x14ac:dyDescent="0.25"/>
    <row r="354" s="111" customFormat="1" x14ac:dyDescent="0.25"/>
    <row r="355" s="111" customFormat="1" x14ac:dyDescent="0.25"/>
    <row r="356" s="111" customFormat="1" x14ac:dyDescent="0.25"/>
    <row r="357" s="111" customFormat="1" x14ac:dyDescent="0.25"/>
    <row r="358" s="111" customFormat="1" x14ac:dyDescent="0.25"/>
    <row r="359" s="111" customFormat="1" x14ac:dyDescent="0.25"/>
    <row r="360" s="111" customFormat="1" x14ac:dyDescent="0.25"/>
    <row r="361" s="111" customFormat="1" x14ac:dyDescent="0.25"/>
    <row r="362" s="111" customFormat="1" x14ac:dyDescent="0.25"/>
    <row r="363" s="111" customFormat="1" x14ac:dyDescent="0.25"/>
    <row r="364" s="111" customFormat="1" x14ac:dyDescent="0.25"/>
    <row r="365" s="111" customFormat="1" x14ac:dyDescent="0.25"/>
    <row r="366" s="111" customFormat="1" x14ac:dyDescent="0.25"/>
    <row r="367" s="111" customFormat="1" x14ac:dyDescent="0.25"/>
    <row r="368" s="111" customFormat="1" x14ac:dyDescent="0.25"/>
    <row r="369" s="111" customFormat="1" x14ac:dyDescent="0.25"/>
    <row r="370" s="111" customFormat="1" x14ac:dyDescent="0.25"/>
    <row r="371" s="111" customFormat="1" x14ac:dyDescent="0.25"/>
    <row r="372" s="111" customFormat="1" x14ac:dyDescent="0.25"/>
    <row r="373" s="111" customFormat="1" x14ac:dyDescent="0.25"/>
    <row r="374" s="111" customFormat="1" x14ac:dyDescent="0.25"/>
    <row r="375" s="111" customFormat="1" x14ac:dyDescent="0.25"/>
    <row r="376" s="111" customFormat="1" x14ac:dyDescent="0.25"/>
    <row r="377" s="111" customFormat="1" x14ac:dyDescent="0.25"/>
    <row r="378" s="111" customFormat="1" x14ac:dyDescent="0.25"/>
    <row r="379" s="111" customFormat="1" x14ac:dyDescent="0.25"/>
    <row r="380" s="111" customFormat="1" x14ac:dyDescent="0.25"/>
    <row r="381" s="111" customFormat="1" x14ac:dyDescent="0.25"/>
    <row r="382" s="111" customFormat="1" x14ac:dyDescent="0.25"/>
    <row r="383" s="111" customFormat="1" x14ac:dyDescent="0.25"/>
    <row r="384" s="111" customFormat="1" x14ac:dyDescent="0.25"/>
    <row r="385" s="111" customFormat="1" x14ac:dyDescent="0.25"/>
    <row r="386" s="111" customFormat="1" x14ac:dyDescent="0.25"/>
    <row r="387" s="111" customFormat="1" x14ac:dyDescent="0.25"/>
    <row r="388" s="111" customFormat="1" x14ac:dyDescent="0.25"/>
    <row r="389" s="111" customFormat="1" x14ac:dyDescent="0.25"/>
    <row r="390" s="111" customFormat="1" x14ac:dyDescent="0.25"/>
    <row r="391" s="111" customFormat="1" x14ac:dyDescent="0.25"/>
    <row r="392" s="111" customFormat="1" x14ac:dyDescent="0.25"/>
    <row r="393" s="111" customFormat="1" x14ac:dyDescent="0.25"/>
    <row r="394" s="111" customFormat="1" x14ac:dyDescent="0.25"/>
    <row r="395" s="111" customFormat="1" x14ac:dyDescent="0.25"/>
    <row r="396" s="111" customFormat="1" x14ac:dyDescent="0.25"/>
    <row r="397" s="111" customFormat="1" x14ac:dyDescent="0.25"/>
    <row r="398" s="111" customFormat="1" x14ac:dyDescent="0.25"/>
    <row r="399" s="111" customFormat="1" x14ac:dyDescent="0.25"/>
    <row r="400" s="111" customFormat="1" x14ac:dyDescent="0.25"/>
    <row r="401" s="111" customFormat="1" x14ac:dyDescent="0.25"/>
    <row r="402" s="111" customFormat="1" x14ac:dyDescent="0.25"/>
    <row r="403" s="111" customFormat="1" x14ac:dyDescent="0.25"/>
    <row r="404" s="111" customFormat="1" x14ac:dyDescent="0.25"/>
    <row r="405" s="111" customFormat="1" x14ac:dyDescent="0.25"/>
    <row r="406" s="111" customFormat="1" x14ac:dyDescent="0.25"/>
    <row r="407" s="111" customFormat="1" x14ac:dyDescent="0.25"/>
    <row r="408" s="111" customFormat="1" x14ac:dyDescent="0.25"/>
    <row r="409" s="111" customFormat="1" x14ac:dyDescent="0.25"/>
    <row r="410" s="111" customFormat="1" x14ac:dyDescent="0.25"/>
    <row r="411" s="111" customFormat="1" x14ac:dyDescent="0.25"/>
    <row r="412" s="111" customFormat="1" x14ac:dyDescent="0.25"/>
    <row r="413" s="111" customFormat="1" x14ac:dyDescent="0.25"/>
    <row r="414" s="111" customFormat="1" x14ac:dyDescent="0.25"/>
    <row r="415" s="111" customFormat="1" x14ac:dyDescent="0.25"/>
    <row r="416" s="111" customFormat="1" x14ac:dyDescent="0.25"/>
    <row r="417" s="111" customFormat="1" x14ac:dyDescent="0.25"/>
    <row r="418" s="111" customFormat="1" x14ac:dyDescent="0.25"/>
    <row r="419" s="111" customFormat="1" x14ac:dyDescent="0.25"/>
    <row r="420" s="111" customFormat="1" x14ac:dyDescent="0.25"/>
    <row r="421" s="111" customFormat="1" x14ac:dyDescent="0.25"/>
    <row r="422" s="111" customFormat="1" x14ac:dyDescent="0.25"/>
    <row r="423" s="111" customFormat="1" x14ac:dyDescent="0.25"/>
    <row r="424" s="111" customFormat="1" x14ac:dyDescent="0.25"/>
    <row r="425" s="111" customFormat="1" x14ac:dyDescent="0.25"/>
    <row r="426" s="111" customFormat="1" x14ac:dyDescent="0.25"/>
    <row r="427" s="111" customFormat="1" x14ac:dyDescent="0.25"/>
    <row r="428" s="111" customFormat="1" x14ac:dyDescent="0.25"/>
    <row r="429" s="111" customFormat="1" x14ac:dyDescent="0.25"/>
    <row r="430" s="111" customFormat="1" x14ac:dyDescent="0.25"/>
    <row r="431" s="111" customFormat="1" x14ac:dyDescent="0.25"/>
    <row r="432" s="111" customFormat="1" x14ac:dyDescent="0.25"/>
    <row r="433" s="111" customFormat="1" x14ac:dyDescent="0.25"/>
    <row r="434" s="111" customFormat="1" x14ac:dyDescent="0.25"/>
    <row r="435" s="111" customFormat="1" x14ac:dyDescent="0.25"/>
    <row r="436" s="111" customFormat="1" x14ac:dyDescent="0.25"/>
    <row r="437" s="111" customFormat="1" x14ac:dyDescent="0.25"/>
    <row r="438" s="111" customFormat="1" x14ac:dyDescent="0.25"/>
    <row r="439" s="111" customFormat="1" x14ac:dyDescent="0.25"/>
    <row r="440" s="111" customFormat="1" x14ac:dyDescent="0.25"/>
    <row r="441" s="111" customFormat="1" x14ac:dyDescent="0.25"/>
    <row r="442" s="111" customFormat="1" x14ac:dyDescent="0.25"/>
    <row r="443" s="111" customFormat="1" x14ac:dyDescent="0.25"/>
    <row r="444" s="111" customFormat="1" x14ac:dyDescent="0.25"/>
    <row r="445" s="111" customFormat="1" x14ac:dyDescent="0.25"/>
    <row r="446" s="111" customFormat="1" x14ac:dyDescent="0.25"/>
    <row r="447" s="111" customFormat="1" x14ac:dyDescent="0.25"/>
    <row r="448" s="111" customFormat="1" x14ac:dyDescent="0.25"/>
    <row r="449" s="111" customFormat="1" x14ac:dyDescent="0.25"/>
    <row r="450" s="111" customFormat="1" x14ac:dyDescent="0.25"/>
    <row r="451" s="111" customFormat="1" x14ac:dyDescent="0.25"/>
    <row r="452" s="111" customFormat="1" x14ac:dyDescent="0.25"/>
    <row r="453" s="111" customFormat="1" x14ac:dyDescent="0.25"/>
    <row r="454" s="111" customFormat="1" x14ac:dyDescent="0.25"/>
    <row r="455" s="111" customFormat="1" x14ac:dyDescent="0.25"/>
    <row r="456" s="111" customFormat="1" x14ac:dyDescent="0.25"/>
    <row r="457" s="111" customFormat="1" x14ac:dyDescent="0.25"/>
    <row r="458" s="111" customFormat="1" x14ac:dyDescent="0.25"/>
    <row r="459" s="111" customFormat="1" x14ac:dyDescent="0.25"/>
    <row r="460" s="111" customFormat="1" x14ac:dyDescent="0.25"/>
    <row r="461" s="111" customFormat="1" x14ac:dyDescent="0.25"/>
    <row r="462" s="111" customFormat="1" x14ac:dyDescent="0.25"/>
    <row r="463" s="111" customFormat="1" x14ac:dyDescent="0.25"/>
    <row r="464" s="111" customFormat="1" x14ac:dyDescent="0.25"/>
    <row r="465" s="111" customFormat="1" x14ac:dyDescent="0.25"/>
    <row r="466" s="111" customFormat="1" x14ac:dyDescent="0.25"/>
    <row r="467" s="111" customFormat="1" x14ac:dyDescent="0.25"/>
    <row r="468" s="111" customFormat="1" x14ac:dyDescent="0.25"/>
    <row r="469" s="111" customFormat="1" x14ac:dyDescent="0.25"/>
    <row r="470" s="111" customFormat="1" x14ac:dyDescent="0.25"/>
    <row r="471" s="111" customFormat="1" x14ac:dyDescent="0.25"/>
    <row r="472" s="111" customFormat="1" x14ac:dyDescent="0.25"/>
    <row r="473" s="111" customFormat="1" x14ac:dyDescent="0.25"/>
    <row r="474" s="111" customFormat="1" x14ac:dyDescent="0.25"/>
    <row r="475" s="111" customFormat="1" x14ac:dyDescent="0.25"/>
    <row r="476" s="111" customFormat="1" x14ac:dyDescent="0.25"/>
    <row r="477" s="111" customFormat="1" x14ac:dyDescent="0.25"/>
    <row r="478" s="111" customFormat="1" x14ac:dyDescent="0.25"/>
    <row r="479" s="111" customFormat="1" x14ac:dyDescent="0.25"/>
    <row r="480" s="111" customFormat="1" x14ac:dyDescent="0.25"/>
    <row r="481" s="111" customFormat="1" x14ac:dyDescent="0.25"/>
    <row r="482" s="111" customFormat="1" x14ac:dyDescent="0.25"/>
    <row r="483" s="111" customFormat="1" x14ac:dyDescent="0.25"/>
    <row r="484" s="111" customFormat="1" x14ac:dyDescent="0.25"/>
    <row r="485" s="111" customFormat="1" x14ac:dyDescent="0.25"/>
    <row r="486" s="111" customFormat="1" x14ac:dyDescent="0.25"/>
    <row r="487" s="111" customFormat="1" x14ac:dyDescent="0.25"/>
    <row r="488" s="111" customFormat="1" x14ac:dyDescent="0.25"/>
    <row r="489" s="111" customFormat="1" x14ac:dyDescent="0.25"/>
    <row r="490" s="111" customFormat="1" x14ac:dyDescent="0.25"/>
    <row r="491" s="111" customFormat="1" x14ac:dyDescent="0.25"/>
    <row r="492" s="111" customFormat="1" x14ac:dyDescent="0.25"/>
    <row r="493" s="111" customFormat="1" x14ac:dyDescent="0.25"/>
    <row r="494" s="111" customFormat="1" x14ac:dyDescent="0.25"/>
    <row r="495" s="111" customFormat="1" x14ac:dyDescent="0.25"/>
    <row r="496" s="111" customFormat="1" x14ac:dyDescent="0.25"/>
    <row r="497" s="111" customFormat="1" x14ac:dyDescent="0.25"/>
    <row r="498" s="111" customFormat="1" x14ac:dyDescent="0.25"/>
    <row r="499" s="111" customFormat="1" x14ac:dyDescent="0.25"/>
    <row r="500" s="111" customFormat="1" x14ac:dyDescent="0.25"/>
    <row r="501" s="111" customFormat="1" x14ac:dyDescent="0.25"/>
    <row r="502" s="111" customFormat="1" x14ac:dyDescent="0.25"/>
    <row r="503" s="111" customFormat="1" x14ac:dyDescent="0.25"/>
    <row r="504" s="111" customFormat="1" x14ac:dyDescent="0.25"/>
    <row r="505" s="111" customFormat="1" x14ac:dyDescent="0.25"/>
    <row r="506" s="111" customFormat="1" x14ac:dyDescent="0.25"/>
    <row r="507" s="111" customFormat="1" x14ac:dyDescent="0.25"/>
    <row r="508" s="111" customFormat="1" x14ac:dyDescent="0.25"/>
    <row r="509" s="111" customFormat="1" x14ac:dyDescent="0.25"/>
    <row r="510" s="111" customFormat="1" x14ac:dyDescent="0.25"/>
    <row r="511" s="111" customFormat="1" x14ac:dyDescent="0.25"/>
    <row r="512" s="111" customFormat="1" x14ac:dyDescent="0.25"/>
    <row r="513" s="111" customFormat="1" x14ac:dyDescent="0.25"/>
    <row r="514" s="111" customFormat="1" x14ac:dyDescent="0.25"/>
    <row r="515" s="111" customFormat="1" x14ac:dyDescent="0.25"/>
    <row r="516" s="111" customFormat="1" x14ac:dyDescent="0.25"/>
    <row r="517" s="111" customFormat="1" x14ac:dyDescent="0.25"/>
    <row r="518" s="111" customFormat="1" x14ac:dyDescent="0.25"/>
    <row r="519" s="111" customFormat="1" x14ac:dyDescent="0.25"/>
    <row r="520" s="111" customFormat="1" x14ac:dyDescent="0.25"/>
    <row r="521" s="111" customFormat="1" x14ac:dyDescent="0.25"/>
    <row r="522" s="111" customFormat="1" x14ac:dyDescent="0.25"/>
    <row r="523" s="111" customFormat="1" x14ac:dyDescent="0.25"/>
    <row r="524" s="111" customFormat="1" x14ac:dyDescent="0.25"/>
    <row r="525" s="111" customFormat="1" x14ac:dyDescent="0.25"/>
    <row r="526" s="111" customFormat="1" x14ac:dyDescent="0.25"/>
    <row r="527" s="111" customFormat="1" x14ac:dyDescent="0.25"/>
    <row r="528" s="111" customFormat="1" x14ac:dyDescent="0.25"/>
    <row r="529" s="111" customFormat="1" x14ac:dyDescent="0.25"/>
    <row r="530" s="111" customFormat="1" x14ac:dyDescent="0.25"/>
    <row r="531" s="111" customFormat="1" x14ac:dyDescent="0.25"/>
    <row r="532" s="111" customFormat="1" x14ac:dyDescent="0.25"/>
    <row r="533" s="111" customFormat="1" x14ac:dyDescent="0.25"/>
    <row r="534" s="111" customFormat="1" x14ac:dyDescent="0.25"/>
    <row r="535" s="111" customFormat="1" x14ac:dyDescent="0.25"/>
    <row r="536" s="111" customFormat="1" x14ac:dyDescent="0.25"/>
    <row r="537" s="111" customFormat="1" x14ac:dyDescent="0.25"/>
    <row r="538" s="111" customFormat="1" x14ac:dyDescent="0.25"/>
    <row r="539" s="111" customFormat="1" x14ac:dyDescent="0.25"/>
    <row r="540" s="111" customFormat="1" x14ac:dyDescent="0.25"/>
    <row r="541" s="111" customFormat="1" x14ac:dyDescent="0.25"/>
    <row r="542" s="111" customFormat="1" x14ac:dyDescent="0.25"/>
    <row r="543" s="111" customFormat="1" x14ac:dyDescent="0.25"/>
    <row r="544" s="111" customFormat="1" x14ac:dyDescent="0.25"/>
    <row r="545" s="111" customFormat="1" x14ac:dyDescent="0.25"/>
    <row r="546" s="111" customFormat="1" x14ac:dyDescent="0.25"/>
    <row r="547" s="111" customFormat="1" x14ac:dyDescent="0.25"/>
    <row r="548" s="111" customFormat="1" x14ac:dyDescent="0.25"/>
    <row r="549" s="111" customFormat="1" x14ac:dyDescent="0.25"/>
    <row r="550" s="111" customFormat="1" x14ac:dyDescent="0.25"/>
    <row r="551" s="111" customFormat="1" x14ac:dyDescent="0.25"/>
    <row r="552" s="111" customFormat="1" x14ac:dyDescent="0.25"/>
    <row r="553" s="111" customFormat="1" x14ac:dyDescent="0.25"/>
    <row r="554" s="111" customFormat="1" x14ac:dyDescent="0.25"/>
    <row r="555" s="111" customFormat="1" x14ac:dyDescent="0.25"/>
    <row r="556" s="111" customFormat="1" x14ac:dyDescent="0.25"/>
    <row r="557" s="111" customFormat="1" x14ac:dyDescent="0.25"/>
    <row r="558" s="111" customFormat="1" x14ac:dyDescent="0.25"/>
    <row r="559" s="111" customFormat="1" x14ac:dyDescent="0.25"/>
    <row r="560" s="111" customFormat="1" x14ac:dyDescent="0.25"/>
    <row r="561" s="111" customFormat="1" x14ac:dyDescent="0.25"/>
    <row r="562" s="111" customFormat="1" x14ac:dyDescent="0.25"/>
    <row r="563" s="111" customFormat="1" x14ac:dyDescent="0.25"/>
    <row r="564" s="111" customFormat="1" x14ac:dyDescent="0.25"/>
    <row r="565" s="111" customFormat="1" x14ac:dyDescent="0.25"/>
    <row r="566" s="111" customFormat="1" x14ac:dyDescent="0.25"/>
    <row r="567" s="111" customFormat="1" x14ac:dyDescent="0.25"/>
    <row r="568" s="111" customFormat="1" x14ac:dyDescent="0.25"/>
    <row r="569" s="111" customFormat="1" x14ac:dyDescent="0.25"/>
    <row r="570" s="111" customFormat="1" x14ac:dyDescent="0.25"/>
    <row r="571" s="111" customFormat="1" x14ac:dyDescent="0.25"/>
    <row r="572" s="111" customFormat="1" x14ac:dyDescent="0.25"/>
    <row r="573" s="111" customFormat="1" x14ac:dyDescent="0.25"/>
    <row r="574" s="111" customFormat="1" x14ac:dyDescent="0.25"/>
    <row r="575" s="111" customFormat="1" x14ac:dyDescent="0.25"/>
    <row r="576" s="111" customFormat="1" x14ac:dyDescent="0.25"/>
    <row r="577" s="111" customFormat="1" x14ac:dyDescent="0.25"/>
    <row r="578" s="111" customFormat="1" x14ac:dyDescent="0.25"/>
    <row r="579" s="111" customFormat="1" x14ac:dyDescent="0.25"/>
    <row r="580" s="111" customFormat="1" x14ac:dyDescent="0.25"/>
    <row r="581" s="111" customFormat="1" x14ac:dyDescent="0.25"/>
    <row r="582" s="111" customFormat="1" x14ac:dyDescent="0.25"/>
    <row r="583" s="111" customFormat="1" x14ac:dyDescent="0.25"/>
    <row r="584" s="111" customFormat="1" x14ac:dyDescent="0.25"/>
    <row r="585" s="111" customFormat="1" x14ac:dyDescent="0.25"/>
    <row r="586" s="111" customFormat="1" x14ac:dyDescent="0.25"/>
    <row r="587" s="111" customFormat="1" x14ac:dyDescent="0.25"/>
    <row r="588" s="111" customFormat="1" x14ac:dyDescent="0.25"/>
    <row r="589" s="111" customFormat="1" x14ac:dyDescent="0.25"/>
    <row r="590" s="111" customFormat="1" x14ac:dyDescent="0.25"/>
    <row r="591" s="111" customFormat="1" x14ac:dyDescent="0.25"/>
    <row r="592" s="111" customFormat="1" x14ac:dyDescent="0.25"/>
    <row r="593" s="111" customFormat="1" x14ac:dyDescent="0.25"/>
    <row r="594" s="111" customFormat="1" x14ac:dyDescent="0.25"/>
    <row r="595" s="111" customFormat="1" x14ac:dyDescent="0.25"/>
    <row r="596" s="111" customFormat="1" x14ac:dyDescent="0.25"/>
    <row r="597" s="111" customFormat="1" x14ac:dyDescent="0.25"/>
    <row r="598" s="111" customFormat="1" x14ac:dyDescent="0.25"/>
    <row r="599" s="111" customFormat="1" x14ac:dyDescent="0.25"/>
    <row r="600" s="111" customFormat="1" x14ac:dyDescent="0.25"/>
    <row r="601" s="111" customFormat="1" x14ac:dyDescent="0.25"/>
    <row r="602" s="111" customFormat="1" x14ac:dyDescent="0.25"/>
    <row r="603" s="111" customFormat="1" x14ac:dyDescent="0.25"/>
    <row r="604" s="111" customFormat="1" x14ac:dyDescent="0.25"/>
    <row r="605" s="111" customFormat="1" x14ac:dyDescent="0.25"/>
    <row r="606" s="111" customFormat="1" x14ac:dyDescent="0.25"/>
    <row r="607" s="111" customFormat="1" x14ac:dyDescent="0.25"/>
    <row r="608" s="111" customFormat="1" x14ac:dyDescent="0.25"/>
    <row r="609" s="111" customFormat="1" x14ac:dyDescent="0.25"/>
    <row r="610" s="111" customFormat="1" x14ac:dyDescent="0.25"/>
    <row r="611" s="111" customFormat="1" x14ac:dyDescent="0.25"/>
    <row r="612" s="111" customFormat="1" x14ac:dyDescent="0.25"/>
    <row r="613" s="111" customFormat="1" x14ac:dyDescent="0.25"/>
    <row r="614" s="111" customFormat="1" x14ac:dyDescent="0.25"/>
    <row r="615" s="111" customFormat="1" x14ac:dyDescent="0.25"/>
    <row r="616" s="111" customFormat="1" x14ac:dyDescent="0.25"/>
    <row r="617" s="111" customFormat="1" x14ac:dyDescent="0.25"/>
    <row r="618" s="111" customFormat="1" x14ac:dyDescent="0.25"/>
    <row r="619" s="111" customFormat="1" x14ac:dyDescent="0.25"/>
    <row r="620" s="111" customFormat="1" x14ac:dyDescent="0.25"/>
    <row r="621" s="111" customFormat="1" x14ac:dyDescent="0.25"/>
    <row r="622" s="111" customFormat="1" x14ac:dyDescent="0.25"/>
    <row r="623" s="111" customFormat="1" x14ac:dyDescent="0.25"/>
    <row r="624" s="111" customFormat="1" x14ac:dyDescent="0.25"/>
    <row r="625" s="111" customFormat="1" x14ac:dyDescent="0.25"/>
    <row r="626" s="111" customFormat="1" x14ac:dyDescent="0.25"/>
    <row r="627" s="111" customFormat="1" x14ac:dyDescent="0.25"/>
    <row r="628" s="111" customFormat="1" x14ac:dyDescent="0.25"/>
    <row r="629" s="111" customFormat="1" x14ac:dyDescent="0.25"/>
    <row r="630" s="111" customFormat="1" x14ac:dyDescent="0.25"/>
    <row r="631" s="111" customFormat="1" x14ac:dyDescent="0.25"/>
    <row r="632" s="111" customFormat="1" x14ac:dyDescent="0.25"/>
    <row r="633" s="111" customFormat="1" x14ac:dyDescent="0.25"/>
    <row r="634" s="111" customFormat="1" x14ac:dyDescent="0.25"/>
    <row r="635" s="111" customFormat="1" x14ac:dyDescent="0.25"/>
    <row r="636" s="111" customFormat="1" x14ac:dyDescent="0.25"/>
    <row r="637" s="111" customFormat="1" x14ac:dyDescent="0.25"/>
    <row r="638" s="111" customFormat="1" x14ac:dyDescent="0.25"/>
    <row r="639" s="111" customFormat="1" x14ac:dyDescent="0.25"/>
    <row r="640" s="111" customFormat="1" x14ac:dyDescent="0.25"/>
    <row r="641" s="111" customFormat="1" x14ac:dyDescent="0.25"/>
    <row r="642" s="111" customFormat="1" x14ac:dyDescent="0.25"/>
    <row r="643" s="111" customFormat="1" x14ac:dyDescent="0.25"/>
    <row r="644" s="111" customFormat="1" x14ac:dyDescent="0.25"/>
    <row r="645" s="111" customFormat="1" x14ac:dyDescent="0.25"/>
    <row r="646" s="111" customFormat="1" x14ac:dyDescent="0.25"/>
    <row r="647" s="111" customFormat="1" x14ac:dyDescent="0.25"/>
    <row r="648" s="111" customFormat="1" x14ac:dyDescent="0.25"/>
    <row r="649" s="111" customFormat="1" x14ac:dyDescent="0.25"/>
    <row r="650" s="111" customFormat="1" x14ac:dyDescent="0.25"/>
    <row r="651" s="111" customFormat="1" x14ac:dyDescent="0.25"/>
    <row r="652" s="111" customFormat="1" x14ac:dyDescent="0.25"/>
    <row r="653" s="111" customFormat="1" x14ac:dyDescent="0.25"/>
    <row r="654" s="111" customFormat="1" x14ac:dyDescent="0.25"/>
    <row r="655" s="111" customFormat="1" x14ac:dyDescent="0.25"/>
    <row r="656" s="111" customFormat="1" x14ac:dyDescent="0.25"/>
    <row r="657" s="111" customFormat="1" x14ac:dyDescent="0.25"/>
    <row r="658" s="111" customFormat="1" x14ac:dyDescent="0.25"/>
    <row r="659" s="111" customFormat="1" x14ac:dyDescent="0.25"/>
    <row r="660" s="111" customFormat="1" x14ac:dyDescent="0.25"/>
    <row r="661" s="111" customFormat="1" x14ac:dyDescent="0.25"/>
    <row r="662" s="111" customFormat="1" x14ac:dyDescent="0.25"/>
    <row r="663" s="111" customFormat="1" x14ac:dyDescent="0.25"/>
    <row r="664" s="111" customFormat="1" x14ac:dyDescent="0.25"/>
    <row r="665" s="111" customFormat="1" x14ac:dyDescent="0.25"/>
    <row r="666" s="111" customFormat="1" x14ac:dyDescent="0.25"/>
    <row r="667" s="111" customFormat="1" x14ac:dyDescent="0.25"/>
    <row r="668" s="111" customFormat="1" x14ac:dyDescent="0.25"/>
    <row r="669" s="111" customFormat="1" x14ac:dyDescent="0.25"/>
    <row r="670" s="111" customFormat="1" x14ac:dyDescent="0.25"/>
    <row r="671" s="111" customFormat="1" x14ac:dyDescent="0.25"/>
    <row r="672" s="111" customFormat="1" x14ac:dyDescent="0.25"/>
    <row r="673" s="111" customFormat="1" x14ac:dyDescent="0.25"/>
    <row r="674" s="111" customFormat="1" x14ac:dyDescent="0.25"/>
    <row r="675" s="111" customFormat="1" x14ac:dyDescent="0.25"/>
    <row r="676" s="111" customFormat="1" x14ac:dyDescent="0.25"/>
    <row r="677" s="111" customFormat="1" x14ac:dyDescent="0.25"/>
    <row r="678" s="111" customFormat="1" x14ac:dyDescent="0.25"/>
    <row r="679" s="111" customFormat="1" x14ac:dyDescent="0.25"/>
    <row r="680" s="111" customFormat="1" x14ac:dyDescent="0.25"/>
    <row r="681" s="111" customFormat="1" x14ac:dyDescent="0.25"/>
    <row r="682" s="111" customFormat="1" x14ac:dyDescent="0.25"/>
    <row r="683" s="111" customFormat="1" x14ac:dyDescent="0.25"/>
    <row r="684" s="111" customFormat="1" x14ac:dyDescent="0.25"/>
    <row r="685" s="111" customFormat="1" x14ac:dyDescent="0.25"/>
    <row r="686" s="111" customFormat="1" x14ac:dyDescent="0.25"/>
    <row r="687" s="111" customFormat="1" x14ac:dyDescent="0.25"/>
    <row r="688" s="111" customFormat="1" x14ac:dyDescent="0.25"/>
    <row r="689" s="111" customFormat="1" x14ac:dyDescent="0.25"/>
    <row r="690" s="111" customFormat="1" x14ac:dyDescent="0.25"/>
    <row r="691" s="111" customFormat="1" x14ac:dyDescent="0.25"/>
    <row r="692" s="111" customFormat="1" x14ac:dyDescent="0.25"/>
    <row r="693" s="111" customFormat="1" x14ac:dyDescent="0.25"/>
    <row r="694" s="111" customFormat="1" x14ac:dyDescent="0.25"/>
    <row r="695" s="111" customFormat="1" x14ac:dyDescent="0.25"/>
    <row r="696" s="111" customFormat="1" x14ac:dyDescent="0.25"/>
    <row r="697" s="111" customFormat="1" x14ac:dyDescent="0.25"/>
    <row r="698" s="111" customFormat="1" x14ac:dyDescent="0.25"/>
    <row r="699" s="111" customFormat="1" x14ac:dyDescent="0.25"/>
    <row r="700" s="111" customFormat="1" x14ac:dyDescent="0.25"/>
    <row r="701" s="111" customFormat="1" x14ac:dyDescent="0.25"/>
    <row r="702" s="111" customFormat="1" x14ac:dyDescent="0.25"/>
    <row r="703" s="111" customFormat="1" x14ac:dyDescent="0.25"/>
    <row r="704" s="111" customFormat="1" x14ac:dyDescent="0.25"/>
    <row r="705" s="111" customFormat="1" x14ac:dyDescent="0.25"/>
    <row r="706" s="111" customFormat="1" x14ac:dyDescent="0.25"/>
    <row r="707" s="111" customFormat="1" x14ac:dyDescent="0.25"/>
    <row r="708" s="111" customFormat="1" x14ac:dyDescent="0.25"/>
    <row r="709" s="111" customFormat="1" x14ac:dyDescent="0.25"/>
    <row r="710" s="111" customFormat="1" x14ac:dyDescent="0.25"/>
    <row r="711" s="111" customFormat="1" x14ac:dyDescent="0.25"/>
    <row r="712" s="111" customFormat="1" x14ac:dyDescent="0.25"/>
    <row r="713" s="111" customFormat="1" x14ac:dyDescent="0.25"/>
    <row r="714" s="111" customFormat="1" x14ac:dyDescent="0.25"/>
    <row r="715" s="111" customFormat="1" x14ac:dyDescent="0.25"/>
    <row r="716" s="111" customFormat="1" x14ac:dyDescent="0.25"/>
    <row r="717" s="111" customFormat="1" x14ac:dyDescent="0.25"/>
    <row r="718" s="111" customFormat="1" x14ac:dyDescent="0.25"/>
    <row r="719" s="111" customFormat="1" x14ac:dyDescent="0.25"/>
    <row r="720" s="111" customFormat="1" x14ac:dyDescent="0.25"/>
    <row r="721" s="111" customFormat="1" x14ac:dyDescent="0.25"/>
    <row r="722" s="111" customFormat="1" x14ac:dyDescent="0.25"/>
    <row r="723" s="111" customFormat="1" x14ac:dyDescent="0.25"/>
    <row r="724" s="111" customFormat="1" x14ac:dyDescent="0.25"/>
    <row r="725" s="111" customFormat="1" x14ac:dyDescent="0.25"/>
    <row r="726" s="111" customFormat="1" x14ac:dyDescent="0.25"/>
    <row r="727" s="111" customFormat="1" x14ac:dyDescent="0.25"/>
    <row r="728" s="111" customFormat="1" x14ac:dyDescent="0.25"/>
    <row r="729" s="111" customFormat="1" x14ac:dyDescent="0.25"/>
    <row r="730" s="111" customFormat="1" x14ac:dyDescent="0.25"/>
    <row r="731" s="111" customFormat="1" x14ac:dyDescent="0.25"/>
    <row r="732" s="111" customFormat="1" x14ac:dyDescent="0.25"/>
    <row r="733" s="111" customFormat="1" x14ac:dyDescent="0.25"/>
    <row r="734" s="111" customFormat="1" x14ac:dyDescent="0.25"/>
    <row r="735" s="111" customFormat="1" x14ac:dyDescent="0.25"/>
    <row r="736" s="111" customFormat="1" x14ac:dyDescent="0.25"/>
    <row r="737" s="111" customFormat="1" x14ac:dyDescent="0.25"/>
    <row r="738" s="111" customFormat="1" x14ac:dyDescent="0.25"/>
    <row r="739" s="111" customFormat="1" x14ac:dyDescent="0.25"/>
    <row r="740" s="111" customFormat="1" x14ac:dyDescent="0.25"/>
    <row r="741" s="111" customFormat="1" x14ac:dyDescent="0.25"/>
    <row r="742" s="111" customFormat="1" x14ac:dyDescent="0.25"/>
    <row r="743" s="111" customFormat="1" x14ac:dyDescent="0.25"/>
    <row r="744" s="111" customFormat="1" x14ac:dyDescent="0.25"/>
    <row r="745" s="111" customFormat="1" x14ac:dyDescent="0.25"/>
    <row r="746" s="111" customFormat="1" x14ac:dyDescent="0.25"/>
    <row r="747" s="111" customFormat="1" x14ac:dyDescent="0.25"/>
    <row r="748" s="111" customFormat="1" x14ac:dyDescent="0.25"/>
    <row r="749" s="111" customFormat="1" x14ac:dyDescent="0.25"/>
    <row r="750" s="111" customFormat="1" x14ac:dyDescent="0.25"/>
    <row r="751" s="111" customFormat="1" x14ac:dyDescent="0.25"/>
    <row r="752" s="111" customFormat="1" x14ac:dyDescent="0.25"/>
    <row r="753" s="111" customFormat="1" x14ac:dyDescent="0.25"/>
    <row r="754" s="111" customFormat="1" x14ac:dyDescent="0.25"/>
    <row r="755" s="111" customFormat="1" x14ac:dyDescent="0.25"/>
    <row r="756" s="111" customFormat="1" x14ac:dyDescent="0.25"/>
    <row r="757" s="111" customFormat="1" x14ac:dyDescent="0.25"/>
    <row r="758" s="111" customFormat="1" x14ac:dyDescent="0.25"/>
    <row r="759" s="111" customFormat="1" x14ac:dyDescent="0.25"/>
    <row r="760" s="111" customFormat="1" x14ac:dyDescent="0.25"/>
    <row r="761" s="111" customFormat="1" x14ac:dyDescent="0.25"/>
    <row r="762" s="111" customFormat="1" x14ac:dyDescent="0.25"/>
    <row r="763" s="111" customFormat="1" x14ac:dyDescent="0.25"/>
    <row r="764" s="111" customFormat="1" x14ac:dyDescent="0.25"/>
    <row r="765" s="111" customFormat="1" x14ac:dyDescent="0.25"/>
    <row r="766" s="111" customFormat="1" x14ac:dyDescent="0.25"/>
    <row r="767" s="111" customFormat="1" x14ac:dyDescent="0.25"/>
    <row r="768" s="111" customFormat="1" x14ac:dyDescent="0.25"/>
    <row r="769" s="111" customFormat="1" x14ac:dyDescent="0.25"/>
    <row r="770" s="111" customFormat="1" x14ac:dyDescent="0.25"/>
    <row r="771" s="111" customFormat="1" x14ac:dyDescent="0.25"/>
    <row r="772" s="111" customFormat="1" x14ac:dyDescent="0.25"/>
    <row r="773" s="111" customFormat="1" x14ac:dyDescent="0.25"/>
    <row r="774" s="111" customFormat="1" x14ac:dyDescent="0.25"/>
    <row r="775" s="111" customFormat="1" x14ac:dyDescent="0.25"/>
    <row r="776" s="111" customFormat="1" x14ac:dyDescent="0.25"/>
    <row r="777" s="111" customFormat="1" x14ac:dyDescent="0.25"/>
    <row r="778" s="111" customFormat="1" x14ac:dyDescent="0.25"/>
    <row r="779" s="111" customFormat="1" x14ac:dyDescent="0.25"/>
    <row r="780" s="111" customFormat="1" x14ac:dyDescent="0.25"/>
    <row r="781" s="111" customFormat="1" x14ac:dyDescent="0.25"/>
    <row r="782" s="111" customFormat="1" x14ac:dyDescent="0.25"/>
    <row r="783" s="111" customFormat="1" x14ac:dyDescent="0.25"/>
    <row r="784" s="111" customFormat="1" x14ac:dyDescent="0.25"/>
    <row r="785" s="111" customFormat="1" x14ac:dyDescent="0.25"/>
    <row r="786" s="111" customFormat="1" x14ac:dyDescent="0.25"/>
    <row r="787" s="111" customFormat="1" x14ac:dyDescent="0.25"/>
    <row r="788" s="111" customFormat="1" x14ac:dyDescent="0.25"/>
    <row r="789" s="111" customFormat="1" x14ac:dyDescent="0.25"/>
    <row r="790" s="111" customFormat="1" x14ac:dyDescent="0.25"/>
    <row r="791" s="111" customFormat="1" x14ac:dyDescent="0.25"/>
    <row r="792" s="111" customFormat="1" x14ac:dyDescent="0.25"/>
    <row r="793" s="111" customFormat="1" x14ac:dyDescent="0.25"/>
    <row r="794" s="111" customFormat="1" x14ac:dyDescent="0.25"/>
    <row r="795" s="111" customFormat="1" x14ac:dyDescent="0.25"/>
    <row r="796" s="111" customFormat="1" x14ac:dyDescent="0.25"/>
    <row r="797" s="111" customFormat="1" x14ac:dyDescent="0.25"/>
    <row r="798" s="111" customFormat="1" x14ac:dyDescent="0.25"/>
    <row r="799" s="111" customFormat="1" x14ac:dyDescent="0.25"/>
    <row r="800" s="111" customFormat="1" x14ac:dyDescent="0.25"/>
    <row r="801" s="111" customFormat="1" x14ac:dyDescent="0.25"/>
    <row r="802" s="111" customFormat="1" x14ac:dyDescent="0.25"/>
    <row r="803" s="111" customFormat="1" x14ac:dyDescent="0.25"/>
    <row r="804" s="111" customFormat="1" x14ac:dyDescent="0.25"/>
    <row r="805" s="111" customFormat="1" x14ac:dyDescent="0.25"/>
    <row r="806" s="111" customFormat="1" x14ac:dyDescent="0.25"/>
    <row r="807" s="111" customFormat="1" x14ac:dyDescent="0.25"/>
    <row r="808" s="111" customFormat="1" x14ac:dyDescent="0.25"/>
    <row r="809" s="111" customFormat="1" x14ac:dyDescent="0.25"/>
    <row r="810" s="111" customFormat="1" x14ac:dyDescent="0.25"/>
    <row r="811" s="111" customFormat="1" x14ac:dyDescent="0.25"/>
    <row r="812" s="111" customFormat="1" x14ac:dyDescent="0.25"/>
    <row r="813" s="111" customFormat="1" x14ac:dyDescent="0.25"/>
    <row r="814" s="111" customFormat="1" x14ac:dyDescent="0.25"/>
    <row r="815" s="111" customFormat="1" x14ac:dyDescent="0.25"/>
    <row r="816" s="111" customFormat="1" x14ac:dyDescent="0.25"/>
    <row r="817" s="111" customFormat="1" x14ac:dyDescent="0.25"/>
    <row r="818" s="111" customFormat="1" x14ac:dyDescent="0.25"/>
    <row r="819" s="111" customFormat="1" x14ac:dyDescent="0.25"/>
    <row r="820" s="111" customFormat="1" x14ac:dyDescent="0.25"/>
    <row r="821" s="111" customFormat="1" x14ac:dyDescent="0.25"/>
    <row r="822" s="111" customFormat="1" x14ac:dyDescent="0.25"/>
    <row r="823" s="111" customFormat="1" x14ac:dyDescent="0.25"/>
    <row r="824" s="111" customFormat="1" x14ac:dyDescent="0.25"/>
    <row r="825" s="111" customFormat="1" x14ac:dyDescent="0.25"/>
    <row r="826" s="111" customFormat="1" x14ac:dyDescent="0.25"/>
    <row r="827" s="111" customFormat="1" x14ac:dyDescent="0.25"/>
    <row r="828" s="111" customFormat="1" x14ac:dyDescent="0.25"/>
    <row r="829" s="111" customFormat="1" x14ac:dyDescent="0.25"/>
    <row r="830" s="111" customFormat="1" x14ac:dyDescent="0.25"/>
    <row r="831" s="111" customFormat="1" x14ac:dyDescent="0.25"/>
    <row r="832" s="111" customFormat="1" x14ac:dyDescent="0.25"/>
    <row r="833" s="111" customFormat="1" x14ac:dyDescent="0.25"/>
    <row r="834" s="111" customFormat="1" x14ac:dyDescent="0.25"/>
    <row r="835" s="111" customFormat="1" x14ac:dyDescent="0.25"/>
    <row r="836" s="111" customFormat="1" x14ac:dyDescent="0.25"/>
    <row r="837" s="111" customFormat="1" x14ac:dyDescent="0.25"/>
    <row r="838" s="111" customFormat="1" x14ac:dyDescent="0.25"/>
    <row r="839" s="111" customFormat="1" x14ac:dyDescent="0.25"/>
    <row r="840" s="111" customFormat="1" x14ac:dyDescent="0.25"/>
    <row r="841" s="111" customFormat="1" x14ac:dyDescent="0.25"/>
    <row r="842" s="111" customFormat="1" x14ac:dyDescent="0.25"/>
    <row r="843" s="111" customFormat="1" x14ac:dyDescent="0.25"/>
    <row r="844" s="111" customFormat="1" x14ac:dyDescent="0.25"/>
    <row r="845" s="111" customFormat="1" x14ac:dyDescent="0.25"/>
    <row r="846" s="111" customFormat="1" x14ac:dyDescent="0.25"/>
    <row r="847" s="111" customFormat="1" x14ac:dyDescent="0.25"/>
    <row r="848" s="111" customFormat="1" x14ac:dyDescent="0.25"/>
    <row r="849" s="111" customFormat="1" x14ac:dyDescent="0.25"/>
    <row r="850" s="111" customFormat="1" x14ac:dyDescent="0.25"/>
    <row r="851" s="111" customFormat="1" x14ac:dyDescent="0.25"/>
    <row r="852" s="111" customFormat="1" x14ac:dyDescent="0.25"/>
    <row r="853" s="111" customFormat="1" x14ac:dyDescent="0.25"/>
    <row r="854" s="111" customFormat="1" x14ac:dyDescent="0.25"/>
    <row r="855" s="111" customFormat="1" x14ac:dyDescent="0.25"/>
    <row r="856" s="111" customFormat="1" x14ac:dyDescent="0.25"/>
    <row r="857" s="111" customFormat="1" x14ac:dyDescent="0.25"/>
    <row r="858" s="111" customFormat="1" x14ac:dyDescent="0.25"/>
    <row r="859" s="111" customFormat="1" x14ac:dyDescent="0.25"/>
    <row r="860" s="111" customFormat="1" x14ac:dyDescent="0.25"/>
    <row r="861" s="111" customFormat="1" x14ac:dyDescent="0.25"/>
    <row r="862" s="111" customFormat="1" x14ac:dyDescent="0.25"/>
    <row r="863" s="111" customFormat="1" x14ac:dyDescent="0.25"/>
    <row r="864" s="111" customFormat="1" x14ac:dyDescent="0.25"/>
    <row r="865" s="111" customFormat="1" x14ac:dyDescent="0.25"/>
    <row r="866" s="111" customFormat="1" x14ac:dyDescent="0.25"/>
    <row r="867" s="111" customFormat="1" x14ac:dyDescent="0.25"/>
    <row r="868" s="111" customFormat="1" x14ac:dyDescent="0.25"/>
    <row r="869" s="111" customFormat="1" x14ac:dyDescent="0.25"/>
    <row r="870" s="111" customFormat="1" x14ac:dyDescent="0.25"/>
    <row r="871" s="111" customFormat="1" x14ac:dyDescent="0.25"/>
    <row r="872" s="111" customFormat="1" x14ac:dyDescent="0.25"/>
  </sheetData>
  <conditionalFormatting sqref="B1:B1048576">
    <cfRule type="containsText" dxfId="7" priority="1" operator="containsText" text="VRAI">
      <formula>NOT(ISERROR(SEARCH("VRAI",B1)))</formula>
    </cfRule>
    <cfRule type="containsText" dxfId="6" priority="2" operator="containsText" text="FAUX">
      <formula>NOT(ISERROR(SEARCH("FAUX",B1)))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F1FB-47A3-46A8-836B-25A5A0868043}">
  <sheetPr codeName="Feuil26"/>
  <dimension ref="C3:D11"/>
  <sheetViews>
    <sheetView workbookViewId="0"/>
  </sheetViews>
  <sheetFormatPr baseColWidth="10" defaultColWidth="11.42578125" defaultRowHeight="15" x14ac:dyDescent="0.25"/>
  <cols>
    <col min="3" max="3" width="73.140625" bestFit="1" customWidth="1"/>
  </cols>
  <sheetData>
    <row r="3" spans="3:4" x14ac:dyDescent="0.25">
      <c r="C3" t="s">
        <v>637</v>
      </c>
      <c r="D3" t="s">
        <v>638</v>
      </c>
    </row>
    <row r="4" spans="3:4" x14ac:dyDescent="0.25">
      <c r="C4" s="304" t="s">
        <v>639</v>
      </c>
      <c r="D4" t="s">
        <v>640</v>
      </c>
    </row>
    <row r="5" spans="3:4" x14ac:dyDescent="0.25">
      <c r="C5" s="304" t="s">
        <v>641</v>
      </c>
    </row>
    <row r="6" spans="3:4" x14ac:dyDescent="0.25">
      <c r="C6" s="304" t="s">
        <v>642</v>
      </c>
      <c r="D6" t="s">
        <v>640</v>
      </c>
    </row>
    <row r="7" spans="3:4" x14ac:dyDescent="0.25">
      <c r="C7" s="111" t="s">
        <v>643</v>
      </c>
      <c r="D7" t="s">
        <v>644</v>
      </c>
    </row>
    <row r="8" spans="3:4" x14ac:dyDescent="0.25">
      <c r="C8" s="304" t="s">
        <v>645</v>
      </c>
      <c r="D8" t="s">
        <v>640</v>
      </c>
    </row>
    <row r="9" spans="3:4" x14ac:dyDescent="0.25">
      <c r="C9" s="301" t="s">
        <v>646</v>
      </c>
    </row>
    <row r="10" spans="3:4" x14ac:dyDescent="0.25">
      <c r="C10" s="111" t="s">
        <v>647</v>
      </c>
      <c r="D10" t="s">
        <v>648</v>
      </c>
    </row>
    <row r="11" spans="3:4" x14ac:dyDescent="0.25">
      <c r="C11" s="111" t="s">
        <v>649</v>
      </c>
      <c r="D11" t="s">
        <v>644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0457-CAFB-423F-822B-E630F5F7C1CD}">
  <sheetPr codeName="Feuil19"/>
  <dimension ref="A1:AQ486"/>
  <sheetViews>
    <sheetView workbookViewId="0"/>
  </sheetViews>
  <sheetFormatPr baseColWidth="10" defaultColWidth="11.42578125" defaultRowHeight="15" x14ac:dyDescent="0.25"/>
  <cols>
    <col min="1" max="1" width="18.28515625" style="111" bestFit="1" customWidth="1"/>
    <col min="2" max="2" width="31.5703125" customWidth="1"/>
    <col min="3" max="3" width="21.28515625" customWidth="1"/>
    <col min="4" max="4" width="23.42578125" customWidth="1"/>
    <col min="5" max="5" width="19.42578125" customWidth="1"/>
    <col min="6" max="6" width="15.85546875" style="111" hidden="1" customWidth="1"/>
    <col min="7" max="7" width="23.28515625" hidden="1" customWidth="1"/>
    <col min="8" max="8" width="0" style="111" hidden="1" customWidth="1"/>
    <col min="9" max="9" width="18.28515625" style="111" bestFit="1" customWidth="1"/>
    <col min="10" max="10" width="22.7109375" customWidth="1"/>
    <col min="11" max="11" width="31.7109375" bestFit="1" customWidth="1"/>
    <col min="13" max="13" width="14.140625" customWidth="1"/>
    <col min="15" max="43" width="11.42578125" style="111"/>
  </cols>
  <sheetData>
    <row r="1" spans="2:14" ht="31.5" x14ac:dyDescent="0.25">
      <c r="B1" s="248" t="s">
        <v>650</v>
      </c>
      <c r="C1" s="248" t="s">
        <v>651</v>
      </c>
      <c r="D1" s="248" t="s">
        <v>652</v>
      </c>
      <c r="E1" s="248" t="s">
        <v>653</v>
      </c>
      <c r="G1" s="111"/>
      <c r="J1" s="248" t="s">
        <v>654</v>
      </c>
      <c r="K1" s="248" t="s">
        <v>655</v>
      </c>
      <c r="L1" s="248" t="s">
        <v>602</v>
      </c>
      <c r="M1" s="248" t="s">
        <v>656</v>
      </c>
      <c r="N1" s="248" t="s">
        <v>657</v>
      </c>
    </row>
    <row r="2" spans="2:14" ht="34.15" customHeight="1" x14ac:dyDescent="0.25">
      <c r="B2" s="249" t="s">
        <v>658</v>
      </c>
      <c r="C2" s="249" t="s">
        <v>659</v>
      </c>
      <c r="D2" s="249" t="s">
        <v>660</v>
      </c>
      <c r="E2" s="250" t="s">
        <v>661</v>
      </c>
      <c r="G2" s="251" t="s">
        <v>662</v>
      </c>
      <c r="J2" s="238">
        <v>0</v>
      </c>
      <c r="K2" s="238" t="str">
        <f>SYNTHESE!B19</f>
        <v>Total brut des dépenses éligibles</v>
      </c>
      <c r="L2" s="320">
        <f>J2/(SYNTHESE!C19)</f>
        <v>0</v>
      </c>
      <c r="M2" s="253" t="str">
        <f>IF(L2&gt;=N2,"Oui","Non")</f>
        <v>Non</v>
      </c>
      <c r="N2" s="254">
        <v>0.2</v>
      </c>
    </row>
    <row r="3" spans="2:14" ht="30" customHeight="1" x14ac:dyDescent="0.25">
      <c r="B3" s="249" t="s">
        <v>663</v>
      </c>
      <c r="C3" s="249"/>
      <c r="D3" s="249" t="s">
        <v>664</v>
      </c>
      <c r="E3" s="250" t="s">
        <v>661</v>
      </c>
      <c r="G3" s="111"/>
      <c r="J3" s="111"/>
      <c r="K3" s="111"/>
      <c r="L3" s="111"/>
      <c r="M3" s="111"/>
      <c r="N3" s="111"/>
    </row>
    <row r="4" spans="2:14" ht="29.45" customHeight="1" x14ac:dyDescent="0.25">
      <c r="B4" s="249" t="s">
        <v>665</v>
      </c>
      <c r="C4" s="249" t="s">
        <v>666</v>
      </c>
      <c r="D4" s="249" t="s">
        <v>667</v>
      </c>
      <c r="E4" s="250" t="s">
        <v>661</v>
      </c>
      <c r="G4" s="111"/>
      <c r="J4" s="111"/>
      <c r="K4" s="111"/>
      <c r="L4" s="111"/>
      <c r="M4" s="111"/>
      <c r="N4" s="111"/>
    </row>
    <row r="5" spans="2:14" ht="31.15" customHeight="1" x14ac:dyDescent="0.25">
      <c r="B5" s="249" t="s">
        <v>668</v>
      </c>
      <c r="C5" s="249" t="s">
        <v>659</v>
      </c>
      <c r="D5" s="249" t="s">
        <v>669</v>
      </c>
      <c r="E5" s="250" t="s">
        <v>670</v>
      </c>
      <c r="G5" s="111"/>
      <c r="J5" s="111"/>
      <c r="K5" s="111"/>
      <c r="L5" s="111"/>
      <c r="M5" s="111"/>
      <c r="N5" s="111"/>
    </row>
    <row r="6" spans="2:14" ht="51" customHeight="1" x14ac:dyDescent="0.25">
      <c r="B6" s="249" t="s">
        <v>671</v>
      </c>
      <c r="C6" s="249" t="s">
        <v>659</v>
      </c>
      <c r="D6" s="249" t="s">
        <v>672</v>
      </c>
      <c r="E6" s="250" t="s">
        <v>670</v>
      </c>
      <c r="G6" s="111"/>
      <c r="J6" s="111"/>
      <c r="K6" s="111"/>
      <c r="L6" s="111"/>
      <c r="M6" s="111"/>
      <c r="N6" s="111"/>
    </row>
    <row r="7" spans="2:14" ht="40.15" customHeight="1" x14ac:dyDescent="0.25">
      <c r="B7" s="249" t="s">
        <v>673</v>
      </c>
      <c r="C7" s="249" t="s">
        <v>659</v>
      </c>
      <c r="D7" s="249" t="s">
        <v>674</v>
      </c>
      <c r="E7" s="250" t="s">
        <v>670</v>
      </c>
      <c r="G7" s="111"/>
      <c r="J7" s="111"/>
      <c r="K7" s="111"/>
      <c r="L7" s="111"/>
      <c r="M7" s="111"/>
      <c r="N7" s="111"/>
    </row>
    <row r="8" spans="2:14" ht="30" x14ac:dyDescent="0.25">
      <c r="B8" s="249" t="s">
        <v>675</v>
      </c>
      <c r="C8" s="249" t="s">
        <v>676</v>
      </c>
      <c r="D8" s="249" t="s">
        <v>677</v>
      </c>
      <c r="E8" s="250" t="s">
        <v>670</v>
      </c>
      <c r="G8" s="111"/>
      <c r="J8" s="111"/>
      <c r="K8" s="111"/>
      <c r="L8" s="111"/>
      <c r="M8" s="111"/>
      <c r="N8" s="111"/>
    </row>
    <row r="9" spans="2:14" x14ac:dyDescent="0.25">
      <c r="B9" s="111"/>
      <c r="C9" s="111"/>
      <c r="D9" s="111"/>
      <c r="E9" s="111"/>
      <c r="G9" s="111"/>
      <c r="J9" s="111"/>
      <c r="K9" s="111"/>
      <c r="L9" s="111"/>
      <c r="M9" s="111"/>
      <c r="N9" s="111"/>
    </row>
    <row r="10" spans="2:14" x14ac:dyDescent="0.25">
      <c r="B10" s="111"/>
      <c r="C10" s="111"/>
      <c r="D10" s="111"/>
      <c r="E10" s="111"/>
      <c r="G10" s="111"/>
      <c r="J10" s="111"/>
      <c r="K10" s="111"/>
      <c r="L10" s="111"/>
      <c r="M10" s="111"/>
      <c r="N10" s="111"/>
    </row>
    <row r="11" spans="2:14" x14ac:dyDescent="0.25">
      <c r="B11" s="111"/>
      <c r="C11" s="111"/>
      <c r="D11" s="111"/>
      <c r="E11" s="111"/>
      <c r="G11" s="111"/>
      <c r="J11" s="111"/>
      <c r="K11" s="111"/>
      <c r="L11" s="111"/>
      <c r="M11" s="111"/>
      <c r="N11" s="111"/>
    </row>
    <row r="12" spans="2:14" x14ac:dyDescent="0.25">
      <c r="B12" s="111"/>
      <c r="C12" s="111"/>
      <c r="D12" s="111"/>
      <c r="E12" s="111"/>
      <c r="G12" s="111"/>
      <c r="J12" s="111"/>
      <c r="K12" s="111"/>
      <c r="L12" s="111"/>
      <c r="M12" s="111"/>
      <c r="N12" s="111"/>
    </row>
    <row r="13" spans="2:14" x14ac:dyDescent="0.25">
      <c r="B13" s="111"/>
      <c r="C13" s="111"/>
      <c r="D13" s="111"/>
      <c r="E13" s="111"/>
      <c r="G13" s="111"/>
      <c r="J13" s="111"/>
      <c r="K13" s="111"/>
      <c r="L13" s="111"/>
      <c r="M13" s="111"/>
      <c r="N13" s="111"/>
    </row>
    <row r="14" spans="2:14" x14ac:dyDescent="0.25">
      <c r="B14" s="111"/>
      <c r="C14" s="111"/>
      <c r="D14" s="111"/>
      <c r="E14" s="111"/>
      <c r="G14" s="111"/>
      <c r="J14" s="111"/>
      <c r="K14" s="111"/>
      <c r="L14" s="111"/>
      <c r="M14" s="111"/>
      <c r="N14" s="111"/>
    </row>
    <row r="15" spans="2:14" x14ac:dyDescent="0.25">
      <c r="B15" s="111"/>
      <c r="C15" s="111"/>
      <c r="D15" s="111"/>
      <c r="E15" s="111"/>
      <c r="G15" s="111"/>
      <c r="J15" s="111"/>
      <c r="K15" s="111"/>
      <c r="L15" s="111"/>
      <c r="M15" s="111"/>
      <c r="N15" s="111"/>
    </row>
    <row r="16" spans="2:14" x14ac:dyDescent="0.25">
      <c r="B16" s="111"/>
      <c r="C16" s="111"/>
      <c r="D16" s="111"/>
      <c r="E16" s="111"/>
      <c r="G16" s="111"/>
      <c r="J16" s="111"/>
      <c r="K16" s="111"/>
      <c r="L16" s="111"/>
      <c r="M16" s="111"/>
      <c r="N16" s="111"/>
    </row>
    <row r="17" spans="2:14" x14ac:dyDescent="0.25">
      <c r="B17" s="111"/>
      <c r="C17" s="111"/>
      <c r="D17" s="111"/>
      <c r="E17" s="111"/>
      <c r="G17" s="111"/>
      <c r="J17" s="111"/>
      <c r="K17" s="111"/>
      <c r="L17" s="111"/>
      <c r="M17" s="111"/>
      <c r="N17" s="111"/>
    </row>
    <row r="18" spans="2:14" x14ac:dyDescent="0.25">
      <c r="B18" s="111"/>
      <c r="C18" s="111"/>
      <c r="D18" s="111"/>
      <c r="E18" s="111"/>
      <c r="G18" s="111"/>
      <c r="J18" s="111"/>
      <c r="K18" s="111"/>
      <c r="L18" s="111"/>
      <c r="M18" s="111"/>
      <c r="N18" s="111"/>
    </row>
    <row r="19" spans="2:14" x14ac:dyDescent="0.25">
      <c r="B19" s="111"/>
      <c r="C19" s="111"/>
      <c r="D19" s="111"/>
      <c r="E19" s="111"/>
      <c r="G19" s="111"/>
      <c r="J19" s="111"/>
      <c r="K19" s="111"/>
      <c r="L19" s="111"/>
      <c r="M19" s="111"/>
      <c r="N19" s="111"/>
    </row>
    <row r="20" spans="2:14" x14ac:dyDescent="0.25">
      <c r="B20" s="111"/>
      <c r="C20" s="111"/>
      <c r="D20" s="111"/>
      <c r="E20" s="111"/>
      <c r="G20" s="111"/>
      <c r="J20" s="111"/>
      <c r="K20" s="111"/>
      <c r="L20" s="111"/>
      <c r="M20" s="111"/>
      <c r="N20" s="111"/>
    </row>
    <row r="21" spans="2:14" x14ac:dyDescent="0.25">
      <c r="B21" s="111"/>
      <c r="C21" s="111"/>
      <c r="D21" s="111"/>
      <c r="E21" s="111"/>
      <c r="G21" s="111"/>
      <c r="J21" s="111"/>
      <c r="K21" s="111"/>
      <c r="L21" s="111"/>
      <c r="M21" s="111"/>
      <c r="N21" s="111"/>
    </row>
    <row r="22" spans="2:14" x14ac:dyDescent="0.25">
      <c r="B22" s="111"/>
      <c r="C22" s="111"/>
      <c r="D22" s="111"/>
      <c r="E22" s="111"/>
      <c r="G22" s="111"/>
      <c r="J22" s="111"/>
      <c r="K22" s="111"/>
      <c r="L22" s="111"/>
      <c r="M22" s="111"/>
      <c r="N22" s="111"/>
    </row>
    <row r="23" spans="2:14" x14ac:dyDescent="0.25">
      <c r="B23" s="111"/>
      <c r="C23" s="111"/>
      <c r="D23" s="111"/>
      <c r="E23" s="111"/>
      <c r="G23" s="111"/>
      <c r="J23" s="111"/>
      <c r="K23" s="111"/>
      <c r="L23" s="111"/>
      <c r="M23" s="111"/>
      <c r="N23" s="111"/>
    </row>
    <row r="24" spans="2:14" x14ac:dyDescent="0.25">
      <c r="B24" s="111"/>
      <c r="C24" s="111"/>
      <c r="D24" s="111"/>
      <c r="E24" s="111"/>
      <c r="G24" s="111"/>
      <c r="J24" s="111"/>
      <c r="K24" s="111"/>
      <c r="L24" s="111"/>
      <c r="M24" s="111"/>
      <c r="N24" s="111"/>
    </row>
    <row r="25" spans="2:14" x14ac:dyDescent="0.25">
      <c r="B25" s="111"/>
      <c r="C25" s="111"/>
      <c r="D25" s="111"/>
      <c r="E25" s="111"/>
      <c r="G25" s="111"/>
      <c r="J25" s="111"/>
      <c r="K25" s="111"/>
      <c r="L25" s="111"/>
      <c r="M25" s="111"/>
      <c r="N25" s="111"/>
    </row>
    <row r="26" spans="2:14" x14ac:dyDescent="0.25">
      <c r="B26" s="111"/>
      <c r="C26" s="111"/>
      <c r="D26" s="111"/>
      <c r="E26" s="111"/>
      <c r="G26" s="111"/>
      <c r="J26" s="111"/>
      <c r="K26" s="111"/>
      <c r="L26" s="111"/>
      <c r="M26" s="111"/>
      <c r="N26" s="111"/>
    </row>
    <row r="27" spans="2:14" x14ac:dyDescent="0.25">
      <c r="B27" s="111"/>
      <c r="C27" s="111"/>
      <c r="D27" s="111"/>
      <c r="E27" s="111"/>
      <c r="G27" s="111"/>
      <c r="J27" s="111"/>
      <c r="K27" s="111"/>
      <c r="L27" s="111"/>
      <c r="M27" s="111"/>
      <c r="N27" s="111"/>
    </row>
    <row r="28" spans="2:14" x14ac:dyDescent="0.25">
      <c r="B28" s="111"/>
      <c r="C28" s="111"/>
      <c r="D28" s="111"/>
      <c r="E28" s="111"/>
      <c r="G28" s="111"/>
      <c r="J28" s="111"/>
      <c r="K28" s="111"/>
      <c r="L28" s="111"/>
      <c r="M28" s="111"/>
      <c r="N28" s="111"/>
    </row>
    <row r="29" spans="2:14" x14ac:dyDescent="0.25">
      <c r="B29" s="111"/>
      <c r="C29" s="111"/>
      <c r="D29" s="111"/>
      <c r="E29" s="111"/>
      <c r="G29" s="111"/>
      <c r="J29" s="111"/>
      <c r="K29" s="111"/>
      <c r="L29" s="111"/>
      <c r="M29" s="111"/>
      <c r="N29" s="111"/>
    </row>
    <row r="30" spans="2:14" x14ac:dyDescent="0.25">
      <c r="B30" s="111"/>
      <c r="C30" s="111"/>
      <c r="D30" s="111"/>
      <c r="E30" s="111"/>
      <c r="G30" s="111"/>
      <c r="J30" s="111"/>
      <c r="K30" s="111"/>
      <c r="L30" s="111"/>
      <c r="M30" s="111"/>
      <c r="N30" s="111"/>
    </row>
    <row r="31" spans="2:14" x14ac:dyDescent="0.25">
      <c r="B31" s="111"/>
      <c r="C31" s="111"/>
      <c r="D31" s="111"/>
      <c r="E31" s="111"/>
      <c r="G31" s="111"/>
      <c r="J31" s="111"/>
      <c r="K31" s="111"/>
      <c r="L31" s="111"/>
      <c r="M31" s="111"/>
      <c r="N31" s="111"/>
    </row>
    <row r="32" spans="2:14" x14ac:dyDescent="0.25">
      <c r="B32" s="111"/>
      <c r="C32" s="111"/>
      <c r="D32" s="111"/>
      <c r="E32" s="111"/>
      <c r="G32" s="111"/>
      <c r="J32" s="111"/>
      <c r="K32" s="111"/>
      <c r="L32" s="111"/>
      <c r="M32" s="111"/>
      <c r="N32" s="111"/>
    </row>
    <row r="33" spans="2:14" x14ac:dyDescent="0.25">
      <c r="B33" s="111"/>
      <c r="C33" s="111"/>
      <c r="D33" s="111"/>
      <c r="E33" s="111"/>
      <c r="G33" s="111"/>
      <c r="J33" s="111"/>
      <c r="K33" s="111"/>
      <c r="L33" s="111"/>
      <c r="M33" s="111"/>
      <c r="N33" s="111"/>
    </row>
    <row r="34" spans="2:14" x14ac:dyDescent="0.25">
      <c r="B34" s="111"/>
      <c r="C34" s="111"/>
      <c r="D34" s="111"/>
      <c r="E34" s="111"/>
      <c r="G34" s="111"/>
      <c r="J34" s="111"/>
      <c r="K34" s="111"/>
      <c r="L34" s="111"/>
      <c r="M34" s="111"/>
      <c r="N34" s="111"/>
    </row>
    <row r="35" spans="2:14" x14ac:dyDescent="0.25">
      <c r="B35" s="111"/>
      <c r="C35" s="111"/>
      <c r="D35" s="111"/>
      <c r="E35" s="111"/>
      <c r="G35" s="111"/>
      <c r="J35" s="111"/>
      <c r="K35" s="111"/>
      <c r="L35" s="111"/>
      <c r="M35" s="111"/>
      <c r="N35" s="111"/>
    </row>
    <row r="36" spans="2:14" s="111" customFormat="1" x14ac:dyDescent="0.25"/>
    <row r="37" spans="2:14" s="111" customFormat="1" x14ac:dyDescent="0.25"/>
    <row r="38" spans="2:14" s="111" customFormat="1" x14ac:dyDescent="0.25"/>
    <row r="39" spans="2:14" s="111" customFormat="1" x14ac:dyDescent="0.25"/>
    <row r="40" spans="2:14" s="111" customFormat="1" x14ac:dyDescent="0.25"/>
    <row r="41" spans="2:14" s="111" customFormat="1" x14ac:dyDescent="0.25"/>
    <row r="42" spans="2:14" s="111" customFormat="1" x14ac:dyDescent="0.25"/>
    <row r="43" spans="2:14" s="111" customFormat="1" x14ac:dyDescent="0.25"/>
    <row r="44" spans="2:14" s="111" customFormat="1" x14ac:dyDescent="0.25"/>
    <row r="45" spans="2:14" s="111" customFormat="1" x14ac:dyDescent="0.25"/>
    <row r="46" spans="2:14" s="111" customFormat="1" x14ac:dyDescent="0.25"/>
    <row r="47" spans="2:14" s="111" customFormat="1" x14ac:dyDescent="0.25"/>
    <row r="48" spans="2:14" s="111" customFormat="1" x14ac:dyDescent="0.25"/>
    <row r="49" s="111" customFormat="1" x14ac:dyDescent="0.25"/>
    <row r="50" s="111" customFormat="1" x14ac:dyDescent="0.25"/>
    <row r="51" s="111" customFormat="1" x14ac:dyDescent="0.25"/>
    <row r="52" s="111" customFormat="1" x14ac:dyDescent="0.25"/>
    <row r="53" s="111" customFormat="1" x14ac:dyDescent="0.25"/>
    <row r="54" s="111" customFormat="1" x14ac:dyDescent="0.25"/>
    <row r="55" s="111" customFormat="1" x14ac:dyDescent="0.25"/>
    <row r="56" s="111" customFormat="1" x14ac:dyDescent="0.25"/>
    <row r="57" s="111" customFormat="1" x14ac:dyDescent="0.25"/>
    <row r="58" s="111" customFormat="1" x14ac:dyDescent="0.25"/>
    <row r="59" s="111" customFormat="1" x14ac:dyDescent="0.25"/>
    <row r="60" s="111" customFormat="1" x14ac:dyDescent="0.25"/>
    <row r="61" s="111" customFormat="1" x14ac:dyDescent="0.25"/>
    <row r="62" s="111" customFormat="1" x14ac:dyDescent="0.25"/>
    <row r="63" s="111" customFormat="1" x14ac:dyDescent="0.25"/>
    <row r="64" s="111" customFormat="1" x14ac:dyDescent="0.25"/>
    <row r="65" s="111" customFormat="1" x14ac:dyDescent="0.25"/>
    <row r="66" s="111" customFormat="1" x14ac:dyDescent="0.25"/>
    <row r="67" s="111" customFormat="1" x14ac:dyDescent="0.25"/>
    <row r="68" s="111" customFormat="1" x14ac:dyDescent="0.25"/>
    <row r="69" s="111" customFormat="1" x14ac:dyDescent="0.25"/>
    <row r="70" s="111" customFormat="1" x14ac:dyDescent="0.25"/>
    <row r="71" s="111" customFormat="1" x14ac:dyDescent="0.25"/>
    <row r="72" s="111" customFormat="1" x14ac:dyDescent="0.25"/>
    <row r="73" s="111" customFormat="1" x14ac:dyDescent="0.25"/>
    <row r="74" s="111" customFormat="1" x14ac:dyDescent="0.25"/>
    <row r="75" s="111" customFormat="1" x14ac:dyDescent="0.25"/>
    <row r="76" s="111" customFormat="1" x14ac:dyDescent="0.25"/>
    <row r="77" s="111" customFormat="1" x14ac:dyDescent="0.25"/>
    <row r="78" s="111" customFormat="1" x14ac:dyDescent="0.25"/>
    <row r="79" s="111" customFormat="1" x14ac:dyDescent="0.25"/>
    <row r="80" s="111" customFormat="1" x14ac:dyDescent="0.25"/>
    <row r="81" s="111" customFormat="1" x14ac:dyDescent="0.25"/>
    <row r="82" s="111" customFormat="1" x14ac:dyDescent="0.25"/>
    <row r="83" s="111" customFormat="1" x14ac:dyDescent="0.25"/>
    <row r="84" s="111" customFormat="1" x14ac:dyDescent="0.25"/>
    <row r="85" s="111" customFormat="1" x14ac:dyDescent="0.25"/>
    <row r="86" s="111" customFormat="1" x14ac:dyDescent="0.25"/>
    <row r="87" s="111" customFormat="1" x14ac:dyDescent="0.25"/>
    <row r="88" s="111" customFormat="1" x14ac:dyDescent="0.25"/>
    <row r="89" s="111" customFormat="1" x14ac:dyDescent="0.25"/>
    <row r="90" s="111" customFormat="1" x14ac:dyDescent="0.25"/>
    <row r="91" s="111" customFormat="1" x14ac:dyDescent="0.25"/>
    <row r="92" s="111" customFormat="1" x14ac:dyDescent="0.25"/>
    <row r="93" s="111" customFormat="1" x14ac:dyDescent="0.25"/>
    <row r="94" s="111" customFormat="1" x14ac:dyDescent="0.25"/>
    <row r="95" s="111" customFormat="1" x14ac:dyDescent="0.25"/>
    <row r="96" s="111" customFormat="1" x14ac:dyDescent="0.25"/>
    <row r="97" s="111" customFormat="1" x14ac:dyDescent="0.25"/>
    <row r="98" s="111" customFormat="1" x14ac:dyDescent="0.25"/>
    <row r="99" s="111" customFormat="1" x14ac:dyDescent="0.25"/>
    <row r="100" s="111" customFormat="1" x14ac:dyDescent="0.25"/>
    <row r="101" s="111" customFormat="1" x14ac:dyDescent="0.25"/>
    <row r="102" s="111" customFormat="1" x14ac:dyDescent="0.25"/>
    <row r="103" s="111" customFormat="1" x14ac:dyDescent="0.25"/>
    <row r="104" s="111" customFormat="1" x14ac:dyDescent="0.25"/>
    <row r="105" s="111" customFormat="1" x14ac:dyDescent="0.25"/>
    <row r="106" s="111" customFormat="1" x14ac:dyDescent="0.25"/>
    <row r="107" s="111" customFormat="1" x14ac:dyDescent="0.25"/>
    <row r="108" s="111" customFormat="1" x14ac:dyDescent="0.25"/>
    <row r="109" s="111" customFormat="1" x14ac:dyDescent="0.25"/>
    <row r="110" s="111" customFormat="1" x14ac:dyDescent="0.25"/>
    <row r="111" s="111" customFormat="1" x14ac:dyDescent="0.25"/>
    <row r="112" s="111" customFormat="1" x14ac:dyDescent="0.25"/>
    <row r="113" s="111" customFormat="1" x14ac:dyDescent="0.25"/>
    <row r="114" s="111" customFormat="1" x14ac:dyDescent="0.25"/>
    <row r="115" s="111" customFormat="1" x14ac:dyDescent="0.25"/>
    <row r="116" s="111" customFormat="1" x14ac:dyDescent="0.25"/>
    <row r="117" s="111" customFormat="1" x14ac:dyDescent="0.25"/>
    <row r="118" s="111" customFormat="1" x14ac:dyDescent="0.25"/>
    <row r="119" s="111" customFormat="1" x14ac:dyDescent="0.25"/>
    <row r="120" s="111" customFormat="1" x14ac:dyDescent="0.25"/>
    <row r="121" s="111" customFormat="1" x14ac:dyDescent="0.25"/>
    <row r="122" s="111" customFormat="1" x14ac:dyDescent="0.25"/>
    <row r="123" s="111" customFormat="1" x14ac:dyDescent="0.25"/>
    <row r="124" s="111" customFormat="1" x14ac:dyDescent="0.25"/>
    <row r="125" s="111" customFormat="1" x14ac:dyDescent="0.25"/>
    <row r="126" s="111" customFormat="1" x14ac:dyDescent="0.25"/>
    <row r="127" s="111" customFormat="1" x14ac:dyDescent="0.25"/>
    <row r="128" s="111" customFormat="1" x14ac:dyDescent="0.25"/>
    <row r="129" s="111" customFormat="1" x14ac:dyDescent="0.25"/>
    <row r="130" s="111" customFormat="1" x14ac:dyDescent="0.25"/>
    <row r="131" s="111" customFormat="1" x14ac:dyDescent="0.25"/>
    <row r="132" s="111" customFormat="1" x14ac:dyDescent="0.25"/>
    <row r="133" s="111" customFormat="1" x14ac:dyDescent="0.25"/>
    <row r="134" s="111" customFormat="1" x14ac:dyDescent="0.25"/>
    <row r="135" s="111" customFormat="1" x14ac:dyDescent="0.25"/>
    <row r="136" s="111" customFormat="1" x14ac:dyDescent="0.25"/>
    <row r="137" s="111" customFormat="1" x14ac:dyDescent="0.25"/>
    <row r="138" s="111" customFormat="1" x14ac:dyDescent="0.25"/>
    <row r="139" s="111" customFormat="1" x14ac:dyDescent="0.25"/>
    <row r="140" s="111" customFormat="1" x14ac:dyDescent="0.25"/>
    <row r="141" s="111" customFormat="1" x14ac:dyDescent="0.25"/>
    <row r="142" s="111" customFormat="1" x14ac:dyDescent="0.25"/>
    <row r="143" s="111" customFormat="1" x14ac:dyDescent="0.25"/>
    <row r="144" s="111" customFormat="1" x14ac:dyDescent="0.25"/>
    <row r="145" s="111" customFormat="1" x14ac:dyDescent="0.25"/>
    <row r="146" s="111" customFormat="1" x14ac:dyDescent="0.25"/>
    <row r="147" s="111" customFormat="1" x14ac:dyDescent="0.25"/>
    <row r="148" s="111" customFormat="1" x14ac:dyDescent="0.25"/>
    <row r="149" s="111" customFormat="1" x14ac:dyDescent="0.25"/>
    <row r="150" s="111" customFormat="1" x14ac:dyDescent="0.25"/>
    <row r="151" s="111" customFormat="1" x14ac:dyDescent="0.25"/>
    <row r="152" s="111" customFormat="1" x14ac:dyDescent="0.25"/>
    <row r="153" s="111" customFormat="1" x14ac:dyDescent="0.25"/>
    <row r="154" s="111" customFormat="1" x14ac:dyDescent="0.25"/>
    <row r="155" s="111" customFormat="1" x14ac:dyDescent="0.25"/>
    <row r="156" s="111" customFormat="1" x14ac:dyDescent="0.25"/>
    <row r="157" s="111" customFormat="1" x14ac:dyDescent="0.25"/>
    <row r="158" s="111" customFormat="1" x14ac:dyDescent="0.25"/>
    <row r="159" s="111" customFormat="1" x14ac:dyDescent="0.25"/>
    <row r="160" s="111" customFormat="1" x14ac:dyDescent="0.25"/>
    <row r="161" s="111" customFormat="1" x14ac:dyDescent="0.25"/>
    <row r="162" s="111" customFormat="1" x14ac:dyDescent="0.25"/>
    <row r="163" s="111" customFormat="1" x14ac:dyDescent="0.25"/>
    <row r="164" s="111" customFormat="1" x14ac:dyDescent="0.25"/>
    <row r="165" s="111" customFormat="1" x14ac:dyDescent="0.25"/>
    <row r="166" s="111" customFormat="1" x14ac:dyDescent="0.25"/>
    <row r="167" s="111" customFormat="1" x14ac:dyDescent="0.25"/>
    <row r="168" s="111" customFormat="1" x14ac:dyDescent="0.25"/>
    <row r="169" s="111" customFormat="1" x14ac:dyDescent="0.25"/>
    <row r="170" s="111" customFormat="1" x14ac:dyDescent="0.25"/>
    <row r="171" s="111" customFormat="1" x14ac:dyDescent="0.25"/>
    <row r="172" s="111" customFormat="1" x14ac:dyDescent="0.25"/>
    <row r="173" s="111" customFormat="1" x14ac:dyDescent="0.25"/>
    <row r="174" s="111" customFormat="1" x14ac:dyDescent="0.25"/>
    <row r="175" s="111" customFormat="1" x14ac:dyDescent="0.25"/>
    <row r="176" s="111" customFormat="1" x14ac:dyDescent="0.25"/>
    <row r="177" s="111" customFormat="1" x14ac:dyDescent="0.25"/>
    <row r="178" s="111" customFormat="1" x14ac:dyDescent="0.25"/>
    <row r="179" s="111" customFormat="1" x14ac:dyDescent="0.25"/>
    <row r="180" s="111" customFormat="1" x14ac:dyDescent="0.25"/>
    <row r="181" s="111" customFormat="1" x14ac:dyDescent="0.25"/>
    <row r="182" s="111" customFormat="1" x14ac:dyDescent="0.25"/>
    <row r="183" s="111" customFormat="1" x14ac:dyDescent="0.25"/>
    <row r="184" s="111" customFormat="1" x14ac:dyDescent="0.25"/>
    <row r="185" s="111" customFormat="1" x14ac:dyDescent="0.25"/>
    <row r="186" s="111" customFormat="1" x14ac:dyDescent="0.25"/>
    <row r="187" s="111" customFormat="1" x14ac:dyDescent="0.25"/>
    <row r="188" s="111" customFormat="1" x14ac:dyDescent="0.25"/>
    <row r="189" s="111" customFormat="1" x14ac:dyDescent="0.25"/>
    <row r="190" s="111" customFormat="1" x14ac:dyDescent="0.25"/>
    <row r="191" s="111" customFormat="1" x14ac:dyDescent="0.25"/>
    <row r="192" s="111" customFormat="1" x14ac:dyDescent="0.25"/>
    <row r="193" s="111" customFormat="1" x14ac:dyDescent="0.25"/>
    <row r="194" s="111" customFormat="1" x14ac:dyDescent="0.25"/>
    <row r="195" s="111" customFormat="1" x14ac:dyDescent="0.25"/>
    <row r="196" s="111" customFormat="1" x14ac:dyDescent="0.25"/>
    <row r="197" s="111" customFormat="1" x14ac:dyDescent="0.25"/>
    <row r="198" s="111" customFormat="1" x14ac:dyDescent="0.25"/>
    <row r="199" s="111" customFormat="1" x14ac:dyDescent="0.25"/>
    <row r="200" s="111" customFormat="1" x14ac:dyDescent="0.25"/>
    <row r="201" s="111" customFormat="1" x14ac:dyDescent="0.25"/>
    <row r="202" s="111" customFormat="1" x14ac:dyDescent="0.25"/>
    <row r="203" s="111" customFormat="1" x14ac:dyDescent="0.25"/>
    <row r="204" s="111" customFormat="1" x14ac:dyDescent="0.25"/>
    <row r="205" s="111" customFormat="1" x14ac:dyDescent="0.25"/>
    <row r="206" s="111" customFormat="1" x14ac:dyDescent="0.25"/>
    <row r="207" s="111" customFormat="1" x14ac:dyDescent="0.25"/>
    <row r="208" s="111" customFormat="1" x14ac:dyDescent="0.25"/>
    <row r="209" s="111" customFormat="1" x14ac:dyDescent="0.25"/>
    <row r="210" s="111" customFormat="1" x14ac:dyDescent="0.25"/>
    <row r="211" s="111" customFormat="1" x14ac:dyDescent="0.25"/>
    <row r="212" s="111" customFormat="1" x14ac:dyDescent="0.25"/>
    <row r="213" s="111" customFormat="1" x14ac:dyDescent="0.25"/>
    <row r="214" s="111" customFormat="1" x14ac:dyDescent="0.25"/>
    <row r="215" s="111" customFormat="1" x14ac:dyDescent="0.25"/>
    <row r="216" s="111" customFormat="1" x14ac:dyDescent="0.25"/>
    <row r="217" s="111" customFormat="1" x14ac:dyDescent="0.25"/>
    <row r="218" s="111" customFormat="1" x14ac:dyDescent="0.25"/>
    <row r="219" s="111" customFormat="1" x14ac:dyDescent="0.25"/>
    <row r="220" s="111" customFormat="1" x14ac:dyDescent="0.25"/>
    <row r="221" s="111" customFormat="1" x14ac:dyDescent="0.25"/>
    <row r="222" s="111" customFormat="1" x14ac:dyDescent="0.25"/>
    <row r="223" s="111" customFormat="1" x14ac:dyDescent="0.25"/>
    <row r="224" s="111" customFormat="1" x14ac:dyDescent="0.25"/>
    <row r="225" s="111" customFormat="1" x14ac:dyDescent="0.25"/>
    <row r="226" s="111" customFormat="1" x14ac:dyDescent="0.25"/>
    <row r="227" s="111" customFormat="1" x14ac:dyDescent="0.25"/>
    <row r="228" s="111" customFormat="1" x14ac:dyDescent="0.25"/>
    <row r="229" s="111" customFormat="1" x14ac:dyDescent="0.25"/>
    <row r="230" s="111" customFormat="1" x14ac:dyDescent="0.25"/>
    <row r="231" s="111" customFormat="1" x14ac:dyDescent="0.25"/>
    <row r="232" s="111" customFormat="1" x14ac:dyDescent="0.25"/>
    <row r="233" s="111" customFormat="1" x14ac:dyDescent="0.25"/>
    <row r="234" s="111" customFormat="1" x14ac:dyDescent="0.25"/>
    <row r="235" s="111" customFormat="1" x14ac:dyDescent="0.25"/>
    <row r="236" s="111" customFormat="1" x14ac:dyDescent="0.25"/>
    <row r="237" s="111" customFormat="1" x14ac:dyDescent="0.25"/>
    <row r="238" s="111" customFormat="1" x14ac:dyDescent="0.25"/>
    <row r="239" s="111" customFormat="1" x14ac:dyDescent="0.25"/>
    <row r="240" s="111" customFormat="1" x14ac:dyDescent="0.25"/>
    <row r="241" s="111" customFormat="1" x14ac:dyDescent="0.25"/>
    <row r="242" s="111" customFormat="1" x14ac:dyDescent="0.25"/>
    <row r="243" s="111" customFormat="1" x14ac:dyDescent="0.25"/>
    <row r="244" s="111" customFormat="1" x14ac:dyDescent="0.25"/>
    <row r="245" s="111" customFormat="1" x14ac:dyDescent="0.25"/>
    <row r="246" s="111" customFormat="1" x14ac:dyDescent="0.25"/>
    <row r="247" s="111" customFormat="1" x14ac:dyDescent="0.25"/>
    <row r="248" s="111" customFormat="1" x14ac:dyDescent="0.25"/>
    <row r="249" s="111" customFormat="1" x14ac:dyDescent="0.25"/>
    <row r="250" s="111" customFormat="1" x14ac:dyDescent="0.25"/>
    <row r="251" s="111" customFormat="1" x14ac:dyDescent="0.25"/>
    <row r="252" s="111" customFormat="1" x14ac:dyDescent="0.25"/>
    <row r="253" s="111" customFormat="1" x14ac:dyDescent="0.25"/>
    <row r="254" s="111" customFormat="1" x14ac:dyDescent="0.25"/>
    <row r="255" s="111" customFormat="1" x14ac:dyDescent="0.25"/>
    <row r="256" s="111" customFormat="1" x14ac:dyDescent="0.25"/>
    <row r="257" s="111" customFormat="1" x14ac:dyDescent="0.25"/>
    <row r="258" s="111" customFormat="1" x14ac:dyDescent="0.25"/>
    <row r="259" s="111" customFormat="1" x14ac:dyDescent="0.25"/>
    <row r="260" s="111" customFormat="1" x14ac:dyDescent="0.25"/>
    <row r="261" s="111" customFormat="1" x14ac:dyDescent="0.25"/>
    <row r="262" s="111" customFormat="1" x14ac:dyDescent="0.25"/>
    <row r="263" s="111" customFormat="1" x14ac:dyDescent="0.25"/>
    <row r="264" s="111" customFormat="1" x14ac:dyDescent="0.25"/>
    <row r="265" s="111" customFormat="1" x14ac:dyDescent="0.25"/>
    <row r="266" s="111" customFormat="1" x14ac:dyDescent="0.25"/>
    <row r="267" s="111" customFormat="1" x14ac:dyDescent="0.25"/>
    <row r="268" s="111" customFormat="1" x14ac:dyDescent="0.25"/>
    <row r="269" s="111" customFormat="1" x14ac:dyDescent="0.25"/>
    <row r="270" s="111" customFormat="1" x14ac:dyDescent="0.25"/>
    <row r="271" s="111" customFormat="1" x14ac:dyDescent="0.25"/>
    <row r="272" s="111" customFormat="1" x14ac:dyDescent="0.25"/>
    <row r="273" s="111" customFormat="1" x14ac:dyDescent="0.25"/>
    <row r="274" s="111" customFormat="1" x14ac:dyDescent="0.25"/>
    <row r="275" s="111" customFormat="1" x14ac:dyDescent="0.25"/>
    <row r="276" s="111" customFormat="1" x14ac:dyDescent="0.25"/>
    <row r="277" s="111" customFormat="1" x14ac:dyDescent="0.25"/>
    <row r="278" s="111" customFormat="1" x14ac:dyDescent="0.25"/>
    <row r="279" s="111" customFormat="1" x14ac:dyDescent="0.25"/>
    <row r="280" s="111" customFormat="1" x14ac:dyDescent="0.25"/>
    <row r="281" s="111" customFormat="1" x14ac:dyDescent="0.25"/>
    <row r="282" s="111" customFormat="1" x14ac:dyDescent="0.25"/>
    <row r="283" s="111" customFormat="1" x14ac:dyDescent="0.25"/>
    <row r="284" s="111" customFormat="1" x14ac:dyDescent="0.25"/>
    <row r="285" s="111" customFormat="1" x14ac:dyDescent="0.25"/>
    <row r="286" s="111" customFormat="1" x14ac:dyDescent="0.25"/>
    <row r="287" s="111" customFormat="1" x14ac:dyDescent="0.25"/>
    <row r="288" s="111" customFormat="1" x14ac:dyDescent="0.25"/>
    <row r="289" s="111" customFormat="1" x14ac:dyDescent="0.25"/>
    <row r="290" s="111" customFormat="1" x14ac:dyDescent="0.25"/>
    <row r="291" s="111" customFormat="1" x14ac:dyDescent="0.25"/>
    <row r="292" s="111" customFormat="1" x14ac:dyDescent="0.25"/>
    <row r="293" s="111" customFormat="1" x14ac:dyDescent="0.25"/>
    <row r="294" s="111" customFormat="1" x14ac:dyDescent="0.25"/>
    <row r="295" s="111" customFormat="1" x14ac:dyDescent="0.25"/>
    <row r="296" s="111" customFormat="1" x14ac:dyDescent="0.25"/>
    <row r="297" s="111" customFormat="1" x14ac:dyDescent="0.25"/>
    <row r="298" s="111" customFormat="1" x14ac:dyDescent="0.25"/>
    <row r="299" s="111" customFormat="1" x14ac:dyDescent="0.25"/>
    <row r="300" s="111" customFormat="1" x14ac:dyDescent="0.25"/>
    <row r="301" s="111" customFormat="1" x14ac:dyDescent="0.25"/>
    <row r="302" s="111" customFormat="1" x14ac:dyDescent="0.25"/>
    <row r="303" s="111" customFormat="1" x14ac:dyDescent="0.25"/>
    <row r="304" s="111" customFormat="1" x14ac:dyDescent="0.25"/>
    <row r="305" s="111" customFormat="1" x14ac:dyDescent="0.25"/>
    <row r="306" s="111" customFormat="1" x14ac:dyDescent="0.25"/>
    <row r="307" s="111" customFormat="1" x14ac:dyDescent="0.25"/>
    <row r="308" s="111" customFormat="1" x14ac:dyDescent="0.25"/>
    <row r="309" s="111" customFormat="1" x14ac:dyDescent="0.25"/>
    <row r="310" s="111" customFormat="1" x14ac:dyDescent="0.25"/>
    <row r="311" s="111" customFormat="1" x14ac:dyDescent="0.25"/>
    <row r="312" s="111" customFormat="1" x14ac:dyDescent="0.25"/>
    <row r="313" s="111" customFormat="1" x14ac:dyDescent="0.25"/>
    <row r="314" s="111" customFormat="1" x14ac:dyDescent="0.25"/>
    <row r="315" s="111" customFormat="1" x14ac:dyDescent="0.25"/>
    <row r="316" s="111" customFormat="1" x14ac:dyDescent="0.25"/>
    <row r="317" s="111" customFormat="1" x14ac:dyDescent="0.25"/>
    <row r="318" s="111" customFormat="1" x14ac:dyDescent="0.25"/>
    <row r="319" s="111" customFormat="1" x14ac:dyDescent="0.25"/>
    <row r="320" s="111" customFormat="1" x14ac:dyDescent="0.25"/>
    <row r="321" s="111" customFormat="1" x14ac:dyDescent="0.25"/>
    <row r="322" s="111" customFormat="1" x14ac:dyDescent="0.25"/>
    <row r="323" s="111" customFormat="1" x14ac:dyDescent="0.25"/>
    <row r="324" s="111" customFormat="1" x14ac:dyDescent="0.25"/>
    <row r="325" s="111" customFormat="1" x14ac:dyDescent="0.25"/>
    <row r="326" s="111" customFormat="1" x14ac:dyDescent="0.25"/>
    <row r="327" s="111" customFormat="1" x14ac:dyDescent="0.25"/>
    <row r="328" s="111" customFormat="1" x14ac:dyDescent="0.25"/>
    <row r="329" s="111" customFormat="1" x14ac:dyDescent="0.25"/>
    <row r="330" s="111" customFormat="1" x14ac:dyDescent="0.25"/>
    <row r="331" s="111" customFormat="1" x14ac:dyDescent="0.25"/>
    <row r="332" s="111" customFormat="1" x14ac:dyDescent="0.25"/>
    <row r="333" s="111" customFormat="1" x14ac:dyDescent="0.25"/>
    <row r="334" s="111" customFormat="1" x14ac:dyDescent="0.25"/>
    <row r="335" s="111" customFormat="1" x14ac:dyDescent="0.25"/>
    <row r="336" s="111" customFormat="1" x14ac:dyDescent="0.25"/>
    <row r="337" s="111" customFormat="1" x14ac:dyDescent="0.25"/>
    <row r="338" s="111" customFormat="1" x14ac:dyDescent="0.25"/>
    <row r="339" s="111" customFormat="1" x14ac:dyDescent="0.25"/>
    <row r="340" s="111" customFormat="1" x14ac:dyDescent="0.25"/>
    <row r="341" s="111" customFormat="1" x14ac:dyDescent="0.25"/>
    <row r="342" s="111" customFormat="1" x14ac:dyDescent="0.25"/>
    <row r="343" s="111" customFormat="1" x14ac:dyDescent="0.25"/>
    <row r="344" s="111" customFormat="1" x14ac:dyDescent="0.25"/>
    <row r="345" s="111" customFormat="1" x14ac:dyDescent="0.25"/>
    <row r="346" s="111" customFormat="1" x14ac:dyDescent="0.25"/>
    <row r="347" s="111" customFormat="1" x14ac:dyDescent="0.25"/>
    <row r="348" s="111" customFormat="1" x14ac:dyDescent="0.25"/>
    <row r="349" s="111" customFormat="1" x14ac:dyDescent="0.25"/>
    <row r="350" s="111" customFormat="1" x14ac:dyDescent="0.25"/>
    <row r="351" s="111" customFormat="1" x14ac:dyDescent="0.25"/>
    <row r="352" s="111" customFormat="1" x14ac:dyDescent="0.25"/>
    <row r="353" s="111" customFormat="1" x14ac:dyDescent="0.25"/>
    <row r="354" s="111" customFormat="1" x14ac:dyDescent="0.25"/>
    <row r="355" s="111" customFormat="1" x14ac:dyDescent="0.25"/>
    <row r="356" s="111" customFormat="1" x14ac:dyDescent="0.25"/>
    <row r="357" s="111" customFormat="1" x14ac:dyDescent="0.25"/>
    <row r="358" s="111" customFormat="1" x14ac:dyDescent="0.25"/>
    <row r="359" s="111" customFormat="1" x14ac:dyDescent="0.25"/>
    <row r="360" s="111" customFormat="1" x14ac:dyDescent="0.25"/>
    <row r="361" s="111" customFormat="1" x14ac:dyDescent="0.25"/>
    <row r="362" s="111" customFormat="1" x14ac:dyDescent="0.25"/>
    <row r="363" s="111" customFormat="1" x14ac:dyDescent="0.25"/>
    <row r="364" s="111" customFormat="1" x14ac:dyDescent="0.25"/>
    <row r="365" s="111" customFormat="1" x14ac:dyDescent="0.25"/>
    <row r="366" s="111" customFormat="1" x14ac:dyDescent="0.25"/>
    <row r="367" s="111" customFormat="1" x14ac:dyDescent="0.25"/>
    <row r="368" s="111" customFormat="1" x14ac:dyDescent="0.25"/>
    <row r="369" s="111" customFormat="1" x14ac:dyDescent="0.25"/>
    <row r="370" s="111" customFormat="1" x14ac:dyDescent="0.25"/>
    <row r="371" s="111" customFormat="1" x14ac:dyDescent="0.25"/>
    <row r="372" s="111" customFormat="1" x14ac:dyDescent="0.25"/>
    <row r="373" s="111" customFormat="1" x14ac:dyDescent="0.25"/>
    <row r="374" s="111" customFormat="1" x14ac:dyDescent="0.25"/>
    <row r="375" s="111" customFormat="1" x14ac:dyDescent="0.25"/>
    <row r="376" s="111" customFormat="1" x14ac:dyDescent="0.25"/>
    <row r="377" s="111" customFormat="1" x14ac:dyDescent="0.25"/>
    <row r="378" s="111" customFormat="1" x14ac:dyDescent="0.25"/>
    <row r="379" s="111" customFormat="1" x14ac:dyDescent="0.25"/>
    <row r="380" s="111" customFormat="1" x14ac:dyDescent="0.25"/>
    <row r="381" s="111" customFormat="1" x14ac:dyDescent="0.25"/>
    <row r="382" s="111" customFormat="1" x14ac:dyDescent="0.25"/>
    <row r="383" s="111" customFormat="1" x14ac:dyDescent="0.25"/>
    <row r="384" s="111" customFormat="1" x14ac:dyDescent="0.25"/>
    <row r="385" s="111" customFormat="1" x14ac:dyDescent="0.25"/>
    <row r="386" s="111" customFormat="1" x14ac:dyDescent="0.25"/>
    <row r="387" s="111" customFormat="1" x14ac:dyDescent="0.25"/>
    <row r="388" s="111" customFormat="1" x14ac:dyDescent="0.25"/>
    <row r="389" s="111" customFormat="1" x14ac:dyDescent="0.25"/>
    <row r="390" s="111" customFormat="1" x14ac:dyDescent="0.25"/>
    <row r="391" s="111" customFormat="1" x14ac:dyDescent="0.25"/>
    <row r="392" s="111" customFormat="1" x14ac:dyDescent="0.25"/>
    <row r="393" s="111" customFormat="1" x14ac:dyDescent="0.25"/>
    <row r="394" s="111" customFormat="1" x14ac:dyDescent="0.25"/>
    <row r="395" s="111" customFormat="1" x14ac:dyDescent="0.25"/>
    <row r="396" s="111" customFormat="1" x14ac:dyDescent="0.25"/>
    <row r="397" s="111" customFormat="1" x14ac:dyDescent="0.25"/>
    <row r="398" s="111" customFormat="1" x14ac:dyDescent="0.25"/>
    <row r="399" s="111" customFormat="1" x14ac:dyDescent="0.25"/>
    <row r="400" s="111" customFormat="1" x14ac:dyDescent="0.25"/>
    <row r="401" s="111" customFormat="1" x14ac:dyDescent="0.25"/>
    <row r="402" s="111" customFormat="1" x14ac:dyDescent="0.25"/>
    <row r="403" s="111" customFormat="1" x14ac:dyDescent="0.25"/>
    <row r="404" s="111" customFormat="1" x14ac:dyDescent="0.25"/>
    <row r="405" s="111" customFormat="1" x14ac:dyDescent="0.25"/>
    <row r="406" s="111" customFormat="1" x14ac:dyDescent="0.25"/>
    <row r="407" s="111" customFormat="1" x14ac:dyDescent="0.25"/>
    <row r="408" s="111" customFormat="1" x14ac:dyDescent="0.25"/>
    <row r="409" s="111" customFormat="1" x14ac:dyDescent="0.25"/>
    <row r="410" s="111" customFormat="1" x14ac:dyDescent="0.25"/>
    <row r="411" s="111" customFormat="1" x14ac:dyDescent="0.25"/>
    <row r="412" s="111" customFormat="1" x14ac:dyDescent="0.25"/>
    <row r="413" s="111" customFormat="1" x14ac:dyDescent="0.25"/>
    <row r="414" s="111" customFormat="1" x14ac:dyDescent="0.25"/>
    <row r="415" s="111" customFormat="1" x14ac:dyDescent="0.25"/>
    <row r="416" s="111" customFormat="1" x14ac:dyDescent="0.25"/>
    <row r="417" s="111" customFormat="1" x14ac:dyDescent="0.25"/>
    <row r="418" s="111" customFormat="1" x14ac:dyDescent="0.25"/>
    <row r="419" s="111" customFormat="1" x14ac:dyDescent="0.25"/>
    <row r="420" s="111" customFormat="1" x14ac:dyDescent="0.25"/>
    <row r="421" s="111" customFormat="1" x14ac:dyDescent="0.25"/>
    <row r="422" s="111" customFormat="1" x14ac:dyDescent="0.25"/>
    <row r="423" s="111" customFormat="1" x14ac:dyDescent="0.25"/>
    <row r="424" s="111" customFormat="1" x14ac:dyDescent="0.25"/>
    <row r="425" s="111" customFormat="1" x14ac:dyDescent="0.25"/>
    <row r="426" s="111" customFormat="1" x14ac:dyDescent="0.25"/>
    <row r="427" s="111" customFormat="1" x14ac:dyDescent="0.25"/>
    <row r="428" s="111" customFormat="1" x14ac:dyDescent="0.25"/>
    <row r="429" s="111" customFormat="1" x14ac:dyDescent="0.25"/>
    <row r="430" s="111" customFormat="1" x14ac:dyDescent="0.25"/>
    <row r="431" s="111" customFormat="1" x14ac:dyDescent="0.25"/>
    <row r="432" s="111" customFormat="1" x14ac:dyDescent="0.25"/>
    <row r="433" s="111" customFormat="1" x14ac:dyDescent="0.25"/>
    <row r="434" s="111" customFormat="1" x14ac:dyDescent="0.25"/>
    <row r="435" s="111" customFormat="1" x14ac:dyDescent="0.25"/>
    <row r="436" s="111" customFormat="1" x14ac:dyDescent="0.25"/>
    <row r="437" s="111" customFormat="1" x14ac:dyDescent="0.25"/>
    <row r="438" s="111" customFormat="1" x14ac:dyDescent="0.25"/>
    <row r="439" s="111" customFormat="1" x14ac:dyDescent="0.25"/>
    <row r="440" s="111" customFormat="1" x14ac:dyDescent="0.25"/>
    <row r="441" s="111" customFormat="1" x14ac:dyDescent="0.25"/>
    <row r="442" s="111" customFormat="1" x14ac:dyDescent="0.25"/>
    <row r="443" s="111" customFormat="1" x14ac:dyDescent="0.25"/>
    <row r="444" s="111" customFormat="1" x14ac:dyDescent="0.25"/>
    <row r="445" s="111" customFormat="1" x14ac:dyDescent="0.25"/>
    <row r="446" s="111" customFormat="1" x14ac:dyDescent="0.25"/>
    <row r="447" s="111" customFormat="1" x14ac:dyDescent="0.25"/>
    <row r="448" s="111" customFormat="1" x14ac:dyDescent="0.25"/>
    <row r="449" s="111" customFormat="1" x14ac:dyDescent="0.25"/>
    <row r="450" s="111" customFormat="1" x14ac:dyDescent="0.25"/>
    <row r="451" s="111" customFormat="1" x14ac:dyDescent="0.25"/>
    <row r="452" s="111" customFormat="1" x14ac:dyDescent="0.25"/>
    <row r="453" s="111" customFormat="1" x14ac:dyDescent="0.25"/>
    <row r="454" s="111" customFormat="1" x14ac:dyDescent="0.25"/>
    <row r="455" s="111" customFormat="1" x14ac:dyDescent="0.25"/>
    <row r="456" s="111" customFormat="1" x14ac:dyDescent="0.25"/>
    <row r="457" s="111" customFormat="1" x14ac:dyDescent="0.25"/>
    <row r="458" s="111" customFormat="1" x14ac:dyDescent="0.25"/>
    <row r="459" s="111" customFormat="1" x14ac:dyDescent="0.25"/>
    <row r="460" s="111" customFormat="1" x14ac:dyDescent="0.25"/>
    <row r="461" s="111" customFormat="1" x14ac:dyDescent="0.25"/>
    <row r="462" s="111" customFormat="1" x14ac:dyDescent="0.25"/>
    <row r="463" s="111" customFormat="1" x14ac:dyDescent="0.25"/>
    <row r="464" s="111" customFormat="1" x14ac:dyDescent="0.25"/>
    <row r="465" s="111" customFormat="1" x14ac:dyDescent="0.25"/>
    <row r="466" s="111" customFormat="1" x14ac:dyDescent="0.25"/>
    <row r="467" s="111" customFormat="1" x14ac:dyDescent="0.25"/>
    <row r="468" s="111" customFormat="1" x14ac:dyDescent="0.25"/>
    <row r="469" s="111" customFormat="1" x14ac:dyDescent="0.25"/>
    <row r="470" s="111" customFormat="1" x14ac:dyDescent="0.25"/>
    <row r="471" s="111" customFormat="1" x14ac:dyDescent="0.25"/>
    <row r="472" s="111" customFormat="1" x14ac:dyDescent="0.25"/>
    <row r="473" s="111" customFormat="1" x14ac:dyDescent="0.25"/>
    <row r="474" s="111" customFormat="1" x14ac:dyDescent="0.25"/>
    <row r="475" s="111" customFormat="1" x14ac:dyDescent="0.25"/>
    <row r="476" s="111" customFormat="1" x14ac:dyDescent="0.25"/>
    <row r="477" s="111" customFormat="1" x14ac:dyDescent="0.25"/>
    <row r="478" s="111" customFormat="1" x14ac:dyDescent="0.25"/>
    <row r="479" s="111" customFormat="1" x14ac:dyDescent="0.25"/>
    <row r="480" s="111" customFormat="1" x14ac:dyDescent="0.25"/>
    <row r="481" s="111" customFormat="1" x14ac:dyDescent="0.25"/>
    <row r="482" s="111" customFormat="1" x14ac:dyDescent="0.25"/>
    <row r="483" s="111" customFormat="1" x14ac:dyDescent="0.25"/>
    <row r="484" s="111" customFormat="1" x14ac:dyDescent="0.25"/>
    <row r="485" s="111" customFormat="1" x14ac:dyDescent="0.25"/>
    <row r="486" s="111" customFormat="1" x14ac:dyDescent="0.25"/>
  </sheetData>
  <conditionalFormatting sqref="M2">
    <cfRule type="containsText" dxfId="5" priority="3" operator="containsText" text="Oui">
      <formula>NOT(ISERROR(SEARCH("Oui",M2)))</formula>
    </cfRule>
    <cfRule type="containsText" dxfId="4" priority="4" operator="containsText" text="Non">
      <formula>NOT(ISERROR(SEARCH("Non",M2)))</formula>
    </cfRule>
  </conditionalFormatting>
  <conditionalFormatting sqref="E2:E8">
    <cfRule type="containsText" dxfId="3" priority="1" operator="containsText" text="non">
      <formula>NOT(ISERROR(SEARCH("non",E2)))</formula>
    </cfRule>
    <cfRule type="containsText" dxfId="2" priority="2" operator="containsText" text="oui">
      <formula>NOT(ISERROR(SEARCH("oui",E2)))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3B24-759E-413B-8B47-D3776F8F7D0C}">
  <sheetPr codeName="Feuil27">
    <tabColor rgb="FFFFFF00"/>
  </sheetPr>
  <dimension ref="A1:CF1220"/>
  <sheetViews>
    <sheetView workbookViewId="0"/>
  </sheetViews>
  <sheetFormatPr baseColWidth="10" defaultColWidth="11.42578125" defaultRowHeight="15" x14ac:dyDescent="0.25"/>
  <cols>
    <col min="2" max="2" width="22.28515625" style="111" customWidth="1"/>
    <col min="3" max="3" width="107" style="111" bestFit="1" customWidth="1"/>
    <col min="4" max="4" width="31.85546875" style="111" customWidth="1"/>
    <col min="5" max="5" width="14.85546875" style="111" bestFit="1" customWidth="1"/>
    <col min="6" max="6" width="11.42578125" style="111" customWidth="1"/>
    <col min="7" max="7" width="13" style="111" bestFit="1" customWidth="1"/>
    <col min="8" max="8" width="18.28515625" style="111" bestFit="1" customWidth="1"/>
    <col min="9" max="9" width="28.5703125" customWidth="1"/>
    <col min="10" max="10" width="31.7109375" bestFit="1" customWidth="1"/>
    <col min="11" max="11" width="14.7109375" customWidth="1"/>
    <col min="12" max="12" width="14.140625" customWidth="1"/>
    <col min="14" max="15" width="11.42578125" style="111"/>
    <col min="16" max="16" width="31.140625" style="111" bestFit="1" customWidth="1"/>
    <col min="17" max="17" width="14.85546875" style="111" customWidth="1"/>
    <col min="18" max="18" width="14" style="111" customWidth="1"/>
    <col min="19" max="19" width="32.140625" style="111" customWidth="1"/>
    <col min="20" max="20" width="30" style="111" bestFit="1" customWidth="1"/>
    <col min="21" max="21" width="14.5703125" style="111" customWidth="1"/>
    <col min="22" max="22" width="14.42578125" style="111" bestFit="1" customWidth="1"/>
    <col min="23" max="23" width="9.85546875" style="111" bestFit="1" customWidth="1"/>
    <col min="24" max="24" width="60.5703125" style="111" bestFit="1" customWidth="1"/>
    <col min="25" max="25" width="9.85546875" style="111" bestFit="1" customWidth="1"/>
    <col min="26" max="26" width="12.7109375" style="111" bestFit="1" customWidth="1"/>
    <col min="27" max="27" width="5.42578125" style="111" bestFit="1" customWidth="1"/>
    <col min="28" max="28" width="13.42578125" style="111" customWidth="1"/>
    <col min="29" max="29" width="16.28515625" style="111" bestFit="1" customWidth="1"/>
    <col min="30" max="30" width="11.28515625" style="111" bestFit="1" customWidth="1"/>
    <col min="31" max="31" width="14" style="111" bestFit="1" customWidth="1"/>
    <col min="32" max="33" width="12.7109375" style="111" bestFit="1" customWidth="1"/>
    <col min="34" max="34" width="13.28515625" style="111" bestFit="1" customWidth="1"/>
    <col min="35" max="35" width="13" style="111" bestFit="1" customWidth="1"/>
    <col min="36" max="36" width="10.5703125" style="111" bestFit="1" customWidth="1"/>
    <col min="37" max="39" width="11.42578125" style="111"/>
    <col min="40" max="40" width="36.28515625" style="111" customWidth="1"/>
    <col min="41" max="41" width="11.42578125" style="111"/>
    <col min="42" max="42" width="55.7109375" style="111" bestFit="1" customWidth="1"/>
    <col min="43" max="43" width="91" style="111" customWidth="1"/>
    <col min="44" max="44" width="30.7109375" style="111" bestFit="1" customWidth="1"/>
    <col min="45" max="45" width="89.140625" style="111" bestFit="1" customWidth="1"/>
    <col min="46" max="46" width="40" style="111" bestFit="1" customWidth="1"/>
    <col min="47" max="47" width="21.140625" style="111" bestFit="1" customWidth="1"/>
    <col min="48" max="48" width="11.28515625" style="111" bestFit="1" customWidth="1"/>
    <col min="49" max="49" width="23.42578125" style="111" bestFit="1" customWidth="1"/>
    <col min="50" max="50" width="67.140625" style="111" bestFit="1" customWidth="1"/>
    <col min="51" max="51" width="18" style="111" customWidth="1"/>
    <col min="52" max="52" width="27.85546875" style="111" bestFit="1" customWidth="1"/>
    <col min="53" max="53" width="22.85546875" style="111" bestFit="1" customWidth="1"/>
    <col min="54" max="54" width="11.42578125" style="111"/>
    <col min="55" max="55" width="13.7109375" style="111" bestFit="1" customWidth="1"/>
    <col min="56" max="56" width="17.42578125" style="111" customWidth="1"/>
    <col min="57" max="57" width="22.85546875" style="111" bestFit="1" customWidth="1"/>
    <col min="58" max="58" width="11.28515625" style="111" bestFit="1" customWidth="1"/>
    <col min="59" max="59" width="13.7109375" style="111" bestFit="1" customWidth="1"/>
    <col min="60" max="60" width="26" style="111" bestFit="1" customWidth="1"/>
    <col min="61" max="62" width="11.42578125" style="111"/>
    <col min="63" max="63" width="67.42578125" style="111" bestFit="1" customWidth="1"/>
    <col min="64" max="64" width="11.28515625" style="111" bestFit="1" customWidth="1"/>
    <col min="65" max="65" width="15.28515625" style="111" bestFit="1" customWidth="1"/>
    <col min="66" max="84" width="11.42578125" style="111"/>
  </cols>
  <sheetData>
    <row r="1" spans="2:13" ht="21" x14ac:dyDescent="0.4">
      <c r="B1" s="321" t="s">
        <v>678</v>
      </c>
      <c r="C1" s="322"/>
      <c r="D1" s="322"/>
      <c r="E1" s="322"/>
      <c r="F1" s="322"/>
      <c r="G1" s="322"/>
      <c r="I1" s="321" t="s">
        <v>679</v>
      </c>
      <c r="J1" s="111"/>
      <c r="K1" s="111"/>
      <c r="L1" s="111"/>
      <c r="M1" s="111"/>
    </row>
    <row r="2" spans="2:13" ht="34.15" customHeight="1" x14ac:dyDescent="0.3">
      <c r="B2" s="322"/>
      <c r="C2" s="322"/>
      <c r="D2" s="322"/>
      <c r="E2" s="322"/>
      <c r="F2" s="322"/>
      <c r="G2" s="322"/>
      <c r="I2" s="111"/>
      <c r="J2" s="111"/>
      <c r="K2" s="111"/>
      <c r="L2" s="111"/>
      <c r="M2" s="111"/>
    </row>
    <row r="3" spans="2:13" ht="30" customHeight="1" x14ac:dyDescent="0.35">
      <c r="B3" s="322"/>
      <c r="C3" s="559" t="s">
        <v>682</v>
      </c>
      <c r="D3" s="559"/>
      <c r="E3" s="559"/>
      <c r="F3" s="559"/>
      <c r="G3" s="559"/>
      <c r="I3" s="111"/>
      <c r="J3" s="111"/>
      <c r="K3" s="111"/>
      <c r="L3" s="111"/>
      <c r="M3" s="111"/>
    </row>
    <row r="4" spans="2:13" ht="29.45" customHeight="1" x14ac:dyDescent="0.3">
      <c r="B4" s="322"/>
      <c r="C4" s="322"/>
      <c r="D4" s="322"/>
      <c r="E4" s="322"/>
      <c r="F4" s="322"/>
      <c r="G4" s="322"/>
      <c r="I4" s="111"/>
      <c r="J4" s="111"/>
      <c r="K4" s="111"/>
      <c r="L4" s="111"/>
      <c r="M4" s="111"/>
    </row>
    <row r="5" spans="2:13" ht="31.15" customHeight="1" x14ac:dyDescent="0.25">
      <c r="B5" s="323" t="s">
        <v>683</v>
      </c>
      <c r="C5" s="571" t="s">
        <v>684</v>
      </c>
      <c r="D5" s="571"/>
      <c r="E5" s="571"/>
      <c r="F5" s="572" t="str">
        <f>IF(AND(E7&lt;250,OR(E8&lt;50000000,E9&lt;43000000)),"OUI","NON")</f>
        <v>OUI</v>
      </c>
      <c r="G5" s="563" t="str">
        <f>IF(F5="NON", "JEI invalidée","")</f>
        <v/>
      </c>
      <c r="I5" s="248" t="s">
        <v>654</v>
      </c>
      <c r="J5" s="248" t="s">
        <v>655</v>
      </c>
      <c r="K5" s="248" t="s">
        <v>602</v>
      </c>
      <c r="L5" s="248" t="s">
        <v>656</v>
      </c>
      <c r="M5" s="248" t="s">
        <v>657</v>
      </c>
    </row>
    <row r="6" spans="2:13" ht="21.75" customHeight="1" x14ac:dyDescent="0.3">
      <c r="B6" s="324"/>
      <c r="C6" s="571"/>
      <c r="D6" s="571"/>
      <c r="E6" s="571"/>
      <c r="F6" s="573"/>
      <c r="G6" s="563"/>
      <c r="I6" s="417"/>
      <c r="J6" s="238">
        <f>SYNTHESE!C19</f>
        <v>3473229.1360211587</v>
      </c>
      <c r="K6" s="252">
        <f>I6/J6</f>
        <v>0</v>
      </c>
      <c r="L6" s="253" t="str">
        <f>IF(K6&gt;=M6,"Oui","Non")</f>
        <v>Non</v>
      </c>
      <c r="M6" s="254">
        <v>0.2</v>
      </c>
    </row>
    <row r="7" spans="2:13" ht="19.5" customHeight="1" x14ac:dyDescent="0.3">
      <c r="B7" s="324"/>
      <c r="C7" s="564" t="s">
        <v>689</v>
      </c>
      <c r="D7" s="565"/>
      <c r="E7" s="341">
        <f>SUM(VALO_PERSO!O5:O49)</f>
        <v>42.747945205479454</v>
      </c>
      <c r="F7" s="573"/>
      <c r="G7" s="563"/>
      <c r="J7" s="111"/>
      <c r="K7" s="111"/>
      <c r="L7" s="111"/>
      <c r="M7" s="111"/>
    </row>
    <row r="8" spans="2:13" ht="19.5" customHeight="1" x14ac:dyDescent="0.3">
      <c r="B8" s="324"/>
      <c r="C8" s="564" t="s">
        <v>690</v>
      </c>
      <c r="D8" s="565"/>
      <c r="E8" s="342" t="s">
        <v>814</v>
      </c>
      <c r="F8" s="573"/>
      <c r="G8" s="563"/>
      <c r="I8" s="111"/>
      <c r="J8" s="111"/>
      <c r="K8" s="111"/>
      <c r="L8" s="111"/>
      <c r="M8" s="111"/>
    </row>
    <row r="9" spans="2:13" ht="15" customHeight="1" x14ac:dyDescent="0.3">
      <c r="B9" s="324"/>
      <c r="C9" s="575" t="s">
        <v>691</v>
      </c>
      <c r="D9" s="576"/>
      <c r="E9" s="343"/>
      <c r="F9" s="574"/>
      <c r="G9" s="563"/>
      <c r="I9" s="111"/>
      <c r="J9" s="111"/>
      <c r="K9" s="111"/>
      <c r="L9" s="111"/>
      <c r="M9" s="111"/>
    </row>
    <row r="10" spans="2:13" ht="20.25" customHeight="1" x14ac:dyDescent="0.25">
      <c r="B10" s="323" t="s">
        <v>692</v>
      </c>
      <c r="C10" s="326" t="s">
        <v>693</v>
      </c>
      <c r="D10" s="561">
        <v>44927</v>
      </c>
      <c r="E10" s="562"/>
      <c r="F10" s="578" t="str">
        <f ca="1">IF(AND($E$14&lt;$D$10,$F$14&lt;11),"OUI",IF($E$14&gt;=$D$10,"NA","NON"))</f>
        <v>NA</v>
      </c>
      <c r="G10" s="563" t="str">
        <f ca="1">IF(OR(F10="NON",F12="NON"), "JEI invalidée","")</f>
        <v/>
      </c>
      <c r="I10" s="378" t="s">
        <v>741</v>
      </c>
      <c r="J10" s="378" t="s">
        <v>742</v>
      </c>
      <c r="K10" s="378" t="s">
        <v>640</v>
      </c>
      <c r="L10" s="111"/>
      <c r="M10" s="111"/>
    </row>
    <row r="11" spans="2:13" ht="16.5" customHeight="1" x14ac:dyDescent="0.3">
      <c r="B11" s="323"/>
      <c r="C11" s="566" t="s">
        <v>694</v>
      </c>
      <c r="D11" s="567"/>
      <c r="E11" s="568"/>
      <c r="F11" s="579"/>
      <c r="G11" s="563"/>
      <c r="I11" s="379" t="s">
        <v>743</v>
      </c>
      <c r="J11" s="377" t="s">
        <v>744</v>
      </c>
      <c r="K11" s="377" t="s">
        <v>745</v>
      </c>
      <c r="L11" s="111"/>
      <c r="M11" s="111"/>
    </row>
    <row r="12" spans="2:13" ht="16.5" x14ac:dyDescent="0.3">
      <c r="B12" s="324"/>
      <c r="C12" s="327" t="s">
        <v>695</v>
      </c>
      <c r="D12" s="577">
        <v>44927</v>
      </c>
      <c r="E12" s="568"/>
      <c r="F12" s="578" t="str">
        <f ca="1">IF(AND($E$14&gt;=$D$12,$F$14&lt;8),"OUI",IF($E$14&lt;$D$12,"NA","NON"))</f>
        <v>OUI</v>
      </c>
      <c r="G12" s="563"/>
      <c r="I12" s="379" t="s">
        <v>746</v>
      </c>
      <c r="J12" s="377" t="s">
        <v>744</v>
      </c>
      <c r="K12" s="377" t="s">
        <v>745</v>
      </c>
      <c r="L12" s="111"/>
      <c r="M12" s="111"/>
    </row>
    <row r="13" spans="2:13" ht="16.5" customHeight="1" x14ac:dyDescent="0.3">
      <c r="B13" s="324"/>
      <c r="C13" s="580" t="s">
        <v>696</v>
      </c>
      <c r="D13" s="581"/>
      <c r="E13" s="582"/>
      <c r="F13" s="579"/>
      <c r="G13" s="563"/>
      <c r="I13" s="379" t="s">
        <v>747</v>
      </c>
      <c r="J13" s="377" t="s">
        <v>744</v>
      </c>
      <c r="K13" s="377" t="s">
        <v>745</v>
      </c>
      <c r="L13" s="111"/>
      <c r="M13" s="111"/>
    </row>
    <row r="14" spans="2:13" ht="16.5" customHeight="1" x14ac:dyDescent="0.3">
      <c r="B14" s="324"/>
      <c r="C14" s="569" t="s">
        <v>697</v>
      </c>
      <c r="D14" s="570"/>
      <c r="E14" s="344">
        <v>44977</v>
      </c>
      <c r="F14" s="338">
        <f ca="1">DATEDIF(E14,TODAY(),"Y")</f>
        <v>3</v>
      </c>
      <c r="G14" s="563"/>
      <c r="I14" s="379" t="s">
        <v>748</v>
      </c>
      <c r="J14" s="377" t="s">
        <v>744</v>
      </c>
      <c r="K14" s="377" t="s">
        <v>745</v>
      </c>
      <c r="L14" s="111"/>
      <c r="M14" s="111"/>
    </row>
    <row r="15" spans="2:13" ht="16.5" customHeight="1" x14ac:dyDescent="0.3">
      <c r="B15" s="323" t="s">
        <v>698</v>
      </c>
      <c r="C15" s="571" t="s">
        <v>699</v>
      </c>
      <c r="D15" s="571"/>
      <c r="E15" s="571"/>
      <c r="F15" s="584" t="str">
        <f>IF(K6&gt;20%,"OUI","NON")</f>
        <v>NON</v>
      </c>
      <c r="G15" s="563" t="str">
        <f>IF(F15="NON", "JEI invalidée","")</f>
        <v>JEI invalidée</v>
      </c>
      <c r="I15" s="379" t="s">
        <v>749</v>
      </c>
      <c r="J15" s="377" t="s">
        <v>744</v>
      </c>
      <c r="K15" s="377" t="s">
        <v>745</v>
      </c>
      <c r="L15" s="111"/>
      <c r="M15" s="111"/>
    </row>
    <row r="16" spans="2:13" ht="16.5" x14ac:dyDescent="0.3">
      <c r="B16" s="324"/>
      <c r="C16" s="583"/>
      <c r="D16" s="583"/>
      <c r="E16" s="583"/>
      <c r="F16" s="572"/>
      <c r="G16" s="563"/>
      <c r="I16" s="379" t="s">
        <v>750</v>
      </c>
      <c r="J16" s="377" t="s">
        <v>744</v>
      </c>
      <c r="K16" s="377" t="s">
        <v>745</v>
      </c>
      <c r="L16" s="111"/>
      <c r="M16" s="111"/>
    </row>
    <row r="17" spans="2:84" ht="16.5" customHeight="1" x14ac:dyDescent="0.3">
      <c r="B17" s="323" t="s">
        <v>700</v>
      </c>
      <c r="C17" s="585" t="s">
        <v>701</v>
      </c>
      <c r="D17" s="586"/>
      <c r="E17" s="587"/>
      <c r="F17" s="339" t="str">
        <f>IF(OR(F18="OUI",F19="OUI",F20="OUI",F21="OUI",F22="OUI",F23="OUI"),"OUI","NON")</f>
        <v>OUI</v>
      </c>
      <c r="G17" s="563" t="str">
        <f>IF(F17="NON", "JEI invalidée","")</f>
        <v/>
      </c>
      <c r="I17" s="379" t="s">
        <v>751</v>
      </c>
      <c r="J17" s="377" t="s">
        <v>744</v>
      </c>
      <c r="K17" s="377" t="s">
        <v>745</v>
      </c>
      <c r="L17" s="111"/>
      <c r="M17" s="111"/>
    </row>
    <row r="18" spans="2:84" ht="16.5" customHeight="1" x14ac:dyDescent="0.3">
      <c r="B18" s="323"/>
      <c r="C18" s="588" t="s">
        <v>702</v>
      </c>
      <c r="D18" s="589"/>
      <c r="E18" s="590"/>
      <c r="F18" s="345" t="s">
        <v>703</v>
      </c>
      <c r="G18" s="563"/>
      <c r="I18" s="379" t="s">
        <v>752</v>
      </c>
      <c r="J18" s="377" t="s">
        <v>744</v>
      </c>
      <c r="K18" s="377" t="s">
        <v>745</v>
      </c>
      <c r="L18" s="111"/>
      <c r="M18" s="111"/>
    </row>
    <row r="19" spans="2:84" ht="16.5" customHeight="1" x14ac:dyDescent="0.3">
      <c r="B19" s="323"/>
      <c r="C19" s="588" t="s">
        <v>704</v>
      </c>
      <c r="D19" s="589"/>
      <c r="E19" s="590"/>
      <c r="F19" s="345" t="s">
        <v>703</v>
      </c>
      <c r="G19" s="563"/>
      <c r="I19" s="379" t="s">
        <v>753</v>
      </c>
      <c r="J19" s="377" t="s">
        <v>744</v>
      </c>
      <c r="K19" s="377" t="s">
        <v>745</v>
      </c>
      <c r="L19" s="111"/>
      <c r="M19" s="111"/>
    </row>
    <row r="20" spans="2:84" ht="16.5" x14ac:dyDescent="0.3">
      <c r="B20" s="323"/>
      <c r="C20" s="588" t="s">
        <v>705</v>
      </c>
      <c r="D20" s="589"/>
      <c r="E20" s="590"/>
      <c r="F20" s="345" t="s">
        <v>706</v>
      </c>
      <c r="G20" s="563"/>
      <c r="I20" s="380" t="s">
        <v>754</v>
      </c>
      <c r="J20" s="377" t="s">
        <v>744</v>
      </c>
      <c r="K20" s="377" t="s">
        <v>745</v>
      </c>
      <c r="L20" s="111"/>
      <c r="M20" s="111"/>
    </row>
    <row r="21" spans="2:84" ht="16.5" customHeight="1" x14ac:dyDescent="0.25">
      <c r="B21" s="323"/>
      <c r="C21" s="588" t="s">
        <v>707</v>
      </c>
      <c r="D21" s="589"/>
      <c r="E21" s="590"/>
      <c r="F21" s="345" t="s">
        <v>706</v>
      </c>
      <c r="G21" s="563"/>
      <c r="I21" s="111"/>
      <c r="J21" s="111"/>
      <c r="K21" s="111"/>
      <c r="L21" s="111"/>
      <c r="M21" s="111"/>
    </row>
    <row r="22" spans="2:84" ht="16.5" customHeight="1" x14ac:dyDescent="0.25">
      <c r="B22" s="323"/>
      <c r="C22" s="588" t="s">
        <v>708</v>
      </c>
      <c r="D22" s="589"/>
      <c r="E22" s="590"/>
      <c r="F22" s="345" t="s">
        <v>706</v>
      </c>
      <c r="G22" s="563"/>
      <c r="I22" s="111"/>
      <c r="J22" s="111"/>
      <c r="K22" s="111"/>
      <c r="L22" s="111"/>
      <c r="M22" s="111"/>
    </row>
    <row r="23" spans="2:84" ht="22.5" customHeight="1" x14ac:dyDescent="0.3">
      <c r="B23" s="324"/>
      <c r="C23" s="596" t="s">
        <v>709</v>
      </c>
      <c r="D23" s="597"/>
      <c r="E23" s="598"/>
      <c r="F23" s="346" t="s">
        <v>706</v>
      </c>
      <c r="G23" s="563"/>
      <c r="I23" s="111"/>
      <c r="J23" s="111"/>
      <c r="K23" s="111"/>
      <c r="L23" s="111"/>
      <c r="M23" s="111"/>
    </row>
    <row r="24" spans="2:84" ht="32.25" customHeight="1" x14ac:dyDescent="0.3">
      <c r="B24" s="324" t="s">
        <v>714</v>
      </c>
      <c r="C24" s="599" t="s">
        <v>715</v>
      </c>
      <c r="D24" s="600"/>
      <c r="E24" s="601"/>
      <c r="F24" s="605" t="str">
        <f>IF(AND(F26="NON",F30="NON",F33="NON"),"OUI","NON")</f>
        <v>OUI</v>
      </c>
      <c r="G24" s="563" t="str">
        <f>IF(F24="NON", "JEI invalidée","")</f>
        <v/>
      </c>
      <c r="I24" s="111"/>
      <c r="J24" s="111"/>
      <c r="K24" s="111"/>
      <c r="L24" s="111"/>
      <c r="M24" s="111"/>
      <c r="CE24"/>
      <c r="CF24"/>
    </row>
    <row r="25" spans="2:84" ht="24.75" customHeight="1" x14ac:dyDescent="0.3">
      <c r="B25" s="324"/>
      <c r="C25" s="602"/>
      <c r="D25" s="603"/>
      <c r="E25" s="604"/>
      <c r="F25" s="606"/>
      <c r="G25" s="563"/>
      <c r="I25" s="111"/>
      <c r="J25" s="111"/>
      <c r="K25" s="111"/>
      <c r="L25" s="111"/>
      <c r="M25" s="111"/>
      <c r="CE25"/>
      <c r="CF25"/>
    </row>
    <row r="26" spans="2:84" ht="24.75" customHeight="1" x14ac:dyDescent="0.25">
      <c r="B26" s="325" t="s">
        <v>722</v>
      </c>
      <c r="C26" s="332" t="s">
        <v>723</v>
      </c>
      <c r="D26" s="335"/>
      <c r="E26" s="336"/>
      <c r="F26" s="340" t="str">
        <f>IF(AND(F27="NON",F28="NON",F29="NON"),"NON","OUI")</f>
        <v>NON</v>
      </c>
      <c r="G26" s="563"/>
      <c r="I26" s="111"/>
      <c r="J26" s="111"/>
      <c r="K26" s="111"/>
      <c r="L26" s="111"/>
      <c r="M26" s="111"/>
      <c r="CE26"/>
      <c r="CF26"/>
    </row>
    <row r="27" spans="2:84" ht="36.75" customHeight="1" x14ac:dyDescent="0.25">
      <c r="B27" s="325"/>
      <c r="C27" s="333" t="s">
        <v>725</v>
      </c>
      <c r="D27" s="337"/>
      <c r="E27" s="329"/>
      <c r="F27" s="347" t="s">
        <v>706</v>
      </c>
      <c r="G27" s="563"/>
      <c r="I27" s="111"/>
      <c r="J27" s="111"/>
      <c r="K27" s="111"/>
      <c r="L27" s="111"/>
      <c r="M27" s="111"/>
      <c r="CE27"/>
      <c r="CF27"/>
    </row>
    <row r="28" spans="2:84" ht="24.75" customHeight="1" x14ac:dyDescent="0.25">
      <c r="B28" s="325"/>
      <c r="C28" s="333" t="s">
        <v>726</v>
      </c>
      <c r="D28" s="328"/>
      <c r="E28" s="329"/>
      <c r="F28" s="347" t="s">
        <v>706</v>
      </c>
      <c r="G28" s="563"/>
      <c r="I28" s="111"/>
      <c r="J28" s="111"/>
      <c r="K28" s="111"/>
      <c r="L28" s="111"/>
      <c r="M28" s="111"/>
      <c r="CE28"/>
      <c r="CF28"/>
    </row>
    <row r="29" spans="2:84" ht="16.5" x14ac:dyDescent="0.25">
      <c r="B29" s="325"/>
      <c r="C29" s="334" t="s">
        <v>728</v>
      </c>
      <c r="D29" s="330"/>
      <c r="E29" s="331"/>
      <c r="F29" s="348" t="s">
        <v>706</v>
      </c>
      <c r="G29" s="563"/>
      <c r="I29" s="111"/>
      <c r="J29" s="111"/>
      <c r="K29" s="111"/>
      <c r="L29" s="111"/>
      <c r="M29" s="111"/>
      <c r="CE29"/>
      <c r="CF29"/>
    </row>
    <row r="30" spans="2:84" ht="16.5" x14ac:dyDescent="0.25">
      <c r="B30" s="325" t="s">
        <v>729</v>
      </c>
      <c r="C30" s="332" t="s">
        <v>730</v>
      </c>
      <c r="D30" s="335"/>
      <c r="E30" s="336"/>
      <c r="F30" s="340" t="str">
        <f>IF(AND(F31="NON",F32="NON"),"NON","OUI")</f>
        <v>NON</v>
      </c>
      <c r="G30" s="563"/>
      <c r="I30" s="111"/>
      <c r="J30" s="111"/>
      <c r="K30" s="111"/>
      <c r="L30" s="111"/>
      <c r="M30" s="111"/>
      <c r="CE30"/>
      <c r="CF30"/>
    </row>
    <row r="31" spans="2:84" ht="16.5" x14ac:dyDescent="0.25">
      <c r="B31" s="325"/>
      <c r="C31" s="333" t="s">
        <v>731</v>
      </c>
      <c r="D31" s="328"/>
      <c r="E31" s="329"/>
      <c r="F31" s="347" t="s">
        <v>706</v>
      </c>
      <c r="G31" s="563"/>
      <c r="I31" s="111"/>
      <c r="J31" s="111"/>
      <c r="K31" s="111"/>
      <c r="L31" s="111"/>
      <c r="M31" s="111"/>
      <c r="CE31"/>
      <c r="CF31"/>
    </row>
    <row r="32" spans="2:84" ht="16.5" x14ac:dyDescent="0.25">
      <c r="B32" s="325"/>
      <c r="C32" s="334" t="s">
        <v>733</v>
      </c>
      <c r="D32" s="330"/>
      <c r="E32" s="331"/>
      <c r="F32" s="348" t="s">
        <v>706</v>
      </c>
      <c r="G32" s="563"/>
      <c r="I32" s="111"/>
      <c r="J32" s="111"/>
      <c r="K32" s="111"/>
      <c r="L32" s="111"/>
      <c r="M32" s="111"/>
      <c r="CE32"/>
      <c r="CF32"/>
    </row>
    <row r="33" spans="1:84" ht="16.5" x14ac:dyDescent="0.25">
      <c r="B33" s="325" t="s">
        <v>734</v>
      </c>
      <c r="C33" s="332" t="s">
        <v>735</v>
      </c>
      <c r="D33" s="335"/>
      <c r="E33" s="336"/>
      <c r="F33" s="340" t="str">
        <f>IF(AND(F34="NON",F35="NON"),"NON","OUI")</f>
        <v>NON</v>
      </c>
      <c r="G33" s="563"/>
      <c r="I33" s="111"/>
      <c r="J33" s="111"/>
      <c r="K33" s="111"/>
      <c r="L33" s="111"/>
      <c r="M33" s="111"/>
      <c r="CE33"/>
      <c r="CF33"/>
    </row>
    <row r="34" spans="1:84" ht="16.5" x14ac:dyDescent="0.25">
      <c r="B34" s="325"/>
      <c r="C34" s="333" t="s">
        <v>736</v>
      </c>
      <c r="D34" s="328"/>
      <c r="E34" s="329"/>
      <c r="F34" s="347" t="s">
        <v>706</v>
      </c>
      <c r="G34" s="563"/>
      <c r="I34" s="111"/>
      <c r="J34" s="111"/>
      <c r="K34" s="111"/>
      <c r="L34" s="111"/>
      <c r="M34" s="111"/>
      <c r="CE34"/>
      <c r="CF34"/>
    </row>
    <row r="35" spans="1:84" ht="16.5" x14ac:dyDescent="0.25">
      <c r="B35" s="325"/>
      <c r="C35" s="334" t="s">
        <v>737</v>
      </c>
      <c r="D35" s="330"/>
      <c r="E35" s="331"/>
      <c r="F35" s="348" t="s">
        <v>706</v>
      </c>
      <c r="G35" s="563"/>
      <c r="I35" s="111"/>
      <c r="J35" s="111"/>
      <c r="K35" s="111"/>
      <c r="L35" s="111"/>
      <c r="M35" s="111"/>
      <c r="CE35"/>
      <c r="CF35"/>
    </row>
    <row r="36" spans="1:84" s="111" customFormat="1" x14ac:dyDescent="0.25"/>
    <row r="37" spans="1:84" s="111" customFormat="1" ht="14.45" customHeight="1" x14ac:dyDescent="0.4">
      <c r="B37" s="426"/>
      <c r="C37" s="560" t="s">
        <v>680</v>
      </c>
      <c r="D37" s="560"/>
      <c r="E37" s="560"/>
    </row>
    <row r="38" spans="1:84" s="111" customFormat="1" ht="14.45" customHeight="1" x14ac:dyDescent="0.4">
      <c r="B38" s="426"/>
      <c r="C38" s="560"/>
      <c r="D38" s="560"/>
      <c r="E38" s="560"/>
    </row>
    <row r="39" spans="1:84" s="111" customFormat="1" x14ac:dyDescent="0.25"/>
    <row r="40" spans="1:84" s="111" customFormat="1" ht="15.75" thickBot="1" x14ac:dyDescent="0.3"/>
    <row r="41" spans="1:84" s="111" customFormat="1" ht="15.75" thickBot="1" x14ac:dyDescent="0.3">
      <c r="B41" s="349"/>
      <c r="C41" s="607" t="s">
        <v>685</v>
      </c>
      <c r="D41" s="608"/>
      <c r="E41" s="608"/>
      <c r="F41" s="349"/>
      <c r="G41" s="349"/>
      <c r="H41" s="349"/>
    </row>
    <row r="42" spans="1:84" s="111" customFormat="1" ht="15.75" thickBot="1" x14ac:dyDescent="0.3">
      <c r="B42" s="369" t="s">
        <v>366</v>
      </c>
      <c r="C42" s="357" t="s">
        <v>73</v>
      </c>
      <c r="D42" s="358" t="s">
        <v>368</v>
      </c>
      <c r="E42" s="358" t="s">
        <v>688</v>
      </c>
      <c r="F42" s="349"/>
      <c r="G42" s="349"/>
      <c r="H42" s="349"/>
    </row>
    <row r="43" spans="1:84" s="111" customFormat="1" ht="15.75" thickBot="1" x14ac:dyDescent="0.3">
      <c r="A43" s="111" t="s">
        <v>813</v>
      </c>
      <c r="B43" s="359" t="str">
        <f>VALO_PERSO!F5</f>
        <v>mad</v>
      </c>
      <c r="C43" s="350" t="str">
        <f>VALO_PERSO!G5</f>
        <v>GHLAMI</v>
      </c>
      <c r="D43" s="350" t="str">
        <f>VALO_PERSO!H5</f>
        <v>Sephora</v>
      </c>
      <c r="E43" s="350">
        <f>VALO_PERSO!J5</f>
        <v>0</v>
      </c>
      <c r="F43" s="349"/>
      <c r="G43" s="349"/>
      <c r="H43" s="349"/>
    </row>
    <row r="44" spans="1:84" s="111" customFormat="1" ht="24.75" thickBot="1" x14ac:dyDescent="0.3">
      <c r="A44" s="111" t="s">
        <v>813</v>
      </c>
      <c r="B44" s="359">
        <f>VALO_PERSO!F6</f>
        <v>1</v>
      </c>
      <c r="C44" s="350" t="str">
        <f>VALO_PERSO!G6</f>
        <v>AMILLASTRE</v>
      </c>
      <c r="D44" s="350" t="str">
        <f>VALO_PERSO!H6</f>
        <v>Emilie</v>
      </c>
      <c r="E44" s="350" t="str">
        <f>VALO_PERSO!J6</f>
        <v>Doctorat - INSA Toulouse</v>
      </c>
      <c r="F44" s="349"/>
      <c r="G44" s="349"/>
      <c r="H44" s="349"/>
    </row>
    <row r="45" spans="1:84" s="111" customFormat="1" ht="24.75" thickBot="1" x14ac:dyDescent="0.3">
      <c r="A45" s="111" t="s">
        <v>813</v>
      </c>
      <c r="B45" s="359">
        <f>VALO_PERSO!F6</f>
        <v>1</v>
      </c>
      <c r="C45" s="350" t="str">
        <f>VALO_PERSO!G6</f>
        <v>AMILLASTRE</v>
      </c>
      <c r="D45" s="350" t="str">
        <f>VALO_PERSO!H6</f>
        <v>Emilie</v>
      </c>
      <c r="E45" s="350" t="str">
        <f>VALO_PERSO!J6</f>
        <v>Doctorat - INSA Toulouse</v>
      </c>
      <c r="F45" s="349"/>
      <c r="G45" s="349"/>
      <c r="H45" s="349"/>
    </row>
    <row r="46" spans="1:84" s="111" customFormat="1" ht="15.75" thickBot="1" x14ac:dyDescent="0.3">
      <c r="A46" s="111" t="s">
        <v>813</v>
      </c>
      <c r="B46" s="359" t="e">
        <f>VALO_PERSO!#REF!</f>
        <v>#REF!</v>
      </c>
      <c r="C46" s="350" t="e">
        <f>VALO_PERSO!#REF!</f>
        <v>#REF!</v>
      </c>
      <c r="D46" s="350" t="e">
        <f>VALO_PERSO!#REF!</f>
        <v>#REF!</v>
      </c>
      <c r="E46" s="350" t="e">
        <f>VALO_PERSO!#REF!</f>
        <v>#REF!</v>
      </c>
      <c r="F46" s="349"/>
      <c r="G46" s="349"/>
      <c r="H46" s="349"/>
    </row>
    <row r="47" spans="1:84" s="111" customFormat="1" ht="15.75" thickBot="1" x14ac:dyDescent="0.3">
      <c r="A47" s="111" t="s">
        <v>813</v>
      </c>
      <c r="B47" s="359" t="e">
        <f>VALO_PERSO!#REF!</f>
        <v>#REF!</v>
      </c>
      <c r="C47" s="350" t="e">
        <f>VALO_PERSO!#REF!</f>
        <v>#REF!</v>
      </c>
      <c r="D47" s="350" t="e">
        <f>VALO_PERSO!#REF!</f>
        <v>#REF!</v>
      </c>
      <c r="E47" s="350" t="e">
        <f>VALO_PERSO!#REF!</f>
        <v>#REF!</v>
      </c>
      <c r="F47" s="349"/>
      <c r="G47" s="349"/>
      <c r="H47" s="349"/>
    </row>
    <row r="48" spans="1:84" s="111" customFormat="1" ht="15.75" thickBot="1" x14ac:dyDescent="0.3">
      <c r="A48" s="111" t="s">
        <v>813</v>
      </c>
      <c r="B48" s="359" t="e">
        <f>VALO_PERSO!#REF!</f>
        <v>#REF!</v>
      </c>
      <c r="C48" s="350" t="e">
        <f>VALO_PERSO!#REF!</f>
        <v>#REF!</v>
      </c>
      <c r="D48" s="350" t="e">
        <f>VALO_PERSO!#REF!</f>
        <v>#REF!</v>
      </c>
      <c r="E48" s="350" t="e">
        <f>VALO_PERSO!#REF!</f>
        <v>#REF!</v>
      </c>
      <c r="F48" s="349"/>
      <c r="G48" s="349"/>
      <c r="H48" s="349"/>
    </row>
    <row r="49" spans="1:8" s="111" customFormat="1" ht="15.75" thickBot="1" x14ac:dyDescent="0.3">
      <c r="A49" s="111" t="s">
        <v>813</v>
      </c>
      <c r="B49" s="359" t="e">
        <f>VALO_PERSO!#REF!</f>
        <v>#REF!</v>
      </c>
      <c r="C49" s="350" t="e">
        <f>VALO_PERSO!#REF!</f>
        <v>#REF!</v>
      </c>
      <c r="D49" s="350" t="e">
        <f>VALO_PERSO!#REF!</f>
        <v>#REF!</v>
      </c>
      <c r="E49" s="350" t="e">
        <f>VALO_PERSO!#REF!</f>
        <v>#REF!</v>
      </c>
      <c r="F49" s="349"/>
      <c r="G49" s="349"/>
      <c r="H49" s="349"/>
    </row>
    <row r="50" spans="1:8" s="111" customFormat="1" ht="15.75" thickBot="1" x14ac:dyDescent="0.3">
      <c r="A50" s="111" t="s">
        <v>813</v>
      </c>
      <c r="B50" s="359" t="e">
        <f>VALO_PERSO!#REF!</f>
        <v>#REF!</v>
      </c>
      <c r="C50" s="350" t="e">
        <f>VALO_PERSO!#REF!</f>
        <v>#REF!</v>
      </c>
      <c r="D50" s="350" t="e">
        <f>VALO_PERSO!#REF!</f>
        <v>#REF!</v>
      </c>
      <c r="E50" s="350" t="e">
        <f>VALO_PERSO!#REF!</f>
        <v>#REF!</v>
      </c>
      <c r="F50" s="349"/>
      <c r="G50" s="349"/>
      <c r="H50" s="349"/>
    </row>
    <row r="51" spans="1:8" s="111" customFormat="1" ht="15.75" thickBot="1" x14ac:dyDescent="0.3">
      <c r="A51" s="111" t="s">
        <v>813</v>
      </c>
      <c r="B51" s="359" t="e">
        <f>VALO_PERSO!#REF!</f>
        <v>#REF!</v>
      </c>
      <c r="C51" s="350" t="e">
        <f>VALO_PERSO!#REF!</f>
        <v>#REF!</v>
      </c>
      <c r="D51" s="350" t="e">
        <f>VALO_PERSO!#REF!</f>
        <v>#REF!</v>
      </c>
      <c r="E51" s="350" t="e">
        <f>VALO_PERSO!#REF!</f>
        <v>#REF!</v>
      </c>
      <c r="F51" s="349"/>
      <c r="G51" s="349"/>
      <c r="H51" s="349"/>
    </row>
    <row r="52" spans="1:8" s="111" customFormat="1" ht="15.75" thickBot="1" x14ac:dyDescent="0.3">
      <c r="A52" s="111" t="s">
        <v>813</v>
      </c>
      <c r="B52" s="359" t="e">
        <f>VALO_PERSO!#REF!</f>
        <v>#REF!</v>
      </c>
      <c r="C52" s="350" t="e">
        <f>VALO_PERSO!#REF!</f>
        <v>#REF!</v>
      </c>
      <c r="D52" s="350" t="e">
        <f>VALO_PERSO!#REF!</f>
        <v>#REF!</v>
      </c>
      <c r="E52" s="350" t="e">
        <f>VALO_PERSO!#REF!</f>
        <v>#REF!</v>
      </c>
      <c r="F52" s="349"/>
      <c r="G52" s="349"/>
      <c r="H52" s="349"/>
    </row>
    <row r="53" spans="1:8" s="111" customFormat="1" ht="15.75" thickBot="1" x14ac:dyDescent="0.3">
      <c r="A53" s="111" t="s">
        <v>813</v>
      </c>
      <c r="B53" s="359" t="e">
        <f>VALO_PERSO!#REF!</f>
        <v>#REF!</v>
      </c>
      <c r="C53" s="350" t="e">
        <f>VALO_PERSO!#REF!</f>
        <v>#REF!</v>
      </c>
      <c r="D53" s="350" t="e">
        <f>VALO_PERSO!#REF!</f>
        <v>#REF!</v>
      </c>
      <c r="E53" s="350" t="e">
        <f>VALO_PERSO!#REF!</f>
        <v>#REF!</v>
      </c>
      <c r="F53" s="349"/>
      <c r="G53" s="349"/>
      <c r="H53" s="349"/>
    </row>
    <row r="54" spans="1:8" s="111" customFormat="1" ht="15.75" thickBot="1" x14ac:dyDescent="0.3">
      <c r="A54" s="111" t="s">
        <v>813</v>
      </c>
      <c r="B54" s="359" t="e">
        <f>VALO_PERSO!#REF!</f>
        <v>#REF!</v>
      </c>
      <c r="C54" s="350" t="e">
        <f>VALO_PERSO!#REF!</f>
        <v>#REF!</v>
      </c>
      <c r="D54" s="350" t="e">
        <f>VALO_PERSO!#REF!</f>
        <v>#REF!</v>
      </c>
      <c r="E54" s="350" t="e">
        <f>VALO_PERSO!#REF!</f>
        <v>#REF!</v>
      </c>
      <c r="F54" s="349"/>
      <c r="G54" s="349"/>
      <c r="H54" s="349"/>
    </row>
    <row r="55" spans="1:8" s="111" customFormat="1" ht="15.75" thickBot="1" x14ac:dyDescent="0.3">
      <c r="A55" s="111" t="s">
        <v>813</v>
      </c>
      <c r="B55" s="359" t="e">
        <f>VALO_PERSO!#REF!</f>
        <v>#REF!</v>
      </c>
      <c r="C55" s="350" t="e">
        <f>VALO_PERSO!#REF!</f>
        <v>#REF!</v>
      </c>
      <c r="D55" s="350" t="e">
        <f>VALO_PERSO!#REF!</f>
        <v>#REF!</v>
      </c>
      <c r="E55" s="350" t="e">
        <f>VALO_PERSO!#REF!</f>
        <v>#REF!</v>
      </c>
      <c r="F55" s="349"/>
      <c r="G55" s="349"/>
      <c r="H55" s="349"/>
    </row>
    <row r="56" spans="1:8" s="111" customFormat="1" ht="15.75" thickBot="1" x14ac:dyDescent="0.3">
      <c r="A56" s="111" t="s">
        <v>813</v>
      </c>
      <c r="B56" s="359" t="e">
        <f>VALO_PERSO!#REF!</f>
        <v>#REF!</v>
      </c>
      <c r="C56" s="350" t="e">
        <f>VALO_PERSO!#REF!</f>
        <v>#REF!</v>
      </c>
      <c r="D56" s="350" t="e">
        <f>VALO_PERSO!#REF!</f>
        <v>#REF!</v>
      </c>
      <c r="E56" s="350" t="e">
        <f>VALO_PERSO!#REF!</f>
        <v>#REF!</v>
      </c>
      <c r="F56" s="349"/>
      <c r="G56" s="349"/>
      <c r="H56" s="349"/>
    </row>
    <row r="57" spans="1:8" s="111" customFormat="1" ht="15.75" thickBot="1" x14ac:dyDescent="0.3">
      <c r="A57" s="111" t="s">
        <v>813</v>
      </c>
      <c r="B57" s="359" t="e">
        <f>VALO_PERSO!#REF!</f>
        <v>#REF!</v>
      </c>
      <c r="C57" s="350" t="e">
        <f>VALO_PERSO!#REF!</f>
        <v>#REF!</v>
      </c>
      <c r="D57" s="350" t="e">
        <f>VALO_PERSO!#REF!</f>
        <v>#REF!</v>
      </c>
      <c r="E57" s="350" t="e">
        <f>VALO_PERSO!#REF!</f>
        <v>#REF!</v>
      </c>
      <c r="F57" s="349"/>
      <c r="G57" s="349"/>
      <c r="H57" s="349"/>
    </row>
    <row r="58" spans="1:8" s="111" customFormat="1" ht="15.75" thickBot="1" x14ac:dyDescent="0.3">
      <c r="A58" s="111" t="s">
        <v>813</v>
      </c>
      <c r="B58" s="359" t="e">
        <f>VALO_PERSO!#REF!</f>
        <v>#REF!</v>
      </c>
      <c r="C58" s="350" t="e">
        <f>VALO_PERSO!#REF!</f>
        <v>#REF!</v>
      </c>
      <c r="D58" s="350" t="e">
        <f>VALO_PERSO!#REF!</f>
        <v>#REF!</v>
      </c>
      <c r="E58" s="350" t="e">
        <f>VALO_PERSO!#REF!</f>
        <v>#REF!</v>
      </c>
      <c r="F58" s="349"/>
      <c r="G58" s="349"/>
      <c r="H58" s="349"/>
    </row>
    <row r="59" spans="1:8" s="111" customFormat="1" ht="15.75" thickBot="1" x14ac:dyDescent="0.3">
      <c r="A59" s="111" t="s">
        <v>813</v>
      </c>
      <c r="B59" s="359" t="e">
        <f>VALO_PERSO!#REF!</f>
        <v>#REF!</v>
      </c>
      <c r="C59" s="350" t="e">
        <f>VALO_PERSO!#REF!</f>
        <v>#REF!</v>
      </c>
      <c r="D59" s="350" t="e">
        <f>VALO_PERSO!#REF!</f>
        <v>#REF!</v>
      </c>
      <c r="E59" s="350" t="e">
        <f>VALO_PERSO!#REF!</f>
        <v>#REF!</v>
      </c>
      <c r="F59" s="349"/>
      <c r="G59" s="349"/>
      <c r="H59" s="349"/>
    </row>
    <row r="60" spans="1:8" s="111" customFormat="1" ht="15.75" thickBot="1" x14ac:dyDescent="0.3">
      <c r="A60" s="111" t="s">
        <v>813</v>
      </c>
      <c r="B60" s="359" t="e">
        <f>VALO_PERSO!#REF!</f>
        <v>#REF!</v>
      </c>
      <c r="C60" s="350" t="e">
        <f>VALO_PERSO!#REF!</f>
        <v>#REF!</v>
      </c>
      <c r="D60" s="350" t="e">
        <f>VALO_PERSO!#REF!</f>
        <v>#REF!</v>
      </c>
      <c r="E60" s="350" t="e">
        <f>VALO_PERSO!#REF!</f>
        <v>#REF!</v>
      </c>
      <c r="F60" s="349"/>
      <c r="G60" s="349"/>
      <c r="H60" s="349"/>
    </row>
    <row r="61" spans="1:8" s="111" customFormat="1" ht="15.75" thickBot="1" x14ac:dyDescent="0.3">
      <c r="A61" s="111" t="s">
        <v>813</v>
      </c>
      <c r="B61" s="359" t="e">
        <f>VALO_PERSO!#REF!</f>
        <v>#REF!</v>
      </c>
      <c r="C61" s="350" t="e">
        <f>VALO_PERSO!#REF!</f>
        <v>#REF!</v>
      </c>
      <c r="D61" s="350" t="e">
        <f>VALO_PERSO!#REF!</f>
        <v>#REF!</v>
      </c>
      <c r="E61" s="350" t="e">
        <f>VALO_PERSO!#REF!</f>
        <v>#REF!</v>
      </c>
      <c r="F61" s="349"/>
      <c r="G61" s="349"/>
      <c r="H61" s="349"/>
    </row>
    <row r="62" spans="1:8" s="111" customFormat="1" ht="15.75" thickBot="1" x14ac:dyDescent="0.3">
      <c r="A62" s="111" t="s">
        <v>813</v>
      </c>
      <c r="B62" s="359" t="e">
        <f>VALO_PERSO!#REF!</f>
        <v>#REF!</v>
      </c>
      <c r="C62" s="350" t="e">
        <f>VALO_PERSO!#REF!</f>
        <v>#REF!</v>
      </c>
      <c r="D62" s="350" t="e">
        <f>VALO_PERSO!#REF!</f>
        <v>#REF!</v>
      </c>
      <c r="E62" s="350" t="e">
        <f>VALO_PERSO!#REF!</f>
        <v>#REF!</v>
      </c>
      <c r="F62" s="349"/>
      <c r="G62" s="349"/>
      <c r="H62" s="349"/>
    </row>
    <row r="63" spans="1:8" s="111" customFormat="1" ht="15.75" thickBot="1" x14ac:dyDescent="0.3">
      <c r="A63" s="111" t="s">
        <v>813</v>
      </c>
      <c r="B63" s="359" t="e">
        <f>VALO_PERSO!#REF!</f>
        <v>#REF!</v>
      </c>
      <c r="C63" s="350" t="e">
        <f>VALO_PERSO!#REF!</f>
        <v>#REF!</v>
      </c>
      <c r="D63" s="350" t="e">
        <f>VALO_PERSO!#REF!</f>
        <v>#REF!</v>
      </c>
      <c r="E63" s="350" t="e">
        <f>VALO_PERSO!#REF!</f>
        <v>#REF!</v>
      </c>
      <c r="F63" s="349"/>
      <c r="G63" s="349"/>
      <c r="H63" s="349"/>
    </row>
    <row r="64" spans="1:8" s="111" customFormat="1" ht="15.75" thickBot="1" x14ac:dyDescent="0.3">
      <c r="A64" s="111" t="s">
        <v>813</v>
      </c>
      <c r="B64" s="359" t="e">
        <f>VALO_PERSO!#REF!</f>
        <v>#REF!</v>
      </c>
      <c r="C64" s="350" t="e">
        <f>VALO_PERSO!#REF!</f>
        <v>#REF!</v>
      </c>
      <c r="D64" s="350" t="e">
        <f>VALO_PERSO!#REF!</f>
        <v>#REF!</v>
      </c>
      <c r="E64" s="350" t="e">
        <f>VALO_PERSO!#REF!</f>
        <v>#REF!</v>
      </c>
      <c r="F64" s="349"/>
      <c r="G64" s="349"/>
      <c r="H64" s="349"/>
    </row>
    <row r="65" spans="1:8" s="111" customFormat="1" ht="15.75" thickBot="1" x14ac:dyDescent="0.3">
      <c r="A65" s="111" t="s">
        <v>813</v>
      </c>
      <c r="B65" s="359" t="e">
        <f>VALO_PERSO!#REF!</f>
        <v>#REF!</v>
      </c>
      <c r="C65" s="350" t="e">
        <f>VALO_PERSO!#REF!</f>
        <v>#REF!</v>
      </c>
      <c r="D65" s="350" t="e">
        <f>VALO_PERSO!#REF!</f>
        <v>#REF!</v>
      </c>
      <c r="E65" s="350" t="e">
        <f>VALO_PERSO!#REF!</f>
        <v>#REF!</v>
      </c>
      <c r="F65" s="349"/>
      <c r="G65" s="349"/>
      <c r="H65" s="349"/>
    </row>
    <row r="66" spans="1:8" s="111" customFormat="1" ht="15.75" thickBot="1" x14ac:dyDescent="0.3">
      <c r="A66" s="111" t="s">
        <v>813</v>
      </c>
      <c r="B66" s="359" t="e">
        <f>VALO_PERSO!#REF!</f>
        <v>#REF!</v>
      </c>
      <c r="C66" s="350" t="e">
        <f>VALO_PERSO!#REF!</f>
        <v>#REF!</v>
      </c>
      <c r="D66" s="350" t="e">
        <f>VALO_PERSO!#REF!</f>
        <v>#REF!</v>
      </c>
      <c r="E66" s="350" t="e">
        <f>VALO_PERSO!#REF!</f>
        <v>#REF!</v>
      </c>
      <c r="F66" s="349"/>
      <c r="G66" s="349"/>
      <c r="H66" s="349"/>
    </row>
    <row r="67" spans="1:8" s="111" customFormat="1" ht="15.75" thickBot="1" x14ac:dyDescent="0.3">
      <c r="A67" s="111" t="s">
        <v>813</v>
      </c>
      <c r="B67" s="359" t="e">
        <f>VALO_PERSO!#REF!</f>
        <v>#REF!</v>
      </c>
      <c r="C67" s="350" t="e">
        <f>VALO_PERSO!#REF!</f>
        <v>#REF!</v>
      </c>
      <c r="D67" s="350" t="e">
        <f>VALO_PERSO!#REF!</f>
        <v>#REF!</v>
      </c>
      <c r="E67" s="350" t="e">
        <f>VALO_PERSO!#REF!</f>
        <v>#REF!</v>
      </c>
      <c r="F67" s="349"/>
      <c r="G67" s="349"/>
      <c r="H67" s="349"/>
    </row>
    <row r="68" spans="1:8" s="111" customFormat="1" ht="15.75" thickBot="1" x14ac:dyDescent="0.3">
      <c r="A68" s="111" t="s">
        <v>813</v>
      </c>
      <c r="B68" s="359" t="e">
        <f>VALO_PERSO!#REF!</f>
        <v>#REF!</v>
      </c>
      <c r="C68" s="350" t="e">
        <f>VALO_PERSO!#REF!</f>
        <v>#REF!</v>
      </c>
      <c r="D68" s="350" t="e">
        <f>VALO_PERSO!#REF!</f>
        <v>#REF!</v>
      </c>
      <c r="E68" s="350" t="e">
        <f>VALO_PERSO!#REF!</f>
        <v>#REF!</v>
      </c>
      <c r="F68" s="349"/>
      <c r="G68" s="349"/>
      <c r="H68" s="349"/>
    </row>
    <row r="69" spans="1:8" s="111" customFormat="1" ht="15.75" thickBot="1" x14ac:dyDescent="0.3">
      <c r="A69" s="111" t="s">
        <v>813</v>
      </c>
      <c r="B69" s="359" t="e">
        <f>VALO_PERSO!#REF!</f>
        <v>#REF!</v>
      </c>
      <c r="C69" s="350" t="e">
        <f>VALO_PERSO!#REF!</f>
        <v>#REF!</v>
      </c>
      <c r="D69" s="350" t="e">
        <f>VALO_PERSO!#REF!</f>
        <v>#REF!</v>
      </c>
      <c r="E69" s="350" t="e">
        <f>VALO_PERSO!#REF!</f>
        <v>#REF!</v>
      </c>
      <c r="F69" s="349"/>
      <c r="G69" s="349"/>
      <c r="H69" s="349"/>
    </row>
    <row r="70" spans="1:8" s="111" customFormat="1" ht="15.75" thickBot="1" x14ac:dyDescent="0.3">
      <c r="A70" s="111" t="s">
        <v>813</v>
      </c>
      <c r="B70" s="359" t="e">
        <f>VALO_PERSO!#REF!</f>
        <v>#REF!</v>
      </c>
      <c r="C70" s="350" t="e">
        <f>VALO_PERSO!#REF!</f>
        <v>#REF!</v>
      </c>
      <c r="D70" s="350" t="e">
        <f>VALO_PERSO!#REF!</f>
        <v>#REF!</v>
      </c>
      <c r="E70" s="350" t="e">
        <f>VALO_PERSO!#REF!</f>
        <v>#REF!</v>
      </c>
      <c r="F70" s="349"/>
      <c r="G70" s="349"/>
      <c r="H70" s="349"/>
    </row>
    <row r="71" spans="1:8" s="111" customFormat="1" ht="15.75" thickBot="1" x14ac:dyDescent="0.3">
      <c r="A71" s="111" t="s">
        <v>813</v>
      </c>
      <c r="B71" s="359" t="e">
        <f>VALO_PERSO!#REF!</f>
        <v>#REF!</v>
      </c>
      <c r="C71" s="350" t="e">
        <f>VALO_PERSO!#REF!</f>
        <v>#REF!</v>
      </c>
      <c r="D71" s="350" t="e">
        <f>VALO_PERSO!#REF!</f>
        <v>#REF!</v>
      </c>
      <c r="E71" s="350" t="e">
        <f>VALO_PERSO!#REF!</f>
        <v>#REF!</v>
      </c>
      <c r="F71" s="349"/>
      <c r="G71" s="349"/>
      <c r="H71" s="349"/>
    </row>
    <row r="72" spans="1:8" s="111" customFormat="1" ht="15.75" thickBot="1" x14ac:dyDescent="0.3">
      <c r="A72" s="111" t="s">
        <v>813</v>
      </c>
      <c r="B72" s="359" t="e">
        <f>VALO_PERSO!#REF!</f>
        <v>#REF!</v>
      </c>
      <c r="C72" s="350" t="e">
        <f>VALO_PERSO!#REF!</f>
        <v>#REF!</v>
      </c>
      <c r="D72" s="350" t="e">
        <f>VALO_PERSO!#REF!</f>
        <v>#REF!</v>
      </c>
      <c r="E72" s="350" t="e">
        <f>VALO_PERSO!#REF!</f>
        <v>#REF!</v>
      </c>
      <c r="F72" s="349"/>
      <c r="G72" s="349"/>
      <c r="H72" s="349"/>
    </row>
    <row r="73" spans="1:8" s="111" customFormat="1" ht="15.75" thickBot="1" x14ac:dyDescent="0.3">
      <c r="A73" s="111" t="s">
        <v>813</v>
      </c>
      <c r="B73" s="359" t="e">
        <f>VALO_PERSO!#REF!</f>
        <v>#REF!</v>
      </c>
      <c r="C73" s="350" t="e">
        <f>VALO_PERSO!#REF!</f>
        <v>#REF!</v>
      </c>
      <c r="D73" s="350" t="e">
        <f>VALO_PERSO!#REF!</f>
        <v>#REF!</v>
      </c>
      <c r="E73" s="350" t="e">
        <f>VALO_PERSO!#REF!</f>
        <v>#REF!</v>
      </c>
      <c r="F73" s="349"/>
      <c r="G73" s="349"/>
      <c r="H73" s="349"/>
    </row>
    <row r="74" spans="1:8" s="111" customFormat="1" ht="15.75" thickBot="1" x14ac:dyDescent="0.3">
      <c r="A74" s="111" t="s">
        <v>813</v>
      </c>
      <c r="B74" s="359" t="e">
        <f>VALO_PERSO!#REF!</f>
        <v>#REF!</v>
      </c>
      <c r="C74" s="350" t="e">
        <f>VALO_PERSO!#REF!</f>
        <v>#REF!</v>
      </c>
      <c r="D74" s="350" t="e">
        <f>VALO_PERSO!#REF!</f>
        <v>#REF!</v>
      </c>
      <c r="E74" s="350" t="e">
        <f>VALO_PERSO!#REF!</f>
        <v>#REF!</v>
      </c>
      <c r="F74" s="349"/>
      <c r="G74" s="349"/>
      <c r="H74" s="349"/>
    </row>
    <row r="75" spans="1:8" s="111" customFormat="1" ht="15.75" thickBot="1" x14ac:dyDescent="0.3">
      <c r="A75" s="111" t="s">
        <v>813</v>
      </c>
      <c r="B75" s="359" t="e">
        <f>VALO_PERSO!#REF!</f>
        <v>#REF!</v>
      </c>
      <c r="C75" s="350" t="e">
        <f>VALO_PERSO!#REF!</f>
        <v>#REF!</v>
      </c>
      <c r="D75" s="350" t="e">
        <f>VALO_PERSO!#REF!</f>
        <v>#REF!</v>
      </c>
      <c r="E75" s="350" t="e">
        <f>VALO_PERSO!#REF!</f>
        <v>#REF!</v>
      </c>
      <c r="F75" s="349"/>
      <c r="G75" s="349"/>
      <c r="H75" s="349"/>
    </row>
    <row r="76" spans="1:8" s="111" customFormat="1" ht="15.75" thickBot="1" x14ac:dyDescent="0.3">
      <c r="A76" s="111" t="s">
        <v>813</v>
      </c>
      <c r="B76" s="359" t="e">
        <f>VALO_PERSO!#REF!</f>
        <v>#REF!</v>
      </c>
      <c r="C76" s="350" t="e">
        <f>VALO_PERSO!#REF!</f>
        <v>#REF!</v>
      </c>
      <c r="D76" s="350" t="e">
        <f>VALO_PERSO!#REF!</f>
        <v>#REF!</v>
      </c>
      <c r="E76" s="350" t="e">
        <f>VALO_PERSO!#REF!</f>
        <v>#REF!</v>
      </c>
      <c r="F76" s="349"/>
      <c r="G76" s="349"/>
      <c r="H76" s="349"/>
    </row>
    <row r="77" spans="1:8" s="111" customFormat="1" ht="15.75" thickBot="1" x14ac:dyDescent="0.3">
      <c r="A77" s="111" t="s">
        <v>813</v>
      </c>
      <c r="B77" s="359" t="e">
        <f>VALO_PERSO!#REF!</f>
        <v>#REF!</v>
      </c>
      <c r="C77" s="350" t="e">
        <f>VALO_PERSO!#REF!</f>
        <v>#REF!</v>
      </c>
      <c r="D77" s="350" t="e">
        <f>VALO_PERSO!#REF!</f>
        <v>#REF!</v>
      </c>
      <c r="E77" s="350" t="e">
        <f>VALO_PERSO!#REF!</f>
        <v>#REF!</v>
      </c>
      <c r="F77" s="349"/>
      <c r="G77" s="349"/>
      <c r="H77" s="349"/>
    </row>
    <row r="78" spans="1:8" s="111" customFormat="1" ht="15.75" thickBot="1" x14ac:dyDescent="0.3">
      <c r="A78" s="111" t="s">
        <v>813</v>
      </c>
      <c r="B78" s="359" t="e">
        <f>VALO_PERSO!#REF!</f>
        <v>#REF!</v>
      </c>
      <c r="C78" s="350" t="e">
        <f>VALO_PERSO!#REF!</f>
        <v>#REF!</v>
      </c>
      <c r="D78" s="350" t="e">
        <f>VALO_PERSO!#REF!</f>
        <v>#REF!</v>
      </c>
      <c r="E78" s="350" t="e">
        <f>VALO_PERSO!#REF!</f>
        <v>#REF!</v>
      </c>
      <c r="F78" s="349"/>
      <c r="G78" s="349"/>
      <c r="H78" s="349"/>
    </row>
    <row r="79" spans="1:8" s="111" customFormat="1" ht="15.75" thickBot="1" x14ac:dyDescent="0.3">
      <c r="A79" s="111" t="s">
        <v>813</v>
      </c>
      <c r="B79" s="359" t="e">
        <f>VALO_PERSO!#REF!</f>
        <v>#REF!</v>
      </c>
      <c r="C79" s="350" t="e">
        <f>VALO_PERSO!#REF!</f>
        <v>#REF!</v>
      </c>
      <c r="D79" s="350" t="e">
        <f>VALO_PERSO!#REF!</f>
        <v>#REF!</v>
      </c>
      <c r="E79" s="350" t="e">
        <f>VALO_PERSO!#REF!</f>
        <v>#REF!</v>
      </c>
      <c r="F79" s="349"/>
      <c r="G79" s="349"/>
      <c r="H79" s="349"/>
    </row>
    <row r="80" spans="1:8" s="111" customFormat="1" ht="15.75" thickBot="1" x14ac:dyDescent="0.3">
      <c r="A80" s="111" t="s">
        <v>813</v>
      </c>
      <c r="B80" s="359" t="e">
        <f>VALO_PERSO!#REF!</f>
        <v>#REF!</v>
      </c>
      <c r="C80" s="350" t="e">
        <f>VALO_PERSO!#REF!</f>
        <v>#REF!</v>
      </c>
      <c r="D80" s="350" t="e">
        <f>VALO_PERSO!#REF!</f>
        <v>#REF!</v>
      </c>
      <c r="E80" s="350" t="e">
        <f>VALO_PERSO!#REF!</f>
        <v>#REF!</v>
      </c>
      <c r="F80" s="349"/>
      <c r="G80" s="349"/>
      <c r="H80" s="349"/>
    </row>
    <row r="81" spans="1:8" s="111" customFormat="1" ht="15.75" thickBot="1" x14ac:dyDescent="0.3">
      <c r="A81" s="111" t="s">
        <v>813</v>
      </c>
      <c r="B81" s="359" t="e">
        <f>VALO_PERSO!#REF!</f>
        <v>#REF!</v>
      </c>
      <c r="C81" s="350" t="e">
        <f>VALO_PERSO!#REF!</f>
        <v>#REF!</v>
      </c>
      <c r="D81" s="350" t="e">
        <f>VALO_PERSO!#REF!</f>
        <v>#REF!</v>
      </c>
      <c r="E81" s="350" t="e">
        <f>VALO_PERSO!#REF!</f>
        <v>#REF!</v>
      </c>
      <c r="F81" s="349"/>
      <c r="G81" s="349"/>
      <c r="H81" s="349"/>
    </row>
    <row r="82" spans="1:8" s="111" customFormat="1" ht="15.75" thickBot="1" x14ac:dyDescent="0.3">
      <c r="A82" s="111" t="s">
        <v>813</v>
      </c>
      <c r="B82" s="359" t="e">
        <f>VALO_PERSO!#REF!</f>
        <v>#REF!</v>
      </c>
      <c r="C82" s="350" t="e">
        <f>VALO_PERSO!#REF!</f>
        <v>#REF!</v>
      </c>
      <c r="D82" s="350" t="e">
        <f>VALO_PERSO!#REF!</f>
        <v>#REF!</v>
      </c>
      <c r="E82" s="350" t="e">
        <f>VALO_PERSO!#REF!</f>
        <v>#REF!</v>
      </c>
      <c r="F82" s="349"/>
      <c r="G82" s="349"/>
      <c r="H82" s="349"/>
    </row>
    <row r="83" spans="1:8" s="111" customFormat="1" ht="15.75" thickBot="1" x14ac:dyDescent="0.3">
      <c r="A83" s="111" t="s">
        <v>813</v>
      </c>
      <c r="B83" s="359" t="e">
        <f>VALO_PERSO!#REF!</f>
        <v>#REF!</v>
      </c>
      <c r="C83" s="350" t="e">
        <f>VALO_PERSO!#REF!</f>
        <v>#REF!</v>
      </c>
      <c r="D83" s="350" t="e">
        <f>VALO_PERSO!#REF!</f>
        <v>#REF!</v>
      </c>
      <c r="E83" s="350" t="e">
        <f>VALO_PERSO!#REF!</f>
        <v>#REF!</v>
      </c>
      <c r="F83" s="349"/>
      <c r="G83" s="349"/>
      <c r="H83" s="349"/>
    </row>
    <row r="84" spans="1:8" s="111" customFormat="1" ht="15.75" thickBot="1" x14ac:dyDescent="0.3">
      <c r="A84" s="111" t="s">
        <v>813</v>
      </c>
      <c r="B84" s="359" t="e">
        <f>VALO_PERSO!#REF!</f>
        <v>#REF!</v>
      </c>
      <c r="C84" s="350" t="e">
        <f>VALO_PERSO!#REF!</f>
        <v>#REF!</v>
      </c>
      <c r="D84" s="350" t="e">
        <f>VALO_PERSO!#REF!</f>
        <v>#REF!</v>
      </c>
      <c r="E84" s="350" t="e">
        <f>VALO_PERSO!#REF!</f>
        <v>#REF!</v>
      </c>
      <c r="F84" s="349"/>
      <c r="G84" s="349"/>
      <c r="H84" s="349"/>
    </row>
    <row r="85" spans="1:8" s="111" customFormat="1" ht="15.75" thickBot="1" x14ac:dyDescent="0.3">
      <c r="A85" s="111" t="s">
        <v>813</v>
      </c>
      <c r="B85" s="359" t="e">
        <f>VALO_PERSO!#REF!</f>
        <v>#REF!</v>
      </c>
      <c r="C85" s="350" t="e">
        <f>VALO_PERSO!#REF!</f>
        <v>#REF!</v>
      </c>
      <c r="D85" s="350" t="e">
        <f>VALO_PERSO!#REF!</f>
        <v>#REF!</v>
      </c>
      <c r="E85" s="350" t="e">
        <f>VALO_PERSO!#REF!</f>
        <v>#REF!</v>
      </c>
      <c r="F85" s="349"/>
      <c r="G85" s="349"/>
      <c r="H85" s="349"/>
    </row>
    <row r="86" spans="1:8" s="111" customFormat="1" ht="15.75" thickBot="1" x14ac:dyDescent="0.3">
      <c r="A86" s="111" t="s">
        <v>813</v>
      </c>
      <c r="B86" s="359" t="e">
        <f>VALO_PERSO!#REF!</f>
        <v>#REF!</v>
      </c>
      <c r="C86" s="350" t="e">
        <f>VALO_PERSO!#REF!</f>
        <v>#REF!</v>
      </c>
      <c r="D86" s="350" t="e">
        <f>VALO_PERSO!#REF!</f>
        <v>#REF!</v>
      </c>
      <c r="E86" s="350" t="e">
        <f>VALO_PERSO!#REF!</f>
        <v>#REF!</v>
      </c>
      <c r="F86" s="349"/>
      <c r="G86" s="349"/>
      <c r="H86" s="349"/>
    </row>
    <row r="87" spans="1:8" s="111" customFormat="1" ht="24.75" thickBot="1" x14ac:dyDescent="0.3">
      <c r="B87" s="359">
        <f>VALO_PERSO!F6</f>
        <v>1</v>
      </c>
      <c r="C87" s="350" t="str">
        <f>VALO_PERSO!G6</f>
        <v>AMILLASTRE</v>
      </c>
      <c r="D87" s="350" t="str">
        <f>VALO_PERSO!H6</f>
        <v>Emilie</v>
      </c>
      <c r="E87" s="350" t="str">
        <f>VALO_PERSO!J6</f>
        <v>Doctorat - INSA Toulouse</v>
      </c>
      <c r="F87" s="349"/>
      <c r="G87" s="349"/>
      <c r="H87" s="349"/>
    </row>
    <row r="88" spans="1:8" s="111" customFormat="1" ht="15.75" thickBot="1" x14ac:dyDescent="0.3">
      <c r="B88" s="359" t="e">
        <f>VALO_PERSO!#REF!</f>
        <v>#REF!</v>
      </c>
      <c r="C88" s="350" t="e">
        <f>VALO_PERSO!#REF!</f>
        <v>#REF!</v>
      </c>
      <c r="D88" s="350" t="e">
        <f>VALO_PERSO!#REF!</f>
        <v>#REF!</v>
      </c>
      <c r="E88" s="350" t="e">
        <f>VALO_PERSO!#REF!</f>
        <v>#REF!</v>
      </c>
      <c r="F88" s="349"/>
      <c r="G88" s="349"/>
      <c r="H88" s="349"/>
    </row>
    <row r="89" spans="1:8" s="111" customFormat="1" ht="60.75" thickBot="1" x14ac:dyDescent="0.3">
      <c r="B89" s="359">
        <f>VALO_PERSO!F7</f>
        <v>4</v>
      </c>
      <c r="C89" s="350" t="str">
        <f>VALO_PERSO!G7</f>
        <v>CREPIN</v>
      </c>
      <c r="D89" s="350" t="str">
        <f>VALO_PERSO!H7</f>
        <v>Lucie</v>
      </c>
      <c r="E89" s="350" t="str">
        <f>VALO_PERSO!J7</f>
        <v>Doctorat - Biotechnologie, microbilogie - Université Montpellier II</v>
      </c>
      <c r="F89" s="349"/>
      <c r="G89" s="349"/>
      <c r="H89" s="349"/>
    </row>
    <row r="90" spans="1:8" s="111" customFormat="1" ht="36.75" thickBot="1" x14ac:dyDescent="0.3">
      <c r="B90" s="359">
        <f>VALO_PERSO!F8</f>
        <v>5</v>
      </c>
      <c r="C90" s="350" t="str">
        <f>VALO_PERSO!G8</f>
        <v>BOISSONNAT</v>
      </c>
      <c r="D90" s="350" t="str">
        <f>VALO_PERSO!H8</f>
        <v>Guillaume</v>
      </c>
      <c r="E90" s="350" t="str">
        <f>VALO_PERSO!J8</f>
        <v>Doctorat Chimie moleculaire- Université Paris VI</v>
      </c>
      <c r="F90" s="349"/>
      <c r="G90" s="349"/>
      <c r="H90" s="349"/>
    </row>
    <row r="91" spans="1:8" s="111" customFormat="1" ht="48.75" thickBot="1" x14ac:dyDescent="0.3">
      <c r="B91" s="359">
        <f>VALO_PERSO!F9</f>
        <v>6</v>
      </c>
      <c r="C91" s="350" t="str">
        <f>VALO_PERSO!G9</f>
        <v>COTTET</v>
      </c>
      <c r="D91" s="350" t="str">
        <f>VALO_PERSO!H9</f>
        <v>Kevin</v>
      </c>
      <c r="E91" s="350" t="str">
        <f>VALO_PERSO!J9</f>
        <v>Doctorat - Pharmacognosie - Université Paris Descartes</v>
      </c>
      <c r="F91" s="349"/>
      <c r="G91" s="349"/>
      <c r="H91" s="349"/>
    </row>
    <row r="92" spans="1:8" s="111" customFormat="1" ht="60.75" thickBot="1" x14ac:dyDescent="0.3">
      <c r="B92" s="359">
        <f>VALO_PERSO!F10</f>
        <v>7</v>
      </c>
      <c r="C92" s="350" t="str">
        <f>VALO_PERSO!G10</f>
        <v>BLANCHARD-SLOOTMAN</v>
      </c>
      <c r="D92" s="350" t="str">
        <f>VALO_PERSO!H10</f>
        <v>Vincent</v>
      </c>
      <c r="E92" s="350" t="str">
        <f>VALO_PERSO!J10</f>
        <v>Doctorat - Ecole Nationale supérieure de chimie de Montpellier</v>
      </c>
      <c r="F92" s="349"/>
      <c r="G92" s="349"/>
      <c r="H92" s="349"/>
    </row>
    <row r="93" spans="1:8" s="111" customFormat="1" ht="36.75" thickBot="1" x14ac:dyDescent="0.3">
      <c r="B93" s="359">
        <f>VALO_PERSO!F11</f>
        <v>8</v>
      </c>
      <c r="C93" s="350" t="str">
        <f>VALO_PERSO!G11</f>
        <v>GOMES-DA-CRUZ</v>
      </c>
      <c r="D93" s="350" t="str">
        <f>VALO_PERSO!H11</f>
        <v>Filipe</v>
      </c>
      <c r="E93" s="350" t="str">
        <f>VALO_PERSO!J11</f>
        <v>Doctorat - Chimie - Université Paris Saclay</v>
      </c>
      <c r="F93" s="349"/>
      <c r="G93" s="349"/>
      <c r="H93" s="349"/>
    </row>
    <row r="94" spans="1:8" s="111" customFormat="1" ht="48.75" thickBot="1" x14ac:dyDescent="0.3">
      <c r="B94" s="359">
        <f>VALO_PERSO!F12</f>
        <v>11</v>
      </c>
      <c r="C94" s="350" t="str">
        <f>VALO_PERSO!G12</f>
        <v>BAYLAC</v>
      </c>
      <c r="D94" s="350" t="str">
        <f>VALO_PERSO!H12</f>
        <v>Audrey</v>
      </c>
      <c r="E94" s="350" t="str">
        <f>VALO_PERSO!J12</f>
        <v>Master Biochimie et biotechnologies - Université de Toulouse III</v>
      </c>
      <c r="F94" s="349"/>
      <c r="G94" s="349"/>
      <c r="H94" s="349"/>
    </row>
    <row r="95" spans="1:8" s="111" customFormat="1" ht="36.75" thickBot="1" x14ac:dyDescent="0.3">
      <c r="B95" s="359">
        <f>VALO_PERSO!F13</f>
        <v>12</v>
      </c>
      <c r="C95" s="350" t="str">
        <f>VALO_PERSO!G13</f>
        <v>DENARD</v>
      </c>
      <c r="D95" s="350" t="str">
        <f>VALO_PERSO!H13</f>
        <v>Marjorie</v>
      </c>
      <c r="E95" s="350" t="str">
        <f>VALO_PERSO!J13</f>
        <v>BTS - Bioanalyses et controles - Toulouse</v>
      </c>
      <c r="F95" s="349"/>
      <c r="H95" s="349"/>
    </row>
    <row r="96" spans="1:8" s="111" customFormat="1" ht="48.75" thickBot="1" x14ac:dyDescent="0.3">
      <c r="B96" s="359">
        <f>VALO_PERSO!F14</f>
        <v>13</v>
      </c>
      <c r="C96" s="350" t="str">
        <f>VALO_PERSO!G14</f>
        <v>FERNANDEZ</v>
      </c>
      <c r="D96" s="350" t="str">
        <f>VALO_PERSO!H14</f>
        <v>Bob</v>
      </c>
      <c r="E96" s="350" t="str">
        <f>VALO_PERSO!J14</f>
        <v>Ingénieur - Chimie Analytique - Université de Toulouse III</v>
      </c>
      <c r="F96" s="349"/>
      <c r="G96" s="349"/>
      <c r="H96" s="349"/>
    </row>
    <row r="97" spans="1:8" s="111" customFormat="1" ht="60.75" thickBot="1" x14ac:dyDescent="0.3">
      <c r="B97" s="359">
        <f>VALO_PERSO!F15</f>
        <v>14</v>
      </c>
      <c r="C97" s="350" t="str">
        <f>VALO_PERSO!G15</f>
        <v>SCHIAVON</v>
      </c>
      <c r="D97" s="350" t="str">
        <f>VALO_PERSO!H15</f>
        <v>Caroline</v>
      </c>
      <c r="E97" s="350" t="str">
        <f>VALO_PERSO!J15</f>
        <v>Ingénieur - Biochimie et biotechnologies  - Université de Toulouse III</v>
      </c>
      <c r="F97" s="349"/>
      <c r="G97" s="349"/>
      <c r="H97" s="349"/>
    </row>
    <row r="98" spans="1:8" s="111" customFormat="1" ht="48.75" thickBot="1" x14ac:dyDescent="0.3">
      <c r="B98" s="359">
        <f>VALO_PERSO!F16</f>
        <v>16</v>
      </c>
      <c r="C98" s="350" t="str">
        <f>VALO_PERSO!G16</f>
        <v>RAMOS-AZNAR</v>
      </c>
      <c r="D98" s="350" t="str">
        <f>VALO_PERSO!H16</f>
        <v>Nuria</v>
      </c>
      <c r="E98" s="350" t="str">
        <f>VALO_PERSO!J16</f>
        <v>Master Microbiologie - Université de Barcelone</v>
      </c>
      <c r="F98" s="349"/>
      <c r="G98" s="349"/>
      <c r="H98" s="349"/>
    </row>
    <row r="99" spans="1:8" s="111" customFormat="1" ht="15.75" thickBot="1" x14ac:dyDescent="0.3">
      <c r="B99" s="359" t="e">
        <f>VALO_PERSO!#REF!</f>
        <v>#REF!</v>
      </c>
      <c r="C99" s="350" t="e">
        <f>VALO_PERSO!#REF!</f>
        <v>#REF!</v>
      </c>
      <c r="D99" s="350" t="e">
        <f>VALO_PERSO!#REF!</f>
        <v>#REF!</v>
      </c>
      <c r="E99" s="350" t="e">
        <f>VALO_PERSO!#REF!</f>
        <v>#REF!</v>
      </c>
      <c r="F99" s="349"/>
      <c r="G99" s="349"/>
      <c r="H99" s="349"/>
    </row>
    <row r="100" spans="1:8" s="111" customFormat="1" ht="60.75" thickBot="1" x14ac:dyDescent="0.3">
      <c r="B100" s="359">
        <f>VALO_PERSO!F17</f>
        <v>18</v>
      </c>
      <c r="C100" s="350" t="str">
        <f>VALO_PERSO!G17</f>
        <v>BARRY</v>
      </c>
      <c r="D100" s="350" t="str">
        <f>VALO_PERSO!H17</f>
        <v>Benjamin</v>
      </c>
      <c r="E100" s="350" t="str">
        <f>VALO_PERSO!J17</f>
        <v>Master procédés, biotechnologies, aliments - Université Paris - Saclay</v>
      </c>
      <c r="F100" s="349"/>
      <c r="H100" s="349"/>
    </row>
    <row r="101" spans="1:8" s="111" customFormat="1" x14ac:dyDescent="0.25">
      <c r="B101" s="349"/>
      <c r="C101" s="349"/>
      <c r="D101" s="349"/>
      <c r="E101" s="349"/>
      <c r="F101" s="349"/>
      <c r="G101" s="349"/>
      <c r="H101" s="349"/>
    </row>
    <row r="102" spans="1:8" s="111" customFormat="1" ht="15.75" thickBot="1" x14ac:dyDescent="0.3">
      <c r="B102" s="349"/>
      <c r="C102" s="349"/>
      <c r="D102" s="349"/>
      <c r="E102" s="349"/>
      <c r="F102" s="349"/>
      <c r="G102" s="349"/>
      <c r="H102" s="349"/>
    </row>
    <row r="103" spans="1:8" s="111" customFormat="1" ht="15.75" thickBot="1" x14ac:dyDescent="0.3">
      <c r="B103" s="359"/>
      <c r="C103" s="607" t="str">
        <f>'REP cout'!B4</f>
        <v>CHIC</v>
      </c>
      <c r="D103" s="608"/>
      <c r="E103" s="608"/>
      <c r="F103" s="608"/>
      <c r="G103" s="349"/>
    </row>
    <row r="104" spans="1:8" s="111" customFormat="1" ht="36.75" thickBot="1" x14ac:dyDescent="0.3">
      <c r="B104" s="368" t="s">
        <v>366</v>
      </c>
      <c r="C104" s="351" t="s">
        <v>716</v>
      </c>
      <c r="D104" s="352" t="s">
        <v>717</v>
      </c>
      <c r="E104" s="352" t="s">
        <v>718</v>
      </c>
      <c r="F104" s="352" t="s">
        <v>719</v>
      </c>
    </row>
    <row r="105" spans="1:8" s="111" customFormat="1" ht="15.6" customHeight="1" thickBot="1" x14ac:dyDescent="0.3">
      <c r="A105" s="111" t="s">
        <v>813</v>
      </c>
      <c r="B105" s="359" t="str">
        <f>VALO_PERSO!F5</f>
        <v>mad</v>
      </c>
      <c r="C105" s="350" t="str">
        <f>CONCATENATE(C87," ",D87)</f>
        <v>AMILLASTRE Emilie</v>
      </c>
      <c r="D105" s="350" t="str">
        <f>VALO_PERSO!I5</f>
        <v>MAD</v>
      </c>
      <c r="E105" s="353">
        <f>VALO_PERSO!Y5</f>
        <v>0</v>
      </c>
      <c r="F105" s="354">
        <f>VALO_PERSO!AS5</f>
        <v>0</v>
      </c>
    </row>
    <row r="106" spans="1:8" s="111" customFormat="1" ht="15.6" customHeight="1" thickBot="1" x14ac:dyDescent="0.3">
      <c r="A106" s="111" t="s">
        <v>813</v>
      </c>
      <c r="B106" s="359">
        <f>VALO_PERSO!F6</f>
        <v>1</v>
      </c>
      <c r="C106" s="350" t="e">
        <f>CONCATENATE(C88," ",D88)</f>
        <v>#REF!</v>
      </c>
      <c r="D106" s="350" t="str">
        <f>VALO_PERSO!I6</f>
        <v>Experte Bioprocédés</v>
      </c>
      <c r="E106" s="353">
        <f>VALO_PERSO!Y6</f>
        <v>296.40000000000009</v>
      </c>
      <c r="F106" s="354">
        <f>VALO_PERSO!AS6</f>
        <v>15165.505535055354</v>
      </c>
    </row>
    <row r="107" spans="1:8" s="111" customFormat="1" ht="15.6" customHeight="1" thickBot="1" x14ac:dyDescent="0.3">
      <c r="A107" s="111" t="s">
        <v>813</v>
      </c>
      <c r="B107" s="359">
        <f>VALO_PERSO!F6</f>
        <v>1</v>
      </c>
      <c r="C107" s="350" t="e">
        <f>CONCATENATE(C88," ",D88)</f>
        <v>#REF!</v>
      </c>
      <c r="D107" s="350" t="str">
        <f>VALO_PERSO!I6</f>
        <v>Experte Bioprocédés</v>
      </c>
      <c r="E107" s="353">
        <f>VALO_PERSO!Y6</f>
        <v>296.40000000000009</v>
      </c>
      <c r="F107" s="354">
        <f>VALO_PERSO!AS6</f>
        <v>15165.505535055354</v>
      </c>
    </row>
    <row r="108" spans="1:8" s="111" customFormat="1" ht="15.6" customHeight="1" thickBot="1" x14ac:dyDescent="0.3">
      <c r="A108" s="111" t="s">
        <v>813</v>
      </c>
      <c r="B108" s="359" t="e">
        <f>VALO_PERSO!#REF!</f>
        <v>#REF!</v>
      </c>
      <c r="C108" s="350" t="str">
        <f>CONCATENATE(C89," ",D89)</f>
        <v>CREPIN Lucie</v>
      </c>
      <c r="D108" s="350" t="e">
        <f>VALO_PERSO!#REF!</f>
        <v>#REF!</v>
      </c>
      <c r="E108" s="353" t="e">
        <f>VALO_PERSO!#REF!</f>
        <v>#REF!</v>
      </c>
      <c r="F108" s="354" t="e">
        <f>VALO_PERSO!#REF!</f>
        <v>#REF!</v>
      </c>
    </row>
    <row r="109" spans="1:8" s="111" customFormat="1" ht="15.6" customHeight="1" thickBot="1" x14ac:dyDescent="0.3">
      <c r="A109" s="111" t="s">
        <v>813</v>
      </c>
      <c r="B109" s="359" t="e">
        <f>VALO_PERSO!#REF!</f>
        <v>#REF!</v>
      </c>
      <c r="C109" s="350" t="e">
        <f>CONCATENATE(C88," ",D88)</f>
        <v>#REF!</v>
      </c>
      <c r="D109" s="350" t="e">
        <f>VALO_PERSO!#REF!</f>
        <v>#REF!</v>
      </c>
      <c r="E109" s="353" t="e">
        <f>VALO_PERSO!#REF!</f>
        <v>#REF!</v>
      </c>
      <c r="F109" s="354" t="e">
        <f>VALO_PERSO!#REF!</f>
        <v>#REF!</v>
      </c>
    </row>
    <row r="110" spans="1:8" s="111" customFormat="1" ht="15.6" customHeight="1" thickBot="1" x14ac:dyDescent="0.3">
      <c r="A110" s="111" t="s">
        <v>813</v>
      </c>
      <c r="B110" s="359" t="e">
        <f>VALO_PERSO!#REF!</f>
        <v>#REF!</v>
      </c>
      <c r="C110" s="350" t="str">
        <f>CONCATENATE(C89," ",D89)</f>
        <v>CREPIN Lucie</v>
      </c>
      <c r="D110" s="350" t="e">
        <f>VALO_PERSO!#REF!</f>
        <v>#REF!</v>
      </c>
      <c r="E110" s="353" t="e">
        <f>VALO_PERSO!#REF!</f>
        <v>#REF!</v>
      </c>
      <c r="F110" s="354" t="e">
        <f>VALO_PERSO!#REF!</f>
        <v>#REF!</v>
      </c>
    </row>
    <row r="111" spans="1:8" s="111" customFormat="1" ht="15.6" customHeight="1" thickBot="1" x14ac:dyDescent="0.3">
      <c r="A111" s="111" t="s">
        <v>813</v>
      </c>
      <c r="B111" s="359" t="e">
        <f>VALO_PERSO!#REF!</f>
        <v>#REF!</v>
      </c>
      <c r="C111" s="350" t="str">
        <f>CONCATENATE(C89," ",D89)</f>
        <v>CREPIN Lucie</v>
      </c>
      <c r="D111" s="350" t="e">
        <f>VALO_PERSO!#REF!</f>
        <v>#REF!</v>
      </c>
      <c r="E111" s="353" t="e">
        <f>VALO_PERSO!#REF!</f>
        <v>#REF!</v>
      </c>
      <c r="F111" s="354" t="e">
        <f>VALO_PERSO!#REF!</f>
        <v>#REF!</v>
      </c>
    </row>
    <row r="112" spans="1:8" s="111" customFormat="1" ht="15.6" customHeight="1" thickBot="1" x14ac:dyDescent="0.3">
      <c r="A112" s="111" t="s">
        <v>813</v>
      </c>
      <c r="B112" s="359" t="e">
        <f>VALO_PERSO!#REF!</f>
        <v>#REF!</v>
      </c>
      <c r="C112" s="350" t="str">
        <f>CONCATENATE(C90," ",D90)</f>
        <v>BOISSONNAT Guillaume</v>
      </c>
      <c r="D112" s="350" t="e">
        <f>VALO_PERSO!#REF!</f>
        <v>#REF!</v>
      </c>
      <c r="E112" s="353" t="e">
        <f>VALO_PERSO!#REF!</f>
        <v>#REF!</v>
      </c>
      <c r="F112" s="354" t="e">
        <f>VALO_PERSO!#REF!</f>
        <v>#REF!</v>
      </c>
    </row>
    <row r="113" spans="1:6" s="111" customFormat="1" ht="15.6" customHeight="1" thickBot="1" x14ac:dyDescent="0.3">
      <c r="A113" s="111" t="s">
        <v>813</v>
      </c>
      <c r="B113" s="359" t="e">
        <f>VALO_PERSO!#REF!</f>
        <v>#REF!</v>
      </c>
      <c r="C113" s="350" t="e">
        <f>CONCATENATE(C88," ",D88)</f>
        <v>#REF!</v>
      </c>
      <c r="D113" s="350" t="e">
        <f>VALO_PERSO!#REF!</f>
        <v>#REF!</v>
      </c>
      <c r="E113" s="353" t="e">
        <f>VALO_PERSO!#REF!</f>
        <v>#REF!</v>
      </c>
      <c r="F113" s="354" t="e">
        <f>VALO_PERSO!#REF!</f>
        <v>#REF!</v>
      </c>
    </row>
    <row r="114" spans="1:6" s="111" customFormat="1" ht="15.6" customHeight="1" thickBot="1" x14ac:dyDescent="0.3">
      <c r="A114" s="111" t="s">
        <v>813</v>
      </c>
      <c r="B114" s="359" t="e">
        <f>VALO_PERSO!#REF!</f>
        <v>#REF!</v>
      </c>
      <c r="C114" s="350" t="str">
        <f>CONCATENATE(C89," ",D89)</f>
        <v>CREPIN Lucie</v>
      </c>
      <c r="D114" s="350" t="e">
        <f>VALO_PERSO!#REF!</f>
        <v>#REF!</v>
      </c>
      <c r="E114" s="353" t="e">
        <f>VALO_PERSO!#REF!</f>
        <v>#REF!</v>
      </c>
      <c r="F114" s="354" t="e">
        <f>VALO_PERSO!#REF!</f>
        <v>#REF!</v>
      </c>
    </row>
    <row r="115" spans="1:6" s="111" customFormat="1" ht="15.6" customHeight="1" thickBot="1" x14ac:dyDescent="0.3">
      <c r="A115" s="111" t="s">
        <v>813</v>
      </c>
      <c r="B115" s="359" t="e">
        <f>VALO_PERSO!#REF!</f>
        <v>#REF!</v>
      </c>
      <c r="C115" s="350" t="str">
        <f>CONCATENATE(C89," ",D89)</f>
        <v>CREPIN Lucie</v>
      </c>
      <c r="D115" s="350" t="e">
        <f>VALO_PERSO!#REF!</f>
        <v>#REF!</v>
      </c>
      <c r="E115" s="353" t="e">
        <f>VALO_PERSO!#REF!</f>
        <v>#REF!</v>
      </c>
      <c r="F115" s="354" t="e">
        <f>VALO_PERSO!#REF!</f>
        <v>#REF!</v>
      </c>
    </row>
    <row r="116" spans="1:6" s="111" customFormat="1" ht="15.6" customHeight="1" thickBot="1" x14ac:dyDescent="0.3">
      <c r="A116" s="111" t="s">
        <v>813</v>
      </c>
      <c r="B116" s="359" t="e">
        <f>VALO_PERSO!#REF!</f>
        <v>#REF!</v>
      </c>
      <c r="C116" s="350" t="str">
        <f>CONCATENATE(C90," ",D90)</f>
        <v>BOISSONNAT Guillaume</v>
      </c>
      <c r="D116" s="350" t="e">
        <f>VALO_PERSO!#REF!</f>
        <v>#REF!</v>
      </c>
      <c r="E116" s="353" t="e">
        <f>VALO_PERSO!#REF!</f>
        <v>#REF!</v>
      </c>
      <c r="F116" s="354" t="e">
        <f>VALO_PERSO!#REF!</f>
        <v>#REF!</v>
      </c>
    </row>
    <row r="117" spans="1:6" s="111" customFormat="1" ht="15.6" customHeight="1" thickBot="1" x14ac:dyDescent="0.3">
      <c r="A117" s="111" t="s">
        <v>813</v>
      </c>
      <c r="B117" s="359" t="e">
        <f>VALO_PERSO!#REF!</f>
        <v>#REF!</v>
      </c>
      <c r="C117" s="350" t="e">
        <f>CONCATENATE(C88," ",D88)</f>
        <v>#REF!</v>
      </c>
      <c r="D117" s="350" t="e">
        <f>VALO_PERSO!#REF!</f>
        <v>#REF!</v>
      </c>
      <c r="E117" s="353" t="e">
        <f>VALO_PERSO!#REF!</f>
        <v>#REF!</v>
      </c>
      <c r="F117" s="354" t="e">
        <f>VALO_PERSO!#REF!</f>
        <v>#REF!</v>
      </c>
    </row>
    <row r="118" spans="1:6" s="111" customFormat="1" ht="15.6" customHeight="1" thickBot="1" x14ac:dyDescent="0.3">
      <c r="A118" s="111" t="s">
        <v>813</v>
      </c>
      <c r="B118" s="359" t="e">
        <f>VALO_PERSO!#REF!</f>
        <v>#REF!</v>
      </c>
      <c r="C118" s="350" t="str">
        <f>CONCATENATE(C89," ",D89)</f>
        <v>CREPIN Lucie</v>
      </c>
      <c r="D118" s="350" t="e">
        <f>VALO_PERSO!#REF!</f>
        <v>#REF!</v>
      </c>
      <c r="E118" s="353" t="e">
        <f>VALO_PERSO!#REF!</f>
        <v>#REF!</v>
      </c>
      <c r="F118" s="354" t="e">
        <f>VALO_PERSO!#REF!</f>
        <v>#REF!</v>
      </c>
    </row>
    <row r="119" spans="1:6" s="111" customFormat="1" ht="15.6" customHeight="1" thickBot="1" x14ac:dyDescent="0.3">
      <c r="A119" s="111" t="s">
        <v>813</v>
      </c>
      <c r="B119" s="359" t="e">
        <f>VALO_PERSO!#REF!</f>
        <v>#REF!</v>
      </c>
      <c r="C119" s="350" t="str">
        <f>CONCATENATE(C89," ",D89)</f>
        <v>CREPIN Lucie</v>
      </c>
      <c r="D119" s="350" t="e">
        <f>VALO_PERSO!#REF!</f>
        <v>#REF!</v>
      </c>
      <c r="E119" s="353" t="e">
        <f>VALO_PERSO!#REF!</f>
        <v>#REF!</v>
      </c>
      <c r="F119" s="354" t="e">
        <f>VALO_PERSO!#REF!</f>
        <v>#REF!</v>
      </c>
    </row>
    <row r="120" spans="1:6" s="111" customFormat="1" ht="15.6" customHeight="1" thickBot="1" x14ac:dyDescent="0.3">
      <c r="A120" s="111" t="s">
        <v>813</v>
      </c>
      <c r="B120" s="359" t="e">
        <f>VALO_PERSO!#REF!</f>
        <v>#REF!</v>
      </c>
      <c r="C120" s="350" t="str">
        <f>CONCATENATE(C90," ",D90)</f>
        <v>BOISSONNAT Guillaume</v>
      </c>
      <c r="D120" s="350" t="e">
        <f>VALO_PERSO!#REF!</f>
        <v>#REF!</v>
      </c>
      <c r="E120" s="353" t="e">
        <f>VALO_PERSO!#REF!</f>
        <v>#REF!</v>
      </c>
      <c r="F120" s="354" t="e">
        <f>VALO_PERSO!#REF!</f>
        <v>#REF!</v>
      </c>
    </row>
    <row r="121" spans="1:6" s="111" customFormat="1" ht="15.6" customHeight="1" thickBot="1" x14ac:dyDescent="0.3">
      <c r="A121" s="111" t="s">
        <v>813</v>
      </c>
      <c r="B121" s="359" t="e">
        <f>VALO_PERSO!#REF!</f>
        <v>#REF!</v>
      </c>
      <c r="C121" s="350" t="e">
        <f>CONCATENATE(C88," ",D88)</f>
        <v>#REF!</v>
      </c>
      <c r="D121" s="350" t="e">
        <f>VALO_PERSO!#REF!</f>
        <v>#REF!</v>
      </c>
      <c r="E121" s="353" t="e">
        <f>VALO_PERSO!#REF!</f>
        <v>#REF!</v>
      </c>
      <c r="F121" s="354" t="e">
        <f>VALO_PERSO!#REF!</f>
        <v>#REF!</v>
      </c>
    </row>
    <row r="122" spans="1:6" s="111" customFormat="1" ht="15.6" customHeight="1" thickBot="1" x14ac:dyDescent="0.3">
      <c r="A122" s="111" t="s">
        <v>813</v>
      </c>
      <c r="B122" s="359" t="e">
        <f>VALO_PERSO!#REF!</f>
        <v>#REF!</v>
      </c>
      <c r="C122" s="350" t="str">
        <f>CONCATENATE(C89," ",D89)</f>
        <v>CREPIN Lucie</v>
      </c>
      <c r="D122" s="350" t="e">
        <f>VALO_PERSO!#REF!</f>
        <v>#REF!</v>
      </c>
      <c r="E122" s="353" t="e">
        <f>VALO_PERSO!#REF!</f>
        <v>#REF!</v>
      </c>
      <c r="F122" s="354" t="e">
        <f>VALO_PERSO!#REF!</f>
        <v>#REF!</v>
      </c>
    </row>
    <row r="123" spans="1:6" s="111" customFormat="1" ht="15.6" customHeight="1" thickBot="1" x14ac:dyDescent="0.3">
      <c r="A123" s="111" t="s">
        <v>813</v>
      </c>
      <c r="B123" s="359" t="e">
        <f>VALO_PERSO!#REF!</f>
        <v>#REF!</v>
      </c>
      <c r="C123" s="350" t="str">
        <f>CONCATENATE(C89," ",D89)</f>
        <v>CREPIN Lucie</v>
      </c>
      <c r="D123" s="350" t="e">
        <f>VALO_PERSO!#REF!</f>
        <v>#REF!</v>
      </c>
      <c r="E123" s="353" t="e">
        <f>VALO_PERSO!#REF!</f>
        <v>#REF!</v>
      </c>
      <c r="F123" s="354" t="e">
        <f>VALO_PERSO!#REF!</f>
        <v>#REF!</v>
      </c>
    </row>
    <row r="124" spans="1:6" s="111" customFormat="1" ht="15.6" customHeight="1" thickBot="1" x14ac:dyDescent="0.3">
      <c r="A124" s="111" t="s">
        <v>813</v>
      </c>
      <c r="B124" s="359" t="e">
        <f>VALO_PERSO!#REF!</f>
        <v>#REF!</v>
      </c>
      <c r="C124" s="350" t="str">
        <f>CONCATENATE(C90," ",D90)</f>
        <v>BOISSONNAT Guillaume</v>
      </c>
      <c r="D124" s="350" t="e">
        <f>VALO_PERSO!#REF!</f>
        <v>#REF!</v>
      </c>
      <c r="E124" s="353" t="e">
        <f>VALO_PERSO!#REF!</f>
        <v>#REF!</v>
      </c>
      <c r="F124" s="354" t="e">
        <f>VALO_PERSO!#REF!</f>
        <v>#REF!</v>
      </c>
    </row>
    <row r="125" spans="1:6" s="111" customFormat="1" ht="15.6" customHeight="1" thickBot="1" x14ac:dyDescent="0.3">
      <c r="A125" s="111" t="s">
        <v>813</v>
      </c>
      <c r="B125" s="359" t="e">
        <f>VALO_PERSO!#REF!</f>
        <v>#REF!</v>
      </c>
      <c r="C125" s="350" t="e">
        <f>CONCATENATE(C88," ",D88)</f>
        <v>#REF!</v>
      </c>
      <c r="D125" s="350" t="e">
        <f>VALO_PERSO!#REF!</f>
        <v>#REF!</v>
      </c>
      <c r="E125" s="353" t="e">
        <f>VALO_PERSO!#REF!</f>
        <v>#REF!</v>
      </c>
      <c r="F125" s="354" t="e">
        <f>VALO_PERSO!#REF!</f>
        <v>#REF!</v>
      </c>
    </row>
    <row r="126" spans="1:6" s="111" customFormat="1" ht="15.6" customHeight="1" thickBot="1" x14ac:dyDescent="0.3">
      <c r="A126" s="111" t="s">
        <v>813</v>
      </c>
      <c r="B126" s="359" t="e">
        <f>VALO_PERSO!#REF!</f>
        <v>#REF!</v>
      </c>
      <c r="C126" s="350" t="str">
        <f>CONCATENATE(C89," ",D89)</f>
        <v>CREPIN Lucie</v>
      </c>
      <c r="D126" s="350" t="e">
        <f>VALO_PERSO!#REF!</f>
        <v>#REF!</v>
      </c>
      <c r="E126" s="353" t="e">
        <f>VALO_PERSO!#REF!</f>
        <v>#REF!</v>
      </c>
      <c r="F126" s="354" t="e">
        <f>VALO_PERSO!#REF!</f>
        <v>#REF!</v>
      </c>
    </row>
    <row r="127" spans="1:6" s="111" customFormat="1" ht="15.6" customHeight="1" thickBot="1" x14ac:dyDescent="0.3">
      <c r="A127" s="111" t="s">
        <v>813</v>
      </c>
      <c r="B127" s="359" t="e">
        <f>VALO_PERSO!#REF!</f>
        <v>#REF!</v>
      </c>
      <c r="C127" s="350" t="str">
        <f>CONCATENATE(C89," ",D89)</f>
        <v>CREPIN Lucie</v>
      </c>
      <c r="D127" s="350" t="e">
        <f>VALO_PERSO!#REF!</f>
        <v>#REF!</v>
      </c>
      <c r="E127" s="353" t="e">
        <f>VALO_PERSO!#REF!</f>
        <v>#REF!</v>
      </c>
      <c r="F127" s="354" t="e">
        <f>VALO_PERSO!#REF!</f>
        <v>#REF!</v>
      </c>
    </row>
    <row r="128" spans="1:6" s="111" customFormat="1" ht="15.6" customHeight="1" thickBot="1" x14ac:dyDescent="0.3">
      <c r="A128" s="111" t="s">
        <v>813</v>
      </c>
      <c r="B128" s="359" t="e">
        <f>VALO_PERSO!#REF!</f>
        <v>#REF!</v>
      </c>
      <c r="C128" s="350" t="str">
        <f>CONCATENATE(C90," ",D90)</f>
        <v>BOISSONNAT Guillaume</v>
      </c>
      <c r="D128" s="350" t="e">
        <f>VALO_PERSO!#REF!</f>
        <v>#REF!</v>
      </c>
      <c r="E128" s="353" t="e">
        <f>VALO_PERSO!#REF!</f>
        <v>#REF!</v>
      </c>
      <c r="F128" s="354" t="e">
        <f>VALO_PERSO!#REF!</f>
        <v>#REF!</v>
      </c>
    </row>
    <row r="129" spans="1:6" s="111" customFormat="1" ht="15.6" customHeight="1" thickBot="1" x14ac:dyDescent="0.3">
      <c r="A129" s="111" t="s">
        <v>813</v>
      </c>
      <c r="B129" s="359" t="e">
        <f>VALO_PERSO!#REF!</f>
        <v>#REF!</v>
      </c>
      <c r="C129" s="350" t="e">
        <f>CONCATENATE(C88," ",D88)</f>
        <v>#REF!</v>
      </c>
      <c r="D129" s="350" t="e">
        <f>VALO_PERSO!#REF!</f>
        <v>#REF!</v>
      </c>
      <c r="E129" s="353" t="e">
        <f>VALO_PERSO!#REF!</f>
        <v>#REF!</v>
      </c>
      <c r="F129" s="354" t="e">
        <f>VALO_PERSO!#REF!</f>
        <v>#REF!</v>
      </c>
    </row>
    <row r="130" spans="1:6" s="111" customFormat="1" ht="15.6" customHeight="1" thickBot="1" x14ac:dyDescent="0.3">
      <c r="A130" s="111" t="s">
        <v>813</v>
      </c>
      <c r="B130" s="359" t="e">
        <f>VALO_PERSO!#REF!</f>
        <v>#REF!</v>
      </c>
      <c r="C130" s="350" t="str">
        <f>CONCATENATE(C89," ",D89)</f>
        <v>CREPIN Lucie</v>
      </c>
      <c r="D130" s="350" t="e">
        <f>VALO_PERSO!#REF!</f>
        <v>#REF!</v>
      </c>
      <c r="E130" s="353" t="e">
        <f>VALO_PERSO!#REF!</f>
        <v>#REF!</v>
      </c>
      <c r="F130" s="354" t="e">
        <f>VALO_PERSO!#REF!</f>
        <v>#REF!</v>
      </c>
    </row>
    <row r="131" spans="1:6" s="111" customFormat="1" ht="15.6" customHeight="1" thickBot="1" x14ac:dyDescent="0.3">
      <c r="A131" s="111" t="s">
        <v>813</v>
      </c>
      <c r="B131" s="359" t="e">
        <f>VALO_PERSO!#REF!</f>
        <v>#REF!</v>
      </c>
      <c r="C131" s="350" t="str">
        <f>CONCATENATE(C89," ",D89)</f>
        <v>CREPIN Lucie</v>
      </c>
      <c r="D131" s="350" t="e">
        <f>VALO_PERSO!#REF!</f>
        <v>#REF!</v>
      </c>
      <c r="E131" s="353" t="e">
        <f>VALO_PERSO!#REF!</f>
        <v>#REF!</v>
      </c>
      <c r="F131" s="354" t="e">
        <f>VALO_PERSO!#REF!</f>
        <v>#REF!</v>
      </c>
    </row>
    <row r="132" spans="1:6" s="111" customFormat="1" ht="15.6" customHeight="1" thickBot="1" x14ac:dyDescent="0.3">
      <c r="A132" s="111" t="s">
        <v>813</v>
      </c>
      <c r="B132" s="359" t="e">
        <f>VALO_PERSO!#REF!</f>
        <v>#REF!</v>
      </c>
      <c r="C132" s="350" t="str">
        <f>CONCATENATE(C90," ",D90)</f>
        <v>BOISSONNAT Guillaume</v>
      </c>
      <c r="D132" s="350" t="e">
        <f>VALO_PERSO!#REF!</f>
        <v>#REF!</v>
      </c>
      <c r="E132" s="353" t="e">
        <f>VALO_PERSO!#REF!</f>
        <v>#REF!</v>
      </c>
      <c r="F132" s="354" t="e">
        <f>VALO_PERSO!#REF!</f>
        <v>#REF!</v>
      </c>
    </row>
    <row r="133" spans="1:6" s="111" customFormat="1" ht="15.6" customHeight="1" thickBot="1" x14ac:dyDescent="0.3">
      <c r="A133" s="111" t="s">
        <v>813</v>
      </c>
      <c r="B133" s="359" t="e">
        <f>VALO_PERSO!#REF!</f>
        <v>#REF!</v>
      </c>
      <c r="C133" s="350" t="e">
        <f>CONCATENATE(C88," ",D88)</f>
        <v>#REF!</v>
      </c>
      <c r="D133" s="350" t="e">
        <f>VALO_PERSO!#REF!</f>
        <v>#REF!</v>
      </c>
      <c r="E133" s="353" t="e">
        <f>VALO_PERSO!#REF!</f>
        <v>#REF!</v>
      </c>
      <c r="F133" s="354" t="e">
        <f>VALO_PERSO!#REF!</f>
        <v>#REF!</v>
      </c>
    </row>
    <row r="134" spans="1:6" s="111" customFormat="1" ht="15.6" customHeight="1" thickBot="1" x14ac:dyDescent="0.3">
      <c r="A134" s="111" t="s">
        <v>813</v>
      </c>
      <c r="B134" s="359" t="e">
        <f>VALO_PERSO!#REF!</f>
        <v>#REF!</v>
      </c>
      <c r="C134" s="350" t="str">
        <f>CONCATENATE(C89," ",D89)</f>
        <v>CREPIN Lucie</v>
      </c>
      <c r="D134" s="350" t="e">
        <f>VALO_PERSO!#REF!</f>
        <v>#REF!</v>
      </c>
      <c r="E134" s="353" t="e">
        <f>VALO_PERSO!#REF!</f>
        <v>#REF!</v>
      </c>
      <c r="F134" s="354" t="e">
        <f>VALO_PERSO!#REF!</f>
        <v>#REF!</v>
      </c>
    </row>
    <row r="135" spans="1:6" s="111" customFormat="1" ht="15.6" customHeight="1" thickBot="1" x14ac:dyDescent="0.3">
      <c r="A135" s="111" t="s">
        <v>813</v>
      </c>
      <c r="B135" s="359" t="e">
        <f>VALO_PERSO!#REF!</f>
        <v>#REF!</v>
      </c>
      <c r="C135" s="350" t="str">
        <f>CONCATENATE(C89," ",D89)</f>
        <v>CREPIN Lucie</v>
      </c>
      <c r="D135" s="350" t="e">
        <f>VALO_PERSO!#REF!</f>
        <v>#REF!</v>
      </c>
      <c r="E135" s="353" t="e">
        <f>VALO_PERSO!#REF!</f>
        <v>#REF!</v>
      </c>
      <c r="F135" s="354" t="e">
        <f>VALO_PERSO!#REF!</f>
        <v>#REF!</v>
      </c>
    </row>
    <row r="136" spans="1:6" s="111" customFormat="1" ht="15.6" customHeight="1" thickBot="1" x14ac:dyDescent="0.3">
      <c r="A136" s="111" t="s">
        <v>813</v>
      </c>
      <c r="B136" s="359" t="e">
        <f>VALO_PERSO!#REF!</f>
        <v>#REF!</v>
      </c>
      <c r="C136" s="350" t="str">
        <f>CONCATENATE(C90," ",D90)</f>
        <v>BOISSONNAT Guillaume</v>
      </c>
      <c r="D136" s="350" t="e">
        <f>VALO_PERSO!#REF!</f>
        <v>#REF!</v>
      </c>
      <c r="E136" s="353" t="e">
        <f>VALO_PERSO!#REF!</f>
        <v>#REF!</v>
      </c>
      <c r="F136" s="354" t="e">
        <f>VALO_PERSO!#REF!</f>
        <v>#REF!</v>
      </c>
    </row>
    <row r="137" spans="1:6" s="111" customFormat="1" ht="15.6" customHeight="1" thickBot="1" x14ac:dyDescent="0.3">
      <c r="A137" s="111" t="s">
        <v>813</v>
      </c>
      <c r="B137" s="359" t="e">
        <f>VALO_PERSO!#REF!</f>
        <v>#REF!</v>
      </c>
      <c r="C137" s="350" t="e">
        <f>CONCATENATE(C88," ",D88)</f>
        <v>#REF!</v>
      </c>
      <c r="D137" s="350" t="e">
        <f>VALO_PERSO!#REF!</f>
        <v>#REF!</v>
      </c>
      <c r="E137" s="353" t="e">
        <f>VALO_PERSO!#REF!</f>
        <v>#REF!</v>
      </c>
      <c r="F137" s="354" t="e">
        <f>VALO_PERSO!#REF!</f>
        <v>#REF!</v>
      </c>
    </row>
    <row r="138" spans="1:6" s="111" customFormat="1" ht="15.6" customHeight="1" thickBot="1" x14ac:dyDescent="0.3">
      <c r="A138" s="111" t="s">
        <v>813</v>
      </c>
      <c r="B138" s="359" t="e">
        <f>VALO_PERSO!#REF!</f>
        <v>#REF!</v>
      </c>
      <c r="C138" s="350" t="str">
        <f>CONCATENATE(C89," ",D89)</f>
        <v>CREPIN Lucie</v>
      </c>
      <c r="D138" s="350" t="e">
        <f>VALO_PERSO!#REF!</f>
        <v>#REF!</v>
      </c>
      <c r="E138" s="353" t="e">
        <f>VALO_PERSO!#REF!</f>
        <v>#REF!</v>
      </c>
      <c r="F138" s="354" t="e">
        <f>VALO_PERSO!#REF!</f>
        <v>#REF!</v>
      </c>
    </row>
    <row r="139" spans="1:6" s="111" customFormat="1" ht="15.6" customHeight="1" thickBot="1" x14ac:dyDescent="0.3">
      <c r="A139" s="111" t="s">
        <v>813</v>
      </c>
      <c r="B139" s="359" t="e">
        <f>VALO_PERSO!#REF!</f>
        <v>#REF!</v>
      </c>
      <c r="C139" s="350" t="str">
        <f>CONCATENATE(C89," ",D89)</f>
        <v>CREPIN Lucie</v>
      </c>
      <c r="D139" s="350" t="e">
        <f>VALO_PERSO!#REF!</f>
        <v>#REF!</v>
      </c>
      <c r="E139" s="353" t="e">
        <f>VALO_PERSO!#REF!</f>
        <v>#REF!</v>
      </c>
      <c r="F139" s="354" t="e">
        <f>VALO_PERSO!#REF!</f>
        <v>#REF!</v>
      </c>
    </row>
    <row r="140" spans="1:6" s="111" customFormat="1" ht="15.6" customHeight="1" thickBot="1" x14ac:dyDescent="0.3">
      <c r="A140" s="111" t="s">
        <v>813</v>
      </c>
      <c r="B140" s="359" t="e">
        <f>VALO_PERSO!#REF!</f>
        <v>#REF!</v>
      </c>
      <c r="C140" s="350" t="str">
        <f>CONCATENATE(C90," ",D90)</f>
        <v>BOISSONNAT Guillaume</v>
      </c>
      <c r="D140" s="350" t="e">
        <f>VALO_PERSO!#REF!</f>
        <v>#REF!</v>
      </c>
      <c r="E140" s="353" t="e">
        <f>VALO_PERSO!#REF!</f>
        <v>#REF!</v>
      </c>
      <c r="F140" s="354" t="e">
        <f>VALO_PERSO!#REF!</f>
        <v>#REF!</v>
      </c>
    </row>
    <row r="141" spans="1:6" s="111" customFormat="1" ht="15.6" customHeight="1" thickBot="1" x14ac:dyDescent="0.3">
      <c r="A141" s="111" t="s">
        <v>813</v>
      </c>
      <c r="B141" s="359" t="e">
        <f>VALO_PERSO!#REF!</f>
        <v>#REF!</v>
      </c>
      <c r="C141" s="350" t="e">
        <f>CONCATENATE(C88," ",D88)</f>
        <v>#REF!</v>
      </c>
      <c r="D141" s="350" t="e">
        <f>VALO_PERSO!#REF!</f>
        <v>#REF!</v>
      </c>
      <c r="E141" s="353" t="e">
        <f>VALO_PERSO!#REF!</f>
        <v>#REF!</v>
      </c>
      <c r="F141" s="354" t="e">
        <f>VALO_PERSO!#REF!</f>
        <v>#REF!</v>
      </c>
    </row>
    <row r="142" spans="1:6" s="111" customFormat="1" ht="15.6" customHeight="1" thickBot="1" x14ac:dyDescent="0.3">
      <c r="A142" s="111" t="s">
        <v>813</v>
      </c>
      <c r="B142" s="359" t="e">
        <f>VALO_PERSO!#REF!</f>
        <v>#REF!</v>
      </c>
      <c r="C142" s="350" t="str">
        <f>CONCATENATE(C89," ",D89)</f>
        <v>CREPIN Lucie</v>
      </c>
      <c r="D142" s="350" t="e">
        <f>VALO_PERSO!#REF!</f>
        <v>#REF!</v>
      </c>
      <c r="E142" s="353" t="e">
        <f>VALO_PERSO!#REF!</f>
        <v>#REF!</v>
      </c>
      <c r="F142" s="354" t="e">
        <f>VALO_PERSO!#REF!</f>
        <v>#REF!</v>
      </c>
    </row>
    <row r="143" spans="1:6" s="111" customFormat="1" ht="15.6" customHeight="1" thickBot="1" x14ac:dyDescent="0.3">
      <c r="A143" s="111" t="s">
        <v>813</v>
      </c>
      <c r="B143" s="359" t="e">
        <f>VALO_PERSO!#REF!</f>
        <v>#REF!</v>
      </c>
      <c r="C143" s="350" t="str">
        <f>CONCATENATE(C89," ",D89)</f>
        <v>CREPIN Lucie</v>
      </c>
      <c r="D143" s="350" t="e">
        <f>VALO_PERSO!#REF!</f>
        <v>#REF!</v>
      </c>
      <c r="E143" s="353" t="e">
        <f>VALO_PERSO!#REF!</f>
        <v>#REF!</v>
      </c>
      <c r="F143" s="354" t="e">
        <f>VALO_PERSO!#REF!</f>
        <v>#REF!</v>
      </c>
    </row>
    <row r="144" spans="1:6" s="111" customFormat="1" ht="15.6" customHeight="1" thickBot="1" x14ac:dyDescent="0.3">
      <c r="A144" s="111" t="s">
        <v>813</v>
      </c>
      <c r="B144" s="359" t="e">
        <f>VALO_PERSO!#REF!</f>
        <v>#REF!</v>
      </c>
      <c r="C144" s="350" t="str">
        <f>CONCATENATE(C90," ",D90)</f>
        <v>BOISSONNAT Guillaume</v>
      </c>
      <c r="D144" s="350" t="e">
        <f>VALO_PERSO!#REF!</f>
        <v>#REF!</v>
      </c>
      <c r="E144" s="353" t="e">
        <f>VALO_PERSO!#REF!</f>
        <v>#REF!</v>
      </c>
      <c r="F144" s="354" t="e">
        <f>VALO_PERSO!#REF!</f>
        <v>#REF!</v>
      </c>
    </row>
    <row r="145" spans="1:20" s="111" customFormat="1" ht="15.6" customHeight="1" thickBot="1" x14ac:dyDescent="0.3">
      <c r="A145" s="111" t="s">
        <v>813</v>
      </c>
      <c r="B145" s="359" t="e">
        <f>VALO_PERSO!#REF!</f>
        <v>#REF!</v>
      </c>
      <c r="C145" s="350" t="e">
        <f>CONCATENATE(C88," ",D88)</f>
        <v>#REF!</v>
      </c>
      <c r="D145" s="350" t="e">
        <f>VALO_PERSO!#REF!</f>
        <v>#REF!</v>
      </c>
      <c r="E145" s="353" t="e">
        <f>VALO_PERSO!#REF!</f>
        <v>#REF!</v>
      </c>
      <c r="F145" s="354" t="e">
        <f>VALO_PERSO!#REF!</f>
        <v>#REF!</v>
      </c>
    </row>
    <row r="146" spans="1:20" s="111" customFormat="1" ht="15.6" customHeight="1" thickBot="1" x14ac:dyDescent="0.3">
      <c r="A146" s="111" t="s">
        <v>813</v>
      </c>
      <c r="B146" s="359" t="e">
        <f>VALO_PERSO!#REF!</f>
        <v>#REF!</v>
      </c>
      <c r="C146" s="350" t="str">
        <f>CONCATENATE(C89," ",D89)</f>
        <v>CREPIN Lucie</v>
      </c>
      <c r="D146" s="350" t="e">
        <f>VALO_PERSO!#REF!</f>
        <v>#REF!</v>
      </c>
      <c r="E146" s="353" t="e">
        <f>VALO_PERSO!#REF!</f>
        <v>#REF!</v>
      </c>
      <c r="F146" s="354" t="e">
        <f>VALO_PERSO!#REF!</f>
        <v>#REF!</v>
      </c>
    </row>
    <row r="147" spans="1:20" s="111" customFormat="1" ht="15.6" customHeight="1" thickBot="1" x14ac:dyDescent="0.3">
      <c r="A147" s="111" t="s">
        <v>813</v>
      </c>
      <c r="B147" s="359" t="e">
        <f>VALO_PERSO!#REF!</f>
        <v>#REF!</v>
      </c>
      <c r="C147" s="350" t="str">
        <f>CONCATENATE(C89," ",D89)</f>
        <v>CREPIN Lucie</v>
      </c>
      <c r="D147" s="350" t="e">
        <f>VALO_PERSO!#REF!</f>
        <v>#REF!</v>
      </c>
      <c r="E147" s="353" t="e">
        <f>VALO_PERSO!#REF!</f>
        <v>#REF!</v>
      </c>
      <c r="F147" s="354" t="e">
        <f>VALO_PERSO!#REF!</f>
        <v>#REF!</v>
      </c>
    </row>
    <row r="148" spans="1:20" s="111" customFormat="1" ht="15.6" customHeight="1" thickBot="1" x14ac:dyDescent="0.3">
      <c r="A148" s="111" t="s">
        <v>813</v>
      </c>
      <c r="B148" s="359" t="e">
        <f>VALO_PERSO!#REF!</f>
        <v>#REF!</v>
      </c>
      <c r="C148" s="350" t="str">
        <f>CONCATENATE(C90," ",D90)</f>
        <v>BOISSONNAT Guillaume</v>
      </c>
      <c r="D148" s="350" t="e">
        <f>VALO_PERSO!#REF!</f>
        <v>#REF!</v>
      </c>
      <c r="E148" s="353" t="e">
        <f>VALO_PERSO!#REF!</f>
        <v>#REF!</v>
      </c>
      <c r="F148" s="354" t="e">
        <f>VALO_PERSO!#REF!</f>
        <v>#REF!</v>
      </c>
    </row>
    <row r="149" spans="1:20" s="111" customFormat="1" ht="15.75" thickBot="1" x14ac:dyDescent="0.3">
      <c r="B149" s="359">
        <f>VALO_PERSO!F6</f>
        <v>1</v>
      </c>
      <c r="C149" s="350" t="str">
        <f t="shared" ref="C149:C162" si="0">CONCATENATE(C87," ",D87)</f>
        <v>AMILLASTRE Emilie</v>
      </c>
      <c r="D149" s="350" t="str">
        <f>VALO_PERSO!I6</f>
        <v>Experte Bioprocédés</v>
      </c>
      <c r="E149" s="353">
        <f>VALO_PERSO!Y6</f>
        <v>296.40000000000009</v>
      </c>
      <c r="F149" s="354">
        <f>VALO_PERSO!AS6</f>
        <v>15165.505535055354</v>
      </c>
    </row>
    <row r="150" spans="1:20" s="111" customFormat="1" ht="15.75" thickBot="1" x14ac:dyDescent="0.3">
      <c r="B150" s="359" t="e">
        <f>VALO_PERSO!#REF!</f>
        <v>#REF!</v>
      </c>
      <c r="C150" s="350" t="e">
        <f t="shared" si="0"/>
        <v>#REF!</v>
      </c>
      <c r="D150" s="350" t="e">
        <f>VALO_PERSO!#REF!</f>
        <v>#REF!</v>
      </c>
      <c r="E150" s="353" t="e">
        <f>VALO_PERSO!#REF!</f>
        <v>#REF!</v>
      </c>
      <c r="F150" s="354" t="e">
        <f>VALO_PERSO!#REF!</f>
        <v>#REF!</v>
      </c>
    </row>
    <row r="151" spans="1:20" s="111" customFormat="1" ht="15.75" thickBot="1" x14ac:dyDescent="0.3">
      <c r="B151" s="359">
        <f>VALO_PERSO!F7</f>
        <v>4</v>
      </c>
      <c r="C151" s="350" t="str">
        <f t="shared" si="0"/>
        <v>CREPIN Lucie</v>
      </c>
      <c r="D151" s="350" t="str">
        <f>VALO_PERSO!I7</f>
        <v>Lead Scientist</v>
      </c>
      <c r="E151" s="353">
        <f>VALO_PERSO!Y7</f>
        <v>665.00000000000148</v>
      </c>
      <c r="F151" s="354">
        <f>VALO_PERSO!AS7</f>
        <v>38245.61236336366</v>
      </c>
    </row>
    <row r="152" spans="1:20" s="111" customFormat="1" ht="15.75" thickBot="1" x14ac:dyDescent="0.3">
      <c r="B152" s="359">
        <f>VALO_PERSO!F8</f>
        <v>5</v>
      </c>
      <c r="C152" s="350" t="str">
        <f t="shared" si="0"/>
        <v>BOISSONNAT Guillaume</v>
      </c>
      <c r="D152" s="350" t="str">
        <f>VALO_PERSO!I8</f>
        <v>Ingénieur Recherche</v>
      </c>
      <c r="E152" s="353">
        <f>VALO_PERSO!Y8</f>
        <v>81.448499999999967</v>
      </c>
      <c r="F152" s="354">
        <f>VALO_PERSO!AS8</f>
        <v>9670.3084999999955</v>
      </c>
    </row>
    <row r="153" spans="1:20" s="111" customFormat="1" ht="15.75" thickBot="1" x14ac:dyDescent="0.3">
      <c r="B153" s="359">
        <f>VALO_PERSO!F9</f>
        <v>6</v>
      </c>
      <c r="C153" s="350" t="str">
        <f t="shared" si="0"/>
        <v>COTTET Kevin</v>
      </c>
      <c r="D153" s="350" t="str">
        <f>VALO_PERSO!I9</f>
        <v>Lead Scientist</v>
      </c>
      <c r="E153" s="353">
        <f>VALO_PERSO!Y9</f>
        <v>0</v>
      </c>
      <c r="F153" s="354">
        <f>VALO_PERSO!AS9</f>
        <v>0</v>
      </c>
    </row>
    <row r="154" spans="1:20" s="111" customFormat="1" ht="15.75" thickBot="1" x14ac:dyDescent="0.3">
      <c r="B154" s="359">
        <f>VALO_PERSO!F10</f>
        <v>7</v>
      </c>
      <c r="C154" s="350" t="str">
        <f t="shared" si="0"/>
        <v>BLANCHARD-SLOOTMAN Vincent</v>
      </c>
      <c r="D154" s="350" t="str">
        <f>VALO_PERSO!I10</f>
        <v>Ingénieur de Recherche</v>
      </c>
      <c r="E154" s="353">
        <f>VALO_PERSO!Y10</f>
        <v>0</v>
      </c>
      <c r="F154" s="354">
        <f>VALO_PERSO!AS10</f>
        <v>0</v>
      </c>
    </row>
    <row r="155" spans="1:20" s="111" customFormat="1" ht="15.75" thickBot="1" x14ac:dyDescent="0.3">
      <c r="B155" s="359">
        <f>VALO_PERSO!F11</f>
        <v>8</v>
      </c>
      <c r="C155" s="350" t="str">
        <f t="shared" si="0"/>
        <v>GOMES-DA-CRUZ Filipe</v>
      </c>
      <c r="D155" s="350" t="str">
        <f>VALO_PERSO!I11</f>
        <v>Ingénieur de Recherche</v>
      </c>
      <c r="E155" s="353">
        <f>VALO_PERSO!Y11</f>
        <v>0</v>
      </c>
      <c r="F155" s="354">
        <f>VALO_PERSO!AS11</f>
        <v>0</v>
      </c>
    </row>
    <row r="156" spans="1:20" s="111" customFormat="1" ht="15.75" thickBot="1" x14ac:dyDescent="0.3">
      <c r="B156" s="359">
        <f>VALO_PERSO!F12</f>
        <v>11</v>
      </c>
      <c r="C156" s="350" t="str">
        <f t="shared" si="0"/>
        <v>BAYLAC Audrey</v>
      </c>
      <c r="D156" s="350" t="str">
        <f>VALO_PERSO!I12</f>
        <v>Ingénieur</v>
      </c>
      <c r="E156" s="353">
        <f>VALO_PERSO!Y12</f>
        <v>15.2</v>
      </c>
      <c r="F156" s="354">
        <f>VALO_PERSO!AS12</f>
        <v>948.42647451914695</v>
      </c>
    </row>
    <row r="157" spans="1:20" s="111" customFormat="1" ht="15.75" thickBot="1" x14ac:dyDescent="0.3">
      <c r="B157" s="359">
        <f>VALO_PERSO!F13</f>
        <v>12</v>
      </c>
      <c r="C157" s="350" t="str">
        <f t="shared" si="0"/>
        <v>DENARD Marjorie</v>
      </c>
      <c r="D157" s="350" t="str">
        <f>VALO_PERSO!I13</f>
        <v>Assistant Ingenieur</v>
      </c>
      <c r="E157" s="353">
        <f>VALO_PERSO!Y13</f>
        <v>15.2</v>
      </c>
      <c r="F157" s="354">
        <f>VALO_PERSO!AS13</f>
        <v>479.24248405851461</v>
      </c>
    </row>
    <row r="158" spans="1:20" s="111" customFormat="1" ht="15.75" thickBot="1" x14ac:dyDescent="0.3">
      <c r="B158" s="359">
        <f>VALO_PERSO!F14</f>
        <v>13</v>
      </c>
      <c r="C158" s="350" t="str">
        <f t="shared" si="0"/>
        <v>FERNANDEZ Bob</v>
      </c>
      <c r="D158" s="350" t="str">
        <f>VALO_PERSO!I14</f>
        <v>Ingénieur d'études</v>
      </c>
      <c r="E158" s="353">
        <f>VALO_PERSO!Y14</f>
        <v>230.45000000000002</v>
      </c>
      <c r="F158" s="354">
        <f>VALO_PERSO!AS14</f>
        <v>11751.113934297011</v>
      </c>
    </row>
    <row r="159" spans="1:20" s="111" customFormat="1" ht="15.75" thickBot="1" x14ac:dyDescent="0.3">
      <c r="B159" s="415">
        <f>VALO_PERSO!F15</f>
        <v>14</v>
      </c>
      <c r="C159" s="419" t="str">
        <f t="shared" si="0"/>
        <v>SCHIAVON Caroline</v>
      </c>
      <c r="D159" s="419" t="str">
        <f>VALO_PERSO!I15</f>
        <v>Ingénieur d'études</v>
      </c>
      <c r="E159" s="420">
        <f>VALO_PERSO!Y15</f>
        <v>976.60000000000241</v>
      </c>
      <c r="F159" s="421">
        <f>VALO_PERSO!AS15</f>
        <v>61288.293248749731</v>
      </c>
      <c r="G159" s="412"/>
      <c r="H159" s="412"/>
      <c r="I159" s="412"/>
      <c r="J159" s="412"/>
      <c r="K159" s="412"/>
      <c r="L159" s="412"/>
      <c r="M159" s="412"/>
      <c r="N159" s="412"/>
      <c r="O159" s="412"/>
      <c r="P159" s="412"/>
      <c r="Q159" s="412"/>
      <c r="R159" s="412"/>
      <c r="S159" s="412"/>
      <c r="T159" s="412"/>
    </row>
    <row r="160" spans="1:20" s="111" customFormat="1" ht="15.75" thickBot="1" x14ac:dyDescent="0.3">
      <c r="B160" s="359">
        <f>VALO_PERSO!F16</f>
        <v>16</v>
      </c>
      <c r="C160" s="350" t="str">
        <f t="shared" si="0"/>
        <v>RAMOS-AZNAR Nuria</v>
      </c>
      <c r="D160" s="350" t="str">
        <f>VALO_PERSO!I16</f>
        <v>Ingenieur</v>
      </c>
      <c r="E160" s="353">
        <f>VALO_PERSO!Y16</f>
        <v>0</v>
      </c>
      <c r="F160" s="354">
        <f>VALO_PERSO!AS16</f>
        <v>0</v>
      </c>
    </row>
    <row r="161" spans="1:36" s="111" customFormat="1" ht="15.75" thickBot="1" x14ac:dyDescent="0.3">
      <c r="B161" s="359" t="e">
        <f>VALO_PERSO!#REF!</f>
        <v>#REF!</v>
      </c>
      <c r="C161" s="350" t="e">
        <f t="shared" si="0"/>
        <v>#REF!</v>
      </c>
      <c r="D161" s="350" t="e">
        <f>VALO_PERSO!#REF!</f>
        <v>#REF!</v>
      </c>
      <c r="E161" s="353" t="e">
        <f>VALO_PERSO!#REF!</f>
        <v>#REF!</v>
      </c>
      <c r="F161" s="354" t="e">
        <f>VALO_PERSO!#REF!</f>
        <v>#REF!</v>
      </c>
    </row>
    <row r="162" spans="1:36" s="111" customFormat="1" ht="15.75" thickBot="1" x14ac:dyDescent="0.3">
      <c r="B162" s="359">
        <f>VALO_PERSO!F17</f>
        <v>18</v>
      </c>
      <c r="C162" s="350" t="str">
        <f t="shared" si="0"/>
        <v>BARRY Benjamin</v>
      </c>
      <c r="D162" s="350" t="str">
        <f>VALO_PERSO!I17</f>
        <v>Ingenieur</v>
      </c>
      <c r="E162" s="353">
        <f>VALO_PERSO!Y17</f>
        <v>255.99999999999997</v>
      </c>
      <c r="F162" s="354">
        <f>VALO_PERSO!AS17</f>
        <v>13352.682655204413</v>
      </c>
    </row>
    <row r="163" spans="1:36" s="111" customFormat="1" ht="15.75" thickBot="1" x14ac:dyDescent="0.3">
      <c r="B163" s="337"/>
      <c r="C163" s="416" t="s">
        <v>446</v>
      </c>
      <c r="D163" s="418"/>
      <c r="E163" s="360" t="e">
        <f>SUM(E105:E162)</f>
        <v>#REF!</v>
      </c>
      <c r="F163" s="361" t="e">
        <f>SUM(F105:F162)</f>
        <v>#REF!</v>
      </c>
    </row>
    <row r="164" spans="1:36" s="111" customFormat="1" x14ac:dyDescent="0.25">
      <c r="C164" s="349"/>
      <c r="D164" s="349"/>
      <c r="E164" s="349"/>
      <c r="F164" s="349"/>
      <c r="G164" s="349"/>
      <c r="H164" s="349"/>
    </row>
    <row r="165" spans="1:36" s="111" customFormat="1" ht="15.75" thickBot="1" x14ac:dyDescent="0.3">
      <c r="C165" s="349"/>
      <c r="D165" s="349"/>
      <c r="E165" s="349"/>
      <c r="F165" s="349"/>
      <c r="G165" s="349"/>
      <c r="H165" s="349"/>
    </row>
    <row r="166" spans="1:36" s="111" customFormat="1" ht="15.75" thickBot="1" x14ac:dyDescent="0.3">
      <c r="B166" s="337"/>
      <c r="C166" s="607" t="s">
        <v>738</v>
      </c>
      <c r="D166" s="608"/>
      <c r="E166" s="608"/>
      <c r="F166" s="608"/>
    </row>
    <row r="167" spans="1:36" s="111" customFormat="1" ht="36.75" thickBot="1" x14ac:dyDescent="0.3">
      <c r="B167" s="368" t="s">
        <v>366</v>
      </c>
      <c r="C167" s="355" t="s">
        <v>716</v>
      </c>
      <c r="D167" s="356" t="s">
        <v>717</v>
      </c>
      <c r="E167" s="356" t="s">
        <v>718</v>
      </c>
      <c r="F167" s="356" t="s">
        <v>719</v>
      </c>
      <c r="AI167" s="349"/>
      <c r="AJ167" s="349"/>
    </row>
    <row r="168" spans="1:36" s="111" customFormat="1" ht="15.75" thickBot="1" x14ac:dyDescent="0.3">
      <c r="A168" s="111" t="s">
        <v>813</v>
      </c>
      <c r="B168" s="359" t="str">
        <f>VALO_PERSO!F5</f>
        <v>mad</v>
      </c>
      <c r="C168" s="350" t="str">
        <f t="shared" ref="C168" si="1">CONCATENATE(C43," ",D43)</f>
        <v>GHLAMI Sephora</v>
      </c>
      <c r="D168" s="350" t="str">
        <f>VALO_PERSO!I5</f>
        <v>MAD</v>
      </c>
      <c r="E168" s="350">
        <f>VALO_PERSO!Y5</f>
        <v>0</v>
      </c>
      <c r="F168" s="350">
        <f>VALO_PERSO!AS5</f>
        <v>0</v>
      </c>
      <c r="H168" s="111" t="s">
        <v>739</v>
      </c>
      <c r="AI168" s="349"/>
      <c r="AJ168" s="349"/>
    </row>
    <row r="169" spans="1:36" s="111" customFormat="1" ht="15.75" thickBot="1" x14ac:dyDescent="0.3">
      <c r="A169" s="111" t="s">
        <v>813</v>
      </c>
      <c r="B169" s="359">
        <f>VALO_PERSO!F6</f>
        <v>1</v>
      </c>
      <c r="C169" s="350" t="str">
        <f t="shared" ref="C169" si="2">CONCATENATE(C45," ",D45)</f>
        <v>AMILLASTRE Emilie</v>
      </c>
      <c r="D169" s="350" t="str">
        <f>VALO_PERSO!I6</f>
        <v>Experte Bioprocédés</v>
      </c>
      <c r="E169" s="350">
        <f>VALO_PERSO!Y6</f>
        <v>296.40000000000009</v>
      </c>
      <c r="F169" s="350">
        <f>VALO_PERSO!AS6</f>
        <v>15165.505535055354</v>
      </c>
      <c r="H169" s="111" t="s">
        <v>739</v>
      </c>
      <c r="AI169" s="349"/>
      <c r="AJ169" s="349"/>
    </row>
    <row r="170" spans="1:36" s="111" customFormat="1" ht="15.75" thickBot="1" x14ac:dyDescent="0.3">
      <c r="A170" s="111" t="s">
        <v>813</v>
      </c>
      <c r="B170" s="359">
        <f>VALO_PERSO!F6</f>
        <v>1</v>
      </c>
      <c r="C170" s="350" t="e">
        <f t="shared" ref="C170" si="3">CONCATENATE(C47," ",D47)</f>
        <v>#REF!</v>
      </c>
      <c r="D170" s="350" t="str">
        <f>VALO_PERSO!I6</f>
        <v>Experte Bioprocédés</v>
      </c>
      <c r="E170" s="350">
        <f>VALO_PERSO!Y6</f>
        <v>296.40000000000009</v>
      </c>
      <c r="F170" s="350">
        <f>VALO_PERSO!AS6</f>
        <v>15165.505535055354</v>
      </c>
      <c r="H170" s="111" t="s">
        <v>739</v>
      </c>
      <c r="AI170" s="349"/>
      <c r="AJ170" s="349"/>
    </row>
    <row r="171" spans="1:36" s="111" customFormat="1" ht="15.75" thickBot="1" x14ac:dyDescent="0.3">
      <c r="A171" s="111" t="s">
        <v>813</v>
      </c>
      <c r="B171" s="359" t="e">
        <f>VALO_PERSO!#REF!</f>
        <v>#REF!</v>
      </c>
      <c r="C171" s="350" t="e">
        <f t="shared" ref="C171" si="4">CONCATENATE(C49," ",D49)</f>
        <v>#REF!</v>
      </c>
      <c r="D171" s="350" t="e">
        <f>VALO_PERSO!#REF!</f>
        <v>#REF!</v>
      </c>
      <c r="E171" s="350" t="e">
        <f>VALO_PERSO!#REF!</f>
        <v>#REF!</v>
      </c>
      <c r="F171" s="350" t="e">
        <f>VALO_PERSO!#REF!</f>
        <v>#REF!</v>
      </c>
      <c r="H171" s="111" t="s">
        <v>739</v>
      </c>
      <c r="AI171" s="349"/>
      <c r="AJ171" s="349"/>
    </row>
    <row r="172" spans="1:36" s="111" customFormat="1" ht="15.75" thickBot="1" x14ac:dyDescent="0.3">
      <c r="A172" s="111" t="s">
        <v>813</v>
      </c>
      <c r="B172" s="359" t="e">
        <f>VALO_PERSO!#REF!</f>
        <v>#REF!</v>
      </c>
      <c r="C172" s="350" t="str">
        <f t="shared" ref="C172" si="5">CONCATENATE(C87," ",D87)</f>
        <v>AMILLASTRE Emilie</v>
      </c>
      <c r="D172" s="350" t="e">
        <f>VALO_PERSO!#REF!</f>
        <v>#REF!</v>
      </c>
      <c r="E172" s="350" t="e">
        <f>VALO_PERSO!#REF!</f>
        <v>#REF!</v>
      </c>
      <c r="F172" s="350" t="e">
        <f>VALO_PERSO!#REF!</f>
        <v>#REF!</v>
      </c>
      <c r="H172" s="111" t="s">
        <v>739</v>
      </c>
      <c r="AI172" s="349"/>
      <c r="AJ172" s="349"/>
    </row>
    <row r="173" spans="1:36" s="111" customFormat="1" ht="15.75" thickBot="1" x14ac:dyDescent="0.3">
      <c r="A173" s="111" t="s">
        <v>813</v>
      </c>
      <c r="B173" s="359" t="e">
        <f>VALO_PERSO!#REF!</f>
        <v>#REF!</v>
      </c>
      <c r="C173" s="350" t="e">
        <f t="shared" ref="C173" si="6">CONCATENATE(C88," ",D88)</f>
        <v>#REF!</v>
      </c>
      <c r="D173" s="350" t="e">
        <f>VALO_PERSO!#REF!</f>
        <v>#REF!</v>
      </c>
      <c r="E173" s="350" t="e">
        <f>VALO_PERSO!#REF!</f>
        <v>#REF!</v>
      </c>
      <c r="F173" s="350" t="e">
        <f>VALO_PERSO!#REF!</f>
        <v>#REF!</v>
      </c>
      <c r="H173" s="111" t="s">
        <v>739</v>
      </c>
      <c r="AI173" s="349"/>
      <c r="AJ173" s="349"/>
    </row>
    <row r="174" spans="1:36" s="111" customFormat="1" ht="15.75" thickBot="1" x14ac:dyDescent="0.3">
      <c r="A174" s="111" t="s">
        <v>813</v>
      </c>
      <c r="B174" s="359" t="e">
        <f>VALO_PERSO!#REF!</f>
        <v>#REF!</v>
      </c>
      <c r="C174" s="350" t="e">
        <f t="shared" ref="C174" si="7">CONCATENATE(C88," ",D88)</f>
        <v>#REF!</v>
      </c>
      <c r="D174" s="350" t="e">
        <f>VALO_PERSO!#REF!</f>
        <v>#REF!</v>
      </c>
      <c r="E174" s="350" t="e">
        <f>VALO_PERSO!#REF!</f>
        <v>#REF!</v>
      </c>
      <c r="F174" s="350" t="e">
        <f>VALO_PERSO!#REF!</f>
        <v>#REF!</v>
      </c>
      <c r="H174" s="111" t="s">
        <v>739</v>
      </c>
      <c r="AI174" s="349"/>
      <c r="AJ174" s="349"/>
    </row>
    <row r="175" spans="1:36" s="111" customFormat="1" ht="15.75" thickBot="1" x14ac:dyDescent="0.3">
      <c r="A175" s="111" t="s">
        <v>813</v>
      </c>
      <c r="B175" s="359" t="e">
        <f>VALO_PERSO!#REF!</f>
        <v>#REF!</v>
      </c>
      <c r="C175" s="350" t="str">
        <f t="shared" ref="C175" si="8">CONCATENATE(C89," ",D89)</f>
        <v>CREPIN Lucie</v>
      </c>
      <c r="D175" s="350" t="e">
        <f>VALO_PERSO!#REF!</f>
        <v>#REF!</v>
      </c>
      <c r="E175" s="350" t="e">
        <f>VALO_PERSO!#REF!</f>
        <v>#REF!</v>
      </c>
      <c r="F175" s="350" t="e">
        <f>VALO_PERSO!#REF!</f>
        <v>#REF!</v>
      </c>
      <c r="H175" s="111" t="s">
        <v>739</v>
      </c>
      <c r="AI175" s="349"/>
      <c r="AJ175" s="349"/>
    </row>
    <row r="176" spans="1:36" s="111" customFormat="1" ht="15.75" thickBot="1" x14ac:dyDescent="0.3">
      <c r="A176" s="111" t="s">
        <v>813</v>
      </c>
      <c r="B176" s="359" t="e">
        <f>VALO_PERSO!#REF!</f>
        <v>#REF!</v>
      </c>
      <c r="C176" s="350" t="str">
        <f t="shared" ref="C176" si="9">CONCATENATE(C87," ",D87)</f>
        <v>AMILLASTRE Emilie</v>
      </c>
      <c r="D176" s="350" t="e">
        <f>VALO_PERSO!#REF!</f>
        <v>#REF!</v>
      </c>
      <c r="E176" s="350" t="e">
        <f>VALO_PERSO!#REF!</f>
        <v>#REF!</v>
      </c>
      <c r="F176" s="350" t="e">
        <f>VALO_PERSO!#REF!</f>
        <v>#REF!</v>
      </c>
      <c r="H176" s="111" t="s">
        <v>739</v>
      </c>
      <c r="AI176" s="349"/>
      <c r="AJ176" s="349"/>
    </row>
    <row r="177" spans="1:36" s="111" customFormat="1" ht="15.75" thickBot="1" x14ac:dyDescent="0.3">
      <c r="A177" s="111" t="s">
        <v>813</v>
      </c>
      <c r="B177" s="359" t="e">
        <f>VALO_PERSO!#REF!</f>
        <v>#REF!</v>
      </c>
      <c r="C177" s="350" t="e">
        <f t="shared" ref="C177" si="10">CONCATENATE(C88," ",D88)</f>
        <v>#REF!</v>
      </c>
      <c r="D177" s="350" t="e">
        <f>VALO_PERSO!#REF!</f>
        <v>#REF!</v>
      </c>
      <c r="E177" s="350" t="e">
        <f>VALO_PERSO!#REF!</f>
        <v>#REF!</v>
      </c>
      <c r="F177" s="350" t="e">
        <f>VALO_PERSO!#REF!</f>
        <v>#REF!</v>
      </c>
      <c r="H177" s="111" t="s">
        <v>739</v>
      </c>
      <c r="AI177" s="349"/>
      <c r="AJ177" s="349"/>
    </row>
    <row r="178" spans="1:36" s="111" customFormat="1" ht="15.75" thickBot="1" x14ac:dyDescent="0.3">
      <c r="A178" s="111" t="s">
        <v>813</v>
      </c>
      <c r="B178" s="359" t="e">
        <f>VALO_PERSO!#REF!</f>
        <v>#REF!</v>
      </c>
      <c r="C178" s="350" t="e">
        <f t="shared" ref="C178" si="11">CONCATENATE(C88," ",D88)</f>
        <v>#REF!</v>
      </c>
      <c r="D178" s="350" t="e">
        <f>VALO_PERSO!#REF!</f>
        <v>#REF!</v>
      </c>
      <c r="E178" s="350" t="e">
        <f>VALO_PERSO!#REF!</f>
        <v>#REF!</v>
      </c>
      <c r="F178" s="350" t="e">
        <f>VALO_PERSO!#REF!</f>
        <v>#REF!</v>
      </c>
      <c r="H178" s="111" t="s">
        <v>739</v>
      </c>
      <c r="AI178" s="349"/>
      <c r="AJ178" s="349"/>
    </row>
    <row r="179" spans="1:36" s="111" customFormat="1" ht="15.75" thickBot="1" x14ac:dyDescent="0.3">
      <c r="A179" s="111" t="s">
        <v>813</v>
      </c>
      <c r="B179" s="359" t="e">
        <f>VALO_PERSO!#REF!</f>
        <v>#REF!</v>
      </c>
      <c r="C179" s="350" t="str">
        <f t="shared" ref="C179" si="12">CONCATENATE(C89," ",D89)</f>
        <v>CREPIN Lucie</v>
      </c>
      <c r="D179" s="350" t="e">
        <f>VALO_PERSO!#REF!</f>
        <v>#REF!</v>
      </c>
      <c r="E179" s="350" t="e">
        <f>VALO_PERSO!#REF!</f>
        <v>#REF!</v>
      </c>
      <c r="F179" s="350" t="e">
        <f>VALO_PERSO!#REF!</f>
        <v>#REF!</v>
      </c>
      <c r="H179" s="111" t="s">
        <v>739</v>
      </c>
      <c r="AI179" s="349"/>
      <c r="AJ179" s="349"/>
    </row>
    <row r="180" spans="1:36" s="111" customFormat="1" ht="15.75" thickBot="1" x14ac:dyDescent="0.3">
      <c r="A180" s="111" t="s">
        <v>813</v>
      </c>
      <c r="B180" s="359" t="e">
        <f>VALO_PERSO!#REF!</f>
        <v>#REF!</v>
      </c>
      <c r="C180" s="350" t="str">
        <f t="shared" ref="C180" si="13">CONCATENATE(C87," ",D87)</f>
        <v>AMILLASTRE Emilie</v>
      </c>
      <c r="D180" s="350" t="e">
        <f>VALO_PERSO!#REF!</f>
        <v>#REF!</v>
      </c>
      <c r="E180" s="350" t="e">
        <f>VALO_PERSO!#REF!</f>
        <v>#REF!</v>
      </c>
      <c r="F180" s="350" t="e">
        <f>VALO_PERSO!#REF!</f>
        <v>#REF!</v>
      </c>
      <c r="H180" s="111" t="s">
        <v>739</v>
      </c>
      <c r="AI180" s="349"/>
      <c r="AJ180" s="349"/>
    </row>
    <row r="181" spans="1:36" s="111" customFormat="1" ht="15.75" thickBot="1" x14ac:dyDescent="0.3">
      <c r="A181" s="111" t="s">
        <v>813</v>
      </c>
      <c r="B181" s="359" t="e">
        <f>VALO_PERSO!#REF!</f>
        <v>#REF!</v>
      </c>
      <c r="C181" s="350" t="e">
        <f t="shared" ref="C181" si="14">CONCATENATE(C88," ",D88)</f>
        <v>#REF!</v>
      </c>
      <c r="D181" s="350" t="e">
        <f>VALO_PERSO!#REF!</f>
        <v>#REF!</v>
      </c>
      <c r="E181" s="350" t="e">
        <f>VALO_PERSO!#REF!</f>
        <v>#REF!</v>
      </c>
      <c r="F181" s="350" t="e">
        <f>VALO_PERSO!#REF!</f>
        <v>#REF!</v>
      </c>
      <c r="H181" s="111" t="s">
        <v>739</v>
      </c>
      <c r="AI181" s="349"/>
      <c r="AJ181" s="349"/>
    </row>
    <row r="182" spans="1:36" s="111" customFormat="1" ht="15.75" thickBot="1" x14ac:dyDescent="0.3">
      <c r="A182" s="111" t="s">
        <v>813</v>
      </c>
      <c r="B182" s="359" t="e">
        <f>VALO_PERSO!#REF!</f>
        <v>#REF!</v>
      </c>
      <c r="C182" s="350" t="e">
        <f t="shared" ref="C182" si="15">CONCATENATE(C88," ",D88)</f>
        <v>#REF!</v>
      </c>
      <c r="D182" s="350" t="e">
        <f>VALO_PERSO!#REF!</f>
        <v>#REF!</v>
      </c>
      <c r="E182" s="350" t="e">
        <f>VALO_PERSO!#REF!</f>
        <v>#REF!</v>
      </c>
      <c r="F182" s="350" t="e">
        <f>VALO_PERSO!#REF!</f>
        <v>#REF!</v>
      </c>
      <c r="H182" s="111" t="s">
        <v>739</v>
      </c>
      <c r="AI182" s="349"/>
      <c r="AJ182" s="349"/>
    </row>
    <row r="183" spans="1:36" s="111" customFormat="1" ht="15.75" thickBot="1" x14ac:dyDescent="0.3">
      <c r="A183" s="111" t="s">
        <v>813</v>
      </c>
      <c r="B183" s="359" t="e">
        <f>VALO_PERSO!#REF!</f>
        <v>#REF!</v>
      </c>
      <c r="C183" s="350" t="str">
        <f t="shared" ref="C183" si="16">CONCATENATE(C89," ",D89)</f>
        <v>CREPIN Lucie</v>
      </c>
      <c r="D183" s="350" t="e">
        <f>VALO_PERSO!#REF!</f>
        <v>#REF!</v>
      </c>
      <c r="E183" s="350" t="e">
        <f>VALO_PERSO!#REF!</f>
        <v>#REF!</v>
      </c>
      <c r="F183" s="350" t="e">
        <f>VALO_PERSO!#REF!</f>
        <v>#REF!</v>
      </c>
      <c r="H183" s="111" t="s">
        <v>739</v>
      </c>
      <c r="AI183" s="349"/>
      <c r="AJ183" s="349"/>
    </row>
    <row r="184" spans="1:36" s="111" customFormat="1" ht="15.75" thickBot="1" x14ac:dyDescent="0.3">
      <c r="A184" s="111" t="s">
        <v>813</v>
      </c>
      <c r="B184" s="359" t="e">
        <f>VALO_PERSO!#REF!</f>
        <v>#REF!</v>
      </c>
      <c r="C184" s="350" t="str">
        <f t="shared" ref="C184" si="17">CONCATENATE(C87," ",D87)</f>
        <v>AMILLASTRE Emilie</v>
      </c>
      <c r="D184" s="350" t="e">
        <f>VALO_PERSO!#REF!</f>
        <v>#REF!</v>
      </c>
      <c r="E184" s="350" t="e">
        <f>VALO_PERSO!#REF!</f>
        <v>#REF!</v>
      </c>
      <c r="F184" s="350" t="e">
        <f>VALO_PERSO!#REF!</f>
        <v>#REF!</v>
      </c>
      <c r="H184" s="111" t="s">
        <v>739</v>
      </c>
      <c r="AI184" s="349"/>
      <c r="AJ184" s="349"/>
    </row>
    <row r="185" spans="1:36" s="111" customFormat="1" ht="15.75" thickBot="1" x14ac:dyDescent="0.3">
      <c r="A185" s="111" t="s">
        <v>813</v>
      </c>
      <c r="B185" s="359" t="e">
        <f>VALO_PERSO!#REF!</f>
        <v>#REF!</v>
      </c>
      <c r="C185" s="350" t="e">
        <f t="shared" ref="C185" si="18">CONCATENATE(C88," ",D88)</f>
        <v>#REF!</v>
      </c>
      <c r="D185" s="350" t="e">
        <f>VALO_PERSO!#REF!</f>
        <v>#REF!</v>
      </c>
      <c r="E185" s="350" t="e">
        <f>VALO_PERSO!#REF!</f>
        <v>#REF!</v>
      </c>
      <c r="F185" s="350" t="e">
        <f>VALO_PERSO!#REF!</f>
        <v>#REF!</v>
      </c>
      <c r="H185" s="111" t="s">
        <v>739</v>
      </c>
      <c r="AI185" s="349"/>
      <c r="AJ185" s="349"/>
    </row>
    <row r="186" spans="1:36" s="111" customFormat="1" ht="15.75" thickBot="1" x14ac:dyDescent="0.3">
      <c r="A186" s="111" t="s">
        <v>813</v>
      </c>
      <c r="B186" s="359" t="e">
        <f>VALO_PERSO!#REF!</f>
        <v>#REF!</v>
      </c>
      <c r="C186" s="350" t="e">
        <f t="shared" ref="C186" si="19">CONCATENATE(C88," ",D88)</f>
        <v>#REF!</v>
      </c>
      <c r="D186" s="350" t="e">
        <f>VALO_PERSO!#REF!</f>
        <v>#REF!</v>
      </c>
      <c r="E186" s="350" t="e">
        <f>VALO_PERSO!#REF!</f>
        <v>#REF!</v>
      </c>
      <c r="F186" s="350" t="e">
        <f>VALO_PERSO!#REF!</f>
        <v>#REF!</v>
      </c>
      <c r="H186" s="111" t="s">
        <v>739</v>
      </c>
      <c r="AI186" s="349"/>
      <c r="AJ186" s="349"/>
    </row>
    <row r="187" spans="1:36" s="111" customFormat="1" ht="15.75" thickBot="1" x14ac:dyDescent="0.3">
      <c r="A187" s="111" t="s">
        <v>813</v>
      </c>
      <c r="B187" s="359" t="e">
        <f>VALO_PERSO!#REF!</f>
        <v>#REF!</v>
      </c>
      <c r="C187" s="350" t="str">
        <f t="shared" ref="C187" si="20">CONCATENATE(C89," ",D89)</f>
        <v>CREPIN Lucie</v>
      </c>
      <c r="D187" s="350" t="e">
        <f>VALO_PERSO!#REF!</f>
        <v>#REF!</v>
      </c>
      <c r="E187" s="350" t="e">
        <f>VALO_PERSO!#REF!</f>
        <v>#REF!</v>
      </c>
      <c r="F187" s="350" t="e">
        <f>VALO_PERSO!#REF!</f>
        <v>#REF!</v>
      </c>
      <c r="H187" s="111" t="s">
        <v>739</v>
      </c>
      <c r="AI187" s="349"/>
      <c r="AJ187" s="349"/>
    </row>
    <row r="188" spans="1:36" s="111" customFormat="1" ht="15.75" thickBot="1" x14ac:dyDescent="0.3">
      <c r="A188" s="111" t="s">
        <v>813</v>
      </c>
      <c r="B188" s="359" t="e">
        <f>VALO_PERSO!#REF!</f>
        <v>#REF!</v>
      </c>
      <c r="C188" s="350" t="str">
        <f t="shared" ref="C188" si="21">CONCATENATE(C87," ",D87)</f>
        <v>AMILLASTRE Emilie</v>
      </c>
      <c r="D188" s="350" t="e">
        <f>VALO_PERSO!#REF!</f>
        <v>#REF!</v>
      </c>
      <c r="E188" s="350" t="e">
        <f>VALO_PERSO!#REF!</f>
        <v>#REF!</v>
      </c>
      <c r="F188" s="350" t="e">
        <f>VALO_PERSO!#REF!</f>
        <v>#REF!</v>
      </c>
      <c r="H188" s="111" t="s">
        <v>739</v>
      </c>
      <c r="AI188" s="349"/>
      <c r="AJ188" s="349"/>
    </row>
    <row r="189" spans="1:36" s="111" customFormat="1" ht="15.75" thickBot="1" x14ac:dyDescent="0.3">
      <c r="A189" s="111" t="s">
        <v>813</v>
      </c>
      <c r="B189" s="359" t="e">
        <f>VALO_PERSO!#REF!</f>
        <v>#REF!</v>
      </c>
      <c r="C189" s="350" t="e">
        <f t="shared" ref="C189" si="22">CONCATENATE(C88," ",D88)</f>
        <v>#REF!</v>
      </c>
      <c r="D189" s="350" t="e">
        <f>VALO_PERSO!#REF!</f>
        <v>#REF!</v>
      </c>
      <c r="E189" s="350" t="e">
        <f>VALO_PERSO!#REF!</f>
        <v>#REF!</v>
      </c>
      <c r="F189" s="350" t="e">
        <f>VALO_PERSO!#REF!</f>
        <v>#REF!</v>
      </c>
      <c r="H189" s="111" t="s">
        <v>739</v>
      </c>
      <c r="AI189" s="349"/>
      <c r="AJ189" s="349"/>
    </row>
    <row r="190" spans="1:36" s="111" customFormat="1" ht="15.75" thickBot="1" x14ac:dyDescent="0.3">
      <c r="A190" s="111" t="s">
        <v>813</v>
      </c>
      <c r="B190" s="359" t="e">
        <f>VALO_PERSO!#REF!</f>
        <v>#REF!</v>
      </c>
      <c r="C190" s="350" t="e">
        <f t="shared" ref="C190" si="23">CONCATENATE(C88," ",D88)</f>
        <v>#REF!</v>
      </c>
      <c r="D190" s="350" t="e">
        <f>VALO_PERSO!#REF!</f>
        <v>#REF!</v>
      </c>
      <c r="E190" s="350" t="e">
        <f>VALO_PERSO!#REF!</f>
        <v>#REF!</v>
      </c>
      <c r="F190" s="350" t="e">
        <f>VALO_PERSO!#REF!</f>
        <v>#REF!</v>
      </c>
      <c r="H190" s="111" t="s">
        <v>739</v>
      </c>
      <c r="AI190" s="349"/>
      <c r="AJ190" s="349"/>
    </row>
    <row r="191" spans="1:36" s="111" customFormat="1" ht="15.75" thickBot="1" x14ac:dyDescent="0.3">
      <c r="A191" s="111" t="s">
        <v>813</v>
      </c>
      <c r="B191" s="359" t="e">
        <f>VALO_PERSO!#REF!</f>
        <v>#REF!</v>
      </c>
      <c r="C191" s="350" t="str">
        <f t="shared" ref="C191" si="24">CONCATENATE(C89," ",D89)</f>
        <v>CREPIN Lucie</v>
      </c>
      <c r="D191" s="350" t="e">
        <f>VALO_PERSO!#REF!</f>
        <v>#REF!</v>
      </c>
      <c r="E191" s="350" t="e">
        <f>VALO_PERSO!#REF!</f>
        <v>#REF!</v>
      </c>
      <c r="F191" s="350" t="e">
        <f>VALO_PERSO!#REF!</f>
        <v>#REF!</v>
      </c>
      <c r="H191" s="111" t="s">
        <v>739</v>
      </c>
      <c r="AI191" s="349"/>
      <c r="AJ191" s="349"/>
    </row>
    <row r="192" spans="1:36" s="111" customFormat="1" ht="15.75" thickBot="1" x14ac:dyDescent="0.3">
      <c r="A192" s="111" t="s">
        <v>813</v>
      </c>
      <c r="B192" s="359" t="e">
        <f>VALO_PERSO!#REF!</f>
        <v>#REF!</v>
      </c>
      <c r="C192" s="350" t="str">
        <f t="shared" ref="C192" si="25">CONCATENATE(C87," ",D87)</f>
        <v>AMILLASTRE Emilie</v>
      </c>
      <c r="D192" s="350" t="e">
        <f>VALO_PERSO!#REF!</f>
        <v>#REF!</v>
      </c>
      <c r="E192" s="350" t="e">
        <f>VALO_PERSO!#REF!</f>
        <v>#REF!</v>
      </c>
      <c r="F192" s="350" t="e">
        <f>VALO_PERSO!#REF!</f>
        <v>#REF!</v>
      </c>
      <c r="H192" s="111" t="s">
        <v>739</v>
      </c>
      <c r="AI192" s="349"/>
      <c r="AJ192" s="349"/>
    </row>
    <row r="193" spans="1:36" s="111" customFormat="1" ht="15.75" thickBot="1" x14ac:dyDescent="0.3">
      <c r="A193" s="111" t="s">
        <v>813</v>
      </c>
      <c r="B193" s="359" t="e">
        <f>VALO_PERSO!#REF!</f>
        <v>#REF!</v>
      </c>
      <c r="C193" s="350" t="e">
        <f t="shared" ref="C193" si="26">CONCATENATE(C88," ",D88)</f>
        <v>#REF!</v>
      </c>
      <c r="D193" s="350" t="e">
        <f>VALO_PERSO!#REF!</f>
        <v>#REF!</v>
      </c>
      <c r="E193" s="350" t="e">
        <f>VALO_PERSO!#REF!</f>
        <v>#REF!</v>
      </c>
      <c r="F193" s="350" t="e">
        <f>VALO_PERSO!#REF!</f>
        <v>#REF!</v>
      </c>
      <c r="H193" s="111" t="s">
        <v>739</v>
      </c>
      <c r="AI193" s="349"/>
      <c r="AJ193" s="349"/>
    </row>
    <row r="194" spans="1:36" s="111" customFormat="1" ht="15.75" thickBot="1" x14ac:dyDescent="0.3">
      <c r="A194" s="111" t="s">
        <v>813</v>
      </c>
      <c r="B194" s="359" t="e">
        <f>VALO_PERSO!#REF!</f>
        <v>#REF!</v>
      </c>
      <c r="C194" s="350" t="e">
        <f t="shared" ref="C194" si="27">CONCATENATE(C88," ",D88)</f>
        <v>#REF!</v>
      </c>
      <c r="D194" s="350" t="e">
        <f>VALO_PERSO!#REF!</f>
        <v>#REF!</v>
      </c>
      <c r="E194" s="350" t="e">
        <f>VALO_PERSO!#REF!</f>
        <v>#REF!</v>
      </c>
      <c r="F194" s="350" t="e">
        <f>VALO_PERSO!#REF!</f>
        <v>#REF!</v>
      </c>
      <c r="H194" s="111" t="s">
        <v>739</v>
      </c>
      <c r="AI194" s="349"/>
      <c r="AJ194" s="349"/>
    </row>
    <row r="195" spans="1:36" s="111" customFormat="1" ht="15.75" thickBot="1" x14ac:dyDescent="0.3">
      <c r="A195" s="111" t="s">
        <v>813</v>
      </c>
      <c r="B195" s="359" t="e">
        <f>VALO_PERSO!#REF!</f>
        <v>#REF!</v>
      </c>
      <c r="C195" s="350" t="str">
        <f t="shared" ref="C195" si="28">CONCATENATE(C89," ",D89)</f>
        <v>CREPIN Lucie</v>
      </c>
      <c r="D195" s="350" t="e">
        <f>VALO_PERSO!#REF!</f>
        <v>#REF!</v>
      </c>
      <c r="E195" s="350" t="e">
        <f>VALO_PERSO!#REF!</f>
        <v>#REF!</v>
      </c>
      <c r="F195" s="350" t="e">
        <f>VALO_PERSO!#REF!</f>
        <v>#REF!</v>
      </c>
      <c r="H195" s="111" t="s">
        <v>739</v>
      </c>
      <c r="AI195" s="349"/>
      <c r="AJ195" s="349"/>
    </row>
    <row r="196" spans="1:36" s="111" customFormat="1" ht="15.75" thickBot="1" x14ac:dyDescent="0.3">
      <c r="A196" s="111" t="s">
        <v>813</v>
      </c>
      <c r="B196" s="359" t="e">
        <f>VALO_PERSO!#REF!</f>
        <v>#REF!</v>
      </c>
      <c r="C196" s="350" t="str">
        <f t="shared" ref="C196" si="29">CONCATENATE(C87," ",D87)</f>
        <v>AMILLASTRE Emilie</v>
      </c>
      <c r="D196" s="350" t="e">
        <f>VALO_PERSO!#REF!</f>
        <v>#REF!</v>
      </c>
      <c r="E196" s="350" t="e">
        <f>VALO_PERSO!#REF!</f>
        <v>#REF!</v>
      </c>
      <c r="F196" s="350" t="e">
        <f>VALO_PERSO!#REF!</f>
        <v>#REF!</v>
      </c>
      <c r="H196" s="111" t="s">
        <v>739</v>
      </c>
      <c r="AI196" s="349"/>
      <c r="AJ196" s="349"/>
    </row>
    <row r="197" spans="1:36" s="111" customFormat="1" ht="15.75" thickBot="1" x14ac:dyDescent="0.3">
      <c r="A197" s="111" t="s">
        <v>813</v>
      </c>
      <c r="B197" s="359" t="e">
        <f>VALO_PERSO!#REF!</f>
        <v>#REF!</v>
      </c>
      <c r="C197" s="350" t="e">
        <f t="shared" ref="C197" si="30">CONCATENATE(C88," ",D88)</f>
        <v>#REF!</v>
      </c>
      <c r="D197" s="350" t="e">
        <f>VALO_PERSO!#REF!</f>
        <v>#REF!</v>
      </c>
      <c r="E197" s="350" t="e">
        <f>VALO_PERSO!#REF!</f>
        <v>#REF!</v>
      </c>
      <c r="F197" s="350" t="e">
        <f>VALO_PERSO!#REF!</f>
        <v>#REF!</v>
      </c>
      <c r="H197" s="111" t="s">
        <v>739</v>
      </c>
      <c r="AI197" s="349"/>
      <c r="AJ197" s="349"/>
    </row>
    <row r="198" spans="1:36" s="111" customFormat="1" ht="15.75" thickBot="1" x14ac:dyDescent="0.3">
      <c r="A198" s="111" t="s">
        <v>813</v>
      </c>
      <c r="B198" s="359" t="e">
        <f>VALO_PERSO!#REF!</f>
        <v>#REF!</v>
      </c>
      <c r="C198" s="350" t="e">
        <f t="shared" ref="C198" si="31">CONCATENATE(C88," ",D88)</f>
        <v>#REF!</v>
      </c>
      <c r="D198" s="350" t="e">
        <f>VALO_PERSO!#REF!</f>
        <v>#REF!</v>
      </c>
      <c r="E198" s="350" t="e">
        <f>VALO_PERSO!#REF!</f>
        <v>#REF!</v>
      </c>
      <c r="F198" s="350" t="e">
        <f>VALO_PERSO!#REF!</f>
        <v>#REF!</v>
      </c>
      <c r="H198" s="111" t="s">
        <v>739</v>
      </c>
      <c r="AI198" s="349"/>
      <c r="AJ198" s="349"/>
    </row>
    <row r="199" spans="1:36" s="111" customFormat="1" ht="15.75" thickBot="1" x14ac:dyDescent="0.3">
      <c r="A199" s="111" t="s">
        <v>813</v>
      </c>
      <c r="B199" s="359" t="e">
        <f>VALO_PERSO!#REF!</f>
        <v>#REF!</v>
      </c>
      <c r="C199" s="350" t="str">
        <f t="shared" ref="C199" si="32">CONCATENATE(C89," ",D89)</f>
        <v>CREPIN Lucie</v>
      </c>
      <c r="D199" s="350" t="e">
        <f>VALO_PERSO!#REF!</f>
        <v>#REF!</v>
      </c>
      <c r="E199" s="350" t="e">
        <f>VALO_PERSO!#REF!</f>
        <v>#REF!</v>
      </c>
      <c r="F199" s="350" t="e">
        <f>VALO_PERSO!#REF!</f>
        <v>#REF!</v>
      </c>
      <c r="H199" s="111" t="s">
        <v>739</v>
      </c>
      <c r="AI199" s="349"/>
      <c r="AJ199" s="349"/>
    </row>
    <row r="200" spans="1:36" s="111" customFormat="1" ht="15.75" thickBot="1" x14ac:dyDescent="0.3">
      <c r="A200" s="111" t="s">
        <v>813</v>
      </c>
      <c r="B200" s="359" t="e">
        <f>VALO_PERSO!#REF!</f>
        <v>#REF!</v>
      </c>
      <c r="C200" s="350" t="str">
        <f t="shared" ref="C200" si="33">CONCATENATE(C87," ",D87)</f>
        <v>AMILLASTRE Emilie</v>
      </c>
      <c r="D200" s="350" t="e">
        <f>VALO_PERSO!#REF!</f>
        <v>#REF!</v>
      </c>
      <c r="E200" s="350" t="e">
        <f>VALO_PERSO!#REF!</f>
        <v>#REF!</v>
      </c>
      <c r="F200" s="350" t="e">
        <f>VALO_PERSO!#REF!</f>
        <v>#REF!</v>
      </c>
      <c r="H200" s="111" t="s">
        <v>739</v>
      </c>
      <c r="AI200" s="349"/>
      <c r="AJ200" s="349"/>
    </row>
    <row r="201" spans="1:36" s="111" customFormat="1" ht="15.75" thickBot="1" x14ac:dyDescent="0.3">
      <c r="A201" s="111" t="s">
        <v>813</v>
      </c>
      <c r="B201" s="359" t="e">
        <f>VALO_PERSO!#REF!</f>
        <v>#REF!</v>
      </c>
      <c r="C201" s="350" t="e">
        <f t="shared" ref="C201" si="34">CONCATENATE(C88," ",D88)</f>
        <v>#REF!</v>
      </c>
      <c r="D201" s="350" t="e">
        <f>VALO_PERSO!#REF!</f>
        <v>#REF!</v>
      </c>
      <c r="E201" s="350" t="e">
        <f>VALO_PERSO!#REF!</f>
        <v>#REF!</v>
      </c>
      <c r="F201" s="350" t="e">
        <f>VALO_PERSO!#REF!</f>
        <v>#REF!</v>
      </c>
      <c r="H201" s="111" t="s">
        <v>739</v>
      </c>
      <c r="AI201" s="349"/>
      <c r="AJ201" s="349"/>
    </row>
    <row r="202" spans="1:36" s="111" customFormat="1" ht="15.75" thickBot="1" x14ac:dyDescent="0.3">
      <c r="A202" s="111" t="s">
        <v>813</v>
      </c>
      <c r="B202" s="359" t="e">
        <f>VALO_PERSO!#REF!</f>
        <v>#REF!</v>
      </c>
      <c r="C202" s="350" t="e">
        <f t="shared" ref="C202" si="35">CONCATENATE(C88," ",D88)</f>
        <v>#REF!</v>
      </c>
      <c r="D202" s="350" t="e">
        <f>VALO_PERSO!#REF!</f>
        <v>#REF!</v>
      </c>
      <c r="E202" s="350" t="e">
        <f>VALO_PERSO!#REF!</f>
        <v>#REF!</v>
      </c>
      <c r="F202" s="350" t="e">
        <f>VALO_PERSO!#REF!</f>
        <v>#REF!</v>
      </c>
      <c r="H202" s="111" t="s">
        <v>739</v>
      </c>
      <c r="AI202" s="349"/>
      <c r="AJ202" s="349"/>
    </row>
    <row r="203" spans="1:36" s="111" customFormat="1" ht="15.75" thickBot="1" x14ac:dyDescent="0.3">
      <c r="A203" s="111" t="s">
        <v>813</v>
      </c>
      <c r="B203" s="359" t="e">
        <f>VALO_PERSO!#REF!</f>
        <v>#REF!</v>
      </c>
      <c r="C203" s="350" t="str">
        <f t="shared" ref="C203" si="36">CONCATENATE(C89," ",D89)</f>
        <v>CREPIN Lucie</v>
      </c>
      <c r="D203" s="350" t="e">
        <f>VALO_PERSO!#REF!</f>
        <v>#REF!</v>
      </c>
      <c r="E203" s="350" t="e">
        <f>VALO_PERSO!#REF!</f>
        <v>#REF!</v>
      </c>
      <c r="F203" s="350" t="e">
        <f>VALO_PERSO!#REF!</f>
        <v>#REF!</v>
      </c>
      <c r="H203" s="111" t="s">
        <v>739</v>
      </c>
      <c r="AI203" s="349"/>
      <c r="AJ203" s="349"/>
    </row>
    <row r="204" spans="1:36" s="111" customFormat="1" ht="15.75" thickBot="1" x14ac:dyDescent="0.3">
      <c r="A204" s="111" t="s">
        <v>813</v>
      </c>
      <c r="B204" s="359" t="e">
        <f>VALO_PERSO!#REF!</f>
        <v>#REF!</v>
      </c>
      <c r="C204" s="350" t="str">
        <f t="shared" ref="C204" si="37">CONCATENATE(C87," ",D87)</f>
        <v>AMILLASTRE Emilie</v>
      </c>
      <c r="D204" s="350" t="e">
        <f>VALO_PERSO!#REF!</f>
        <v>#REF!</v>
      </c>
      <c r="E204" s="350" t="e">
        <f>VALO_PERSO!#REF!</f>
        <v>#REF!</v>
      </c>
      <c r="F204" s="350" t="e">
        <f>VALO_PERSO!#REF!</f>
        <v>#REF!</v>
      </c>
      <c r="H204" s="111" t="s">
        <v>739</v>
      </c>
      <c r="AI204" s="349"/>
      <c r="AJ204" s="349"/>
    </row>
    <row r="205" spans="1:36" s="111" customFormat="1" ht="15.75" thickBot="1" x14ac:dyDescent="0.3">
      <c r="A205" s="111" t="s">
        <v>813</v>
      </c>
      <c r="B205" s="359" t="e">
        <f>VALO_PERSO!#REF!</f>
        <v>#REF!</v>
      </c>
      <c r="C205" s="350" t="e">
        <f t="shared" ref="C205" si="38">CONCATENATE(C88," ",D88)</f>
        <v>#REF!</v>
      </c>
      <c r="D205" s="350" t="e">
        <f>VALO_PERSO!#REF!</f>
        <v>#REF!</v>
      </c>
      <c r="E205" s="350" t="e">
        <f>VALO_PERSO!#REF!</f>
        <v>#REF!</v>
      </c>
      <c r="F205" s="350" t="e">
        <f>VALO_PERSO!#REF!</f>
        <v>#REF!</v>
      </c>
      <c r="H205" s="111" t="s">
        <v>739</v>
      </c>
      <c r="AI205" s="349"/>
      <c r="AJ205" s="349"/>
    </row>
    <row r="206" spans="1:36" s="111" customFormat="1" ht="15.75" thickBot="1" x14ac:dyDescent="0.3">
      <c r="A206" s="111" t="s">
        <v>813</v>
      </c>
      <c r="B206" s="359" t="e">
        <f>VALO_PERSO!#REF!</f>
        <v>#REF!</v>
      </c>
      <c r="C206" s="350" t="e">
        <f t="shared" ref="C206" si="39">CONCATENATE(C88," ",D88)</f>
        <v>#REF!</v>
      </c>
      <c r="D206" s="350" t="e">
        <f>VALO_PERSO!#REF!</f>
        <v>#REF!</v>
      </c>
      <c r="E206" s="350" t="e">
        <f>VALO_PERSO!#REF!</f>
        <v>#REF!</v>
      </c>
      <c r="F206" s="350" t="e">
        <f>VALO_PERSO!#REF!</f>
        <v>#REF!</v>
      </c>
      <c r="H206" s="111" t="s">
        <v>739</v>
      </c>
      <c r="AI206" s="349"/>
      <c r="AJ206" s="349"/>
    </row>
    <row r="207" spans="1:36" s="111" customFormat="1" ht="15.75" thickBot="1" x14ac:dyDescent="0.3">
      <c r="A207" s="111" t="s">
        <v>813</v>
      </c>
      <c r="B207" s="359" t="e">
        <f>VALO_PERSO!#REF!</f>
        <v>#REF!</v>
      </c>
      <c r="C207" s="350" t="str">
        <f t="shared" ref="C207" si="40">CONCATENATE(C89," ",D89)</f>
        <v>CREPIN Lucie</v>
      </c>
      <c r="D207" s="350" t="e">
        <f>VALO_PERSO!#REF!</f>
        <v>#REF!</v>
      </c>
      <c r="E207" s="350" t="e">
        <f>VALO_PERSO!#REF!</f>
        <v>#REF!</v>
      </c>
      <c r="F207" s="350" t="e">
        <f>VALO_PERSO!#REF!</f>
        <v>#REF!</v>
      </c>
      <c r="H207" s="111" t="s">
        <v>739</v>
      </c>
      <c r="AI207" s="349"/>
      <c r="AJ207" s="349"/>
    </row>
    <row r="208" spans="1:36" s="111" customFormat="1" ht="15.75" thickBot="1" x14ac:dyDescent="0.3">
      <c r="A208" s="111" t="s">
        <v>813</v>
      </c>
      <c r="B208" s="359" t="e">
        <f>VALO_PERSO!#REF!</f>
        <v>#REF!</v>
      </c>
      <c r="C208" s="350" t="str">
        <f t="shared" ref="C208" si="41">CONCATENATE(C87," ",D87)</f>
        <v>AMILLASTRE Emilie</v>
      </c>
      <c r="D208" s="350" t="e">
        <f>VALO_PERSO!#REF!</f>
        <v>#REF!</v>
      </c>
      <c r="E208" s="350" t="e">
        <f>VALO_PERSO!#REF!</f>
        <v>#REF!</v>
      </c>
      <c r="F208" s="350" t="e">
        <f>VALO_PERSO!#REF!</f>
        <v>#REF!</v>
      </c>
      <c r="H208" s="111" t="s">
        <v>739</v>
      </c>
      <c r="AI208" s="349"/>
      <c r="AJ208" s="349"/>
    </row>
    <row r="209" spans="1:36" s="111" customFormat="1" ht="15.75" thickBot="1" x14ac:dyDescent="0.3">
      <c r="A209" s="111" t="s">
        <v>813</v>
      </c>
      <c r="B209" s="359" t="e">
        <f>VALO_PERSO!#REF!</f>
        <v>#REF!</v>
      </c>
      <c r="C209" s="350" t="e">
        <f t="shared" ref="C209" si="42">CONCATENATE(C88," ",D88)</f>
        <v>#REF!</v>
      </c>
      <c r="D209" s="350" t="e">
        <f>VALO_PERSO!#REF!</f>
        <v>#REF!</v>
      </c>
      <c r="E209" s="350" t="e">
        <f>VALO_PERSO!#REF!</f>
        <v>#REF!</v>
      </c>
      <c r="F209" s="350" t="e">
        <f>VALO_PERSO!#REF!</f>
        <v>#REF!</v>
      </c>
      <c r="H209" s="111" t="s">
        <v>739</v>
      </c>
      <c r="AI209" s="349"/>
      <c r="AJ209" s="349"/>
    </row>
    <row r="210" spans="1:36" s="111" customFormat="1" ht="15.75" thickBot="1" x14ac:dyDescent="0.3">
      <c r="A210" s="111" t="s">
        <v>813</v>
      </c>
      <c r="B210" s="359" t="e">
        <f>VALO_PERSO!#REF!</f>
        <v>#REF!</v>
      </c>
      <c r="C210" s="350" t="e">
        <f t="shared" ref="C210" si="43">CONCATENATE(C88," ",D88)</f>
        <v>#REF!</v>
      </c>
      <c r="D210" s="350" t="e">
        <f>VALO_PERSO!#REF!</f>
        <v>#REF!</v>
      </c>
      <c r="E210" s="350" t="e">
        <f>VALO_PERSO!#REF!</f>
        <v>#REF!</v>
      </c>
      <c r="F210" s="350" t="e">
        <f>VALO_PERSO!#REF!</f>
        <v>#REF!</v>
      </c>
      <c r="H210" s="111" t="s">
        <v>739</v>
      </c>
      <c r="AI210" s="349"/>
      <c r="AJ210" s="349"/>
    </row>
    <row r="211" spans="1:36" s="111" customFormat="1" ht="15.75" thickBot="1" x14ac:dyDescent="0.3">
      <c r="A211" s="111" t="s">
        <v>813</v>
      </c>
      <c r="B211" s="359" t="e">
        <f>VALO_PERSO!#REF!</f>
        <v>#REF!</v>
      </c>
      <c r="C211" s="350" t="str">
        <f t="shared" ref="C211" si="44">CONCATENATE(C89," ",D89)</f>
        <v>CREPIN Lucie</v>
      </c>
      <c r="D211" s="350" t="e">
        <f>VALO_PERSO!#REF!</f>
        <v>#REF!</v>
      </c>
      <c r="E211" s="350" t="e">
        <f>VALO_PERSO!#REF!</f>
        <v>#REF!</v>
      </c>
      <c r="F211" s="350" t="e">
        <f>VALO_PERSO!#REF!</f>
        <v>#REF!</v>
      </c>
      <c r="H211" s="111" t="s">
        <v>739</v>
      </c>
      <c r="AI211" s="349"/>
      <c r="AJ211" s="349"/>
    </row>
    <row r="212" spans="1:36" s="111" customFormat="1" ht="15.75" thickBot="1" x14ac:dyDescent="0.3">
      <c r="B212" s="359">
        <f>VALO_PERSO!F6</f>
        <v>1</v>
      </c>
      <c r="C212" s="350" t="str">
        <f t="shared" ref="C212:C225" si="45">CONCATENATE(C87," ",D87)</f>
        <v>AMILLASTRE Emilie</v>
      </c>
      <c r="D212" s="350" t="str">
        <f>VALO_PERSO!I6</f>
        <v>Experte Bioprocédés</v>
      </c>
      <c r="E212" s="350">
        <f>VALO_PERSO!Y6</f>
        <v>296.40000000000009</v>
      </c>
      <c r="F212" s="350">
        <f>VALO_PERSO!AS6</f>
        <v>15165.505535055354</v>
      </c>
      <c r="H212" s="111" t="s">
        <v>740</v>
      </c>
      <c r="AI212" s="349"/>
      <c r="AJ212" s="349"/>
    </row>
    <row r="213" spans="1:36" s="111" customFormat="1" ht="15.75" thickBot="1" x14ac:dyDescent="0.3">
      <c r="B213" s="359" t="e">
        <f>VALO_PERSO!#REF!</f>
        <v>#REF!</v>
      </c>
      <c r="C213" s="350" t="e">
        <f t="shared" si="45"/>
        <v>#REF!</v>
      </c>
      <c r="D213" s="350" t="e">
        <f>VALO_PERSO!#REF!</f>
        <v>#REF!</v>
      </c>
      <c r="E213" s="350" t="e">
        <f>VALO_PERSO!#REF!</f>
        <v>#REF!</v>
      </c>
      <c r="F213" s="350" t="e">
        <f>VALO_PERSO!#REF!</f>
        <v>#REF!</v>
      </c>
    </row>
    <row r="214" spans="1:36" s="111" customFormat="1" ht="15.75" thickBot="1" x14ac:dyDescent="0.3">
      <c r="B214" s="359">
        <f>VALO_PERSO!F7</f>
        <v>4</v>
      </c>
      <c r="C214" s="350" t="str">
        <f t="shared" si="45"/>
        <v>CREPIN Lucie</v>
      </c>
      <c r="D214" s="350" t="str">
        <f>VALO_PERSO!I7</f>
        <v>Lead Scientist</v>
      </c>
      <c r="E214" s="350">
        <f>VALO_PERSO!Y7</f>
        <v>665.00000000000148</v>
      </c>
      <c r="F214" s="350">
        <f>VALO_PERSO!AS7</f>
        <v>38245.61236336366</v>
      </c>
    </row>
    <row r="215" spans="1:36" s="111" customFormat="1" ht="15.75" thickBot="1" x14ac:dyDescent="0.3">
      <c r="B215" s="359">
        <f>VALO_PERSO!F8</f>
        <v>5</v>
      </c>
      <c r="C215" s="350" t="str">
        <f t="shared" si="45"/>
        <v>BOISSONNAT Guillaume</v>
      </c>
      <c r="D215" s="350" t="str">
        <f>VALO_PERSO!I8</f>
        <v>Ingénieur Recherche</v>
      </c>
      <c r="E215" s="350">
        <f>VALO_PERSO!Y8</f>
        <v>81.448499999999967</v>
      </c>
      <c r="F215" s="350">
        <f>VALO_PERSO!AS8</f>
        <v>9670.3084999999955</v>
      </c>
    </row>
    <row r="216" spans="1:36" s="111" customFormat="1" ht="15.75" thickBot="1" x14ac:dyDescent="0.3">
      <c r="B216" s="359">
        <f>VALO_PERSO!F9</f>
        <v>6</v>
      </c>
      <c r="C216" s="350" t="str">
        <f t="shared" si="45"/>
        <v>COTTET Kevin</v>
      </c>
      <c r="D216" s="350" t="str">
        <f>VALO_PERSO!I9</f>
        <v>Lead Scientist</v>
      </c>
      <c r="E216" s="350">
        <f>VALO_PERSO!Y9</f>
        <v>0</v>
      </c>
      <c r="F216" s="350">
        <f>VALO_PERSO!AS9</f>
        <v>0</v>
      </c>
    </row>
    <row r="217" spans="1:36" s="111" customFormat="1" ht="15.75" thickBot="1" x14ac:dyDescent="0.3">
      <c r="B217" s="359">
        <f>VALO_PERSO!F10</f>
        <v>7</v>
      </c>
      <c r="C217" s="350" t="str">
        <f t="shared" si="45"/>
        <v>BLANCHARD-SLOOTMAN Vincent</v>
      </c>
      <c r="D217" s="350" t="str">
        <f>VALO_PERSO!I10</f>
        <v>Ingénieur de Recherche</v>
      </c>
      <c r="E217" s="350">
        <f>VALO_PERSO!Y10</f>
        <v>0</v>
      </c>
      <c r="F217" s="350">
        <f>VALO_PERSO!AS10</f>
        <v>0</v>
      </c>
    </row>
    <row r="218" spans="1:36" s="111" customFormat="1" ht="15.75" thickBot="1" x14ac:dyDescent="0.3">
      <c r="B218" s="359">
        <f>VALO_PERSO!F11</f>
        <v>8</v>
      </c>
      <c r="C218" s="350" t="str">
        <f t="shared" si="45"/>
        <v>GOMES-DA-CRUZ Filipe</v>
      </c>
      <c r="D218" s="350" t="str">
        <f>VALO_PERSO!I11</f>
        <v>Ingénieur de Recherche</v>
      </c>
      <c r="E218" s="350">
        <f>VALO_PERSO!Y11</f>
        <v>0</v>
      </c>
      <c r="F218" s="350">
        <f>VALO_PERSO!AS11</f>
        <v>0</v>
      </c>
    </row>
    <row r="219" spans="1:36" s="111" customFormat="1" ht="15.75" thickBot="1" x14ac:dyDescent="0.3">
      <c r="B219" s="359">
        <f>VALO_PERSO!F12</f>
        <v>11</v>
      </c>
      <c r="C219" s="350" t="str">
        <f t="shared" si="45"/>
        <v>BAYLAC Audrey</v>
      </c>
      <c r="D219" s="350" t="str">
        <f>VALO_PERSO!I12</f>
        <v>Ingénieur</v>
      </c>
      <c r="E219" s="350">
        <f>VALO_PERSO!Y12</f>
        <v>15.2</v>
      </c>
      <c r="F219" s="350">
        <f>VALO_PERSO!AS12</f>
        <v>948.42647451914695</v>
      </c>
    </row>
    <row r="220" spans="1:36" s="111" customFormat="1" ht="15.75" thickBot="1" x14ac:dyDescent="0.3">
      <c r="B220" s="359">
        <f>VALO_PERSO!F13</f>
        <v>12</v>
      </c>
      <c r="C220" s="350" t="str">
        <f t="shared" si="45"/>
        <v>DENARD Marjorie</v>
      </c>
      <c r="D220" s="350" t="str">
        <f>VALO_PERSO!I13</f>
        <v>Assistant Ingenieur</v>
      </c>
      <c r="E220" s="350">
        <f>VALO_PERSO!Y13</f>
        <v>15.2</v>
      </c>
      <c r="F220" s="350">
        <f>VALO_PERSO!AS13</f>
        <v>479.24248405851461</v>
      </c>
    </row>
    <row r="221" spans="1:36" s="111" customFormat="1" ht="15.75" thickBot="1" x14ac:dyDescent="0.3">
      <c r="B221" s="359">
        <f>VALO_PERSO!F14</f>
        <v>13</v>
      </c>
      <c r="C221" s="350" t="str">
        <f t="shared" si="45"/>
        <v>FERNANDEZ Bob</v>
      </c>
      <c r="D221" s="350" t="str">
        <f>VALO_PERSO!I14</f>
        <v>Ingénieur d'études</v>
      </c>
      <c r="E221" s="350">
        <f>VALO_PERSO!Y14</f>
        <v>230.45000000000002</v>
      </c>
      <c r="F221" s="350">
        <f>VALO_PERSO!AS14</f>
        <v>11751.113934297011</v>
      </c>
    </row>
    <row r="222" spans="1:36" s="111" customFormat="1" ht="15.75" thickBot="1" x14ac:dyDescent="0.3">
      <c r="B222" s="359">
        <f>VALO_PERSO!F15</f>
        <v>14</v>
      </c>
      <c r="C222" s="350" t="str">
        <f t="shared" si="45"/>
        <v>SCHIAVON Caroline</v>
      </c>
      <c r="D222" s="350" t="str">
        <f>VALO_PERSO!I15</f>
        <v>Ingénieur d'études</v>
      </c>
      <c r="E222" s="350">
        <f>VALO_PERSO!Y15</f>
        <v>976.60000000000241</v>
      </c>
      <c r="F222" s="350">
        <f>VALO_PERSO!AS15</f>
        <v>61288.293248749731</v>
      </c>
    </row>
    <row r="223" spans="1:36" s="111" customFormat="1" ht="15.75" thickBot="1" x14ac:dyDescent="0.3">
      <c r="B223" s="359">
        <f>VALO_PERSO!F16</f>
        <v>16</v>
      </c>
      <c r="C223" s="350" t="str">
        <f t="shared" si="45"/>
        <v>RAMOS-AZNAR Nuria</v>
      </c>
      <c r="D223" s="350" t="str">
        <f>VALO_PERSO!I16</f>
        <v>Ingenieur</v>
      </c>
      <c r="E223" s="350">
        <f>VALO_PERSO!Y16</f>
        <v>0</v>
      </c>
      <c r="F223" s="350">
        <f>VALO_PERSO!AS16</f>
        <v>0</v>
      </c>
    </row>
    <row r="224" spans="1:36" s="111" customFormat="1" ht="15.75" thickBot="1" x14ac:dyDescent="0.3">
      <c r="B224" s="359" t="e">
        <f>VALO_PERSO!#REF!</f>
        <v>#REF!</v>
      </c>
      <c r="C224" s="350" t="e">
        <f t="shared" si="45"/>
        <v>#REF!</v>
      </c>
      <c r="D224" s="350" t="e">
        <f>VALO_PERSO!#REF!</f>
        <v>#REF!</v>
      </c>
      <c r="E224" s="350" t="e">
        <f>VALO_PERSO!#REF!</f>
        <v>#REF!</v>
      </c>
      <c r="F224" s="350" t="e">
        <f>VALO_PERSO!#REF!</f>
        <v>#REF!</v>
      </c>
    </row>
    <row r="225" spans="1:45" s="111" customFormat="1" ht="15.75" thickBot="1" x14ac:dyDescent="0.3">
      <c r="B225" s="359">
        <f>VALO_PERSO!F17</f>
        <v>18</v>
      </c>
      <c r="C225" s="350" t="str">
        <f t="shared" si="45"/>
        <v>BARRY Benjamin</v>
      </c>
      <c r="D225" s="350" t="str">
        <f>VALO_PERSO!I17</f>
        <v>Ingenieur</v>
      </c>
      <c r="E225" s="350">
        <f>VALO_PERSO!Y17</f>
        <v>255.99999999999997</v>
      </c>
      <c r="F225" s="350">
        <f>VALO_PERSO!AS17</f>
        <v>13352.682655204413</v>
      </c>
    </row>
    <row r="226" spans="1:45" s="111" customFormat="1" ht="15.75" thickBot="1" x14ac:dyDescent="0.3">
      <c r="B226" s="337"/>
      <c r="C226" s="591" t="s">
        <v>446</v>
      </c>
      <c r="D226" s="592"/>
      <c r="E226" s="357" t="e">
        <f>SUM(E168:E225)</f>
        <v>#REF!</v>
      </c>
      <c r="F226" s="357" t="e">
        <f>SUM(F168:F225)</f>
        <v>#REF!</v>
      </c>
    </row>
    <row r="227" spans="1:45" s="111" customFormat="1" x14ac:dyDescent="0.25"/>
    <row r="228" spans="1:45" s="111" customFormat="1" ht="15.75" thickBot="1" x14ac:dyDescent="0.3">
      <c r="AS228" s="306"/>
    </row>
    <row r="229" spans="1:45" s="111" customFormat="1" ht="15.75" thickBot="1" x14ac:dyDescent="0.3">
      <c r="B229" s="381" t="s">
        <v>366</v>
      </c>
      <c r="C229" s="381" t="s">
        <v>716</v>
      </c>
      <c r="D229" s="381" t="s">
        <v>755</v>
      </c>
      <c r="E229" s="381" t="s">
        <v>756</v>
      </c>
      <c r="F229" s="381" t="s">
        <v>476</v>
      </c>
      <c r="G229" s="381" t="s">
        <v>757</v>
      </c>
      <c r="H229" s="381" t="s">
        <v>758</v>
      </c>
      <c r="I229" s="381" t="s">
        <v>757</v>
      </c>
      <c r="J229" s="381" t="s">
        <v>759</v>
      </c>
      <c r="K229" s="381" t="s">
        <v>760</v>
      </c>
      <c r="L229" s="381" t="s">
        <v>761</v>
      </c>
      <c r="M229" s="381" t="s">
        <v>762</v>
      </c>
      <c r="N229" s="381" t="s">
        <v>763</v>
      </c>
      <c r="O229" s="381" t="s">
        <v>764</v>
      </c>
      <c r="P229" s="381" t="s">
        <v>765</v>
      </c>
      <c r="Q229" s="381" t="s">
        <v>766</v>
      </c>
      <c r="R229" s="381" t="s">
        <v>767</v>
      </c>
      <c r="S229" s="381" t="s">
        <v>462</v>
      </c>
      <c r="T229" s="381" t="s">
        <v>719</v>
      </c>
      <c r="AS229" s="414"/>
    </row>
    <row r="230" spans="1:45" s="111" customFormat="1" ht="15.75" thickBot="1" x14ac:dyDescent="0.3">
      <c r="A230" s="111" t="s">
        <v>813</v>
      </c>
      <c r="B230" s="362" t="str">
        <f>VALO_PERSO!F5</f>
        <v>mad</v>
      </c>
      <c r="C230" s="362" t="str">
        <f t="shared" ref="C230" si="46">CONCATENATE(C43," ",D43)</f>
        <v>GHLAMI Sephora</v>
      </c>
      <c r="D230" s="362" t="str">
        <f>VALO_PERSO!I5</f>
        <v>MAD</v>
      </c>
      <c r="E230" s="362">
        <f>VALO_PERSO!J5</f>
        <v>0</v>
      </c>
      <c r="F230" s="363">
        <f>VALO_PERSO!M5</f>
        <v>45950</v>
      </c>
      <c r="G230" s="363">
        <f t="shared" ref="G230:G270" si="47">IF(F230&lt;DATE(2024,1,1),DATE(2024,1,1),F230)</f>
        <v>45950</v>
      </c>
      <c r="H230" s="363">
        <f>VALO_PERSO!N5</f>
        <v>0</v>
      </c>
      <c r="I230" s="363">
        <f t="shared" ref="I230:I270" si="48">IF(OR(ISBLANK(H230),H230=0),DATE(2024,12,31),H230)</f>
        <v>45657</v>
      </c>
      <c r="J230" s="362">
        <f t="shared" ref="J230:J270" si="49">I230-G230</f>
        <v>-293</v>
      </c>
      <c r="K230" s="362">
        <f t="shared" ref="K230:K270" si="50">((J230/365)*12)/12</f>
        <v>-0.80273972602739729</v>
      </c>
      <c r="L230" s="362"/>
      <c r="M230" s="362">
        <f>VALO_PERSO!W5</f>
        <v>342</v>
      </c>
      <c r="N230" s="382">
        <f t="shared" ref="N230:N270" si="51">S230/M230</f>
        <v>0.94970760233918128</v>
      </c>
      <c r="O230" s="383">
        <f t="shared" ref="O230:O274" si="52">P230/12</f>
        <v>522.40500000000009</v>
      </c>
      <c r="P230" s="366">
        <f>VALO_PERSO!P5</f>
        <v>6268.8600000000015</v>
      </c>
      <c r="Q230" s="366">
        <f>VALO_PERSO!V5</f>
        <v>8856.6454080000021</v>
      </c>
      <c r="R230" s="366">
        <f>VALO_PERSO!X5</f>
        <v>25.896624000000006</v>
      </c>
      <c r="S230" s="384">
        <f>VALO_PERSO!W5-VALO_PERSO!BJ5</f>
        <v>324.8</v>
      </c>
      <c r="T230" s="366">
        <f t="shared" ref="T230:T270" si="53">S230*R230</f>
        <v>8411.2234752000022</v>
      </c>
    </row>
    <row r="231" spans="1:45" s="111" customFormat="1" ht="24.75" thickBot="1" x14ac:dyDescent="0.3">
      <c r="A231" s="111" t="s">
        <v>813</v>
      </c>
      <c r="B231" s="362">
        <f>VALO_PERSO!F6</f>
        <v>1</v>
      </c>
      <c r="C231" s="362" t="str">
        <f t="shared" ref="C231" si="54">CONCATENATE(C45," ",D45)</f>
        <v>AMILLASTRE Emilie</v>
      </c>
      <c r="D231" s="362" t="str">
        <f>VALO_PERSO!I6</f>
        <v>Experte Bioprocédés</v>
      </c>
      <c r="E231" s="362" t="str">
        <f>VALO_PERSO!J6</f>
        <v>Doctorat - INSA Toulouse</v>
      </c>
      <c r="F231" s="363">
        <f>VALO_PERSO!M6</f>
        <v>42461</v>
      </c>
      <c r="G231" s="363">
        <f t="shared" ref="G231" si="55">IF(F231&lt;DATE(2024,1,1),DATE(2024,1,1),F231)</f>
        <v>45292</v>
      </c>
      <c r="H231" s="363">
        <f>VALO_PERSO!N6</f>
        <v>0</v>
      </c>
      <c r="I231" s="363">
        <f t="shared" ref="I231" si="56">IF(OR(ISBLANK(H231),H231=0),DATE(2024,12,31),H231)</f>
        <v>45657</v>
      </c>
      <c r="J231" s="362">
        <f t="shared" ref="J231" si="57">I231-G231</f>
        <v>365</v>
      </c>
      <c r="K231" s="362">
        <f t="shared" ref="K231" si="58">((J231/365)*12)/12</f>
        <v>1</v>
      </c>
      <c r="L231" s="362"/>
      <c r="M231" s="362">
        <f>VALO_PERSO!W6</f>
        <v>1691.04</v>
      </c>
      <c r="N231" s="382">
        <f t="shared" ref="N231" si="59">S231/M231</f>
        <v>0.87598164443183013</v>
      </c>
      <c r="O231" s="383">
        <f t="shared" ref="O231" si="60">P231/12</f>
        <v>5114.0016666666661</v>
      </c>
      <c r="P231" s="366">
        <f>VALO_PERSO!P6</f>
        <v>61368.02</v>
      </c>
      <c r="Q231" s="366">
        <f>VALO_PERSO!V6</f>
        <v>86523.199999999983</v>
      </c>
      <c r="R231" s="366">
        <f>VALO_PERSO!X6</f>
        <v>51.165673195193484</v>
      </c>
      <c r="S231" s="384">
        <f>VALO_PERSO!W6-VALO_PERSO!BJ6</f>
        <v>1481.320000000002</v>
      </c>
      <c r="T231" s="366">
        <f t="shared" ref="T231" si="61">S231*R231</f>
        <v>75792.735017504121</v>
      </c>
    </row>
    <row r="232" spans="1:45" s="111" customFormat="1" ht="24.75" thickBot="1" x14ac:dyDescent="0.3">
      <c r="A232" s="111" t="s">
        <v>813</v>
      </c>
      <c r="B232" s="362">
        <f>VALO_PERSO!F6</f>
        <v>1</v>
      </c>
      <c r="C232" s="362" t="e">
        <f t="shared" ref="C232" si="62">CONCATENATE(C47," ",D47)</f>
        <v>#REF!</v>
      </c>
      <c r="D232" s="362" t="str">
        <f>VALO_PERSO!I6</f>
        <v>Experte Bioprocédés</v>
      </c>
      <c r="E232" s="362" t="str">
        <f>VALO_PERSO!J6</f>
        <v>Doctorat - INSA Toulouse</v>
      </c>
      <c r="F232" s="363">
        <f>VALO_PERSO!M6</f>
        <v>42461</v>
      </c>
      <c r="G232" s="363">
        <f t="shared" ref="G232" si="63">IF(F232&lt;DATE(2024,1,1),DATE(2024,1,1),F232)</f>
        <v>45292</v>
      </c>
      <c r="H232" s="363">
        <f>VALO_PERSO!N6</f>
        <v>0</v>
      </c>
      <c r="I232" s="363">
        <f t="shared" ref="I232" si="64">IF(OR(ISBLANK(H232),H232=0),DATE(2024,12,31),H232)</f>
        <v>45657</v>
      </c>
      <c r="J232" s="362">
        <f t="shared" ref="J232" si="65">I232-G232</f>
        <v>365</v>
      </c>
      <c r="K232" s="362">
        <f t="shared" ref="K232" si="66">((J232/365)*12)/12</f>
        <v>1</v>
      </c>
      <c r="L232" s="362"/>
      <c r="M232" s="362">
        <f>VALO_PERSO!W6</f>
        <v>1691.04</v>
      </c>
      <c r="N232" s="382">
        <f t="shared" ref="N232" si="67">S232/M232</f>
        <v>0.87598164443183013</v>
      </c>
      <c r="O232" s="383">
        <f t="shared" ref="O232" si="68">P232/12</f>
        <v>5114.0016666666661</v>
      </c>
      <c r="P232" s="366">
        <f>VALO_PERSO!P6</f>
        <v>61368.02</v>
      </c>
      <c r="Q232" s="366">
        <f>VALO_PERSO!V6</f>
        <v>86523.199999999983</v>
      </c>
      <c r="R232" s="366">
        <f>VALO_PERSO!X6</f>
        <v>51.165673195193484</v>
      </c>
      <c r="S232" s="384">
        <f>VALO_PERSO!W6-VALO_PERSO!BJ6</f>
        <v>1481.320000000002</v>
      </c>
      <c r="T232" s="366">
        <f t="shared" ref="T232" si="69">S232*R232</f>
        <v>75792.735017504121</v>
      </c>
    </row>
    <row r="233" spans="1:45" s="111" customFormat="1" ht="15.75" thickBot="1" x14ac:dyDescent="0.3">
      <c r="A233" s="111" t="s">
        <v>813</v>
      </c>
      <c r="B233" s="362" t="e">
        <f>VALO_PERSO!#REF!</f>
        <v>#REF!</v>
      </c>
      <c r="C233" s="362" t="e">
        <f t="shared" ref="C233" si="70">CONCATENATE(C49," ",D49)</f>
        <v>#REF!</v>
      </c>
      <c r="D233" s="362" t="e">
        <f>VALO_PERSO!#REF!</f>
        <v>#REF!</v>
      </c>
      <c r="E233" s="362" t="e">
        <f>VALO_PERSO!#REF!</f>
        <v>#REF!</v>
      </c>
      <c r="F233" s="363" t="e">
        <f>VALO_PERSO!#REF!</f>
        <v>#REF!</v>
      </c>
      <c r="G233" s="363" t="e">
        <f t="shared" ref="G233" si="71">IF(F233&lt;DATE(2024,1,1),DATE(2024,1,1),F233)</f>
        <v>#REF!</v>
      </c>
      <c r="H233" s="363" t="e">
        <f>VALO_PERSO!#REF!</f>
        <v>#REF!</v>
      </c>
      <c r="I233" s="363" t="e">
        <f t="shared" ref="I233" si="72">IF(OR(ISBLANK(H233),H233=0),DATE(2024,12,31),H233)</f>
        <v>#REF!</v>
      </c>
      <c r="J233" s="362" t="e">
        <f t="shared" ref="J233" si="73">I233-G233</f>
        <v>#REF!</v>
      </c>
      <c r="K233" s="362" t="e">
        <f t="shared" ref="K233" si="74">((J233/365)*12)/12</f>
        <v>#REF!</v>
      </c>
      <c r="L233" s="362"/>
      <c r="M233" s="362" t="e">
        <f>VALO_PERSO!#REF!</f>
        <v>#REF!</v>
      </c>
      <c r="N233" s="382" t="e">
        <f t="shared" ref="N233" si="75">S233/M233</f>
        <v>#REF!</v>
      </c>
      <c r="O233" s="383" t="e">
        <f t="shared" ref="O233" si="76">P233/12</f>
        <v>#REF!</v>
      </c>
      <c r="P233" s="366" t="e">
        <f>VALO_PERSO!#REF!</f>
        <v>#REF!</v>
      </c>
      <c r="Q233" s="366" t="e">
        <f>VALO_PERSO!#REF!</f>
        <v>#REF!</v>
      </c>
      <c r="R233" s="366" t="e">
        <f>VALO_PERSO!#REF!</f>
        <v>#REF!</v>
      </c>
      <c r="S233" s="384" t="e">
        <f>VALO_PERSO!#REF!-VALO_PERSO!#REF!</f>
        <v>#REF!</v>
      </c>
      <c r="T233" s="366" t="e">
        <f t="shared" ref="T233" si="77">S233*R233</f>
        <v>#REF!</v>
      </c>
    </row>
    <row r="234" spans="1:45" s="111" customFormat="1" ht="15.75" thickBot="1" x14ac:dyDescent="0.3">
      <c r="A234" s="111" t="s">
        <v>813</v>
      </c>
      <c r="B234" s="362" t="e">
        <f>VALO_PERSO!#REF!</f>
        <v>#REF!</v>
      </c>
      <c r="C234" s="362" t="str">
        <f t="shared" ref="C234" si="78">CONCATENATE(C87," ",D87)</f>
        <v>AMILLASTRE Emilie</v>
      </c>
      <c r="D234" s="362" t="e">
        <f>VALO_PERSO!#REF!</f>
        <v>#REF!</v>
      </c>
      <c r="E234" s="362" t="e">
        <f>VALO_PERSO!#REF!</f>
        <v>#REF!</v>
      </c>
      <c r="F234" s="363" t="e">
        <f>VALO_PERSO!#REF!</f>
        <v>#REF!</v>
      </c>
      <c r="G234" s="363" t="e">
        <f t="shared" si="47"/>
        <v>#REF!</v>
      </c>
      <c r="H234" s="363" t="e">
        <f>VALO_PERSO!#REF!</f>
        <v>#REF!</v>
      </c>
      <c r="I234" s="363" t="e">
        <f t="shared" si="48"/>
        <v>#REF!</v>
      </c>
      <c r="J234" s="362" t="e">
        <f t="shared" si="49"/>
        <v>#REF!</v>
      </c>
      <c r="K234" s="362" t="e">
        <f t="shared" si="50"/>
        <v>#REF!</v>
      </c>
      <c r="L234" s="362"/>
      <c r="M234" s="362" t="e">
        <f>VALO_PERSO!#REF!</f>
        <v>#REF!</v>
      </c>
      <c r="N234" s="382" t="e">
        <f t="shared" si="51"/>
        <v>#REF!</v>
      </c>
      <c r="O234" s="383" t="e">
        <f t="shared" si="52"/>
        <v>#REF!</v>
      </c>
      <c r="P234" s="366" t="e">
        <f>VALO_PERSO!#REF!</f>
        <v>#REF!</v>
      </c>
      <c r="Q234" s="366" t="e">
        <f>VALO_PERSO!#REF!</f>
        <v>#REF!</v>
      </c>
      <c r="R234" s="366" t="e">
        <f>VALO_PERSO!#REF!</f>
        <v>#REF!</v>
      </c>
      <c r="S234" s="384" t="e">
        <f>VALO_PERSO!#REF!-VALO_PERSO!#REF!</f>
        <v>#REF!</v>
      </c>
      <c r="T234" s="366" t="e">
        <f t="shared" si="53"/>
        <v>#REF!</v>
      </c>
    </row>
    <row r="235" spans="1:45" s="111" customFormat="1" ht="15.75" thickBot="1" x14ac:dyDescent="0.3">
      <c r="A235" s="111" t="s">
        <v>813</v>
      </c>
      <c r="B235" s="362" t="e">
        <f>VALO_PERSO!#REF!</f>
        <v>#REF!</v>
      </c>
      <c r="C235" s="362" t="e">
        <f t="shared" ref="C235" si="79">CONCATENATE(C88," ",D88)</f>
        <v>#REF!</v>
      </c>
      <c r="D235" s="362" t="e">
        <f>VALO_PERSO!#REF!</f>
        <v>#REF!</v>
      </c>
      <c r="E235" s="362" t="e">
        <f>VALO_PERSO!#REF!</f>
        <v>#REF!</v>
      </c>
      <c r="F235" s="363" t="e">
        <f>VALO_PERSO!#REF!</f>
        <v>#REF!</v>
      </c>
      <c r="G235" s="363" t="e">
        <f t="shared" ref="G235" si="80">IF(F235&lt;DATE(2024,1,1),DATE(2024,1,1),F235)</f>
        <v>#REF!</v>
      </c>
      <c r="H235" s="363" t="e">
        <f>VALO_PERSO!#REF!</f>
        <v>#REF!</v>
      </c>
      <c r="I235" s="363" t="e">
        <f t="shared" ref="I235" si="81">IF(OR(ISBLANK(H235),H235=0),DATE(2024,12,31),H235)</f>
        <v>#REF!</v>
      </c>
      <c r="J235" s="362" t="e">
        <f t="shared" ref="J235" si="82">I235-G235</f>
        <v>#REF!</v>
      </c>
      <c r="K235" s="362" t="e">
        <f t="shared" ref="K235" si="83">((J235/365)*12)/12</f>
        <v>#REF!</v>
      </c>
      <c r="L235" s="362"/>
      <c r="M235" s="362" t="e">
        <f>VALO_PERSO!#REF!</f>
        <v>#REF!</v>
      </c>
      <c r="N235" s="382" t="e">
        <f t="shared" ref="N235" si="84">S235/M235</f>
        <v>#REF!</v>
      </c>
      <c r="O235" s="383" t="e">
        <f t="shared" ref="O235" si="85">P235/12</f>
        <v>#REF!</v>
      </c>
      <c r="P235" s="366" t="e">
        <f>VALO_PERSO!#REF!</f>
        <v>#REF!</v>
      </c>
      <c r="Q235" s="366" t="e">
        <f>VALO_PERSO!#REF!</f>
        <v>#REF!</v>
      </c>
      <c r="R235" s="366" t="e">
        <f>VALO_PERSO!#REF!</f>
        <v>#REF!</v>
      </c>
      <c r="S235" s="384" t="e">
        <f>VALO_PERSO!#REF!-VALO_PERSO!#REF!</f>
        <v>#REF!</v>
      </c>
      <c r="T235" s="366" t="e">
        <f t="shared" ref="T235" si="86">S235*R235</f>
        <v>#REF!</v>
      </c>
    </row>
    <row r="236" spans="1:45" s="111" customFormat="1" ht="15.75" thickBot="1" x14ac:dyDescent="0.3">
      <c r="A236" s="111" t="s">
        <v>813</v>
      </c>
      <c r="B236" s="362" t="e">
        <f>VALO_PERSO!#REF!</f>
        <v>#REF!</v>
      </c>
      <c r="C236" s="362" t="e">
        <f t="shared" ref="C236" si="87">CONCATENATE(C88," ",D88)</f>
        <v>#REF!</v>
      </c>
      <c r="D236" s="362" t="e">
        <f>VALO_PERSO!#REF!</f>
        <v>#REF!</v>
      </c>
      <c r="E236" s="362" t="e">
        <f>VALO_PERSO!#REF!</f>
        <v>#REF!</v>
      </c>
      <c r="F236" s="363" t="e">
        <f>VALO_PERSO!#REF!</f>
        <v>#REF!</v>
      </c>
      <c r="G236" s="363" t="e">
        <f t="shared" ref="G236" si="88">IF(F236&lt;DATE(2024,1,1),DATE(2024,1,1),F236)</f>
        <v>#REF!</v>
      </c>
      <c r="H236" s="363" t="e">
        <f>VALO_PERSO!#REF!</f>
        <v>#REF!</v>
      </c>
      <c r="I236" s="363" t="e">
        <f t="shared" ref="I236" si="89">IF(OR(ISBLANK(H236),H236=0),DATE(2024,12,31),H236)</f>
        <v>#REF!</v>
      </c>
      <c r="J236" s="362" t="e">
        <f t="shared" ref="J236" si="90">I236-G236</f>
        <v>#REF!</v>
      </c>
      <c r="K236" s="362" t="e">
        <f t="shared" ref="K236" si="91">((J236/365)*12)/12</f>
        <v>#REF!</v>
      </c>
      <c r="L236" s="362"/>
      <c r="M236" s="362" t="e">
        <f>VALO_PERSO!#REF!</f>
        <v>#REF!</v>
      </c>
      <c r="N236" s="382" t="e">
        <f t="shared" ref="N236" si="92">S236/M236</f>
        <v>#REF!</v>
      </c>
      <c r="O236" s="383" t="e">
        <f t="shared" ref="O236" si="93">P236/12</f>
        <v>#REF!</v>
      </c>
      <c r="P236" s="366" t="e">
        <f>VALO_PERSO!#REF!</f>
        <v>#REF!</v>
      </c>
      <c r="Q236" s="366" t="e">
        <f>VALO_PERSO!#REF!</f>
        <v>#REF!</v>
      </c>
      <c r="R236" s="366" t="e">
        <f>VALO_PERSO!#REF!</f>
        <v>#REF!</v>
      </c>
      <c r="S236" s="384" t="e">
        <f>VALO_PERSO!#REF!-VALO_PERSO!#REF!</f>
        <v>#REF!</v>
      </c>
      <c r="T236" s="366" t="e">
        <f t="shared" ref="T236" si="94">S236*R236</f>
        <v>#REF!</v>
      </c>
    </row>
    <row r="237" spans="1:45" s="111" customFormat="1" ht="15.75" thickBot="1" x14ac:dyDescent="0.3">
      <c r="A237" s="111" t="s">
        <v>813</v>
      </c>
      <c r="B237" s="362" t="e">
        <f>VALO_PERSO!#REF!</f>
        <v>#REF!</v>
      </c>
      <c r="C237" s="362" t="str">
        <f t="shared" ref="C237" si="95">CONCATENATE(C89," ",D89)</f>
        <v>CREPIN Lucie</v>
      </c>
      <c r="D237" s="362" t="e">
        <f>VALO_PERSO!#REF!</f>
        <v>#REF!</v>
      </c>
      <c r="E237" s="362" t="e">
        <f>VALO_PERSO!#REF!</f>
        <v>#REF!</v>
      </c>
      <c r="F237" s="363" t="e">
        <f>VALO_PERSO!#REF!</f>
        <v>#REF!</v>
      </c>
      <c r="G237" s="363" t="e">
        <f t="shared" ref="G237" si="96">IF(F237&lt;DATE(2024,1,1),DATE(2024,1,1),F237)</f>
        <v>#REF!</v>
      </c>
      <c r="H237" s="363" t="e">
        <f>VALO_PERSO!#REF!</f>
        <v>#REF!</v>
      </c>
      <c r="I237" s="363" t="e">
        <f t="shared" ref="I237" si="97">IF(OR(ISBLANK(H237),H237=0),DATE(2024,12,31),H237)</f>
        <v>#REF!</v>
      </c>
      <c r="J237" s="362" t="e">
        <f t="shared" ref="J237" si="98">I237-G237</f>
        <v>#REF!</v>
      </c>
      <c r="K237" s="362" t="e">
        <f t="shared" ref="K237" si="99">((J237/365)*12)/12</f>
        <v>#REF!</v>
      </c>
      <c r="L237" s="362"/>
      <c r="M237" s="362" t="e">
        <f>VALO_PERSO!#REF!</f>
        <v>#REF!</v>
      </c>
      <c r="N237" s="382" t="e">
        <f t="shared" ref="N237" si="100">S237/M237</f>
        <v>#REF!</v>
      </c>
      <c r="O237" s="383" t="e">
        <f t="shared" ref="O237" si="101">P237/12</f>
        <v>#REF!</v>
      </c>
      <c r="P237" s="366" t="e">
        <f>VALO_PERSO!#REF!</f>
        <v>#REF!</v>
      </c>
      <c r="Q237" s="366" t="e">
        <f>VALO_PERSO!#REF!</f>
        <v>#REF!</v>
      </c>
      <c r="R237" s="366" t="e">
        <f>VALO_PERSO!#REF!</f>
        <v>#REF!</v>
      </c>
      <c r="S237" s="384" t="e">
        <f>VALO_PERSO!#REF!-VALO_PERSO!#REF!</f>
        <v>#REF!</v>
      </c>
      <c r="T237" s="366" t="e">
        <f t="shared" ref="T237" si="102">S237*R237</f>
        <v>#REF!</v>
      </c>
    </row>
    <row r="238" spans="1:45" s="111" customFormat="1" ht="15.75" thickBot="1" x14ac:dyDescent="0.3">
      <c r="A238" s="111" t="s">
        <v>813</v>
      </c>
      <c r="B238" s="362" t="e">
        <f>VALO_PERSO!#REF!</f>
        <v>#REF!</v>
      </c>
      <c r="C238" s="362" t="str">
        <f t="shared" ref="C238" si="103">CONCATENATE(C87," ",D87)</f>
        <v>AMILLASTRE Emilie</v>
      </c>
      <c r="D238" s="362" t="e">
        <f>VALO_PERSO!#REF!</f>
        <v>#REF!</v>
      </c>
      <c r="E238" s="362" t="e">
        <f>VALO_PERSO!#REF!</f>
        <v>#REF!</v>
      </c>
      <c r="F238" s="363" t="e">
        <f>VALO_PERSO!#REF!</f>
        <v>#REF!</v>
      </c>
      <c r="G238" s="363" t="e">
        <f t="shared" si="47"/>
        <v>#REF!</v>
      </c>
      <c r="H238" s="363" t="e">
        <f>VALO_PERSO!#REF!</f>
        <v>#REF!</v>
      </c>
      <c r="I238" s="363" t="e">
        <f t="shared" si="48"/>
        <v>#REF!</v>
      </c>
      <c r="J238" s="362" t="e">
        <f t="shared" si="49"/>
        <v>#REF!</v>
      </c>
      <c r="K238" s="362" t="e">
        <f t="shared" si="50"/>
        <v>#REF!</v>
      </c>
      <c r="L238" s="362"/>
      <c r="M238" s="362" t="e">
        <f>VALO_PERSO!#REF!</f>
        <v>#REF!</v>
      </c>
      <c r="N238" s="382" t="e">
        <f t="shared" si="51"/>
        <v>#REF!</v>
      </c>
      <c r="O238" s="383" t="e">
        <f t="shared" si="52"/>
        <v>#REF!</v>
      </c>
      <c r="P238" s="366" t="e">
        <f>VALO_PERSO!#REF!</f>
        <v>#REF!</v>
      </c>
      <c r="Q238" s="366" t="e">
        <f>VALO_PERSO!#REF!</f>
        <v>#REF!</v>
      </c>
      <c r="R238" s="366" t="e">
        <f>VALO_PERSO!#REF!</f>
        <v>#REF!</v>
      </c>
      <c r="S238" s="384" t="e">
        <f>VALO_PERSO!#REF!-VALO_PERSO!#REF!</f>
        <v>#REF!</v>
      </c>
      <c r="T238" s="366" t="e">
        <f t="shared" si="53"/>
        <v>#REF!</v>
      </c>
    </row>
    <row r="239" spans="1:45" s="111" customFormat="1" ht="15.75" thickBot="1" x14ac:dyDescent="0.3">
      <c r="A239" s="111" t="s">
        <v>813</v>
      </c>
      <c r="B239" s="362" t="e">
        <f>VALO_PERSO!#REF!</f>
        <v>#REF!</v>
      </c>
      <c r="C239" s="362" t="e">
        <f t="shared" ref="C239" si="104">CONCATENATE(C88," ",D88)</f>
        <v>#REF!</v>
      </c>
      <c r="D239" s="362" t="e">
        <f>VALO_PERSO!#REF!</f>
        <v>#REF!</v>
      </c>
      <c r="E239" s="362" t="e">
        <f>VALO_PERSO!#REF!</f>
        <v>#REF!</v>
      </c>
      <c r="F239" s="363" t="e">
        <f>VALO_PERSO!#REF!</f>
        <v>#REF!</v>
      </c>
      <c r="G239" s="363" t="e">
        <f t="shared" ref="G239" si="105">IF(F239&lt;DATE(2024,1,1),DATE(2024,1,1),F239)</f>
        <v>#REF!</v>
      </c>
      <c r="H239" s="363" t="e">
        <f>VALO_PERSO!#REF!</f>
        <v>#REF!</v>
      </c>
      <c r="I239" s="363" t="e">
        <f t="shared" ref="I239" si="106">IF(OR(ISBLANK(H239),H239=0),DATE(2024,12,31),H239)</f>
        <v>#REF!</v>
      </c>
      <c r="J239" s="362" t="e">
        <f t="shared" ref="J239" si="107">I239-G239</f>
        <v>#REF!</v>
      </c>
      <c r="K239" s="362" t="e">
        <f t="shared" ref="K239" si="108">((J239/365)*12)/12</f>
        <v>#REF!</v>
      </c>
      <c r="L239" s="362"/>
      <c r="M239" s="362" t="e">
        <f>VALO_PERSO!#REF!</f>
        <v>#REF!</v>
      </c>
      <c r="N239" s="382" t="e">
        <f t="shared" ref="N239" si="109">S239/M239</f>
        <v>#REF!</v>
      </c>
      <c r="O239" s="383" t="e">
        <f t="shared" ref="O239" si="110">P239/12</f>
        <v>#REF!</v>
      </c>
      <c r="P239" s="366" t="e">
        <f>VALO_PERSO!#REF!</f>
        <v>#REF!</v>
      </c>
      <c r="Q239" s="366" t="e">
        <f>VALO_PERSO!#REF!</f>
        <v>#REF!</v>
      </c>
      <c r="R239" s="366" t="e">
        <f>VALO_PERSO!#REF!</f>
        <v>#REF!</v>
      </c>
      <c r="S239" s="384" t="e">
        <f>VALO_PERSO!#REF!-VALO_PERSO!#REF!</f>
        <v>#REF!</v>
      </c>
      <c r="T239" s="366" t="e">
        <f t="shared" ref="T239" si="111">S239*R239</f>
        <v>#REF!</v>
      </c>
    </row>
    <row r="240" spans="1:45" s="111" customFormat="1" ht="15.75" thickBot="1" x14ac:dyDescent="0.3">
      <c r="A240" s="111" t="s">
        <v>813</v>
      </c>
      <c r="B240" s="362" t="e">
        <f>VALO_PERSO!#REF!</f>
        <v>#REF!</v>
      </c>
      <c r="C240" s="362" t="e">
        <f t="shared" ref="C240" si="112">CONCATENATE(C88," ",D88)</f>
        <v>#REF!</v>
      </c>
      <c r="D240" s="362" t="e">
        <f>VALO_PERSO!#REF!</f>
        <v>#REF!</v>
      </c>
      <c r="E240" s="362" t="e">
        <f>VALO_PERSO!#REF!</f>
        <v>#REF!</v>
      </c>
      <c r="F240" s="363" t="e">
        <f>VALO_PERSO!#REF!</f>
        <v>#REF!</v>
      </c>
      <c r="G240" s="363" t="e">
        <f t="shared" ref="G240" si="113">IF(F240&lt;DATE(2024,1,1),DATE(2024,1,1),F240)</f>
        <v>#REF!</v>
      </c>
      <c r="H240" s="363" t="e">
        <f>VALO_PERSO!#REF!</f>
        <v>#REF!</v>
      </c>
      <c r="I240" s="363" t="e">
        <f t="shared" ref="I240" si="114">IF(OR(ISBLANK(H240),H240=0),DATE(2024,12,31),H240)</f>
        <v>#REF!</v>
      </c>
      <c r="J240" s="362" t="e">
        <f t="shared" ref="J240" si="115">I240-G240</f>
        <v>#REF!</v>
      </c>
      <c r="K240" s="362" t="e">
        <f t="shared" ref="K240" si="116">((J240/365)*12)/12</f>
        <v>#REF!</v>
      </c>
      <c r="L240" s="362"/>
      <c r="M240" s="362" t="e">
        <f>VALO_PERSO!#REF!</f>
        <v>#REF!</v>
      </c>
      <c r="N240" s="382" t="e">
        <f t="shared" ref="N240" si="117">S240/M240</f>
        <v>#REF!</v>
      </c>
      <c r="O240" s="383" t="e">
        <f t="shared" ref="O240" si="118">P240/12</f>
        <v>#REF!</v>
      </c>
      <c r="P240" s="366" t="e">
        <f>VALO_PERSO!#REF!</f>
        <v>#REF!</v>
      </c>
      <c r="Q240" s="366" t="e">
        <f>VALO_PERSO!#REF!</f>
        <v>#REF!</v>
      </c>
      <c r="R240" s="366" t="e">
        <f>VALO_PERSO!#REF!</f>
        <v>#REF!</v>
      </c>
      <c r="S240" s="384" t="e">
        <f>VALO_PERSO!#REF!-VALO_PERSO!#REF!</f>
        <v>#REF!</v>
      </c>
      <c r="T240" s="366" t="e">
        <f t="shared" ref="T240" si="119">S240*R240</f>
        <v>#REF!</v>
      </c>
    </row>
    <row r="241" spans="1:20" s="111" customFormat="1" ht="15.75" thickBot="1" x14ac:dyDescent="0.3">
      <c r="A241" s="111" t="s">
        <v>813</v>
      </c>
      <c r="B241" s="362" t="e">
        <f>VALO_PERSO!#REF!</f>
        <v>#REF!</v>
      </c>
      <c r="C241" s="362" t="str">
        <f t="shared" ref="C241" si="120">CONCATENATE(C89," ",D89)</f>
        <v>CREPIN Lucie</v>
      </c>
      <c r="D241" s="362" t="e">
        <f>VALO_PERSO!#REF!</f>
        <v>#REF!</v>
      </c>
      <c r="E241" s="362" t="e">
        <f>VALO_PERSO!#REF!</f>
        <v>#REF!</v>
      </c>
      <c r="F241" s="363" t="e">
        <f>VALO_PERSO!#REF!</f>
        <v>#REF!</v>
      </c>
      <c r="G241" s="363" t="e">
        <f t="shared" ref="G241" si="121">IF(F241&lt;DATE(2024,1,1),DATE(2024,1,1),F241)</f>
        <v>#REF!</v>
      </c>
      <c r="H241" s="363" t="e">
        <f>VALO_PERSO!#REF!</f>
        <v>#REF!</v>
      </c>
      <c r="I241" s="363" t="e">
        <f t="shared" ref="I241" si="122">IF(OR(ISBLANK(H241),H241=0),DATE(2024,12,31),H241)</f>
        <v>#REF!</v>
      </c>
      <c r="J241" s="362" t="e">
        <f t="shared" ref="J241" si="123">I241-G241</f>
        <v>#REF!</v>
      </c>
      <c r="K241" s="362" t="e">
        <f t="shared" ref="K241" si="124">((J241/365)*12)/12</f>
        <v>#REF!</v>
      </c>
      <c r="L241" s="362"/>
      <c r="M241" s="362" t="e">
        <f>VALO_PERSO!#REF!</f>
        <v>#REF!</v>
      </c>
      <c r="N241" s="382" t="e">
        <f t="shared" ref="N241" si="125">S241/M241</f>
        <v>#REF!</v>
      </c>
      <c r="O241" s="383" t="e">
        <f t="shared" ref="O241" si="126">P241/12</f>
        <v>#REF!</v>
      </c>
      <c r="P241" s="366" t="e">
        <f>VALO_PERSO!#REF!</f>
        <v>#REF!</v>
      </c>
      <c r="Q241" s="366" t="e">
        <f>VALO_PERSO!#REF!</f>
        <v>#REF!</v>
      </c>
      <c r="R241" s="366" t="e">
        <f>VALO_PERSO!#REF!</f>
        <v>#REF!</v>
      </c>
      <c r="S241" s="384" t="e">
        <f>VALO_PERSO!#REF!-VALO_PERSO!#REF!</f>
        <v>#REF!</v>
      </c>
      <c r="T241" s="366" t="e">
        <f t="shared" ref="T241" si="127">S241*R241</f>
        <v>#REF!</v>
      </c>
    </row>
    <row r="242" spans="1:20" s="111" customFormat="1" ht="15.75" thickBot="1" x14ac:dyDescent="0.3">
      <c r="A242" s="111" t="s">
        <v>813</v>
      </c>
      <c r="B242" s="362" t="e">
        <f>VALO_PERSO!#REF!</f>
        <v>#REF!</v>
      </c>
      <c r="C242" s="362" t="str">
        <f t="shared" ref="C242" si="128">CONCATENATE(C87," ",D87)</f>
        <v>AMILLASTRE Emilie</v>
      </c>
      <c r="D242" s="362" t="e">
        <f>VALO_PERSO!#REF!</f>
        <v>#REF!</v>
      </c>
      <c r="E242" s="362" t="e">
        <f>VALO_PERSO!#REF!</f>
        <v>#REF!</v>
      </c>
      <c r="F242" s="363" t="e">
        <f>VALO_PERSO!#REF!</f>
        <v>#REF!</v>
      </c>
      <c r="G242" s="363" t="e">
        <f t="shared" si="47"/>
        <v>#REF!</v>
      </c>
      <c r="H242" s="363" t="e">
        <f>VALO_PERSO!#REF!</f>
        <v>#REF!</v>
      </c>
      <c r="I242" s="363" t="e">
        <f t="shared" si="48"/>
        <v>#REF!</v>
      </c>
      <c r="J242" s="362" t="e">
        <f t="shared" si="49"/>
        <v>#REF!</v>
      </c>
      <c r="K242" s="362" t="e">
        <f t="shared" si="50"/>
        <v>#REF!</v>
      </c>
      <c r="L242" s="362"/>
      <c r="M242" s="362" t="e">
        <f>VALO_PERSO!#REF!</f>
        <v>#REF!</v>
      </c>
      <c r="N242" s="382" t="e">
        <f t="shared" si="51"/>
        <v>#REF!</v>
      </c>
      <c r="O242" s="383" t="e">
        <f t="shared" si="52"/>
        <v>#REF!</v>
      </c>
      <c r="P242" s="366" t="e">
        <f>VALO_PERSO!#REF!</f>
        <v>#REF!</v>
      </c>
      <c r="Q242" s="366" t="e">
        <f>VALO_PERSO!#REF!</f>
        <v>#REF!</v>
      </c>
      <c r="R242" s="366" t="e">
        <f>VALO_PERSO!#REF!</f>
        <v>#REF!</v>
      </c>
      <c r="S242" s="384" t="e">
        <f>VALO_PERSO!#REF!-VALO_PERSO!#REF!</f>
        <v>#REF!</v>
      </c>
      <c r="T242" s="366" t="e">
        <f t="shared" si="53"/>
        <v>#REF!</v>
      </c>
    </row>
    <row r="243" spans="1:20" s="111" customFormat="1" ht="15.75" thickBot="1" x14ac:dyDescent="0.3">
      <c r="A243" s="111" t="s">
        <v>813</v>
      </c>
      <c r="B243" s="362" t="e">
        <f>VALO_PERSO!#REF!</f>
        <v>#REF!</v>
      </c>
      <c r="C243" s="362" t="e">
        <f t="shared" ref="C243" si="129">CONCATENATE(C88," ",D88)</f>
        <v>#REF!</v>
      </c>
      <c r="D243" s="362" t="e">
        <f>VALO_PERSO!#REF!</f>
        <v>#REF!</v>
      </c>
      <c r="E243" s="362" t="e">
        <f>VALO_PERSO!#REF!</f>
        <v>#REF!</v>
      </c>
      <c r="F243" s="363" t="e">
        <f>VALO_PERSO!#REF!</f>
        <v>#REF!</v>
      </c>
      <c r="G243" s="363" t="e">
        <f t="shared" ref="G243" si="130">IF(F243&lt;DATE(2024,1,1),DATE(2024,1,1),F243)</f>
        <v>#REF!</v>
      </c>
      <c r="H243" s="363" t="e">
        <f>VALO_PERSO!#REF!</f>
        <v>#REF!</v>
      </c>
      <c r="I243" s="363" t="e">
        <f t="shared" ref="I243" si="131">IF(OR(ISBLANK(H243),H243=0),DATE(2024,12,31),H243)</f>
        <v>#REF!</v>
      </c>
      <c r="J243" s="362" t="e">
        <f t="shared" ref="J243" si="132">I243-G243</f>
        <v>#REF!</v>
      </c>
      <c r="K243" s="362" t="e">
        <f t="shared" ref="K243" si="133">((J243/365)*12)/12</f>
        <v>#REF!</v>
      </c>
      <c r="L243" s="362"/>
      <c r="M243" s="362" t="e">
        <f>VALO_PERSO!#REF!</f>
        <v>#REF!</v>
      </c>
      <c r="N243" s="382" t="e">
        <f t="shared" ref="N243" si="134">S243/M243</f>
        <v>#REF!</v>
      </c>
      <c r="O243" s="383" t="e">
        <f t="shared" ref="O243" si="135">P243/12</f>
        <v>#REF!</v>
      </c>
      <c r="P243" s="366" t="e">
        <f>VALO_PERSO!#REF!</f>
        <v>#REF!</v>
      </c>
      <c r="Q243" s="366" t="e">
        <f>VALO_PERSO!#REF!</f>
        <v>#REF!</v>
      </c>
      <c r="R243" s="366" t="e">
        <f>VALO_PERSO!#REF!</f>
        <v>#REF!</v>
      </c>
      <c r="S243" s="384" t="e">
        <f>VALO_PERSO!#REF!-VALO_PERSO!#REF!</f>
        <v>#REF!</v>
      </c>
      <c r="T243" s="366" t="e">
        <f t="shared" ref="T243" si="136">S243*R243</f>
        <v>#REF!</v>
      </c>
    </row>
    <row r="244" spans="1:20" s="111" customFormat="1" ht="15.75" thickBot="1" x14ac:dyDescent="0.3">
      <c r="A244" s="111" t="s">
        <v>813</v>
      </c>
      <c r="B244" s="362" t="e">
        <f>VALO_PERSO!#REF!</f>
        <v>#REF!</v>
      </c>
      <c r="C244" s="362" t="e">
        <f t="shared" ref="C244" si="137">CONCATENATE(C88," ",D88)</f>
        <v>#REF!</v>
      </c>
      <c r="D244" s="362" t="e">
        <f>VALO_PERSO!#REF!</f>
        <v>#REF!</v>
      </c>
      <c r="E244" s="362" t="e">
        <f>VALO_PERSO!#REF!</f>
        <v>#REF!</v>
      </c>
      <c r="F244" s="363" t="e">
        <f>VALO_PERSO!#REF!</f>
        <v>#REF!</v>
      </c>
      <c r="G244" s="363" t="e">
        <f t="shared" ref="G244" si="138">IF(F244&lt;DATE(2024,1,1),DATE(2024,1,1),F244)</f>
        <v>#REF!</v>
      </c>
      <c r="H244" s="363" t="e">
        <f>VALO_PERSO!#REF!</f>
        <v>#REF!</v>
      </c>
      <c r="I244" s="363" t="e">
        <f t="shared" ref="I244" si="139">IF(OR(ISBLANK(H244),H244=0),DATE(2024,12,31),H244)</f>
        <v>#REF!</v>
      </c>
      <c r="J244" s="362" t="e">
        <f t="shared" ref="J244" si="140">I244-G244</f>
        <v>#REF!</v>
      </c>
      <c r="K244" s="362" t="e">
        <f t="shared" ref="K244" si="141">((J244/365)*12)/12</f>
        <v>#REF!</v>
      </c>
      <c r="L244" s="362"/>
      <c r="M244" s="362" t="e">
        <f>VALO_PERSO!#REF!</f>
        <v>#REF!</v>
      </c>
      <c r="N244" s="382" t="e">
        <f t="shared" ref="N244" si="142">S244/M244</f>
        <v>#REF!</v>
      </c>
      <c r="O244" s="383" t="e">
        <f t="shared" ref="O244" si="143">P244/12</f>
        <v>#REF!</v>
      </c>
      <c r="P244" s="366" t="e">
        <f>VALO_PERSO!#REF!</f>
        <v>#REF!</v>
      </c>
      <c r="Q244" s="366" t="e">
        <f>VALO_PERSO!#REF!</f>
        <v>#REF!</v>
      </c>
      <c r="R244" s="366" t="e">
        <f>VALO_PERSO!#REF!</f>
        <v>#REF!</v>
      </c>
      <c r="S244" s="384" t="e">
        <f>VALO_PERSO!#REF!-VALO_PERSO!#REF!</f>
        <v>#REF!</v>
      </c>
      <c r="T244" s="366" t="e">
        <f t="shared" ref="T244" si="144">S244*R244</f>
        <v>#REF!</v>
      </c>
    </row>
    <row r="245" spans="1:20" s="111" customFormat="1" ht="15.75" thickBot="1" x14ac:dyDescent="0.3">
      <c r="A245" s="111" t="s">
        <v>813</v>
      </c>
      <c r="B245" s="362" t="e">
        <f>VALO_PERSO!#REF!</f>
        <v>#REF!</v>
      </c>
      <c r="C245" s="362" t="str">
        <f t="shared" ref="C245" si="145">CONCATENATE(C89," ",D89)</f>
        <v>CREPIN Lucie</v>
      </c>
      <c r="D245" s="362" t="e">
        <f>VALO_PERSO!#REF!</f>
        <v>#REF!</v>
      </c>
      <c r="E245" s="362" t="e">
        <f>VALO_PERSO!#REF!</f>
        <v>#REF!</v>
      </c>
      <c r="F245" s="363" t="e">
        <f>VALO_PERSO!#REF!</f>
        <v>#REF!</v>
      </c>
      <c r="G245" s="363" t="e">
        <f t="shared" ref="G245" si="146">IF(F245&lt;DATE(2024,1,1),DATE(2024,1,1),F245)</f>
        <v>#REF!</v>
      </c>
      <c r="H245" s="363" t="e">
        <f>VALO_PERSO!#REF!</f>
        <v>#REF!</v>
      </c>
      <c r="I245" s="363" t="e">
        <f t="shared" ref="I245" si="147">IF(OR(ISBLANK(H245),H245=0),DATE(2024,12,31),H245)</f>
        <v>#REF!</v>
      </c>
      <c r="J245" s="362" t="e">
        <f t="shared" ref="J245" si="148">I245-G245</f>
        <v>#REF!</v>
      </c>
      <c r="K245" s="362" t="e">
        <f t="shared" ref="K245" si="149">((J245/365)*12)/12</f>
        <v>#REF!</v>
      </c>
      <c r="L245" s="362"/>
      <c r="M245" s="362" t="e">
        <f>VALO_PERSO!#REF!</f>
        <v>#REF!</v>
      </c>
      <c r="N245" s="382" t="e">
        <f t="shared" ref="N245" si="150">S245/M245</f>
        <v>#REF!</v>
      </c>
      <c r="O245" s="383" t="e">
        <f t="shared" ref="O245" si="151">P245/12</f>
        <v>#REF!</v>
      </c>
      <c r="P245" s="366" t="e">
        <f>VALO_PERSO!#REF!</f>
        <v>#REF!</v>
      </c>
      <c r="Q245" s="366" t="e">
        <f>VALO_PERSO!#REF!</f>
        <v>#REF!</v>
      </c>
      <c r="R245" s="366" t="e">
        <f>VALO_PERSO!#REF!</f>
        <v>#REF!</v>
      </c>
      <c r="S245" s="384" t="e">
        <f>VALO_PERSO!#REF!-VALO_PERSO!#REF!</f>
        <v>#REF!</v>
      </c>
      <c r="T245" s="366" t="e">
        <f t="shared" ref="T245" si="152">S245*R245</f>
        <v>#REF!</v>
      </c>
    </row>
    <row r="246" spans="1:20" s="111" customFormat="1" ht="15.75" thickBot="1" x14ac:dyDescent="0.3">
      <c r="A246" s="111" t="s">
        <v>813</v>
      </c>
      <c r="B246" s="362" t="e">
        <f>VALO_PERSO!#REF!</f>
        <v>#REF!</v>
      </c>
      <c r="C246" s="362" t="str">
        <f t="shared" ref="C246" si="153">CONCATENATE(C87," ",D87)</f>
        <v>AMILLASTRE Emilie</v>
      </c>
      <c r="D246" s="362" t="e">
        <f>VALO_PERSO!#REF!</f>
        <v>#REF!</v>
      </c>
      <c r="E246" s="362" t="e">
        <f>VALO_PERSO!#REF!</f>
        <v>#REF!</v>
      </c>
      <c r="F246" s="363" t="e">
        <f>VALO_PERSO!#REF!</f>
        <v>#REF!</v>
      </c>
      <c r="G246" s="363" t="e">
        <f t="shared" si="47"/>
        <v>#REF!</v>
      </c>
      <c r="H246" s="363" t="e">
        <f>VALO_PERSO!#REF!</f>
        <v>#REF!</v>
      </c>
      <c r="I246" s="363" t="e">
        <f t="shared" si="48"/>
        <v>#REF!</v>
      </c>
      <c r="J246" s="362" t="e">
        <f t="shared" si="49"/>
        <v>#REF!</v>
      </c>
      <c r="K246" s="362" t="e">
        <f t="shared" si="50"/>
        <v>#REF!</v>
      </c>
      <c r="L246" s="362"/>
      <c r="M246" s="362" t="e">
        <f>VALO_PERSO!#REF!</f>
        <v>#REF!</v>
      </c>
      <c r="N246" s="382" t="e">
        <f t="shared" si="51"/>
        <v>#REF!</v>
      </c>
      <c r="O246" s="383" t="e">
        <f t="shared" si="52"/>
        <v>#REF!</v>
      </c>
      <c r="P246" s="366" t="e">
        <f>VALO_PERSO!#REF!</f>
        <v>#REF!</v>
      </c>
      <c r="Q246" s="366" t="e">
        <f>VALO_PERSO!#REF!</f>
        <v>#REF!</v>
      </c>
      <c r="R246" s="366" t="e">
        <f>VALO_PERSO!#REF!</f>
        <v>#REF!</v>
      </c>
      <c r="S246" s="384" t="e">
        <f>VALO_PERSO!#REF!-VALO_PERSO!#REF!</f>
        <v>#REF!</v>
      </c>
      <c r="T246" s="366" t="e">
        <f t="shared" si="53"/>
        <v>#REF!</v>
      </c>
    </row>
    <row r="247" spans="1:20" s="111" customFormat="1" ht="15.75" thickBot="1" x14ac:dyDescent="0.3">
      <c r="A247" s="111" t="s">
        <v>813</v>
      </c>
      <c r="B247" s="362" t="e">
        <f>VALO_PERSO!#REF!</f>
        <v>#REF!</v>
      </c>
      <c r="C247" s="362" t="e">
        <f t="shared" ref="C247" si="154">CONCATENATE(C88," ",D88)</f>
        <v>#REF!</v>
      </c>
      <c r="D247" s="362" t="e">
        <f>VALO_PERSO!#REF!</f>
        <v>#REF!</v>
      </c>
      <c r="E247" s="362" t="e">
        <f>VALO_PERSO!#REF!</f>
        <v>#REF!</v>
      </c>
      <c r="F247" s="363" t="e">
        <f>VALO_PERSO!#REF!</f>
        <v>#REF!</v>
      </c>
      <c r="G247" s="363" t="e">
        <f t="shared" ref="G247" si="155">IF(F247&lt;DATE(2024,1,1),DATE(2024,1,1),F247)</f>
        <v>#REF!</v>
      </c>
      <c r="H247" s="363" t="e">
        <f>VALO_PERSO!#REF!</f>
        <v>#REF!</v>
      </c>
      <c r="I247" s="363" t="e">
        <f t="shared" ref="I247" si="156">IF(OR(ISBLANK(H247),H247=0),DATE(2024,12,31),H247)</f>
        <v>#REF!</v>
      </c>
      <c r="J247" s="362" t="e">
        <f t="shared" ref="J247" si="157">I247-G247</f>
        <v>#REF!</v>
      </c>
      <c r="K247" s="362" t="e">
        <f t="shared" ref="K247" si="158">((J247/365)*12)/12</f>
        <v>#REF!</v>
      </c>
      <c r="L247" s="362"/>
      <c r="M247" s="362" t="e">
        <f>VALO_PERSO!#REF!</f>
        <v>#REF!</v>
      </c>
      <c r="N247" s="382" t="e">
        <f t="shared" ref="N247" si="159">S247/M247</f>
        <v>#REF!</v>
      </c>
      <c r="O247" s="383" t="e">
        <f t="shared" ref="O247" si="160">P247/12</f>
        <v>#REF!</v>
      </c>
      <c r="P247" s="366" t="e">
        <f>VALO_PERSO!#REF!</f>
        <v>#REF!</v>
      </c>
      <c r="Q247" s="366" t="e">
        <f>VALO_PERSO!#REF!</f>
        <v>#REF!</v>
      </c>
      <c r="R247" s="366" t="e">
        <f>VALO_PERSO!#REF!</f>
        <v>#REF!</v>
      </c>
      <c r="S247" s="384" t="e">
        <f>VALO_PERSO!#REF!-VALO_PERSO!#REF!</f>
        <v>#REF!</v>
      </c>
      <c r="T247" s="366" t="e">
        <f t="shared" ref="T247" si="161">S247*R247</f>
        <v>#REF!</v>
      </c>
    </row>
    <row r="248" spans="1:20" s="111" customFormat="1" ht="15.75" thickBot="1" x14ac:dyDescent="0.3">
      <c r="A248" s="111" t="s">
        <v>813</v>
      </c>
      <c r="B248" s="362" t="e">
        <f>VALO_PERSO!#REF!</f>
        <v>#REF!</v>
      </c>
      <c r="C248" s="362" t="e">
        <f t="shared" ref="C248" si="162">CONCATENATE(C88," ",D88)</f>
        <v>#REF!</v>
      </c>
      <c r="D248" s="362" t="e">
        <f>VALO_PERSO!#REF!</f>
        <v>#REF!</v>
      </c>
      <c r="E248" s="362" t="e">
        <f>VALO_PERSO!#REF!</f>
        <v>#REF!</v>
      </c>
      <c r="F248" s="363" t="e">
        <f>VALO_PERSO!#REF!</f>
        <v>#REF!</v>
      </c>
      <c r="G248" s="363" t="e">
        <f t="shared" ref="G248" si="163">IF(F248&lt;DATE(2024,1,1),DATE(2024,1,1),F248)</f>
        <v>#REF!</v>
      </c>
      <c r="H248" s="363" t="e">
        <f>VALO_PERSO!#REF!</f>
        <v>#REF!</v>
      </c>
      <c r="I248" s="363" t="e">
        <f t="shared" ref="I248" si="164">IF(OR(ISBLANK(H248),H248=0),DATE(2024,12,31),H248)</f>
        <v>#REF!</v>
      </c>
      <c r="J248" s="362" t="e">
        <f t="shared" ref="J248" si="165">I248-G248</f>
        <v>#REF!</v>
      </c>
      <c r="K248" s="362" t="e">
        <f t="shared" ref="K248" si="166">((J248/365)*12)/12</f>
        <v>#REF!</v>
      </c>
      <c r="L248" s="362"/>
      <c r="M248" s="362" t="e">
        <f>VALO_PERSO!#REF!</f>
        <v>#REF!</v>
      </c>
      <c r="N248" s="382" t="e">
        <f t="shared" ref="N248" si="167">S248/M248</f>
        <v>#REF!</v>
      </c>
      <c r="O248" s="383" t="e">
        <f t="shared" ref="O248" si="168">P248/12</f>
        <v>#REF!</v>
      </c>
      <c r="P248" s="366" t="e">
        <f>VALO_PERSO!#REF!</f>
        <v>#REF!</v>
      </c>
      <c r="Q248" s="366" t="e">
        <f>VALO_PERSO!#REF!</f>
        <v>#REF!</v>
      </c>
      <c r="R248" s="366" t="e">
        <f>VALO_PERSO!#REF!</f>
        <v>#REF!</v>
      </c>
      <c r="S248" s="384" t="e">
        <f>VALO_PERSO!#REF!-VALO_PERSO!#REF!</f>
        <v>#REF!</v>
      </c>
      <c r="T248" s="366" t="e">
        <f t="shared" ref="T248" si="169">S248*R248</f>
        <v>#REF!</v>
      </c>
    </row>
    <row r="249" spans="1:20" s="111" customFormat="1" ht="15.75" thickBot="1" x14ac:dyDescent="0.3">
      <c r="A249" s="111" t="s">
        <v>813</v>
      </c>
      <c r="B249" s="362" t="e">
        <f>VALO_PERSO!#REF!</f>
        <v>#REF!</v>
      </c>
      <c r="C249" s="362" t="str">
        <f t="shared" ref="C249" si="170">CONCATENATE(C89," ",D89)</f>
        <v>CREPIN Lucie</v>
      </c>
      <c r="D249" s="362" t="e">
        <f>VALO_PERSO!#REF!</f>
        <v>#REF!</v>
      </c>
      <c r="E249" s="362" t="e">
        <f>VALO_PERSO!#REF!</f>
        <v>#REF!</v>
      </c>
      <c r="F249" s="363" t="e">
        <f>VALO_PERSO!#REF!</f>
        <v>#REF!</v>
      </c>
      <c r="G249" s="363" t="e">
        <f t="shared" ref="G249" si="171">IF(F249&lt;DATE(2024,1,1),DATE(2024,1,1),F249)</f>
        <v>#REF!</v>
      </c>
      <c r="H249" s="363" t="e">
        <f>VALO_PERSO!#REF!</f>
        <v>#REF!</v>
      </c>
      <c r="I249" s="363" t="e">
        <f t="shared" ref="I249" si="172">IF(OR(ISBLANK(H249),H249=0),DATE(2024,12,31),H249)</f>
        <v>#REF!</v>
      </c>
      <c r="J249" s="362" t="e">
        <f t="shared" ref="J249" si="173">I249-G249</f>
        <v>#REF!</v>
      </c>
      <c r="K249" s="362" t="e">
        <f t="shared" ref="K249" si="174">((J249/365)*12)/12</f>
        <v>#REF!</v>
      </c>
      <c r="L249" s="362"/>
      <c r="M249" s="362" t="e">
        <f>VALO_PERSO!#REF!</f>
        <v>#REF!</v>
      </c>
      <c r="N249" s="382" t="e">
        <f t="shared" ref="N249" si="175">S249/M249</f>
        <v>#REF!</v>
      </c>
      <c r="O249" s="383" t="e">
        <f t="shared" ref="O249" si="176">P249/12</f>
        <v>#REF!</v>
      </c>
      <c r="P249" s="366" t="e">
        <f>VALO_PERSO!#REF!</f>
        <v>#REF!</v>
      </c>
      <c r="Q249" s="366" t="e">
        <f>VALO_PERSO!#REF!</f>
        <v>#REF!</v>
      </c>
      <c r="R249" s="366" t="e">
        <f>VALO_PERSO!#REF!</f>
        <v>#REF!</v>
      </c>
      <c r="S249" s="384" t="e">
        <f>VALO_PERSO!#REF!-VALO_PERSO!#REF!</f>
        <v>#REF!</v>
      </c>
      <c r="T249" s="366" t="e">
        <f t="shared" ref="T249" si="177">S249*R249</f>
        <v>#REF!</v>
      </c>
    </row>
    <row r="250" spans="1:20" s="111" customFormat="1" ht="15.75" thickBot="1" x14ac:dyDescent="0.3">
      <c r="A250" s="111" t="s">
        <v>813</v>
      </c>
      <c r="B250" s="362" t="e">
        <f>VALO_PERSO!#REF!</f>
        <v>#REF!</v>
      </c>
      <c r="C250" s="362" t="str">
        <f t="shared" ref="C250" si="178">CONCATENATE(C87," ",D87)</f>
        <v>AMILLASTRE Emilie</v>
      </c>
      <c r="D250" s="362" t="e">
        <f>VALO_PERSO!#REF!</f>
        <v>#REF!</v>
      </c>
      <c r="E250" s="362" t="e">
        <f>VALO_PERSO!#REF!</f>
        <v>#REF!</v>
      </c>
      <c r="F250" s="363" t="e">
        <f>VALO_PERSO!#REF!</f>
        <v>#REF!</v>
      </c>
      <c r="G250" s="363" t="e">
        <f t="shared" si="47"/>
        <v>#REF!</v>
      </c>
      <c r="H250" s="363" t="e">
        <f>VALO_PERSO!#REF!</f>
        <v>#REF!</v>
      </c>
      <c r="I250" s="363" t="e">
        <f t="shared" si="48"/>
        <v>#REF!</v>
      </c>
      <c r="J250" s="362" t="e">
        <f t="shared" si="49"/>
        <v>#REF!</v>
      </c>
      <c r="K250" s="362" t="e">
        <f t="shared" si="50"/>
        <v>#REF!</v>
      </c>
      <c r="L250" s="362"/>
      <c r="M250" s="362" t="e">
        <f>VALO_PERSO!#REF!</f>
        <v>#REF!</v>
      </c>
      <c r="N250" s="382" t="e">
        <f t="shared" si="51"/>
        <v>#REF!</v>
      </c>
      <c r="O250" s="383" t="e">
        <f t="shared" si="52"/>
        <v>#REF!</v>
      </c>
      <c r="P250" s="366" t="e">
        <f>VALO_PERSO!#REF!</f>
        <v>#REF!</v>
      </c>
      <c r="Q250" s="366" t="e">
        <f>VALO_PERSO!#REF!</f>
        <v>#REF!</v>
      </c>
      <c r="R250" s="366" t="e">
        <f>VALO_PERSO!#REF!</f>
        <v>#REF!</v>
      </c>
      <c r="S250" s="384" t="e">
        <f>VALO_PERSO!#REF!-VALO_PERSO!#REF!</f>
        <v>#REF!</v>
      </c>
      <c r="T250" s="366" t="e">
        <f t="shared" si="53"/>
        <v>#REF!</v>
      </c>
    </row>
    <row r="251" spans="1:20" s="111" customFormat="1" ht="15.75" thickBot="1" x14ac:dyDescent="0.3">
      <c r="A251" s="111" t="s">
        <v>813</v>
      </c>
      <c r="B251" s="362" t="e">
        <f>VALO_PERSO!#REF!</f>
        <v>#REF!</v>
      </c>
      <c r="C251" s="362" t="e">
        <f t="shared" ref="C251" si="179">CONCATENATE(C88," ",D88)</f>
        <v>#REF!</v>
      </c>
      <c r="D251" s="362" t="e">
        <f>VALO_PERSO!#REF!</f>
        <v>#REF!</v>
      </c>
      <c r="E251" s="362" t="e">
        <f>VALO_PERSO!#REF!</f>
        <v>#REF!</v>
      </c>
      <c r="F251" s="363" t="e">
        <f>VALO_PERSO!#REF!</f>
        <v>#REF!</v>
      </c>
      <c r="G251" s="363" t="e">
        <f t="shared" ref="G251" si="180">IF(F251&lt;DATE(2024,1,1),DATE(2024,1,1),F251)</f>
        <v>#REF!</v>
      </c>
      <c r="H251" s="363" t="e">
        <f>VALO_PERSO!#REF!</f>
        <v>#REF!</v>
      </c>
      <c r="I251" s="363" t="e">
        <f t="shared" ref="I251" si="181">IF(OR(ISBLANK(H251),H251=0),DATE(2024,12,31),H251)</f>
        <v>#REF!</v>
      </c>
      <c r="J251" s="362" t="e">
        <f t="shared" ref="J251" si="182">I251-G251</f>
        <v>#REF!</v>
      </c>
      <c r="K251" s="362" t="e">
        <f t="shared" ref="K251" si="183">((J251/365)*12)/12</f>
        <v>#REF!</v>
      </c>
      <c r="L251" s="362"/>
      <c r="M251" s="362" t="e">
        <f>VALO_PERSO!#REF!</f>
        <v>#REF!</v>
      </c>
      <c r="N251" s="382" t="e">
        <f t="shared" ref="N251" si="184">S251/M251</f>
        <v>#REF!</v>
      </c>
      <c r="O251" s="383" t="e">
        <f t="shared" ref="O251" si="185">P251/12</f>
        <v>#REF!</v>
      </c>
      <c r="P251" s="366" t="e">
        <f>VALO_PERSO!#REF!</f>
        <v>#REF!</v>
      </c>
      <c r="Q251" s="366" t="e">
        <f>VALO_PERSO!#REF!</f>
        <v>#REF!</v>
      </c>
      <c r="R251" s="366" t="e">
        <f>VALO_PERSO!#REF!</f>
        <v>#REF!</v>
      </c>
      <c r="S251" s="384" t="e">
        <f>VALO_PERSO!#REF!-VALO_PERSO!#REF!</f>
        <v>#REF!</v>
      </c>
      <c r="T251" s="366" t="e">
        <f t="shared" ref="T251" si="186">S251*R251</f>
        <v>#REF!</v>
      </c>
    </row>
    <row r="252" spans="1:20" s="111" customFormat="1" ht="15.75" thickBot="1" x14ac:dyDescent="0.3">
      <c r="A252" s="111" t="s">
        <v>813</v>
      </c>
      <c r="B252" s="362" t="e">
        <f>VALO_PERSO!#REF!</f>
        <v>#REF!</v>
      </c>
      <c r="C252" s="362" t="e">
        <f t="shared" ref="C252" si="187">CONCATENATE(C88," ",D88)</f>
        <v>#REF!</v>
      </c>
      <c r="D252" s="362" t="e">
        <f>VALO_PERSO!#REF!</f>
        <v>#REF!</v>
      </c>
      <c r="E252" s="362" t="e">
        <f>VALO_PERSO!#REF!</f>
        <v>#REF!</v>
      </c>
      <c r="F252" s="363" t="e">
        <f>VALO_PERSO!#REF!</f>
        <v>#REF!</v>
      </c>
      <c r="G252" s="363" t="e">
        <f t="shared" ref="G252" si="188">IF(F252&lt;DATE(2024,1,1),DATE(2024,1,1),F252)</f>
        <v>#REF!</v>
      </c>
      <c r="H252" s="363" t="e">
        <f>VALO_PERSO!#REF!</f>
        <v>#REF!</v>
      </c>
      <c r="I252" s="363" t="e">
        <f t="shared" ref="I252" si="189">IF(OR(ISBLANK(H252),H252=0),DATE(2024,12,31),H252)</f>
        <v>#REF!</v>
      </c>
      <c r="J252" s="362" t="e">
        <f t="shared" ref="J252" si="190">I252-G252</f>
        <v>#REF!</v>
      </c>
      <c r="K252" s="362" t="e">
        <f t="shared" ref="K252" si="191">((J252/365)*12)/12</f>
        <v>#REF!</v>
      </c>
      <c r="L252" s="362"/>
      <c r="M252" s="362" t="e">
        <f>VALO_PERSO!#REF!</f>
        <v>#REF!</v>
      </c>
      <c r="N252" s="382" t="e">
        <f t="shared" ref="N252" si="192">S252/M252</f>
        <v>#REF!</v>
      </c>
      <c r="O252" s="383" t="e">
        <f t="shared" ref="O252" si="193">P252/12</f>
        <v>#REF!</v>
      </c>
      <c r="P252" s="366" t="e">
        <f>VALO_PERSO!#REF!</f>
        <v>#REF!</v>
      </c>
      <c r="Q252" s="366" t="e">
        <f>VALO_PERSO!#REF!</f>
        <v>#REF!</v>
      </c>
      <c r="R252" s="366" t="e">
        <f>VALO_PERSO!#REF!</f>
        <v>#REF!</v>
      </c>
      <c r="S252" s="384" t="e">
        <f>VALO_PERSO!#REF!-VALO_PERSO!#REF!</f>
        <v>#REF!</v>
      </c>
      <c r="T252" s="366" t="e">
        <f t="shared" ref="T252" si="194">S252*R252</f>
        <v>#REF!</v>
      </c>
    </row>
    <row r="253" spans="1:20" s="111" customFormat="1" ht="15.75" thickBot="1" x14ac:dyDescent="0.3">
      <c r="A253" s="111" t="s">
        <v>813</v>
      </c>
      <c r="B253" s="362" t="e">
        <f>VALO_PERSO!#REF!</f>
        <v>#REF!</v>
      </c>
      <c r="C253" s="362" t="str">
        <f t="shared" ref="C253" si="195">CONCATENATE(C89," ",D89)</f>
        <v>CREPIN Lucie</v>
      </c>
      <c r="D253" s="362" t="e">
        <f>VALO_PERSO!#REF!</f>
        <v>#REF!</v>
      </c>
      <c r="E253" s="362" t="e">
        <f>VALO_PERSO!#REF!</f>
        <v>#REF!</v>
      </c>
      <c r="F253" s="363" t="e">
        <f>VALO_PERSO!#REF!</f>
        <v>#REF!</v>
      </c>
      <c r="G253" s="363" t="e">
        <f t="shared" ref="G253" si="196">IF(F253&lt;DATE(2024,1,1),DATE(2024,1,1),F253)</f>
        <v>#REF!</v>
      </c>
      <c r="H253" s="363" t="e">
        <f>VALO_PERSO!#REF!</f>
        <v>#REF!</v>
      </c>
      <c r="I253" s="363" t="e">
        <f t="shared" ref="I253" si="197">IF(OR(ISBLANK(H253),H253=0),DATE(2024,12,31),H253)</f>
        <v>#REF!</v>
      </c>
      <c r="J253" s="362" t="e">
        <f t="shared" ref="J253" si="198">I253-G253</f>
        <v>#REF!</v>
      </c>
      <c r="K253" s="362" t="e">
        <f t="shared" ref="K253" si="199">((J253/365)*12)/12</f>
        <v>#REF!</v>
      </c>
      <c r="L253" s="362"/>
      <c r="M253" s="362" t="e">
        <f>VALO_PERSO!#REF!</f>
        <v>#REF!</v>
      </c>
      <c r="N253" s="382" t="e">
        <f t="shared" ref="N253" si="200">S253/M253</f>
        <v>#REF!</v>
      </c>
      <c r="O253" s="383" t="e">
        <f t="shared" ref="O253" si="201">P253/12</f>
        <v>#REF!</v>
      </c>
      <c r="P253" s="366" t="e">
        <f>VALO_PERSO!#REF!</f>
        <v>#REF!</v>
      </c>
      <c r="Q253" s="366" t="e">
        <f>VALO_PERSO!#REF!</f>
        <v>#REF!</v>
      </c>
      <c r="R253" s="366" t="e">
        <f>VALO_PERSO!#REF!</f>
        <v>#REF!</v>
      </c>
      <c r="S253" s="384" t="e">
        <f>VALO_PERSO!#REF!-VALO_PERSO!#REF!</f>
        <v>#REF!</v>
      </c>
      <c r="T253" s="366" t="e">
        <f t="shared" ref="T253" si="202">S253*R253</f>
        <v>#REF!</v>
      </c>
    </row>
    <row r="254" spans="1:20" s="111" customFormat="1" ht="15.75" thickBot="1" x14ac:dyDescent="0.3">
      <c r="A254" s="111" t="s">
        <v>813</v>
      </c>
      <c r="B254" s="362" t="e">
        <f>VALO_PERSO!#REF!</f>
        <v>#REF!</v>
      </c>
      <c r="C254" s="362" t="str">
        <f t="shared" ref="C254" si="203">CONCATENATE(C87," ",D87)</f>
        <v>AMILLASTRE Emilie</v>
      </c>
      <c r="D254" s="362" t="e">
        <f>VALO_PERSO!#REF!</f>
        <v>#REF!</v>
      </c>
      <c r="E254" s="362" t="e">
        <f>VALO_PERSO!#REF!</f>
        <v>#REF!</v>
      </c>
      <c r="F254" s="363" t="e">
        <f>VALO_PERSO!#REF!</f>
        <v>#REF!</v>
      </c>
      <c r="G254" s="363" t="e">
        <f t="shared" si="47"/>
        <v>#REF!</v>
      </c>
      <c r="H254" s="363" t="e">
        <f>VALO_PERSO!#REF!</f>
        <v>#REF!</v>
      </c>
      <c r="I254" s="363" t="e">
        <f t="shared" si="48"/>
        <v>#REF!</v>
      </c>
      <c r="J254" s="362" t="e">
        <f t="shared" si="49"/>
        <v>#REF!</v>
      </c>
      <c r="K254" s="362" t="e">
        <f t="shared" si="50"/>
        <v>#REF!</v>
      </c>
      <c r="L254" s="362"/>
      <c r="M254" s="362" t="e">
        <f>VALO_PERSO!#REF!</f>
        <v>#REF!</v>
      </c>
      <c r="N254" s="382" t="e">
        <f t="shared" si="51"/>
        <v>#REF!</v>
      </c>
      <c r="O254" s="383" t="e">
        <f t="shared" si="52"/>
        <v>#REF!</v>
      </c>
      <c r="P254" s="366" t="e">
        <f>VALO_PERSO!#REF!</f>
        <v>#REF!</v>
      </c>
      <c r="Q254" s="366" t="e">
        <f>VALO_PERSO!#REF!</f>
        <v>#REF!</v>
      </c>
      <c r="R254" s="366" t="e">
        <f>VALO_PERSO!#REF!</f>
        <v>#REF!</v>
      </c>
      <c r="S254" s="384" t="e">
        <f>VALO_PERSO!#REF!-VALO_PERSO!#REF!</f>
        <v>#REF!</v>
      </c>
      <c r="T254" s="366" t="e">
        <f t="shared" si="53"/>
        <v>#REF!</v>
      </c>
    </row>
    <row r="255" spans="1:20" s="111" customFormat="1" ht="15.75" thickBot="1" x14ac:dyDescent="0.3">
      <c r="A255" s="111" t="s">
        <v>813</v>
      </c>
      <c r="B255" s="362" t="e">
        <f>VALO_PERSO!#REF!</f>
        <v>#REF!</v>
      </c>
      <c r="C255" s="362" t="e">
        <f t="shared" ref="C255" si="204">CONCATENATE(C88," ",D88)</f>
        <v>#REF!</v>
      </c>
      <c r="D255" s="362" t="e">
        <f>VALO_PERSO!#REF!</f>
        <v>#REF!</v>
      </c>
      <c r="E255" s="362" t="e">
        <f>VALO_PERSO!#REF!</f>
        <v>#REF!</v>
      </c>
      <c r="F255" s="363" t="e">
        <f>VALO_PERSO!#REF!</f>
        <v>#REF!</v>
      </c>
      <c r="G255" s="363" t="e">
        <f t="shared" ref="G255" si="205">IF(F255&lt;DATE(2024,1,1),DATE(2024,1,1),F255)</f>
        <v>#REF!</v>
      </c>
      <c r="H255" s="363" t="e">
        <f>VALO_PERSO!#REF!</f>
        <v>#REF!</v>
      </c>
      <c r="I255" s="363" t="e">
        <f t="shared" ref="I255" si="206">IF(OR(ISBLANK(H255),H255=0),DATE(2024,12,31),H255)</f>
        <v>#REF!</v>
      </c>
      <c r="J255" s="362" t="e">
        <f t="shared" ref="J255" si="207">I255-G255</f>
        <v>#REF!</v>
      </c>
      <c r="K255" s="362" t="e">
        <f t="shared" ref="K255" si="208">((J255/365)*12)/12</f>
        <v>#REF!</v>
      </c>
      <c r="L255" s="362"/>
      <c r="M255" s="362" t="e">
        <f>VALO_PERSO!#REF!</f>
        <v>#REF!</v>
      </c>
      <c r="N255" s="382" t="e">
        <f t="shared" ref="N255" si="209">S255/M255</f>
        <v>#REF!</v>
      </c>
      <c r="O255" s="383" t="e">
        <f t="shared" ref="O255" si="210">P255/12</f>
        <v>#REF!</v>
      </c>
      <c r="P255" s="366" t="e">
        <f>VALO_PERSO!#REF!</f>
        <v>#REF!</v>
      </c>
      <c r="Q255" s="366" t="e">
        <f>VALO_PERSO!#REF!</f>
        <v>#REF!</v>
      </c>
      <c r="R255" s="366" t="e">
        <f>VALO_PERSO!#REF!</f>
        <v>#REF!</v>
      </c>
      <c r="S255" s="384" t="e">
        <f>VALO_PERSO!#REF!-VALO_PERSO!#REF!</f>
        <v>#REF!</v>
      </c>
      <c r="T255" s="366" t="e">
        <f t="shared" ref="T255" si="211">S255*R255</f>
        <v>#REF!</v>
      </c>
    </row>
    <row r="256" spans="1:20" s="111" customFormat="1" ht="15.75" thickBot="1" x14ac:dyDescent="0.3">
      <c r="A256" s="111" t="s">
        <v>813</v>
      </c>
      <c r="B256" s="362" t="e">
        <f>VALO_PERSO!#REF!</f>
        <v>#REF!</v>
      </c>
      <c r="C256" s="362" t="e">
        <f t="shared" ref="C256" si="212">CONCATENATE(C88," ",D88)</f>
        <v>#REF!</v>
      </c>
      <c r="D256" s="362" t="e">
        <f>VALO_PERSO!#REF!</f>
        <v>#REF!</v>
      </c>
      <c r="E256" s="362" t="e">
        <f>VALO_PERSO!#REF!</f>
        <v>#REF!</v>
      </c>
      <c r="F256" s="363" t="e">
        <f>VALO_PERSO!#REF!</f>
        <v>#REF!</v>
      </c>
      <c r="G256" s="363" t="e">
        <f t="shared" ref="G256" si="213">IF(F256&lt;DATE(2024,1,1),DATE(2024,1,1),F256)</f>
        <v>#REF!</v>
      </c>
      <c r="H256" s="363" t="e">
        <f>VALO_PERSO!#REF!</f>
        <v>#REF!</v>
      </c>
      <c r="I256" s="363" t="e">
        <f t="shared" ref="I256" si="214">IF(OR(ISBLANK(H256),H256=0),DATE(2024,12,31),H256)</f>
        <v>#REF!</v>
      </c>
      <c r="J256" s="362" t="e">
        <f t="shared" ref="J256" si="215">I256-G256</f>
        <v>#REF!</v>
      </c>
      <c r="K256" s="362" t="e">
        <f t="shared" ref="K256" si="216">((J256/365)*12)/12</f>
        <v>#REF!</v>
      </c>
      <c r="L256" s="362"/>
      <c r="M256" s="362" t="e">
        <f>VALO_PERSO!#REF!</f>
        <v>#REF!</v>
      </c>
      <c r="N256" s="382" t="e">
        <f t="shared" ref="N256" si="217">S256/M256</f>
        <v>#REF!</v>
      </c>
      <c r="O256" s="383" t="e">
        <f t="shared" ref="O256" si="218">P256/12</f>
        <v>#REF!</v>
      </c>
      <c r="P256" s="366" t="e">
        <f>VALO_PERSO!#REF!</f>
        <v>#REF!</v>
      </c>
      <c r="Q256" s="366" t="e">
        <f>VALO_PERSO!#REF!</f>
        <v>#REF!</v>
      </c>
      <c r="R256" s="366" t="e">
        <f>VALO_PERSO!#REF!</f>
        <v>#REF!</v>
      </c>
      <c r="S256" s="384" t="e">
        <f>VALO_PERSO!#REF!-VALO_PERSO!#REF!</f>
        <v>#REF!</v>
      </c>
      <c r="T256" s="366" t="e">
        <f t="shared" ref="T256" si="219">S256*R256</f>
        <v>#REF!</v>
      </c>
    </row>
    <row r="257" spans="1:20" s="111" customFormat="1" ht="15.75" thickBot="1" x14ac:dyDescent="0.3">
      <c r="A257" s="111" t="s">
        <v>813</v>
      </c>
      <c r="B257" s="362" t="e">
        <f>VALO_PERSO!#REF!</f>
        <v>#REF!</v>
      </c>
      <c r="C257" s="362" t="str">
        <f t="shared" ref="C257" si="220">CONCATENATE(C89," ",D89)</f>
        <v>CREPIN Lucie</v>
      </c>
      <c r="D257" s="362" t="e">
        <f>VALO_PERSO!#REF!</f>
        <v>#REF!</v>
      </c>
      <c r="E257" s="362" t="e">
        <f>VALO_PERSO!#REF!</f>
        <v>#REF!</v>
      </c>
      <c r="F257" s="363" t="e">
        <f>VALO_PERSO!#REF!</f>
        <v>#REF!</v>
      </c>
      <c r="G257" s="363" t="e">
        <f t="shared" ref="G257" si="221">IF(F257&lt;DATE(2024,1,1),DATE(2024,1,1),F257)</f>
        <v>#REF!</v>
      </c>
      <c r="H257" s="363" t="e">
        <f>VALO_PERSO!#REF!</f>
        <v>#REF!</v>
      </c>
      <c r="I257" s="363" t="e">
        <f t="shared" ref="I257" si="222">IF(OR(ISBLANK(H257),H257=0),DATE(2024,12,31),H257)</f>
        <v>#REF!</v>
      </c>
      <c r="J257" s="362" t="e">
        <f t="shared" ref="J257" si="223">I257-G257</f>
        <v>#REF!</v>
      </c>
      <c r="K257" s="362" t="e">
        <f t="shared" ref="K257" si="224">((J257/365)*12)/12</f>
        <v>#REF!</v>
      </c>
      <c r="L257" s="362"/>
      <c r="M257" s="362" t="e">
        <f>VALO_PERSO!#REF!</f>
        <v>#REF!</v>
      </c>
      <c r="N257" s="382" t="e">
        <f t="shared" ref="N257" si="225">S257/M257</f>
        <v>#REF!</v>
      </c>
      <c r="O257" s="383" t="e">
        <f t="shared" ref="O257" si="226">P257/12</f>
        <v>#REF!</v>
      </c>
      <c r="P257" s="366" t="e">
        <f>VALO_PERSO!#REF!</f>
        <v>#REF!</v>
      </c>
      <c r="Q257" s="366" t="e">
        <f>VALO_PERSO!#REF!</f>
        <v>#REF!</v>
      </c>
      <c r="R257" s="366" t="e">
        <f>VALO_PERSO!#REF!</f>
        <v>#REF!</v>
      </c>
      <c r="S257" s="384" t="e">
        <f>VALO_PERSO!#REF!-VALO_PERSO!#REF!</f>
        <v>#REF!</v>
      </c>
      <c r="T257" s="366" t="e">
        <f t="shared" ref="T257" si="227">S257*R257</f>
        <v>#REF!</v>
      </c>
    </row>
    <row r="258" spans="1:20" s="111" customFormat="1" ht="15.75" thickBot="1" x14ac:dyDescent="0.3">
      <c r="A258" s="111" t="s">
        <v>813</v>
      </c>
      <c r="B258" s="362" t="e">
        <f>VALO_PERSO!#REF!</f>
        <v>#REF!</v>
      </c>
      <c r="C258" s="362" t="str">
        <f t="shared" ref="C258" si="228">CONCATENATE(C87," ",D87)</f>
        <v>AMILLASTRE Emilie</v>
      </c>
      <c r="D258" s="362" t="e">
        <f>VALO_PERSO!#REF!</f>
        <v>#REF!</v>
      </c>
      <c r="E258" s="362" t="e">
        <f>VALO_PERSO!#REF!</f>
        <v>#REF!</v>
      </c>
      <c r="F258" s="363" t="e">
        <f>VALO_PERSO!#REF!</f>
        <v>#REF!</v>
      </c>
      <c r="G258" s="363" t="e">
        <f t="shared" si="47"/>
        <v>#REF!</v>
      </c>
      <c r="H258" s="363" t="e">
        <f>VALO_PERSO!#REF!</f>
        <v>#REF!</v>
      </c>
      <c r="I258" s="363" t="e">
        <f t="shared" si="48"/>
        <v>#REF!</v>
      </c>
      <c r="J258" s="362" t="e">
        <f t="shared" si="49"/>
        <v>#REF!</v>
      </c>
      <c r="K258" s="362" t="e">
        <f t="shared" si="50"/>
        <v>#REF!</v>
      </c>
      <c r="L258" s="362"/>
      <c r="M258" s="362" t="e">
        <f>VALO_PERSO!#REF!</f>
        <v>#REF!</v>
      </c>
      <c r="N258" s="382" t="e">
        <f t="shared" si="51"/>
        <v>#REF!</v>
      </c>
      <c r="O258" s="383" t="e">
        <f t="shared" si="52"/>
        <v>#REF!</v>
      </c>
      <c r="P258" s="366" t="e">
        <f>VALO_PERSO!#REF!</f>
        <v>#REF!</v>
      </c>
      <c r="Q258" s="366" t="e">
        <f>VALO_PERSO!#REF!</f>
        <v>#REF!</v>
      </c>
      <c r="R258" s="366" t="e">
        <f>VALO_PERSO!#REF!</f>
        <v>#REF!</v>
      </c>
      <c r="S258" s="384" t="e">
        <f>VALO_PERSO!#REF!-VALO_PERSO!#REF!</f>
        <v>#REF!</v>
      </c>
      <c r="T258" s="366" t="e">
        <f t="shared" si="53"/>
        <v>#REF!</v>
      </c>
    </row>
    <row r="259" spans="1:20" s="111" customFormat="1" ht="15.75" thickBot="1" x14ac:dyDescent="0.3">
      <c r="A259" s="111" t="s">
        <v>813</v>
      </c>
      <c r="B259" s="362" t="e">
        <f>VALO_PERSO!#REF!</f>
        <v>#REF!</v>
      </c>
      <c r="C259" s="362" t="e">
        <f t="shared" ref="C259" si="229">CONCATENATE(C88," ",D88)</f>
        <v>#REF!</v>
      </c>
      <c r="D259" s="362" t="e">
        <f>VALO_PERSO!#REF!</f>
        <v>#REF!</v>
      </c>
      <c r="E259" s="362" t="e">
        <f>VALO_PERSO!#REF!</f>
        <v>#REF!</v>
      </c>
      <c r="F259" s="363" t="e">
        <f>VALO_PERSO!#REF!</f>
        <v>#REF!</v>
      </c>
      <c r="G259" s="363" t="e">
        <f t="shared" ref="G259" si="230">IF(F259&lt;DATE(2024,1,1),DATE(2024,1,1),F259)</f>
        <v>#REF!</v>
      </c>
      <c r="H259" s="363" t="e">
        <f>VALO_PERSO!#REF!</f>
        <v>#REF!</v>
      </c>
      <c r="I259" s="363" t="e">
        <f t="shared" ref="I259" si="231">IF(OR(ISBLANK(H259),H259=0),DATE(2024,12,31),H259)</f>
        <v>#REF!</v>
      </c>
      <c r="J259" s="362" t="e">
        <f t="shared" ref="J259" si="232">I259-G259</f>
        <v>#REF!</v>
      </c>
      <c r="K259" s="362" t="e">
        <f t="shared" ref="K259" si="233">((J259/365)*12)/12</f>
        <v>#REF!</v>
      </c>
      <c r="L259" s="362"/>
      <c r="M259" s="362" t="e">
        <f>VALO_PERSO!#REF!</f>
        <v>#REF!</v>
      </c>
      <c r="N259" s="382" t="e">
        <f t="shared" ref="N259" si="234">S259/M259</f>
        <v>#REF!</v>
      </c>
      <c r="O259" s="383" t="e">
        <f t="shared" ref="O259" si="235">P259/12</f>
        <v>#REF!</v>
      </c>
      <c r="P259" s="366" t="e">
        <f>VALO_PERSO!#REF!</f>
        <v>#REF!</v>
      </c>
      <c r="Q259" s="366" t="e">
        <f>VALO_PERSO!#REF!</f>
        <v>#REF!</v>
      </c>
      <c r="R259" s="366" t="e">
        <f>VALO_PERSO!#REF!</f>
        <v>#REF!</v>
      </c>
      <c r="S259" s="384" t="e">
        <f>VALO_PERSO!#REF!-VALO_PERSO!#REF!</f>
        <v>#REF!</v>
      </c>
      <c r="T259" s="366" t="e">
        <f t="shared" ref="T259" si="236">S259*R259</f>
        <v>#REF!</v>
      </c>
    </row>
    <row r="260" spans="1:20" s="111" customFormat="1" ht="15.75" thickBot="1" x14ac:dyDescent="0.3">
      <c r="A260" s="111" t="s">
        <v>813</v>
      </c>
      <c r="B260" s="362" t="e">
        <f>VALO_PERSO!#REF!</f>
        <v>#REF!</v>
      </c>
      <c r="C260" s="362" t="e">
        <f t="shared" ref="C260" si="237">CONCATENATE(C88," ",D88)</f>
        <v>#REF!</v>
      </c>
      <c r="D260" s="362" t="e">
        <f>VALO_PERSO!#REF!</f>
        <v>#REF!</v>
      </c>
      <c r="E260" s="362" t="e">
        <f>VALO_PERSO!#REF!</f>
        <v>#REF!</v>
      </c>
      <c r="F260" s="363" t="e">
        <f>VALO_PERSO!#REF!</f>
        <v>#REF!</v>
      </c>
      <c r="G260" s="363" t="e">
        <f t="shared" ref="G260" si="238">IF(F260&lt;DATE(2024,1,1),DATE(2024,1,1),F260)</f>
        <v>#REF!</v>
      </c>
      <c r="H260" s="363" t="e">
        <f>VALO_PERSO!#REF!</f>
        <v>#REF!</v>
      </c>
      <c r="I260" s="363" t="e">
        <f t="shared" ref="I260" si="239">IF(OR(ISBLANK(H260),H260=0),DATE(2024,12,31),H260)</f>
        <v>#REF!</v>
      </c>
      <c r="J260" s="362" t="e">
        <f t="shared" ref="J260" si="240">I260-G260</f>
        <v>#REF!</v>
      </c>
      <c r="K260" s="362" t="e">
        <f t="shared" ref="K260" si="241">((J260/365)*12)/12</f>
        <v>#REF!</v>
      </c>
      <c r="L260" s="362"/>
      <c r="M260" s="362" t="e">
        <f>VALO_PERSO!#REF!</f>
        <v>#REF!</v>
      </c>
      <c r="N260" s="382" t="e">
        <f t="shared" ref="N260" si="242">S260/M260</f>
        <v>#REF!</v>
      </c>
      <c r="O260" s="383" t="e">
        <f t="shared" ref="O260" si="243">P260/12</f>
        <v>#REF!</v>
      </c>
      <c r="P260" s="366" t="e">
        <f>VALO_PERSO!#REF!</f>
        <v>#REF!</v>
      </c>
      <c r="Q260" s="366" t="e">
        <f>VALO_PERSO!#REF!</f>
        <v>#REF!</v>
      </c>
      <c r="R260" s="366" t="e">
        <f>VALO_PERSO!#REF!</f>
        <v>#REF!</v>
      </c>
      <c r="S260" s="384" t="e">
        <f>VALO_PERSO!#REF!-VALO_PERSO!#REF!</f>
        <v>#REF!</v>
      </c>
      <c r="T260" s="366" t="e">
        <f t="shared" ref="T260" si="244">S260*R260</f>
        <v>#REF!</v>
      </c>
    </row>
    <row r="261" spans="1:20" s="111" customFormat="1" ht="15.75" thickBot="1" x14ac:dyDescent="0.3">
      <c r="A261" s="111" t="s">
        <v>813</v>
      </c>
      <c r="B261" s="362" t="e">
        <f>VALO_PERSO!#REF!</f>
        <v>#REF!</v>
      </c>
      <c r="C261" s="362" t="str">
        <f t="shared" ref="C261" si="245">CONCATENATE(C89," ",D89)</f>
        <v>CREPIN Lucie</v>
      </c>
      <c r="D261" s="362" t="e">
        <f>VALO_PERSO!#REF!</f>
        <v>#REF!</v>
      </c>
      <c r="E261" s="362" t="e">
        <f>VALO_PERSO!#REF!</f>
        <v>#REF!</v>
      </c>
      <c r="F261" s="363" t="e">
        <f>VALO_PERSO!#REF!</f>
        <v>#REF!</v>
      </c>
      <c r="G261" s="363" t="e">
        <f t="shared" ref="G261" si="246">IF(F261&lt;DATE(2024,1,1),DATE(2024,1,1),F261)</f>
        <v>#REF!</v>
      </c>
      <c r="H261" s="363" t="e">
        <f>VALO_PERSO!#REF!</f>
        <v>#REF!</v>
      </c>
      <c r="I261" s="363" t="e">
        <f t="shared" ref="I261" si="247">IF(OR(ISBLANK(H261),H261=0),DATE(2024,12,31),H261)</f>
        <v>#REF!</v>
      </c>
      <c r="J261" s="362" t="e">
        <f t="shared" ref="J261" si="248">I261-G261</f>
        <v>#REF!</v>
      </c>
      <c r="K261" s="362" t="e">
        <f t="shared" ref="K261" si="249">((J261/365)*12)/12</f>
        <v>#REF!</v>
      </c>
      <c r="L261" s="362"/>
      <c r="M261" s="362" t="e">
        <f>VALO_PERSO!#REF!</f>
        <v>#REF!</v>
      </c>
      <c r="N261" s="382" t="e">
        <f t="shared" ref="N261" si="250">S261/M261</f>
        <v>#REF!</v>
      </c>
      <c r="O261" s="383" t="e">
        <f t="shared" ref="O261" si="251">P261/12</f>
        <v>#REF!</v>
      </c>
      <c r="P261" s="366" t="e">
        <f>VALO_PERSO!#REF!</f>
        <v>#REF!</v>
      </c>
      <c r="Q261" s="366" t="e">
        <f>VALO_PERSO!#REF!</f>
        <v>#REF!</v>
      </c>
      <c r="R261" s="366" t="e">
        <f>VALO_PERSO!#REF!</f>
        <v>#REF!</v>
      </c>
      <c r="S261" s="384" t="e">
        <f>VALO_PERSO!#REF!-VALO_PERSO!#REF!</f>
        <v>#REF!</v>
      </c>
      <c r="T261" s="366" t="e">
        <f t="shared" ref="T261" si="252">S261*R261</f>
        <v>#REF!</v>
      </c>
    </row>
    <row r="262" spans="1:20" s="111" customFormat="1" ht="15.75" thickBot="1" x14ac:dyDescent="0.3">
      <c r="A262" s="111" t="s">
        <v>813</v>
      </c>
      <c r="B262" s="362" t="e">
        <f>VALO_PERSO!#REF!</f>
        <v>#REF!</v>
      </c>
      <c r="C262" s="362" t="str">
        <f t="shared" ref="C262" si="253">CONCATENATE(C87," ",D87)</f>
        <v>AMILLASTRE Emilie</v>
      </c>
      <c r="D262" s="362" t="e">
        <f>VALO_PERSO!#REF!</f>
        <v>#REF!</v>
      </c>
      <c r="E262" s="362" t="e">
        <f>VALO_PERSO!#REF!</f>
        <v>#REF!</v>
      </c>
      <c r="F262" s="363" t="e">
        <f>VALO_PERSO!#REF!</f>
        <v>#REF!</v>
      </c>
      <c r="G262" s="363" t="e">
        <f t="shared" si="47"/>
        <v>#REF!</v>
      </c>
      <c r="H262" s="363" t="e">
        <f>VALO_PERSO!#REF!</f>
        <v>#REF!</v>
      </c>
      <c r="I262" s="363" t="e">
        <f t="shared" si="48"/>
        <v>#REF!</v>
      </c>
      <c r="J262" s="362" t="e">
        <f t="shared" si="49"/>
        <v>#REF!</v>
      </c>
      <c r="K262" s="362" t="e">
        <f t="shared" si="50"/>
        <v>#REF!</v>
      </c>
      <c r="L262" s="362"/>
      <c r="M262" s="362" t="e">
        <f>VALO_PERSO!#REF!</f>
        <v>#REF!</v>
      </c>
      <c r="N262" s="382" t="e">
        <f t="shared" si="51"/>
        <v>#REF!</v>
      </c>
      <c r="O262" s="383" t="e">
        <f t="shared" si="52"/>
        <v>#REF!</v>
      </c>
      <c r="P262" s="366" t="e">
        <f>VALO_PERSO!#REF!</f>
        <v>#REF!</v>
      </c>
      <c r="Q262" s="366" t="e">
        <f>VALO_PERSO!#REF!</f>
        <v>#REF!</v>
      </c>
      <c r="R262" s="366" t="e">
        <f>VALO_PERSO!#REF!</f>
        <v>#REF!</v>
      </c>
      <c r="S262" s="384" t="e">
        <f>VALO_PERSO!#REF!-VALO_PERSO!#REF!</f>
        <v>#REF!</v>
      </c>
      <c r="T262" s="366" t="e">
        <f t="shared" si="53"/>
        <v>#REF!</v>
      </c>
    </row>
    <row r="263" spans="1:20" s="111" customFormat="1" ht="15.75" thickBot="1" x14ac:dyDescent="0.3">
      <c r="A263" s="111" t="s">
        <v>813</v>
      </c>
      <c r="B263" s="362" t="e">
        <f>VALO_PERSO!#REF!</f>
        <v>#REF!</v>
      </c>
      <c r="C263" s="362" t="e">
        <f t="shared" ref="C263" si="254">CONCATENATE(C88," ",D88)</f>
        <v>#REF!</v>
      </c>
      <c r="D263" s="362" t="e">
        <f>VALO_PERSO!#REF!</f>
        <v>#REF!</v>
      </c>
      <c r="E263" s="362" t="e">
        <f>VALO_PERSO!#REF!</f>
        <v>#REF!</v>
      </c>
      <c r="F263" s="363" t="e">
        <f>VALO_PERSO!#REF!</f>
        <v>#REF!</v>
      </c>
      <c r="G263" s="363" t="e">
        <f t="shared" ref="G263" si="255">IF(F263&lt;DATE(2024,1,1),DATE(2024,1,1),F263)</f>
        <v>#REF!</v>
      </c>
      <c r="H263" s="363" t="e">
        <f>VALO_PERSO!#REF!</f>
        <v>#REF!</v>
      </c>
      <c r="I263" s="363" t="e">
        <f t="shared" ref="I263" si="256">IF(OR(ISBLANK(H263),H263=0),DATE(2024,12,31),H263)</f>
        <v>#REF!</v>
      </c>
      <c r="J263" s="362" t="e">
        <f t="shared" ref="J263" si="257">I263-G263</f>
        <v>#REF!</v>
      </c>
      <c r="K263" s="362" t="e">
        <f t="shared" ref="K263" si="258">((J263/365)*12)/12</f>
        <v>#REF!</v>
      </c>
      <c r="L263" s="362"/>
      <c r="M263" s="362" t="e">
        <f>VALO_PERSO!#REF!</f>
        <v>#REF!</v>
      </c>
      <c r="N263" s="382" t="e">
        <f t="shared" ref="N263" si="259">S263/M263</f>
        <v>#REF!</v>
      </c>
      <c r="O263" s="383" t="e">
        <f t="shared" ref="O263" si="260">P263/12</f>
        <v>#REF!</v>
      </c>
      <c r="P263" s="366" t="e">
        <f>VALO_PERSO!#REF!</f>
        <v>#REF!</v>
      </c>
      <c r="Q263" s="366" t="e">
        <f>VALO_PERSO!#REF!</f>
        <v>#REF!</v>
      </c>
      <c r="R263" s="366" t="e">
        <f>VALO_PERSO!#REF!</f>
        <v>#REF!</v>
      </c>
      <c r="S263" s="384" t="e">
        <f>VALO_PERSO!#REF!-VALO_PERSO!#REF!</f>
        <v>#REF!</v>
      </c>
      <c r="T263" s="366" t="e">
        <f t="shared" ref="T263" si="261">S263*R263</f>
        <v>#REF!</v>
      </c>
    </row>
    <row r="264" spans="1:20" s="111" customFormat="1" ht="15.75" thickBot="1" x14ac:dyDescent="0.3">
      <c r="A264" s="111" t="s">
        <v>813</v>
      </c>
      <c r="B264" s="362" t="e">
        <f>VALO_PERSO!#REF!</f>
        <v>#REF!</v>
      </c>
      <c r="C264" s="362" t="e">
        <f t="shared" ref="C264" si="262">CONCATENATE(C88," ",D88)</f>
        <v>#REF!</v>
      </c>
      <c r="D264" s="362" t="e">
        <f>VALO_PERSO!#REF!</f>
        <v>#REF!</v>
      </c>
      <c r="E264" s="362" t="e">
        <f>VALO_PERSO!#REF!</f>
        <v>#REF!</v>
      </c>
      <c r="F264" s="363" t="e">
        <f>VALO_PERSO!#REF!</f>
        <v>#REF!</v>
      </c>
      <c r="G264" s="363" t="e">
        <f t="shared" ref="G264" si="263">IF(F264&lt;DATE(2024,1,1),DATE(2024,1,1),F264)</f>
        <v>#REF!</v>
      </c>
      <c r="H264" s="363" t="e">
        <f>VALO_PERSO!#REF!</f>
        <v>#REF!</v>
      </c>
      <c r="I264" s="363" t="e">
        <f t="shared" ref="I264" si="264">IF(OR(ISBLANK(H264),H264=0),DATE(2024,12,31),H264)</f>
        <v>#REF!</v>
      </c>
      <c r="J264" s="362" t="e">
        <f t="shared" ref="J264" si="265">I264-G264</f>
        <v>#REF!</v>
      </c>
      <c r="K264" s="362" t="e">
        <f t="shared" ref="K264" si="266">((J264/365)*12)/12</f>
        <v>#REF!</v>
      </c>
      <c r="L264" s="362"/>
      <c r="M264" s="362" t="e">
        <f>VALO_PERSO!#REF!</f>
        <v>#REF!</v>
      </c>
      <c r="N264" s="382" t="e">
        <f t="shared" ref="N264" si="267">S264/M264</f>
        <v>#REF!</v>
      </c>
      <c r="O264" s="383" t="e">
        <f t="shared" ref="O264" si="268">P264/12</f>
        <v>#REF!</v>
      </c>
      <c r="P264" s="366" t="e">
        <f>VALO_PERSO!#REF!</f>
        <v>#REF!</v>
      </c>
      <c r="Q264" s="366" t="e">
        <f>VALO_PERSO!#REF!</f>
        <v>#REF!</v>
      </c>
      <c r="R264" s="366" t="e">
        <f>VALO_PERSO!#REF!</f>
        <v>#REF!</v>
      </c>
      <c r="S264" s="384" t="e">
        <f>VALO_PERSO!#REF!-VALO_PERSO!#REF!</f>
        <v>#REF!</v>
      </c>
      <c r="T264" s="366" t="e">
        <f t="shared" ref="T264" si="269">S264*R264</f>
        <v>#REF!</v>
      </c>
    </row>
    <row r="265" spans="1:20" s="111" customFormat="1" ht="15.75" thickBot="1" x14ac:dyDescent="0.3">
      <c r="A265" s="111" t="s">
        <v>813</v>
      </c>
      <c r="B265" s="362" t="e">
        <f>VALO_PERSO!#REF!</f>
        <v>#REF!</v>
      </c>
      <c r="C265" s="362" t="str">
        <f t="shared" ref="C265" si="270">CONCATENATE(C89," ",D89)</f>
        <v>CREPIN Lucie</v>
      </c>
      <c r="D265" s="362" t="e">
        <f>VALO_PERSO!#REF!</f>
        <v>#REF!</v>
      </c>
      <c r="E265" s="362" t="e">
        <f>VALO_PERSO!#REF!</f>
        <v>#REF!</v>
      </c>
      <c r="F265" s="363" t="e">
        <f>VALO_PERSO!#REF!</f>
        <v>#REF!</v>
      </c>
      <c r="G265" s="363" t="e">
        <f t="shared" ref="G265" si="271">IF(F265&lt;DATE(2024,1,1),DATE(2024,1,1),F265)</f>
        <v>#REF!</v>
      </c>
      <c r="H265" s="363" t="e">
        <f>VALO_PERSO!#REF!</f>
        <v>#REF!</v>
      </c>
      <c r="I265" s="363" t="e">
        <f t="shared" ref="I265" si="272">IF(OR(ISBLANK(H265),H265=0),DATE(2024,12,31),H265)</f>
        <v>#REF!</v>
      </c>
      <c r="J265" s="362" t="e">
        <f t="shared" ref="J265" si="273">I265-G265</f>
        <v>#REF!</v>
      </c>
      <c r="K265" s="362" t="e">
        <f t="shared" ref="K265" si="274">((J265/365)*12)/12</f>
        <v>#REF!</v>
      </c>
      <c r="L265" s="362"/>
      <c r="M265" s="362" t="e">
        <f>VALO_PERSO!#REF!</f>
        <v>#REF!</v>
      </c>
      <c r="N265" s="382" t="e">
        <f t="shared" ref="N265" si="275">S265/M265</f>
        <v>#REF!</v>
      </c>
      <c r="O265" s="383" t="e">
        <f t="shared" ref="O265" si="276">P265/12</f>
        <v>#REF!</v>
      </c>
      <c r="P265" s="366" t="e">
        <f>VALO_PERSO!#REF!</f>
        <v>#REF!</v>
      </c>
      <c r="Q265" s="366" t="e">
        <f>VALO_PERSO!#REF!</f>
        <v>#REF!</v>
      </c>
      <c r="R265" s="366" t="e">
        <f>VALO_PERSO!#REF!</f>
        <v>#REF!</v>
      </c>
      <c r="S265" s="384" t="e">
        <f>VALO_PERSO!#REF!-VALO_PERSO!#REF!</f>
        <v>#REF!</v>
      </c>
      <c r="T265" s="366" t="e">
        <f t="shared" ref="T265" si="277">S265*R265</f>
        <v>#REF!</v>
      </c>
    </row>
    <row r="266" spans="1:20" s="111" customFormat="1" ht="15.75" thickBot="1" x14ac:dyDescent="0.3">
      <c r="A266" s="111" t="s">
        <v>813</v>
      </c>
      <c r="B266" s="362" t="e">
        <f>VALO_PERSO!#REF!</f>
        <v>#REF!</v>
      </c>
      <c r="C266" s="362" t="str">
        <f t="shared" ref="C266" si="278">CONCATENATE(C87," ",D87)</f>
        <v>AMILLASTRE Emilie</v>
      </c>
      <c r="D266" s="362" t="e">
        <f>VALO_PERSO!#REF!</f>
        <v>#REF!</v>
      </c>
      <c r="E266" s="362" t="e">
        <f>VALO_PERSO!#REF!</f>
        <v>#REF!</v>
      </c>
      <c r="F266" s="363" t="e">
        <f>VALO_PERSO!#REF!</f>
        <v>#REF!</v>
      </c>
      <c r="G266" s="363" t="e">
        <f t="shared" si="47"/>
        <v>#REF!</v>
      </c>
      <c r="H266" s="363" t="e">
        <f>VALO_PERSO!#REF!</f>
        <v>#REF!</v>
      </c>
      <c r="I266" s="363" t="e">
        <f t="shared" si="48"/>
        <v>#REF!</v>
      </c>
      <c r="J266" s="362" t="e">
        <f t="shared" si="49"/>
        <v>#REF!</v>
      </c>
      <c r="K266" s="362" t="e">
        <f t="shared" si="50"/>
        <v>#REF!</v>
      </c>
      <c r="L266" s="362"/>
      <c r="M266" s="362" t="e">
        <f>VALO_PERSO!#REF!</f>
        <v>#REF!</v>
      </c>
      <c r="N266" s="382" t="e">
        <f t="shared" si="51"/>
        <v>#REF!</v>
      </c>
      <c r="O266" s="383" t="e">
        <f t="shared" si="52"/>
        <v>#REF!</v>
      </c>
      <c r="P266" s="366" t="e">
        <f>VALO_PERSO!#REF!</f>
        <v>#REF!</v>
      </c>
      <c r="Q266" s="366" t="e">
        <f>VALO_PERSO!#REF!</f>
        <v>#REF!</v>
      </c>
      <c r="R266" s="366" t="e">
        <f>VALO_PERSO!#REF!</f>
        <v>#REF!</v>
      </c>
      <c r="S266" s="384" t="e">
        <f>VALO_PERSO!#REF!-VALO_PERSO!#REF!</f>
        <v>#REF!</v>
      </c>
      <c r="T266" s="366" t="e">
        <f t="shared" si="53"/>
        <v>#REF!</v>
      </c>
    </row>
    <row r="267" spans="1:20" s="111" customFormat="1" ht="15.75" thickBot="1" x14ac:dyDescent="0.3">
      <c r="A267" s="111" t="s">
        <v>813</v>
      </c>
      <c r="B267" s="362" t="e">
        <f>VALO_PERSO!#REF!</f>
        <v>#REF!</v>
      </c>
      <c r="C267" s="362" t="e">
        <f t="shared" ref="C267" si="279">CONCATENATE(C88," ",D88)</f>
        <v>#REF!</v>
      </c>
      <c r="D267" s="362" t="e">
        <f>VALO_PERSO!#REF!</f>
        <v>#REF!</v>
      </c>
      <c r="E267" s="362" t="e">
        <f>VALO_PERSO!#REF!</f>
        <v>#REF!</v>
      </c>
      <c r="F267" s="363" t="e">
        <f>VALO_PERSO!#REF!</f>
        <v>#REF!</v>
      </c>
      <c r="G267" s="363" t="e">
        <f t="shared" ref="G267" si="280">IF(F267&lt;DATE(2024,1,1),DATE(2024,1,1),F267)</f>
        <v>#REF!</v>
      </c>
      <c r="H267" s="363" t="e">
        <f>VALO_PERSO!#REF!</f>
        <v>#REF!</v>
      </c>
      <c r="I267" s="363" t="e">
        <f t="shared" ref="I267" si="281">IF(OR(ISBLANK(H267),H267=0),DATE(2024,12,31),H267)</f>
        <v>#REF!</v>
      </c>
      <c r="J267" s="362" t="e">
        <f t="shared" ref="J267" si="282">I267-G267</f>
        <v>#REF!</v>
      </c>
      <c r="K267" s="362" t="e">
        <f t="shared" ref="K267" si="283">((J267/365)*12)/12</f>
        <v>#REF!</v>
      </c>
      <c r="L267" s="362"/>
      <c r="M267" s="362" t="e">
        <f>VALO_PERSO!#REF!</f>
        <v>#REF!</v>
      </c>
      <c r="N267" s="382" t="e">
        <f t="shared" ref="N267" si="284">S267/M267</f>
        <v>#REF!</v>
      </c>
      <c r="O267" s="383" t="e">
        <f t="shared" ref="O267" si="285">P267/12</f>
        <v>#REF!</v>
      </c>
      <c r="P267" s="366" t="e">
        <f>VALO_PERSO!#REF!</f>
        <v>#REF!</v>
      </c>
      <c r="Q267" s="366" t="e">
        <f>VALO_PERSO!#REF!</f>
        <v>#REF!</v>
      </c>
      <c r="R267" s="366" t="e">
        <f>VALO_PERSO!#REF!</f>
        <v>#REF!</v>
      </c>
      <c r="S267" s="384" t="e">
        <f>VALO_PERSO!#REF!-VALO_PERSO!#REF!</f>
        <v>#REF!</v>
      </c>
      <c r="T267" s="366" t="e">
        <f t="shared" ref="T267" si="286">S267*R267</f>
        <v>#REF!</v>
      </c>
    </row>
    <row r="268" spans="1:20" s="111" customFormat="1" ht="15.75" thickBot="1" x14ac:dyDescent="0.3">
      <c r="A268" s="111" t="s">
        <v>813</v>
      </c>
      <c r="B268" s="362" t="e">
        <f>VALO_PERSO!#REF!</f>
        <v>#REF!</v>
      </c>
      <c r="C268" s="362" t="e">
        <f t="shared" ref="C268" si="287">CONCATENATE(C88," ",D88)</f>
        <v>#REF!</v>
      </c>
      <c r="D268" s="362" t="e">
        <f>VALO_PERSO!#REF!</f>
        <v>#REF!</v>
      </c>
      <c r="E268" s="362" t="e">
        <f>VALO_PERSO!#REF!</f>
        <v>#REF!</v>
      </c>
      <c r="F268" s="363" t="e">
        <f>VALO_PERSO!#REF!</f>
        <v>#REF!</v>
      </c>
      <c r="G268" s="363" t="e">
        <f t="shared" ref="G268" si="288">IF(F268&lt;DATE(2024,1,1),DATE(2024,1,1),F268)</f>
        <v>#REF!</v>
      </c>
      <c r="H268" s="363" t="e">
        <f>VALO_PERSO!#REF!</f>
        <v>#REF!</v>
      </c>
      <c r="I268" s="363" t="e">
        <f t="shared" ref="I268" si="289">IF(OR(ISBLANK(H268),H268=0),DATE(2024,12,31),H268)</f>
        <v>#REF!</v>
      </c>
      <c r="J268" s="362" t="e">
        <f t="shared" ref="J268" si="290">I268-G268</f>
        <v>#REF!</v>
      </c>
      <c r="K268" s="362" t="e">
        <f t="shared" ref="K268" si="291">((J268/365)*12)/12</f>
        <v>#REF!</v>
      </c>
      <c r="L268" s="362"/>
      <c r="M268" s="362" t="e">
        <f>VALO_PERSO!#REF!</f>
        <v>#REF!</v>
      </c>
      <c r="N268" s="382" t="e">
        <f t="shared" ref="N268" si="292">S268/M268</f>
        <v>#REF!</v>
      </c>
      <c r="O268" s="383" t="e">
        <f t="shared" ref="O268" si="293">P268/12</f>
        <v>#REF!</v>
      </c>
      <c r="P268" s="366" t="e">
        <f>VALO_PERSO!#REF!</f>
        <v>#REF!</v>
      </c>
      <c r="Q268" s="366" t="e">
        <f>VALO_PERSO!#REF!</f>
        <v>#REF!</v>
      </c>
      <c r="R268" s="366" t="e">
        <f>VALO_PERSO!#REF!</f>
        <v>#REF!</v>
      </c>
      <c r="S268" s="384" t="e">
        <f>VALO_PERSO!#REF!-VALO_PERSO!#REF!</f>
        <v>#REF!</v>
      </c>
      <c r="T268" s="366" t="e">
        <f t="shared" ref="T268" si="294">S268*R268</f>
        <v>#REF!</v>
      </c>
    </row>
    <row r="269" spans="1:20" s="111" customFormat="1" ht="15.75" thickBot="1" x14ac:dyDescent="0.3">
      <c r="A269" s="111" t="s">
        <v>813</v>
      </c>
      <c r="B269" s="362" t="e">
        <f>VALO_PERSO!#REF!</f>
        <v>#REF!</v>
      </c>
      <c r="C269" s="362" t="str">
        <f t="shared" ref="C269" si="295">CONCATENATE(C89," ",D89)</f>
        <v>CREPIN Lucie</v>
      </c>
      <c r="D269" s="362" t="e">
        <f>VALO_PERSO!#REF!</f>
        <v>#REF!</v>
      </c>
      <c r="E269" s="362" t="e">
        <f>VALO_PERSO!#REF!</f>
        <v>#REF!</v>
      </c>
      <c r="F269" s="363" t="e">
        <f>VALO_PERSO!#REF!</f>
        <v>#REF!</v>
      </c>
      <c r="G269" s="363" t="e">
        <f t="shared" ref="G269" si="296">IF(F269&lt;DATE(2024,1,1),DATE(2024,1,1),F269)</f>
        <v>#REF!</v>
      </c>
      <c r="H269" s="363" t="e">
        <f>VALO_PERSO!#REF!</f>
        <v>#REF!</v>
      </c>
      <c r="I269" s="363" t="e">
        <f t="shared" ref="I269" si="297">IF(OR(ISBLANK(H269),H269=0),DATE(2024,12,31),H269)</f>
        <v>#REF!</v>
      </c>
      <c r="J269" s="362" t="e">
        <f t="shared" ref="J269" si="298">I269-G269</f>
        <v>#REF!</v>
      </c>
      <c r="K269" s="362" t="e">
        <f t="shared" ref="K269" si="299">((J269/365)*12)/12</f>
        <v>#REF!</v>
      </c>
      <c r="L269" s="362"/>
      <c r="M269" s="362" t="e">
        <f>VALO_PERSO!#REF!</f>
        <v>#REF!</v>
      </c>
      <c r="N269" s="382" t="e">
        <f t="shared" ref="N269" si="300">S269/M269</f>
        <v>#REF!</v>
      </c>
      <c r="O269" s="383" t="e">
        <f t="shared" ref="O269" si="301">P269/12</f>
        <v>#REF!</v>
      </c>
      <c r="P269" s="366" t="e">
        <f>VALO_PERSO!#REF!</f>
        <v>#REF!</v>
      </c>
      <c r="Q269" s="366" t="e">
        <f>VALO_PERSO!#REF!</f>
        <v>#REF!</v>
      </c>
      <c r="R269" s="366" t="e">
        <f>VALO_PERSO!#REF!</f>
        <v>#REF!</v>
      </c>
      <c r="S269" s="384" t="e">
        <f>VALO_PERSO!#REF!-VALO_PERSO!#REF!</f>
        <v>#REF!</v>
      </c>
      <c r="T269" s="366" t="e">
        <f t="shared" ref="T269" si="302">S269*R269</f>
        <v>#REF!</v>
      </c>
    </row>
    <row r="270" spans="1:20" s="111" customFormat="1" ht="15.75" thickBot="1" x14ac:dyDescent="0.3">
      <c r="A270" s="111" t="s">
        <v>813</v>
      </c>
      <c r="B270" s="362" t="e">
        <f>VALO_PERSO!#REF!</f>
        <v>#REF!</v>
      </c>
      <c r="C270" s="362" t="str">
        <f t="shared" ref="C270" si="303">CONCATENATE(C87," ",D87)</f>
        <v>AMILLASTRE Emilie</v>
      </c>
      <c r="D270" s="362" t="e">
        <f>VALO_PERSO!#REF!</f>
        <v>#REF!</v>
      </c>
      <c r="E270" s="362" t="e">
        <f>VALO_PERSO!#REF!</f>
        <v>#REF!</v>
      </c>
      <c r="F270" s="363" t="e">
        <f>VALO_PERSO!#REF!</f>
        <v>#REF!</v>
      </c>
      <c r="G270" s="363" t="e">
        <f t="shared" si="47"/>
        <v>#REF!</v>
      </c>
      <c r="H270" s="363" t="e">
        <f>VALO_PERSO!#REF!</f>
        <v>#REF!</v>
      </c>
      <c r="I270" s="363" t="e">
        <f t="shared" si="48"/>
        <v>#REF!</v>
      </c>
      <c r="J270" s="362" t="e">
        <f t="shared" si="49"/>
        <v>#REF!</v>
      </c>
      <c r="K270" s="362" t="e">
        <f t="shared" si="50"/>
        <v>#REF!</v>
      </c>
      <c r="L270" s="362"/>
      <c r="M270" s="362" t="e">
        <f>VALO_PERSO!#REF!</f>
        <v>#REF!</v>
      </c>
      <c r="N270" s="382" t="e">
        <f t="shared" si="51"/>
        <v>#REF!</v>
      </c>
      <c r="O270" s="383" t="e">
        <f t="shared" si="52"/>
        <v>#REF!</v>
      </c>
      <c r="P270" s="366" t="e">
        <f>VALO_PERSO!#REF!</f>
        <v>#REF!</v>
      </c>
      <c r="Q270" s="366" t="e">
        <f>VALO_PERSO!#REF!</f>
        <v>#REF!</v>
      </c>
      <c r="R270" s="366" t="e">
        <f>VALO_PERSO!#REF!</f>
        <v>#REF!</v>
      </c>
      <c r="S270" s="384" t="e">
        <f>VALO_PERSO!#REF!-VALO_PERSO!#REF!</f>
        <v>#REF!</v>
      </c>
      <c r="T270" s="366" t="e">
        <f t="shared" si="53"/>
        <v>#REF!</v>
      </c>
    </row>
    <row r="271" spans="1:20" s="111" customFormat="1" ht="15.75" thickBot="1" x14ac:dyDescent="0.3">
      <c r="A271" s="111" t="s">
        <v>813</v>
      </c>
      <c r="B271" s="362" t="e">
        <f>VALO_PERSO!#REF!</f>
        <v>#REF!</v>
      </c>
      <c r="C271" s="362" t="e">
        <f t="shared" ref="C271" si="304">CONCATENATE(C88," ",D88)</f>
        <v>#REF!</v>
      </c>
      <c r="D271" s="362" t="e">
        <f>VALO_PERSO!#REF!</f>
        <v>#REF!</v>
      </c>
      <c r="E271" s="362" t="e">
        <f>VALO_PERSO!#REF!</f>
        <v>#REF!</v>
      </c>
      <c r="F271" s="363" t="e">
        <f>VALO_PERSO!#REF!</f>
        <v>#REF!</v>
      </c>
      <c r="G271" s="363" t="e">
        <f t="shared" ref="G271" si="305">IF(F271&lt;DATE(2024,1,1),DATE(2024,1,1),F271)</f>
        <v>#REF!</v>
      </c>
      <c r="H271" s="363" t="e">
        <f>VALO_PERSO!#REF!</f>
        <v>#REF!</v>
      </c>
      <c r="I271" s="363" t="e">
        <f t="shared" ref="I271" si="306">IF(OR(ISBLANK(H271),H271=0),DATE(2024,12,31),H271)</f>
        <v>#REF!</v>
      </c>
      <c r="J271" s="362" t="e">
        <f t="shared" ref="J271" si="307">I271-G271</f>
        <v>#REF!</v>
      </c>
      <c r="K271" s="362" t="e">
        <f t="shared" ref="K271" si="308">((J271/365)*12)/12</f>
        <v>#REF!</v>
      </c>
      <c r="L271" s="362"/>
      <c r="M271" s="362" t="e">
        <f>VALO_PERSO!#REF!</f>
        <v>#REF!</v>
      </c>
      <c r="N271" s="382" t="e">
        <f t="shared" ref="N271" si="309">S271/M271</f>
        <v>#REF!</v>
      </c>
      <c r="O271" s="383" t="e">
        <f t="shared" ref="O271" si="310">P271/12</f>
        <v>#REF!</v>
      </c>
      <c r="P271" s="366" t="e">
        <f>VALO_PERSO!#REF!</f>
        <v>#REF!</v>
      </c>
      <c r="Q271" s="366" t="e">
        <f>VALO_PERSO!#REF!</f>
        <v>#REF!</v>
      </c>
      <c r="R271" s="366" t="e">
        <f>VALO_PERSO!#REF!</f>
        <v>#REF!</v>
      </c>
      <c r="S271" s="384" t="e">
        <f>VALO_PERSO!#REF!-VALO_PERSO!#REF!</f>
        <v>#REF!</v>
      </c>
      <c r="T271" s="366" t="e">
        <f t="shared" ref="T271" si="311">S271*R271</f>
        <v>#REF!</v>
      </c>
    </row>
    <row r="272" spans="1:20" s="111" customFormat="1" ht="15.75" thickBot="1" x14ac:dyDescent="0.3">
      <c r="A272" s="111" t="s">
        <v>813</v>
      </c>
      <c r="B272" s="362" t="e">
        <f>VALO_PERSO!#REF!</f>
        <v>#REF!</v>
      </c>
      <c r="C272" s="362" t="e">
        <f t="shared" ref="C272" si="312">CONCATENATE(C88," ",D88)</f>
        <v>#REF!</v>
      </c>
      <c r="D272" s="362" t="e">
        <f>VALO_PERSO!#REF!</f>
        <v>#REF!</v>
      </c>
      <c r="E272" s="362" t="e">
        <f>VALO_PERSO!#REF!</f>
        <v>#REF!</v>
      </c>
      <c r="F272" s="363" t="e">
        <f>VALO_PERSO!#REF!</f>
        <v>#REF!</v>
      </c>
      <c r="G272" s="363" t="e">
        <f t="shared" ref="G272" si="313">IF(F272&lt;DATE(2024,1,1),DATE(2024,1,1),F272)</f>
        <v>#REF!</v>
      </c>
      <c r="H272" s="363" t="e">
        <f>VALO_PERSO!#REF!</f>
        <v>#REF!</v>
      </c>
      <c r="I272" s="363" t="e">
        <f t="shared" ref="I272" si="314">IF(OR(ISBLANK(H272),H272=0),DATE(2024,12,31),H272)</f>
        <v>#REF!</v>
      </c>
      <c r="J272" s="362" t="e">
        <f t="shared" ref="J272" si="315">I272-G272</f>
        <v>#REF!</v>
      </c>
      <c r="K272" s="362" t="e">
        <f t="shared" ref="K272" si="316">((J272/365)*12)/12</f>
        <v>#REF!</v>
      </c>
      <c r="L272" s="362"/>
      <c r="M272" s="362" t="e">
        <f>VALO_PERSO!#REF!</f>
        <v>#REF!</v>
      </c>
      <c r="N272" s="382" t="e">
        <f t="shared" ref="N272" si="317">S272/M272</f>
        <v>#REF!</v>
      </c>
      <c r="O272" s="383" t="e">
        <f t="shared" ref="O272" si="318">P272/12</f>
        <v>#REF!</v>
      </c>
      <c r="P272" s="366" t="e">
        <f>VALO_PERSO!#REF!</f>
        <v>#REF!</v>
      </c>
      <c r="Q272" s="366" t="e">
        <f>VALO_PERSO!#REF!</f>
        <v>#REF!</v>
      </c>
      <c r="R272" s="366" t="e">
        <f>VALO_PERSO!#REF!</f>
        <v>#REF!</v>
      </c>
      <c r="S272" s="384" t="e">
        <f>VALO_PERSO!#REF!-VALO_PERSO!#REF!</f>
        <v>#REF!</v>
      </c>
      <c r="T272" s="366" t="e">
        <f t="shared" ref="T272" si="319">S272*R272</f>
        <v>#REF!</v>
      </c>
    </row>
    <row r="273" spans="1:20" s="111" customFormat="1" ht="15.75" thickBot="1" x14ac:dyDescent="0.3">
      <c r="A273" s="111" t="s">
        <v>813</v>
      </c>
      <c r="B273" s="362" t="e">
        <f>VALO_PERSO!#REF!</f>
        <v>#REF!</v>
      </c>
      <c r="C273" s="362" t="str">
        <f t="shared" ref="C273" si="320">CONCATENATE(C89," ",D89)</f>
        <v>CREPIN Lucie</v>
      </c>
      <c r="D273" s="362" t="e">
        <f>VALO_PERSO!#REF!</f>
        <v>#REF!</v>
      </c>
      <c r="E273" s="362" t="e">
        <f>VALO_PERSO!#REF!</f>
        <v>#REF!</v>
      </c>
      <c r="F273" s="363" t="e">
        <f>VALO_PERSO!#REF!</f>
        <v>#REF!</v>
      </c>
      <c r="G273" s="363" t="e">
        <f t="shared" ref="G273" si="321">IF(F273&lt;DATE(2024,1,1),DATE(2024,1,1),F273)</f>
        <v>#REF!</v>
      </c>
      <c r="H273" s="363" t="e">
        <f>VALO_PERSO!#REF!</f>
        <v>#REF!</v>
      </c>
      <c r="I273" s="363" t="e">
        <f t="shared" ref="I273" si="322">IF(OR(ISBLANK(H273),H273=0),DATE(2024,12,31),H273)</f>
        <v>#REF!</v>
      </c>
      <c r="J273" s="362" t="e">
        <f t="shared" ref="J273" si="323">I273-G273</f>
        <v>#REF!</v>
      </c>
      <c r="K273" s="362" t="e">
        <f t="shared" ref="K273" si="324">((J273/365)*12)/12</f>
        <v>#REF!</v>
      </c>
      <c r="L273" s="362"/>
      <c r="M273" s="362" t="e">
        <f>VALO_PERSO!#REF!</f>
        <v>#REF!</v>
      </c>
      <c r="N273" s="382" t="e">
        <f t="shared" ref="N273" si="325">S273/M273</f>
        <v>#REF!</v>
      </c>
      <c r="O273" s="383" t="e">
        <f t="shared" ref="O273" si="326">P273/12</f>
        <v>#REF!</v>
      </c>
      <c r="P273" s="366" t="e">
        <f>VALO_PERSO!#REF!</f>
        <v>#REF!</v>
      </c>
      <c r="Q273" s="366" t="e">
        <f>VALO_PERSO!#REF!</f>
        <v>#REF!</v>
      </c>
      <c r="R273" s="366" t="e">
        <f>VALO_PERSO!#REF!</f>
        <v>#REF!</v>
      </c>
      <c r="S273" s="384" t="e">
        <f>VALO_PERSO!#REF!-VALO_PERSO!#REF!</f>
        <v>#REF!</v>
      </c>
      <c r="T273" s="366" t="e">
        <f t="shared" ref="T273" si="327">S273*R273</f>
        <v>#REF!</v>
      </c>
    </row>
    <row r="274" spans="1:20" s="111" customFormat="1" ht="24.75" thickBot="1" x14ac:dyDescent="0.3">
      <c r="B274" s="362">
        <f>VALO_PERSO!F6</f>
        <v>1</v>
      </c>
      <c r="C274" s="362" t="str">
        <f t="shared" ref="C274:C281" si="328">CONCATENATE(C87," ",D87)</f>
        <v>AMILLASTRE Emilie</v>
      </c>
      <c r="D274" s="362" t="str">
        <f>VALO_PERSO!I6</f>
        <v>Experte Bioprocédés</v>
      </c>
      <c r="E274" s="362" t="str">
        <f>VALO_PERSO!J6</f>
        <v>Doctorat - INSA Toulouse</v>
      </c>
      <c r="F274" s="363">
        <f>VALO_PERSO!M6</f>
        <v>42461</v>
      </c>
      <c r="G274" s="363">
        <f t="shared" ref="G274:G281" si="329">IF(F274&lt;DATE(2024,1,1),DATE(2024,1,1),F274)</f>
        <v>45292</v>
      </c>
      <c r="H274" s="363">
        <f>VALO_PERSO!N6</f>
        <v>0</v>
      </c>
      <c r="I274" s="363">
        <f t="shared" ref="I274:I281" si="330">IF(OR(ISBLANK(H274),H274=0),DATE(2024,12,31),H274)</f>
        <v>45657</v>
      </c>
      <c r="J274" s="362">
        <f t="shared" ref="J274:J281" si="331">I274-G274</f>
        <v>365</v>
      </c>
      <c r="K274" s="362">
        <f t="shared" ref="K274:K281" si="332">((J274/365)*12)/12</f>
        <v>1</v>
      </c>
      <c r="L274" s="362"/>
      <c r="M274" s="362">
        <f>VALO_PERSO!W6</f>
        <v>1691.04</v>
      </c>
      <c r="N274" s="382">
        <f t="shared" ref="N274:N281" si="333">S274/M274</f>
        <v>0.87598164443183013</v>
      </c>
      <c r="O274" s="383">
        <f t="shared" si="52"/>
        <v>5114.0016666666661</v>
      </c>
      <c r="P274" s="366">
        <f>VALO_PERSO!P6</f>
        <v>61368.02</v>
      </c>
      <c r="Q274" s="366">
        <f>VALO_PERSO!V6</f>
        <v>86523.199999999983</v>
      </c>
      <c r="R274" s="366">
        <f>VALO_PERSO!X6</f>
        <v>51.165673195193484</v>
      </c>
      <c r="S274" s="384">
        <f>VALO_PERSO!W6-VALO_PERSO!BJ6</f>
        <v>1481.320000000002</v>
      </c>
      <c r="T274" s="366">
        <f t="shared" ref="T274:T281" si="334">S274*R274</f>
        <v>75792.735017504121</v>
      </c>
    </row>
    <row r="275" spans="1:20" s="111" customFormat="1" ht="15.75" thickBot="1" x14ac:dyDescent="0.3">
      <c r="B275" s="362" t="e">
        <f>VALO_PERSO!#REF!</f>
        <v>#REF!</v>
      </c>
      <c r="C275" s="362" t="e">
        <f t="shared" si="328"/>
        <v>#REF!</v>
      </c>
      <c r="D275" s="362" t="e">
        <f>VALO_PERSO!#REF!</f>
        <v>#REF!</v>
      </c>
      <c r="E275" s="362" t="e">
        <f>VALO_PERSO!#REF!</f>
        <v>#REF!</v>
      </c>
      <c r="F275" s="363" t="e">
        <f>VALO_PERSO!#REF!</f>
        <v>#REF!</v>
      </c>
      <c r="G275" s="363" t="e">
        <f t="shared" si="329"/>
        <v>#REF!</v>
      </c>
      <c r="H275" s="363" t="e">
        <f>VALO_PERSO!#REF!</f>
        <v>#REF!</v>
      </c>
      <c r="I275" s="363" t="e">
        <f t="shared" si="330"/>
        <v>#REF!</v>
      </c>
      <c r="J275" s="362" t="e">
        <f t="shared" si="331"/>
        <v>#REF!</v>
      </c>
      <c r="K275" s="362" t="e">
        <f t="shared" si="332"/>
        <v>#REF!</v>
      </c>
      <c r="L275" s="362"/>
      <c r="M275" s="362" t="e">
        <f>VALO_PERSO!#REF!</f>
        <v>#REF!</v>
      </c>
      <c r="N275" s="382" t="e">
        <f t="shared" si="333"/>
        <v>#REF!</v>
      </c>
      <c r="O275" s="383" t="e">
        <f t="shared" ref="O275:O281" si="335">P275/12</f>
        <v>#REF!</v>
      </c>
      <c r="P275" s="366" t="e">
        <f>VALO_PERSO!#REF!</f>
        <v>#REF!</v>
      </c>
      <c r="Q275" s="366" t="e">
        <f>VALO_PERSO!#REF!</f>
        <v>#REF!</v>
      </c>
      <c r="R275" s="366" t="e">
        <f>VALO_PERSO!#REF!</f>
        <v>#REF!</v>
      </c>
      <c r="S275" s="384" t="e">
        <f>VALO_PERSO!#REF!-VALO_PERSO!#REF!</f>
        <v>#REF!</v>
      </c>
      <c r="T275" s="366" t="e">
        <f t="shared" si="334"/>
        <v>#REF!</v>
      </c>
    </row>
    <row r="276" spans="1:20" s="111" customFormat="1" ht="60.75" thickBot="1" x14ac:dyDescent="0.3">
      <c r="B276" s="362">
        <f>VALO_PERSO!F7</f>
        <v>4</v>
      </c>
      <c r="C276" s="362" t="str">
        <f t="shared" si="328"/>
        <v>CREPIN Lucie</v>
      </c>
      <c r="D276" s="362" t="str">
        <f>VALO_PERSO!I7</f>
        <v>Lead Scientist</v>
      </c>
      <c r="E276" s="362" t="str">
        <f>VALO_PERSO!J7</f>
        <v>Doctorat - Biotechnologie, microbilogie - Université Montpellier II</v>
      </c>
      <c r="F276" s="363">
        <f>VALO_PERSO!M7</f>
        <v>42552</v>
      </c>
      <c r="G276" s="363">
        <f t="shared" si="329"/>
        <v>45292</v>
      </c>
      <c r="H276" s="363">
        <f>VALO_PERSO!N7</f>
        <v>0</v>
      </c>
      <c r="I276" s="363">
        <f t="shared" si="330"/>
        <v>45657</v>
      </c>
      <c r="J276" s="362">
        <f t="shared" si="331"/>
        <v>365</v>
      </c>
      <c r="K276" s="362">
        <f t="shared" si="332"/>
        <v>1</v>
      </c>
      <c r="L276" s="362"/>
      <c r="M276" s="362">
        <f>VALO_PERSO!W7</f>
        <v>1679.64</v>
      </c>
      <c r="N276" s="382">
        <f t="shared" si="333"/>
        <v>0.9117429925460232</v>
      </c>
      <c r="O276" s="383">
        <f>P276/12</f>
        <v>5707.9658333333327</v>
      </c>
      <c r="P276" s="366">
        <f>VALO_PERSO!P7</f>
        <v>68495.59</v>
      </c>
      <c r="Q276" s="366">
        <f>VALO_PERSO!V7</f>
        <v>96599.79</v>
      </c>
      <c r="R276" s="366">
        <f>VALO_PERSO!X7</f>
        <v>57.512199042651993</v>
      </c>
      <c r="S276" s="384">
        <f>VALO_PERSO!W7-VALO_PERSO!BJ7</f>
        <v>1531.4000000000026</v>
      </c>
      <c r="T276" s="366">
        <f t="shared" si="334"/>
        <v>88074.181613917404</v>
      </c>
    </row>
    <row r="277" spans="1:20" s="111" customFormat="1" ht="36.75" thickBot="1" x14ac:dyDescent="0.3">
      <c r="B277" s="362">
        <f>VALO_PERSO!F8</f>
        <v>5</v>
      </c>
      <c r="C277" s="362" t="str">
        <f t="shared" si="328"/>
        <v>BOISSONNAT Guillaume</v>
      </c>
      <c r="D277" s="362" t="str">
        <f>VALO_PERSO!I8</f>
        <v>Ingénieur Recherche</v>
      </c>
      <c r="E277" s="362" t="str">
        <f>VALO_PERSO!J8</f>
        <v>Doctorat Chimie moleculaire- Université Paris VI</v>
      </c>
      <c r="F277" s="363">
        <f>VALO_PERSO!M8</f>
        <v>42678</v>
      </c>
      <c r="G277" s="363">
        <f t="shared" si="329"/>
        <v>45292</v>
      </c>
      <c r="H277" s="363">
        <f>VALO_PERSO!N8</f>
        <v>0</v>
      </c>
      <c r="I277" s="363">
        <f t="shared" si="330"/>
        <v>45657</v>
      </c>
      <c r="J277" s="362">
        <f t="shared" si="331"/>
        <v>365</v>
      </c>
      <c r="K277" s="362">
        <f t="shared" si="332"/>
        <v>1</v>
      </c>
      <c r="L277" s="362"/>
      <c r="M277" s="362">
        <f>VALO_PERSO!W8</f>
        <v>1628.97</v>
      </c>
      <c r="N277" s="382">
        <f t="shared" si="333"/>
        <v>0.40000000000000013</v>
      </c>
      <c r="O277" s="383">
        <f t="shared" si="335"/>
        <v>11351.210833333333</v>
      </c>
      <c r="P277" s="366">
        <f>VALO_PERSO!P8</f>
        <v>136214.53</v>
      </c>
      <c r="Q277" s="366">
        <f>VALO_PERSO!V8</f>
        <v>193406.16999999998</v>
      </c>
      <c r="R277" s="366">
        <f>VALO_PERSO!X8</f>
        <v>118.72911717220083</v>
      </c>
      <c r="S277" s="384">
        <f>VALO_PERSO!W8-VALO_PERSO!BJ8</f>
        <v>651.58800000000019</v>
      </c>
      <c r="T277" s="366">
        <f t="shared" si="334"/>
        <v>77362.468000000023</v>
      </c>
    </row>
    <row r="278" spans="1:20" s="111" customFormat="1" ht="48.75" thickBot="1" x14ac:dyDescent="0.3">
      <c r="B278" s="362">
        <f>VALO_PERSO!F9</f>
        <v>6</v>
      </c>
      <c r="C278" s="362" t="str">
        <f t="shared" si="328"/>
        <v>COTTET Kevin</v>
      </c>
      <c r="D278" s="362" t="str">
        <f>VALO_PERSO!I9</f>
        <v>Lead Scientist</v>
      </c>
      <c r="E278" s="362" t="str">
        <f>VALO_PERSO!J9</f>
        <v>Doctorat - Pharmacognosie - Université Paris Descartes</v>
      </c>
      <c r="F278" s="363">
        <f>VALO_PERSO!M9</f>
        <v>42979</v>
      </c>
      <c r="G278" s="363">
        <f t="shared" si="329"/>
        <v>45292</v>
      </c>
      <c r="H278" s="363">
        <f>VALO_PERSO!N9</f>
        <v>0</v>
      </c>
      <c r="I278" s="363">
        <f t="shared" si="330"/>
        <v>45657</v>
      </c>
      <c r="J278" s="362">
        <f t="shared" si="331"/>
        <v>365</v>
      </c>
      <c r="K278" s="362">
        <f t="shared" si="332"/>
        <v>1</v>
      </c>
      <c r="L278" s="362"/>
      <c r="M278" s="362">
        <f>VALO_PERSO!W9</f>
        <v>1644.1699999999998</v>
      </c>
      <c r="N278" s="382">
        <f t="shared" si="333"/>
        <v>0.70953733494711746</v>
      </c>
      <c r="O278" s="383">
        <f t="shared" si="335"/>
        <v>5326.8041666666668</v>
      </c>
      <c r="P278" s="366">
        <f>VALO_PERSO!P9</f>
        <v>63921.65</v>
      </c>
      <c r="Q278" s="366">
        <f>VALO_PERSO!V9</f>
        <v>89784.16</v>
      </c>
      <c r="R278" s="366">
        <f>VALO_PERSO!X9</f>
        <v>54.60758923955553</v>
      </c>
      <c r="S278" s="384">
        <f>VALO_PERSO!W9-VALO_PERSO!BJ9</f>
        <v>1166.600000000002</v>
      </c>
      <c r="T278" s="366">
        <f t="shared" si="334"/>
        <v>63705.213606865589</v>
      </c>
    </row>
    <row r="279" spans="1:20" s="111" customFormat="1" ht="60.75" thickBot="1" x14ac:dyDescent="0.3">
      <c r="B279" s="362">
        <f>VALO_PERSO!F10</f>
        <v>7</v>
      </c>
      <c r="C279" s="362" t="str">
        <f t="shared" si="328"/>
        <v>BLANCHARD-SLOOTMAN Vincent</v>
      </c>
      <c r="D279" s="362" t="str">
        <f>VALO_PERSO!I10</f>
        <v>Ingénieur de Recherche</v>
      </c>
      <c r="E279" s="362" t="str">
        <f>VALO_PERSO!J10</f>
        <v>Doctorat - Ecole Nationale supérieure de chimie de Montpellier</v>
      </c>
      <c r="F279" s="363">
        <f>VALO_PERSO!M10</f>
        <v>43480</v>
      </c>
      <c r="G279" s="363">
        <f t="shared" si="329"/>
        <v>45292</v>
      </c>
      <c r="H279" s="363">
        <f>VALO_PERSO!N10</f>
        <v>0</v>
      </c>
      <c r="I279" s="363">
        <f t="shared" si="330"/>
        <v>45657</v>
      </c>
      <c r="J279" s="362">
        <f t="shared" si="331"/>
        <v>365</v>
      </c>
      <c r="K279" s="362">
        <f t="shared" si="332"/>
        <v>1</v>
      </c>
      <c r="L279" s="362"/>
      <c r="M279" s="362">
        <f>VALO_PERSO!W10</f>
        <v>1649.24</v>
      </c>
      <c r="N279" s="382">
        <f t="shared" si="333"/>
        <v>0.67279474182047594</v>
      </c>
      <c r="O279" s="383">
        <f t="shared" si="335"/>
        <v>5249.086666666667</v>
      </c>
      <c r="P279" s="366">
        <f>VALO_PERSO!P10</f>
        <v>62989.04</v>
      </c>
      <c r="Q279" s="366">
        <f>VALO_PERSO!V10</f>
        <v>88482.28</v>
      </c>
      <c r="R279" s="366">
        <f>VALO_PERSO!X10</f>
        <v>53.650335912298999</v>
      </c>
      <c r="S279" s="384">
        <f>VALO_PERSO!W10-VALO_PERSO!BJ10</f>
        <v>1109.6000000000017</v>
      </c>
      <c r="T279" s="366">
        <f t="shared" si="334"/>
        <v>59530.412728287061</v>
      </c>
    </row>
    <row r="280" spans="1:20" s="111" customFormat="1" ht="36.75" thickBot="1" x14ac:dyDescent="0.3">
      <c r="B280" s="362">
        <f>VALO_PERSO!F11</f>
        <v>8</v>
      </c>
      <c r="C280" s="362" t="str">
        <f t="shared" si="328"/>
        <v>GOMES-DA-CRUZ Filipe</v>
      </c>
      <c r="D280" s="362" t="str">
        <f>VALO_PERSO!I11</f>
        <v>Ingénieur de Recherche</v>
      </c>
      <c r="E280" s="362" t="str">
        <f>VALO_PERSO!J11</f>
        <v>Doctorat - Chimie - Université Paris Saclay</v>
      </c>
      <c r="F280" s="363">
        <f>VALO_PERSO!M11</f>
        <v>43480</v>
      </c>
      <c r="G280" s="363">
        <f t="shared" si="329"/>
        <v>45292</v>
      </c>
      <c r="H280" s="363">
        <f>VALO_PERSO!N11</f>
        <v>0</v>
      </c>
      <c r="I280" s="363">
        <f t="shared" si="330"/>
        <v>45657</v>
      </c>
      <c r="J280" s="362">
        <f t="shared" si="331"/>
        <v>365</v>
      </c>
      <c r="K280" s="362">
        <f t="shared" si="332"/>
        <v>1</v>
      </c>
      <c r="L280" s="362"/>
      <c r="M280" s="362">
        <f>VALO_PERSO!W11</f>
        <v>1672.04</v>
      </c>
      <c r="N280" s="382">
        <f t="shared" si="333"/>
        <v>0.92725054424535225</v>
      </c>
      <c r="O280" s="383">
        <f t="shared" si="335"/>
        <v>5133.6949999999997</v>
      </c>
      <c r="P280" s="366">
        <f>VALO_PERSO!P11</f>
        <v>61604.34</v>
      </c>
      <c r="Q280" s="366">
        <f>VALO_PERSO!V11</f>
        <v>86860.26</v>
      </c>
      <c r="R280" s="366">
        <f>VALO_PERSO!X11</f>
        <v>51.948673476711079</v>
      </c>
      <c r="S280" s="384">
        <f>VALO_PERSO!W11-VALO_PERSO!BJ11</f>
        <v>1550.3999999999987</v>
      </c>
      <c r="T280" s="366">
        <f t="shared" si="334"/>
        <v>80541.223358292787</v>
      </c>
    </row>
    <row r="281" spans="1:20" s="111" customFormat="1" ht="48.75" thickBot="1" x14ac:dyDescent="0.3">
      <c r="B281" s="362">
        <f>VALO_PERSO!F12</f>
        <v>11</v>
      </c>
      <c r="C281" s="362" t="str">
        <f t="shared" si="328"/>
        <v>BAYLAC Audrey</v>
      </c>
      <c r="D281" s="362" t="str">
        <f>VALO_PERSO!I12</f>
        <v>Ingénieur</v>
      </c>
      <c r="E281" s="362" t="str">
        <f>VALO_PERSO!J12</f>
        <v>Master Biochimie et biotechnologies - Université de Toulouse III</v>
      </c>
      <c r="F281" s="363">
        <f>VALO_PERSO!M12</f>
        <v>43831</v>
      </c>
      <c r="G281" s="363">
        <f t="shared" si="329"/>
        <v>45292</v>
      </c>
      <c r="H281" s="363">
        <f>VALO_PERSO!N12</f>
        <v>0</v>
      </c>
      <c r="I281" s="363">
        <f t="shared" si="330"/>
        <v>45657</v>
      </c>
      <c r="J281" s="362">
        <f t="shared" si="331"/>
        <v>365</v>
      </c>
      <c r="K281" s="362">
        <f t="shared" si="332"/>
        <v>1</v>
      </c>
      <c r="L281" s="362"/>
      <c r="M281" s="362">
        <f>VALO_PERSO!W12</f>
        <v>1204.6299999999999</v>
      </c>
      <c r="N281" s="382">
        <f t="shared" si="333"/>
        <v>0.86117729095241047</v>
      </c>
      <c r="O281" s="383">
        <f t="shared" si="335"/>
        <v>4476.9116666666669</v>
      </c>
      <c r="P281" s="366">
        <f>VALO_PERSO!P12</f>
        <v>53722.94</v>
      </c>
      <c r="Q281" s="366">
        <f>VALO_PERSO!V12</f>
        <v>75164.67</v>
      </c>
      <c r="R281" s="366">
        <f>VALO_PERSO!X12</f>
        <v>62.396478586785989</v>
      </c>
      <c r="S281" s="384">
        <f>VALO_PERSO!W12-VALO_PERSO!BJ12</f>
        <v>1037.4000000000021</v>
      </c>
      <c r="T281" s="366">
        <f t="shared" si="334"/>
        <v>64730.10688593192</v>
      </c>
    </row>
    <row r="282" spans="1:20" s="111" customFormat="1" ht="15.75" thickBot="1" x14ac:dyDescent="0.3">
      <c r="B282" s="385" t="s">
        <v>768</v>
      </c>
      <c r="C282" s="390"/>
      <c r="D282" s="390"/>
      <c r="E282" s="390"/>
      <c r="F282" s="391"/>
      <c r="G282" s="391"/>
      <c r="H282" s="390"/>
      <c r="I282" s="391"/>
      <c r="J282" s="390"/>
      <c r="K282" s="390"/>
      <c r="L282" s="390"/>
      <c r="M282" s="390"/>
      <c r="N282" s="392"/>
      <c r="O282" s="393"/>
      <c r="P282" s="393"/>
      <c r="Q282" s="393"/>
      <c r="R282" s="393"/>
      <c r="S282" s="394"/>
      <c r="T282" s="393"/>
    </row>
    <row r="283" spans="1:20" s="111" customFormat="1" ht="15.75" thickBot="1" x14ac:dyDescent="0.3">
      <c r="B283" s="395"/>
      <c r="C283" s="395"/>
      <c r="D283" s="395"/>
      <c r="E283" s="395"/>
      <c r="F283" s="396"/>
      <c r="G283" s="396"/>
      <c r="H283" s="395"/>
      <c r="I283" s="396"/>
      <c r="J283" s="395"/>
      <c r="K283" s="395"/>
      <c r="L283" s="395"/>
      <c r="M283" s="395"/>
      <c r="N283" s="395"/>
      <c r="O283" s="397"/>
      <c r="P283" s="397"/>
      <c r="Q283" s="397"/>
      <c r="R283" s="397"/>
      <c r="S283" s="398"/>
      <c r="T283" s="397"/>
    </row>
    <row r="284" spans="1:20" s="111" customFormat="1" ht="15.75" thickBot="1" x14ac:dyDescent="0.3">
      <c r="B284" s="395"/>
      <c r="C284" s="395"/>
      <c r="D284" s="395"/>
      <c r="E284" s="395"/>
      <c r="F284" s="396"/>
      <c r="G284" s="396"/>
      <c r="H284" s="395"/>
      <c r="I284" s="396"/>
      <c r="J284" s="395"/>
      <c r="K284" s="395"/>
      <c r="L284" s="395"/>
      <c r="M284" s="395"/>
      <c r="N284" s="395"/>
      <c r="O284" s="397"/>
      <c r="P284" s="397"/>
      <c r="Q284" s="397"/>
      <c r="R284" s="397"/>
      <c r="S284" s="398"/>
      <c r="T284" s="397"/>
    </row>
    <row r="285" spans="1:20" s="111" customFormat="1" ht="15.75" thickBot="1" x14ac:dyDescent="0.3">
      <c r="B285" s="395"/>
      <c r="C285" s="395"/>
      <c r="D285" s="395"/>
      <c r="E285" s="395"/>
      <c r="F285" s="396"/>
      <c r="G285" s="396"/>
      <c r="H285" s="395"/>
      <c r="I285" s="396"/>
      <c r="J285" s="395"/>
      <c r="K285" s="395"/>
      <c r="L285" s="395"/>
      <c r="M285" s="395"/>
      <c r="N285" s="395"/>
      <c r="O285" s="397"/>
      <c r="P285" s="397"/>
      <c r="Q285" s="397"/>
      <c r="R285" s="397"/>
      <c r="S285" s="398"/>
      <c r="T285" s="397"/>
    </row>
    <row r="286" spans="1:20" s="111" customFormat="1" ht="15.75" thickBot="1" x14ac:dyDescent="0.3">
      <c r="B286" s="395"/>
      <c r="C286" s="395"/>
      <c r="D286" s="395"/>
      <c r="E286" s="395"/>
      <c r="F286" s="396"/>
      <c r="G286" s="396"/>
      <c r="H286" s="395"/>
      <c r="I286" s="396"/>
      <c r="J286" s="395"/>
      <c r="K286" s="395"/>
      <c r="L286" s="395"/>
      <c r="M286" s="395"/>
      <c r="N286" s="395"/>
      <c r="O286" s="397"/>
      <c r="P286" s="397"/>
      <c r="Q286" s="397"/>
      <c r="R286" s="397"/>
      <c r="S286" s="398"/>
      <c r="T286" s="397"/>
    </row>
    <row r="287" spans="1:20" s="111" customFormat="1" ht="15.75" thickBot="1" x14ac:dyDescent="0.3">
      <c r="B287" s="395"/>
      <c r="C287" s="395"/>
      <c r="D287" s="395"/>
      <c r="E287" s="395"/>
      <c r="F287" s="396"/>
      <c r="G287" s="396"/>
      <c r="H287" s="395"/>
      <c r="I287" s="396"/>
      <c r="J287" s="395"/>
      <c r="K287" s="395"/>
      <c r="L287" s="395"/>
      <c r="M287" s="395"/>
      <c r="N287" s="395"/>
      <c r="O287" s="397"/>
      <c r="P287" s="397"/>
      <c r="Q287" s="397"/>
      <c r="R287" s="397"/>
      <c r="S287" s="398"/>
      <c r="T287" s="397"/>
    </row>
    <row r="288" spans="1:20" s="111" customFormat="1" ht="15.75" thickBot="1" x14ac:dyDescent="0.3">
      <c r="B288" s="395"/>
      <c r="C288" s="395"/>
      <c r="D288" s="395"/>
      <c r="E288" s="395"/>
      <c r="F288" s="396"/>
      <c r="G288" s="396"/>
      <c r="H288" s="395"/>
      <c r="I288" s="396"/>
      <c r="J288" s="395"/>
      <c r="K288" s="395"/>
      <c r="L288" s="395"/>
      <c r="M288" s="395"/>
      <c r="N288" s="395"/>
      <c r="O288" s="397"/>
      <c r="P288" s="397"/>
      <c r="Q288" s="397"/>
      <c r="R288" s="397"/>
      <c r="S288" s="398"/>
      <c r="T288" s="397"/>
    </row>
    <row r="289" spans="1:20" s="111" customFormat="1" ht="15.75" thickBot="1" x14ac:dyDescent="0.3">
      <c r="B289" s="593" t="s">
        <v>446</v>
      </c>
      <c r="C289" s="594"/>
      <c r="D289" s="594"/>
      <c r="E289" s="594"/>
      <c r="F289" s="594"/>
      <c r="G289" s="594"/>
      <c r="H289" s="594"/>
      <c r="I289" s="594"/>
      <c r="J289" s="595"/>
      <c r="K289" s="386" t="e">
        <f>SUM(K230:K288)</f>
        <v>#REF!</v>
      </c>
      <c r="L289" s="386"/>
      <c r="M289" s="386" t="e">
        <f>SUM(M230:M288)</f>
        <v>#REF!</v>
      </c>
      <c r="N289" s="386"/>
      <c r="O289" s="387" t="e">
        <f t="shared" ref="O289:T289" si="336">SUM(O230:O288)</f>
        <v>#REF!</v>
      </c>
      <c r="P289" s="387" t="e">
        <f t="shared" si="336"/>
        <v>#REF!</v>
      </c>
      <c r="Q289" s="387" t="e">
        <f t="shared" si="336"/>
        <v>#REF!</v>
      </c>
      <c r="R289" s="387" t="e">
        <f t="shared" si="336"/>
        <v>#REF!</v>
      </c>
      <c r="S289" s="388" t="e">
        <f t="shared" si="336"/>
        <v>#REF!</v>
      </c>
      <c r="T289" s="387" t="e">
        <f t="shared" si="336"/>
        <v>#REF!</v>
      </c>
    </row>
    <row r="290" spans="1:20" s="111" customFormat="1" x14ac:dyDescent="0.25">
      <c r="B290" s="349"/>
      <c r="C290" s="349"/>
      <c r="D290" s="349"/>
      <c r="E290" s="349"/>
      <c r="F290" s="349"/>
      <c r="G290" s="349"/>
      <c r="H290" s="349"/>
      <c r="I290" s="349"/>
      <c r="J290" s="349"/>
      <c r="K290" s="349"/>
      <c r="L290" s="349"/>
      <c r="M290" s="349"/>
      <c r="N290" s="349"/>
      <c r="O290" s="349"/>
      <c r="P290" s="349"/>
      <c r="Q290" s="349"/>
      <c r="R290" s="349"/>
      <c r="S290" s="349"/>
      <c r="T290" s="349"/>
    </row>
    <row r="291" spans="1:20" s="111" customFormat="1" ht="15.75" thickBot="1" x14ac:dyDescent="0.3">
      <c r="B291" s="349"/>
      <c r="C291" s="349"/>
      <c r="D291" s="349"/>
      <c r="E291" s="349"/>
      <c r="F291" s="349"/>
      <c r="G291" s="349"/>
      <c r="H291" s="349"/>
      <c r="I291" s="349"/>
      <c r="J291" s="349"/>
      <c r="K291" s="349"/>
      <c r="L291" s="349"/>
      <c r="M291" s="349"/>
      <c r="N291" s="349"/>
      <c r="O291" s="349"/>
      <c r="P291" s="349"/>
      <c r="Q291" s="349"/>
      <c r="R291" s="349"/>
      <c r="S291" s="349"/>
      <c r="T291" s="349"/>
    </row>
    <row r="292" spans="1:20" s="111" customFormat="1" ht="24.75" thickBot="1" x14ac:dyDescent="0.3">
      <c r="B292" s="381" t="s">
        <v>366</v>
      </c>
      <c r="C292" s="401" t="s">
        <v>805</v>
      </c>
      <c r="D292" s="401" t="s">
        <v>806</v>
      </c>
      <c r="E292" s="401" t="s">
        <v>807</v>
      </c>
      <c r="F292" s="401" t="s">
        <v>719</v>
      </c>
      <c r="G292" s="413"/>
      <c r="H292" s="403" t="s">
        <v>367</v>
      </c>
      <c r="I292" s="401" t="s">
        <v>368</v>
      </c>
      <c r="J292" s="401" t="s">
        <v>802</v>
      </c>
      <c r="K292" s="401" t="s">
        <v>808</v>
      </c>
      <c r="L292" s="349"/>
      <c r="M292" s="349"/>
      <c r="N292" s="349"/>
      <c r="O292" s="349" t="s">
        <v>769</v>
      </c>
      <c r="P292" s="349"/>
      <c r="Q292" s="349"/>
      <c r="R292" s="349"/>
      <c r="S292" s="349"/>
      <c r="T292" s="349"/>
    </row>
    <row r="293" spans="1:20" s="111" customFormat="1" ht="15.75" thickBot="1" x14ac:dyDescent="0.3">
      <c r="A293" s="111" t="s">
        <v>813</v>
      </c>
      <c r="B293" s="362" t="str">
        <f>B230</f>
        <v>mad</v>
      </c>
      <c r="C293" s="404" t="str">
        <f>C230</f>
        <v>GHLAMI Sephora</v>
      </c>
      <c r="D293" s="405">
        <f>R230</f>
        <v>25.896624000000006</v>
      </c>
      <c r="E293" s="406">
        <f>S230</f>
        <v>324.8</v>
      </c>
      <c r="F293" s="405">
        <f>T230</f>
        <v>8411.2234752000022</v>
      </c>
      <c r="G293" s="413"/>
      <c r="H293" s="404" t="str">
        <f t="shared" ref="H293" si="337">C43</f>
        <v>GHLAMI</v>
      </c>
      <c r="I293" s="407" t="str">
        <f t="shared" ref="I293" si="338">D43</f>
        <v>Sephora</v>
      </c>
      <c r="J293" s="407">
        <f>E230</f>
        <v>0</v>
      </c>
      <c r="K293" s="407" t="str">
        <f>D230</f>
        <v>MAD</v>
      </c>
      <c r="L293" s="349"/>
      <c r="M293" s="349"/>
      <c r="N293" s="349"/>
      <c r="O293" s="349" t="s">
        <v>770</v>
      </c>
      <c r="P293" s="349"/>
      <c r="Q293" s="349"/>
      <c r="R293" s="349"/>
      <c r="S293" s="349"/>
      <c r="T293" s="349"/>
    </row>
    <row r="294" spans="1:20" s="111" customFormat="1" ht="24.75" thickBot="1" x14ac:dyDescent="0.3">
      <c r="A294" s="111" t="s">
        <v>813</v>
      </c>
      <c r="B294" s="362">
        <f>B232</f>
        <v>1</v>
      </c>
      <c r="C294" s="404" t="e">
        <f>C232</f>
        <v>#REF!</v>
      </c>
      <c r="D294" s="405">
        <f>R232</f>
        <v>51.165673195193484</v>
      </c>
      <c r="E294" s="406">
        <f>S232</f>
        <v>1481.320000000002</v>
      </c>
      <c r="F294" s="405">
        <f>T232</f>
        <v>75792.735017504121</v>
      </c>
      <c r="G294" s="413"/>
      <c r="H294" s="404" t="str">
        <f t="shared" ref="H294" si="339">C45</f>
        <v>AMILLASTRE</v>
      </c>
      <c r="I294" s="407" t="str">
        <f t="shared" ref="I294" si="340">D45</f>
        <v>Emilie</v>
      </c>
      <c r="J294" s="407" t="str">
        <f>E232</f>
        <v>Doctorat - INSA Toulouse</v>
      </c>
      <c r="K294" s="407" t="str">
        <f>D232</f>
        <v>Experte Bioprocédés</v>
      </c>
      <c r="L294" s="349"/>
      <c r="M294" s="349"/>
      <c r="N294" s="349"/>
      <c r="O294" s="349" t="s">
        <v>770</v>
      </c>
      <c r="P294" s="349"/>
      <c r="Q294" s="349"/>
      <c r="R294" s="349"/>
      <c r="S294" s="349"/>
      <c r="T294" s="349"/>
    </row>
    <row r="295" spans="1:20" s="111" customFormat="1" ht="15.75" thickBot="1" x14ac:dyDescent="0.3">
      <c r="A295" s="111" t="s">
        <v>813</v>
      </c>
      <c r="B295" s="362" t="e">
        <f>B234</f>
        <v>#REF!</v>
      </c>
      <c r="C295" s="404" t="str">
        <f>C234</f>
        <v>AMILLASTRE Emilie</v>
      </c>
      <c r="D295" s="405" t="e">
        <f>R234</f>
        <v>#REF!</v>
      </c>
      <c r="E295" s="406" t="e">
        <f>S234</f>
        <v>#REF!</v>
      </c>
      <c r="F295" s="405" t="e">
        <f>T234</f>
        <v>#REF!</v>
      </c>
      <c r="G295" s="413"/>
      <c r="H295" s="404" t="e">
        <f t="shared" ref="H295" si="341">C47</f>
        <v>#REF!</v>
      </c>
      <c r="I295" s="407" t="e">
        <f t="shared" ref="I295" si="342">D47</f>
        <v>#REF!</v>
      </c>
      <c r="J295" s="407" t="e">
        <f>E234</f>
        <v>#REF!</v>
      </c>
      <c r="K295" s="407" t="e">
        <f>D234</f>
        <v>#REF!</v>
      </c>
      <c r="L295" s="349"/>
      <c r="M295" s="349"/>
      <c r="N295" s="349"/>
      <c r="O295" s="349" t="s">
        <v>770</v>
      </c>
      <c r="P295" s="349"/>
      <c r="Q295" s="349"/>
      <c r="R295" s="349"/>
      <c r="S295" s="349"/>
      <c r="T295" s="349"/>
    </row>
    <row r="296" spans="1:20" s="111" customFormat="1" ht="15.75" thickBot="1" x14ac:dyDescent="0.3">
      <c r="A296" s="111" t="s">
        <v>813</v>
      </c>
      <c r="B296" s="362" t="e">
        <f>B236</f>
        <v>#REF!</v>
      </c>
      <c r="C296" s="404" t="e">
        <f>C236</f>
        <v>#REF!</v>
      </c>
      <c r="D296" s="405" t="e">
        <f>R236</f>
        <v>#REF!</v>
      </c>
      <c r="E296" s="406" t="e">
        <f>S236</f>
        <v>#REF!</v>
      </c>
      <c r="F296" s="405" t="e">
        <f>T236</f>
        <v>#REF!</v>
      </c>
      <c r="G296" s="413"/>
      <c r="H296" s="404" t="e">
        <f t="shared" ref="H296" si="343">C49</f>
        <v>#REF!</v>
      </c>
      <c r="I296" s="407" t="e">
        <f t="shared" ref="I296" si="344">D49</f>
        <v>#REF!</v>
      </c>
      <c r="J296" s="407" t="e">
        <f>E236</f>
        <v>#REF!</v>
      </c>
      <c r="K296" s="407" t="e">
        <f>D236</f>
        <v>#REF!</v>
      </c>
      <c r="L296" s="349"/>
      <c r="M296" s="349"/>
      <c r="N296" s="349"/>
      <c r="O296" s="349" t="s">
        <v>770</v>
      </c>
      <c r="P296" s="349"/>
      <c r="Q296" s="349"/>
      <c r="R296" s="349"/>
      <c r="S296" s="349"/>
      <c r="T296" s="349"/>
    </row>
    <row r="297" spans="1:20" s="111" customFormat="1" ht="24.75" thickBot="1" x14ac:dyDescent="0.3">
      <c r="A297" s="111" t="s">
        <v>813</v>
      </c>
      <c r="B297" s="362">
        <f>B274</f>
        <v>1</v>
      </c>
      <c r="C297" s="404" t="str">
        <f>C274</f>
        <v>AMILLASTRE Emilie</v>
      </c>
      <c r="D297" s="405">
        <f t="shared" ref="D297:F298" si="345">R274</f>
        <v>51.165673195193484</v>
      </c>
      <c r="E297" s="406">
        <f t="shared" si="345"/>
        <v>1481.320000000002</v>
      </c>
      <c r="F297" s="405">
        <f t="shared" si="345"/>
        <v>75792.735017504121</v>
      </c>
      <c r="G297" s="413"/>
      <c r="H297" s="404" t="str">
        <f t="shared" ref="H297" si="346">C87</f>
        <v>AMILLASTRE</v>
      </c>
      <c r="I297" s="407" t="str">
        <f t="shared" ref="I297" si="347">D87</f>
        <v>Emilie</v>
      </c>
      <c r="J297" s="407" t="str">
        <f>E274</f>
        <v>Doctorat - INSA Toulouse</v>
      </c>
      <c r="K297" s="407" t="str">
        <f>D274</f>
        <v>Experte Bioprocédés</v>
      </c>
      <c r="L297" s="349"/>
      <c r="M297" s="349"/>
      <c r="N297" s="349"/>
      <c r="O297" s="349" t="s">
        <v>770</v>
      </c>
      <c r="P297" s="349"/>
      <c r="Q297" s="349"/>
      <c r="R297" s="349"/>
      <c r="S297" s="349"/>
      <c r="T297" s="349"/>
    </row>
    <row r="298" spans="1:20" s="111" customFormat="1" ht="15.75" thickBot="1" x14ac:dyDescent="0.3">
      <c r="A298" s="111" t="s">
        <v>813</v>
      </c>
      <c r="B298" s="362" t="e">
        <f>B275</f>
        <v>#REF!</v>
      </c>
      <c r="C298" s="404" t="e">
        <f>C275</f>
        <v>#REF!</v>
      </c>
      <c r="D298" s="405" t="e">
        <f t="shared" si="345"/>
        <v>#REF!</v>
      </c>
      <c r="E298" s="406" t="e">
        <f t="shared" si="345"/>
        <v>#REF!</v>
      </c>
      <c r="F298" s="405" t="e">
        <f t="shared" si="345"/>
        <v>#REF!</v>
      </c>
      <c r="G298" s="413"/>
      <c r="H298" s="404" t="e">
        <f t="shared" ref="H298" si="348">C88</f>
        <v>#REF!</v>
      </c>
      <c r="I298" s="407" t="e">
        <f t="shared" ref="I298" si="349">D88</f>
        <v>#REF!</v>
      </c>
      <c r="J298" s="407" t="e">
        <f>E275</f>
        <v>#REF!</v>
      </c>
      <c r="K298" s="407" t="e">
        <f>D275</f>
        <v>#REF!</v>
      </c>
      <c r="L298" s="349"/>
      <c r="M298" s="349"/>
      <c r="N298" s="349"/>
      <c r="O298" s="349" t="s">
        <v>770</v>
      </c>
      <c r="P298" s="349"/>
      <c r="Q298" s="349"/>
      <c r="R298" s="349"/>
      <c r="S298" s="349"/>
      <c r="T298" s="349"/>
    </row>
    <row r="299" spans="1:20" s="111" customFormat="1" ht="15.75" thickBot="1" x14ac:dyDescent="0.3">
      <c r="A299" s="111" t="s">
        <v>813</v>
      </c>
      <c r="B299" s="362" t="e">
        <f>B275</f>
        <v>#REF!</v>
      </c>
      <c r="C299" s="404" t="e">
        <f>C275</f>
        <v>#REF!</v>
      </c>
      <c r="D299" s="405" t="e">
        <f t="shared" ref="D299:F300" si="350">R275</f>
        <v>#REF!</v>
      </c>
      <c r="E299" s="406" t="e">
        <f t="shared" si="350"/>
        <v>#REF!</v>
      </c>
      <c r="F299" s="405" t="e">
        <f t="shared" si="350"/>
        <v>#REF!</v>
      </c>
      <c r="G299" s="413"/>
      <c r="H299" s="404" t="e">
        <f t="shared" ref="H299" si="351">C88</f>
        <v>#REF!</v>
      </c>
      <c r="I299" s="407" t="e">
        <f t="shared" ref="I299" si="352">D88</f>
        <v>#REF!</v>
      </c>
      <c r="J299" s="407" t="e">
        <f>E275</f>
        <v>#REF!</v>
      </c>
      <c r="K299" s="407" t="e">
        <f>D275</f>
        <v>#REF!</v>
      </c>
      <c r="L299" s="349"/>
      <c r="M299" s="349"/>
      <c r="N299" s="349"/>
      <c r="O299" s="349" t="s">
        <v>770</v>
      </c>
      <c r="P299" s="349"/>
      <c r="Q299" s="349"/>
      <c r="R299" s="349"/>
      <c r="S299" s="349"/>
      <c r="T299" s="349"/>
    </row>
    <row r="300" spans="1:20" s="111" customFormat="1" ht="24.75" thickBot="1" x14ac:dyDescent="0.3">
      <c r="A300" s="111" t="s">
        <v>813</v>
      </c>
      <c r="B300" s="362">
        <f>B276</f>
        <v>4</v>
      </c>
      <c r="C300" s="404" t="str">
        <f>C276</f>
        <v>CREPIN Lucie</v>
      </c>
      <c r="D300" s="405">
        <f t="shared" si="350"/>
        <v>57.512199042651993</v>
      </c>
      <c r="E300" s="406">
        <f t="shared" si="350"/>
        <v>1531.4000000000026</v>
      </c>
      <c r="F300" s="405">
        <f t="shared" si="350"/>
        <v>88074.181613917404</v>
      </c>
      <c r="G300" s="413"/>
      <c r="H300" s="404" t="str">
        <f t="shared" ref="H300" si="353">C89</f>
        <v>CREPIN</v>
      </c>
      <c r="I300" s="407" t="str">
        <f t="shared" ref="I300" si="354">D89</f>
        <v>Lucie</v>
      </c>
      <c r="J300" s="407" t="str">
        <f>E276</f>
        <v>Doctorat - Biotechnologie, microbilogie - Université Montpellier II</v>
      </c>
      <c r="K300" s="407" t="str">
        <f>D276</f>
        <v>Lead Scientist</v>
      </c>
      <c r="L300" s="349"/>
      <c r="M300" s="349"/>
      <c r="N300" s="349"/>
      <c r="O300" s="349" t="s">
        <v>770</v>
      </c>
      <c r="P300" s="349"/>
      <c r="Q300" s="349"/>
      <c r="R300" s="349"/>
      <c r="S300" s="349"/>
      <c r="T300" s="349"/>
    </row>
    <row r="301" spans="1:20" s="111" customFormat="1" ht="24.75" thickBot="1" x14ac:dyDescent="0.3">
      <c r="A301" s="111" t="s">
        <v>813</v>
      </c>
      <c r="B301" s="362">
        <f>B274</f>
        <v>1</v>
      </c>
      <c r="C301" s="404" t="str">
        <f>C274</f>
        <v>AMILLASTRE Emilie</v>
      </c>
      <c r="D301" s="405">
        <f t="shared" ref="D301:F302" si="355">R274</f>
        <v>51.165673195193484</v>
      </c>
      <c r="E301" s="406">
        <f t="shared" si="355"/>
        <v>1481.320000000002</v>
      </c>
      <c r="F301" s="405">
        <f t="shared" si="355"/>
        <v>75792.735017504121</v>
      </c>
      <c r="G301" s="413"/>
      <c r="H301" s="404" t="str">
        <f t="shared" ref="H301" si="356">C87</f>
        <v>AMILLASTRE</v>
      </c>
      <c r="I301" s="407" t="str">
        <f t="shared" ref="I301" si="357">D87</f>
        <v>Emilie</v>
      </c>
      <c r="J301" s="407" t="str">
        <f>E274</f>
        <v>Doctorat - INSA Toulouse</v>
      </c>
      <c r="K301" s="407" t="str">
        <f>D274</f>
        <v>Experte Bioprocédés</v>
      </c>
      <c r="L301" s="349"/>
      <c r="M301" s="349"/>
      <c r="N301" s="349"/>
      <c r="O301" s="349" t="s">
        <v>770</v>
      </c>
      <c r="P301" s="349"/>
      <c r="Q301" s="349"/>
      <c r="R301" s="349"/>
      <c r="S301" s="349"/>
      <c r="T301" s="349"/>
    </row>
    <row r="302" spans="1:20" s="111" customFormat="1" ht="15.75" thickBot="1" x14ac:dyDescent="0.3">
      <c r="A302" s="111" t="s">
        <v>813</v>
      </c>
      <c r="B302" s="362" t="e">
        <f>B275</f>
        <v>#REF!</v>
      </c>
      <c r="C302" s="404" t="e">
        <f>C275</f>
        <v>#REF!</v>
      </c>
      <c r="D302" s="405" t="e">
        <f t="shared" si="355"/>
        <v>#REF!</v>
      </c>
      <c r="E302" s="406" t="e">
        <f t="shared" si="355"/>
        <v>#REF!</v>
      </c>
      <c r="F302" s="405" t="e">
        <f t="shared" si="355"/>
        <v>#REF!</v>
      </c>
      <c r="G302" s="413"/>
      <c r="H302" s="404" t="e">
        <f t="shared" ref="H302" si="358">C88</f>
        <v>#REF!</v>
      </c>
      <c r="I302" s="407" t="e">
        <f t="shared" ref="I302" si="359">D88</f>
        <v>#REF!</v>
      </c>
      <c r="J302" s="407" t="e">
        <f>E275</f>
        <v>#REF!</v>
      </c>
      <c r="K302" s="407" t="e">
        <f>D275</f>
        <v>#REF!</v>
      </c>
      <c r="L302" s="349"/>
      <c r="M302" s="349"/>
      <c r="N302" s="349"/>
      <c r="O302" s="349" t="s">
        <v>770</v>
      </c>
      <c r="P302" s="349"/>
      <c r="Q302" s="349"/>
      <c r="R302" s="349"/>
      <c r="S302" s="349"/>
      <c r="T302" s="349"/>
    </row>
    <row r="303" spans="1:20" s="111" customFormat="1" ht="15.75" thickBot="1" x14ac:dyDescent="0.3">
      <c r="A303" s="111" t="s">
        <v>813</v>
      </c>
      <c r="B303" s="362" t="e">
        <f>B275</f>
        <v>#REF!</v>
      </c>
      <c r="C303" s="404" t="e">
        <f>C275</f>
        <v>#REF!</v>
      </c>
      <c r="D303" s="405" t="e">
        <f t="shared" ref="D303:F304" si="360">R275</f>
        <v>#REF!</v>
      </c>
      <c r="E303" s="406" t="e">
        <f t="shared" si="360"/>
        <v>#REF!</v>
      </c>
      <c r="F303" s="405" t="e">
        <f t="shared" si="360"/>
        <v>#REF!</v>
      </c>
      <c r="G303" s="413"/>
      <c r="H303" s="404" t="e">
        <f t="shared" ref="H303" si="361">C88</f>
        <v>#REF!</v>
      </c>
      <c r="I303" s="407" t="e">
        <f t="shared" ref="I303" si="362">D88</f>
        <v>#REF!</v>
      </c>
      <c r="J303" s="407" t="e">
        <f>E275</f>
        <v>#REF!</v>
      </c>
      <c r="K303" s="407" t="e">
        <f>D275</f>
        <v>#REF!</v>
      </c>
      <c r="L303" s="349"/>
      <c r="M303" s="349"/>
      <c r="N303" s="349"/>
      <c r="O303" s="349" t="s">
        <v>770</v>
      </c>
      <c r="P303" s="349"/>
      <c r="Q303" s="349"/>
      <c r="R303" s="349"/>
      <c r="S303" s="349"/>
      <c r="T303" s="349"/>
    </row>
    <row r="304" spans="1:20" s="111" customFormat="1" ht="24.75" thickBot="1" x14ac:dyDescent="0.3">
      <c r="A304" s="111" t="s">
        <v>813</v>
      </c>
      <c r="B304" s="362">
        <f>B276</f>
        <v>4</v>
      </c>
      <c r="C304" s="404" t="str">
        <f>C276</f>
        <v>CREPIN Lucie</v>
      </c>
      <c r="D304" s="405">
        <f t="shared" si="360"/>
        <v>57.512199042651993</v>
      </c>
      <c r="E304" s="406">
        <f t="shared" si="360"/>
        <v>1531.4000000000026</v>
      </c>
      <c r="F304" s="405">
        <f t="shared" si="360"/>
        <v>88074.181613917404</v>
      </c>
      <c r="G304" s="413"/>
      <c r="H304" s="404" t="str">
        <f t="shared" ref="H304" si="363">C89</f>
        <v>CREPIN</v>
      </c>
      <c r="I304" s="407" t="str">
        <f t="shared" ref="I304" si="364">D89</f>
        <v>Lucie</v>
      </c>
      <c r="J304" s="407" t="str">
        <f>E276</f>
        <v>Doctorat - Biotechnologie, microbilogie - Université Montpellier II</v>
      </c>
      <c r="K304" s="407" t="str">
        <f>D276</f>
        <v>Lead Scientist</v>
      </c>
      <c r="L304" s="349"/>
      <c r="M304" s="349"/>
      <c r="N304" s="349"/>
      <c r="O304" s="349" t="s">
        <v>770</v>
      </c>
      <c r="P304" s="349"/>
      <c r="Q304" s="349"/>
      <c r="R304" s="349"/>
      <c r="S304" s="349"/>
      <c r="T304" s="349"/>
    </row>
    <row r="305" spans="1:20" s="111" customFormat="1" ht="24.75" thickBot="1" x14ac:dyDescent="0.3">
      <c r="A305" s="111" t="s">
        <v>813</v>
      </c>
      <c r="B305" s="362">
        <f>B274</f>
        <v>1</v>
      </c>
      <c r="C305" s="404" t="str">
        <f>C274</f>
        <v>AMILLASTRE Emilie</v>
      </c>
      <c r="D305" s="405">
        <f t="shared" ref="D305:F306" si="365">R274</f>
        <v>51.165673195193484</v>
      </c>
      <c r="E305" s="406">
        <f t="shared" si="365"/>
        <v>1481.320000000002</v>
      </c>
      <c r="F305" s="405">
        <f t="shared" si="365"/>
        <v>75792.735017504121</v>
      </c>
      <c r="G305" s="413"/>
      <c r="H305" s="404" t="str">
        <f t="shared" ref="H305" si="366">C87</f>
        <v>AMILLASTRE</v>
      </c>
      <c r="I305" s="407" t="str">
        <f t="shared" ref="I305" si="367">D87</f>
        <v>Emilie</v>
      </c>
      <c r="J305" s="407" t="str">
        <f>E274</f>
        <v>Doctorat - INSA Toulouse</v>
      </c>
      <c r="K305" s="407" t="str">
        <f>D274</f>
        <v>Experte Bioprocédés</v>
      </c>
      <c r="L305" s="349"/>
      <c r="M305" s="349"/>
      <c r="N305" s="349"/>
      <c r="O305" s="349" t="s">
        <v>770</v>
      </c>
      <c r="P305" s="349"/>
      <c r="Q305" s="349"/>
      <c r="R305" s="349"/>
      <c r="S305" s="349"/>
      <c r="T305" s="349"/>
    </row>
    <row r="306" spans="1:20" s="111" customFormat="1" ht="15.75" thickBot="1" x14ac:dyDescent="0.3">
      <c r="A306" s="111" t="s">
        <v>813</v>
      </c>
      <c r="B306" s="362" t="e">
        <f>B275</f>
        <v>#REF!</v>
      </c>
      <c r="C306" s="404" t="e">
        <f>C275</f>
        <v>#REF!</v>
      </c>
      <c r="D306" s="405" t="e">
        <f t="shared" si="365"/>
        <v>#REF!</v>
      </c>
      <c r="E306" s="406" t="e">
        <f t="shared" si="365"/>
        <v>#REF!</v>
      </c>
      <c r="F306" s="405" t="e">
        <f t="shared" si="365"/>
        <v>#REF!</v>
      </c>
      <c r="G306" s="413"/>
      <c r="H306" s="404" t="e">
        <f t="shared" ref="H306" si="368">C88</f>
        <v>#REF!</v>
      </c>
      <c r="I306" s="407" t="e">
        <f t="shared" ref="I306" si="369">D88</f>
        <v>#REF!</v>
      </c>
      <c r="J306" s="407" t="e">
        <f>E275</f>
        <v>#REF!</v>
      </c>
      <c r="K306" s="407" t="e">
        <f>D275</f>
        <v>#REF!</v>
      </c>
      <c r="L306" s="349"/>
      <c r="M306" s="349"/>
      <c r="N306" s="349"/>
      <c r="O306" s="349" t="s">
        <v>770</v>
      </c>
      <c r="P306" s="349"/>
      <c r="Q306" s="349"/>
      <c r="R306" s="349"/>
      <c r="S306" s="349"/>
      <c r="T306" s="349"/>
    </row>
    <row r="307" spans="1:20" s="111" customFormat="1" ht="15.75" thickBot="1" x14ac:dyDescent="0.3">
      <c r="A307" s="111" t="s">
        <v>813</v>
      </c>
      <c r="B307" s="362" t="e">
        <f>B275</f>
        <v>#REF!</v>
      </c>
      <c r="C307" s="404" t="e">
        <f>C275</f>
        <v>#REF!</v>
      </c>
      <c r="D307" s="405" t="e">
        <f t="shared" ref="D307:F308" si="370">R275</f>
        <v>#REF!</v>
      </c>
      <c r="E307" s="406" t="e">
        <f t="shared" si="370"/>
        <v>#REF!</v>
      </c>
      <c r="F307" s="405" t="e">
        <f t="shared" si="370"/>
        <v>#REF!</v>
      </c>
      <c r="G307" s="413"/>
      <c r="H307" s="404" t="e">
        <f t="shared" ref="H307" si="371">C88</f>
        <v>#REF!</v>
      </c>
      <c r="I307" s="407" t="e">
        <f t="shared" ref="I307" si="372">D88</f>
        <v>#REF!</v>
      </c>
      <c r="J307" s="407" t="e">
        <f>E275</f>
        <v>#REF!</v>
      </c>
      <c r="K307" s="407" t="e">
        <f>D275</f>
        <v>#REF!</v>
      </c>
      <c r="L307" s="349"/>
      <c r="M307" s="349"/>
      <c r="N307" s="349"/>
      <c r="O307" s="349" t="s">
        <v>770</v>
      </c>
      <c r="P307" s="349"/>
      <c r="Q307" s="349"/>
      <c r="R307" s="349"/>
      <c r="S307" s="349"/>
      <c r="T307" s="349"/>
    </row>
    <row r="308" spans="1:20" s="111" customFormat="1" ht="24.75" thickBot="1" x14ac:dyDescent="0.3">
      <c r="A308" s="111" t="s">
        <v>813</v>
      </c>
      <c r="B308" s="362">
        <f>B276</f>
        <v>4</v>
      </c>
      <c r="C308" s="404" t="str">
        <f>C276</f>
        <v>CREPIN Lucie</v>
      </c>
      <c r="D308" s="405">
        <f t="shared" si="370"/>
        <v>57.512199042651993</v>
      </c>
      <c r="E308" s="406">
        <f t="shared" si="370"/>
        <v>1531.4000000000026</v>
      </c>
      <c r="F308" s="405">
        <f t="shared" si="370"/>
        <v>88074.181613917404</v>
      </c>
      <c r="G308" s="413"/>
      <c r="H308" s="404" t="str">
        <f t="shared" ref="H308" si="373">C89</f>
        <v>CREPIN</v>
      </c>
      <c r="I308" s="407" t="str">
        <f t="shared" ref="I308" si="374">D89</f>
        <v>Lucie</v>
      </c>
      <c r="J308" s="407" t="str">
        <f>E276</f>
        <v>Doctorat - Biotechnologie, microbilogie - Université Montpellier II</v>
      </c>
      <c r="K308" s="407" t="str">
        <f>D276</f>
        <v>Lead Scientist</v>
      </c>
      <c r="L308" s="349"/>
      <c r="M308" s="349"/>
      <c r="N308" s="349"/>
      <c r="O308" s="349" t="s">
        <v>770</v>
      </c>
      <c r="P308" s="349"/>
      <c r="Q308" s="349"/>
      <c r="R308" s="349"/>
      <c r="S308" s="349"/>
      <c r="T308" s="349"/>
    </row>
    <row r="309" spans="1:20" s="111" customFormat="1" ht="24.75" thickBot="1" x14ac:dyDescent="0.3">
      <c r="A309" s="111" t="s">
        <v>813</v>
      </c>
      <c r="B309" s="362">
        <f>B274</f>
        <v>1</v>
      </c>
      <c r="C309" s="404" t="str">
        <f>C274</f>
        <v>AMILLASTRE Emilie</v>
      </c>
      <c r="D309" s="405">
        <f t="shared" ref="D309:F310" si="375">R274</f>
        <v>51.165673195193484</v>
      </c>
      <c r="E309" s="406">
        <f t="shared" si="375"/>
        <v>1481.320000000002</v>
      </c>
      <c r="F309" s="405">
        <f t="shared" si="375"/>
        <v>75792.735017504121</v>
      </c>
      <c r="G309" s="413"/>
      <c r="H309" s="404" t="str">
        <f t="shared" ref="H309" si="376">C87</f>
        <v>AMILLASTRE</v>
      </c>
      <c r="I309" s="407" t="str">
        <f t="shared" ref="I309" si="377">D87</f>
        <v>Emilie</v>
      </c>
      <c r="J309" s="407" t="str">
        <f>E274</f>
        <v>Doctorat - INSA Toulouse</v>
      </c>
      <c r="K309" s="407" t="str">
        <f>D274</f>
        <v>Experte Bioprocédés</v>
      </c>
      <c r="L309" s="349"/>
      <c r="M309" s="349"/>
      <c r="N309" s="349"/>
      <c r="O309" s="349" t="s">
        <v>770</v>
      </c>
      <c r="P309" s="349"/>
      <c r="Q309" s="349"/>
      <c r="R309" s="349"/>
      <c r="S309" s="349"/>
      <c r="T309" s="349"/>
    </row>
    <row r="310" spans="1:20" s="111" customFormat="1" ht="15.75" thickBot="1" x14ac:dyDescent="0.3">
      <c r="A310" s="111" t="s">
        <v>813</v>
      </c>
      <c r="B310" s="362" t="e">
        <f>B275</f>
        <v>#REF!</v>
      </c>
      <c r="C310" s="404" t="e">
        <f>C275</f>
        <v>#REF!</v>
      </c>
      <c r="D310" s="405" t="e">
        <f t="shared" si="375"/>
        <v>#REF!</v>
      </c>
      <c r="E310" s="406" t="e">
        <f t="shared" si="375"/>
        <v>#REF!</v>
      </c>
      <c r="F310" s="405" t="e">
        <f t="shared" si="375"/>
        <v>#REF!</v>
      </c>
      <c r="G310" s="413"/>
      <c r="H310" s="404" t="e">
        <f t="shared" ref="H310" si="378">C88</f>
        <v>#REF!</v>
      </c>
      <c r="I310" s="407" t="e">
        <f t="shared" ref="I310" si="379">D88</f>
        <v>#REF!</v>
      </c>
      <c r="J310" s="407" t="e">
        <f>E275</f>
        <v>#REF!</v>
      </c>
      <c r="K310" s="407" t="e">
        <f>D275</f>
        <v>#REF!</v>
      </c>
      <c r="L310" s="349"/>
      <c r="M310" s="349"/>
      <c r="N310" s="349"/>
      <c r="O310" s="349" t="s">
        <v>770</v>
      </c>
      <c r="P310" s="349"/>
      <c r="Q310" s="349"/>
      <c r="R310" s="349"/>
      <c r="S310" s="349"/>
      <c r="T310" s="349"/>
    </row>
    <row r="311" spans="1:20" s="111" customFormat="1" ht="15.75" thickBot="1" x14ac:dyDescent="0.3">
      <c r="A311" s="111" t="s">
        <v>813</v>
      </c>
      <c r="B311" s="362" t="e">
        <f>B275</f>
        <v>#REF!</v>
      </c>
      <c r="C311" s="404" t="e">
        <f>C275</f>
        <v>#REF!</v>
      </c>
      <c r="D311" s="405" t="e">
        <f t="shared" ref="D311:F312" si="380">R275</f>
        <v>#REF!</v>
      </c>
      <c r="E311" s="406" t="e">
        <f t="shared" si="380"/>
        <v>#REF!</v>
      </c>
      <c r="F311" s="405" t="e">
        <f t="shared" si="380"/>
        <v>#REF!</v>
      </c>
      <c r="G311" s="413"/>
      <c r="H311" s="404" t="e">
        <f t="shared" ref="H311" si="381">C88</f>
        <v>#REF!</v>
      </c>
      <c r="I311" s="407" t="e">
        <f t="shared" ref="I311" si="382">D88</f>
        <v>#REF!</v>
      </c>
      <c r="J311" s="407" t="e">
        <f>E275</f>
        <v>#REF!</v>
      </c>
      <c r="K311" s="407" t="e">
        <f>D275</f>
        <v>#REF!</v>
      </c>
      <c r="L311" s="349"/>
      <c r="M311" s="349"/>
      <c r="N311" s="349"/>
      <c r="O311" s="349" t="s">
        <v>770</v>
      </c>
      <c r="P311" s="349"/>
      <c r="Q311" s="349"/>
      <c r="R311" s="349"/>
      <c r="S311" s="349"/>
      <c r="T311" s="349"/>
    </row>
    <row r="312" spans="1:20" s="111" customFormat="1" ht="24.75" thickBot="1" x14ac:dyDescent="0.3">
      <c r="A312" s="111" t="s">
        <v>813</v>
      </c>
      <c r="B312" s="362">
        <f>B276</f>
        <v>4</v>
      </c>
      <c r="C312" s="404" t="str">
        <f>C276</f>
        <v>CREPIN Lucie</v>
      </c>
      <c r="D312" s="405">
        <f t="shared" si="380"/>
        <v>57.512199042651993</v>
      </c>
      <c r="E312" s="406">
        <f t="shared" si="380"/>
        <v>1531.4000000000026</v>
      </c>
      <c r="F312" s="405">
        <f t="shared" si="380"/>
        <v>88074.181613917404</v>
      </c>
      <c r="G312" s="413"/>
      <c r="H312" s="404" t="str">
        <f t="shared" ref="H312" si="383">C89</f>
        <v>CREPIN</v>
      </c>
      <c r="I312" s="407" t="str">
        <f t="shared" ref="I312" si="384">D89</f>
        <v>Lucie</v>
      </c>
      <c r="J312" s="407" t="str">
        <f>E276</f>
        <v>Doctorat - Biotechnologie, microbilogie - Université Montpellier II</v>
      </c>
      <c r="K312" s="407" t="str">
        <f>D276</f>
        <v>Lead Scientist</v>
      </c>
      <c r="L312" s="349"/>
      <c r="M312" s="349"/>
      <c r="N312" s="349"/>
      <c r="O312" s="349" t="s">
        <v>770</v>
      </c>
      <c r="P312" s="349"/>
      <c r="Q312" s="349"/>
      <c r="R312" s="349"/>
      <c r="S312" s="349"/>
      <c r="T312" s="349"/>
    </row>
    <row r="313" spans="1:20" s="111" customFormat="1" ht="24.75" thickBot="1" x14ac:dyDescent="0.3">
      <c r="A313" s="111" t="s">
        <v>813</v>
      </c>
      <c r="B313" s="362">
        <f>B274</f>
        <v>1</v>
      </c>
      <c r="C313" s="404" t="str">
        <f>C274</f>
        <v>AMILLASTRE Emilie</v>
      </c>
      <c r="D313" s="405">
        <f t="shared" ref="D313:F314" si="385">R274</f>
        <v>51.165673195193484</v>
      </c>
      <c r="E313" s="406">
        <f t="shared" si="385"/>
        <v>1481.320000000002</v>
      </c>
      <c r="F313" s="405">
        <f t="shared" si="385"/>
        <v>75792.735017504121</v>
      </c>
      <c r="G313" s="413"/>
      <c r="H313" s="404" t="str">
        <f t="shared" ref="H313" si="386">C87</f>
        <v>AMILLASTRE</v>
      </c>
      <c r="I313" s="407" t="str">
        <f t="shared" ref="I313" si="387">D87</f>
        <v>Emilie</v>
      </c>
      <c r="J313" s="407" t="str">
        <f>E274</f>
        <v>Doctorat - INSA Toulouse</v>
      </c>
      <c r="K313" s="407" t="str">
        <f>D274</f>
        <v>Experte Bioprocédés</v>
      </c>
      <c r="L313" s="349"/>
      <c r="M313" s="349"/>
      <c r="N313" s="349"/>
      <c r="O313" s="349" t="s">
        <v>770</v>
      </c>
      <c r="P313" s="349"/>
      <c r="Q313" s="349"/>
      <c r="R313" s="349"/>
      <c r="S313" s="349"/>
      <c r="T313" s="349"/>
    </row>
    <row r="314" spans="1:20" s="111" customFormat="1" ht="15.75" thickBot="1" x14ac:dyDescent="0.3">
      <c r="A314" s="111" t="s">
        <v>813</v>
      </c>
      <c r="B314" s="362" t="e">
        <f>B275</f>
        <v>#REF!</v>
      </c>
      <c r="C314" s="404" t="e">
        <f>C275</f>
        <v>#REF!</v>
      </c>
      <c r="D314" s="405" t="e">
        <f t="shared" si="385"/>
        <v>#REF!</v>
      </c>
      <c r="E314" s="406" t="e">
        <f t="shared" si="385"/>
        <v>#REF!</v>
      </c>
      <c r="F314" s="405" t="e">
        <f t="shared" si="385"/>
        <v>#REF!</v>
      </c>
      <c r="G314" s="413"/>
      <c r="H314" s="404" t="e">
        <f t="shared" ref="H314" si="388">C88</f>
        <v>#REF!</v>
      </c>
      <c r="I314" s="407" t="e">
        <f t="shared" ref="I314" si="389">D88</f>
        <v>#REF!</v>
      </c>
      <c r="J314" s="407" t="e">
        <f>E275</f>
        <v>#REF!</v>
      </c>
      <c r="K314" s="407" t="e">
        <f>D275</f>
        <v>#REF!</v>
      </c>
      <c r="L314" s="349"/>
      <c r="M314" s="349"/>
      <c r="N314" s="349"/>
      <c r="O314" s="349" t="s">
        <v>770</v>
      </c>
      <c r="P314" s="349"/>
      <c r="Q314" s="349"/>
      <c r="R314" s="349"/>
      <c r="S314" s="349"/>
      <c r="T314" s="349"/>
    </row>
    <row r="315" spans="1:20" s="111" customFormat="1" ht="15.75" thickBot="1" x14ac:dyDescent="0.3">
      <c r="A315" s="111" t="s">
        <v>813</v>
      </c>
      <c r="B315" s="362" t="e">
        <f>B275</f>
        <v>#REF!</v>
      </c>
      <c r="C315" s="404" t="e">
        <f>C275</f>
        <v>#REF!</v>
      </c>
      <c r="D315" s="405" t="e">
        <f t="shared" ref="D315:F316" si="390">R275</f>
        <v>#REF!</v>
      </c>
      <c r="E315" s="406" t="e">
        <f t="shared" si="390"/>
        <v>#REF!</v>
      </c>
      <c r="F315" s="405" t="e">
        <f t="shared" si="390"/>
        <v>#REF!</v>
      </c>
      <c r="G315" s="413"/>
      <c r="H315" s="404" t="e">
        <f t="shared" ref="H315" si="391">C88</f>
        <v>#REF!</v>
      </c>
      <c r="I315" s="407" t="e">
        <f t="shared" ref="I315" si="392">D88</f>
        <v>#REF!</v>
      </c>
      <c r="J315" s="407" t="e">
        <f>E275</f>
        <v>#REF!</v>
      </c>
      <c r="K315" s="407" t="e">
        <f>D275</f>
        <v>#REF!</v>
      </c>
      <c r="L315" s="349"/>
      <c r="M315" s="349"/>
      <c r="N315" s="349"/>
      <c r="O315" s="349" t="s">
        <v>770</v>
      </c>
      <c r="P315" s="349"/>
      <c r="Q315" s="349"/>
      <c r="R315" s="349"/>
      <c r="S315" s="349"/>
      <c r="T315" s="349"/>
    </row>
    <row r="316" spans="1:20" s="111" customFormat="1" ht="24.75" thickBot="1" x14ac:dyDescent="0.3">
      <c r="A316" s="111" t="s">
        <v>813</v>
      </c>
      <c r="B316" s="362">
        <f>B276</f>
        <v>4</v>
      </c>
      <c r="C316" s="404" t="str">
        <f>C276</f>
        <v>CREPIN Lucie</v>
      </c>
      <c r="D316" s="405">
        <f t="shared" si="390"/>
        <v>57.512199042651993</v>
      </c>
      <c r="E316" s="406">
        <f t="shared" si="390"/>
        <v>1531.4000000000026</v>
      </c>
      <c r="F316" s="405">
        <f t="shared" si="390"/>
        <v>88074.181613917404</v>
      </c>
      <c r="G316" s="413"/>
      <c r="H316" s="404" t="str">
        <f t="shared" ref="H316" si="393">C89</f>
        <v>CREPIN</v>
      </c>
      <c r="I316" s="407" t="str">
        <f t="shared" ref="I316" si="394">D89</f>
        <v>Lucie</v>
      </c>
      <c r="J316" s="407" t="str">
        <f>E276</f>
        <v>Doctorat - Biotechnologie, microbilogie - Université Montpellier II</v>
      </c>
      <c r="K316" s="407" t="str">
        <f>D276</f>
        <v>Lead Scientist</v>
      </c>
      <c r="L316" s="349"/>
      <c r="M316" s="349"/>
      <c r="N316" s="349"/>
      <c r="O316" s="349" t="s">
        <v>770</v>
      </c>
      <c r="P316" s="349"/>
      <c r="Q316" s="349"/>
      <c r="R316" s="349"/>
      <c r="S316" s="349"/>
      <c r="T316" s="349"/>
    </row>
    <row r="317" spans="1:20" s="111" customFormat="1" ht="24.75" thickBot="1" x14ac:dyDescent="0.3">
      <c r="A317" s="111" t="s">
        <v>813</v>
      </c>
      <c r="B317" s="362">
        <f>B274</f>
        <v>1</v>
      </c>
      <c r="C317" s="404" t="str">
        <f>C274</f>
        <v>AMILLASTRE Emilie</v>
      </c>
      <c r="D317" s="405">
        <f t="shared" ref="D317:F318" si="395">R274</f>
        <v>51.165673195193484</v>
      </c>
      <c r="E317" s="406">
        <f t="shared" si="395"/>
        <v>1481.320000000002</v>
      </c>
      <c r="F317" s="405">
        <f t="shared" si="395"/>
        <v>75792.735017504121</v>
      </c>
      <c r="G317" s="413"/>
      <c r="H317" s="404" t="str">
        <f t="shared" ref="H317" si="396">C87</f>
        <v>AMILLASTRE</v>
      </c>
      <c r="I317" s="407" t="str">
        <f t="shared" ref="I317" si="397">D87</f>
        <v>Emilie</v>
      </c>
      <c r="J317" s="407" t="str">
        <f>E274</f>
        <v>Doctorat - INSA Toulouse</v>
      </c>
      <c r="K317" s="407" t="str">
        <f>D274</f>
        <v>Experte Bioprocédés</v>
      </c>
      <c r="L317" s="349"/>
      <c r="M317" s="349"/>
      <c r="N317" s="349"/>
      <c r="O317" s="349" t="s">
        <v>770</v>
      </c>
      <c r="P317" s="349"/>
      <c r="Q317" s="349"/>
      <c r="R317" s="349"/>
      <c r="S317" s="349"/>
      <c r="T317" s="349"/>
    </row>
    <row r="318" spans="1:20" s="111" customFormat="1" ht="15.75" thickBot="1" x14ac:dyDescent="0.3">
      <c r="A318" s="111" t="s">
        <v>813</v>
      </c>
      <c r="B318" s="362" t="e">
        <f>B275</f>
        <v>#REF!</v>
      </c>
      <c r="C318" s="404" t="e">
        <f>C275</f>
        <v>#REF!</v>
      </c>
      <c r="D318" s="405" t="e">
        <f t="shared" si="395"/>
        <v>#REF!</v>
      </c>
      <c r="E318" s="406" t="e">
        <f t="shared" si="395"/>
        <v>#REF!</v>
      </c>
      <c r="F318" s="405" t="e">
        <f t="shared" si="395"/>
        <v>#REF!</v>
      </c>
      <c r="G318" s="413"/>
      <c r="H318" s="404" t="e">
        <f t="shared" ref="H318" si="398">C88</f>
        <v>#REF!</v>
      </c>
      <c r="I318" s="407" t="e">
        <f t="shared" ref="I318" si="399">D88</f>
        <v>#REF!</v>
      </c>
      <c r="J318" s="407" t="e">
        <f>E275</f>
        <v>#REF!</v>
      </c>
      <c r="K318" s="407" t="e">
        <f>D275</f>
        <v>#REF!</v>
      </c>
      <c r="L318" s="349"/>
      <c r="M318" s="349"/>
      <c r="N318" s="349"/>
      <c r="O318" s="349" t="s">
        <v>770</v>
      </c>
      <c r="P318" s="349"/>
      <c r="Q318" s="349"/>
      <c r="R318" s="349"/>
      <c r="S318" s="349"/>
      <c r="T318" s="349"/>
    </row>
    <row r="319" spans="1:20" s="111" customFormat="1" ht="15.75" thickBot="1" x14ac:dyDescent="0.3">
      <c r="A319" s="111" t="s">
        <v>813</v>
      </c>
      <c r="B319" s="362" t="e">
        <f>B275</f>
        <v>#REF!</v>
      </c>
      <c r="C319" s="404" t="e">
        <f>C275</f>
        <v>#REF!</v>
      </c>
      <c r="D319" s="405" t="e">
        <f t="shared" ref="D319:F320" si="400">R275</f>
        <v>#REF!</v>
      </c>
      <c r="E319" s="406" t="e">
        <f t="shared" si="400"/>
        <v>#REF!</v>
      </c>
      <c r="F319" s="405" t="e">
        <f t="shared" si="400"/>
        <v>#REF!</v>
      </c>
      <c r="G319" s="413"/>
      <c r="H319" s="404" t="e">
        <f t="shared" ref="H319" si="401">C88</f>
        <v>#REF!</v>
      </c>
      <c r="I319" s="407" t="e">
        <f t="shared" ref="I319" si="402">D88</f>
        <v>#REF!</v>
      </c>
      <c r="J319" s="407" t="e">
        <f>E275</f>
        <v>#REF!</v>
      </c>
      <c r="K319" s="407" t="e">
        <f>D275</f>
        <v>#REF!</v>
      </c>
      <c r="L319" s="349"/>
      <c r="M319" s="349"/>
      <c r="N319" s="349"/>
      <c r="O319" s="349" t="s">
        <v>770</v>
      </c>
      <c r="P319" s="349"/>
      <c r="Q319" s="349"/>
      <c r="R319" s="349"/>
      <c r="S319" s="349"/>
      <c r="T319" s="349"/>
    </row>
    <row r="320" spans="1:20" s="111" customFormat="1" ht="24.75" thickBot="1" x14ac:dyDescent="0.3">
      <c r="A320" s="111" t="s">
        <v>813</v>
      </c>
      <c r="B320" s="362">
        <f>B276</f>
        <v>4</v>
      </c>
      <c r="C320" s="404" t="str">
        <f>C276</f>
        <v>CREPIN Lucie</v>
      </c>
      <c r="D320" s="405">
        <f t="shared" si="400"/>
        <v>57.512199042651993</v>
      </c>
      <c r="E320" s="406">
        <f t="shared" si="400"/>
        <v>1531.4000000000026</v>
      </c>
      <c r="F320" s="405">
        <f t="shared" si="400"/>
        <v>88074.181613917404</v>
      </c>
      <c r="G320" s="413"/>
      <c r="H320" s="404" t="str">
        <f t="shared" ref="H320" si="403">C89</f>
        <v>CREPIN</v>
      </c>
      <c r="I320" s="407" t="str">
        <f t="shared" ref="I320" si="404">D89</f>
        <v>Lucie</v>
      </c>
      <c r="J320" s="407" t="str">
        <f>E276</f>
        <v>Doctorat - Biotechnologie, microbilogie - Université Montpellier II</v>
      </c>
      <c r="K320" s="407" t="str">
        <f>D276</f>
        <v>Lead Scientist</v>
      </c>
      <c r="L320" s="349"/>
      <c r="M320" s="349"/>
      <c r="N320" s="349"/>
      <c r="O320" s="349" t="s">
        <v>770</v>
      </c>
      <c r="P320" s="349"/>
      <c r="Q320" s="349"/>
      <c r="R320" s="349"/>
      <c r="S320" s="349"/>
      <c r="T320" s="349"/>
    </row>
    <row r="321" spans="1:20" s="111" customFormat="1" ht="24.75" thickBot="1" x14ac:dyDescent="0.3">
      <c r="A321" s="111" t="s">
        <v>813</v>
      </c>
      <c r="B321" s="362">
        <f t="shared" ref="B321:C323" si="405">B274</f>
        <v>1</v>
      </c>
      <c r="C321" s="404" t="str">
        <f t="shared" si="405"/>
        <v>AMILLASTRE Emilie</v>
      </c>
      <c r="D321" s="405">
        <f t="shared" ref="D321:F322" si="406">R274</f>
        <v>51.165673195193484</v>
      </c>
      <c r="E321" s="406">
        <f t="shared" si="406"/>
        <v>1481.320000000002</v>
      </c>
      <c r="F321" s="405">
        <f t="shared" si="406"/>
        <v>75792.735017504121</v>
      </c>
      <c r="G321" s="413"/>
      <c r="H321" s="404" t="str">
        <f t="shared" ref="H321" si="407">C87</f>
        <v>AMILLASTRE</v>
      </c>
      <c r="I321" s="407" t="str">
        <f t="shared" ref="I321" si="408">D87</f>
        <v>Emilie</v>
      </c>
      <c r="J321" s="407" t="str">
        <f>E274</f>
        <v>Doctorat - INSA Toulouse</v>
      </c>
      <c r="K321" s="407" t="str">
        <f>D274</f>
        <v>Experte Bioprocédés</v>
      </c>
      <c r="L321" s="349"/>
      <c r="M321" s="349"/>
      <c r="N321" s="349"/>
      <c r="O321" s="349" t="s">
        <v>770</v>
      </c>
      <c r="P321" s="349"/>
      <c r="Q321" s="349"/>
      <c r="R321" s="349"/>
      <c r="S321" s="349"/>
      <c r="T321" s="349"/>
    </row>
    <row r="322" spans="1:20" s="111" customFormat="1" ht="15.75" thickBot="1" x14ac:dyDescent="0.3">
      <c r="A322" s="111" t="s">
        <v>813</v>
      </c>
      <c r="B322" s="362" t="e">
        <f t="shared" si="405"/>
        <v>#REF!</v>
      </c>
      <c r="C322" s="404" t="e">
        <f t="shared" si="405"/>
        <v>#REF!</v>
      </c>
      <c r="D322" s="405" t="e">
        <f t="shared" si="406"/>
        <v>#REF!</v>
      </c>
      <c r="E322" s="406" t="e">
        <f t="shared" si="406"/>
        <v>#REF!</v>
      </c>
      <c r="F322" s="405" t="e">
        <f t="shared" si="406"/>
        <v>#REF!</v>
      </c>
      <c r="G322" s="413"/>
      <c r="H322" s="404" t="e">
        <f t="shared" ref="H322" si="409">C88</f>
        <v>#REF!</v>
      </c>
      <c r="I322" s="407" t="e">
        <f t="shared" ref="I322" si="410">D88</f>
        <v>#REF!</v>
      </c>
      <c r="J322" s="407" t="e">
        <f>E275</f>
        <v>#REF!</v>
      </c>
      <c r="K322" s="407" t="e">
        <f>D275</f>
        <v>#REF!</v>
      </c>
      <c r="L322" s="349"/>
      <c r="M322" s="349"/>
      <c r="N322" s="349"/>
      <c r="O322" s="349" t="s">
        <v>770</v>
      </c>
      <c r="P322" s="349"/>
      <c r="Q322" s="349"/>
      <c r="R322" s="349"/>
      <c r="S322" s="349"/>
      <c r="T322" s="349"/>
    </row>
    <row r="323" spans="1:20" s="111" customFormat="1" ht="24.75" thickBot="1" x14ac:dyDescent="0.3">
      <c r="A323" s="111" t="s">
        <v>813</v>
      </c>
      <c r="B323" s="362">
        <f t="shared" si="405"/>
        <v>4</v>
      </c>
      <c r="C323" s="404" t="str">
        <f t="shared" si="405"/>
        <v>CREPIN Lucie</v>
      </c>
      <c r="D323" s="405">
        <f t="shared" ref="D323" si="411">R276</f>
        <v>57.512199042651993</v>
      </c>
      <c r="E323" s="406">
        <f t="shared" ref="E323" si="412">S276</f>
        <v>1531.4000000000026</v>
      </c>
      <c r="F323" s="405">
        <f t="shared" ref="F323" si="413">T276</f>
        <v>88074.181613917404</v>
      </c>
      <c r="G323" s="413"/>
      <c r="H323" s="404" t="str">
        <f t="shared" ref="H323" si="414">C89</f>
        <v>CREPIN</v>
      </c>
      <c r="I323" s="407" t="str">
        <f t="shared" ref="I323" si="415">D89</f>
        <v>Lucie</v>
      </c>
      <c r="J323" s="407" t="str">
        <f>E276</f>
        <v>Doctorat - Biotechnologie, microbilogie - Université Montpellier II</v>
      </c>
      <c r="K323" s="407" t="str">
        <f>D276</f>
        <v>Lead Scientist</v>
      </c>
      <c r="L323" s="349"/>
      <c r="M323" s="349"/>
      <c r="N323" s="349"/>
      <c r="O323" s="349" t="s">
        <v>770</v>
      </c>
      <c r="P323" s="349"/>
      <c r="Q323" s="349"/>
      <c r="R323" s="349"/>
      <c r="S323" s="349"/>
      <c r="T323" s="349"/>
    </row>
    <row r="324" spans="1:20" s="111" customFormat="1" ht="24.75" thickBot="1" x14ac:dyDescent="0.3">
      <c r="A324" s="111" t="s">
        <v>813</v>
      </c>
      <c r="B324" s="362">
        <f>B276</f>
        <v>4</v>
      </c>
      <c r="C324" s="404" t="str">
        <f>C276</f>
        <v>CREPIN Lucie</v>
      </c>
      <c r="D324" s="405">
        <f t="shared" ref="D324" si="416">R276</f>
        <v>57.512199042651993</v>
      </c>
      <c r="E324" s="406">
        <f t="shared" ref="E324" si="417">S276</f>
        <v>1531.4000000000026</v>
      </c>
      <c r="F324" s="405">
        <f t="shared" ref="F324" si="418">T276</f>
        <v>88074.181613917404</v>
      </c>
      <c r="G324" s="413"/>
      <c r="H324" s="404" t="str">
        <f t="shared" ref="H324" si="419">C89</f>
        <v>CREPIN</v>
      </c>
      <c r="I324" s="407" t="str">
        <f t="shared" ref="I324" si="420">D89</f>
        <v>Lucie</v>
      </c>
      <c r="J324" s="407" t="str">
        <f>E276</f>
        <v>Doctorat - Biotechnologie, microbilogie - Université Montpellier II</v>
      </c>
      <c r="K324" s="407" t="str">
        <f>D276</f>
        <v>Lead Scientist</v>
      </c>
      <c r="L324" s="349"/>
      <c r="M324" s="349"/>
      <c r="N324" s="349"/>
      <c r="O324" s="349" t="s">
        <v>770</v>
      </c>
      <c r="P324" s="349"/>
      <c r="Q324" s="349"/>
      <c r="R324" s="349"/>
      <c r="S324" s="349"/>
      <c r="T324" s="349"/>
    </row>
    <row r="325" spans="1:20" s="111" customFormat="1" ht="24.75" thickBot="1" x14ac:dyDescent="0.3">
      <c r="A325" s="111" t="s">
        <v>813</v>
      </c>
      <c r="B325" s="362">
        <f>B276</f>
        <v>4</v>
      </c>
      <c r="C325" s="404" t="str">
        <f>C276</f>
        <v>CREPIN Lucie</v>
      </c>
      <c r="D325" s="405">
        <f t="shared" ref="D325" si="421">R276</f>
        <v>57.512199042651993</v>
      </c>
      <c r="E325" s="406">
        <f t="shared" ref="E325" si="422">S276</f>
        <v>1531.4000000000026</v>
      </c>
      <c r="F325" s="405">
        <f t="shared" ref="F325" si="423">T276</f>
        <v>88074.181613917404</v>
      </c>
      <c r="G325" s="413"/>
      <c r="H325" s="404" t="str">
        <f t="shared" ref="H325" si="424">C89</f>
        <v>CREPIN</v>
      </c>
      <c r="I325" s="407" t="str">
        <f t="shared" ref="I325" si="425">D89</f>
        <v>Lucie</v>
      </c>
      <c r="J325" s="407" t="str">
        <f>E276</f>
        <v>Doctorat - Biotechnologie, microbilogie - Université Montpellier II</v>
      </c>
      <c r="K325" s="407" t="str">
        <f>D276</f>
        <v>Lead Scientist</v>
      </c>
      <c r="L325" s="349"/>
      <c r="M325" s="349"/>
      <c r="N325" s="349"/>
      <c r="O325" s="349" t="s">
        <v>770</v>
      </c>
      <c r="P325" s="349"/>
      <c r="Q325" s="349"/>
      <c r="R325" s="349"/>
      <c r="S325" s="349"/>
      <c r="T325" s="349"/>
    </row>
    <row r="326" spans="1:20" s="111" customFormat="1" ht="24.75" thickBot="1" x14ac:dyDescent="0.3">
      <c r="A326" s="111" t="s">
        <v>813</v>
      </c>
      <c r="B326" s="362">
        <f>B276</f>
        <v>4</v>
      </c>
      <c r="C326" s="404" t="str">
        <f>C276</f>
        <v>CREPIN Lucie</v>
      </c>
      <c r="D326" s="405">
        <f t="shared" ref="D326" si="426">R276</f>
        <v>57.512199042651993</v>
      </c>
      <c r="E326" s="406">
        <f t="shared" ref="E326" si="427">S276</f>
        <v>1531.4000000000026</v>
      </c>
      <c r="F326" s="405">
        <f t="shared" ref="F326" si="428">T276</f>
        <v>88074.181613917404</v>
      </c>
      <c r="G326" s="413"/>
      <c r="H326" s="404" t="str">
        <f t="shared" ref="H326" si="429">C89</f>
        <v>CREPIN</v>
      </c>
      <c r="I326" s="407" t="str">
        <f t="shared" ref="I326" si="430">D89</f>
        <v>Lucie</v>
      </c>
      <c r="J326" s="407" t="str">
        <f>E276</f>
        <v>Doctorat - Biotechnologie, microbilogie - Université Montpellier II</v>
      </c>
      <c r="K326" s="407" t="str">
        <f>D276</f>
        <v>Lead Scientist</v>
      </c>
      <c r="L326" s="349"/>
      <c r="M326" s="349"/>
      <c r="N326" s="349"/>
      <c r="O326" s="349" t="s">
        <v>770</v>
      </c>
      <c r="P326" s="349"/>
      <c r="Q326" s="349"/>
      <c r="R326" s="349"/>
      <c r="S326" s="349"/>
      <c r="T326" s="349"/>
    </row>
    <row r="327" spans="1:20" s="111" customFormat="1" ht="24.75" thickBot="1" x14ac:dyDescent="0.3">
      <c r="A327" s="111" t="s">
        <v>813</v>
      </c>
      <c r="B327" s="362">
        <f>B276</f>
        <v>4</v>
      </c>
      <c r="C327" s="404" t="str">
        <f>C276</f>
        <v>CREPIN Lucie</v>
      </c>
      <c r="D327" s="405">
        <f t="shared" ref="D327" si="431">R276</f>
        <v>57.512199042651993</v>
      </c>
      <c r="E327" s="406">
        <f t="shared" ref="E327" si="432">S276</f>
        <v>1531.4000000000026</v>
      </c>
      <c r="F327" s="405">
        <f t="shared" ref="F327" si="433">T276</f>
        <v>88074.181613917404</v>
      </c>
      <c r="G327" s="413"/>
      <c r="H327" s="404" t="str">
        <f t="shared" ref="H327" si="434">C89</f>
        <v>CREPIN</v>
      </c>
      <c r="I327" s="407" t="str">
        <f t="shared" ref="I327" si="435">D89</f>
        <v>Lucie</v>
      </c>
      <c r="J327" s="407" t="str">
        <f>E276</f>
        <v>Doctorat - Biotechnologie, microbilogie - Université Montpellier II</v>
      </c>
      <c r="K327" s="407" t="str">
        <f>D276</f>
        <v>Lead Scientist</v>
      </c>
      <c r="L327" s="349"/>
      <c r="M327" s="349"/>
      <c r="N327" s="349"/>
      <c r="O327" s="349" t="s">
        <v>770</v>
      </c>
      <c r="P327" s="349"/>
      <c r="Q327" s="349"/>
      <c r="R327" s="349"/>
      <c r="S327" s="349"/>
      <c r="T327" s="349"/>
    </row>
    <row r="328" spans="1:20" s="111" customFormat="1" ht="24.75" thickBot="1" x14ac:dyDescent="0.3">
      <c r="A328" s="111" t="s">
        <v>813</v>
      </c>
      <c r="B328" s="362">
        <f>B276</f>
        <v>4</v>
      </c>
      <c r="C328" s="404" t="str">
        <f>C276</f>
        <v>CREPIN Lucie</v>
      </c>
      <c r="D328" s="405">
        <f t="shared" ref="D328" si="436">R276</f>
        <v>57.512199042651993</v>
      </c>
      <c r="E328" s="406">
        <f t="shared" ref="E328" si="437">S276</f>
        <v>1531.4000000000026</v>
      </c>
      <c r="F328" s="405">
        <f t="shared" ref="F328" si="438">T276</f>
        <v>88074.181613917404</v>
      </c>
      <c r="G328" s="413"/>
      <c r="H328" s="404" t="str">
        <f t="shared" ref="H328" si="439">C89</f>
        <v>CREPIN</v>
      </c>
      <c r="I328" s="407" t="str">
        <f t="shared" ref="I328" si="440">D89</f>
        <v>Lucie</v>
      </c>
      <c r="J328" s="407" t="str">
        <f>E276</f>
        <v>Doctorat - Biotechnologie, microbilogie - Université Montpellier II</v>
      </c>
      <c r="K328" s="407" t="str">
        <f>D276</f>
        <v>Lead Scientist</v>
      </c>
      <c r="L328" s="349"/>
      <c r="M328" s="349"/>
      <c r="N328" s="349"/>
      <c r="O328" s="349" t="s">
        <v>770</v>
      </c>
      <c r="P328" s="349"/>
      <c r="Q328" s="349"/>
      <c r="R328" s="349"/>
      <c r="S328" s="349"/>
      <c r="T328" s="349"/>
    </row>
    <row r="329" spans="1:20" s="111" customFormat="1" ht="24.75" thickBot="1" x14ac:dyDescent="0.3">
      <c r="A329" s="111" t="s">
        <v>813</v>
      </c>
      <c r="B329" s="362">
        <f>B276</f>
        <v>4</v>
      </c>
      <c r="C329" s="404" t="str">
        <f>C276</f>
        <v>CREPIN Lucie</v>
      </c>
      <c r="D329" s="405">
        <f t="shared" ref="D329" si="441">R276</f>
        <v>57.512199042651993</v>
      </c>
      <c r="E329" s="406">
        <f t="shared" ref="E329" si="442">S276</f>
        <v>1531.4000000000026</v>
      </c>
      <c r="F329" s="405">
        <f t="shared" ref="F329" si="443">T276</f>
        <v>88074.181613917404</v>
      </c>
      <c r="G329" s="413"/>
      <c r="H329" s="404" t="str">
        <f t="shared" ref="H329" si="444">C89</f>
        <v>CREPIN</v>
      </c>
      <c r="I329" s="407" t="str">
        <f t="shared" ref="I329" si="445">D89</f>
        <v>Lucie</v>
      </c>
      <c r="J329" s="407" t="str">
        <f>E276</f>
        <v>Doctorat - Biotechnologie, microbilogie - Université Montpellier II</v>
      </c>
      <c r="K329" s="407" t="str">
        <f>D276</f>
        <v>Lead Scientist</v>
      </c>
      <c r="L329" s="349"/>
      <c r="M329" s="349"/>
      <c r="N329" s="349"/>
      <c r="O329" s="349" t="s">
        <v>770</v>
      </c>
      <c r="P329" s="349"/>
      <c r="Q329" s="349"/>
      <c r="R329" s="349"/>
      <c r="S329" s="349"/>
      <c r="T329" s="349"/>
    </row>
    <row r="330" spans="1:20" s="111" customFormat="1" ht="15.75" thickBot="1" x14ac:dyDescent="0.3">
      <c r="A330" s="111" t="s">
        <v>813</v>
      </c>
      <c r="B330" s="362" t="e">
        <f>B275</f>
        <v>#REF!</v>
      </c>
      <c r="C330" s="404" t="e">
        <f>C275</f>
        <v>#REF!</v>
      </c>
      <c r="D330" s="405" t="e">
        <f t="shared" ref="D330:F330" si="446">R275</f>
        <v>#REF!</v>
      </c>
      <c r="E330" s="406" t="e">
        <f t="shared" si="446"/>
        <v>#REF!</v>
      </c>
      <c r="F330" s="405" t="e">
        <f t="shared" si="446"/>
        <v>#REF!</v>
      </c>
      <c r="G330" s="413"/>
      <c r="H330" s="404" t="e">
        <f t="shared" ref="H330" si="447">C88</f>
        <v>#REF!</v>
      </c>
      <c r="I330" s="407" t="e">
        <f t="shared" ref="I330" si="448">D88</f>
        <v>#REF!</v>
      </c>
      <c r="J330" s="407" t="e">
        <f>E275</f>
        <v>#REF!</v>
      </c>
      <c r="K330" s="407" t="e">
        <f>D275</f>
        <v>#REF!</v>
      </c>
      <c r="L330" s="349"/>
      <c r="M330" s="349"/>
      <c r="N330" s="349"/>
      <c r="O330" s="349" t="s">
        <v>770</v>
      </c>
      <c r="P330" s="349"/>
      <c r="Q330" s="349"/>
      <c r="R330" s="349"/>
      <c r="S330" s="349"/>
      <c r="T330" s="349"/>
    </row>
    <row r="331" spans="1:20" s="111" customFormat="1" ht="24.75" thickBot="1" x14ac:dyDescent="0.3">
      <c r="A331" s="111" t="s">
        <v>813</v>
      </c>
      <c r="B331" s="362">
        <f>B276</f>
        <v>4</v>
      </c>
      <c r="C331" s="404" t="str">
        <f>C276</f>
        <v>CREPIN Lucie</v>
      </c>
      <c r="D331" s="405">
        <f t="shared" ref="D331" si="449">R276</f>
        <v>57.512199042651993</v>
      </c>
      <c r="E331" s="406">
        <f t="shared" ref="E331" si="450">S276</f>
        <v>1531.4000000000026</v>
      </c>
      <c r="F331" s="405">
        <f t="shared" ref="F331" si="451">T276</f>
        <v>88074.181613917404</v>
      </c>
      <c r="G331" s="413"/>
      <c r="H331" s="404" t="str">
        <f t="shared" ref="H331" si="452">C89</f>
        <v>CREPIN</v>
      </c>
      <c r="I331" s="407" t="str">
        <f t="shared" ref="I331" si="453">D89</f>
        <v>Lucie</v>
      </c>
      <c r="J331" s="407" t="str">
        <f>E276</f>
        <v>Doctorat - Biotechnologie, microbilogie - Université Montpellier II</v>
      </c>
      <c r="K331" s="407" t="str">
        <f>D276</f>
        <v>Lead Scientist</v>
      </c>
      <c r="L331" s="349"/>
      <c r="M331" s="349"/>
      <c r="N331" s="349"/>
      <c r="O331" s="349" t="s">
        <v>770</v>
      </c>
      <c r="P331" s="349"/>
      <c r="Q331" s="349"/>
      <c r="R331" s="349"/>
      <c r="S331" s="349"/>
      <c r="T331" s="349"/>
    </row>
    <row r="332" spans="1:20" s="111" customFormat="1" ht="24.75" thickBot="1" x14ac:dyDescent="0.3">
      <c r="A332" s="111" t="s">
        <v>813</v>
      </c>
      <c r="B332" s="362">
        <f>B276</f>
        <v>4</v>
      </c>
      <c r="C332" s="404" t="str">
        <f>C276</f>
        <v>CREPIN Lucie</v>
      </c>
      <c r="D332" s="405">
        <f t="shared" ref="D332" si="454">R276</f>
        <v>57.512199042651993</v>
      </c>
      <c r="E332" s="406">
        <f t="shared" ref="E332" si="455">S276</f>
        <v>1531.4000000000026</v>
      </c>
      <c r="F332" s="405">
        <f t="shared" ref="F332" si="456">T276</f>
        <v>88074.181613917404</v>
      </c>
      <c r="G332" s="413"/>
      <c r="H332" s="404" t="str">
        <f t="shared" ref="H332" si="457">C89</f>
        <v>CREPIN</v>
      </c>
      <c r="I332" s="407" t="str">
        <f t="shared" ref="I332" si="458">D89</f>
        <v>Lucie</v>
      </c>
      <c r="J332" s="407" t="str">
        <f>E276</f>
        <v>Doctorat - Biotechnologie, microbilogie - Université Montpellier II</v>
      </c>
      <c r="K332" s="407" t="str">
        <f>D276</f>
        <v>Lead Scientist</v>
      </c>
      <c r="L332" s="349"/>
      <c r="M332" s="349"/>
      <c r="N332" s="349"/>
      <c r="O332" s="349" t="s">
        <v>770</v>
      </c>
      <c r="P332" s="349"/>
      <c r="Q332" s="349"/>
      <c r="R332" s="349"/>
      <c r="S332" s="349"/>
      <c r="T332" s="349"/>
    </row>
    <row r="333" spans="1:20" s="111" customFormat="1" ht="24.75" thickBot="1" x14ac:dyDescent="0.3">
      <c r="A333" s="111" t="s">
        <v>813</v>
      </c>
      <c r="B333" s="362">
        <f>B276</f>
        <v>4</v>
      </c>
      <c r="C333" s="404" t="str">
        <f>C276</f>
        <v>CREPIN Lucie</v>
      </c>
      <c r="D333" s="405">
        <f t="shared" ref="D333" si="459">R276</f>
        <v>57.512199042651993</v>
      </c>
      <c r="E333" s="406">
        <f t="shared" ref="E333" si="460">S276</f>
        <v>1531.4000000000026</v>
      </c>
      <c r="F333" s="405">
        <f t="shared" ref="F333" si="461">T276</f>
        <v>88074.181613917404</v>
      </c>
      <c r="G333" s="413"/>
      <c r="H333" s="404" t="str">
        <f t="shared" ref="H333" si="462">C89</f>
        <v>CREPIN</v>
      </c>
      <c r="I333" s="407" t="str">
        <f t="shared" ref="I333" si="463">D89</f>
        <v>Lucie</v>
      </c>
      <c r="J333" s="407" t="str">
        <f>E276</f>
        <v>Doctorat - Biotechnologie, microbilogie - Université Montpellier II</v>
      </c>
      <c r="K333" s="407" t="str">
        <f>D276</f>
        <v>Lead Scientist</v>
      </c>
      <c r="L333" s="349"/>
      <c r="M333" s="349"/>
      <c r="N333" s="349"/>
      <c r="O333" s="349" t="s">
        <v>770</v>
      </c>
      <c r="P333" s="349"/>
      <c r="Q333" s="349"/>
      <c r="R333" s="349"/>
      <c r="S333" s="349"/>
      <c r="T333" s="349"/>
    </row>
    <row r="334" spans="1:20" s="111" customFormat="1" ht="24.75" thickBot="1" x14ac:dyDescent="0.3">
      <c r="A334" s="111" t="s">
        <v>813</v>
      </c>
      <c r="B334" s="362">
        <f>B276</f>
        <v>4</v>
      </c>
      <c r="C334" s="404" t="str">
        <f>C276</f>
        <v>CREPIN Lucie</v>
      </c>
      <c r="D334" s="405">
        <f t="shared" ref="D334" si="464">R276</f>
        <v>57.512199042651993</v>
      </c>
      <c r="E334" s="406">
        <f t="shared" ref="E334" si="465">S276</f>
        <v>1531.4000000000026</v>
      </c>
      <c r="F334" s="405">
        <f t="shared" ref="F334" si="466">T276</f>
        <v>88074.181613917404</v>
      </c>
      <c r="G334" s="413"/>
      <c r="H334" s="404" t="str">
        <f t="shared" ref="H334" si="467">C89</f>
        <v>CREPIN</v>
      </c>
      <c r="I334" s="407" t="str">
        <f t="shared" ref="I334" si="468">D89</f>
        <v>Lucie</v>
      </c>
      <c r="J334" s="407" t="str">
        <f>E276</f>
        <v>Doctorat - Biotechnologie, microbilogie - Université Montpellier II</v>
      </c>
      <c r="K334" s="407" t="str">
        <f>D276</f>
        <v>Lead Scientist</v>
      </c>
      <c r="L334" s="349"/>
      <c r="M334" s="349"/>
      <c r="N334" s="349"/>
      <c r="O334" s="349" t="s">
        <v>770</v>
      </c>
      <c r="P334" s="349"/>
      <c r="Q334" s="349"/>
      <c r="R334" s="349"/>
      <c r="S334" s="349"/>
      <c r="T334" s="349"/>
    </row>
    <row r="335" spans="1:20" s="111" customFormat="1" ht="24.75" thickBot="1" x14ac:dyDescent="0.3">
      <c r="A335" s="111" t="s">
        <v>813</v>
      </c>
      <c r="B335" s="362">
        <f>B276</f>
        <v>4</v>
      </c>
      <c r="C335" s="404" t="str">
        <f>C276</f>
        <v>CREPIN Lucie</v>
      </c>
      <c r="D335" s="405">
        <f t="shared" ref="D335" si="469">R276</f>
        <v>57.512199042651993</v>
      </c>
      <c r="E335" s="406">
        <f t="shared" ref="E335" si="470">S276</f>
        <v>1531.4000000000026</v>
      </c>
      <c r="F335" s="405">
        <f t="shared" ref="F335" si="471">T276</f>
        <v>88074.181613917404</v>
      </c>
      <c r="G335" s="413"/>
      <c r="H335" s="404" t="str">
        <f t="shared" ref="H335" si="472">C89</f>
        <v>CREPIN</v>
      </c>
      <c r="I335" s="407" t="str">
        <f t="shared" ref="I335" si="473">D89</f>
        <v>Lucie</v>
      </c>
      <c r="J335" s="407" t="str">
        <f>E276</f>
        <v>Doctorat - Biotechnologie, microbilogie - Université Montpellier II</v>
      </c>
      <c r="K335" s="407" t="str">
        <f>D276</f>
        <v>Lead Scientist</v>
      </c>
      <c r="L335" s="349"/>
      <c r="M335" s="349"/>
      <c r="N335" s="349"/>
      <c r="O335" s="349" t="s">
        <v>770</v>
      </c>
      <c r="P335" s="349"/>
      <c r="Q335" s="349"/>
      <c r="R335" s="349"/>
      <c r="S335" s="349"/>
      <c r="T335" s="349"/>
    </row>
    <row r="336" spans="1:20" s="111" customFormat="1" ht="24.75" thickBot="1" x14ac:dyDescent="0.3">
      <c r="A336" s="111" t="s">
        <v>813</v>
      </c>
      <c r="B336" s="362">
        <f>B276</f>
        <v>4</v>
      </c>
      <c r="C336" s="404" t="str">
        <f>C276</f>
        <v>CREPIN Lucie</v>
      </c>
      <c r="D336" s="405">
        <f t="shared" ref="D336" si="474">R276</f>
        <v>57.512199042651993</v>
      </c>
      <c r="E336" s="406">
        <f t="shared" ref="E336" si="475">S276</f>
        <v>1531.4000000000026</v>
      </c>
      <c r="F336" s="405">
        <f t="shared" ref="F336" si="476">T276</f>
        <v>88074.181613917404</v>
      </c>
      <c r="G336" s="413"/>
      <c r="H336" s="404" t="str">
        <f t="shared" ref="H336" si="477">C89</f>
        <v>CREPIN</v>
      </c>
      <c r="I336" s="407" t="str">
        <f t="shared" ref="I336" si="478">D89</f>
        <v>Lucie</v>
      </c>
      <c r="J336" s="407" t="str">
        <f>E276</f>
        <v>Doctorat - Biotechnologie, microbilogie - Université Montpellier II</v>
      </c>
      <c r="K336" s="407" t="str">
        <f>D276</f>
        <v>Lead Scientist</v>
      </c>
      <c r="L336" s="349"/>
      <c r="M336" s="349"/>
      <c r="N336" s="349"/>
      <c r="O336" s="349" t="s">
        <v>770</v>
      </c>
      <c r="P336" s="349"/>
      <c r="Q336" s="349"/>
      <c r="R336" s="349"/>
      <c r="S336" s="349"/>
      <c r="T336" s="349"/>
    </row>
    <row r="337" spans="1:20" s="111" customFormat="1" ht="24.75" thickBot="1" x14ac:dyDescent="0.3">
      <c r="A337" s="111" t="s">
        <v>813</v>
      </c>
      <c r="B337" s="362">
        <f>B276</f>
        <v>4</v>
      </c>
      <c r="C337" s="404" t="str">
        <f>C276</f>
        <v>CREPIN Lucie</v>
      </c>
      <c r="D337" s="405">
        <f t="shared" ref="D337" si="479">R276</f>
        <v>57.512199042651993</v>
      </c>
      <c r="E337" s="406">
        <f t="shared" ref="E337" si="480">S276</f>
        <v>1531.4000000000026</v>
      </c>
      <c r="F337" s="405">
        <f t="shared" ref="F337" si="481">T276</f>
        <v>88074.181613917404</v>
      </c>
      <c r="G337" s="413"/>
      <c r="H337" s="404" t="str">
        <f t="shared" ref="H337" si="482">C89</f>
        <v>CREPIN</v>
      </c>
      <c r="I337" s="407" t="str">
        <f t="shared" ref="I337" si="483">D89</f>
        <v>Lucie</v>
      </c>
      <c r="J337" s="407" t="str">
        <f>E276</f>
        <v>Doctorat - Biotechnologie, microbilogie - Université Montpellier II</v>
      </c>
      <c r="K337" s="407" t="str">
        <f>D276</f>
        <v>Lead Scientist</v>
      </c>
      <c r="L337" s="349"/>
      <c r="M337" s="349"/>
      <c r="N337" s="349"/>
      <c r="O337" s="349" t="s">
        <v>770</v>
      </c>
      <c r="P337" s="349"/>
      <c r="Q337" s="349"/>
      <c r="R337" s="349"/>
      <c r="S337" s="349"/>
      <c r="T337" s="349"/>
    </row>
    <row r="338" spans="1:20" s="111" customFormat="1" ht="24.75" thickBot="1" x14ac:dyDescent="0.3">
      <c r="A338" s="111" t="s">
        <v>813</v>
      </c>
      <c r="B338" s="362">
        <f>B276</f>
        <v>4</v>
      </c>
      <c r="C338" s="404" t="str">
        <f>C276</f>
        <v>CREPIN Lucie</v>
      </c>
      <c r="D338" s="405">
        <f t="shared" ref="D338" si="484">R276</f>
        <v>57.512199042651993</v>
      </c>
      <c r="E338" s="406">
        <f t="shared" ref="E338" si="485">S276</f>
        <v>1531.4000000000026</v>
      </c>
      <c r="F338" s="405">
        <f t="shared" ref="F338" si="486">T276</f>
        <v>88074.181613917404</v>
      </c>
      <c r="G338" s="413"/>
      <c r="H338" s="404" t="str">
        <f t="shared" ref="H338" si="487">C89</f>
        <v>CREPIN</v>
      </c>
      <c r="I338" s="407" t="str">
        <f t="shared" ref="I338" si="488">D89</f>
        <v>Lucie</v>
      </c>
      <c r="J338" s="407" t="str">
        <f>E276</f>
        <v>Doctorat - Biotechnologie, microbilogie - Université Montpellier II</v>
      </c>
      <c r="K338" s="407" t="str">
        <f>D276</f>
        <v>Lead Scientist</v>
      </c>
      <c r="L338" s="349"/>
      <c r="M338" s="349"/>
      <c r="N338" s="349"/>
      <c r="O338" s="349" t="s">
        <v>770</v>
      </c>
      <c r="P338" s="349"/>
      <c r="Q338" s="349"/>
      <c r="R338" s="349"/>
      <c r="S338" s="349"/>
      <c r="T338" s="349"/>
    </row>
    <row r="339" spans="1:20" s="111" customFormat="1" ht="24.75" thickBot="1" x14ac:dyDescent="0.3">
      <c r="A339" s="111" t="s">
        <v>813</v>
      </c>
      <c r="B339" s="362">
        <f>B276</f>
        <v>4</v>
      </c>
      <c r="C339" s="404" t="str">
        <f>C276</f>
        <v>CREPIN Lucie</v>
      </c>
      <c r="D339" s="405">
        <f t="shared" ref="D339" si="489">R276</f>
        <v>57.512199042651993</v>
      </c>
      <c r="E339" s="406">
        <f t="shared" ref="E339" si="490">S276</f>
        <v>1531.4000000000026</v>
      </c>
      <c r="F339" s="405">
        <f t="shared" ref="F339" si="491">T276</f>
        <v>88074.181613917404</v>
      </c>
      <c r="G339" s="413"/>
      <c r="H339" s="404" t="str">
        <f t="shared" ref="H339" si="492">C89</f>
        <v>CREPIN</v>
      </c>
      <c r="I339" s="407" t="str">
        <f t="shared" ref="I339" si="493">D89</f>
        <v>Lucie</v>
      </c>
      <c r="J339" s="407" t="str">
        <f>E276</f>
        <v>Doctorat - Biotechnologie, microbilogie - Université Montpellier II</v>
      </c>
      <c r="K339" s="407" t="str">
        <f>D276</f>
        <v>Lead Scientist</v>
      </c>
      <c r="L339" s="349"/>
      <c r="M339" s="349"/>
      <c r="N339" s="349"/>
      <c r="O339" s="349" t="s">
        <v>770</v>
      </c>
      <c r="P339" s="349"/>
      <c r="Q339" s="349"/>
      <c r="R339" s="349"/>
      <c r="S339" s="349"/>
      <c r="T339" s="349"/>
    </row>
    <row r="340" spans="1:20" s="111" customFormat="1" ht="24.75" thickBot="1" x14ac:dyDescent="0.3">
      <c r="A340" s="111" t="s">
        <v>813</v>
      </c>
      <c r="B340" s="362">
        <f>B276</f>
        <v>4</v>
      </c>
      <c r="C340" s="404" t="str">
        <f>C276</f>
        <v>CREPIN Lucie</v>
      </c>
      <c r="D340" s="405">
        <f t="shared" ref="D340" si="494">R276</f>
        <v>57.512199042651993</v>
      </c>
      <c r="E340" s="406">
        <f t="shared" ref="E340" si="495">S276</f>
        <v>1531.4000000000026</v>
      </c>
      <c r="F340" s="405">
        <f t="shared" ref="F340" si="496">T276</f>
        <v>88074.181613917404</v>
      </c>
      <c r="G340" s="413"/>
      <c r="H340" s="404" t="str">
        <f t="shared" ref="H340" si="497">C89</f>
        <v>CREPIN</v>
      </c>
      <c r="I340" s="407" t="str">
        <f t="shared" ref="I340" si="498">D89</f>
        <v>Lucie</v>
      </c>
      <c r="J340" s="407" t="str">
        <f>E276</f>
        <v>Doctorat - Biotechnologie, microbilogie - Université Montpellier II</v>
      </c>
      <c r="K340" s="407" t="str">
        <f>D276</f>
        <v>Lead Scientist</v>
      </c>
      <c r="L340" s="349"/>
      <c r="M340" s="349"/>
      <c r="N340" s="349"/>
      <c r="O340" s="349" t="s">
        <v>770</v>
      </c>
      <c r="P340" s="349"/>
      <c r="Q340" s="349"/>
      <c r="R340" s="349"/>
      <c r="S340" s="349"/>
      <c r="T340" s="349"/>
    </row>
    <row r="341" spans="1:20" s="111" customFormat="1" ht="24.75" thickBot="1" x14ac:dyDescent="0.3">
      <c r="A341" s="111" t="s">
        <v>813</v>
      </c>
      <c r="B341" s="362">
        <f>B276</f>
        <v>4</v>
      </c>
      <c r="C341" s="404" t="str">
        <f>C276</f>
        <v>CREPIN Lucie</v>
      </c>
      <c r="D341" s="405">
        <f t="shared" ref="D341" si="499">R276</f>
        <v>57.512199042651993</v>
      </c>
      <c r="E341" s="406">
        <f t="shared" ref="E341" si="500">S276</f>
        <v>1531.4000000000026</v>
      </c>
      <c r="F341" s="405">
        <f t="shared" ref="F341" si="501">T276</f>
        <v>88074.181613917404</v>
      </c>
      <c r="G341" s="413"/>
      <c r="H341" s="404" t="str">
        <f t="shared" ref="H341" si="502">C89</f>
        <v>CREPIN</v>
      </c>
      <c r="I341" s="407" t="str">
        <f t="shared" ref="I341" si="503">D89</f>
        <v>Lucie</v>
      </c>
      <c r="J341" s="407" t="str">
        <f>E276</f>
        <v>Doctorat - Biotechnologie, microbilogie - Université Montpellier II</v>
      </c>
      <c r="K341" s="407" t="str">
        <f>D276</f>
        <v>Lead Scientist</v>
      </c>
      <c r="L341" s="349"/>
      <c r="M341" s="349"/>
      <c r="N341" s="349"/>
      <c r="O341" s="349" t="s">
        <v>770</v>
      </c>
      <c r="P341" s="349"/>
      <c r="Q341" s="349"/>
      <c r="R341" s="349"/>
      <c r="S341" s="349"/>
      <c r="T341" s="349"/>
    </row>
    <row r="342" spans="1:20" s="111" customFormat="1" ht="24.75" thickBot="1" x14ac:dyDescent="0.3">
      <c r="A342" s="111" t="s">
        <v>813</v>
      </c>
      <c r="B342" s="362">
        <f>B276</f>
        <v>4</v>
      </c>
      <c r="C342" s="404" t="str">
        <f>C276</f>
        <v>CREPIN Lucie</v>
      </c>
      <c r="D342" s="405">
        <f t="shared" ref="D342" si="504">R276</f>
        <v>57.512199042651993</v>
      </c>
      <c r="E342" s="406">
        <f t="shared" ref="E342" si="505">S276</f>
        <v>1531.4000000000026</v>
      </c>
      <c r="F342" s="405">
        <f t="shared" ref="F342" si="506">T276</f>
        <v>88074.181613917404</v>
      </c>
      <c r="G342" s="413"/>
      <c r="H342" s="404" t="str">
        <f t="shared" ref="H342" si="507">C89</f>
        <v>CREPIN</v>
      </c>
      <c r="I342" s="407" t="str">
        <f t="shared" ref="I342" si="508">D89</f>
        <v>Lucie</v>
      </c>
      <c r="J342" s="407" t="str">
        <f>E276</f>
        <v>Doctorat - Biotechnologie, microbilogie - Université Montpellier II</v>
      </c>
      <c r="K342" s="407" t="str">
        <f>D276</f>
        <v>Lead Scientist</v>
      </c>
      <c r="L342" s="349"/>
      <c r="M342" s="349"/>
      <c r="N342" s="349"/>
      <c r="O342" s="349" t="s">
        <v>770</v>
      </c>
      <c r="P342" s="349"/>
      <c r="Q342" s="349"/>
      <c r="R342" s="349"/>
      <c r="S342" s="349"/>
      <c r="T342" s="349"/>
    </row>
    <row r="343" spans="1:20" s="111" customFormat="1" ht="24.75" thickBot="1" x14ac:dyDescent="0.3">
      <c r="A343" s="111" t="s">
        <v>813</v>
      </c>
      <c r="B343" s="362">
        <f>B276</f>
        <v>4</v>
      </c>
      <c r="C343" s="404" t="str">
        <f>C276</f>
        <v>CREPIN Lucie</v>
      </c>
      <c r="D343" s="405">
        <f t="shared" ref="D343" si="509">R276</f>
        <v>57.512199042651993</v>
      </c>
      <c r="E343" s="406">
        <f t="shared" ref="E343" si="510">S276</f>
        <v>1531.4000000000026</v>
      </c>
      <c r="F343" s="405">
        <f t="shared" ref="F343" si="511">T276</f>
        <v>88074.181613917404</v>
      </c>
      <c r="G343" s="413"/>
      <c r="H343" s="404" t="str">
        <f t="shared" ref="H343" si="512">C89</f>
        <v>CREPIN</v>
      </c>
      <c r="I343" s="407" t="str">
        <f t="shared" ref="I343" si="513">D89</f>
        <v>Lucie</v>
      </c>
      <c r="J343" s="407" t="str">
        <f>E276</f>
        <v>Doctorat - Biotechnologie, microbilogie - Université Montpellier II</v>
      </c>
      <c r="K343" s="407" t="str">
        <f>D276</f>
        <v>Lead Scientist</v>
      </c>
      <c r="L343" s="349"/>
      <c r="M343" s="349"/>
      <c r="N343" s="349"/>
      <c r="O343" s="349" t="s">
        <v>770</v>
      </c>
      <c r="P343" s="349"/>
      <c r="Q343" s="349"/>
      <c r="R343" s="349"/>
      <c r="S343" s="349"/>
      <c r="T343" s="349"/>
    </row>
    <row r="344" spans="1:20" s="111" customFormat="1" ht="24.75" thickBot="1" x14ac:dyDescent="0.3">
      <c r="A344" s="111" t="s">
        <v>813</v>
      </c>
      <c r="B344" s="362">
        <f>B276</f>
        <v>4</v>
      </c>
      <c r="C344" s="404" t="str">
        <f>C276</f>
        <v>CREPIN Lucie</v>
      </c>
      <c r="D344" s="405">
        <f t="shared" ref="D344" si="514">R276</f>
        <v>57.512199042651993</v>
      </c>
      <c r="E344" s="406">
        <f t="shared" ref="E344" si="515">S276</f>
        <v>1531.4000000000026</v>
      </c>
      <c r="F344" s="405">
        <f t="shared" ref="F344" si="516">T276</f>
        <v>88074.181613917404</v>
      </c>
      <c r="G344" s="413"/>
      <c r="H344" s="404" t="str">
        <f t="shared" ref="H344" si="517">C89</f>
        <v>CREPIN</v>
      </c>
      <c r="I344" s="407" t="str">
        <f t="shared" ref="I344" si="518">D89</f>
        <v>Lucie</v>
      </c>
      <c r="J344" s="407" t="str">
        <f>E276</f>
        <v>Doctorat - Biotechnologie, microbilogie - Université Montpellier II</v>
      </c>
      <c r="K344" s="407" t="str">
        <f>D276</f>
        <v>Lead Scientist</v>
      </c>
      <c r="L344" s="349"/>
      <c r="M344" s="349"/>
      <c r="N344" s="349"/>
      <c r="O344" s="349" t="s">
        <v>770</v>
      </c>
      <c r="P344" s="349"/>
      <c r="Q344" s="349"/>
      <c r="R344" s="349"/>
      <c r="S344" s="349"/>
      <c r="T344" s="349"/>
    </row>
    <row r="345" spans="1:20" s="111" customFormat="1" ht="24.75" thickBot="1" x14ac:dyDescent="0.3">
      <c r="A345" s="111" t="s">
        <v>813</v>
      </c>
      <c r="B345" s="362">
        <f>B276</f>
        <v>4</v>
      </c>
      <c r="C345" s="404" t="str">
        <f>C276</f>
        <v>CREPIN Lucie</v>
      </c>
      <c r="D345" s="405">
        <f t="shared" ref="D345" si="519">R276</f>
        <v>57.512199042651993</v>
      </c>
      <c r="E345" s="406">
        <f t="shared" ref="E345" si="520">S276</f>
        <v>1531.4000000000026</v>
      </c>
      <c r="F345" s="405">
        <f t="shared" ref="F345" si="521">T276</f>
        <v>88074.181613917404</v>
      </c>
      <c r="G345" s="413"/>
      <c r="H345" s="404" t="str">
        <f t="shared" ref="H345" si="522">C89</f>
        <v>CREPIN</v>
      </c>
      <c r="I345" s="407" t="str">
        <f t="shared" ref="I345" si="523">D89</f>
        <v>Lucie</v>
      </c>
      <c r="J345" s="407" t="str">
        <f>E276</f>
        <v>Doctorat - Biotechnologie, microbilogie - Université Montpellier II</v>
      </c>
      <c r="K345" s="407" t="str">
        <f>D276</f>
        <v>Lead Scientist</v>
      </c>
      <c r="L345" s="349"/>
      <c r="M345" s="349"/>
      <c r="N345" s="349"/>
      <c r="O345" s="349" t="s">
        <v>770</v>
      </c>
      <c r="P345" s="349"/>
      <c r="Q345" s="349"/>
      <c r="R345" s="349"/>
      <c r="S345" s="349"/>
      <c r="T345" s="349"/>
    </row>
    <row r="346" spans="1:20" s="111" customFormat="1" ht="24.75" thickBot="1" x14ac:dyDescent="0.3">
      <c r="A346" s="111" t="s">
        <v>813</v>
      </c>
      <c r="B346" s="362">
        <f>B276</f>
        <v>4</v>
      </c>
      <c r="C346" s="404" t="str">
        <f>C276</f>
        <v>CREPIN Lucie</v>
      </c>
      <c r="D346" s="405">
        <f t="shared" ref="D346" si="524">R276</f>
        <v>57.512199042651993</v>
      </c>
      <c r="E346" s="406">
        <f t="shared" ref="E346" si="525">S276</f>
        <v>1531.4000000000026</v>
      </c>
      <c r="F346" s="405">
        <f t="shared" ref="F346" si="526">T276</f>
        <v>88074.181613917404</v>
      </c>
      <c r="G346" s="413"/>
      <c r="H346" s="404" t="str">
        <f t="shared" ref="H346" si="527">C89</f>
        <v>CREPIN</v>
      </c>
      <c r="I346" s="407" t="str">
        <f t="shared" ref="I346" si="528">D89</f>
        <v>Lucie</v>
      </c>
      <c r="J346" s="407" t="str">
        <f>E276</f>
        <v>Doctorat - Biotechnologie, microbilogie - Université Montpellier II</v>
      </c>
      <c r="K346" s="407" t="str">
        <f>D276</f>
        <v>Lead Scientist</v>
      </c>
      <c r="L346" s="349"/>
      <c r="M346" s="349"/>
      <c r="N346" s="349"/>
      <c r="O346" s="349" t="s">
        <v>770</v>
      </c>
      <c r="P346" s="349"/>
      <c r="Q346" s="349"/>
      <c r="R346" s="349"/>
      <c r="S346" s="349"/>
      <c r="T346" s="349"/>
    </row>
    <row r="347" spans="1:20" s="111" customFormat="1" ht="24.75" thickBot="1" x14ac:dyDescent="0.3">
      <c r="A347" s="111" t="s">
        <v>813</v>
      </c>
      <c r="B347" s="362">
        <f>B276</f>
        <v>4</v>
      </c>
      <c r="C347" s="404" t="str">
        <f>C276</f>
        <v>CREPIN Lucie</v>
      </c>
      <c r="D347" s="405">
        <f t="shared" ref="D347" si="529">R276</f>
        <v>57.512199042651993</v>
      </c>
      <c r="E347" s="406">
        <f t="shared" ref="E347" si="530">S276</f>
        <v>1531.4000000000026</v>
      </c>
      <c r="F347" s="405">
        <f t="shared" ref="F347" si="531">T276</f>
        <v>88074.181613917404</v>
      </c>
      <c r="G347" s="413"/>
      <c r="H347" s="404" t="str">
        <f t="shared" ref="H347" si="532">C89</f>
        <v>CREPIN</v>
      </c>
      <c r="I347" s="407" t="str">
        <f t="shared" ref="I347" si="533">D89</f>
        <v>Lucie</v>
      </c>
      <c r="J347" s="407" t="str">
        <f>E276</f>
        <v>Doctorat - Biotechnologie, microbilogie - Université Montpellier II</v>
      </c>
      <c r="K347" s="407" t="str">
        <f>D276</f>
        <v>Lead Scientist</v>
      </c>
      <c r="L347" s="349"/>
      <c r="M347" s="349"/>
      <c r="N347" s="349"/>
      <c r="O347" s="349" t="s">
        <v>770</v>
      </c>
      <c r="P347" s="349"/>
      <c r="Q347" s="349"/>
      <c r="R347" s="349"/>
      <c r="S347" s="349"/>
      <c r="T347" s="349"/>
    </row>
    <row r="348" spans="1:20" s="111" customFormat="1" ht="24.75" thickBot="1" x14ac:dyDescent="0.3">
      <c r="A348" s="111" t="s">
        <v>813</v>
      </c>
      <c r="B348" s="362">
        <f>B276</f>
        <v>4</v>
      </c>
      <c r="C348" s="404" t="str">
        <f>C276</f>
        <v>CREPIN Lucie</v>
      </c>
      <c r="D348" s="405">
        <f t="shared" ref="D348" si="534">R276</f>
        <v>57.512199042651993</v>
      </c>
      <c r="E348" s="406">
        <f t="shared" ref="E348" si="535">S276</f>
        <v>1531.4000000000026</v>
      </c>
      <c r="F348" s="405">
        <f t="shared" ref="F348" si="536">T276</f>
        <v>88074.181613917404</v>
      </c>
      <c r="G348" s="413"/>
      <c r="H348" s="404" t="str">
        <f t="shared" ref="H348" si="537">C89</f>
        <v>CREPIN</v>
      </c>
      <c r="I348" s="407" t="str">
        <f t="shared" ref="I348" si="538">D89</f>
        <v>Lucie</v>
      </c>
      <c r="J348" s="407" t="str">
        <f>E276</f>
        <v>Doctorat - Biotechnologie, microbilogie - Université Montpellier II</v>
      </c>
      <c r="K348" s="407" t="str">
        <f>D276</f>
        <v>Lead Scientist</v>
      </c>
      <c r="L348" s="349"/>
      <c r="M348" s="349"/>
      <c r="N348" s="349"/>
      <c r="O348" s="349" t="s">
        <v>770</v>
      </c>
      <c r="P348" s="349"/>
      <c r="Q348" s="349"/>
      <c r="R348" s="349"/>
      <c r="S348" s="349"/>
      <c r="T348" s="349"/>
    </row>
    <row r="349" spans="1:20" s="111" customFormat="1" ht="24.75" thickBot="1" x14ac:dyDescent="0.3">
      <c r="A349" s="111" t="s">
        <v>813</v>
      </c>
      <c r="B349" s="362">
        <f>B276</f>
        <v>4</v>
      </c>
      <c r="C349" s="404" t="str">
        <f>C276</f>
        <v>CREPIN Lucie</v>
      </c>
      <c r="D349" s="405">
        <f t="shared" ref="D349" si="539">R276</f>
        <v>57.512199042651993</v>
      </c>
      <c r="E349" s="406">
        <f t="shared" ref="E349" si="540">S276</f>
        <v>1531.4000000000026</v>
      </c>
      <c r="F349" s="405">
        <f t="shared" ref="F349" si="541">T276</f>
        <v>88074.181613917404</v>
      </c>
      <c r="G349" s="413"/>
      <c r="H349" s="404" t="str">
        <f t="shared" ref="H349" si="542">C89</f>
        <v>CREPIN</v>
      </c>
      <c r="I349" s="407" t="str">
        <f t="shared" ref="I349" si="543">D89</f>
        <v>Lucie</v>
      </c>
      <c r="J349" s="407" t="str">
        <f>E276</f>
        <v>Doctorat - Biotechnologie, microbilogie - Université Montpellier II</v>
      </c>
      <c r="K349" s="407" t="str">
        <f>D276</f>
        <v>Lead Scientist</v>
      </c>
      <c r="L349" s="349"/>
      <c r="M349" s="349"/>
      <c r="N349" s="349"/>
      <c r="O349" s="349" t="s">
        <v>770</v>
      </c>
      <c r="P349" s="349"/>
      <c r="Q349" s="349"/>
      <c r="R349" s="349"/>
      <c r="S349" s="349"/>
      <c r="T349" s="349"/>
    </row>
    <row r="350" spans="1:20" s="111" customFormat="1" ht="24.75" thickBot="1" x14ac:dyDescent="0.3">
      <c r="A350" s="111" t="s">
        <v>813</v>
      </c>
      <c r="B350" s="362">
        <f>B276</f>
        <v>4</v>
      </c>
      <c r="C350" s="404" t="str">
        <f>C276</f>
        <v>CREPIN Lucie</v>
      </c>
      <c r="D350" s="405">
        <f t="shared" ref="D350" si="544">R276</f>
        <v>57.512199042651993</v>
      </c>
      <c r="E350" s="406">
        <f t="shared" ref="E350" si="545">S276</f>
        <v>1531.4000000000026</v>
      </c>
      <c r="F350" s="405">
        <f t="shared" ref="F350" si="546">T276</f>
        <v>88074.181613917404</v>
      </c>
      <c r="G350" s="413"/>
      <c r="H350" s="404" t="str">
        <f t="shared" ref="H350" si="547">C89</f>
        <v>CREPIN</v>
      </c>
      <c r="I350" s="407" t="str">
        <f t="shared" ref="I350" si="548">D89</f>
        <v>Lucie</v>
      </c>
      <c r="J350" s="407" t="str">
        <f>E276</f>
        <v>Doctorat - Biotechnologie, microbilogie - Université Montpellier II</v>
      </c>
      <c r="K350" s="407" t="str">
        <f>D276</f>
        <v>Lead Scientist</v>
      </c>
      <c r="L350" s="349"/>
      <c r="M350" s="349"/>
      <c r="N350" s="349"/>
      <c r="O350" s="349" t="s">
        <v>770</v>
      </c>
      <c r="P350" s="349"/>
      <c r="Q350" s="349"/>
      <c r="R350" s="349"/>
      <c r="S350" s="349"/>
      <c r="T350" s="349"/>
    </row>
    <row r="351" spans="1:20" s="111" customFormat="1" ht="24.75" thickBot="1" x14ac:dyDescent="0.3">
      <c r="A351" s="111" t="s">
        <v>813</v>
      </c>
      <c r="B351" s="362">
        <f>B276</f>
        <v>4</v>
      </c>
      <c r="C351" s="404" t="str">
        <f>C276</f>
        <v>CREPIN Lucie</v>
      </c>
      <c r="D351" s="405">
        <f t="shared" ref="D351" si="549">R276</f>
        <v>57.512199042651993</v>
      </c>
      <c r="E351" s="406">
        <f t="shared" ref="E351" si="550">S276</f>
        <v>1531.4000000000026</v>
      </c>
      <c r="F351" s="405">
        <f t="shared" ref="F351" si="551">T276</f>
        <v>88074.181613917404</v>
      </c>
      <c r="G351" s="413"/>
      <c r="H351" s="404" t="str">
        <f t="shared" ref="H351" si="552">C89</f>
        <v>CREPIN</v>
      </c>
      <c r="I351" s="407" t="str">
        <f t="shared" ref="I351" si="553">D89</f>
        <v>Lucie</v>
      </c>
      <c r="J351" s="407" t="str">
        <f>E276</f>
        <v>Doctorat - Biotechnologie, microbilogie - Université Montpellier II</v>
      </c>
      <c r="K351" s="407" t="str">
        <f>D276</f>
        <v>Lead Scientist</v>
      </c>
      <c r="L351" s="349"/>
      <c r="M351" s="349"/>
      <c r="N351" s="349"/>
      <c r="O351" s="349" t="s">
        <v>770</v>
      </c>
      <c r="P351" s="349"/>
      <c r="Q351" s="349"/>
      <c r="R351" s="349"/>
      <c r="S351" s="349"/>
      <c r="T351" s="349"/>
    </row>
    <row r="352" spans="1:20" s="111" customFormat="1" ht="24.75" thickBot="1" x14ac:dyDescent="0.3">
      <c r="A352" s="111" t="s">
        <v>813</v>
      </c>
      <c r="B352" s="362">
        <f>B276</f>
        <v>4</v>
      </c>
      <c r="C352" s="404" t="str">
        <f>C276</f>
        <v>CREPIN Lucie</v>
      </c>
      <c r="D352" s="405">
        <f t="shared" ref="D352" si="554">R276</f>
        <v>57.512199042651993</v>
      </c>
      <c r="E352" s="406">
        <f t="shared" ref="E352" si="555">S276</f>
        <v>1531.4000000000026</v>
      </c>
      <c r="F352" s="405">
        <f t="shared" ref="F352" si="556">T276</f>
        <v>88074.181613917404</v>
      </c>
      <c r="G352" s="413"/>
      <c r="H352" s="404" t="str">
        <f t="shared" ref="H352" si="557">C89</f>
        <v>CREPIN</v>
      </c>
      <c r="I352" s="407" t="str">
        <f t="shared" ref="I352" si="558">D89</f>
        <v>Lucie</v>
      </c>
      <c r="J352" s="407" t="str">
        <f>E276</f>
        <v>Doctorat - Biotechnologie, microbilogie - Université Montpellier II</v>
      </c>
      <c r="K352" s="407" t="str">
        <f>D276</f>
        <v>Lead Scientist</v>
      </c>
      <c r="L352" s="349"/>
      <c r="M352" s="349"/>
      <c r="N352" s="349"/>
      <c r="O352" s="349" t="s">
        <v>770</v>
      </c>
      <c r="P352" s="349"/>
      <c r="Q352" s="349"/>
      <c r="R352" s="349"/>
      <c r="S352" s="349"/>
      <c r="T352" s="349"/>
    </row>
    <row r="353" spans="1:20" s="111" customFormat="1" ht="24.75" thickBot="1" x14ac:dyDescent="0.3">
      <c r="A353" s="111" t="s">
        <v>813</v>
      </c>
      <c r="B353" s="362">
        <f>B276</f>
        <v>4</v>
      </c>
      <c r="C353" s="404" t="str">
        <f>C276</f>
        <v>CREPIN Lucie</v>
      </c>
      <c r="D353" s="405">
        <f t="shared" ref="D353" si="559">R276</f>
        <v>57.512199042651993</v>
      </c>
      <c r="E353" s="406">
        <f t="shared" ref="E353" si="560">S276</f>
        <v>1531.4000000000026</v>
      </c>
      <c r="F353" s="405">
        <f t="shared" ref="F353" si="561">T276</f>
        <v>88074.181613917404</v>
      </c>
      <c r="G353" s="413"/>
      <c r="H353" s="404" t="str">
        <f t="shared" ref="H353" si="562">C89</f>
        <v>CREPIN</v>
      </c>
      <c r="I353" s="407" t="str">
        <f t="shared" ref="I353" si="563">D89</f>
        <v>Lucie</v>
      </c>
      <c r="J353" s="407" t="str">
        <f>E276</f>
        <v>Doctorat - Biotechnologie, microbilogie - Université Montpellier II</v>
      </c>
      <c r="K353" s="407" t="str">
        <f>D276</f>
        <v>Lead Scientist</v>
      </c>
      <c r="L353" s="349"/>
      <c r="M353" s="349"/>
      <c r="N353" s="349"/>
      <c r="O353" s="349" t="s">
        <v>770</v>
      </c>
      <c r="P353" s="349"/>
      <c r="Q353" s="349"/>
      <c r="R353" s="349"/>
      <c r="S353" s="349"/>
      <c r="T353" s="349"/>
    </row>
    <row r="354" spans="1:20" s="111" customFormat="1" ht="24.75" thickBot="1" x14ac:dyDescent="0.3">
      <c r="A354" s="111" t="s">
        <v>813</v>
      </c>
      <c r="B354" s="362">
        <f>B276</f>
        <v>4</v>
      </c>
      <c r="C354" s="404" t="str">
        <f>C276</f>
        <v>CREPIN Lucie</v>
      </c>
      <c r="D354" s="405">
        <f t="shared" ref="D354" si="564">R276</f>
        <v>57.512199042651993</v>
      </c>
      <c r="E354" s="406">
        <f t="shared" ref="E354" si="565">S276</f>
        <v>1531.4000000000026</v>
      </c>
      <c r="F354" s="405">
        <f t="shared" ref="F354" si="566">T276</f>
        <v>88074.181613917404</v>
      </c>
      <c r="G354" s="413"/>
      <c r="H354" s="404" t="str">
        <f t="shared" ref="H354" si="567">C89</f>
        <v>CREPIN</v>
      </c>
      <c r="I354" s="407" t="str">
        <f t="shared" ref="I354" si="568">D89</f>
        <v>Lucie</v>
      </c>
      <c r="J354" s="407" t="str">
        <f>E276</f>
        <v>Doctorat - Biotechnologie, microbilogie - Université Montpellier II</v>
      </c>
      <c r="K354" s="407" t="str">
        <f>D276</f>
        <v>Lead Scientist</v>
      </c>
      <c r="L354" s="349"/>
      <c r="M354" s="349"/>
      <c r="N354" s="349"/>
      <c r="O354" s="349" t="s">
        <v>770</v>
      </c>
      <c r="P354" s="349"/>
      <c r="Q354" s="349"/>
      <c r="R354" s="349"/>
      <c r="S354" s="349"/>
      <c r="T354" s="349"/>
    </row>
    <row r="355" spans="1:20" s="111" customFormat="1" ht="24.75" thickBot="1" x14ac:dyDescent="0.3">
      <c r="A355" s="111" t="s">
        <v>813</v>
      </c>
      <c r="B355" s="362">
        <f>B276</f>
        <v>4</v>
      </c>
      <c r="C355" s="404" t="str">
        <f>C276</f>
        <v>CREPIN Lucie</v>
      </c>
      <c r="D355" s="405">
        <f t="shared" ref="D355" si="569">R276</f>
        <v>57.512199042651993</v>
      </c>
      <c r="E355" s="406">
        <f t="shared" ref="E355" si="570">S276</f>
        <v>1531.4000000000026</v>
      </c>
      <c r="F355" s="405">
        <f t="shared" ref="F355" si="571">T276</f>
        <v>88074.181613917404</v>
      </c>
      <c r="G355" s="413"/>
      <c r="H355" s="404" t="str">
        <f t="shared" ref="H355" si="572">C89</f>
        <v>CREPIN</v>
      </c>
      <c r="I355" s="407" t="str">
        <f t="shared" ref="I355" si="573">D89</f>
        <v>Lucie</v>
      </c>
      <c r="J355" s="407" t="str">
        <f>E276</f>
        <v>Doctorat - Biotechnologie, microbilogie - Université Montpellier II</v>
      </c>
      <c r="K355" s="407" t="str">
        <f>D276</f>
        <v>Lead Scientist</v>
      </c>
      <c r="L355" s="349"/>
      <c r="M355" s="349"/>
      <c r="N355" s="349"/>
      <c r="O355" s="349" t="s">
        <v>770</v>
      </c>
      <c r="P355" s="349"/>
      <c r="Q355" s="349"/>
      <c r="R355" s="349"/>
      <c r="S355" s="349"/>
      <c r="T355" s="349"/>
    </row>
    <row r="356" spans="1:20" s="111" customFormat="1" ht="24.75" thickBot="1" x14ac:dyDescent="0.3">
      <c r="A356" s="111" t="s">
        <v>813</v>
      </c>
      <c r="B356" s="362">
        <f>B276</f>
        <v>4</v>
      </c>
      <c r="C356" s="404" t="str">
        <f>C276</f>
        <v>CREPIN Lucie</v>
      </c>
      <c r="D356" s="405">
        <f t="shared" ref="D356" si="574">R276</f>
        <v>57.512199042651993</v>
      </c>
      <c r="E356" s="406">
        <f t="shared" ref="E356" si="575">S276</f>
        <v>1531.4000000000026</v>
      </c>
      <c r="F356" s="405">
        <f t="shared" ref="F356" si="576">T276</f>
        <v>88074.181613917404</v>
      </c>
      <c r="G356" s="413"/>
      <c r="H356" s="404" t="str">
        <f t="shared" ref="H356" si="577">C89</f>
        <v>CREPIN</v>
      </c>
      <c r="I356" s="407" t="str">
        <f t="shared" ref="I356" si="578">D89</f>
        <v>Lucie</v>
      </c>
      <c r="J356" s="407" t="str">
        <f>E276</f>
        <v>Doctorat - Biotechnologie, microbilogie - Université Montpellier II</v>
      </c>
      <c r="K356" s="407" t="str">
        <f>D276</f>
        <v>Lead Scientist</v>
      </c>
      <c r="L356" s="349"/>
      <c r="M356" s="349"/>
      <c r="N356" s="349"/>
      <c r="O356" s="349" t="s">
        <v>770</v>
      </c>
      <c r="P356" s="349"/>
      <c r="Q356" s="349"/>
      <c r="R356" s="349"/>
      <c r="S356" s="349"/>
      <c r="T356" s="349"/>
    </row>
    <row r="357" spans="1:20" s="111" customFormat="1" ht="24.75" thickBot="1" x14ac:dyDescent="0.3">
      <c r="A357" s="111" t="s">
        <v>813</v>
      </c>
      <c r="B357" s="362">
        <f>B276</f>
        <v>4</v>
      </c>
      <c r="C357" s="404" t="str">
        <f>C276</f>
        <v>CREPIN Lucie</v>
      </c>
      <c r="D357" s="405">
        <f t="shared" ref="D357" si="579">R276</f>
        <v>57.512199042651993</v>
      </c>
      <c r="E357" s="406">
        <f t="shared" ref="E357" si="580">S276</f>
        <v>1531.4000000000026</v>
      </c>
      <c r="F357" s="405">
        <f t="shared" ref="F357" si="581">T276</f>
        <v>88074.181613917404</v>
      </c>
      <c r="G357" s="413"/>
      <c r="H357" s="404" t="str">
        <f t="shared" ref="H357" si="582">C89</f>
        <v>CREPIN</v>
      </c>
      <c r="I357" s="407" t="str">
        <f t="shared" ref="I357" si="583">D89</f>
        <v>Lucie</v>
      </c>
      <c r="J357" s="407" t="str">
        <f>E276</f>
        <v>Doctorat - Biotechnologie, microbilogie - Université Montpellier II</v>
      </c>
      <c r="K357" s="407" t="str">
        <f>D276</f>
        <v>Lead Scientist</v>
      </c>
      <c r="L357" s="349"/>
      <c r="M357" s="349"/>
      <c r="N357" s="349"/>
      <c r="O357" s="349" t="s">
        <v>770</v>
      </c>
      <c r="P357" s="349"/>
      <c r="Q357" s="349"/>
      <c r="R357" s="349"/>
      <c r="S357" s="349"/>
      <c r="T357" s="349"/>
    </row>
    <row r="358" spans="1:20" s="111" customFormat="1" ht="24.75" thickBot="1" x14ac:dyDescent="0.3">
      <c r="A358" s="111" t="s">
        <v>813</v>
      </c>
      <c r="B358" s="362">
        <f>B276</f>
        <v>4</v>
      </c>
      <c r="C358" s="404" t="str">
        <f>C276</f>
        <v>CREPIN Lucie</v>
      </c>
      <c r="D358" s="405">
        <f t="shared" ref="D358" si="584">R276</f>
        <v>57.512199042651993</v>
      </c>
      <c r="E358" s="406">
        <f t="shared" ref="E358" si="585">S276</f>
        <v>1531.4000000000026</v>
      </c>
      <c r="F358" s="405">
        <f t="shared" ref="F358" si="586">T276</f>
        <v>88074.181613917404</v>
      </c>
      <c r="G358" s="413"/>
      <c r="H358" s="404" t="str">
        <f t="shared" ref="H358" si="587">C89</f>
        <v>CREPIN</v>
      </c>
      <c r="I358" s="407" t="str">
        <f t="shared" ref="I358" si="588">D89</f>
        <v>Lucie</v>
      </c>
      <c r="J358" s="407" t="str">
        <f>E276</f>
        <v>Doctorat - Biotechnologie, microbilogie - Université Montpellier II</v>
      </c>
      <c r="K358" s="407" t="str">
        <f>D276</f>
        <v>Lead Scientist</v>
      </c>
      <c r="L358" s="349"/>
      <c r="M358" s="349"/>
      <c r="N358" s="349"/>
      <c r="O358" s="349" t="s">
        <v>770</v>
      </c>
      <c r="P358" s="349"/>
      <c r="Q358" s="349"/>
      <c r="R358" s="349"/>
      <c r="S358" s="349"/>
      <c r="T358" s="349"/>
    </row>
    <row r="359" spans="1:20" s="111" customFormat="1" ht="24.75" thickBot="1" x14ac:dyDescent="0.3">
      <c r="A359" s="111" t="s">
        <v>813</v>
      </c>
      <c r="B359" s="362">
        <f>B276</f>
        <v>4</v>
      </c>
      <c r="C359" s="404" t="str">
        <f>C276</f>
        <v>CREPIN Lucie</v>
      </c>
      <c r="D359" s="405">
        <f t="shared" ref="D359" si="589">R276</f>
        <v>57.512199042651993</v>
      </c>
      <c r="E359" s="406">
        <f t="shared" ref="E359" si="590">S276</f>
        <v>1531.4000000000026</v>
      </c>
      <c r="F359" s="405">
        <f t="shared" ref="F359" si="591">T276</f>
        <v>88074.181613917404</v>
      </c>
      <c r="G359" s="413"/>
      <c r="H359" s="404" t="str">
        <f t="shared" ref="H359" si="592">C89</f>
        <v>CREPIN</v>
      </c>
      <c r="I359" s="407" t="str">
        <f t="shared" ref="I359" si="593">D89</f>
        <v>Lucie</v>
      </c>
      <c r="J359" s="407" t="str">
        <f>E276</f>
        <v>Doctorat - Biotechnologie, microbilogie - Université Montpellier II</v>
      </c>
      <c r="K359" s="407" t="str">
        <f>D276</f>
        <v>Lead Scientist</v>
      </c>
      <c r="L359" s="349"/>
      <c r="M359" s="349"/>
      <c r="N359" s="349"/>
      <c r="O359" s="349" t="s">
        <v>770</v>
      </c>
      <c r="P359" s="349"/>
      <c r="Q359" s="349"/>
      <c r="R359" s="349"/>
      <c r="S359" s="349"/>
      <c r="T359" s="349"/>
    </row>
    <row r="360" spans="1:20" s="111" customFormat="1" ht="24.75" thickBot="1" x14ac:dyDescent="0.3">
      <c r="A360" s="111" t="s">
        <v>813</v>
      </c>
      <c r="B360" s="362">
        <f>B276</f>
        <v>4</v>
      </c>
      <c r="C360" s="404" t="str">
        <f>C276</f>
        <v>CREPIN Lucie</v>
      </c>
      <c r="D360" s="405">
        <f t="shared" ref="D360" si="594">R276</f>
        <v>57.512199042651993</v>
      </c>
      <c r="E360" s="406">
        <f t="shared" ref="E360" si="595">S276</f>
        <v>1531.4000000000026</v>
      </c>
      <c r="F360" s="405">
        <f t="shared" ref="F360" si="596">T276</f>
        <v>88074.181613917404</v>
      </c>
      <c r="G360" s="413"/>
      <c r="H360" s="404" t="str">
        <f t="shared" ref="H360" si="597">C89</f>
        <v>CREPIN</v>
      </c>
      <c r="I360" s="407" t="str">
        <f t="shared" ref="I360" si="598">D89</f>
        <v>Lucie</v>
      </c>
      <c r="J360" s="407" t="str">
        <f>E276</f>
        <v>Doctorat - Biotechnologie, microbilogie - Université Montpellier II</v>
      </c>
      <c r="K360" s="407" t="str">
        <f>D276</f>
        <v>Lead Scientist</v>
      </c>
      <c r="L360" s="349"/>
      <c r="M360" s="349"/>
      <c r="N360" s="349"/>
      <c r="O360" s="349" t="s">
        <v>770</v>
      </c>
      <c r="P360" s="349"/>
      <c r="Q360" s="349"/>
      <c r="R360" s="349"/>
      <c r="S360" s="349"/>
      <c r="T360" s="349"/>
    </row>
    <row r="361" spans="1:20" s="111" customFormat="1" ht="24.75" thickBot="1" x14ac:dyDescent="0.3">
      <c r="A361" s="111" t="s">
        <v>813</v>
      </c>
      <c r="B361" s="362">
        <f>B276</f>
        <v>4</v>
      </c>
      <c r="C361" s="404" t="str">
        <f>C276</f>
        <v>CREPIN Lucie</v>
      </c>
      <c r="D361" s="405">
        <f t="shared" ref="D361" si="599">R276</f>
        <v>57.512199042651993</v>
      </c>
      <c r="E361" s="406">
        <f t="shared" ref="E361" si="600">S276</f>
        <v>1531.4000000000026</v>
      </c>
      <c r="F361" s="405">
        <f t="shared" ref="F361" si="601">T276</f>
        <v>88074.181613917404</v>
      </c>
      <c r="G361" s="413"/>
      <c r="H361" s="404" t="str">
        <f t="shared" ref="H361" si="602">C89</f>
        <v>CREPIN</v>
      </c>
      <c r="I361" s="407" t="str">
        <f t="shared" ref="I361" si="603">D89</f>
        <v>Lucie</v>
      </c>
      <c r="J361" s="407" t="str">
        <f>E276</f>
        <v>Doctorat - Biotechnologie, microbilogie - Université Montpellier II</v>
      </c>
      <c r="K361" s="407" t="str">
        <f>D276</f>
        <v>Lead Scientist</v>
      </c>
      <c r="L361" s="349"/>
      <c r="M361" s="349"/>
      <c r="N361" s="349"/>
      <c r="O361" s="349" t="s">
        <v>770</v>
      </c>
      <c r="P361" s="349"/>
      <c r="Q361" s="349"/>
      <c r="R361" s="349"/>
      <c r="S361" s="349"/>
      <c r="T361" s="349"/>
    </row>
    <row r="362" spans="1:20" s="111" customFormat="1" ht="24.75" thickBot="1" x14ac:dyDescent="0.3">
      <c r="A362" s="111" t="s">
        <v>813</v>
      </c>
      <c r="B362" s="362">
        <f>B276</f>
        <v>4</v>
      </c>
      <c r="C362" s="404" t="str">
        <f>C276</f>
        <v>CREPIN Lucie</v>
      </c>
      <c r="D362" s="405">
        <f t="shared" ref="D362" si="604">R276</f>
        <v>57.512199042651993</v>
      </c>
      <c r="E362" s="406">
        <f t="shared" ref="E362" si="605">S276</f>
        <v>1531.4000000000026</v>
      </c>
      <c r="F362" s="405">
        <f t="shared" ref="F362" si="606">T276</f>
        <v>88074.181613917404</v>
      </c>
      <c r="G362" s="413"/>
      <c r="H362" s="404" t="str">
        <f t="shared" ref="H362" si="607">C89</f>
        <v>CREPIN</v>
      </c>
      <c r="I362" s="407" t="str">
        <f t="shared" ref="I362" si="608">D89</f>
        <v>Lucie</v>
      </c>
      <c r="J362" s="407" t="str">
        <f>E276</f>
        <v>Doctorat - Biotechnologie, microbilogie - Université Montpellier II</v>
      </c>
      <c r="K362" s="407" t="str">
        <f>D276</f>
        <v>Lead Scientist</v>
      </c>
      <c r="L362" s="349"/>
      <c r="M362" s="349"/>
      <c r="N362" s="349"/>
      <c r="O362" s="349" t="s">
        <v>770</v>
      </c>
      <c r="P362" s="349"/>
      <c r="Q362" s="349"/>
      <c r="R362" s="349"/>
      <c r="S362" s="349"/>
      <c r="T362" s="349"/>
    </row>
    <row r="363" spans="1:20" s="111" customFormat="1" ht="24.75" thickBot="1" x14ac:dyDescent="0.3">
      <c r="A363" s="111" t="s">
        <v>813</v>
      </c>
      <c r="B363" s="362">
        <f>B276</f>
        <v>4</v>
      </c>
      <c r="C363" s="404" t="str">
        <f>C276</f>
        <v>CREPIN Lucie</v>
      </c>
      <c r="D363" s="405">
        <f t="shared" ref="D363" si="609">R276</f>
        <v>57.512199042651993</v>
      </c>
      <c r="E363" s="406">
        <f t="shared" ref="E363" si="610">S276</f>
        <v>1531.4000000000026</v>
      </c>
      <c r="F363" s="405">
        <f t="shared" ref="F363" si="611">T276</f>
        <v>88074.181613917404</v>
      </c>
      <c r="G363" s="413"/>
      <c r="H363" s="404" t="str">
        <f t="shared" ref="H363" si="612">C89</f>
        <v>CREPIN</v>
      </c>
      <c r="I363" s="407" t="str">
        <f t="shared" ref="I363" si="613">D89</f>
        <v>Lucie</v>
      </c>
      <c r="J363" s="407" t="str">
        <f>E276</f>
        <v>Doctorat - Biotechnologie, microbilogie - Université Montpellier II</v>
      </c>
      <c r="K363" s="407" t="str">
        <f>D276</f>
        <v>Lead Scientist</v>
      </c>
      <c r="L363" s="349"/>
      <c r="M363" s="349"/>
      <c r="N363" s="349"/>
      <c r="O363" s="349" t="s">
        <v>770</v>
      </c>
      <c r="P363" s="349"/>
      <c r="Q363" s="349"/>
      <c r="R363" s="349"/>
      <c r="S363" s="349"/>
      <c r="T363" s="349"/>
    </row>
    <row r="364" spans="1:20" s="111" customFormat="1" ht="24.75" thickBot="1" x14ac:dyDescent="0.3">
      <c r="A364" s="111" t="s">
        <v>813</v>
      </c>
      <c r="B364" s="362">
        <f>B276</f>
        <v>4</v>
      </c>
      <c r="C364" s="404" t="str">
        <f>C276</f>
        <v>CREPIN Lucie</v>
      </c>
      <c r="D364" s="405">
        <f t="shared" ref="D364" si="614">R276</f>
        <v>57.512199042651993</v>
      </c>
      <c r="E364" s="406">
        <f t="shared" ref="E364" si="615">S276</f>
        <v>1531.4000000000026</v>
      </c>
      <c r="F364" s="405">
        <f t="shared" ref="F364" si="616">T276</f>
        <v>88074.181613917404</v>
      </c>
      <c r="G364" s="413"/>
      <c r="H364" s="404" t="str">
        <f t="shared" ref="H364" si="617">C89</f>
        <v>CREPIN</v>
      </c>
      <c r="I364" s="407" t="str">
        <f t="shared" ref="I364" si="618">D89</f>
        <v>Lucie</v>
      </c>
      <c r="J364" s="407" t="str">
        <f>E276</f>
        <v>Doctorat - Biotechnologie, microbilogie - Université Montpellier II</v>
      </c>
      <c r="K364" s="407" t="str">
        <f>D276</f>
        <v>Lead Scientist</v>
      </c>
      <c r="L364" s="349"/>
      <c r="M364" s="349"/>
      <c r="N364" s="349"/>
      <c r="O364" s="349" t="s">
        <v>770</v>
      </c>
      <c r="P364" s="349"/>
      <c r="Q364" s="349"/>
      <c r="R364" s="349"/>
      <c r="S364" s="349"/>
      <c r="T364" s="349"/>
    </row>
    <row r="365" spans="1:20" s="111" customFormat="1" ht="24.75" thickBot="1" x14ac:dyDescent="0.3">
      <c r="A365" s="111" t="s">
        <v>813</v>
      </c>
      <c r="B365" s="362">
        <f>B276</f>
        <v>4</v>
      </c>
      <c r="C365" s="404" t="str">
        <f>C276</f>
        <v>CREPIN Lucie</v>
      </c>
      <c r="D365" s="405">
        <f t="shared" ref="D365" si="619">R276</f>
        <v>57.512199042651993</v>
      </c>
      <c r="E365" s="406">
        <f t="shared" ref="E365" si="620">S276</f>
        <v>1531.4000000000026</v>
      </c>
      <c r="F365" s="405">
        <f t="shared" ref="F365" si="621">T276</f>
        <v>88074.181613917404</v>
      </c>
      <c r="G365" s="413"/>
      <c r="H365" s="404" t="str">
        <f t="shared" ref="H365" si="622">C89</f>
        <v>CREPIN</v>
      </c>
      <c r="I365" s="407" t="str">
        <f t="shared" ref="I365" si="623">D89</f>
        <v>Lucie</v>
      </c>
      <c r="J365" s="407" t="str">
        <f>E276</f>
        <v>Doctorat - Biotechnologie, microbilogie - Université Montpellier II</v>
      </c>
      <c r="K365" s="407" t="str">
        <f>D276</f>
        <v>Lead Scientist</v>
      </c>
      <c r="L365" s="349"/>
      <c r="M365" s="349"/>
      <c r="N365" s="349"/>
      <c r="O365" s="349" t="s">
        <v>770</v>
      </c>
      <c r="P365" s="349"/>
      <c r="Q365" s="349"/>
      <c r="R365" s="349"/>
      <c r="S365" s="349"/>
      <c r="T365" s="349"/>
    </row>
    <row r="366" spans="1:20" s="111" customFormat="1" ht="24.75" thickBot="1" x14ac:dyDescent="0.3">
      <c r="A366" s="111" t="s">
        <v>813</v>
      </c>
      <c r="B366" s="362">
        <f>B276</f>
        <v>4</v>
      </c>
      <c r="C366" s="404" t="str">
        <f>C276</f>
        <v>CREPIN Lucie</v>
      </c>
      <c r="D366" s="405">
        <f t="shared" ref="D366" si="624">R276</f>
        <v>57.512199042651993</v>
      </c>
      <c r="E366" s="406">
        <f t="shared" ref="E366" si="625">S276</f>
        <v>1531.4000000000026</v>
      </c>
      <c r="F366" s="405">
        <f t="shared" ref="F366" si="626">T276</f>
        <v>88074.181613917404</v>
      </c>
      <c r="G366" s="413"/>
      <c r="H366" s="404" t="str">
        <f t="shared" ref="H366" si="627">C89</f>
        <v>CREPIN</v>
      </c>
      <c r="I366" s="407" t="str">
        <f t="shared" ref="I366" si="628">D89</f>
        <v>Lucie</v>
      </c>
      <c r="J366" s="407" t="str">
        <f>E276</f>
        <v>Doctorat - Biotechnologie, microbilogie - Université Montpellier II</v>
      </c>
      <c r="K366" s="407" t="str">
        <f>D276</f>
        <v>Lead Scientist</v>
      </c>
      <c r="L366" s="349"/>
      <c r="M366" s="349"/>
      <c r="N366" s="349"/>
      <c r="O366" s="349" t="s">
        <v>770</v>
      </c>
      <c r="P366" s="349"/>
      <c r="Q366" s="349"/>
      <c r="R366" s="349"/>
      <c r="S366" s="349"/>
      <c r="T366" s="349"/>
    </row>
    <row r="367" spans="1:20" s="111" customFormat="1" ht="24.75" thickBot="1" x14ac:dyDescent="0.3">
      <c r="A367" s="111" t="s">
        <v>813</v>
      </c>
      <c r="B367" s="362">
        <f>B276</f>
        <v>4</v>
      </c>
      <c r="C367" s="404" t="str">
        <f>C276</f>
        <v>CREPIN Lucie</v>
      </c>
      <c r="D367" s="405">
        <f t="shared" ref="D367" si="629">R276</f>
        <v>57.512199042651993</v>
      </c>
      <c r="E367" s="406">
        <f t="shared" ref="E367" si="630">S276</f>
        <v>1531.4000000000026</v>
      </c>
      <c r="F367" s="405">
        <f t="shared" ref="F367" si="631">T276</f>
        <v>88074.181613917404</v>
      </c>
      <c r="G367" s="413"/>
      <c r="H367" s="404" t="str">
        <f t="shared" ref="H367" si="632">C89</f>
        <v>CREPIN</v>
      </c>
      <c r="I367" s="407" t="str">
        <f t="shared" ref="I367" si="633">D89</f>
        <v>Lucie</v>
      </c>
      <c r="J367" s="407" t="str">
        <f>E276</f>
        <v>Doctorat - Biotechnologie, microbilogie - Université Montpellier II</v>
      </c>
      <c r="K367" s="407" t="str">
        <f>D276</f>
        <v>Lead Scientist</v>
      </c>
      <c r="L367" s="349"/>
      <c r="M367" s="349"/>
      <c r="N367" s="349"/>
      <c r="O367" s="349" t="s">
        <v>770</v>
      </c>
      <c r="P367" s="349"/>
      <c r="Q367" s="349"/>
      <c r="R367" s="349"/>
      <c r="S367" s="349"/>
      <c r="T367" s="349"/>
    </row>
    <row r="368" spans="1:20" s="111" customFormat="1" ht="24.75" thickBot="1" x14ac:dyDescent="0.3">
      <c r="A368" s="111" t="s">
        <v>813</v>
      </c>
      <c r="B368" s="362">
        <f>B276</f>
        <v>4</v>
      </c>
      <c r="C368" s="404" t="str">
        <f>C276</f>
        <v>CREPIN Lucie</v>
      </c>
      <c r="D368" s="405">
        <f t="shared" ref="D368" si="634">R276</f>
        <v>57.512199042651993</v>
      </c>
      <c r="E368" s="406">
        <f t="shared" ref="E368" si="635">S276</f>
        <v>1531.4000000000026</v>
      </c>
      <c r="F368" s="405">
        <f t="shared" ref="F368" si="636">T276</f>
        <v>88074.181613917404</v>
      </c>
      <c r="G368" s="413"/>
      <c r="H368" s="404" t="str">
        <f t="shared" ref="H368" si="637">C89</f>
        <v>CREPIN</v>
      </c>
      <c r="I368" s="407" t="str">
        <f t="shared" ref="I368" si="638">D89</f>
        <v>Lucie</v>
      </c>
      <c r="J368" s="407" t="str">
        <f>E276</f>
        <v>Doctorat - Biotechnologie, microbilogie - Université Montpellier II</v>
      </c>
      <c r="K368" s="407" t="str">
        <f>D276</f>
        <v>Lead Scientist</v>
      </c>
      <c r="L368" s="349"/>
      <c r="M368" s="349"/>
      <c r="N368" s="349"/>
      <c r="O368" s="349" t="s">
        <v>770</v>
      </c>
      <c r="P368" s="349"/>
      <c r="Q368" s="349"/>
      <c r="R368" s="349"/>
      <c r="S368" s="349"/>
      <c r="T368" s="349"/>
    </row>
    <row r="369" spans="1:20" s="111" customFormat="1" ht="24.75" thickBot="1" x14ac:dyDescent="0.3">
      <c r="A369" s="111" t="s">
        <v>813</v>
      </c>
      <c r="B369" s="362">
        <f>B276</f>
        <v>4</v>
      </c>
      <c r="C369" s="404" t="str">
        <f>C276</f>
        <v>CREPIN Lucie</v>
      </c>
      <c r="D369" s="405">
        <f>R276</f>
        <v>57.512199042651993</v>
      </c>
      <c r="E369" s="406">
        <f>S276</f>
        <v>1531.4000000000026</v>
      </c>
      <c r="F369" s="405">
        <f>T276</f>
        <v>88074.181613917404</v>
      </c>
      <c r="G369" s="413"/>
      <c r="H369" s="404" t="str">
        <f t="shared" ref="H369" si="639">C89</f>
        <v>CREPIN</v>
      </c>
      <c r="I369" s="407" t="str">
        <f t="shared" ref="I369" si="640">D89</f>
        <v>Lucie</v>
      </c>
      <c r="J369" s="407" t="str">
        <f>E276</f>
        <v>Doctorat - Biotechnologie, microbilogie - Université Montpellier II</v>
      </c>
      <c r="K369" s="407" t="str">
        <f>D276</f>
        <v>Lead Scientist</v>
      </c>
      <c r="L369" s="349"/>
      <c r="M369" s="349"/>
      <c r="N369" s="349"/>
      <c r="O369" s="349" t="s">
        <v>770</v>
      </c>
      <c r="P369" s="349"/>
      <c r="Q369" s="349"/>
      <c r="R369" s="349"/>
      <c r="S369" s="349"/>
      <c r="T369" s="349"/>
    </row>
    <row r="370" spans="1:20" s="111" customFormat="1" ht="24.75" thickBot="1" x14ac:dyDescent="0.3">
      <c r="A370" s="111" t="s">
        <v>813</v>
      </c>
      <c r="B370" s="362">
        <f>B277</f>
        <v>5</v>
      </c>
      <c r="C370" s="404" t="str">
        <f>C277</f>
        <v>BOISSONNAT Guillaume</v>
      </c>
      <c r="D370" s="405">
        <f t="shared" ref="D370" si="641">R277</f>
        <v>118.72911717220083</v>
      </c>
      <c r="E370" s="406">
        <f t="shared" ref="E370" si="642">S277</f>
        <v>651.58800000000019</v>
      </c>
      <c r="F370" s="405">
        <f t="shared" ref="F370" si="643">T277</f>
        <v>77362.468000000023</v>
      </c>
      <c r="G370" s="413"/>
      <c r="H370" s="404" t="str">
        <f t="shared" ref="H370" si="644">C90</f>
        <v>BOISSONNAT</v>
      </c>
      <c r="I370" s="407" t="str">
        <f t="shared" ref="I370" si="645">D90</f>
        <v>Guillaume</v>
      </c>
      <c r="J370" s="407" t="str">
        <f>E277</f>
        <v>Doctorat Chimie moleculaire- Université Paris VI</v>
      </c>
      <c r="K370" s="407" t="str">
        <f>D277</f>
        <v>Ingénieur Recherche</v>
      </c>
      <c r="L370" s="349"/>
      <c r="M370" s="349"/>
      <c r="N370" s="349"/>
      <c r="O370" s="349" t="s">
        <v>770</v>
      </c>
      <c r="P370" s="349"/>
      <c r="Q370" s="349"/>
      <c r="R370" s="349"/>
      <c r="S370" s="349"/>
      <c r="T370" s="349"/>
    </row>
    <row r="371" spans="1:20" s="111" customFormat="1" ht="24.75" thickBot="1" x14ac:dyDescent="0.3">
      <c r="A371" s="111" t="s">
        <v>813</v>
      </c>
      <c r="B371" s="362">
        <f>B277</f>
        <v>5</v>
      </c>
      <c r="C371" s="404" t="str">
        <f>C277</f>
        <v>BOISSONNAT Guillaume</v>
      </c>
      <c r="D371" s="405">
        <f t="shared" ref="D371" si="646">R277</f>
        <v>118.72911717220083</v>
      </c>
      <c r="E371" s="406">
        <f t="shared" ref="E371" si="647">S277</f>
        <v>651.58800000000019</v>
      </c>
      <c r="F371" s="405">
        <f t="shared" ref="F371" si="648">T277</f>
        <v>77362.468000000023</v>
      </c>
      <c r="G371" s="413"/>
      <c r="H371" s="404" t="str">
        <f t="shared" ref="H371" si="649">C90</f>
        <v>BOISSONNAT</v>
      </c>
      <c r="I371" s="407" t="str">
        <f t="shared" ref="I371" si="650">D90</f>
        <v>Guillaume</v>
      </c>
      <c r="J371" s="407" t="str">
        <f>E277</f>
        <v>Doctorat Chimie moleculaire- Université Paris VI</v>
      </c>
      <c r="K371" s="407" t="str">
        <f>D277</f>
        <v>Ingénieur Recherche</v>
      </c>
      <c r="L371" s="349"/>
      <c r="M371" s="349"/>
      <c r="N371" s="349"/>
      <c r="O371" s="349" t="s">
        <v>770</v>
      </c>
      <c r="P371" s="349"/>
      <c r="Q371" s="349"/>
      <c r="R371" s="349"/>
      <c r="S371" s="349"/>
      <c r="T371" s="349"/>
    </row>
    <row r="372" spans="1:20" s="111" customFormat="1" ht="24.75" thickBot="1" x14ac:dyDescent="0.3">
      <c r="A372" s="111" t="s">
        <v>813</v>
      </c>
      <c r="B372" s="362">
        <f>B277</f>
        <v>5</v>
      </c>
      <c r="C372" s="404" t="str">
        <f>C277</f>
        <v>BOISSONNAT Guillaume</v>
      </c>
      <c r="D372" s="405">
        <f t="shared" ref="D372" si="651">R277</f>
        <v>118.72911717220083</v>
      </c>
      <c r="E372" s="406">
        <f t="shared" ref="E372" si="652">S277</f>
        <v>651.58800000000019</v>
      </c>
      <c r="F372" s="405">
        <f t="shared" ref="F372" si="653">T277</f>
        <v>77362.468000000023</v>
      </c>
      <c r="G372" s="413"/>
      <c r="H372" s="404" t="str">
        <f t="shared" ref="H372" si="654">C90</f>
        <v>BOISSONNAT</v>
      </c>
      <c r="I372" s="407" t="str">
        <f t="shared" ref="I372" si="655">D90</f>
        <v>Guillaume</v>
      </c>
      <c r="J372" s="407" t="str">
        <f>E277</f>
        <v>Doctorat Chimie moleculaire- Université Paris VI</v>
      </c>
      <c r="K372" s="407" t="str">
        <f>D277</f>
        <v>Ingénieur Recherche</v>
      </c>
      <c r="L372" s="349"/>
      <c r="M372" s="349"/>
      <c r="N372" s="349"/>
      <c r="O372" s="349" t="s">
        <v>770</v>
      </c>
      <c r="P372" s="349"/>
      <c r="Q372" s="349"/>
      <c r="R372" s="349"/>
      <c r="S372" s="349"/>
      <c r="T372" s="349"/>
    </row>
    <row r="373" spans="1:20" s="111" customFormat="1" ht="24.75" thickBot="1" x14ac:dyDescent="0.3">
      <c r="A373" s="111" t="s">
        <v>813</v>
      </c>
      <c r="B373" s="362">
        <f>B277</f>
        <v>5</v>
      </c>
      <c r="C373" s="404" t="str">
        <f>C277</f>
        <v>BOISSONNAT Guillaume</v>
      </c>
      <c r="D373" s="405">
        <f t="shared" ref="D373" si="656">R277</f>
        <v>118.72911717220083</v>
      </c>
      <c r="E373" s="406">
        <f t="shared" ref="E373" si="657">S277</f>
        <v>651.58800000000019</v>
      </c>
      <c r="F373" s="405">
        <f t="shared" ref="F373" si="658">T277</f>
        <v>77362.468000000023</v>
      </c>
      <c r="G373" s="413"/>
      <c r="H373" s="404" t="str">
        <f t="shared" ref="H373" si="659">C90</f>
        <v>BOISSONNAT</v>
      </c>
      <c r="I373" s="407" t="str">
        <f t="shared" ref="I373" si="660">D90</f>
        <v>Guillaume</v>
      </c>
      <c r="J373" s="407" t="str">
        <f>E277</f>
        <v>Doctorat Chimie moleculaire- Université Paris VI</v>
      </c>
      <c r="K373" s="407" t="str">
        <f>D277</f>
        <v>Ingénieur Recherche</v>
      </c>
      <c r="L373" s="349"/>
      <c r="M373" s="349"/>
      <c r="N373" s="349"/>
      <c r="O373" s="349" t="s">
        <v>770</v>
      </c>
      <c r="P373" s="349"/>
      <c r="Q373" s="349"/>
      <c r="R373" s="349"/>
      <c r="S373" s="349"/>
      <c r="T373" s="349"/>
    </row>
    <row r="374" spans="1:20" s="111" customFormat="1" ht="24.75" thickBot="1" x14ac:dyDescent="0.3">
      <c r="A374" s="111" t="s">
        <v>813</v>
      </c>
      <c r="B374" s="362">
        <f>B277</f>
        <v>5</v>
      </c>
      <c r="C374" s="404" t="str">
        <f>C277</f>
        <v>BOISSONNAT Guillaume</v>
      </c>
      <c r="D374" s="405">
        <f t="shared" ref="D374" si="661">R277</f>
        <v>118.72911717220083</v>
      </c>
      <c r="E374" s="406">
        <f t="shared" ref="E374" si="662">S277</f>
        <v>651.58800000000019</v>
      </c>
      <c r="F374" s="405">
        <f t="shared" ref="F374" si="663">T277</f>
        <v>77362.468000000023</v>
      </c>
      <c r="G374" s="413"/>
      <c r="H374" s="404" t="str">
        <f t="shared" ref="H374" si="664">C90</f>
        <v>BOISSONNAT</v>
      </c>
      <c r="I374" s="407" t="str">
        <f t="shared" ref="I374" si="665">D90</f>
        <v>Guillaume</v>
      </c>
      <c r="J374" s="407" t="str">
        <f>E277</f>
        <v>Doctorat Chimie moleculaire- Université Paris VI</v>
      </c>
      <c r="K374" s="407" t="str">
        <f>D277</f>
        <v>Ingénieur Recherche</v>
      </c>
      <c r="L374" s="349"/>
      <c r="M374" s="349"/>
      <c r="N374" s="349"/>
      <c r="O374" s="349" t="s">
        <v>770</v>
      </c>
      <c r="P374" s="349"/>
      <c r="Q374" s="349"/>
      <c r="R374" s="349"/>
      <c r="S374" s="349"/>
      <c r="T374" s="349"/>
    </row>
    <row r="375" spans="1:20" s="111" customFormat="1" ht="24.75" thickBot="1" x14ac:dyDescent="0.3">
      <c r="A375" s="111" t="s">
        <v>813</v>
      </c>
      <c r="B375" s="362">
        <f>B277</f>
        <v>5</v>
      </c>
      <c r="C375" s="404" t="str">
        <f>C277</f>
        <v>BOISSONNAT Guillaume</v>
      </c>
      <c r="D375" s="405">
        <f t="shared" ref="D375" si="666">R277</f>
        <v>118.72911717220083</v>
      </c>
      <c r="E375" s="406">
        <f t="shared" ref="E375" si="667">S277</f>
        <v>651.58800000000019</v>
      </c>
      <c r="F375" s="405">
        <f t="shared" ref="F375" si="668">T277</f>
        <v>77362.468000000023</v>
      </c>
      <c r="G375" s="413"/>
      <c r="H375" s="404" t="str">
        <f t="shared" ref="H375" si="669">C90</f>
        <v>BOISSONNAT</v>
      </c>
      <c r="I375" s="407" t="str">
        <f t="shared" ref="I375" si="670">D90</f>
        <v>Guillaume</v>
      </c>
      <c r="J375" s="407" t="str">
        <f>E277</f>
        <v>Doctorat Chimie moleculaire- Université Paris VI</v>
      </c>
      <c r="K375" s="407" t="str">
        <f>D277</f>
        <v>Ingénieur Recherche</v>
      </c>
      <c r="L375" s="349"/>
      <c r="M375" s="349"/>
      <c r="N375" s="349"/>
      <c r="O375" s="349" t="s">
        <v>770</v>
      </c>
      <c r="P375" s="349"/>
      <c r="Q375" s="349"/>
      <c r="R375" s="349"/>
      <c r="S375" s="349"/>
      <c r="T375" s="349"/>
    </row>
    <row r="376" spans="1:20" s="111" customFormat="1" ht="24.75" thickBot="1" x14ac:dyDescent="0.3">
      <c r="A376" s="111" t="s">
        <v>813</v>
      </c>
      <c r="B376" s="362">
        <f>B277</f>
        <v>5</v>
      </c>
      <c r="C376" s="404" t="str">
        <f>C277</f>
        <v>BOISSONNAT Guillaume</v>
      </c>
      <c r="D376" s="405">
        <f t="shared" ref="D376" si="671">R277</f>
        <v>118.72911717220083</v>
      </c>
      <c r="E376" s="406">
        <f t="shared" ref="E376" si="672">S277</f>
        <v>651.58800000000019</v>
      </c>
      <c r="F376" s="405">
        <f t="shared" ref="F376" si="673">T277</f>
        <v>77362.468000000023</v>
      </c>
      <c r="G376" s="413"/>
      <c r="H376" s="404" t="str">
        <f t="shared" ref="H376" si="674">C90</f>
        <v>BOISSONNAT</v>
      </c>
      <c r="I376" s="407" t="str">
        <f t="shared" ref="I376" si="675">D90</f>
        <v>Guillaume</v>
      </c>
      <c r="J376" s="407" t="str">
        <f>E277</f>
        <v>Doctorat Chimie moleculaire- Université Paris VI</v>
      </c>
      <c r="K376" s="407" t="str">
        <f>D277</f>
        <v>Ingénieur Recherche</v>
      </c>
      <c r="L376" s="349"/>
      <c r="M376" s="349"/>
      <c r="N376" s="349"/>
      <c r="O376" s="349" t="s">
        <v>770</v>
      </c>
      <c r="P376" s="349"/>
      <c r="Q376" s="349"/>
      <c r="R376" s="349"/>
      <c r="S376" s="349"/>
      <c r="T376" s="349"/>
    </row>
    <row r="377" spans="1:20" s="111" customFormat="1" ht="24.75" thickBot="1" x14ac:dyDescent="0.3">
      <c r="A377" s="111" t="s">
        <v>813</v>
      </c>
      <c r="B377" s="362">
        <f>B277</f>
        <v>5</v>
      </c>
      <c r="C377" s="404" t="str">
        <f>C277</f>
        <v>BOISSONNAT Guillaume</v>
      </c>
      <c r="D377" s="405">
        <f t="shared" ref="D377" si="676">R277</f>
        <v>118.72911717220083</v>
      </c>
      <c r="E377" s="406">
        <f t="shared" ref="E377" si="677">S277</f>
        <v>651.58800000000019</v>
      </c>
      <c r="F377" s="405">
        <f t="shared" ref="F377" si="678">T277</f>
        <v>77362.468000000023</v>
      </c>
      <c r="G377" s="413"/>
      <c r="H377" s="404" t="str">
        <f t="shared" ref="H377" si="679">C90</f>
        <v>BOISSONNAT</v>
      </c>
      <c r="I377" s="407" t="str">
        <f t="shared" ref="I377" si="680">D90</f>
        <v>Guillaume</v>
      </c>
      <c r="J377" s="407" t="str">
        <f>E277</f>
        <v>Doctorat Chimie moleculaire- Université Paris VI</v>
      </c>
      <c r="K377" s="407" t="str">
        <f>D277</f>
        <v>Ingénieur Recherche</v>
      </c>
      <c r="L377" s="349"/>
      <c r="M377" s="349"/>
      <c r="N377" s="349"/>
      <c r="O377" s="349" t="s">
        <v>770</v>
      </c>
      <c r="P377" s="349"/>
      <c r="Q377" s="349"/>
      <c r="R377" s="349"/>
      <c r="S377" s="349"/>
      <c r="T377" s="349"/>
    </row>
    <row r="378" spans="1:20" s="111" customFormat="1" ht="24.75" thickBot="1" x14ac:dyDescent="0.3">
      <c r="A378" s="111" t="s">
        <v>813</v>
      </c>
      <c r="B378" s="362">
        <f>B277</f>
        <v>5</v>
      </c>
      <c r="C378" s="404" t="str">
        <f>C277</f>
        <v>BOISSONNAT Guillaume</v>
      </c>
      <c r="D378" s="405">
        <f t="shared" ref="D378" si="681">R277</f>
        <v>118.72911717220083</v>
      </c>
      <c r="E378" s="406">
        <f t="shared" ref="E378" si="682">S277</f>
        <v>651.58800000000019</v>
      </c>
      <c r="F378" s="405">
        <f t="shared" ref="F378" si="683">T277</f>
        <v>77362.468000000023</v>
      </c>
      <c r="G378" s="413"/>
      <c r="H378" s="404" t="str">
        <f t="shared" ref="H378" si="684">C90</f>
        <v>BOISSONNAT</v>
      </c>
      <c r="I378" s="407" t="str">
        <f t="shared" ref="I378" si="685">D90</f>
        <v>Guillaume</v>
      </c>
      <c r="J378" s="407" t="str">
        <f>E277</f>
        <v>Doctorat Chimie moleculaire- Université Paris VI</v>
      </c>
      <c r="K378" s="407" t="str">
        <f>D277</f>
        <v>Ingénieur Recherche</v>
      </c>
      <c r="L378" s="349"/>
      <c r="M378" s="349"/>
      <c r="N378" s="349"/>
      <c r="O378" s="349" t="s">
        <v>770</v>
      </c>
      <c r="P378" s="349"/>
      <c r="Q378" s="349"/>
      <c r="R378" s="349"/>
      <c r="S378" s="349"/>
      <c r="T378" s="349"/>
    </row>
    <row r="379" spans="1:20" s="111" customFormat="1" ht="24.75" thickBot="1" x14ac:dyDescent="0.3">
      <c r="A379" s="111" t="s">
        <v>813</v>
      </c>
      <c r="B379" s="362">
        <f>B277</f>
        <v>5</v>
      </c>
      <c r="C379" s="404" t="str">
        <f>C277</f>
        <v>BOISSONNAT Guillaume</v>
      </c>
      <c r="D379" s="405">
        <f t="shared" ref="D379" si="686">R277</f>
        <v>118.72911717220083</v>
      </c>
      <c r="E379" s="406">
        <f t="shared" ref="E379" si="687">S277</f>
        <v>651.58800000000019</v>
      </c>
      <c r="F379" s="405">
        <f t="shared" ref="F379" si="688">T277</f>
        <v>77362.468000000023</v>
      </c>
      <c r="G379" s="413"/>
      <c r="H379" s="404" t="str">
        <f t="shared" ref="H379" si="689">C90</f>
        <v>BOISSONNAT</v>
      </c>
      <c r="I379" s="407" t="str">
        <f t="shared" ref="I379" si="690">D90</f>
        <v>Guillaume</v>
      </c>
      <c r="J379" s="407" t="str">
        <f>E277</f>
        <v>Doctorat Chimie moleculaire- Université Paris VI</v>
      </c>
      <c r="K379" s="407" t="str">
        <f>D277</f>
        <v>Ingénieur Recherche</v>
      </c>
      <c r="L379" s="349"/>
      <c r="M379" s="349"/>
      <c r="N379" s="349"/>
      <c r="O379" s="349" t="s">
        <v>770</v>
      </c>
      <c r="P379" s="349"/>
      <c r="Q379" s="349"/>
      <c r="R379" s="349"/>
      <c r="S379" s="349"/>
      <c r="T379" s="349"/>
    </row>
    <row r="380" spans="1:20" s="111" customFormat="1" ht="24.75" thickBot="1" x14ac:dyDescent="0.3">
      <c r="A380" s="111" t="s">
        <v>813</v>
      </c>
      <c r="B380" s="362">
        <f>B277</f>
        <v>5</v>
      </c>
      <c r="C380" s="404" t="str">
        <f>C277</f>
        <v>BOISSONNAT Guillaume</v>
      </c>
      <c r="D380" s="405">
        <f t="shared" ref="D380" si="691">R277</f>
        <v>118.72911717220083</v>
      </c>
      <c r="E380" s="406">
        <f t="shared" ref="E380" si="692">S277</f>
        <v>651.58800000000019</v>
      </c>
      <c r="F380" s="405">
        <f t="shared" ref="F380" si="693">T277</f>
        <v>77362.468000000023</v>
      </c>
      <c r="G380" s="413"/>
      <c r="H380" s="404" t="str">
        <f t="shared" ref="H380" si="694">C90</f>
        <v>BOISSONNAT</v>
      </c>
      <c r="I380" s="407" t="str">
        <f t="shared" ref="I380" si="695">D90</f>
        <v>Guillaume</v>
      </c>
      <c r="J380" s="407" t="str">
        <f>E277</f>
        <v>Doctorat Chimie moleculaire- Université Paris VI</v>
      </c>
      <c r="K380" s="407" t="str">
        <f>D277</f>
        <v>Ingénieur Recherche</v>
      </c>
      <c r="L380" s="349"/>
      <c r="M380" s="349"/>
      <c r="N380" s="349"/>
      <c r="O380" s="349" t="s">
        <v>770</v>
      </c>
      <c r="P380" s="349"/>
      <c r="Q380" s="349"/>
      <c r="R380" s="349"/>
      <c r="S380" s="349"/>
      <c r="T380" s="349"/>
    </row>
    <row r="381" spans="1:20" s="111" customFormat="1" ht="24.75" thickBot="1" x14ac:dyDescent="0.3">
      <c r="A381" s="111" t="s">
        <v>813</v>
      </c>
      <c r="B381" s="362">
        <f>B277</f>
        <v>5</v>
      </c>
      <c r="C381" s="404" t="str">
        <f>C277</f>
        <v>BOISSONNAT Guillaume</v>
      </c>
      <c r="D381" s="405">
        <f t="shared" ref="D381" si="696">R277</f>
        <v>118.72911717220083</v>
      </c>
      <c r="E381" s="406">
        <f t="shared" ref="E381" si="697">S277</f>
        <v>651.58800000000019</v>
      </c>
      <c r="F381" s="405">
        <f t="shared" ref="F381" si="698">T277</f>
        <v>77362.468000000023</v>
      </c>
      <c r="G381" s="413"/>
      <c r="H381" s="404" t="str">
        <f t="shared" ref="H381" si="699">C90</f>
        <v>BOISSONNAT</v>
      </c>
      <c r="I381" s="407" t="str">
        <f t="shared" ref="I381" si="700">D90</f>
        <v>Guillaume</v>
      </c>
      <c r="J381" s="407" t="str">
        <f>E277</f>
        <v>Doctorat Chimie moleculaire- Université Paris VI</v>
      </c>
      <c r="K381" s="407" t="str">
        <f>D277</f>
        <v>Ingénieur Recherche</v>
      </c>
      <c r="L381" s="349"/>
      <c r="M381" s="349"/>
      <c r="N381" s="349"/>
      <c r="O381" s="349" t="s">
        <v>770</v>
      </c>
      <c r="P381" s="349"/>
      <c r="Q381" s="349"/>
      <c r="R381" s="349"/>
      <c r="S381" s="349"/>
      <c r="T381" s="349"/>
    </row>
    <row r="382" spans="1:20" s="111" customFormat="1" ht="24.75" thickBot="1" x14ac:dyDescent="0.3">
      <c r="A382" s="111" t="s">
        <v>813</v>
      </c>
      <c r="B382" s="362">
        <f>B277</f>
        <v>5</v>
      </c>
      <c r="C382" s="404" t="str">
        <f>C277</f>
        <v>BOISSONNAT Guillaume</v>
      </c>
      <c r="D382" s="405">
        <f t="shared" ref="D382" si="701">R277</f>
        <v>118.72911717220083</v>
      </c>
      <c r="E382" s="406">
        <f t="shared" ref="E382" si="702">S277</f>
        <v>651.58800000000019</v>
      </c>
      <c r="F382" s="405">
        <f t="shared" ref="F382" si="703">T277</f>
        <v>77362.468000000023</v>
      </c>
      <c r="G382" s="413"/>
      <c r="H382" s="404" t="str">
        <f t="shared" ref="H382" si="704">C90</f>
        <v>BOISSONNAT</v>
      </c>
      <c r="I382" s="407" t="str">
        <f t="shared" ref="I382" si="705">D90</f>
        <v>Guillaume</v>
      </c>
      <c r="J382" s="407" t="str">
        <f>E277</f>
        <v>Doctorat Chimie moleculaire- Université Paris VI</v>
      </c>
      <c r="K382" s="407" t="str">
        <f>D277</f>
        <v>Ingénieur Recherche</v>
      </c>
      <c r="L382" s="349"/>
      <c r="M382" s="349"/>
      <c r="N382" s="349"/>
      <c r="O382" s="349" t="s">
        <v>770</v>
      </c>
      <c r="P382" s="349"/>
      <c r="Q382" s="349"/>
      <c r="R382" s="349"/>
      <c r="S382" s="349"/>
      <c r="T382" s="349"/>
    </row>
    <row r="383" spans="1:20" s="111" customFormat="1" ht="24.75" thickBot="1" x14ac:dyDescent="0.3">
      <c r="A383" s="111" t="s">
        <v>813</v>
      </c>
      <c r="B383" s="362">
        <f>B277</f>
        <v>5</v>
      </c>
      <c r="C383" s="404" t="str">
        <f>C277</f>
        <v>BOISSONNAT Guillaume</v>
      </c>
      <c r="D383" s="405">
        <f t="shared" ref="D383" si="706">R277</f>
        <v>118.72911717220083</v>
      </c>
      <c r="E383" s="406">
        <f t="shared" ref="E383" si="707">S277</f>
        <v>651.58800000000019</v>
      </c>
      <c r="F383" s="405">
        <f t="shared" ref="F383" si="708">T277</f>
        <v>77362.468000000023</v>
      </c>
      <c r="G383" s="413"/>
      <c r="H383" s="404" t="str">
        <f t="shared" ref="H383" si="709">C90</f>
        <v>BOISSONNAT</v>
      </c>
      <c r="I383" s="407" t="str">
        <f t="shared" ref="I383" si="710">D90</f>
        <v>Guillaume</v>
      </c>
      <c r="J383" s="407" t="str">
        <f>E277</f>
        <v>Doctorat Chimie moleculaire- Université Paris VI</v>
      </c>
      <c r="K383" s="407" t="str">
        <f>D277</f>
        <v>Ingénieur Recherche</v>
      </c>
      <c r="L383" s="349"/>
      <c r="M383" s="349"/>
      <c r="N383" s="349"/>
      <c r="O383" s="349" t="s">
        <v>770</v>
      </c>
      <c r="P383" s="349"/>
      <c r="Q383" s="349"/>
      <c r="R383" s="349"/>
      <c r="S383" s="349"/>
      <c r="T383" s="349"/>
    </row>
    <row r="384" spans="1:20" s="111" customFormat="1" ht="24.75" thickBot="1" x14ac:dyDescent="0.3">
      <c r="A384" s="111" t="s">
        <v>813</v>
      </c>
      <c r="B384" s="362">
        <f>B277</f>
        <v>5</v>
      </c>
      <c r="C384" s="404" t="str">
        <f>C277</f>
        <v>BOISSONNAT Guillaume</v>
      </c>
      <c r="D384" s="405">
        <f t="shared" ref="D384" si="711">R277</f>
        <v>118.72911717220083</v>
      </c>
      <c r="E384" s="406">
        <f t="shared" ref="E384" si="712">S277</f>
        <v>651.58800000000019</v>
      </c>
      <c r="F384" s="405">
        <f t="shared" ref="F384" si="713">T277</f>
        <v>77362.468000000023</v>
      </c>
      <c r="G384" s="413"/>
      <c r="H384" s="404" t="str">
        <f t="shared" ref="H384" si="714">C90</f>
        <v>BOISSONNAT</v>
      </c>
      <c r="I384" s="407" t="str">
        <f t="shared" ref="I384" si="715">D90</f>
        <v>Guillaume</v>
      </c>
      <c r="J384" s="407" t="str">
        <f>E277</f>
        <v>Doctorat Chimie moleculaire- Université Paris VI</v>
      </c>
      <c r="K384" s="407" t="str">
        <f>D277</f>
        <v>Ingénieur Recherche</v>
      </c>
      <c r="L384" s="349"/>
      <c r="M384" s="349"/>
      <c r="N384" s="349"/>
      <c r="O384" s="349" t="s">
        <v>770</v>
      </c>
      <c r="P384" s="349"/>
      <c r="Q384" s="349"/>
      <c r="R384" s="349"/>
      <c r="S384" s="349"/>
      <c r="T384" s="349"/>
    </row>
    <row r="385" spans="1:20" s="111" customFormat="1" ht="24.75" thickBot="1" x14ac:dyDescent="0.3">
      <c r="A385" s="111" t="s">
        <v>813</v>
      </c>
      <c r="B385" s="362">
        <f>B277</f>
        <v>5</v>
      </c>
      <c r="C385" s="404" t="str">
        <f>C277</f>
        <v>BOISSONNAT Guillaume</v>
      </c>
      <c r="D385" s="405">
        <f t="shared" ref="D385" si="716">R277</f>
        <v>118.72911717220083</v>
      </c>
      <c r="E385" s="406">
        <f t="shared" ref="E385" si="717">S277</f>
        <v>651.58800000000019</v>
      </c>
      <c r="F385" s="405">
        <f t="shared" ref="F385" si="718">T277</f>
        <v>77362.468000000023</v>
      </c>
      <c r="G385" s="413"/>
      <c r="H385" s="404" t="str">
        <f t="shared" ref="H385" si="719">C90</f>
        <v>BOISSONNAT</v>
      </c>
      <c r="I385" s="407" t="str">
        <f t="shared" ref="I385" si="720">D90</f>
        <v>Guillaume</v>
      </c>
      <c r="J385" s="407" t="str">
        <f>E277</f>
        <v>Doctorat Chimie moleculaire- Université Paris VI</v>
      </c>
      <c r="K385" s="407" t="str">
        <f>D277</f>
        <v>Ingénieur Recherche</v>
      </c>
      <c r="L385" s="349"/>
      <c r="M385" s="349"/>
      <c r="N385" s="349"/>
      <c r="O385" s="349" t="s">
        <v>770</v>
      </c>
      <c r="P385" s="349"/>
      <c r="Q385" s="349"/>
      <c r="R385" s="349"/>
      <c r="S385" s="349"/>
      <c r="T385" s="349"/>
    </row>
    <row r="386" spans="1:20" s="111" customFormat="1" ht="24.75" thickBot="1" x14ac:dyDescent="0.3">
      <c r="A386" s="111" t="s">
        <v>813</v>
      </c>
      <c r="B386" s="362">
        <f>B277</f>
        <v>5</v>
      </c>
      <c r="C386" s="404" t="str">
        <f>C277</f>
        <v>BOISSONNAT Guillaume</v>
      </c>
      <c r="D386" s="405">
        <f t="shared" ref="D386" si="721">R277</f>
        <v>118.72911717220083</v>
      </c>
      <c r="E386" s="406">
        <f t="shared" ref="E386" si="722">S277</f>
        <v>651.58800000000019</v>
      </c>
      <c r="F386" s="405">
        <f t="shared" ref="F386" si="723">T277</f>
        <v>77362.468000000023</v>
      </c>
      <c r="G386" s="413"/>
      <c r="H386" s="404" t="str">
        <f t="shared" ref="H386" si="724">C90</f>
        <v>BOISSONNAT</v>
      </c>
      <c r="I386" s="407" t="str">
        <f t="shared" ref="I386" si="725">D90</f>
        <v>Guillaume</v>
      </c>
      <c r="J386" s="407" t="str">
        <f>E277</f>
        <v>Doctorat Chimie moleculaire- Université Paris VI</v>
      </c>
      <c r="K386" s="407" t="str">
        <f>D277</f>
        <v>Ingénieur Recherche</v>
      </c>
      <c r="L386" s="349"/>
      <c r="M386" s="349"/>
      <c r="N386" s="349"/>
      <c r="O386" s="349" t="s">
        <v>770</v>
      </c>
      <c r="P386" s="349"/>
      <c r="Q386" s="349"/>
      <c r="R386" s="349"/>
      <c r="S386" s="349"/>
      <c r="T386" s="349"/>
    </row>
    <row r="387" spans="1:20" s="111" customFormat="1" ht="24.75" thickBot="1" x14ac:dyDescent="0.3">
      <c r="A387" s="111" t="s">
        <v>813</v>
      </c>
      <c r="B387" s="362">
        <f>B277</f>
        <v>5</v>
      </c>
      <c r="C387" s="404" t="str">
        <f>C277</f>
        <v>BOISSONNAT Guillaume</v>
      </c>
      <c r="D387" s="405">
        <f t="shared" ref="D387" si="726">R277</f>
        <v>118.72911717220083</v>
      </c>
      <c r="E387" s="406">
        <f t="shared" ref="E387" si="727">S277</f>
        <v>651.58800000000019</v>
      </c>
      <c r="F387" s="405">
        <f t="shared" ref="F387" si="728">T277</f>
        <v>77362.468000000023</v>
      </c>
      <c r="G387" s="413"/>
      <c r="H387" s="404" t="str">
        <f t="shared" ref="H387" si="729">C90</f>
        <v>BOISSONNAT</v>
      </c>
      <c r="I387" s="407" t="str">
        <f t="shared" ref="I387" si="730">D90</f>
        <v>Guillaume</v>
      </c>
      <c r="J387" s="407" t="str">
        <f>E277</f>
        <v>Doctorat Chimie moleculaire- Université Paris VI</v>
      </c>
      <c r="K387" s="407" t="str">
        <f>D277</f>
        <v>Ingénieur Recherche</v>
      </c>
      <c r="L387" s="349"/>
      <c r="M387" s="349"/>
      <c r="N387" s="349"/>
      <c r="O387" s="349" t="s">
        <v>770</v>
      </c>
      <c r="P387" s="349"/>
      <c r="Q387" s="349"/>
      <c r="R387" s="349"/>
      <c r="S387" s="349"/>
      <c r="T387" s="349"/>
    </row>
    <row r="388" spans="1:20" s="111" customFormat="1" ht="24.75" thickBot="1" x14ac:dyDescent="0.3">
      <c r="A388" s="111" t="s">
        <v>813</v>
      </c>
      <c r="B388" s="362">
        <f>B277</f>
        <v>5</v>
      </c>
      <c r="C388" s="404" t="str">
        <f>C277</f>
        <v>BOISSONNAT Guillaume</v>
      </c>
      <c r="D388" s="405">
        <f t="shared" ref="D388" si="731">R277</f>
        <v>118.72911717220083</v>
      </c>
      <c r="E388" s="406">
        <f t="shared" ref="E388" si="732">S277</f>
        <v>651.58800000000019</v>
      </c>
      <c r="F388" s="405">
        <f t="shared" ref="F388" si="733">T277</f>
        <v>77362.468000000023</v>
      </c>
      <c r="G388" s="413"/>
      <c r="H388" s="404" t="str">
        <f t="shared" ref="H388" si="734">C90</f>
        <v>BOISSONNAT</v>
      </c>
      <c r="I388" s="407" t="str">
        <f t="shared" ref="I388" si="735">D90</f>
        <v>Guillaume</v>
      </c>
      <c r="J388" s="407" t="str">
        <f>E277</f>
        <v>Doctorat Chimie moleculaire- Université Paris VI</v>
      </c>
      <c r="K388" s="407" t="str">
        <f>D277</f>
        <v>Ingénieur Recherche</v>
      </c>
      <c r="L388" s="349"/>
      <c r="M388" s="349"/>
      <c r="N388" s="349"/>
      <c r="O388" s="349" t="s">
        <v>770</v>
      </c>
      <c r="P388" s="349"/>
      <c r="Q388" s="349"/>
      <c r="R388" s="349"/>
      <c r="S388" s="349"/>
      <c r="T388" s="349"/>
    </row>
    <row r="389" spans="1:20" s="111" customFormat="1" ht="24.75" thickBot="1" x14ac:dyDescent="0.3">
      <c r="A389" s="111" t="s">
        <v>813</v>
      </c>
      <c r="B389" s="362">
        <f>B277</f>
        <v>5</v>
      </c>
      <c r="C389" s="404" t="str">
        <f>C277</f>
        <v>BOISSONNAT Guillaume</v>
      </c>
      <c r="D389" s="405">
        <f t="shared" ref="D389" si="736">R277</f>
        <v>118.72911717220083</v>
      </c>
      <c r="E389" s="406">
        <f t="shared" ref="E389" si="737">S277</f>
        <v>651.58800000000019</v>
      </c>
      <c r="F389" s="405">
        <f t="shared" ref="F389" si="738">T277</f>
        <v>77362.468000000023</v>
      </c>
      <c r="G389" s="413"/>
      <c r="H389" s="404" t="str">
        <f t="shared" ref="H389" si="739">C90</f>
        <v>BOISSONNAT</v>
      </c>
      <c r="I389" s="407" t="str">
        <f t="shared" ref="I389" si="740">D90</f>
        <v>Guillaume</v>
      </c>
      <c r="J389" s="407" t="str">
        <f>E277</f>
        <v>Doctorat Chimie moleculaire- Université Paris VI</v>
      </c>
      <c r="K389" s="407" t="str">
        <f>D277</f>
        <v>Ingénieur Recherche</v>
      </c>
      <c r="L389" s="349"/>
      <c r="M389" s="349"/>
      <c r="N389" s="349"/>
      <c r="O389" s="349" t="s">
        <v>770</v>
      </c>
      <c r="P389" s="349"/>
      <c r="Q389" s="349"/>
      <c r="R389" s="349"/>
      <c r="S389" s="349"/>
      <c r="T389" s="349"/>
    </row>
    <row r="390" spans="1:20" s="111" customFormat="1" ht="24.75" thickBot="1" x14ac:dyDescent="0.3">
      <c r="A390" s="111" t="s">
        <v>813</v>
      </c>
      <c r="B390" s="362">
        <f>B277</f>
        <v>5</v>
      </c>
      <c r="C390" s="404" t="str">
        <f>C277</f>
        <v>BOISSONNAT Guillaume</v>
      </c>
      <c r="D390" s="405">
        <f t="shared" ref="D390" si="741">R277</f>
        <v>118.72911717220083</v>
      </c>
      <c r="E390" s="406">
        <f t="shared" ref="E390" si="742">S277</f>
        <v>651.58800000000019</v>
      </c>
      <c r="F390" s="405">
        <f t="shared" ref="F390" si="743">T277</f>
        <v>77362.468000000023</v>
      </c>
      <c r="G390" s="413"/>
      <c r="H390" s="404" t="str">
        <f t="shared" ref="H390" si="744">C90</f>
        <v>BOISSONNAT</v>
      </c>
      <c r="I390" s="407" t="str">
        <f t="shared" ref="I390" si="745">D90</f>
        <v>Guillaume</v>
      </c>
      <c r="J390" s="407" t="str">
        <f>E277</f>
        <v>Doctorat Chimie moleculaire- Université Paris VI</v>
      </c>
      <c r="K390" s="407" t="str">
        <f>D277</f>
        <v>Ingénieur Recherche</v>
      </c>
      <c r="L390" s="349"/>
      <c r="M390" s="349"/>
      <c r="N390" s="349"/>
      <c r="O390" s="349" t="s">
        <v>770</v>
      </c>
      <c r="P390" s="349"/>
      <c r="Q390" s="349"/>
      <c r="R390" s="349"/>
      <c r="S390" s="349"/>
      <c r="T390" s="349"/>
    </row>
    <row r="391" spans="1:20" s="111" customFormat="1" ht="24.75" thickBot="1" x14ac:dyDescent="0.3">
      <c r="A391" s="111" t="s">
        <v>813</v>
      </c>
      <c r="B391" s="362">
        <f>B277</f>
        <v>5</v>
      </c>
      <c r="C391" s="404" t="str">
        <f>C277</f>
        <v>BOISSONNAT Guillaume</v>
      </c>
      <c r="D391" s="405">
        <f t="shared" ref="D391" si="746">R277</f>
        <v>118.72911717220083</v>
      </c>
      <c r="E391" s="406">
        <f t="shared" ref="E391" si="747">S277</f>
        <v>651.58800000000019</v>
      </c>
      <c r="F391" s="405">
        <f t="shared" ref="F391" si="748">T277</f>
        <v>77362.468000000023</v>
      </c>
      <c r="G391" s="413"/>
      <c r="H391" s="404" t="str">
        <f t="shared" ref="H391" si="749">C90</f>
        <v>BOISSONNAT</v>
      </c>
      <c r="I391" s="407" t="str">
        <f t="shared" ref="I391" si="750">D90</f>
        <v>Guillaume</v>
      </c>
      <c r="J391" s="407" t="str">
        <f>E277</f>
        <v>Doctorat Chimie moleculaire- Université Paris VI</v>
      </c>
      <c r="K391" s="407" t="str">
        <f>D277</f>
        <v>Ingénieur Recherche</v>
      </c>
      <c r="L391" s="349"/>
      <c r="M391" s="349"/>
      <c r="N391" s="349"/>
      <c r="O391" s="349" t="s">
        <v>770</v>
      </c>
      <c r="P391" s="349"/>
      <c r="Q391" s="349"/>
      <c r="R391" s="349"/>
      <c r="S391" s="349"/>
      <c r="T391" s="349"/>
    </row>
    <row r="392" spans="1:20" s="111" customFormat="1" ht="24.75" thickBot="1" x14ac:dyDescent="0.3">
      <c r="A392" s="111" t="s">
        <v>813</v>
      </c>
      <c r="B392" s="362">
        <f>B277</f>
        <v>5</v>
      </c>
      <c r="C392" s="404" t="str">
        <f>C277</f>
        <v>BOISSONNAT Guillaume</v>
      </c>
      <c r="D392" s="405">
        <f t="shared" ref="D392" si="751">R277</f>
        <v>118.72911717220083</v>
      </c>
      <c r="E392" s="406">
        <f t="shared" ref="E392" si="752">S277</f>
        <v>651.58800000000019</v>
      </c>
      <c r="F392" s="405">
        <f t="shared" ref="F392" si="753">T277</f>
        <v>77362.468000000023</v>
      </c>
      <c r="G392" s="413"/>
      <c r="H392" s="404" t="str">
        <f t="shared" ref="H392" si="754">C90</f>
        <v>BOISSONNAT</v>
      </c>
      <c r="I392" s="407" t="str">
        <f t="shared" ref="I392" si="755">D90</f>
        <v>Guillaume</v>
      </c>
      <c r="J392" s="407" t="str">
        <f>E277</f>
        <v>Doctorat Chimie moleculaire- Université Paris VI</v>
      </c>
      <c r="K392" s="407" t="str">
        <f>D277</f>
        <v>Ingénieur Recherche</v>
      </c>
      <c r="L392" s="349"/>
      <c r="M392" s="349"/>
      <c r="N392" s="349"/>
      <c r="O392" s="349" t="s">
        <v>770</v>
      </c>
      <c r="P392" s="349"/>
      <c r="Q392" s="349"/>
      <c r="R392" s="349"/>
      <c r="S392" s="349"/>
      <c r="T392" s="349"/>
    </row>
    <row r="393" spans="1:20" s="111" customFormat="1" ht="24.75" thickBot="1" x14ac:dyDescent="0.3">
      <c r="A393" s="111" t="s">
        <v>813</v>
      </c>
      <c r="B393" s="362">
        <f>B277</f>
        <v>5</v>
      </c>
      <c r="C393" s="404" t="str">
        <f>C277</f>
        <v>BOISSONNAT Guillaume</v>
      </c>
      <c r="D393" s="405">
        <f t="shared" ref="D393" si="756">R277</f>
        <v>118.72911717220083</v>
      </c>
      <c r="E393" s="406">
        <f t="shared" ref="E393" si="757">S277</f>
        <v>651.58800000000019</v>
      </c>
      <c r="F393" s="405">
        <f t="shared" ref="F393" si="758">T277</f>
        <v>77362.468000000023</v>
      </c>
      <c r="G393" s="413"/>
      <c r="H393" s="404" t="str">
        <f t="shared" ref="H393" si="759">C90</f>
        <v>BOISSONNAT</v>
      </c>
      <c r="I393" s="407" t="str">
        <f t="shared" ref="I393" si="760">D90</f>
        <v>Guillaume</v>
      </c>
      <c r="J393" s="407" t="str">
        <f>E277</f>
        <v>Doctorat Chimie moleculaire- Université Paris VI</v>
      </c>
      <c r="K393" s="407" t="str">
        <f>D277</f>
        <v>Ingénieur Recherche</v>
      </c>
      <c r="L393" s="349"/>
      <c r="M393" s="349"/>
      <c r="N393" s="349"/>
      <c r="O393" s="349" t="s">
        <v>770</v>
      </c>
      <c r="P393" s="349"/>
      <c r="Q393" s="349"/>
      <c r="R393" s="349"/>
      <c r="S393" s="349"/>
      <c r="T393" s="349"/>
    </row>
    <row r="394" spans="1:20" s="111" customFormat="1" ht="24.75" thickBot="1" x14ac:dyDescent="0.3">
      <c r="A394" s="111" t="s">
        <v>813</v>
      </c>
      <c r="B394" s="362">
        <f>B277</f>
        <v>5</v>
      </c>
      <c r="C394" s="404" t="str">
        <f>C277</f>
        <v>BOISSONNAT Guillaume</v>
      </c>
      <c r="D394" s="405">
        <f t="shared" ref="D394" si="761">R277</f>
        <v>118.72911717220083</v>
      </c>
      <c r="E394" s="406">
        <f t="shared" ref="E394" si="762">S277</f>
        <v>651.58800000000019</v>
      </c>
      <c r="F394" s="405">
        <f t="shared" ref="F394" si="763">T277</f>
        <v>77362.468000000023</v>
      </c>
      <c r="G394" s="413"/>
      <c r="H394" s="404" t="str">
        <f t="shared" ref="H394" si="764">C90</f>
        <v>BOISSONNAT</v>
      </c>
      <c r="I394" s="407" t="str">
        <f t="shared" ref="I394" si="765">D90</f>
        <v>Guillaume</v>
      </c>
      <c r="J394" s="407" t="str">
        <f>E277</f>
        <v>Doctorat Chimie moleculaire- Université Paris VI</v>
      </c>
      <c r="K394" s="407" t="str">
        <f>D277</f>
        <v>Ingénieur Recherche</v>
      </c>
      <c r="L394" s="349"/>
      <c r="M394" s="349"/>
      <c r="N394" s="349"/>
      <c r="O394" s="349" t="s">
        <v>770</v>
      </c>
      <c r="P394" s="349"/>
      <c r="Q394" s="349"/>
      <c r="R394" s="349"/>
      <c r="S394" s="349"/>
      <c r="T394" s="349"/>
    </row>
    <row r="395" spans="1:20" s="111" customFormat="1" ht="24.75" thickBot="1" x14ac:dyDescent="0.3">
      <c r="A395" s="111" t="s">
        <v>813</v>
      </c>
      <c r="B395" s="362">
        <f>B277</f>
        <v>5</v>
      </c>
      <c r="C395" s="404" t="str">
        <f>C277</f>
        <v>BOISSONNAT Guillaume</v>
      </c>
      <c r="D395" s="405">
        <f t="shared" ref="D395" si="766">R277</f>
        <v>118.72911717220083</v>
      </c>
      <c r="E395" s="406">
        <f t="shared" ref="E395" si="767">S277</f>
        <v>651.58800000000019</v>
      </c>
      <c r="F395" s="405">
        <f t="shared" ref="F395" si="768">T277</f>
        <v>77362.468000000023</v>
      </c>
      <c r="G395" s="413"/>
      <c r="H395" s="404" t="str">
        <f t="shared" ref="H395" si="769">C90</f>
        <v>BOISSONNAT</v>
      </c>
      <c r="I395" s="407" t="str">
        <f t="shared" ref="I395" si="770">D90</f>
        <v>Guillaume</v>
      </c>
      <c r="J395" s="407" t="str">
        <f>E277</f>
        <v>Doctorat Chimie moleculaire- Université Paris VI</v>
      </c>
      <c r="K395" s="407" t="str">
        <f>D277</f>
        <v>Ingénieur Recherche</v>
      </c>
      <c r="L395" s="349"/>
      <c r="M395" s="349"/>
      <c r="N395" s="349"/>
      <c r="O395" s="349" t="s">
        <v>770</v>
      </c>
      <c r="P395" s="349"/>
      <c r="Q395" s="349"/>
      <c r="R395" s="349"/>
      <c r="S395" s="349"/>
      <c r="T395" s="349"/>
    </row>
    <row r="396" spans="1:20" s="111" customFormat="1" ht="24.75" thickBot="1" x14ac:dyDescent="0.3">
      <c r="A396" s="111" t="s">
        <v>813</v>
      </c>
      <c r="B396" s="362">
        <f>B277</f>
        <v>5</v>
      </c>
      <c r="C396" s="404" t="str">
        <f>C277</f>
        <v>BOISSONNAT Guillaume</v>
      </c>
      <c r="D396" s="405">
        <f t="shared" ref="D396" si="771">R277</f>
        <v>118.72911717220083</v>
      </c>
      <c r="E396" s="406">
        <f t="shared" ref="E396" si="772">S277</f>
        <v>651.58800000000019</v>
      </c>
      <c r="F396" s="405">
        <f t="shared" ref="F396" si="773">T277</f>
        <v>77362.468000000023</v>
      </c>
      <c r="G396" s="413"/>
      <c r="H396" s="404" t="str">
        <f t="shared" ref="H396" si="774">C90</f>
        <v>BOISSONNAT</v>
      </c>
      <c r="I396" s="407" t="str">
        <f t="shared" ref="I396" si="775">D90</f>
        <v>Guillaume</v>
      </c>
      <c r="J396" s="407" t="str">
        <f>E277</f>
        <v>Doctorat Chimie moleculaire- Université Paris VI</v>
      </c>
      <c r="K396" s="407" t="str">
        <f>D277</f>
        <v>Ingénieur Recherche</v>
      </c>
      <c r="L396" s="349"/>
      <c r="M396" s="349"/>
      <c r="N396" s="349"/>
      <c r="O396" s="349" t="s">
        <v>770</v>
      </c>
      <c r="P396" s="349"/>
      <c r="Q396" s="349"/>
      <c r="R396" s="349"/>
      <c r="S396" s="349"/>
      <c r="T396" s="349"/>
    </row>
    <row r="397" spans="1:20" s="111" customFormat="1" ht="24.75" thickBot="1" x14ac:dyDescent="0.3">
      <c r="A397" s="111" t="s">
        <v>813</v>
      </c>
      <c r="B397" s="362">
        <f>B277</f>
        <v>5</v>
      </c>
      <c r="C397" s="404" t="str">
        <f>C277</f>
        <v>BOISSONNAT Guillaume</v>
      </c>
      <c r="D397" s="405">
        <f t="shared" ref="D397" si="776">R277</f>
        <v>118.72911717220083</v>
      </c>
      <c r="E397" s="406">
        <f t="shared" ref="E397" si="777">S277</f>
        <v>651.58800000000019</v>
      </c>
      <c r="F397" s="405">
        <f t="shared" ref="F397" si="778">T277</f>
        <v>77362.468000000023</v>
      </c>
      <c r="G397" s="413"/>
      <c r="H397" s="404" t="str">
        <f t="shared" ref="H397" si="779">C90</f>
        <v>BOISSONNAT</v>
      </c>
      <c r="I397" s="407" t="str">
        <f t="shared" ref="I397" si="780">D90</f>
        <v>Guillaume</v>
      </c>
      <c r="J397" s="407" t="str">
        <f>E277</f>
        <v>Doctorat Chimie moleculaire- Université Paris VI</v>
      </c>
      <c r="K397" s="407" t="str">
        <f>D277</f>
        <v>Ingénieur Recherche</v>
      </c>
      <c r="L397" s="349"/>
      <c r="M397" s="349"/>
      <c r="N397" s="349"/>
      <c r="O397" s="349" t="s">
        <v>770</v>
      </c>
      <c r="P397" s="349"/>
      <c r="Q397" s="349"/>
      <c r="R397" s="349"/>
      <c r="S397" s="349"/>
      <c r="T397" s="349"/>
    </row>
    <row r="398" spans="1:20" s="111" customFormat="1" ht="24.75" thickBot="1" x14ac:dyDescent="0.3">
      <c r="A398" s="111" t="s">
        <v>813</v>
      </c>
      <c r="B398" s="362">
        <f>B277</f>
        <v>5</v>
      </c>
      <c r="C398" s="404" t="str">
        <f>C277</f>
        <v>BOISSONNAT Guillaume</v>
      </c>
      <c r="D398" s="405">
        <f t="shared" ref="D398" si="781">R277</f>
        <v>118.72911717220083</v>
      </c>
      <c r="E398" s="406">
        <f t="shared" ref="E398" si="782">S277</f>
        <v>651.58800000000019</v>
      </c>
      <c r="F398" s="405">
        <f t="shared" ref="F398" si="783">T277</f>
        <v>77362.468000000023</v>
      </c>
      <c r="G398" s="413"/>
      <c r="H398" s="404" t="str">
        <f t="shared" ref="H398" si="784">C90</f>
        <v>BOISSONNAT</v>
      </c>
      <c r="I398" s="407" t="str">
        <f t="shared" ref="I398" si="785">D90</f>
        <v>Guillaume</v>
      </c>
      <c r="J398" s="407" t="str">
        <f>E277</f>
        <v>Doctorat Chimie moleculaire- Université Paris VI</v>
      </c>
      <c r="K398" s="407" t="str">
        <f>D277</f>
        <v>Ingénieur Recherche</v>
      </c>
      <c r="L398" s="349"/>
      <c r="M398" s="349"/>
      <c r="N398" s="349"/>
      <c r="O398" s="349" t="s">
        <v>770</v>
      </c>
      <c r="P398" s="349"/>
      <c r="Q398" s="349"/>
      <c r="R398" s="349"/>
      <c r="S398" s="349"/>
      <c r="T398" s="349"/>
    </row>
    <row r="399" spans="1:20" s="111" customFormat="1" ht="24.75" thickBot="1" x14ac:dyDescent="0.3">
      <c r="A399" s="111" t="s">
        <v>813</v>
      </c>
      <c r="B399" s="362">
        <f>B277</f>
        <v>5</v>
      </c>
      <c r="C399" s="404" t="str">
        <f>C277</f>
        <v>BOISSONNAT Guillaume</v>
      </c>
      <c r="D399" s="405">
        <f t="shared" ref="D399" si="786">R277</f>
        <v>118.72911717220083</v>
      </c>
      <c r="E399" s="406">
        <f t="shared" ref="E399" si="787">S277</f>
        <v>651.58800000000019</v>
      </c>
      <c r="F399" s="405">
        <f t="shared" ref="F399" si="788">T277</f>
        <v>77362.468000000023</v>
      </c>
      <c r="G399" s="413"/>
      <c r="H399" s="404" t="str">
        <f t="shared" ref="H399" si="789">C90</f>
        <v>BOISSONNAT</v>
      </c>
      <c r="I399" s="407" t="str">
        <f t="shared" ref="I399" si="790">D90</f>
        <v>Guillaume</v>
      </c>
      <c r="J399" s="407" t="str">
        <f>E277</f>
        <v>Doctorat Chimie moleculaire- Université Paris VI</v>
      </c>
      <c r="K399" s="407" t="str">
        <f>D277</f>
        <v>Ingénieur Recherche</v>
      </c>
      <c r="L399" s="349"/>
      <c r="M399" s="349"/>
      <c r="N399" s="349"/>
      <c r="O399" s="349" t="s">
        <v>770</v>
      </c>
      <c r="P399" s="349"/>
      <c r="Q399" s="349"/>
      <c r="R399" s="349"/>
      <c r="S399" s="349"/>
      <c r="T399" s="349"/>
    </row>
    <row r="400" spans="1:20" s="111" customFormat="1" ht="24.75" thickBot="1" x14ac:dyDescent="0.3">
      <c r="A400" s="111" t="s">
        <v>813</v>
      </c>
      <c r="B400" s="362">
        <f>B277</f>
        <v>5</v>
      </c>
      <c r="C400" s="404" t="str">
        <f>C277</f>
        <v>BOISSONNAT Guillaume</v>
      </c>
      <c r="D400" s="405">
        <f t="shared" ref="D400" si="791">R277</f>
        <v>118.72911717220083</v>
      </c>
      <c r="E400" s="406">
        <f t="shared" ref="E400" si="792">S277</f>
        <v>651.58800000000019</v>
      </c>
      <c r="F400" s="405">
        <f t="shared" ref="F400" si="793">T277</f>
        <v>77362.468000000023</v>
      </c>
      <c r="G400" s="413"/>
      <c r="H400" s="404" t="str">
        <f t="shared" ref="H400" si="794">C90</f>
        <v>BOISSONNAT</v>
      </c>
      <c r="I400" s="407" t="str">
        <f t="shared" ref="I400" si="795">D90</f>
        <v>Guillaume</v>
      </c>
      <c r="J400" s="407" t="str">
        <f>E277</f>
        <v>Doctorat Chimie moleculaire- Université Paris VI</v>
      </c>
      <c r="K400" s="407" t="str">
        <f>D277</f>
        <v>Ingénieur Recherche</v>
      </c>
      <c r="L400" s="349"/>
      <c r="M400" s="349"/>
      <c r="N400" s="349"/>
      <c r="O400" s="349" t="s">
        <v>770</v>
      </c>
      <c r="P400" s="349"/>
      <c r="Q400" s="349"/>
      <c r="R400" s="349"/>
      <c r="S400" s="349"/>
      <c r="T400" s="349"/>
    </row>
    <row r="401" spans="1:20" s="111" customFormat="1" ht="24.75" thickBot="1" x14ac:dyDescent="0.3">
      <c r="A401" s="111" t="s">
        <v>813</v>
      </c>
      <c r="B401" s="362">
        <f>B277</f>
        <v>5</v>
      </c>
      <c r="C401" s="404" t="str">
        <f>C277</f>
        <v>BOISSONNAT Guillaume</v>
      </c>
      <c r="D401" s="405">
        <f t="shared" ref="D401" si="796">R277</f>
        <v>118.72911717220083</v>
      </c>
      <c r="E401" s="406">
        <f t="shared" ref="E401" si="797">S277</f>
        <v>651.58800000000019</v>
      </c>
      <c r="F401" s="405">
        <f t="shared" ref="F401" si="798">T277</f>
        <v>77362.468000000023</v>
      </c>
      <c r="G401" s="413"/>
      <c r="H401" s="404" t="str">
        <f t="shared" ref="H401" si="799">C90</f>
        <v>BOISSONNAT</v>
      </c>
      <c r="I401" s="407" t="str">
        <f t="shared" ref="I401" si="800">D90</f>
        <v>Guillaume</v>
      </c>
      <c r="J401" s="407" t="str">
        <f>E277</f>
        <v>Doctorat Chimie moleculaire- Université Paris VI</v>
      </c>
      <c r="K401" s="407" t="str">
        <f>D277</f>
        <v>Ingénieur Recherche</v>
      </c>
      <c r="L401" s="349"/>
      <c r="M401" s="349"/>
      <c r="N401" s="349"/>
      <c r="O401" s="349" t="s">
        <v>770</v>
      </c>
      <c r="P401" s="349"/>
      <c r="Q401" s="349"/>
      <c r="R401" s="349"/>
      <c r="S401" s="349"/>
      <c r="T401" s="349"/>
    </row>
    <row r="402" spans="1:20" s="111" customFormat="1" ht="24.75" thickBot="1" x14ac:dyDescent="0.3">
      <c r="A402" s="111" t="s">
        <v>813</v>
      </c>
      <c r="B402" s="362">
        <f>B277</f>
        <v>5</v>
      </c>
      <c r="C402" s="404" t="str">
        <f>C277</f>
        <v>BOISSONNAT Guillaume</v>
      </c>
      <c r="D402" s="405">
        <f t="shared" ref="D402" si="801">R277</f>
        <v>118.72911717220083</v>
      </c>
      <c r="E402" s="406">
        <f t="shared" ref="E402" si="802">S277</f>
        <v>651.58800000000019</v>
      </c>
      <c r="F402" s="405">
        <f t="shared" ref="F402" si="803">T277</f>
        <v>77362.468000000023</v>
      </c>
      <c r="G402" s="413"/>
      <c r="H402" s="404" t="str">
        <f t="shared" ref="H402" si="804">C90</f>
        <v>BOISSONNAT</v>
      </c>
      <c r="I402" s="407" t="str">
        <f t="shared" ref="I402" si="805">D90</f>
        <v>Guillaume</v>
      </c>
      <c r="J402" s="407" t="str">
        <f>E277</f>
        <v>Doctorat Chimie moleculaire- Université Paris VI</v>
      </c>
      <c r="K402" s="407" t="str">
        <f>D277</f>
        <v>Ingénieur Recherche</v>
      </c>
      <c r="L402" s="349"/>
      <c r="M402" s="349"/>
      <c r="N402" s="349"/>
      <c r="O402" s="349" t="s">
        <v>770</v>
      </c>
      <c r="P402" s="349"/>
      <c r="Q402" s="349"/>
      <c r="R402" s="349"/>
      <c r="S402" s="349"/>
      <c r="T402" s="349"/>
    </row>
    <row r="403" spans="1:20" s="111" customFormat="1" ht="24.75" thickBot="1" x14ac:dyDescent="0.3">
      <c r="A403" s="111" t="s">
        <v>813</v>
      </c>
      <c r="B403" s="362">
        <f>B277</f>
        <v>5</v>
      </c>
      <c r="C403" s="404" t="str">
        <f>C277</f>
        <v>BOISSONNAT Guillaume</v>
      </c>
      <c r="D403" s="405">
        <f t="shared" ref="D403" si="806">R277</f>
        <v>118.72911717220083</v>
      </c>
      <c r="E403" s="406">
        <f t="shared" ref="E403" si="807">S277</f>
        <v>651.58800000000019</v>
      </c>
      <c r="F403" s="405">
        <f t="shared" ref="F403" si="808">T277</f>
        <v>77362.468000000023</v>
      </c>
      <c r="G403" s="413"/>
      <c r="H403" s="404" t="str">
        <f t="shared" ref="H403" si="809">C90</f>
        <v>BOISSONNAT</v>
      </c>
      <c r="I403" s="407" t="str">
        <f t="shared" ref="I403" si="810">D90</f>
        <v>Guillaume</v>
      </c>
      <c r="J403" s="407" t="str">
        <f>E277</f>
        <v>Doctorat Chimie moleculaire- Université Paris VI</v>
      </c>
      <c r="K403" s="407" t="str">
        <f>D277</f>
        <v>Ingénieur Recherche</v>
      </c>
      <c r="L403" s="349"/>
      <c r="M403" s="349"/>
      <c r="N403" s="349"/>
      <c r="O403" s="349" t="s">
        <v>770</v>
      </c>
      <c r="P403" s="349"/>
      <c r="Q403" s="349"/>
      <c r="R403" s="349"/>
      <c r="S403" s="349"/>
      <c r="T403" s="349"/>
    </row>
    <row r="404" spans="1:20" s="111" customFormat="1" ht="24.75" thickBot="1" x14ac:dyDescent="0.3">
      <c r="A404" s="111" t="s">
        <v>813</v>
      </c>
      <c r="B404" s="362">
        <f>B277</f>
        <v>5</v>
      </c>
      <c r="C404" s="404" t="str">
        <f>C277</f>
        <v>BOISSONNAT Guillaume</v>
      </c>
      <c r="D404" s="405">
        <f t="shared" ref="D404" si="811">R277</f>
        <v>118.72911717220083</v>
      </c>
      <c r="E404" s="406">
        <f t="shared" ref="E404" si="812">S277</f>
        <v>651.58800000000019</v>
      </c>
      <c r="F404" s="405">
        <f t="shared" ref="F404" si="813">T277</f>
        <v>77362.468000000023</v>
      </c>
      <c r="G404" s="413"/>
      <c r="H404" s="404" t="str">
        <f t="shared" ref="H404" si="814">C90</f>
        <v>BOISSONNAT</v>
      </c>
      <c r="I404" s="407" t="str">
        <f t="shared" ref="I404" si="815">D90</f>
        <v>Guillaume</v>
      </c>
      <c r="J404" s="407" t="str">
        <f>E277</f>
        <v>Doctorat Chimie moleculaire- Université Paris VI</v>
      </c>
      <c r="K404" s="407" t="str">
        <f>D277</f>
        <v>Ingénieur Recherche</v>
      </c>
      <c r="L404" s="349"/>
      <c r="M404" s="349"/>
      <c r="N404" s="349"/>
      <c r="O404" s="349" t="s">
        <v>770</v>
      </c>
      <c r="P404" s="349"/>
      <c r="Q404" s="349"/>
      <c r="R404" s="349"/>
      <c r="S404" s="349"/>
      <c r="T404" s="349"/>
    </row>
    <row r="405" spans="1:20" s="111" customFormat="1" ht="24.75" thickBot="1" x14ac:dyDescent="0.3">
      <c r="A405" s="111" t="s">
        <v>813</v>
      </c>
      <c r="B405" s="362">
        <f>B277</f>
        <v>5</v>
      </c>
      <c r="C405" s="404" t="str">
        <f>C277</f>
        <v>BOISSONNAT Guillaume</v>
      </c>
      <c r="D405" s="405">
        <f t="shared" ref="D405" si="816">R277</f>
        <v>118.72911717220083</v>
      </c>
      <c r="E405" s="406">
        <f t="shared" ref="E405" si="817">S277</f>
        <v>651.58800000000019</v>
      </c>
      <c r="F405" s="405">
        <f t="shared" ref="F405" si="818">T277</f>
        <v>77362.468000000023</v>
      </c>
      <c r="G405" s="413"/>
      <c r="H405" s="404" t="str">
        <f t="shared" ref="H405" si="819">C90</f>
        <v>BOISSONNAT</v>
      </c>
      <c r="I405" s="407" t="str">
        <f t="shared" ref="I405" si="820">D90</f>
        <v>Guillaume</v>
      </c>
      <c r="J405" s="407" t="str">
        <f>E277</f>
        <v>Doctorat Chimie moleculaire- Université Paris VI</v>
      </c>
      <c r="K405" s="407" t="str">
        <f>D277</f>
        <v>Ingénieur Recherche</v>
      </c>
      <c r="L405" s="349"/>
      <c r="M405" s="349"/>
      <c r="N405" s="349"/>
      <c r="O405" s="349" t="s">
        <v>770</v>
      </c>
      <c r="P405" s="349"/>
      <c r="Q405" s="349"/>
      <c r="R405" s="349"/>
      <c r="S405" s="349"/>
      <c r="T405" s="349"/>
    </row>
    <row r="406" spans="1:20" s="111" customFormat="1" ht="24.75" thickBot="1" x14ac:dyDescent="0.3">
      <c r="A406" s="111" t="s">
        <v>813</v>
      </c>
      <c r="B406" s="362">
        <f>B277</f>
        <v>5</v>
      </c>
      <c r="C406" s="404" t="str">
        <f>C277</f>
        <v>BOISSONNAT Guillaume</v>
      </c>
      <c r="D406" s="405">
        <f t="shared" ref="D406" si="821">R277</f>
        <v>118.72911717220083</v>
      </c>
      <c r="E406" s="406">
        <f t="shared" ref="E406" si="822">S277</f>
        <v>651.58800000000019</v>
      </c>
      <c r="F406" s="405">
        <f t="shared" ref="F406" si="823">T277</f>
        <v>77362.468000000023</v>
      </c>
      <c r="G406" s="413"/>
      <c r="H406" s="404" t="str">
        <f t="shared" ref="H406" si="824">C90</f>
        <v>BOISSONNAT</v>
      </c>
      <c r="I406" s="407" t="str">
        <f t="shared" ref="I406" si="825">D90</f>
        <v>Guillaume</v>
      </c>
      <c r="J406" s="407" t="str">
        <f>E277</f>
        <v>Doctorat Chimie moleculaire- Université Paris VI</v>
      </c>
      <c r="K406" s="407" t="str">
        <f>D277</f>
        <v>Ingénieur Recherche</v>
      </c>
      <c r="L406" s="349"/>
      <c r="M406" s="349"/>
      <c r="N406" s="349"/>
      <c r="O406" s="349" t="s">
        <v>770</v>
      </c>
      <c r="P406" s="349"/>
      <c r="Q406" s="349"/>
      <c r="R406" s="349"/>
      <c r="S406" s="349"/>
      <c r="T406" s="349"/>
    </row>
    <row r="407" spans="1:20" s="111" customFormat="1" ht="24.75" thickBot="1" x14ac:dyDescent="0.3">
      <c r="A407" s="111" t="s">
        <v>813</v>
      </c>
      <c r="B407" s="362">
        <f>B277</f>
        <v>5</v>
      </c>
      <c r="C407" s="404" t="str">
        <f>C277</f>
        <v>BOISSONNAT Guillaume</v>
      </c>
      <c r="D407" s="405">
        <f t="shared" ref="D407" si="826">R277</f>
        <v>118.72911717220083</v>
      </c>
      <c r="E407" s="406">
        <f t="shared" ref="E407" si="827">S277</f>
        <v>651.58800000000019</v>
      </c>
      <c r="F407" s="405">
        <f t="shared" ref="F407" si="828">T277</f>
        <v>77362.468000000023</v>
      </c>
      <c r="G407" s="413"/>
      <c r="H407" s="404" t="str">
        <f t="shared" ref="H407" si="829">C90</f>
        <v>BOISSONNAT</v>
      </c>
      <c r="I407" s="407" t="str">
        <f t="shared" ref="I407" si="830">D90</f>
        <v>Guillaume</v>
      </c>
      <c r="J407" s="407" t="str">
        <f>E277</f>
        <v>Doctorat Chimie moleculaire- Université Paris VI</v>
      </c>
      <c r="K407" s="407" t="str">
        <f>D277</f>
        <v>Ingénieur Recherche</v>
      </c>
      <c r="L407" s="349"/>
      <c r="M407" s="349"/>
      <c r="N407" s="349"/>
      <c r="O407" s="349" t="s">
        <v>770</v>
      </c>
      <c r="P407" s="349"/>
      <c r="Q407" s="349"/>
      <c r="R407" s="349"/>
      <c r="S407" s="349"/>
      <c r="T407" s="349"/>
    </row>
    <row r="408" spans="1:20" s="111" customFormat="1" ht="24.75" thickBot="1" x14ac:dyDescent="0.3">
      <c r="A408" s="111" t="s">
        <v>813</v>
      </c>
      <c r="B408" s="362">
        <f>B274</f>
        <v>1</v>
      </c>
      <c r="C408" s="404" t="str">
        <f>C274</f>
        <v>AMILLASTRE Emilie</v>
      </c>
      <c r="D408" s="405">
        <f t="shared" ref="D408:F408" si="831">R274</f>
        <v>51.165673195193484</v>
      </c>
      <c r="E408" s="406">
        <f t="shared" si="831"/>
        <v>1481.320000000002</v>
      </c>
      <c r="F408" s="405">
        <f t="shared" si="831"/>
        <v>75792.735017504121</v>
      </c>
      <c r="G408" s="413"/>
      <c r="H408" s="404" t="str">
        <f t="shared" ref="H408" si="832">C87</f>
        <v>AMILLASTRE</v>
      </c>
      <c r="I408" s="407" t="str">
        <f t="shared" ref="I408" si="833">D87</f>
        <v>Emilie</v>
      </c>
      <c r="J408" s="407" t="str">
        <f>E274</f>
        <v>Doctorat - INSA Toulouse</v>
      </c>
      <c r="K408" s="407" t="str">
        <f>D274</f>
        <v>Experte Bioprocédés</v>
      </c>
      <c r="L408" s="349"/>
      <c r="M408" s="349"/>
      <c r="N408" s="349"/>
      <c r="O408" s="349" t="s">
        <v>770</v>
      </c>
      <c r="P408" s="349"/>
      <c r="Q408" s="349"/>
      <c r="R408" s="349"/>
      <c r="S408" s="349"/>
      <c r="T408" s="349"/>
    </row>
    <row r="409" spans="1:20" s="111" customFormat="1" ht="15.75" thickBot="1" x14ac:dyDescent="0.3">
      <c r="A409" s="111" t="s">
        <v>813</v>
      </c>
      <c r="B409" s="362" t="e">
        <f>B275</f>
        <v>#REF!</v>
      </c>
      <c r="C409" s="404" t="e">
        <f>C275</f>
        <v>#REF!</v>
      </c>
      <c r="D409" s="405" t="e">
        <f t="shared" ref="D409" si="834">R275</f>
        <v>#REF!</v>
      </c>
      <c r="E409" s="406" t="e">
        <f t="shared" ref="E409" si="835">S275</f>
        <v>#REF!</v>
      </c>
      <c r="F409" s="405" t="e">
        <f t="shared" ref="F409" si="836">T275</f>
        <v>#REF!</v>
      </c>
      <c r="G409" s="413"/>
      <c r="H409" s="404" t="e">
        <f t="shared" ref="H409" si="837">C88</f>
        <v>#REF!</v>
      </c>
      <c r="I409" s="407" t="e">
        <f t="shared" ref="I409" si="838">D88</f>
        <v>#REF!</v>
      </c>
      <c r="J409" s="407" t="e">
        <f>E275</f>
        <v>#REF!</v>
      </c>
      <c r="K409" s="407" t="e">
        <f>D275</f>
        <v>#REF!</v>
      </c>
      <c r="L409" s="349"/>
      <c r="M409" s="349"/>
      <c r="N409" s="349"/>
      <c r="O409" s="349" t="s">
        <v>770</v>
      </c>
      <c r="P409" s="349"/>
      <c r="Q409" s="349"/>
      <c r="R409" s="349"/>
      <c r="S409" s="349"/>
      <c r="T409" s="349"/>
    </row>
    <row r="410" spans="1:20" s="111" customFormat="1" ht="15.75" thickBot="1" x14ac:dyDescent="0.3">
      <c r="A410" s="111" t="s">
        <v>813</v>
      </c>
      <c r="B410" s="362" t="e">
        <f>B275</f>
        <v>#REF!</v>
      </c>
      <c r="C410" s="404" t="e">
        <f>C275</f>
        <v>#REF!</v>
      </c>
      <c r="D410" s="405" t="e">
        <f t="shared" ref="D410" si="839">R275</f>
        <v>#REF!</v>
      </c>
      <c r="E410" s="406" t="e">
        <f t="shared" ref="E410" si="840">S275</f>
        <v>#REF!</v>
      </c>
      <c r="F410" s="405" t="e">
        <f t="shared" ref="F410" si="841">T275</f>
        <v>#REF!</v>
      </c>
      <c r="G410" s="413"/>
      <c r="H410" s="404" t="e">
        <f t="shared" ref="H410" si="842">C88</f>
        <v>#REF!</v>
      </c>
      <c r="I410" s="407" t="e">
        <f t="shared" ref="I410" si="843">D88</f>
        <v>#REF!</v>
      </c>
      <c r="J410" s="407" t="e">
        <f>E275</f>
        <v>#REF!</v>
      </c>
      <c r="K410" s="407" t="e">
        <f>D275</f>
        <v>#REF!</v>
      </c>
      <c r="L410" s="349"/>
      <c r="M410" s="349"/>
      <c r="N410" s="349"/>
      <c r="O410" s="349" t="s">
        <v>770</v>
      </c>
      <c r="P410" s="349"/>
      <c r="Q410" s="349"/>
      <c r="R410" s="349"/>
      <c r="S410" s="349"/>
      <c r="T410" s="349"/>
    </row>
    <row r="411" spans="1:20" s="111" customFormat="1" ht="15.75" thickBot="1" x14ac:dyDescent="0.3">
      <c r="A411" s="111" t="s">
        <v>813</v>
      </c>
      <c r="B411" s="362" t="e">
        <f>B275</f>
        <v>#REF!</v>
      </c>
      <c r="C411" s="404" t="e">
        <f>C275</f>
        <v>#REF!</v>
      </c>
      <c r="D411" s="405" t="e">
        <f t="shared" ref="D411" si="844">R275</f>
        <v>#REF!</v>
      </c>
      <c r="E411" s="406" t="e">
        <f t="shared" ref="E411" si="845">S275</f>
        <v>#REF!</v>
      </c>
      <c r="F411" s="405" t="e">
        <f t="shared" ref="F411" si="846">T275</f>
        <v>#REF!</v>
      </c>
      <c r="G411" s="413"/>
      <c r="H411" s="404" t="e">
        <f t="shared" ref="H411" si="847">C88</f>
        <v>#REF!</v>
      </c>
      <c r="I411" s="407" t="e">
        <f t="shared" ref="I411" si="848">D88</f>
        <v>#REF!</v>
      </c>
      <c r="J411" s="407" t="e">
        <f>E275</f>
        <v>#REF!</v>
      </c>
      <c r="K411" s="407" t="e">
        <f>D275</f>
        <v>#REF!</v>
      </c>
      <c r="L411" s="349"/>
      <c r="M411" s="349"/>
      <c r="N411" s="349"/>
      <c r="O411" s="349" t="s">
        <v>770</v>
      </c>
      <c r="P411" s="349"/>
      <c r="Q411" s="349"/>
      <c r="R411" s="349"/>
      <c r="S411" s="349"/>
      <c r="T411" s="349"/>
    </row>
    <row r="412" spans="1:20" s="111" customFormat="1" ht="15.75" thickBot="1" x14ac:dyDescent="0.3">
      <c r="A412" s="111" t="s">
        <v>813</v>
      </c>
      <c r="B412" s="362" t="e">
        <f>B275</f>
        <v>#REF!</v>
      </c>
      <c r="C412" s="404" t="e">
        <f>C275</f>
        <v>#REF!</v>
      </c>
      <c r="D412" s="405" t="e">
        <f t="shared" ref="D412" si="849">R275</f>
        <v>#REF!</v>
      </c>
      <c r="E412" s="406" t="e">
        <f t="shared" ref="E412" si="850">S275</f>
        <v>#REF!</v>
      </c>
      <c r="F412" s="405" t="e">
        <f t="shared" ref="F412" si="851">T275</f>
        <v>#REF!</v>
      </c>
      <c r="G412" s="413"/>
      <c r="H412" s="404" t="e">
        <f t="shared" ref="H412" si="852">C88</f>
        <v>#REF!</v>
      </c>
      <c r="I412" s="407" t="e">
        <f t="shared" ref="I412" si="853">D88</f>
        <v>#REF!</v>
      </c>
      <c r="J412" s="407" t="e">
        <f>E275</f>
        <v>#REF!</v>
      </c>
      <c r="K412" s="407" t="e">
        <f>D275</f>
        <v>#REF!</v>
      </c>
      <c r="L412" s="349"/>
      <c r="M412" s="349"/>
      <c r="N412" s="349"/>
      <c r="O412" s="349" t="s">
        <v>770</v>
      </c>
      <c r="P412" s="349"/>
      <c r="Q412" s="349"/>
      <c r="R412" s="349"/>
      <c r="S412" s="349"/>
      <c r="T412" s="349"/>
    </row>
    <row r="413" spans="1:20" s="111" customFormat="1" ht="15.75" thickBot="1" x14ac:dyDescent="0.3">
      <c r="A413" s="111" t="s">
        <v>813</v>
      </c>
      <c r="B413" s="362" t="e">
        <f>B275</f>
        <v>#REF!</v>
      </c>
      <c r="C413" s="404" t="e">
        <f>C275</f>
        <v>#REF!</v>
      </c>
      <c r="D413" s="405" t="e">
        <f t="shared" ref="D413" si="854">R275</f>
        <v>#REF!</v>
      </c>
      <c r="E413" s="406" t="e">
        <f t="shared" ref="E413" si="855">S275</f>
        <v>#REF!</v>
      </c>
      <c r="F413" s="405" t="e">
        <f t="shared" ref="F413" si="856">T275</f>
        <v>#REF!</v>
      </c>
      <c r="G413" s="413"/>
      <c r="H413" s="404" t="e">
        <f t="shared" ref="H413" si="857">C88</f>
        <v>#REF!</v>
      </c>
      <c r="I413" s="407" t="e">
        <f t="shared" ref="I413" si="858">D88</f>
        <v>#REF!</v>
      </c>
      <c r="J413" s="407" t="e">
        <f>E275</f>
        <v>#REF!</v>
      </c>
      <c r="K413" s="407" t="e">
        <f>D275</f>
        <v>#REF!</v>
      </c>
      <c r="L413" s="349"/>
      <c r="M413" s="349"/>
      <c r="N413" s="349"/>
      <c r="O413" s="349" t="s">
        <v>770</v>
      </c>
      <c r="P413" s="349"/>
      <c r="Q413" s="349"/>
      <c r="R413" s="349"/>
      <c r="S413" s="349"/>
      <c r="T413" s="349"/>
    </row>
    <row r="414" spans="1:20" s="111" customFormat="1" ht="15.75" thickBot="1" x14ac:dyDescent="0.3">
      <c r="A414" s="111" t="s">
        <v>813</v>
      </c>
      <c r="B414" s="362" t="e">
        <f>B275</f>
        <v>#REF!</v>
      </c>
      <c r="C414" s="404" t="e">
        <f>C275</f>
        <v>#REF!</v>
      </c>
      <c r="D414" s="405" t="e">
        <f t="shared" ref="D414" si="859">R275</f>
        <v>#REF!</v>
      </c>
      <c r="E414" s="406" t="e">
        <f t="shared" ref="E414" si="860">S275</f>
        <v>#REF!</v>
      </c>
      <c r="F414" s="405" t="e">
        <f t="shared" ref="F414" si="861">T275</f>
        <v>#REF!</v>
      </c>
      <c r="G414" s="413"/>
      <c r="H414" s="404" t="e">
        <f t="shared" ref="H414" si="862">C88</f>
        <v>#REF!</v>
      </c>
      <c r="I414" s="407" t="e">
        <f t="shared" ref="I414" si="863">D88</f>
        <v>#REF!</v>
      </c>
      <c r="J414" s="407" t="e">
        <f>E275</f>
        <v>#REF!</v>
      </c>
      <c r="K414" s="407" t="e">
        <f>D275</f>
        <v>#REF!</v>
      </c>
      <c r="L414" s="349"/>
      <c r="M414" s="349"/>
      <c r="N414" s="349"/>
      <c r="O414" s="349" t="s">
        <v>770</v>
      </c>
      <c r="P414" s="349"/>
      <c r="Q414" s="349"/>
      <c r="R414" s="349"/>
      <c r="S414" s="349"/>
      <c r="T414" s="349"/>
    </row>
    <row r="415" spans="1:20" s="111" customFormat="1" ht="15.75" thickBot="1" x14ac:dyDescent="0.3">
      <c r="A415" s="111" t="s">
        <v>813</v>
      </c>
      <c r="B415" s="362" t="e">
        <f>B275</f>
        <v>#REF!</v>
      </c>
      <c r="C415" s="404" t="e">
        <f>C275</f>
        <v>#REF!</v>
      </c>
      <c r="D415" s="405" t="e">
        <f t="shared" ref="D415" si="864">R275</f>
        <v>#REF!</v>
      </c>
      <c r="E415" s="406" t="e">
        <f t="shared" ref="E415" si="865">S275</f>
        <v>#REF!</v>
      </c>
      <c r="F415" s="405" t="e">
        <f t="shared" ref="F415" si="866">T275</f>
        <v>#REF!</v>
      </c>
      <c r="G415" s="413"/>
      <c r="H415" s="404" t="e">
        <f t="shared" ref="H415" si="867">C88</f>
        <v>#REF!</v>
      </c>
      <c r="I415" s="407" t="e">
        <f t="shared" ref="I415" si="868">D88</f>
        <v>#REF!</v>
      </c>
      <c r="J415" s="407" t="e">
        <f>E275</f>
        <v>#REF!</v>
      </c>
      <c r="K415" s="407" t="e">
        <f>D275</f>
        <v>#REF!</v>
      </c>
      <c r="L415" s="349"/>
      <c r="M415" s="349"/>
      <c r="N415" s="349"/>
      <c r="O415" s="349" t="s">
        <v>770</v>
      </c>
      <c r="P415" s="349"/>
      <c r="Q415" s="349"/>
      <c r="R415" s="349"/>
      <c r="S415" s="349"/>
      <c r="T415" s="349"/>
    </row>
    <row r="416" spans="1:20" s="111" customFormat="1" ht="15.75" thickBot="1" x14ac:dyDescent="0.3">
      <c r="A416" s="111" t="s">
        <v>813</v>
      </c>
      <c r="B416" s="362" t="e">
        <f>B275</f>
        <v>#REF!</v>
      </c>
      <c r="C416" s="404" t="e">
        <f>C275</f>
        <v>#REF!</v>
      </c>
      <c r="D416" s="405" t="e">
        <f t="shared" ref="D416" si="869">R275</f>
        <v>#REF!</v>
      </c>
      <c r="E416" s="406" t="e">
        <f t="shared" ref="E416" si="870">S275</f>
        <v>#REF!</v>
      </c>
      <c r="F416" s="405" t="e">
        <f t="shared" ref="F416" si="871">T275</f>
        <v>#REF!</v>
      </c>
      <c r="G416" s="413"/>
      <c r="H416" s="404" t="e">
        <f t="shared" ref="H416" si="872">C88</f>
        <v>#REF!</v>
      </c>
      <c r="I416" s="407" t="e">
        <f t="shared" ref="I416" si="873">D88</f>
        <v>#REF!</v>
      </c>
      <c r="J416" s="407" t="e">
        <f>E275</f>
        <v>#REF!</v>
      </c>
      <c r="K416" s="407" t="e">
        <f>D275</f>
        <v>#REF!</v>
      </c>
      <c r="L416" s="349"/>
      <c r="M416" s="349"/>
      <c r="N416" s="349"/>
      <c r="O416" s="349" t="s">
        <v>770</v>
      </c>
      <c r="P416" s="349"/>
      <c r="Q416" s="349"/>
      <c r="R416" s="349"/>
      <c r="S416" s="349"/>
      <c r="T416" s="349"/>
    </row>
    <row r="417" spans="1:20" s="111" customFormat="1" ht="15.75" thickBot="1" x14ac:dyDescent="0.3">
      <c r="A417" s="111" t="s">
        <v>813</v>
      </c>
      <c r="B417" s="362" t="e">
        <f>B275</f>
        <v>#REF!</v>
      </c>
      <c r="C417" s="404" t="e">
        <f>C275</f>
        <v>#REF!</v>
      </c>
      <c r="D417" s="405" t="e">
        <f t="shared" ref="D417" si="874">R275</f>
        <v>#REF!</v>
      </c>
      <c r="E417" s="406" t="e">
        <f t="shared" ref="E417" si="875">S275</f>
        <v>#REF!</v>
      </c>
      <c r="F417" s="405" t="e">
        <f t="shared" ref="F417" si="876">T275</f>
        <v>#REF!</v>
      </c>
      <c r="G417" s="413"/>
      <c r="H417" s="404" t="e">
        <f t="shared" ref="H417" si="877">C88</f>
        <v>#REF!</v>
      </c>
      <c r="I417" s="407" t="e">
        <f t="shared" ref="I417" si="878">D88</f>
        <v>#REF!</v>
      </c>
      <c r="J417" s="407" t="e">
        <f>E275</f>
        <v>#REF!</v>
      </c>
      <c r="K417" s="407" t="e">
        <f>D275</f>
        <v>#REF!</v>
      </c>
      <c r="L417" s="349"/>
      <c r="M417" s="349"/>
      <c r="N417" s="349"/>
      <c r="O417" s="349" t="s">
        <v>770</v>
      </c>
      <c r="P417" s="349"/>
      <c r="Q417" s="349"/>
      <c r="R417" s="349"/>
      <c r="S417" s="349"/>
      <c r="T417" s="349"/>
    </row>
    <row r="418" spans="1:20" s="111" customFormat="1" ht="15.75" thickBot="1" x14ac:dyDescent="0.3">
      <c r="A418" s="111" t="s">
        <v>813</v>
      </c>
      <c r="B418" s="362" t="e">
        <f>B275</f>
        <v>#REF!</v>
      </c>
      <c r="C418" s="404" t="e">
        <f>C275</f>
        <v>#REF!</v>
      </c>
      <c r="D418" s="405" t="e">
        <f t="shared" ref="D418" si="879">R275</f>
        <v>#REF!</v>
      </c>
      <c r="E418" s="406" t="e">
        <f t="shared" ref="E418" si="880">S275</f>
        <v>#REF!</v>
      </c>
      <c r="F418" s="405" t="e">
        <f t="shared" ref="F418" si="881">T275</f>
        <v>#REF!</v>
      </c>
      <c r="G418" s="413"/>
      <c r="H418" s="404" t="e">
        <f t="shared" ref="H418" si="882">C88</f>
        <v>#REF!</v>
      </c>
      <c r="I418" s="407" t="e">
        <f t="shared" ref="I418" si="883">D88</f>
        <v>#REF!</v>
      </c>
      <c r="J418" s="407" t="e">
        <f>E275</f>
        <v>#REF!</v>
      </c>
      <c r="K418" s="407" t="e">
        <f>D275</f>
        <v>#REF!</v>
      </c>
      <c r="L418" s="349"/>
      <c r="M418" s="349"/>
      <c r="N418" s="349"/>
      <c r="O418" s="349" t="s">
        <v>770</v>
      </c>
      <c r="P418" s="349"/>
      <c r="Q418" s="349"/>
      <c r="R418" s="349"/>
      <c r="S418" s="349"/>
      <c r="T418" s="349"/>
    </row>
    <row r="419" spans="1:20" s="111" customFormat="1" ht="15.75" thickBot="1" x14ac:dyDescent="0.3">
      <c r="A419" s="111" t="s">
        <v>813</v>
      </c>
      <c r="B419" s="362" t="e">
        <f>B275</f>
        <v>#REF!</v>
      </c>
      <c r="C419" s="404" t="e">
        <f>C275</f>
        <v>#REF!</v>
      </c>
      <c r="D419" s="405" t="e">
        <f t="shared" ref="D419" si="884">R275</f>
        <v>#REF!</v>
      </c>
      <c r="E419" s="406" t="e">
        <f t="shared" ref="E419" si="885">S275</f>
        <v>#REF!</v>
      </c>
      <c r="F419" s="405" t="e">
        <f t="shared" ref="F419" si="886">T275</f>
        <v>#REF!</v>
      </c>
      <c r="G419" s="413"/>
      <c r="H419" s="404" t="e">
        <f t="shared" ref="H419" si="887">C88</f>
        <v>#REF!</v>
      </c>
      <c r="I419" s="407" t="e">
        <f t="shared" ref="I419" si="888">D88</f>
        <v>#REF!</v>
      </c>
      <c r="J419" s="407" t="e">
        <f>E275</f>
        <v>#REF!</v>
      </c>
      <c r="K419" s="407" t="e">
        <f>D275</f>
        <v>#REF!</v>
      </c>
      <c r="L419" s="349"/>
      <c r="M419" s="349"/>
      <c r="N419" s="349"/>
      <c r="O419" s="349" t="s">
        <v>770</v>
      </c>
      <c r="P419" s="349"/>
      <c r="Q419" s="349"/>
      <c r="R419" s="349"/>
      <c r="S419" s="349"/>
      <c r="T419" s="349"/>
    </row>
    <row r="420" spans="1:20" s="111" customFormat="1" ht="15.75" thickBot="1" x14ac:dyDescent="0.3">
      <c r="A420" s="111" t="s">
        <v>813</v>
      </c>
      <c r="B420" s="362" t="e">
        <f>B275</f>
        <v>#REF!</v>
      </c>
      <c r="C420" s="404" t="e">
        <f>C275</f>
        <v>#REF!</v>
      </c>
      <c r="D420" s="405" t="e">
        <f t="shared" ref="D420" si="889">R275</f>
        <v>#REF!</v>
      </c>
      <c r="E420" s="406" t="e">
        <f t="shared" ref="E420" si="890">S275</f>
        <v>#REF!</v>
      </c>
      <c r="F420" s="405" t="e">
        <f t="shared" ref="F420" si="891">T275</f>
        <v>#REF!</v>
      </c>
      <c r="G420" s="413"/>
      <c r="H420" s="404" t="e">
        <f t="shared" ref="H420" si="892">C88</f>
        <v>#REF!</v>
      </c>
      <c r="I420" s="407" t="e">
        <f t="shared" ref="I420" si="893">D88</f>
        <v>#REF!</v>
      </c>
      <c r="J420" s="407" t="e">
        <f>E275</f>
        <v>#REF!</v>
      </c>
      <c r="K420" s="407" t="e">
        <f>D275</f>
        <v>#REF!</v>
      </c>
      <c r="L420" s="349"/>
      <c r="M420" s="349"/>
      <c r="N420" s="349"/>
      <c r="O420" s="349" t="s">
        <v>770</v>
      </c>
      <c r="P420" s="349"/>
      <c r="Q420" s="349"/>
      <c r="R420" s="349"/>
      <c r="S420" s="349"/>
      <c r="T420" s="349"/>
    </row>
    <row r="421" spans="1:20" s="111" customFormat="1" ht="15.75" thickBot="1" x14ac:dyDescent="0.3">
      <c r="A421" s="111" t="s">
        <v>813</v>
      </c>
      <c r="B421" s="362" t="e">
        <f>B275</f>
        <v>#REF!</v>
      </c>
      <c r="C421" s="404" t="e">
        <f>C275</f>
        <v>#REF!</v>
      </c>
      <c r="D421" s="405" t="e">
        <f t="shared" ref="D421" si="894">R275</f>
        <v>#REF!</v>
      </c>
      <c r="E421" s="406" t="e">
        <f t="shared" ref="E421" si="895">S275</f>
        <v>#REF!</v>
      </c>
      <c r="F421" s="405" t="e">
        <f t="shared" ref="F421" si="896">T275</f>
        <v>#REF!</v>
      </c>
      <c r="G421" s="413"/>
      <c r="H421" s="404" t="e">
        <f t="shared" ref="H421" si="897">C88</f>
        <v>#REF!</v>
      </c>
      <c r="I421" s="407" t="e">
        <f t="shared" ref="I421" si="898">D88</f>
        <v>#REF!</v>
      </c>
      <c r="J421" s="407" t="e">
        <f>E275</f>
        <v>#REF!</v>
      </c>
      <c r="K421" s="407" t="e">
        <f>D275</f>
        <v>#REF!</v>
      </c>
      <c r="L421" s="349"/>
      <c r="M421" s="349"/>
      <c r="N421" s="349"/>
      <c r="O421" s="349" t="s">
        <v>770</v>
      </c>
      <c r="P421" s="349"/>
      <c r="Q421" s="349"/>
      <c r="R421" s="349"/>
      <c r="S421" s="349"/>
      <c r="T421" s="349"/>
    </row>
    <row r="422" spans="1:20" s="111" customFormat="1" ht="15.75" thickBot="1" x14ac:dyDescent="0.3">
      <c r="A422" s="111" t="s">
        <v>813</v>
      </c>
      <c r="B422" s="362" t="e">
        <f>B275</f>
        <v>#REF!</v>
      </c>
      <c r="C422" s="404" t="e">
        <f>C275</f>
        <v>#REF!</v>
      </c>
      <c r="D422" s="405" t="e">
        <f t="shared" ref="D422" si="899">R275</f>
        <v>#REF!</v>
      </c>
      <c r="E422" s="406" t="e">
        <f t="shared" ref="E422" si="900">S275</f>
        <v>#REF!</v>
      </c>
      <c r="F422" s="405" t="e">
        <f t="shared" ref="F422" si="901">T275</f>
        <v>#REF!</v>
      </c>
      <c r="G422" s="413"/>
      <c r="H422" s="404" t="e">
        <f t="shared" ref="H422" si="902">C88</f>
        <v>#REF!</v>
      </c>
      <c r="I422" s="407" t="e">
        <f t="shared" ref="I422" si="903">D88</f>
        <v>#REF!</v>
      </c>
      <c r="J422" s="407" t="e">
        <f>E275</f>
        <v>#REF!</v>
      </c>
      <c r="K422" s="407" t="e">
        <f>D275</f>
        <v>#REF!</v>
      </c>
      <c r="L422" s="349"/>
      <c r="M422" s="349"/>
      <c r="N422" s="349"/>
      <c r="O422" s="349" t="s">
        <v>770</v>
      </c>
      <c r="P422" s="349"/>
      <c r="Q422" s="349"/>
      <c r="R422" s="349"/>
      <c r="S422" s="349"/>
      <c r="T422" s="349"/>
    </row>
    <row r="423" spans="1:20" s="111" customFormat="1" ht="15.75" thickBot="1" x14ac:dyDescent="0.3">
      <c r="A423" s="111" t="s">
        <v>813</v>
      </c>
      <c r="B423" s="362" t="e">
        <f>B275</f>
        <v>#REF!</v>
      </c>
      <c r="C423" s="404" t="e">
        <f>C275</f>
        <v>#REF!</v>
      </c>
      <c r="D423" s="405" t="e">
        <f t="shared" ref="D423" si="904">R275</f>
        <v>#REF!</v>
      </c>
      <c r="E423" s="406" t="e">
        <f t="shared" ref="E423" si="905">S275</f>
        <v>#REF!</v>
      </c>
      <c r="F423" s="405" t="e">
        <f t="shared" ref="F423" si="906">T275</f>
        <v>#REF!</v>
      </c>
      <c r="G423" s="413"/>
      <c r="H423" s="404" t="e">
        <f t="shared" ref="H423" si="907">C88</f>
        <v>#REF!</v>
      </c>
      <c r="I423" s="407" t="e">
        <f t="shared" ref="I423" si="908">D88</f>
        <v>#REF!</v>
      </c>
      <c r="J423" s="407" t="e">
        <f>E275</f>
        <v>#REF!</v>
      </c>
      <c r="K423" s="407" t="e">
        <f>D275</f>
        <v>#REF!</v>
      </c>
      <c r="L423" s="349"/>
      <c r="M423" s="349"/>
      <c r="N423" s="349"/>
      <c r="O423" s="349" t="s">
        <v>770</v>
      </c>
      <c r="P423" s="349"/>
      <c r="Q423" s="349"/>
      <c r="R423" s="349"/>
      <c r="S423" s="349"/>
      <c r="T423" s="349"/>
    </row>
    <row r="424" spans="1:20" s="111" customFormat="1" ht="15.75" thickBot="1" x14ac:dyDescent="0.3">
      <c r="A424" s="111" t="s">
        <v>813</v>
      </c>
      <c r="B424" s="362" t="e">
        <f>B275</f>
        <v>#REF!</v>
      </c>
      <c r="C424" s="404" t="e">
        <f>C275</f>
        <v>#REF!</v>
      </c>
      <c r="D424" s="405" t="e">
        <f t="shared" ref="D424" si="909">R275</f>
        <v>#REF!</v>
      </c>
      <c r="E424" s="406" t="e">
        <f t="shared" ref="E424" si="910">S275</f>
        <v>#REF!</v>
      </c>
      <c r="F424" s="405" t="e">
        <f t="shared" ref="F424" si="911">T275</f>
        <v>#REF!</v>
      </c>
      <c r="G424" s="413"/>
      <c r="H424" s="404" t="e">
        <f t="shared" ref="H424" si="912">C88</f>
        <v>#REF!</v>
      </c>
      <c r="I424" s="407" t="e">
        <f t="shared" ref="I424" si="913">D88</f>
        <v>#REF!</v>
      </c>
      <c r="J424" s="407" t="e">
        <f>E275</f>
        <v>#REF!</v>
      </c>
      <c r="K424" s="407" t="e">
        <f>D275</f>
        <v>#REF!</v>
      </c>
      <c r="L424" s="349"/>
      <c r="M424" s="349"/>
      <c r="N424" s="349"/>
      <c r="O424" s="349" t="s">
        <v>770</v>
      </c>
      <c r="P424" s="349"/>
      <c r="Q424" s="349"/>
      <c r="R424" s="349"/>
      <c r="S424" s="349"/>
      <c r="T424" s="349"/>
    </row>
    <row r="425" spans="1:20" s="111" customFormat="1" ht="15.75" thickBot="1" x14ac:dyDescent="0.3">
      <c r="A425" s="111" t="s">
        <v>813</v>
      </c>
      <c r="B425" s="362" t="e">
        <f>B275</f>
        <v>#REF!</v>
      </c>
      <c r="C425" s="404" t="e">
        <f>C275</f>
        <v>#REF!</v>
      </c>
      <c r="D425" s="405" t="e">
        <f t="shared" ref="D425" si="914">R275</f>
        <v>#REF!</v>
      </c>
      <c r="E425" s="406" t="e">
        <f t="shared" ref="E425" si="915">S275</f>
        <v>#REF!</v>
      </c>
      <c r="F425" s="405" t="e">
        <f t="shared" ref="F425" si="916">T275</f>
        <v>#REF!</v>
      </c>
      <c r="G425" s="413"/>
      <c r="H425" s="404" t="e">
        <f t="shared" ref="H425" si="917">C88</f>
        <v>#REF!</v>
      </c>
      <c r="I425" s="407" t="e">
        <f t="shared" ref="I425" si="918">D88</f>
        <v>#REF!</v>
      </c>
      <c r="J425" s="407" t="e">
        <f>E275</f>
        <v>#REF!</v>
      </c>
      <c r="K425" s="407" t="e">
        <f>D275</f>
        <v>#REF!</v>
      </c>
      <c r="L425" s="349"/>
      <c r="M425" s="349"/>
      <c r="N425" s="349"/>
      <c r="O425" s="349" t="s">
        <v>770</v>
      </c>
      <c r="P425" s="349"/>
      <c r="Q425" s="349"/>
      <c r="R425" s="349"/>
      <c r="S425" s="349"/>
      <c r="T425" s="349"/>
    </row>
    <row r="426" spans="1:20" s="111" customFormat="1" ht="15.75" thickBot="1" x14ac:dyDescent="0.3">
      <c r="A426" s="111" t="s">
        <v>813</v>
      </c>
      <c r="B426" s="362" t="e">
        <f>B275</f>
        <v>#REF!</v>
      </c>
      <c r="C426" s="404" t="e">
        <f>C275</f>
        <v>#REF!</v>
      </c>
      <c r="D426" s="405" t="e">
        <f t="shared" ref="D426" si="919">R275</f>
        <v>#REF!</v>
      </c>
      <c r="E426" s="406" t="e">
        <f t="shared" ref="E426" si="920">S275</f>
        <v>#REF!</v>
      </c>
      <c r="F426" s="405" t="e">
        <f t="shared" ref="F426" si="921">T275</f>
        <v>#REF!</v>
      </c>
      <c r="G426" s="413"/>
      <c r="H426" s="404" t="e">
        <f t="shared" ref="H426" si="922">C88</f>
        <v>#REF!</v>
      </c>
      <c r="I426" s="407" t="e">
        <f t="shared" ref="I426" si="923">D88</f>
        <v>#REF!</v>
      </c>
      <c r="J426" s="407" t="e">
        <f>E275</f>
        <v>#REF!</v>
      </c>
      <c r="K426" s="407" t="e">
        <f>D275</f>
        <v>#REF!</v>
      </c>
      <c r="L426" s="349"/>
      <c r="M426" s="349"/>
      <c r="N426" s="349"/>
      <c r="O426" s="349" t="s">
        <v>770</v>
      </c>
      <c r="P426" s="349"/>
      <c r="Q426" s="349"/>
      <c r="R426" s="349"/>
      <c r="S426" s="349"/>
      <c r="T426" s="349"/>
    </row>
    <row r="427" spans="1:20" s="111" customFormat="1" ht="15.75" thickBot="1" x14ac:dyDescent="0.3">
      <c r="A427" s="111" t="s">
        <v>813</v>
      </c>
      <c r="B427" s="362" t="e">
        <f>B275</f>
        <v>#REF!</v>
      </c>
      <c r="C427" s="404" t="e">
        <f>C275</f>
        <v>#REF!</v>
      </c>
      <c r="D427" s="405" t="e">
        <f t="shared" ref="D427" si="924">R275</f>
        <v>#REF!</v>
      </c>
      <c r="E427" s="406" t="e">
        <f t="shared" ref="E427" si="925">S275</f>
        <v>#REF!</v>
      </c>
      <c r="F427" s="405" t="e">
        <f t="shared" ref="F427" si="926">T275</f>
        <v>#REF!</v>
      </c>
      <c r="G427" s="413"/>
      <c r="H427" s="404" t="e">
        <f t="shared" ref="H427" si="927">C88</f>
        <v>#REF!</v>
      </c>
      <c r="I427" s="407" t="e">
        <f t="shared" ref="I427" si="928">D88</f>
        <v>#REF!</v>
      </c>
      <c r="J427" s="407" t="e">
        <f>E275</f>
        <v>#REF!</v>
      </c>
      <c r="K427" s="407" t="e">
        <f>D275</f>
        <v>#REF!</v>
      </c>
      <c r="L427" s="349"/>
      <c r="M427" s="349"/>
      <c r="N427" s="349"/>
      <c r="O427" s="349" t="s">
        <v>770</v>
      </c>
      <c r="P427" s="349"/>
      <c r="Q427" s="349"/>
      <c r="R427" s="349"/>
      <c r="S427" s="349"/>
      <c r="T427" s="349"/>
    </row>
    <row r="428" spans="1:20" s="111" customFormat="1" ht="15.75" thickBot="1" x14ac:dyDescent="0.3">
      <c r="A428" s="111" t="s">
        <v>813</v>
      </c>
      <c r="B428" s="362" t="e">
        <f>B275</f>
        <v>#REF!</v>
      </c>
      <c r="C428" s="404" t="e">
        <f>C275</f>
        <v>#REF!</v>
      </c>
      <c r="D428" s="405" t="e">
        <f t="shared" ref="D428" si="929">R275</f>
        <v>#REF!</v>
      </c>
      <c r="E428" s="406" t="e">
        <f t="shared" ref="E428" si="930">S275</f>
        <v>#REF!</v>
      </c>
      <c r="F428" s="405" t="e">
        <f t="shared" ref="F428" si="931">T275</f>
        <v>#REF!</v>
      </c>
      <c r="G428" s="413"/>
      <c r="H428" s="404" t="e">
        <f t="shared" ref="H428" si="932">C88</f>
        <v>#REF!</v>
      </c>
      <c r="I428" s="407" t="e">
        <f t="shared" ref="I428" si="933">D88</f>
        <v>#REF!</v>
      </c>
      <c r="J428" s="407" t="e">
        <f>E275</f>
        <v>#REF!</v>
      </c>
      <c r="K428" s="407" t="e">
        <f>D275</f>
        <v>#REF!</v>
      </c>
      <c r="L428" s="349"/>
      <c r="M428" s="349"/>
      <c r="N428" s="349"/>
      <c r="O428" s="349" t="s">
        <v>770</v>
      </c>
      <c r="P428" s="349"/>
      <c r="Q428" s="349"/>
      <c r="R428" s="349"/>
      <c r="S428" s="349"/>
      <c r="T428" s="349"/>
    </row>
    <row r="429" spans="1:20" s="111" customFormat="1" ht="15.75" thickBot="1" x14ac:dyDescent="0.3">
      <c r="A429" s="111" t="s">
        <v>813</v>
      </c>
      <c r="B429" s="362" t="e">
        <f>B275</f>
        <v>#REF!</v>
      </c>
      <c r="C429" s="404" t="e">
        <f>C275</f>
        <v>#REF!</v>
      </c>
      <c r="D429" s="405" t="e">
        <f t="shared" ref="D429" si="934">R275</f>
        <v>#REF!</v>
      </c>
      <c r="E429" s="406" t="e">
        <f t="shared" ref="E429" si="935">S275</f>
        <v>#REF!</v>
      </c>
      <c r="F429" s="405" t="e">
        <f t="shared" ref="F429" si="936">T275</f>
        <v>#REF!</v>
      </c>
      <c r="G429" s="413"/>
      <c r="H429" s="404" t="e">
        <f t="shared" ref="H429" si="937">C88</f>
        <v>#REF!</v>
      </c>
      <c r="I429" s="407" t="e">
        <f t="shared" ref="I429" si="938">D88</f>
        <v>#REF!</v>
      </c>
      <c r="J429" s="407" t="e">
        <f>E275</f>
        <v>#REF!</v>
      </c>
      <c r="K429" s="407" t="e">
        <f>D275</f>
        <v>#REF!</v>
      </c>
      <c r="L429" s="349"/>
      <c r="M429" s="349"/>
      <c r="N429" s="349"/>
      <c r="O429" s="349" t="s">
        <v>770</v>
      </c>
      <c r="P429" s="349"/>
      <c r="Q429" s="349"/>
      <c r="R429" s="349"/>
      <c r="S429" s="349"/>
      <c r="T429" s="349"/>
    </row>
    <row r="430" spans="1:20" s="111" customFormat="1" ht="15.75" thickBot="1" x14ac:dyDescent="0.3">
      <c r="A430" s="111" t="s">
        <v>813</v>
      </c>
      <c r="B430" s="362" t="e">
        <f>B275</f>
        <v>#REF!</v>
      </c>
      <c r="C430" s="404" t="e">
        <f>C275</f>
        <v>#REF!</v>
      </c>
      <c r="D430" s="405" t="e">
        <f t="shared" ref="D430" si="939">R275</f>
        <v>#REF!</v>
      </c>
      <c r="E430" s="406" t="e">
        <f t="shared" ref="E430" si="940">S275</f>
        <v>#REF!</v>
      </c>
      <c r="F430" s="405" t="e">
        <f t="shared" ref="F430" si="941">T275</f>
        <v>#REF!</v>
      </c>
      <c r="G430" s="413"/>
      <c r="H430" s="404" t="e">
        <f t="shared" ref="H430" si="942">C88</f>
        <v>#REF!</v>
      </c>
      <c r="I430" s="407" t="e">
        <f t="shared" ref="I430" si="943">D88</f>
        <v>#REF!</v>
      </c>
      <c r="J430" s="407" t="e">
        <f>E275</f>
        <v>#REF!</v>
      </c>
      <c r="K430" s="407" t="e">
        <f>D275</f>
        <v>#REF!</v>
      </c>
      <c r="L430" s="349"/>
      <c r="M430" s="349"/>
      <c r="N430" s="349"/>
      <c r="O430" s="349" t="s">
        <v>770</v>
      </c>
      <c r="P430" s="349"/>
      <c r="Q430" s="349"/>
      <c r="R430" s="349"/>
      <c r="S430" s="349"/>
      <c r="T430" s="349"/>
    </row>
    <row r="431" spans="1:20" s="111" customFormat="1" ht="15.75" thickBot="1" x14ac:dyDescent="0.3">
      <c r="A431" s="111" t="s">
        <v>813</v>
      </c>
      <c r="B431" s="362" t="e">
        <f>B275</f>
        <v>#REF!</v>
      </c>
      <c r="C431" s="404" t="e">
        <f>C275</f>
        <v>#REF!</v>
      </c>
      <c r="D431" s="405" t="e">
        <f t="shared" ref="D431" si="944">R275</f>
        <v>#REF!</v>
      </c>
      <c r="E431" s="406" t="e">
        <f t="shared" ref="E431" si="945">S275</f>
        <v>#REF!</v>
      </c>
      <c r="F431" s="405" t="e">
        <f t="shared" ref="F431" si="946">T275</f>
        <v>#REF!</v>
      </c>
      <c r="G431" s="413"/>
      <c r="H431" s="404" t="e">
        <f t="shared" ref="H431" si="947">C88</f>
        <v>#REF!</v>
      </c>
      <c r="I431" s="407" t="e">
        <f t="shared" ref="I431" si="948">D88</f>
        <v>#REF!</v>
      </c>
      <c r="J431" s="407" t="e">
        <f>E275</f>
        <v>#REF!</v>
      </c>
      <c r="K431" s="407" t="e">
        <f>D275</f>
        <v>#REF!</v>
      </c>
      <c r="L431" s="349"/>
      <c r="M431" s="349"/>
      <c r="N431" s="349"/>
      <c r="O431" s="349" t="s">
        <v>770</v>
      </c>
      <c r="P431" s="349"/>
      <c r="Q431" s="349"/>
      <c r="R431" s="349"/>
      <c r="S431" s="349"/>
      <c r="T431" s="349"/>
    </row>
    <row r="432" spans="1:20" s="111" customFormat="1" ht="15.75" thickBot="1" x14ac:dyDescent="0.3">
      <c r="A432" s="111" t="s">
        <v>813</v>
      </c>
      <c r="B432" s="362" t="e">
        <f>B275</f>
        <v>#REF!</v>
      </c>
      <c r="C432" s="404" t="e">
        <f>C275</f>
        <v>#REF!</v>
      </c>
      <c r="D432" s="405" t="e">
        <f t="shared" ref="D432" si="949">R275</f>
        <v>#REF!</v>
      </c>
      <c r="E432" s="406" t="e">
        <f t="shared" ref="E432" si="950">S275</f>
        <v>#REF!</v>
      </c>
      <c r="F432" s="405" t="e">
        <f t="shared" ref="F432" si="951">T275</f>
        <v>#REF!</v>
      </c>
      <c r="G432" s="413"/>
      <c r="H432" s="404" t="e">
        <f t="shared" ref="H432" si="952">C88</f>
        <v>#REF!</v>
      </c>
      <c r="I432" s="407" t="e">
        <f t="shared" ref="I432" si="953">D88</f>
        <v>#REF!</v>
      </c>
      <c r="J432" s="407" t="e">
        <f>E275</f>
        <v>#REF!</v>
      </c>
      <c r="K432" s="407" t="e">
        <f>D275</f>
        <v>#REF!</v>
      </c>
      <c r="L432" s="349"/>
      <c r="M432" s="349"/>
      <c r="N432" s="349"/>
      <c r="O432" s="349" t="s">
        <v>770</v>
      </c>
      <c r="P432" s="349"/>
      <c r="Q432" s="349"/>
      <c r="R432" s="349"/>
      <c r="S432" s="349"/>
      <c r="T432" s="349"/>
    </row>
    <row r="433" spans="1:20" s="111" customFormat="1" ht="15.75" thickBot="1" x14ac:dyDescent="0.3">
      <c r="A433" s="111" t="s">
        <v>813</v>
      </c>
      <c r="B433" s="362" t="e">
        <f>B275</f>
        <v>#REF!</v>
      </c>
      <c r="C433" s="404" t="e">
        <f>C275</f>
        <v>#REF!</v>
      </c>
      <c r="D433" s="405" t="e">
        <f t="shared" ref="D433" si="954">R275</f>
        <v>#REF!</v>
      </c>
      <c r="E433" s="406" t="e">
        <f t="shared" ref="E433" si="955">S275</f>
        <v>#REF!</v>
      </c>
      <c r="F433" s="405" t="e">
        <f t="shared" ref="F433" si="956">T275</f>
        <v>#REF!</v>
      </c>
      <c r="G433" s="413"/>
      <c r="H433" s="404" t="e">
        <f t="shared" ref="H433" si="957">C88</f>
        <v>#REF!</v>
      </c>
      <c r="I433" s="407" t="e">
        <f t="shared" ref="I433" si="958">D88</f>
        <v>#REF!</v>
      </c>
      <c r="J433" s="407" t="e">
        <f>E275</f>
        <v>#REF!</v>
      </c>
      <c r="K433" s="407" t="e">
        <f>D275</f>
        <v>#REF!</v>
      </c>
      <c r="L433" s="349"/>
      <c r="M433" s="349"/>
      <c r="N433" s="349"/>
      <c r="O433" s="349" t="s">
        <v>770</v>
      </c>
      <c r="P433" s="349"/>
      <c r="Q433" s="349"/>
      <c r="R433" s="349"/>
      <c r="S433" s="349"/>
      <c r="T433" s="349"/>
    </row>
    <row r="434" spans="1:20" s="111" customFormat="1" ht="15.75" thickBot="1" x14ac:dyDescent="0.3">
      <c r="A434" s="111" t="s">
        <v>813</v>
      </c>
      <c r="B434" s="362" t="e">
        <f>B275</f>
        <v>#REF!</v>
      </c>
      <c r="C434" s="404" t="e">
        <f>C275</f>
        <v>#REF!</v>
      </c>
      <c r="D434" s="405" t="e">
        <f t="shared" ref="D434" si="959">R275</f>
        <v>#REF!</v>
      </c>
      <c r="E434" s="406" t="e">
        <f t="shared" ref="E434" si="960">S275</f>
        <v>#REF!</v>
      </c>
      <c r="F434" s="405" t="e">
        <f t="shared" ref="F434" si="961">T275</f>
        <v>#REF!</v>
      </c>
      <c r="G434" s="413"/>
      <c r="H434" s="404" t="e">
        <f t="shared" ref="H434" si="962">C88</f>
        <v>#REF!</v>
      </c>
      <c r="I434" s="407" t="e">
        <f t="shared" ref="I434" si="963">D88</f>
        <v>#REF!</v>
      </c>
      <c r="J434" s="407" t="e">
        <f>E275</f>
        <v>#REF!</v>
      </c>
      <c r="K434" s="407" t="e">
        <f>D275</f>
        <v>#REF!</v>
      </c>
      <c r="L434" s="349"/>
      <c r="M434" s="349"/>
      <c r="N434" s="349"/>
      <c r="O434" s="349" t="s">
        <v>770</v>
      </c>
      <c r="P434" s="349"/>
      <c r="Q434" s="349"/>
      <c r="R434" s="349"/>
      <c r="S434" s="349"/>
      <c r="T434" s="349"/>
    </row>
    <row r="435" spans="1:20" s="111" customFormat="1" ht="15.75" thickBot="1" x14ac:dyDescent="0.3">
      <c r="A435" s="111" t="s">
        <v>813</v>
      </c>
      <c r="B435" s="362" t="e">
        <f>B275</f>
        <v>#REF!</v>
      </c>
      <c r="C435" s="404" t="e">
        <f>C275</f>
        <v>#REF!</v>
      </c>
      <c r="D435" s="405" t="e">
        <f t="shared" ref="D435" si="964">R275</f>
        <v>#REF!</v>
      </c>
      <c r="E435" s="406" t="e">
        <f t="shared" ref="E435" si="965">S275</f>
        <v>#REF!</v>
      </c>
      <c r="F435" s="405" t="e">
        <f t="shared" ref="F435" si="966">T275</f>
        <v>#REF!</v>
      </c>
      <c r="G435" s="413"/>
      <c r="H435" s="404" t="e">
        <f t="shared" ref="H435" si="967">C88</f>
        <v>#REF!</v>
      </c>
      <c r="I435" s="407" t="e">
        <f t="shared" ref="I435" si="968">D88</f>
        <v>#REF!</v>
      </c>
      <c r="J435" s="407" t="e">
        <f>E275</f>
        <v>#REF!</v>
      </c>
      <c r="K435" s="407" t="e">
        <f>D275</f>
        <v>#REF!</v>
      </c>
      <c r="L435" s="349"/>
      <c r="M435" s="349"/>
      <c r="N435" s="349"/>
      <c r="O435" s="349" t="s">
        <v>770</v>
      </c>
      <c r="P435" s="349"/>
      <c r="Q435" s="349"/>
      <c r="R435" s="349"/>
      <c r="S435" s="349"/>
      <c r="T435" s="349"/>
    </row>
    <row r="436" spans="1:20" s="111" customFormat="1" ht="15.75" thickBot="1" x14ac:dyDescent="0.3">
      <c r="A436" s="111" t="s">
        <v>813</v>
      </c>
      <c r="B436" s="362" t="e">
        <f>B275</f>
        <v>#REF!</v>
      </c>
      <c r="C436" s="404" t="e">
        <f>C275</f>
        <v>#REF!</v>
      </c>
      <c r="D436" s="405" t="e">
        <f t="shared" ref="D436" si="969">R275</f>
        <v>#REF!</v>
      </c>
      <c r="E436" s="406" t="e">
        <f t="shared" ref="E436" si="970">S275</f>
        <v>#REF!</v>
      </c>
      <c r="F436" s="405" t="e">
        <f t="shared" ref="F436" si="971">T275</f>
        <v>#REF!</v>
      </c>
      <c r="G436" s="413"/>
      <c r="H436" s="404" t="e">
        <f t="shared" ref="H436" si="972">C88</f>
        <v>#REF!</v>
      </c>
      <c r="I436" s="407" t="e">
        <f t="shared" ref="I436" si="973">D88</f>
        <v>#REF!</v>
      </c>
      <c r="J436" s="407" t="e">
        <f>E275</f>
        <v>#REF!</v>
      </c>
      <c r="K436" s="407" t="e">
        <f>D275</f>
        <v>#REF!</v>
      </c>
      <c r="L436" s="349"/>
      <c r="M436" s="349"/>
      <c r="N436" s="349"/>
      <c r="O436" s="349" t="s">
        <v>770</v>
      </c>
      <c r="P436" s="349"/>
      <c r="Q436" s="349"/>
      <c r="R436" s="349"/>
      <c r="S436" s="349"/>
      <c r="T436" s="349"/>
    </row>
    <row r="437" spans="1:20" s="111" customFormat="1" ht="15.75" thickBot="1" x14ac:dyDescent="0.3">
      <c r="A437" s="111" t="s">
        <v>813</v>
      </c>
      <c r="B437" s="362" t="e">
        <f>B275</f>
        <v>#REF!</v>
      </c>
      <c r="C437" s="404" t="e">
        <f>C275</f>
        <v>#REF!</v>
      </c>
      <c r="D437" s="405" t="e">
        <f t="shared" ref="D437" si="974">R275</f>
        <v>#REF!</v>
      </c>
      <c r="E437" s="406" t="e">
        <f t="shared" ref="E437" si="975">S275</f>
        <v>#REF!</v>
      </c>
      <c r="F437" s="405" t="e">
        <f t="shared" ref="F437" si="976">T275</f>
        <v>#REF!</v>
      </c>
      <c r="G437" s="413"/>
      <c r="H437" s="404" t="e">
        <f t="shared" ref="H437" si="977">C88</f>
        <v>#REF!</v>
      </c>
      <c r="I437" s="407" t="e">
        <f t="shared" ref="I437" si="978">D88</f>
        <v>#REF!</v>
      </c>
      <c r="J437" s="407" t="e">
        <f>E275</f>
        <v>#REF!</v>
      </c>
      <c r="K437" s="407" t="e">
        <f>D275</f>
        <v>#REF!</v>
      </c>
      <c r="L437" s="349"/>
      <c r="M437" s="349"/>
      <c r="N437" s="349"/>
      <c r="O437" s="349" t="s">
        <v>770</v>
      </c>
      <c r="P437" s="349"/>
      <c r="Q437" s="349"/>
      <c r="R437" s="349"/>
      <c r="S437" s="349"/>
      <c r="T437" s="349"/>
    </row>
    <row r="438" spans="1:20" s="111" customFormat="1" ht="15.75" thickBot="1" x14ac:dyDescent="0.3">
      <c r="A438" s="111" t="s">
        <v>813</v>
      </c>
      <c r="B438" s="362" t="e">
        <f>B275</f>
        <v>#REF!</v>
      </c>
      <c r="C438" s="404" t="e">
        <f>C275</f>
        <v>#REF!</v>
      </c>
      <c r="D438" s="405" t="e">
        <f t="shared" ref="D438" si="979">R275</f>
        <v>#REF!</v>
      </c>
      <c r="E438" s="406" t="e">
        <f t="shared" ref="E438" si="980">S275</f>
        <v>#REF!</v>
      </c>
      <c r="F438" s="405" t="e">
        <f t="shared" ref="F438" si="981">T275</f>
        <v>#REF!</v>
      </c>
      <c r="G438" s="413"/>
      <c r="H438" s="404" t="e">
        <f t="shared" ref="H438" si="982">C88</f>
        <v>#REF!</v>
      </c>
      <c r="I438" s="407" t="e">
        <f t="shared" ref="I438" si="983">D88</f>
        <v>#REF!</v>
      </c>
      <c r="J438" s="407" t="e">
        <f>E275</f>
        <v>#REF!</v>
      </c>
      <c r="K438" s="407" t="e">
        <f>D275</f>
        <v>#REF!</v>
      </c>
      <c r="L438" s="349"/>
      <c r="M438" s="349"/>
      <c r="N438" s="349"/>
      <c r="O438" s="349" t="s">
        <v>770</v>
      </c>
      <c r="P438" s="349"/>
      <c r="Q438" s="349"/>
      <c r="R438" s="349"/>
      <c r="S438" s="349"/>
      <c r="T438" s="349"/>
    </row>
    <row r="439" spans="1:20" s="111" customFormat="1" ht="15.75" thickBot="1" x14ac:dyDescent="0.3">
      <c r="A439" s="111" t="s">
        <v>813</v>
      </c>
      <c r="B439" s="362" t="e">
        <f>B275</f>
        <v>#REF!</v>
      </c>
      <c r="C439" s="404" t="e">
        <f>C275</f>
        <v>#REF!</v>
      </c>
      <c r="D439" s="405" t="e">
        <f t="shared" ref="D439" si="984">R275</f>
        <v>#REF!</v>
      </c>
      <c r="E439" s="406" t="e">
        <f t="shared" ref="E439" si="985">S275</f>
        <v>#REF!</v>
      </c>
      <c r="F439" s="405" t="e">
        <f t="shared" ref="F439" si="986">T275</f>
        <v>#REF!</v>
      </c>
      <c r="G439" s="413"/>
      <c r="H439" s="404" t="e">
        <f t="shared" ref="H439" si="987">C88</f>
        <v>#REF!</v>
      </c>
      <c r="I439" s="407" t="e">
        <f t="shared" ref="I439" si="988">D88</f>
        <v>#REF!</v>
      </c>
      <c r="J439" s="407" t="e">
        <f>E275</f>
        <v>#REF!</v>
      </c>
      <c r="K439" s="407" t="e">
        <f>D275</f>
        <v>#REF!</v>
      </c>
      <c r="L439" s="349"/>
      <c r="M439" s="349"/>
      <c r="N439" s="349"/>
      <c r="O439" s="349" t="s">
        <v>770</v>
      </c>
      <c r="P439" s="349"/>
      <c r="Q439" s="349"/>
      <c r="R439" s="349"/>
      <c r="S439" s="349"/>
      <c r="T439" s="349"/>
    </row>
    <row r="440" spans="1:20" s="111" customFormat="1" ht="15.75" thickBot="1" x14ac:dyDescent="0.3">
      <c r="A440" s="111" t="s">
        <v>813</v>
      </c>
      <c r="B440" s="362" t="e">
        <f>B275</f>
        <v>#REF!</v>
      </c>
      <c r="C440" s="404" t="e">
        <f>C275</f>
        <v>#REF!</v>
      </c>
      <c r="D440" s="405" t="e">
        <f t="shared" ref="D440" si="989">R275</f>
        <v>#REF!</v>
      </c>
      <c r="E440" s="406" t="e">
        <f t="shared" ref="E440" si="990">S275</f>
        <v>#REF!</v>
      </c>
      <c r="F440" s="405" t="e">
        <f t="shared" ref="F440" si="991">T275</f>
        <v>#REF!</v>
      </c>
      <c r="G440" s="413"/>
      <c r="H440" s="404" t="e">
        <f t="shared" ref="H440" si="992">C88</f>
        <v>#REF!</v>
      </c>
      <c r="I440" s="407" t="e">
        <f t="shared" ref="I440" si="993">D88</f>
        <v>#REF!</v>
      </c>
      <c r="J440" s="407" t="e">
        <f>E275</f>
        <v>#REF!</v>
      </c>
      <c r="K440" s="407" t="e">
        <f>D275</f>
        <v>#REF!</v>
      </c>
      <c r="L440" s="349"/>
      <c r="M440" s="349"/>
      <c r="N440" s="349"/>
      <c r="O440" s="349" t="s">
        <v>770</v>
      </c>
      <c r="P440" s="349"/>
      <c r="Q440" s="349"/>
      <c r="R440" s="349"/>
      <c r="S440" s="349"/>
      <c r="T440" s="349"/>
    </row>
    <row r="441" spans="1:20" s="111" customFormat="1" ht="15.75" thickBot="1" x14ac:dyDescent="0.3">
      <c r="A441" s="111" t="s">
        <v>813</v>
      </c>
      <c r="B441" s="362" t="e">
        <f>B275</f>
        <v>#REF!</v>
      </c>
      <c r="C441" s="404" t="e">
        <f>C275</f>
        <v>#REF!</v>
      </c>
      <c r="D441" s="405" t="e">
        <f t="shared" ref="D441" si="994">R275</f>
        <v>#REF!</v>
      </c>
      <c r="E441" s="406" t="e">
        <f t="shared" ref="E441" si="995">S275</f>
        <v>#REF!</v>
      </c>
      <c r="F441" s="405" t="e">
        <f t="shared" ref="F441" si="996">T275</f>
        <v>#REF!</v>
      </c>
      <c r="G441" s="413"/>
      <c r="H441" s="404" t="e">
        <f t="shared" ref="H441" si="997">C88</f>
        <v>#REF!</v>
      </c>
      <c r="I441" s="407" t="e">
        <f t="shared" ref="I441" si="998">D88</f>
        <v>#REF!</v>
      </c>
      <c r="J441" s="407" t="e">
        <f>E275</f>
        <v>#REF!</v>
      </c>
      <c r="K441" s="407" t="e">
        <f>D275</f>
        <v>#REF!</v>
      </c>
      <c r="L441" s="349"/>
      <c r="M441" s="349"/>
      <c r="N441" s="349"/>
      <c r="O441" s="349" t="s">
        <v>770</v>
      </c>
      <c r="P441" s="349"/>
      <c r="Q441" s="349"/>
      <c r="R441" s="349"/>
      <c r="S441" s="349"/>
      <c r="T441" s="349"/>
    </row>
    <row r="442" spans="1:20" s="111" customFormat="1" ht="15.75" thickBot="1" x14ac:dyDescent="0.3">
      <c r="A442" s="111" t="s">
        <v>813</v>
      </c>
      <c r="B442" s="362" t="e">
        <f>B275</f>
        <v>#REF!</v>
      </c>
      <c r="C442" s="404" t="e">
        <f>C275</f>
        <v>#REF!</v>
      </c>
      <c r="D442" s="405" t="e">
        <f t="shared" ref="D442" si="999">R275</f>
        <v>#REF!</v>
      </c>
      <c r="E442" s="406" t="e">
        <f t="shared" ref="E442" si="1000">S275</f>
        <v>#REF!</v>
      </c>
      <c r="F442" s="405" t="e">
        <f t="shared" ref="F442" si="1001">T275</f>
        <v>#REF!</v>
      </c>
      <c r="G442" s="413"/>
      <c r="H442" s="404" t="e">
        <f t="shared" ref="H442" si="1002">C88</f>
        <v>#REF!</v>
      </c>
      <c r="I442" s="407" t="e">
        <f t="shared" ref="I442" si="1003">D88</f>
        <v>#REF!</v>
      </c>
      <c r="J442" s="407" t="e">
        <f>E275</f>
        <v>#REF!</v>
      </c>
      <c r="K442" s="407" t="e">
        <f>D275</f>
        <v>#REF!</v>
      </c>
      <c r="L442" s="349"/>
      <c r="M442" s="349"/>
      <c r="N442" s="349"/>
      <c r="O442" s="349" t="s">
        <v>770</v>
      </c>
      <c r="P442" s="349"/>
      <c r="Q442" s="349"/>
      <c r="R442" s="349"/>
      <c r="S442" s="349"/>
      <c r="T442" s="349"/>
    </row>
    <row r="443" spans="1:20" s="111" customFormat="1" ht="15.75" thickBot="1" x14ac:dyDescent="0.3">
      <c r="A443" s="111" t="s">
        <v>813</v>
      </c>
      <c r="B443" s="362" t="e">
        <f>B275</f>
        <v>#REF!</v>
      </c>
      <c r="C443" s="404" t="e">
        <f>C275</f>
        <v>#REF!</v>
      </c>
      <c r="D443" s="405" t="e">
        <f t="shared" ref="D443" si="1004">R275</f>
        <v>#REF!</v>
      </c>
      <c r="E443" s="406" t="e">
        <f t="shared" ref="E443" si="1005">S275</f>
        <v>#REF!</v>
      </c>
      <c r="F443" s="405" t="e">
        <f t="shared" ref="F443" si="1006">T275</f>
        <v>#REF!</v>
      </c>
      <c r="G443" s="413"/>
      <c r="H443" s="404" t="e">
        <f t="shared" ref="H443" si="1007">C88</f>
        <v>#REF!</v>
      </c>
      <c r="I443" s="407" t="e">
        <f t="shared" ref="I443" si="1008">D88</f>
        <v>#REF!</v>
      </c>
      <c r="J443" s="407" t="e">
        <f>E275</f>
        <v>#REF!</v>
      </c>
      <c r="K443" s="407" t="e">
        <f>D275</f>
        <v>#REF!</v>
      </c>
      <c r="L443" s="349"/>
      <c r="M443" s="349"/>
      <c r="N443" s="349"/>
      <c r="O443" s="349" t="s">
        <v>770</v>
      </c>
      <c r="P443" s="349"/>
      <c r="Q443" s="349"/>
      <c r="R443" s="349"/>
      <c r="S443" s="349"/>
      <c r="T443" s="349"/>
    </row>
    <row r="444" spans="1:20" s="111" customFormat="1" ht="15.75" thickBot="1" x14ac:dyDescent="0.3">
      <c r="A444" s="111" t="s">
        <v>813</v>
      </c>
      <c r="B444" s="362" t="e">
        <f>B275</f>
        <v>#REF!</v>
      </c>
      <c r="C444" s="404" t="e">
        <f>C275</f>
        <v>#REF!</v>
      </c>
      <c r="D444" s="405" t="e">
        <f t="shared" ref="D444" si="1009">R275</f>
        <v>#REF!</v>
      </c>
      <c r="E444" s="406" t="e">
        <f t="shared" ref="E444" si="1010">S275</f>
        <v>#REF!</v>
      </c>
      <c r="F444" s="405" t="e">
        <f t="shared" ref="F444" si="1011">T275</f>
        <v>#REF!</v>
      </c>
      <c r="G444" s="413"/>
      <c r="H444" s="404" t="e">
        <f t="shared" ref="H444" si="1012">C88</f>
        <v>#REF!</v>
      </c>
      <c r="I444" s="407" t="e">
        <f t="shared" ref="I444" si="1013">D88</f>
        <v>#REF!</v>
      </c>
      <c r="J444" s="407" t="e">
        <f>E275</f>
        <v>#REF!</v>
      </c>
      <c r="K444" s="407" t="e">
        <f>D275</f>
        <v>#REF!</v>
      </c>
      <c r="L444" s="349"/>
      <c r="M444" s="349"/>
      <c r="N444" s="349"/>
      <c r="O444" s="349" t="s">
        <v>770</v>
      </c>
      <c r="P444" s="349"/>
      <c r="Q444" s="349"/>
      <c r="R444" s="349"/>
      <c r="S444" s="349"/>
      <c r="T444" s="349"/>
    </row>
    <row r="445" spans="1:20" s="111" customFormat="1" ht="15.75" thickBot="1" x14ac:dyDescent="0.3">
      <c r="A445" s="111" t="s">
        <v>813</v>
      </c>
      <c r="B445" s="362" t="e">
        <f>B275</f>
        <v>#REF!</v>
      </c>
      <c r="C445" s="404" t="e">
        <f>C275</f>
        <v>#REF!</v>
      </c>
      <c r="D445" s="405" t="e">
        <f t="shared" ref="D445" si="1014">R275</f>
        <v>#REF!</v>
      </c>
      <c r="E445" s="406" t="e">
        <f t="shared" ref="E445" si="1015">S275</f>
        <v>#REF!</v>
      </c>
      <c r="F445" s="405" t="e">
        <f t="shared" ref="F445" si="1016">T275</f>
        <v>#REF!</v>
      </c>
      <c r="G445" s="413"/>
      <c r="H445" s="404" t="e">
        <f t="shared" ref="H445" si="1017">C88</f>
        <v>#REF!</v>
      </c>
      <c r="I445" s="407" t="e">
        <f t="shared" ref="I445" si="1018">D88</f>
        <v>#REF!</v>
      </c>
      <c r="J445" s="407" t="e">
        <f>E275</f>
        <v>#REF!</v>
      </c>
      <c r="K445" s="407" t="e">
        <f>D275</f>
        <v>#REF!</v>
      </c>
      <c r="L445" s="349"/>
      <c r="M445" s="349"/>
      <c r="N445" s="349"/>
      <c r="O445" s="349" t="s">
        <v>770</v>
      </c>
      <c r="P445" s="349"/>
      <c r="Q445" s="349"/>
      <c r="R445" s="349"/>
      <c r="S445" s="349"/>
      <c r="T445" s="349"/>
    </row>
    <row r="446" spans="1:20" s="111" customFormat="1" ht="15.75" thickBot="1" x14ac:dyDescent="0.3">
      <c r="A446" s="111" t="s">
        <v>813</v>
      </c>
      <c r="B446" s="362" t="e">
        <f>B275</f>
        <v>#REF!</v>
      </c>
      <c r="C446" s="404" t="e">
        <f>C275</f>
        <v>#REF!</v>
      </c>
      <c r="D446" s="405" t="e">
        <f t="shared" ref="D446" si="1019">R275</f>
        <v>#REF!</v>
      </c>
      <c r="E446" s="406" t="e">
        <f t="shared" ref="E446" si="1020">S275</f>
        <v>#REF!</v>
      </c>
      <c r="F446" s="405" t="e">
        <f t="shared" ref="F446" si="1021">T275</f>
        <v>#REF!</v>
      </c>
      <c r="G446" s="413"/>
      <c r="H446" s="404" t="e">
        <f t="shared" ref="H446" si="1022">C88</f>
        <v>#REF!</v>
      </c>
      <c r="I446" s="407" t="e">
        <f t="shared" ref="I446" si="1023">D88</f>
        <v>#REF!</v>
      </c>
      <c r="J446" s="407" t="e">
        <f>E275</f>
        <v>#REF!</v>
      </c>
      <c r="K446" s="407" t="e">
        <f>D275</f>
        <v>#REF!</v>
      </c>
      <c r="L446" s="349"/>
      <c r="M446" s="349"/>
      <c r="N446" s="349"/>
      <c r="O446" s="349" t="s">
        <v>770</v>
      </c>
      <c r="P446" s="349"/>
      <c r="Q446" s="349"/>
      <c r="R446" s="349"/>
      <c r="S446" s="349"/>
      <c r="T446" s="349"/>
    </row>
    <row r="447" spans="1:20" s="111" customFormat="1" ht="15.75" thickBot="1" x14ac:dyDescent="0.3">
      <c r="A447" s="111" t="s">
        <v>813</v>
      </c>
      <c r="B447" s="362" t="e">
        <f>B275</f>
        <v>#REF!</v>
      </c>
      <c r="C447" s="404" t="e">
        <f>C275</f>
        <v>#REF!</v>
      </c>
      <c r="D447" s="405" t="e">
        <f>R275</f>
        <v>#REF!</v>
      </c>
      <c r="E447" s="406" t="e">
        <f>S275</f>
        <v>#REF!</v>
      </c>
      <c r="F447" s="405" t="e">
        <f>T275</f>
        <v>#REF!</v>
      </c>
      <c r="G447" s="413"/>
      <c r="H447" s="404" t="e">
        <f t="shared" ref="H447" si="1024">C88</f>
        <v>#REF!</v>
      </c>
      <c r="I447" s="407" t="e">
        <f t="shared" ref="I447" si="1025">D88</f>
        <v>#REF!</v>
      </c>
      <c r="J447" s="407" t="e">
        <f>E275</f>
        <v>#REF!</v>
      </c>
      <c r="K447" s="407" t="e">
        <f>D275</f>
        <v>#REF!</v>
      </c>
      <c r="L447" s="349"/>
      <c r="M447" s="349"/>
      <c r="N447" s="349"/>
      <c r="O447" s="349" t="s">
        <v>770</v>
      </c>
      <c r="P447" s="349"/>
      <c r="Q447" s="349"/>
      <c r="R447" s="349"/>
      <c r="S447" s="349"/>
      <c r="T447" s="349"/>
    </row>
    <row r="448" spans="1:20" s="111" customFormat="1" ht="24.75" thickBot="1" x14ac:dyDescent="0.3">
      <c r="A448" s="111" t="s">
        <v>813</v>
      </c>
      <c r="B448" s="362">
        <f>B276</f>
        <v>4</v>
      </c>
      <c r="C448" s="404" t="str">
        <f>C276</f>
        <v>CREPIN Lucie</v>
      </c>
      <c r="D448" s="405">
        <f t="shared" ref="D448" si="1026">R276</f>
        <v>57.512199042651993</v>
      </c>
      <c r="E448" s="406">
        <f t="shared" ref="E448" si="1027">S276</f>
        <v>1531.4000000000026</v>
      </c>
      <c r="F448" s="405">
        <f t="shared" ref="F448" si="1028">T276</f>
        <v>88074.181613917404</v>
      </c>
      <c r="G448" s="413"/>
      <c r="H448" s="404" t="str">
        <f t="shared" ref="H448" si="1029">C89</f>
        <v>CREPIN</v>
      </c>
      <c r="I448" s="407" t="str">
        <f t="shared" ref="I448" si="1030">D89</f>
        <v>Lucie</v>
      </c>
      <c r="J448" s="407" t="str">
        <f>E276</f>
        <v>Doctorat - Biotechnologie, microbilogie - Université Montpellier II</v>
      </c>
      <c r="K448" s="407" t="str">
        <f>D276</f>
        <v>Lead Scientist</v>
      </c>
      <c r="L448" s="349"/>
      <c r="M448" s="349"/>
      <c r="N448" s="349"/>
      <c r="O448" s="349" t="s">
        <v>770</v>
      </c>
      <c r="P448" s="349"/>
      <c r="Q448" s="349"/>
      <c r="R448" s="349"/>
      <c r="S448" s="349"/>
      <c r="T448" s="349"/>
    </row>
    <row r="449" spans="1:20" s="111" customFormat="1" ht="24.75" thickBot="1" x14ac:dyDescent="0.3">
      <c r="A449" s="111" t="s">
        <v>813</v>
      </c>
      <c r="B449" s="362">
        <f>B276</f>
        <v>4</v>
      </c>
      <c r="C449" s="404" t="str">
        <f>C276</f>
        <v>CREPIN Lucie</v>
      </c>
      <c r="D449" s="405">
        <f t="shared" ref="D449" si="1031">R276</f>
        <v>57.512199042651993</v>
      </c>
      <c r="E449" s="406">
        <f t="shared" ref="E449" si="1032">S276</f>
        <v>1531.4000000000026</v>
      </c>
      <c r="F449" s="405">
        <f t="shared" ref="F449" si="1033">T276</f>
        <v>88074.181613917404</v>
      </c>
      <c r="G449" s="413"/>
      <c r="H449" s="404" t="str">
        <f t="shared" ref="H449" si="1034">C89</f>
        <v>CREPIN</v>
      </c>
      <c r="I449" s="407" t="str">
        <f t="shared" ref="I449" si="1035">D89</f>
        <v>Lucie</v>
      </c>
      <c r="J449" s="407" t="str">
        <f>E276</f>
        <v>Doctorat - Biotechnologie, microbilogie - Université Montpellier II</v>
      </c>
      <c r="K449" s="407" t="str">
        <f>D276</f>
        <v>Lead Scientist</v>
      </c>
      <c r="L449" s="349"/>
      <c r="M449" s="349"/>
      <c r="N449" s="349"/>
      <c r="O449" s="349" t="s">
        <v>770</v>
      </c>
      <c r="P449" s="349"/>
      <c r="Q449" s="349"/>
      <c r="R449" s="349"/>
      <c r="S449" s="349"/>
      <c r="T449" s="349"/>
    </row>
    <row r="450" spans="1:20" s="111" customFormat="1" ht="24.75" thickBot="1" x14ac:dyDescent="0.3">
      <c r="A450" s="111" t="s">
        <v>813</v>
      </c>
      <c r="B450" s="362">
        <f>B276</f>
        <v>4</v>
      </c>
      <c r="C450" s="404" t="str">
        <f>C276</f>
        <v>CREPIN Lucie</v>
      </c>
      <c r="D450" s="405">
        <f t="shared" ref="D450" si="1036">R276</f>
        <v>57.512199042651993</v>
      </c>
      <c r="E450" s="406">
        <f t="shared" ref="E450" si="1037">S276</f>
        <v>1531.4000000000026</v>
      </c>
      <c r="F450" s="405">
        <f t="shared" ref="F450" si="1038">T276</f>
        <v>88074.181613917404</v>
      </c>
      <c r="G450" s="413"/>
      <c r="H450" s="404" t="str">
        <f t="shared" ref="H450" si="1039">C89</f>
        <v>CREPIN</v>
      </c>
      <c r="I450" s="407" t="str">
        <f t="shared" ref="I450" si="1040">D89</f>
        <v>Lucie</v>
      </c>
      <c r="J450" s="407" t="str">
        <f>E276</f>
        <v>Doctorat - Biotechnologie, microbilogie - Université Montpellier II</v>
      </c>
      <c r="K450" s="407" t="str">
        <f>D276</f>
        <v>Lead Scientist</v>
      </c>
      <c r="L450" s="349"/>
      <c r="M450" s="349"/>
      <c r="N450" s="349"/>
      <c r="O450" s="349" t="s">
        <v>770</v>
      </c>
      <c r="P450" s="349"/>
      <c r="Q450" s="349"/>
      <c r="R450" s="349"/>
      <c r="S450" s="349"/>
      <c r="T450" s="349"/>
    </row>
    <row r="451" spans="1:20" s="111" customFormat="1" ht="24.75" thickBot="1" x14ac:dyDescent="0.3">
      <c r="A451" s="111" t="s">
        <v>813</v>
      </c>
      <c r="B451" s="362">
        <f>B276</f>
        <v>4</v>
      </c>
      <c r="C451" s="404" t="str">
        <f>C276</f>
        <v>CREPIN Lucie</v>
      </c>
      <c r="D451" s="405">
        <f t="shared" ref="D451" si="1041">R276</f>
        <v>57.512199042651993</v>
      </c>
      <c r="E451" s="406">
        <f t="shared" ref="E451" si="1042">S276</f>
        <v>1531.4000000000026</v>
      </c>
      <c r="F451" s="405">
        <f t="shared" ref="F451" si="1043">T276</f>
        <v>88074.181613917404</v>
      </c>
      <c r="G451" s="413"/>
      <c r="H451" s="404" t="str">
        <f t="shared" ref="H451" si="1044">C89</f>
        <v>CREPIN</v>
      </c>
      <c r="I451" s="407" t="str">
        <f t="shared" ref="I451" si="1045">D89</f>
        <v>Lucie</v>
      </c>
      <c r="J451" s="407" t="str">
        <f>E276</f>
        <v>Doctorat - Biotechnologie, microbilogie - Université Montpellier II</v>
      </c>
      <c r="K451" s="407" t="str">
        <f>D276</f>
        <v>Lead Scientist</v>
      </c>
      <c r="L451" s="349"/>
      <c r="M451" s="349"/>
      <c r="N451" s="349"/>
      <c r="O451" s="349" t="s">
        <v>770</v>
      </c>
      <c r="P451" s="349"/>
      <c r="Q451" s="349"/>
      <c r="R451" s="349"/>
      <c r="S451" s="349"/>
      <c r="T451" s="349"/>
    </row>
    <row r="452" spans="1:20" s="111" customFormat="1" ht="24.75" thickBot="1" x14ac:dyDescent="0.3">
      <c r="A452" s="111" t="s">
        <v>813</v>
      </c>
      <c r="B452" s="362">
        <f>B276</f>
        <v>4</v>
      </c>
      <c r="C452" s="404" t="str">
        <f>C276</f>
        <v>CREPIN Lucie</v>
      </c>
      <c r="D452" s="405">
        <f t="shared" ref="D452" si="1046">R276</f>
        <v>57.512199042651993</v>
      </c>
      <c r="E452" s="406">
        <f t="shared" ref="E452" si="1047">S276</f>
        <v>1531.4000000000026</v>
      </c>
      <c r="F452" s="405">
        <f t="shared" ref="F452" si="1048">T276</f>
        <v>88074.181613917404</v>
      </c>
      <c r="G452" s="413"/>
      <c r="H452" s="404" t="str">
        <f t="shared" ref="H452" si="1049">C89</f>
        <v>CREPIN</v>
      </c>
      <c r="I452" s="407" t="str">
        <f t="shared" ref="I452" si="1050">D89</f>
        <v>Lucie</v>
      </c>
      <c r="J452" s="407" t="str">
        <f>E276</f>
        <v>Doctorat - Biotechnologie, microbilogie - Université Montpellier II</v>
      </c>
      <c r="K452" s="407" t="str">
        <f>D276</f>
        <v>Lead Scientist</v>
      </c>
      <c r="L452" s="349"/>
      <c r="M452" s="349"/>
      <c r="N452" s="349"/>
      <c r="O452" s="349" t="s">
        <v>770</v>
      </c>
      <c r="P452" s="349"/>
      <c r="Q452" s="349"/>
      <c r="R452" s="349"/>
      <c r="S452" s="349"/>
      <c r="T452" s="349"/>
    </row>
    <row r="453" spans="1:20" s="111" customFormat="1" ht="24.75" thickBot="1" x14ac:dyDescent="0.3">
      <c r="A453" s="111" t="s">
        <v>813</v>
      </c>
      <c r="B453" s="362">
        <f>B276</f>
        <v>4</v>
      </c>
      <c r="C453" s="404" t="str">
        <f>C276</f>
        <v>CREPIN Lucie</v>
      </c>
      <c r="D453" s="405">
        <f t="shared" ref="D453" si="1051">R276</f>
        <v>57.512199042651993</v>
      </c>
      <c r="E453" s="406">
        <f t="shared" ref="E453" si="1052">S276</f>
        <v>1531.4000000000026</v>
      </c>
      <c r="F453" s="405">
        <f t="shared" ref="F453" si="1053">T276</f>
        <v>88074.181613917404</v>
      </c>
      <c r="G453" s="413"/>
      <c r="H453" s="404" t="str">
        <f t="shared" ref="H453" si="1054">C89</f>
        <v>CREPIN</v>
      </c>
      <c r="I453" s="407" t="str">
        <f t="shared" ref="I453" si="1055">D89</f>
        <v>Lucie</v>
      </c>
      <c r="J453" s="407" t="str">
        <f>E276</f>
        <v>Doctorat - Biotechnologie, microbilogie - Université Montpellier II</v>
      </c>
      <c r="K453" s="407" t="str">
        <f>D276</f>
        <v>Lead Scientist</v>
      </c>
      <c r="L453" s="349"/>
      <c r="M453" s="349"/>
      <c r="N453" s="349"/>
      <c r="O453" s="349" t="s">
        <v>770</v>
      </c>
      <c r="P453" s="349"/>
      <c r="Q453" s="349"/>
      <c r="R453" s="349"/>
      <c r="S453" s="349"/>
      <c r="T453" s="349"/>
    </row>
    <row r="454" spans="1:20" s="111" customFormat="1" ht="24.75" thickBot="1" x14ac:dyDescent="0.3">
      <c r="A454" s="111" t="s">
        <v>813</v>
      </c>
      <c r="B454" s="362">
        <f>B276</f>
        <v>4</v>
      </c>
      <c r="C454" s="404" t="str">
        <f>C276</f>
        <v>CREPIN Lucie</v>
      </c>
      <c r="D454" s="405">
        <f t="shared" ref="D454" si="1056">R276</f>
        <v>57.512199042651993</v>
      </c>
      <c r="E454" s="406">
        <f t="shared" ref="E454" si="1057">S276</f>
        <v>1531.4000000000026</v>
      </c>
      <c r="F454" s="405">
        <f t="shared" ref="F454" si="1058">T276</f>
        <v>88074.181613917404</v>
      </c>
      <c r="G454" s="413"/>
      <c r="H454" s="404" t="str">
        <f t="shared" ref="H454" si="1059">C89</f>
        <v>CREPIN</v>
      </c>
      <c r="I454" s="407" t="str">
        <f t="shared" ref="I454" si="1060">D89</f>
        <v>Lucie</v>
      </c>
      <c r="J454" s="407" t="str">
        <f>E276</f>
        <v>Doctorat - Biotechnologie, microbilogie - Université Montpellier II</v>
      </c>
      <c r="K454" s="407" t="str">
        <f>D276</f>
        <v>Lead Scientist</v>
      </c>
      <c r="L454" s="349"/>
      <c r="M454" s="349"/>
      <c r="N454" s="349"/>
      <c r="O454" s="349" t="s">
        <v>770</v>
      </c>
      <c r="P454" s="349"/>
      <c r="Q454" s="349"/>
      <c r="R454" s="349"/>
      <c r="S454" s="349"/>
      <c r="T454" s="349"/>
    </row>
    <row r="455" spans="1:20" s="111" customFormat="1" ht="24.75" thickBot="1" x14ac:dyDescent="0.3">
      <c r="A455" s="111" t="s">
        <v>813</v>
      </c>
      <c r="B455" s="362">
        <f>B276</f>
        <v>4</v>
      </c>
      <c r="C455" s="404" t="str">
        <f>C276</f>
        <v>CREPIN Lucie</v>
      </c>
      <c r="D455" s="405">
        <f t="shared" ref="D455" si="1061">R276</f>
        <v>57.512199042651993</v>
      </c>
      <c r="E455" s="406">
        <f t="shared" ref="E455" si="1062">S276</f>
        <v>1531.4000000000026</v>
      </c>
      <c r="F455" s="405">
        <f t="shared" ref="F455" si="1063">T276</f>
        <v>88074.181613917404</v>
      </c>
      <c r="G455" s="413"/>
      <c r="H455" s="404" t="str">
        <f t="shared" ref="H455" si="1064">C89</f>
        <v>CREPIN</v>
      </c>
      <c r="I455" s="407" t="str">
        <f t="shared" ref="I455" si="1065">D89</f>
        <v>Lucie</v>
      </c>
      <c r="J455" s="407" t="str">
        <f>E276</f>
        <v>Doctorat - Biotechnologie, microbilogie - Université Montpellier II</v>
      </c>
      <c r="K455" s="407" t="str">
        <f>D276</f>
        <v>Lead Scientist</v>
      </c>
      <c r="L455" s="349"/>
      <c r="M455" s="349"/>
      <c r="N455" s="349"/>
      <c r="O455" s="349" t="s">
        <v>770</v>
      </c>
      <c r="P455" s="349"/>
      <c r="Q455" s="349"/>
      <c r="R455" s="349"/>
      <c r="S455" s="349"/>
      <c r="T455" s="349"/>
    </row>
    <row r="456" spans="1:20" s="111" customFormat="1" ht="24.75" thickBot="1" x14ac:dyDescent="0.3">
      <c r="A456" s="111" t="s">
        <v>813</v>
      </c>
      <c r="B456" s="362">
        <f>B276</f>
        <v>4</v>
      </c>
      <c r="C456" s="404" t="str">
        <f>C276</f>
        <v>CREPIN Lucie</v>
      </c>
      <c r="D456" s="405">
        <f t="shared" ref="D456" si="1066">R276</f>
        <v>57.512199042651993</v>
      </c>
      <c r="E456" s="406">
        <f t="shared" ref="E456" si="1067">S276</f>
        <v>1531.4000000000026</v>
      </c>
      <c r="F456" s="405">
        <f t="shared" ref="F456" si="1068">T276</f>
        <v>88074.181613917404</v>
      </c>
      <c r="G456" s="413"/>
      <c r="H456" s="404" t="str">
        <f t="shared" ref="H456" si="1069">C89</f>
        <v>CREPIN</v>
      </c>
      <c r="I456" s="407" t="str">
        <f t="shared" ref="I456" si="1070">D89</f>
        <v>Lucie</v>
      </c>
      <c r="J456" s="407" t="str">
        <f>E276</f>
        <v>Doctorat - Biotechnologie, microbilogie - Université Montpellier II</v>
      </c>
      <c r="K456" s="407" t="str">
        <f>D276</f>
        <v>Lead Scientist</v>
      </c>
      <c r="L456" s="349"/>
      <c r="M456" s="349"/>
      <c r="N456" s="349"/>
      <c r="O456" s="349" t="s">
        <v>770</v>
      </c>
      <c r="P456" s="349"/>
      <c r="Q456" s="349"/>
      <c r="R456" s="349"/>
      <c r="S456" s="349"/>
      <c r="T456" s="349"/>
    </row>
    <row r="457" spans="1:20" s="111" customFormat="1" ht="24.75" thickBot="1" x14ac:dyDescent="0.3">
      <c r="A457" s="111" t="s">
        <v>813</v>
      </c>
      <c r="B457" s="362">
        <f>B276</f>
        <v>4</v>
      </c>
      <c r="C457" s="404" t="str">
        <f>C276</f>
        <v>CREPIN Lucie</v>
      </c>
      <c r="D457" s="405">
        <f t="shared" ref="D457" si="1071">R276</f>
        <v>57.512199042651993</v>
      </c>
      <c r="E457" s="406">
        <f t="shared" ref="E457" si="1072">S276</f>
        <v>1531.4000000000026</v>
      </c>
      <c r="F457" s="405">
        <f t="shared" ref="F457" si="1073">T276</f>
        <v>88074.181613917404</v>
      </c>
      <c r="G457" s="413"/>
      <c r="H457" s="404" t="str">
        <f t="shared" ref="H457" si="1074">C89</f>
        <v>CREPIN</v>
      </c>
      <c r="I457" s="407" t="str">
        <f t="shared" ref="I457" si="1075">D89</f>
        <v>Lucie</v>
      </c>
      <c r="J457" s="407" t="str">
        <f>E276</f>
        <v>Doctorat - Biotechnologie, microbilogie - Université Montpellier II</v>
      </c>
      <c r="K457" s="407" t="str">
        <f>D276</f>
        <v>Lead Scientist</v>
      </c>
      <c r="L457" s="349"/>
      <c r="M457" s="349"/>
      <c r="N457" s="349"/>
      <c r="O457" s="349" t="s">
        <v>770</v>
      </c>
      <c r="P457" s="349"/>
      <c r="Q457" s="349"/>
      <c r="R457" s="349"/>
      <c r="S457" s="349"/>
      <c r="T457" s="349"/>
    </row>
    <row r="458" spans="1:20" s="111" customFormat="1" ht="24.75" thickBot="1" x14ac:dyDescent="0.3">
      <c r="A458" s="111" t="s">
        <v>813</v>
      </c>
      <c r="B458" s="362">
        <f>B276</f>
        <v>4</v>
      </c>
      <c r="C458" s="404" t="str">
        <f>C276</f>
        <v>CREPIN Lucie</v>
      </c>
      <c r="D458" s="405">
        <f t="shared" ref="D458" si="1076">R276</f>
        <v>57.512199042651993</v>
      </c>
      <c r="E458" s="406">
        <f t="shared" ref="E458" si="1077">S276</f>
        <v>1531.4000000000026</v>
      </c>
      <c r="F458" s="405">
        <f t="shared" ref="F458" si="1078">T276</f>
        <v>88074.181613917404</v>
      </c>
      <c r="G458" s="413"/>
      <c r="H458" s="404" t="str">
        <f t="shared" ref="H458" si="1079">C89</f>
        <v>CREPIN</v>
      </c>
      <c r="I458" s="407" t="str">
        <f t="shared" ref="I458" si="1080">D89</f>
        <v>Lucie</v>
      </c>
      <c r="J458" s="407" t="str">
        <f>E276</f>
        <v>Doctorat - Biotechnologie, microbilogie - Université Montpellier II</v>
      </c>
      <c r="K458" s="407" t="str">
        <f>D276</f>
        <v>Lead Scientist</v>
      </c>
      <c r="L458" s="349"/>
      <c r="M458" s="349"/>
      <c r="N458" s="349"/>
      <c r="O458" s="349" t="s">
        <v>770</v>
      </c>
      <c r="P458" s="349"/>
      <c r="Q458" s="349"/>
      <c r="R458" s="349"/>
      <c r="S458" s="349"/>
      <c r="T458" s="349"/>
    </row>
    <row r="459" spans="1:20" s="111" customFormat="1" ht="24.75" thickBot="1" x14ac:dyDescent="0.3">
      <c r="A459" s="111" t="s">
        <v>813</v>
      </c>
      <c r="B459" s="362">
        <f>B276</f>
        <v>4</v>
      </c>
      <c r="C459" s="404" t="str">
        <f>C276</f>
        <v>CREPIN Lucie</v>
      </c>
      <c r="D459" s="405">
        <f t="shared" ref="D459" si="1081">R276</f>
        <v>57.512199042651993</v>
      </c>
      <c r="E459" s="406">
        <f t="shared" ref="E459" si="1082">S276</f>
        <v>1531.4000000000026</v>
      </c>
      <c r="F459" s="405">
        <f t="shared" ref="F459" si="1083">T276</f>
        <v>88074.181613917404</v>
      </c>
      <c r="G459" s="413"/>
      <c r="H459" s="404" t="str">
        <f t="shared" ref="H459" si="1084">C89</f>
        <v>CREPIN</v>
      </c>
      <c r="I459" s="407" t="str">
        <f t="shared" ref="I459" si="1085">D89</f>
        <v>Lucie</v>
      </c>
      <c r="J459" s="407" t="str">
        <f>E276</f>
        <v>Doctorat - Biotechnologie, microbilogie - Université Montpellier II</v>
      </c>
      <c r="K459" s="407" t="str">
        <f>D276</f>
        <v>Lead Scientist</v>
      </c>
      <c r="L459" s="349"/>
      <c r="M459" s="349"/>
      <c r="N459" s="349"/>
      <c r="O459" s="349" t="s">
        <v>770</v>
      </c>
      <c r="P459" s="349"/>
      <c r="Q459" s="349"/>
      <c r="R459" s="349"/>
      <c r="S459" s="349"/>
      <c r="T459" s="349"/>
    </row>
    <row r="460" spans="1:20" s="111" customFormat="1" ht="24.75" thickBot="1" x14ac:dyDescent="0.3">
      <c r="A460" s="111" t="s">
        <v>813</v>
      </c>
      <c r="B460" s="362">
        <f>B276</f>
        <v>4</v>
      </c>
      <c r="C460" s="404" t="str">
        <f>C276</f>
        <v>CREPIN Lucie</v>
      </c>
      <c r="D460" s="405">
        <f t="shared" ref="D460" si="1086">R276</f>
        <v>57.512199042651993</v>
      </c>
      <c r="E460" s="406">
        <f t="shared" ref="E460" si="1087">S276</f>
        <v>1531.4000000000026</v>
      </c>
      <c r="F460" s="405">
        <f t="shared" ref="F460" si="1088">T276</f>
        <v>88074.181613917404</v>
      </c>
      <c r="G460" s="413"/>
      <c r="H460" s="404" t="str">
        <f t="shared" ref="H460" si="1089">C89</f>
        <v>CREPIN</v>
      </c>
      <c r="I460" s="407" t="str">
        <f t="shared" ref="I460" si="1090">D89</f>
        <v>Lucie</v>
      </c>
      <c r="J460" s="407" t="str">
        <f>E276</f>
        <v>Doctorat - Biotechnologie, microbilogie - Université Montpellier II</v>
      </c>
      <c r="K460" s="407" t="str">
        <f>D276</f>
        <v>Lead Scientist</v>
      </c>
      <c r="L460" s="349"/>
      <c r="M460" s="349"/>
      <c r="N460" s="349"/>
      <c r="O460" s="349" t="s">
        <v>770</v>
      </c>
      <c r="P460" s="349"/>
      <c r="Q460" s="349"/>
      <c r="R460" s="349"/>
      <c r="S460" s="349"/>
      <c r="T460" s="349"/>
    </row>
    <row r="461" spans="1:20" s="111" customFormat="1" ht="24.75" thickBot="1" x14ac:dyDescent="0.3">
      <c r="A461" s="111" t="s">
        <v>813</v>
      </c>
      <c r="B461" s="362">
        <f>B276</f>
        <v>4</v>
      </c>
      <c r="C461" s="404" t="str">
        <f>C276</f>
        <v>CREPIN Lucie</v>
      </c>
      <c r="D461" s="405">
        <f t="shared" ref="D461" si="1091">R276</f>
        <v>57.512199042651993</v>
      </c>
      <c r="E461" s="406">
        <f t="shared" ref="E461" si="1092">S276</f>
        <v>1531.4000000000026</v>
      </c>
      <c r="F461" s="405">
        <f t="shared" ref="F461" si="1093">T276</f>
        <v>88074.181613917404</v>
      </c>
      <c r="G461" s="413"/>
      <c r="H461" s="404" t="str">
        <f t="shared" ref="H461" si="1094">C89</f>
        <v>CREPIN</v>
      </c>
      <c r="I461" s="407" t="str">
        <f t="shared" ref="I461" si="1095">D89</f>
        <v>Lucie</v>
      </c>
      <c r="J461" s="407" t="str">
        <f>E276</f>
        <v>Doctorat - Biotechnologie, microbilogie - Université Montpellier II</v>
      </c>
      <c r="K461" s="407" t="str">
        <f>D276</f>
        <v>Lead Scientist</v>
      </c>
      <c r="L461" s="349"/>
      <c r="M461" s="349"/>
      <c r="N461" s="349"/>
      <c r="O461" s="349" t="s">
        <v>770</v>
      </c>
      <c r="P461" s="349"/>
      <c r="Q461" s="349"/>
      <c r="R461" s="349"/>
      <c r="S461" s="349"/>
      <c r="T461" s="349"/>
    </row>
    <row r="462" spans="1:20" s="111" customFormat="1" ht="24.75" thickBot="1" x14ac:dyDescent="0.3">
      <c r="A462" s="111" t="s">
        <v>813</v>
      </c>
      <c r="B462" s="362">
        <f>B276</f>
        <v>4</v>
      </c>
      <c r="C462" s="404" t="str">
        <f>C276</f>
        <v>CREPIN Lucie</v>
      </c>
      <c r="D462" s="405">
        <f t="shared" ref="D462" si="1096">R276</f>
        <v>57.512199042651993</v>
      </c>
      <c r="E462" s="406">
        <f t="shared" ref="E462" si="1097">S276</f>
        <v>1531.4000000000026</v>
      </c>
      <c r="F462" s="405">
        <f t="shared" ref="F462" si="1098">T276</f>
        <v>88074.181613917404</v>
      </c>
      <c r="G462" s="413"/>
      <c r="H462" s="404" t="str">
        <f t="shared" ref="H462" si="1099">C89</f>
        <v>CREPIN</v>
      </c>
      <c r="I462" s="407" t="str">
        <f t="shared" ref="I462" si="1100">D89</f>
        <v>Lucie</v>
      </c>
      <c r="J462" s="407" t="str">
        <f>E276</f>
        <v>Doctorat - Biotechnologie, microbilogie - Université Montpellier II</v>
      </c>
      <c r="K462" s="407" t="str">
        <f>D276</f>
        <v>Lead Scientist</v>
      </c>
      <c r="L462" s="349"/>
      <c r="M462" s="349"/>
      <c r="N462" s="349"/>
      <c r="O462" s="349" t="s">
        <v>770</v>
      </c>
      <c r="P462" s="349"/>
      <c r="Q462" s="349"/>
      <c r="R462" s="349"/>
      <c r="S462" s="349"/>
      <c r="T462" s="349"/>
    </row>
    <row r="463" spans="1:20" s="111" customFormat="1" ht="24.75" thickBot="1" x14ac:dyDescent="0.3">
      <c r="A463" s="111" t="s">
        <v>813</v>
      </c>
      <c r="B463" s="362">
        <f>B276</f>
        <v>4</v>
      </c>
      <c r="C463" s="404" t="str">
        <f>C276</f>
        <v>CREPIN Lucie</v>
      </c>
      <c r="D463" s="405">
        <f t="shared" ref="D463" si="1101">R276</f>
        <v>57.512199042651993</v>
      </c>
      <c r="E463" s="406">
        <f t="shared" ref="E463" si="1102">S276</f>
        <v>1531.4000000000026</v>
      </c>
      <c r="F463" s="405">
        <f t="shared" ref="F463" si="1103">T276</f>
        <v>88074.181613917404</v>
      </c>
      <c r="G463" s="413"/>
      <c r="H463" s="404" t="str">
        <f t="shared" ref="H463" si="1104">C89</f>
        <v>CREPIN</v>
      </c>
      <c r="I463" s="407" t="str">
        <f t="shared" ref="I463" si="1105">D89</f>
        <v>Lucie</v>
      </c>
      <c r="J463" s="407" t="str">
        <f>E276</f>
        <v>Doctorat - Biotechnologie, microbilogie - Université Montpellier II</v>
      </c>
      <c r="K463" s="407" t="str">
        <f>D276</f>
        <v>Lead Scientist</v>
      </c>
      <c r="L463" s="349"/>
      <c r="M463" s="349"/>
      <c r="N463" s="349"/>
      <c r="O463" s="349" t="s">
        <v>770</v>
      </c>
      <c r="P463" s="349"/>
      <c r="Q463" s="349"/>
      <c r="R463" s="349"/>
      <c r="S463" s="349"/>
      <c r="T463" s="349"/>
    </row>
    <row r="464" spans="1:20" s="111" customFormat="1" ht="24.75" thickBot="1" x14ac:dyDescent="0.3">
      <c r="A464" s="111" t="s">
        <v>813</v>
      </c>
      <c r="B464" s="362">
        <f>B276</f>
        <v>4</v>
      </c>
      <c r="C464" s="404" t="str">
        <f>C276</f>
        <v>CREPIN Lucie</v>
      </c>
      <c r="D464" s="405">
        <f t="shared" ref="D464" si="1106">R276</f>
        <v>57.512199042651993</v>
      </c>
      <c r="E464" s="406">
        <f t="shared" ref="E464" si="1107">S276</f>
        <v>1531.4000000000026</v>
      </c>
      <c r="F464" s="405">
        <f t="shared" ref="F464" si="1108">T276</f>
        <v>88074.181613917404</v>
      </c>
      <c r="G464" s="413"/>
      <c r="H464" s="404" t="str">
        <f t="shared" ref="H464" si="1109">C89</f>
        <v>CREPIN</v>
      </c>
      <c r="I464" s="407" t="str">
        <f t="shared" ref="I464" si="1110">D89</f>
        <v>Lucie</v>
      </c>
      <c r="J464" s="407" t="str">
        <f>E276</f>
        <v>Doctorat - Biotechnologie, microbilogie - Université Montpellier II</v>
      </c>
      <c r="K464" s="407" t="str">
        <f>D276</f>
        <v>Lead Scientist</v>
      </c>
      <c r="L464" s="349"/>
      <c r="M464" s="349"/>
      <c r="N464" s="349"/>
      <c r="O464" s="349" t="s">
        <v>770</v>
      </c>
      <c r="P464" s="349"/>
      <c r="Q464" s="349"/>
      <c r="R464" s="349"/>
      <c r="S464" s="349"/>
      <c r="T464" s="349"/>
    </row>
    <row r="465" spans="1:20" s="111" customFormat="1" ht="24.75" thickBot="1" x14ac:dyDescent="0.3">
      <c r="A465" s="111" t="s">
        <v>813</v>
      </c>
      <c r="B465" s="362">
        <f>B276</f>
        <v>4</v>
      </c>
      <c r="C465" s="404" t="str">
        <f>C276</f>
        <v>CREPIN Lucie</v>
      </c>
      <c r="D465" s="405">
        <f t="shared" ref="D465" si="1111">R276</f>
        <v>57.512199042651993</v>
      </c>
      <c r="E465" s="406">
        <f t="shared" ref="E465" si="1112">S276</f>
        <v>1531.4000000000026</v>
      </c>
      <c r="F465" s="405">
        <f t="shared" ref="F465" si="1113">T276</f>
        <v>88074.181613917404</v>
      </c>
      <c r="G465" s="413"/>
      <c r="H465" s="404" t="str">
        <f t="shared" ref="H465" si="1114">C89</f>
        <v>CREPIN</v>
      </c>
      <c r="I465" s="407" t="str">
        <f t="shared" ref="I465" si="1115">D89</f>
        <v>Lucie</v>
      </c>
      <c r="J465" s="407" t="str">
        <f>E276</f>
        <v>Doctorat - Biotechnologie, microbilogie - Université Montpellier II</v>
      </c>
      <c r="K465" s="407" t="str">
        <f>D276</f>
        <v>Lead Scientist</v>
      </c>
      <c r="L465" s="349"/>
      <c r="M465" s="349"/>
      <c r="N465" s="349"/>
      <c r="O465" s="349" t="s">
        <v>770</v>
      </c>
      <c r="P465" s="349"/>
      <c r="Q465" s="349"/>
      <c r="R465" s="349"/>
      <c r="S465" s="349"/>
      <c r="T465" s="349"/>
    </row>
    <row r="466" spans="1:20" s="111" customFormat="1" ht="24.75" thickBot="1" x14ac:dyDescent="0.3">
      <c r="A466" s="111" t="s">
        <v>813</v>
      </c>
      <c r="B466" s="362">
        <f>B276</f>
        <v>4</v>
      </c>
      <c r="C466" s="404" t="str">
        <f>C276</f>
        <v>CREPIN Lucie</v>
      </c>
      <c r="D466" s="405">
        <f t="shared" ref="D466" si="1116">R276</f>
        <v>57.512199042651993</v>
      </c>
      <c r="E466" s="406">
        <f t="shared" ref="E466" si="1117">S276</f>
        <v>1531.4000000000026</v>
      </c>
      <c r="F466" s="405">
        <f t="shared" ref="F466" si="1118">T276</f>
        <v>88074.181613917404</v>
      </c>
      <c r="G466" s="413"/>
      <c r="H466" s="404" t="str">
        <f t="shared" ref="H466" si="1119">C89</f>
        <v>CREPIN</v>
      </c>
      <c r="I466" s="407" t="str">
        <f t="shared" ref="I466" si="1120">D89</f>
        <v>Lucie</v>
      </c>
      <c r="J466" s="407" t="str">
        <f>E276</f>
        <v>Doctorat - Biotechnologie, microbilogie - Université Montpellier II</v>
      </c>
      <c r="K466" s="407" t="str">
        <f>D276</f>
        <v>Lead Scientist</v>
      </c>
      <c r="L466" s="349"/>
      <c r="M466" s="349"/>
      <c r="N466" s="349"/>
      <c r="O466" s="349" t="s">
        <v>770</v>
      </c>
      <c r="P466" s="349"/>
      <c r="Q466" s="349"/>
      <c r="R466" s="349"/>
      <c r="S466" s="349"/>
      <c r="T466" s="349"/>
    </row>
    <row r="467" spans="1:20" s="111" customFormat="1" ht="24.75" thickBot="1" x14ac:dyDescent="0.3">
      <c r="A467" s="111" t="s">
        <v>813</v>
      </c>
      <c r="B467" s="362">
        <f>B276</f>
        <v>4</v>
      </c>
      <c r="C467" s="404" t="str">
        <f>C276</f>
        <v>CREPIN Lucie</v>
      </c>
      <c r="D467" s="405">
        <f t="shared" ref="D467" si="1121">R276</f>
        <v>57.512199042651993</v>
      </c>
      <c r="E467" s="406">
        <f t="shared" ref="E467" si="1122">S276</f>
        <v>1531.4000000000026</v>
      </c>
      <c r="F467" s="405">
        <f t="shared" ref="F467" si="1123">T276</f>
        <v>88074.181613917404</v>
      </c>
      <c r="G467" s="413"/>
      <c r="H467" s="404" t="str">
        <f t="shared" ref="H467" si="1124">C89</f>
        <v>CREPIN</v>
      </c>
      <c r="I467" s="407" t="str">
        <f t="shared" ref="I467" si="1125">D89</f>
        <v>Lucie</v>
      </c>
      <c r="J467" s="407" t="str">
        <f>E276</f>
        <v>Doctorat - Biotechnologie, microbilogie - Université Montpellier II</v>
      </c>
      <c r="K467" s="407" t="str">
        <f>D276</f>
        <v>Lead Scientist</v>
      </c>
      <c r="L467" s="349"/>
      <c r="M467" s="349"/>
      <c r="N467" s="349"/>
      <c r="O467" s="349" t="s">
        <v>770</v>
      </c>
      <c r="P467" s="349"/>
      <c r="Q467" s="349"/>
      <c r="R467" s="349"/>
      <c r="S467" s="349"/>
      <c r="T467" s="349"/>
    </row>
    <row r="468" spans="1:20" s="111" customFormat="1" ht="24.75" thickBot="1" x14ac:dyDescent="0.3">
      <c r="A468" s="111" t="s">
        <v>813</v>
      </c>
      <c r="B468" s="362">
        <f>B276</f>
        <v>4</v>
      </c>
      <c r="C468" s="404" t="str">
        <f>C276</f>
        <v>CREPIN Lucie</v>
      </c>
      <c r="D468" s="405">
        <f t="shared" ref="D468" si="1126">R276</f>
        <v>57.512199042651993</v>
      </c>
      <c r="E468" s="406">
        <f t="shared" ref="E468" si="1127">S276</f>
        <v>1531.4000000000026</v>
      </c>
      <c r="F468" s="405">
        <f t="shared" ref="F468" si="1128">T276</f>
        <v>88074.181613917404</v>
      </c>
      <c r="G468" s="413"/>
      <c r="H468" s="404" t="str">
        <f t="shared" ref="H468" si="1129">C89</f>
        <v>CREPIN</v>
      </c>
      <c r="I468" s="407" t="str">
        <f t="shared" ref="I468" si="1130">D89</f>
        <v>Lucie</v>
      </c>
      <c r="J468" s="407" t="str">
        <f>E276</f>
        <v>Doctorat - Biotechnologie, microbilogie - Université Montpellier II</v>
      </c>
      <c r="K468" s="407" t="str">
        <f>D276</f>
        <v>Lead Scientist</v>
      </c>
      <c r="L468" s="349"/>
      <c r="M468" s="349"/>
      <c r="N468" s="349"/>
      <c r="O468" s="349" t="s">
        <v>770</v>
      </c>
      <c r="P468" s="349"/>
      <c r="Q468" s="349"/>
      <c r="R468" s="349"/>
      <c r="S468" s="349"/>
      <c r="T468" s="349"/>
    </row>
    <row r="469" spans="1:20" s="111" customFormat="1" ht="24.75" thickBot="1" x14ac:dyDescent="0.3">
      <c r="A469" s="111" t="s">
        <v>813</v>
      </c>
      <c r="B469" s="362">
        <f>B276</f>
        <v>4</v>
      </c>
      <c r="C469" s="404" t="str">
        <f>C276</f>
        <v>CREPIN Lucie</v>
      </c>
      <c r="D469" s="405">
        <f t="shared" ref="D469" si="1131">R276</f>
        <v>57.512199042651993</v>
      </c>
      <c r="E469" s="406">
        <f t="shared" ref="E469" si="1132">S276</f>
        <v>1531.4000000000026</v>
      </c>
      <c r="F469" s="405">
        <f t="shared" ref="F469" si="1133">T276</f>
        <v>88074.181613917404</v>
      </c>
      <c r="G469" s="413"/>
      <c r="H469" s="404" t="str">
        <f t="shared" ref="H469" si="1134">C89</f>
        <v>CREPIN</v>
      </c>
      <c r="I469" s="407" t="str">
        <f t="shared" ref="I469" si="1135">D89</f>
        <v>Lucie</v>
      </c>
      <c r="J469" s="407" t="str">
        <f>E276</f>
        <v>Doctorat - Biotechnologie, microbilogie - Université Montpellier II</v>
      </c>
      <c r="K469" s="407" t="str">
        <f>D276</f>
        <v>Lead Scientist</v>
      </c>
      <c r="L469" s="349"/>
      <c r="M469" s="349"/>
      <c r="N469" s="349"/>
      <c r="O469" s="349" t="s">
        <v>770</v>
      </c>
      <c r="P469" s="349"/>
      <c r="Q469" s="349"/>
      <c r="R469" s="349"/>
      <c r="S469" s="349"/>
      <c r="T469" s="349"/>
    </row>
    <row r="470" spans="1:20" s="111" customFormat="1" ht="24.75" thickBot="1" x14ac:dyDescent="0.3">
      <c r="A470" s="111" t="s">
        <v>813</v>
      </c>
      <c r="B470" s="362">
        <f>B276</f>
        <v>4</v>
      </c>
      <c r="C470" s="404" t="str">
        <f>C276</f>
        <v>CREPIN Lucie</v>
      </c>
      <c r="D470" s="405">
        <f t="shared" ref="D470" si="1136">R276</f>
        <v>57.512199042651993</v>
      </c>
      <c r="E470" s="406">
        <f t="shared" ref="E470" si="1137">S276</f>
        <v>1531.4000000000026</v>
      </c>
      <c r="F470" s="405">
        <f t="shared" ref="F470" si="1138">T276</f>
        <v>88074.181613917404</v>
      </c>
      <c r="G470" s="413"/>
      <c r="H470" s="404" t="str">
        <f t="shared" ref="H470" si="1139">C89</f>
        <v>CREPIN</v>
      </c>
      <c r="I470" s="407" t="str">
        <f t="shared" ref="I470" si="1140">D89</f>
        <v>Lucie</v>
      </c>
      <c r="J470" s="407" t="str">
        <f>E276</f>
        <v>Doctorat - Biotechnologie, microbilogie - Université Montpellier II</v>
      </c>
      <c r="K470" s="407" t="str">
        <f>D276</f>
        <v>Lead Scientist</v>
      </c>
      <c r="L470" s="349"/>
      <c r="M470" s="349"/>
      <c r="N470" s="349"/>
      <c r="O470" s="349" t="s">
        <v>770</v>
      </c>
      <c r="P470" s="349"/>
      <c r="Q470" s="349"/>
      <c r="R470" s="349"/>
      <c r="S470" s="349"/>
      <c r="T470" s="349"/>
    </row>
    <row r="471" spans="1:20" s="111" customFormat="1" ht="24.75" thickBot="1" x14ac:dyDescent="0.3">
      <c r="A471" s="111" t="s">
        <v>813</v>
      </c>
      <c r="B471" s="362">
        <f>B276</f>
        <v>4</v>
      </c>
      <c r="C471" s="404" t="str">
        <f>C276</f>
        <v>CREPIN Lucie</v>
      </c>
      <c r="D471" s="405">
        <f t="shared" ref="D471" si="1141">R276</f>
        <v>57.512199042651993</v>
      </c>
      <c r="E471" s="406">
        <f t="shared" ref="E471" si="1142">S276</f>
        <v>1531.4000000000026</v>
      </c>
      <c r="F471" s="405">
        <f t="shared" ref="F471" si="1143">T276</f>
        <v>88074.181613917404</v>
      </c>
      <c r="G471" s="413"/>
      <c r="H471" s="404" t="str">
        <f t="shared" ref="H471" si="1144">C89</f>
        <v>CREPIN</v>
      </c>
      <c r="I471" s="407" t="str">
        <f t="shared" ref="I471" si="1145">D89</f>
        <v>Lucie</v>
      </c>
      <c r="J471" s="407" t="str">
        <f>E276</f>
        <v>Doctorat - Biotechnologie, microbilogie - Université Montpellier II</v>
      </c>
      <c r="K471" s="407" t="str">
        <f>D276</f>
        <v>Lead Scientist</v>
      </c>
      <c r="L471" s="349"/>
      <c r="M471" s="349"/>
      <c r="N471" s="349"/>
      <c r="O471" s="349" t="s">
        <v>770</v>
      </c>
      <c r="P471" s="349"/>
      <c r="Q471" s="349"/>
      <c r="R471" s="349"/>
      <c r="S471" s="349"/>
      <c r="T471" s="349"/>
    </row>
    <row r="472" spans="1:20" s="111" customFormat="1" ht="24.75" thickBot="1" x14ac:dyDescent="0.3">
      <c r="A472" s="111" t="s">
        <v>813</v>
      </c>
      <c r="B472" s="362">
        <f>B276</f>
        <v>4</v>
      </c>
      <c r="C472" s="404" t="str">
        <f>C276</f>
        <v>CREPIN Lucie</v>
      </c>
      <c r="D472" s="405">
        <f t="shared" ref="D472" si="1146">R276</f>
        <v>57.512199042651993</v>
      </c>
      <c r="E472" s="406">
        <f t="shared" ref="E472" si="1147">S276</f>
        <v>1531.4000000000026</v>
      </c>
      <c r="F472" s="405">
        <f t="shared" ref="F472" si="1148">T276</f>
        <v>88074.181613917404</v>
      </c>
      <c r="G472" s="413"/>
      <c r="H472" s="404" t="str">
        <f t="shared" ref="H472" si="1149">C89</f>
        <v>CREPIN</v>
      </c>
      <c r="I472" s="407" t="str">
        <f t="shared" ref="I472" si="1150">D89</f>
        <v>Lucie</v>
      </c>
      <c r="J472" s="407" t="str">
        <f>E276</f>
        <v>Doctorat - Biotechnologie, microbilogie - Université Montpellier II</v>
      </c>
      <c r="K472" s="407" t="str">
        <f>D276</f>
        <v>Lead Scientist</v>
      </c>
      <c r="L472" s="349"/>
      <c r="M472" s="349"/>
      <c r="N472" s="349"/>
      <c r="O472" s="349" t="s">
        <v>770</v>
      </c>
      <c r="P472" s="349"/>
      <c r="Q472" s="349"/>
      <c r="R472" s="349"/>
      <c r="S472" s="349"/>
      <c r="T472" s="349"/>
    </row>
    <row r="473" spans="1:20" s="111" customFormat="1" ht="24.75" thickBot="1" x14ac:dyDescent="0.3">
      <c r="A473" s="111" t="s">
        <v>813</v>
      </c>
      <c r="B473" s="362">
        <f>B276</f>
        <v>4</v>
      </c>
      <c r="C473" s="404" t="str">
        <f>C276</f>
        <v>CREPIN Lucie</v>
      </c>
      <c r="D473" s="405">
        <f t="shared" ref="D473" si="1151">R276</f>
        <v>57.512199042651993</v>
      </c>
      <c r="E473" s="406">
        <f t="shared" ref="E473" si="1152">S276</f>
        <v>1531.4000000000026</v>
      </c>
      <c r="F473" s="405">
        <f t="shared" ref="F473" si="1153">T276</f>
        <v>88074.181613917404</v>
      </c>
      <c r="G473" s="413"/>
      <c r="H473" s="404" t="str">
        <f t="shared" ref="H473" si="1154">C89</f>
        <v>CREPIN</v>
      </c>
      <c r="I473" s="407" t="str">
        <f t="shared" ref="I473" si="1155">D89</f>
        <v>Lucie</v>
      </c>
      <c r="J473" s="407" t="str">
        <f>E276</f>
        <v>Doctorat - Biotechnologie, microbilogie - Université Montpellier II</v>
      </c>
      <c r="K473" s="407" t="str">
        <f>D276</f>
        <v>Lead Scientist</v>
      </c>
      <c r="L473" s="349"/>
      <c r="M473" s="349"/>
      <c r="N473" s="349"/>
      <c r="O473" s="349" t="s">
        <v>770</v>
      </c>
      <c r="P473" s="349"/>
      <c r="Q473" s="349"/>
      <c r="R473" s="349"/>
      <c r="S473" s="349"/>
      <c r="T473" s="349"/>
    </row>
    <row r="474" spans="1:20" s="111" customFormat="1" ht="24.75" thickBot="1" x14ac:dyDescent="0.3">
      <c r="A474" s="111" t="s">
        <v>813</v>
      </c>
      <c r="B474" s="362">
        <f>B276</f>
        <v>4</v>
      </c>
      <c r="C474" s="404" t="str">
        <f>C276</f>
        <v>CREPIN Lucie</v>
      </c>
      <c r="D474" s="405">
        <f t="shared" ref="D474" si="1156">R276</f>
        <v>57.512199042651993</v>
      </c>
      <c r="E474" s="406">
        <f t="shared" ref="E474" si="1157">S276</f>
        <v>1531.4000000000026</v>
      </c>
      <c r="F474" s="405">
        <f t="shared" ref="F474" si="1158">T276</f>
        <v>88074.181613917404</v>
      </c>
      <c r="G474" s="413"/>
      <c r="H474" s="404" t="str">
        <f t="shared" ref="H474" si="1159">C89</f>
        <v>CREPIN</v>
      </c>
      <c r="I474" s="407" t="str">
        <f t="shared" ref="I474" si="1160">D89</f>
        <v>Lucie</v>
      </c>
      <c r="J474" s="407" t="str">
        <f>E276</f>
        <v>Doctorat - Biotechnologie, microbilogie - Université Montpellier II</v>
      </c>
      <c r="K474" s="407" t="str">
        <f>D276</f>
        <v>Lead Scientist</v>
      </c>
      <c r="L474" s="349"/>
      <c r="M474" s="349"/>
      <c r="N474" s="349"/>
      <c r="O474" s="349" t="s">
        <v>770</v>
      </c>
      <c r="P474" s="349"/>
      <c r="Q474" s="349"/>
      <c r="R474" s="349"/>
      <c r="S474" s="349"/>
      <c r="T474" s="349"/>
    </row>
    <row r="475" spans="1:20" s="111" customFormat="1" ht="24.75" thickBot="1" x14ac:dyDescent="0.3">
      <c r="A475" s="111" t="s">
        <v>813</v>
      </c>
      <c r="B475" s="362">
        <f>B276</f>
        <v>4</v>
      </c>
      <c r="C475" s="404" t="str">
        <f>C276</f>
        <v>CREPIN Lucie</v>
      </c>
      <c r="D475" s="405">
        <f t="shared" ref="D475" si="1161">R276</f>
        <v>57.512199042651993</v>
      </c>
      <c r="E475" s="406">
        <f t="shared" ref="E475" si="1162">S276</f>
        <v>1531.4000000000026</v>
      </c>
      <c r="F475" s="405">
        <f t="shared" ref="F475" si="1163">T276</f>
        <v>88074.181613917404</v>
      </c>
      <c r="G475" s="413"/>
      <c r="H475" s="404" t="str">
        <f t="shared" ref="H475" si="1164">C89</f>
        <v>CREPIN</v>
      </c>
      <c r="I475" s="407" t="str">
        <f t="shared" ref="I475" si="1165">D89</f>
        <v>Lucie</v>
      </c>
      <c r="J475" s="407" t="str">
        <f>E276</f>
        <v>Doctorat - Biotechnologie, microbilogie - Université Montpellier II</v>
      </c>
      <c r="K475" s="407" t="str">
        <f>D276</f>
        <v>Lead Scientist</v>
      </c>
      <c r="L475" s="349"/>
      <c r="M475" s="349"/>
      <c r="N475" s="349"/>
      <c r="O475" s="349" t="s">
        <v>770</v>
      </c>
      <c r="P475" s="349"/>
      <c r="Q475" s="349"/>
      <c r="R475" s="349"/>
      <c r="S475" s="349"/>
      <c r="T475" s="349"/>
    </row>
    <row r="476" spans="1:20" s="111" customFormat="1" ht="24.75" thickBot="1" x14ac:dyDescent="0.3">
      <c r="A476" s="111" t="s">
        <v>813</v>
      </c>
      <c r="B476" s="362">
        <f>B276</f>
        <v>4</v>
      </c>
      <c r="C476" s="404" t="str">
        <f>C276</f>
        <v>CREPIN Lucie</v>
      </c>
      <c r="D476" s="405">
        <f t="shared" ref="D476" si="1166">R276</f>
        <v>57.512199042651993</v>
      </c>
      <c r="E476" s="406">
        <f t="shared" ref="E476" si="1167">S276</f>
        <v>1531.4000000000026</v>
      </c>
      <c r="F476" s="405">
        <f t="shared" ref="F476" si="1168">T276</f>
        <v>88074.181613917404</v>
      </c>
      <c r="G476" s="413"/>
      <c r="H476" s="404" t="str">
        <f t="shared" ref="H476" si="1169">C89</f>
        <v>CREPIN</v>
      </c>
      <c r="I476" s="407" t="str">
        <f t="shared" ref="I476" si="1170">D89</f>
        <v>Lucie</v>
      </c>
      <c r="J476" s="407" t="str">
        <f>E276</f>
        <v>Doctorat - Biotechnologie, microbilogie - Université Montpellier II</v>
      </c>
      <c r="K476" s="407" t="str">
        <f>D276</f>
        <v>Lead Scientist</v>
      </c>
      <c r="L476" s="349"/>
      <c r="M476" s="349"/>
      <c r="N476" s="349"/>
      <c r="O476" s="349" t="s">
        <v>770</v>
      </c>
      <c r="P476" s="349"/>
      <c r="Q476" s="349"/>
      <c r="R476" s="349"/>
      <c r="S476" s="349"/>
      <c r="T476" s="349"/>
    </row>
    <row r="477" spans="1:20" s="111" customFormat="1" ht="24.75" thickBot="1" x14ac:dyDescent="0.3">
      <c r="A477" s="111" t="s">
        <v>813</v>
      </c>
      <c r="B477" s="362">
        <f>B276</f>
        <v>4</v>
      </c>
      <c r="C477" s="404" t="str">
        <f>C276</f>
        <v>CREPIN Lucie</v>
      </c>
      <c r="D477" s="405">
        <f t="shared" ref="D477" si="1171">R276</f>
        <v>57.512199042651993</v>
      </c>
      <c r="E477" s="406">
        <f t="shared" ref="E477" si="1172">S276</f>
        <v>1531.4000000000026</v>
      </c>
      <c r="F477" s="405">
        <f t="shared" ref="F477" si="1173">T276</f>
        <v>88074.181613917404</v>
      </c>
      <c r="G477" s="413"/>
      <c r="H477" s="404" t="str">
        <f t="shared" ref="H477" si="1174">C89</f>
        <v>CREPIN</v>
      </c>
      <c r="I477" s="407" t="str">
        <f t="shared" ref="I477" si="1175">D89</f>
        <v>Lucie</v>
      </c>
      <c r="J477" s="407" t="str">
        <f>E276</f>
        <v>Doctorat - Biotechnologie, microbilogie - Université Montpellier II</v>
      </c>
      <c r="K477" s="407" t="str">
        <f>D276</f>
        <v>Lead Scientist</v>
      </c>
      <c r="L477" s="349"/>
      <c r="M477" s="349"/>
      <c r="N477" s="349"/>
      <c r="O477" s="349" t="s">
        <v>770</v>
      </c>
      <c r="P477" s="349"/>
      <c r="Q477" s="349"/>
      <c r="R477" s="349"/>
      <c r="S477" s="349"/>
      <c r="T477" s="349"/>
    </row>
    <row r="478" spans="1:20" s="111" customFormat="1" ht="24.75" thickBot="1" x14ac:dyDescent="0.3">
      <c r="A478" s="111" t="s">
        <v>813</v>
      </c>
      <c r="B478" s="362">
        <f>B276</f>
        <v>4</v>
      </c>
      <c r="C478" s="404" t="str">
        <f>C276</f>
        <v>CREPIN Lucie</v>
      </c>
      <c r="D478" s="405">
        <f t="shared" ref="D478" si="1176">R276</f>
        <v>57.512199042651993</v>
      </c>
      <c r="E478" s="406">
        <f t="shared" ref="E478" si="1177">S276</f>
        <v>1531.4000000000026</v>
      </c>
      <c r="F478" s="405">
        <f t="shared" ref="F478" si="1178">T276</f>
        <v>88074.181613917404</v>
      </c>
      <c r="G478" s="413"/>
      <c r="H478" s="404" t="str">
        <f t="shared" ref="H478" si="1179">C89</f>
        <v>CREPIN</v>
      </c>
      <c r="I478" s="407" t="str">
        <f t="shared" ref="I478" si="1180">D89</f>
        <v>Lucie</v>
      </c>
      <c r="J478" s="407" t="str">
        <f>E276</f>
        <v>Doctorat - Biotechnologie, microbilogie - Université Montpellier II</v>
      </c>
      <c r="K478" s="407" t="str">
        <f>D276</f>
        <v>Lead Scientist</v>
      </c>
      <c r="L478" s="349"/>
      <c r="M478" s="349"/>
      <c r="N478" s="349"/>
      <c r="O478" s="349" t="s">
        <v>770</v>
      </c>
      <c r="P478" s="349"/>
      <c r="Q478" s="349"/>
      <c r="R478" s="349"/>
      <c r="S478" s="349"/>
      <c r="T478" s="349"/>
    </row>
    <row r="479" spans="1:20" s="111" customFormat="1" ht="24.75" thickBot="1" x14ac:dyDescent="0.3">
      <c r="A479" s="111" t="s">
        <v>813</v>
      </c>
      <c r="B479" s="362">
        <f>B276</f>
        <v>4</v>
      </c>
      <c r="C479" s="404" t="str">
        <f>C276</f>
        <v>CREPIN Lucie</v>
      </c>
      <c r="D479" s="405">
        <f t="shared" ref="D479" si="1181">R276</f>
        <v>57.512199042651993</v>
      </c>
      <c r="E479" s="406">
        <f t="shared" ref="E479" si="1182">S276</f>
        <v>1531.4000000000026</v>
      </c>
      <c r="F479" s="405">
        <f t="shared" ref="F479" si="1183">T276</f>
        <v>88074.181613917404</v>
      </c>
      <c r="G479" s="413"/>
      <c r="H479" s="404" t="str">
        <f t="shared" ref="H479" si="1184">C89</f>
        <v>CREPIN</v>
      </c>
      <c r="I479" s="407" t="str">
        <f t="shared" ref="I479" si="1185">D89</f>
        <v>Lucie</v>
      </c>
      <c r="J479" s="407" t="str">
        <f>E276</f>
        <v>Doctorat - Biotechnologie, microbilogie - Université Montpellier II</v>
      </c>
      <c r="K479" s="407" t="str">
        <f>D276</f>
        <v>Lead Scientist</v>
      </c>
      <c r="L479" s="349"/>
      <c r="M479" s="349"/>
      <c r="N479" s="349"/>
      <c r="O479" s="349" t="s">
        <v>770</v>
      </c>
      <c r="P479" s="349"/>
      <c r="Q479" s="349"/>
      <c r="R479" s="349"/>
      <c r="S479" s="349"/>
      <c r="T479" s="349"/>
    </row>
    <row r="480" spans="1:20" s="111" customFormat="1" ht="24.75" thickBot="1" x14ac:dyDescent="0.3">
      <c r="A480" s="111" t="s">
        <v>813</v>
      </c>
      <c r="B480" s="362">
        <f>B276</f>
        <v>4</v>
      </c>
      <c r="C480" s="404" t="str">
        <f>C276</f>
        <v>CREPIN Lucie</v>
      </c>
      <c r="D480" s="405">
        <f t="shared" ref="D480" si="1186">R276</f>
        <v>57.512199042651993</v>
      </c>
      <c r="E480" s="406">
        <f t="shared" ref="E480" si="1187">S276</f>
        <v>1531.4000000000026</v>
      </c>
      <c r="F480" s="405">
        <f t="shared" ref="F480" si="1188">T276</f>
        <v>88074.181613917404</v>
      </c>
      <c r="G480" s="413"/>
      <c r="H480" s="404" t="str">
        <f t="shared" ref="H480" si="1189">C89</f>
        <v>CREPIN</v>
      </c>
      <c r="I480" s="407" t="str">
        <f t="shared" ref="I480" si="1190">D89</f>
        <v>Lucie</v>
      </c>
      <c r="J480" s="407" t="str">
        <f>E276</f>
        <v>Doctorat - Biotechnologie, microbilogie - Université Montpellier II</v>
      </c>
      <c r="K480" s="407" t="str">
        <f>D276</f>
        <v>Lead Scientist</v>
      </c>
      <c r="L480" s="349"/>
      <c r="M480" s="349"/>
      <c r="N480" s="349"/>
      <c r="O480" s="349" t="s">
        <v>770</v>
      </c>
      <c r="P480" s="349"/>
      <c r="Q480" s="349"/>
      <c r="R480" s="349"/>
      <c r="S480" s="349"/>
      <c r="T480" s="349"/>
    </row>
    <row r="481" spans="1:20" s="111" customFormat="1" ht="24.75" thickBot="1" x14ac:dyDescent="0.3">
      <c r="A481" s="111" t="s">
        <v>813</v>
      </c>
      <c r="B481" s="362">
        <f>B276</f>
        <v>4</v>
      </c>
      <c r="C481" s="404" t="str">
        <f>C276</f>
        <v>CREPIN Lucie</v>
      </c>
      <c r="D481" s="405">
        <f t="shared" ref="D481" si="1191">R276</f>
        <v>57.512199042651993</v>
      </c>
      <c r="E481" s="406">
        <f t="shared" ref="E481" si="1192">S276</f>
        <v>1531.4000000000026</v>
      </c>
      <c r="F481" s="405">
        <f t="shared" ref="F481" si="1193">T276</f>
        <v>88074.181613917404</v>
      </c>
      <c r="G481" s="413"/>
      <c r="H481" s="404" t="str">
        <f t="shared" ref="H481" si="1194">C89</f>
        <v>CREPIN</v>
      </c>
      <c r="I481" s="407" t="str">
        <f t="shared" ref="I481" si="1195">D89</f>
        <v>Lucie</v>
      </c>
      <c r="J481" s="407" t="str">
        <f>E276</f>
        <v>Doctorat - Biotechnologie, microbilogie - Université Montpellier II</v>
      </c>
      <c r="K481" s="407" t="str">
        <f>D276</f>
        <v>Lead Scientist</v>
      </c>
      <c r="L481" s="349"/>
      <c r="M481" s="349"/>
      <c r="N481" s="349"/>
      <c r="O481" s="349" t="s">
        <v>770</v>
      </c>
      <c r="P481" s="349"/>
      <c r="Q481" s="349"/>
      <c r="R481" s="349"/>
      <c r="S481" s="349"/>
      <c r="T481" s="349"/>
    </row>
    <row r="482" spans="1:20" s="111" customFormat="1" ht="24.75" thickBot="1" x14ac:dyDescent="0.3">
      <c r="A482" s="111" t="s">
        <v>813</v>
      </c>
      <c r="B482" s="362">
        <f>B276</f>
        <v>4</v>
      </c>
      <c r="C482" s="404" t="str">
        <f>C276</f>
        <v>CREPIN Lucie</v>
      </c>
      <c r="D482" s="405">
        <f t="shared" ref="D482" si="1196">R276</f>
        <v>57.512199042651993</v>
      </c>
      <c r="E482" s="406">
        <f t="shared" ref="E482" si="1197">S276</f>
        <v>1531.4000000000026</v>
      </c>
      <c r="F482" s="405">
        <f t="shared" ref="F482" si="1198">T276</f>
        <v>88074.181613917404</v>
      </c>
      <c r="G482" s="413"/>
      <c r="H482" s="404" t="str">
        <f t="shared" ref="H482" si="1199">C89</f>
        <v>CREPIN</v>
      </c>
      <c r="I482" s="407" t="str">
        <f t="shared" ref="I482" si="1200">D89</f>
        <v>Lucie</v>
      </c>
      <c r="J482" s="407" t="str">
        <f>E276</f>
        <v>Doctorat - Biotechnologie, microbilogie - Université Montpellier II</v>
      </c>
      <c r="K482" s="407" t="str">
        <f>D276</f>
        <v>Lead Scientist</v>
      </c>
      <c r="L482" s="349"/>
      <c r="M482" s="349"/>
      <c r="N482" s="349"/>
      <c r="O482" s="349" t="s">
        <v>770</v>
      </c>
      <c r="P482" s="349"/>
      <c r="Q482" s="349"/>
      <c r="R482" s="349"/>
      <c r="S482" s="349"/>
      <c r="T482" s="349"/>
    </row>
    <row r="483" spans="1:20" s="111" customFormat="1" ht="24.75" thickBot="1" x14ac:dyDescent="0.3">
      <c r="A483" s="111" t="s">
        <v>813</v>
      </c>
      <c r="B483" s="362">
        <f>B276</f>
        <v>4</v>
      </c>
      <c r="C483" s="404" t="str">
        <f>C276</f>
        <v>CREPIN Lucie</v>
      </c>
      <c r="D483" s="405">
        <f t="shared" ref="D483" si="1201">R276</f>
        <v>57.512199042651993</v>
      </c>
      <c r="E483" s="406">
        <f t="shared" ref="E483" si="1202">S276</f>
        <v>1531.4000000000026</v>
      </c>
      <c r="F483" s="405">
        <f t="shared" ref="F483" si="1203">T276</f>
        <v>88074.181613917404</v>
      </c>
      <c r="G483" s="413"/>
      <c r="H483" s="404" t="str">
        <f t="shared" ref="H483" si="1204">C89</f>
        <v>CREPIN</v>
      </c>
      <c r="I483" s="407" t="str">
        <f t="shared" ref="I483" si="1205">D89</f>
        <v>Lucie</v>
      </c>
      <c r="J483" s="407" t="str">
        <f>E276</f>
        <v>Doctorat - Biotechnologie, microbilogie - Université Montpellier II</v>
      </c>
      <c r="K483" s="407" t="str">
        <f>D276</f>
        <v>Lead Scientist</v>
      </c>
      <c r="L483" s="349"/>
      <c r="M483" s="349"/>
      <c r="N483" s="349"/>
      <c r="O483" s="349" t="s">
        <v>770</v>
      </c>
      <c r="P483" s="349"/>
      <c r="Q483" s="349"/>
      <c r="R483" s="349"/>
      <c r="S483" s="349"/>
      <c r="T483" s="349"/>
    </row>
    <row r="484" spans="1:20" s="111" customFormat="1" ht="24.75" thickBot="1" x14ac:dyDescent="0.3">
      <c r="A484" s="111" t="s">
        <v>813</v>
      </c>
      <c r="B484" s="362">
        <f>B276</f>
        <v>4</v>
      </c>
      <c r="C484" s="404" t="str">
        <f>C276</f>
        <v>CREPIN Lucie</v>
      </c>
      <c r="D484" s="405">
        <f t="shared" ref="D484" si="1206">R276</f>
        <v>57.512199042651993</v>
      </c>
      <c r="E484" s="406">
        <f t="shared" ref="E484" si="1207">S276</f>
        <v>1531.4000000000026</v>
      </c>
      <c r="F484" s="405">
        <f t="shared" ref="F484" si="1208">T276</f>
        <v>88074.181613917404</v>
      </c>
      <c r="G484" s="413"/>
      <c r="H484" s="404" t="str">
        <f t="shared" ref="H484" si="1209">C89</f>
        <v>CREPIN</v>
      </c>
      <c r="I484" s="407" t="str">
        <f t="shared" ref="I484" si="1210">D89</f>
        <v>Lucie</v>
      </c>
      <c r="J484" s="407" t="str">
        <f>E276</f>
        <v>Doctorat - Biotechnologie, microbilogie - Université Montpellier II</v>
      </c>
      <c r="K484" s="407" t="str">
        <f>D276</f>
        <v>Lead Scientist</v>
      </c>
      <c r="L484" s="349"/>
      <c r="M484" s="349"/>
      <c r="N484" s="349"/>
      <c r="O484" s="349" t="s">
        <v>770</v>
      </c>
      <c r="P484" s="349"/>
      <c r="Q484" s="349"/>
      <c r="R484" s="349"/>
      <c r="S484" s="349"/>
      <c r="T484" s="349"/>
    </row>
    <row r="485" spans="1:20" s="111" customFormat="1" ht="24.75" thickBot="1" x14ac:dyDescent="0.3">
      <c r="A485" s="111" t="s">
        <v>813</v>
      </c>
      <c r="B485" s="362">
        <f>B276</f>
        <v>4</v>
      </c>
      <c r="C485" s="404" t="str">
        <f>C276</f>
        <v>CREPIN Lucie</v>
      </c>
      <c r="D485" s="405">
        <f t="shared" ref="D485" si="1211">R276</f>
        <v>57.512199042651993</v>
      </c>
      <c r="E485" s="406">
        <f t="shared" ref="E485" si="1212">S276</f>
        <v>1531.4000000000026</v>
      </c>
      <c r="F485" s="405">
        <f t="shared" ref="F485" si="1213">T276</f>
        <v>88074.181613917404</v>
      </c>
      <c r="G485" s="413"/>
      <c r="H485" s="404" t="str">
        <f t="shared" ref="H485" si="1214">C89</f>
        <v>CREPIN</v>
      </c>
      <c r="I485" s="407" t="str">
        <f t="shared" ref="I485" si="1215">D89</f>
        <v>Lucie</v>
      </c>
      <c r="J485" s="407" t="str">
        <f>E276</f>
        <v>Doctorat - Biotechnologie, microbilogie - Université Montpellier II</v>
      </c>
      <c r="K485" s="407" t="str">
        <f>D276</f>
        <v>Lead Scientist</v>
      </c>
      <c r="L485" s="349"/>
      <c r="M485" s="349"/>
      <c r="N485" s="349"/>
      <c r="O485" s="349" t="s">
        <v>770</v>
      </c>
      <c r="P485" s="349"/>
      <c r="Q485" s="349"/>
      <c r="R485" s="349"/>
      <c r="S485" s="349"/>
      <c r="T485" s="349"/>
    </row>
    <row r="486" spans="1:20" s="111" customFormat="1" ht="15.75" thickBot="1" x14ac:dyDescent="0.3">
      <c r="A486" s="111" t="s">
        <v>813</v>
      </c>
      <c r="B486" s="362" t="e">
        <f>B275</f>
        <v>#REF!</v>
      </c>
      <c r="C486" s="404" t="e">
        <f>C275</f>
        <v>#REF!</v>
      </c>
      <c r="D486" s="405" t="e">
        <f t="shared" ref="D486:F486" si="1216">R275</f>
        <v>#REF!</v>
      </c>
      <c r="E486" s="406" t="e">
        <f t="shared" si="1216"/>
        <v>#REF!</v>
      </c>
      <c r="F486" s="405" t="e">
        <f t="shared" si="1216"/>
        <v>#REF!</v>
      </c>
      <c r="G486" s="413"/>
      <c r="H486" s="404" t="e">
        <f t="shared" ref="H486" si="1217">C88</f>
        <v>#REF!</v>
      </c>
      <c r="I486" s="407" t="e">
        <f t="shared" ref="I486" si="1218">D88</f>
        <v>#REF!</v>
      </c>
      <c r="J486" s="407" t="e">
        <f>E275</f>
        <v>#REF!</v>
      </c>
      <c r="K486" s="407" t="e">
        <f>D275</f>
        <v>#REF!</v>
      </c>
      <c r="L486" s="349"/>
      <c r="M486" s="349"/>
      <c r="N486" s="349"/>
      <c r="O486" s="349" t="s">
        <v>770</v>
      </c>
      <c r="P486" s="349"/>
      <c r="Q486" s="349"/>
      <c r="R486" s="349"/>
      <c r="S486" s="349"/>
      <c r="T486" s="349"/>
    </row>
    <row r="487" spans="1:20" s="111" customFormat="1" ht="24.75" thickBot="1" x14ac:dyDescent="0.3">
      <c r="A487" s="111" t="s">
        <v>813</v>
      </c>
      <c r="B487" s="362">
        <f>B276</f>
        <v>4</v>
      </c>
      <c r="C487" s="404" t="str">
        <f>C276</f>
        <v>CREPIN Lucie</v>
      </c>
      <c r="D487" s="405">
        <f t="shared" ref="D487" si="1219">R276</f>
        <v>57.512199042651993</v>
      </c>
      <c r="E487" s="406">
        <f t="shared" ref="E487" si="1220">S276</f>
        <v>1531.4000000000026</v>
      </c>
      <c r="F487" s="405">
        <f t="shared" ref="F487" si="1221">T276</f>
        <v>88074.181613917404</v>
      </c>
      <c r="G487" s="413"/>
      <c r="H487" s="404" t="str">
        <f t="shared" ref="H487" si="1222">C89</f>
        <v>CREPIN</v>
      </c>
      <c r="I487" s="407" t="str">
        <f t="shared" ref="I487" si="1223">D89</f>
        <v>Lucie</v>
      </c>
      <c r="J487" s="407" t="str">
        <f>E276</f>
        <v>Doctorat - Biotechnologie, microbilogie - Université Montpellier II</v>
      </c>
      <c r="K487" s="407" t="str">
        <f>D276</f>
        <v>Lead Scientist</v>
      </c>
      <c r="L487" s="349"/>
      <c r="M487" s="349"/>
      <c r="N487" s="349"/>
      <c r="O487" s="349" t="s">
        <v>770</v>
      </c>
      <c r="P487" s="349"/>
      <c r="Q487" s="349"/>
      <c r="R487" s="349"/>
      <c r="S487" s="349"/>
      <c r="T487" s="349"/>
    </row>
    <row r="488" spans="1:20" s="111" customFormat="1" ht="24.75" thickBot="1" x14ac:dyDescent="0.3">
      <c r="A488" s="111" t="s">
        <v>813</v>
      </c>
      <c r="B488" s="362">
        <f>B276</f>
        <v>4</v>
      </c>
      <c r="C488" s="404" t="str">
        <f>C276</f>
        <v>CREPIN Lucie</v>
      </c>
      <c r="D488" s="405">
        <f t="shared" ref="D488" si="1224">R276</f>
        <v>57.512199042651993</v>
      </c>
      <c r="E488" s="406">
        <f t="shared" ref="E488" si="1225">S276</f>
        <v>1531.4000000000026</v>
      </c>
      <c r="F488" s="405">
        <f t="shared" ref="F488" si="1226">T276</f>
        <v>88074.181613917404</v>
      </c>
      <c r="G488" s="413"/>
      <c r="H488" s="404" t="str">
        <f t="shared" ref="H488" si="1227">C89</f>
        <v>CREPIN</v>
      </c>
      <c r="I488" s="407" t="str">
        <f t="shared" ref="I488" si="1228">D89</f>
        <v>Lucie</v>
      </c>
      <c r="J488" s="407" t="str">
        <f>E276</f>
        <v>Doctorat - Biotechnologie, microbilogie - Université Montpellier II</v>
      </c>
      <c r="K488" s="407" t="str">
        <f>D276</f>
        <v>Lead Scientist</v>
      </c>
      <c r="L488" s="349"/>
      <c r="M488" s="349"/>
      <c r="N488" s="349"/>
      <c r="O488" s="349" t="s">
        <v>770</v>
      </c>
      <c r="P488" s="349"/>
      <c r="Q488" s="349"/>
      <c r="R488" s="349"/>
      <c r="S488" s="349"/>
      <c r="T488" s="349"/>
    </row>
    <row r="489" spans="1:20" s="111" customFormat="1" ht="24.75" thickBot="1" x14ac:dyDescent="0.3">
      <c r="A489" s="111" t="s">
        <v>813</v>
      </c>
      <c r="B489" s="362">
        <f>B276</f>
        <v>4</v>
      </c>
      <c r="C489" s="404" t="str">
        <f>C276</f>
        <v>CREPIN Lucie</v>
      </c>
      <c r="D489" s="405">
        <f t="shared" ref="D489" si="1229">R276</f>
        <v>57.512199042651993</v>
      </c>
      <c r="E489" s="406">
        <f t="shared" ref="E489" si="1230">S276</f>
        <v>1531.4000000000026</v>
      </c>
      <c r="F489" s="405">
        <f t="shared" ref="F489" si="1231">T276</f>
        <v>88074.181613917404</v>
      </c>
      <c r="G489" s="413"/>
      <c r="H489" s="404" t="str">
        <f t="shared" ref="H489" si="1232">C89</f>
        <v>CREPIN</v>
      </c>
      <c r="I489" s="407" t="str">
        <f t="shared" ref="I489" si="1233">D89</f>
        <v>Lucie</v>
      </c>
      <c r="J489" s="407" t="str">
        <f>E276</f>
        <v>Doctorat - Biotechnologie, microbilogie - Université Montpellier II</v>
      </c>
      <c r="K489" s="407" t="str">
        <f>D276</f>
        <v>Lead Scientist</v>
      </c>
      <c r="L489" s="349"/>
      <c r="M489" s="349"/>
      <c r="N489" s="349"/>
      <c r="O489" s="349" t="s">
        <v>770</v>
      </c>
      <c r="P489" s="349"/>
      <c r="Q489" s="349"/>
      <c r="R489" s="349"/>
      <c r="S489" s="349"/>
      <c r="T489" s="349"/>
    </row>
    <row r="490" spans="1:20" s="111" customFormat="1" ht="24.75" thickBot="1" x14ac:dyDescent="0.3">
      <c r="A490" s="111" t="s">
        <v>813</v>
      </c>
      <c r="B490" s="362">
        <f>B276</f>
        <v>4</v>
      </c>
      <c r="C490" s="404" t="str">
        <f>C276</f>
        <v>CREPIN Lucie</v>
      </c>
      <c r="D490" s="405">
        <f t="shared" ref="D490" si="1234">R276</f>
        <v>57.512199042651993</v>
      </c>
      <c r="E490" s="406">
        <f t="shared" ref="E490" si="1235">S276</f>
        <v>1531.4000000000026</v>
      </c>
      <c r="F490" s="405">
        <f t="shared" ref="F490" si="1236">T276</f>
        <v>88074.181613917404</v>
      </c>
      <c r="G490" s="413"/>
      <c r="H490" s="404" t="str">
        <f t="shared" ref="H490" si="1237">C89</f>
        <v>CREPIN</v>
      </c>
      <c r="I490" s="407" t="str">
        <f t="shared" ref="I490" si="1238">D89</f>
        <v>Lucie</v>
      </c>
      <c r="J490" s="407" t="str">
        <f>E276</f>
        <v>Doctorat - Biotechnologie, microbilogie - Université Montpellier II</v>
      </c>
      <c r="K490" s="407" t="str">
        <f>D276</f>
        <v>Lead Scientist</v>
      </c>
      <c r="L490" s="349"/>
      <c r="M490" s="349"/>
      <c r="N490" s="349"/>
      <c r="O490" s="349" t="s">
        <v>770</v>
      </c>
      <c r="P490" s="349"/>
      <c r="Q490" s="349"/>
      <c r="R490" s="349"/>
      <c r="S490" s="349"/>
      <c r="T490" s="349"/>
    </row>
    <row r="491" spans="1:20" s="111" customFormat="1" ht="24.75" thickBot="1" x14ac:dyDescent="0.3">
      <c r="A491" s="111" t="s">
        <v>813</v>
      </c>
      <c r="B491" s="362">
        <f>B276</f>
        <v>4</v>
      </c>
      <c r="C491" s="404" t="str">
        <f>C276</f>
        <v>CREPIN Lucie</v>
      </c>
      <c r="D491" s="405">
        <f t="shared" ref="D491" si="1239">R276</f>
        <v>57.512199042651993</v>
      </c>
      <c r="E491" s="406">
        <f t="shared" ref="E491" si="1240">S276</f>
        <v>1531.4000000000026</v>
      </c>
      <c r="F491" s="405">
        <f t="shared" ref="F491" si="1241">T276</f>
        <v>88074.181613917404</v>
      </c>
      <c r="G491" s="413"/>
      <c r="H491" s="404" t="str">
        <f t="shared" ref="H491" si="1242">C89</f>
        <v>CREPIN</v>
      </c>
      <c r="I491" s="407" t="str">
        <f t="shared" ref="I491" si="1243">D89</f>
        <v>Lucie</v>
      </c>
      <c r="J491" s="407" t="str">
        <f>E276</f>
        <v>Doctorat - Biotechnologie, microbilogie - Université Montpellier II</v>
      </c>
      <c r="K491" s="407" t="str">
        <f>D276</f>
        <v>Lead Scientist</v>
      </c>
      <c r="L491" s="349"/>
      <c r="M491" s="349"/>
      <c r="N491" s="349"/>
      <c r="O491" s="349" t="s">
        <v>770</v>
      </c>
      <c r="P491" s="349"/>
      <c r="Q491" s="349"/>
      <c r="R491" s="349"/>
      <c r="S491" s="349"/>
      <c r="T491" s="349"/>
    </row>
    <row r="492" spans="1:20" s="111" customFormat="1" ht="24.75" thickBot="1" x14ac:dyDescent="0.3">
      <c r="A492" s="111" t="s">
        <v>813</v>
      </c>
      <c r="B492" s="362">
        <f>B276</f>
        <v>4</v>
      </c>
      <c r="C492" s="404" t="str">
        <f>C276</f>
        <v>CREPIN Lucie</v>
      </c>
      <c r="D492" s="405">
        <f t="shared" ref="D492" si="1244">R276</f>
        <v>57.512199042651993</v>
      </c>
      <c r="E492" s="406">
        <f t="shared" ref="E492" si="1245">S276</f>
        <v>1531.4000000000026</v>
      </c>
      <c r="F492" s="405">
        <f t="shared" ref="F492" si="1246">T276</f>
        <v>88074.181613917404</v>
      </c>
      <c r="G492" s="413"/>
      <c r="H492" s="404" t="str">
        <f t="shared" ref="H492" si="1247">C89</f>
        <v>CREPIN</v>
      </c>
      <c r="I492" s="407" t="str">
        <f t="shared" ref="I492" si="1248">D89</f>
        <v>Lucie</v>
      </c>
      <c r="J492" s="407" t="str">
        <f>E276</f>
        <v>Doctorat - Biotechnologie, microbilogie - Université Montpellier II</v>
      </c>
      <c r="K492" s="407" t="str">
        <f>D276</f>
        <v>Lead Scientist</v>
      </c>
      <c r="L492" s="349"/>
      <c r="M492" s="349"/>
      <c r="N492" s="349"/>
      <c r="O492" s="349" t="s">
        <v>770</v>
      </c>
      <c r="P492" s="349"/>
      <c r="Q492" s="349"/>
      <c r="R492" s="349"/>
      <c r="S492" s="349"/>
      <c r="T492" s="349"/>
    </row>
    <row r="493" spans="1:20" s="111" customFormat="1" ht="24.75" thickBot="1" x14ac:dyDescent="0.3">
      <c r="A493" s="111" t="s">
        <v>813</v>
      </c>
      <c r="B493" s="362">
        <f>B276</f>
        <v>4</v>
      </c>
      <c r="C493" s="404" t="str">
        <f>C276</f>
        <v>CREPIN Lucie</v>
      </c>
      <c r="D493" s="405">
        <f t="shared" ref="D493" si="1249">R276</f>
        <v>57.512199042651993</v>
      </c>
      <c r="E493" s="406">
        <f t="shared" ref="E493" si="1250">S276</f>
        <v>1531.4000000000026</v>
      </c>
      <c r="F493" s="405">
        <f t="shared" ref="F493" si="1251">T276</f>
        <v>88074.181613917404</v>
      </c>
      <c r="G493" s="413"/>
      <c r="H493" s="404" t="str">
        <f t="shared" ref="H493" si="1252">C89</f>
        <v>CREPIN</v>
      </c>
      <c r="I493" s="407" t="str">
        <f t="shared" ref="I493" si="1253">D89</f>
        <v>Lucie</v>
      </c>
      <c r="J493" s="407" t="str">
        <f>E276</f>
        <v>Doctorat - Biotechnologie, microbilogie - Université Montpellier II</v>
      </c>
      <c r="K493" s="407" t="str">
        <f>D276</f>
        <v>Lead Scientist</v>
      </c>
      <c r="L493" s="349"/>
      <c r="M493" s="349"/>
      <c r="N493" s="349"/>
      <c r="O493" s="349" t="s">
        <v>770</v>
      </c>
      <c r="P493" s="349"/>
      <c r="Q493" s="349"/>
      <c r="R493" s="349"/>
      <c r="S493" s="349"/>
      <c r="T493" s="349"/>
    </row>
    <row r="494" spans="1:20" s="111" customFormat="1" ht="24.75" thickBot="1" x14ac:dyDescent="0.3">
      <c r="A494" s="111" t="s">
        <v>813</v>
      </c>
      <c r="B494" s="362">
        <f>B276</f>
        <v>4</v>
      </c>
      <c r="C494" s="404" t="str">
        <f>C276</f>
        <v>CREPIN Lucie</v>
      </c>
      <c r="D494" s="405">
        <f t="shared" ref="D494" si="1254">R276</f>
        <v>57.512199042651993</v>
      </c>
      <c r="E494" s="406">
        <f t="shared" ref="E494" si="1255">S276</f>
        <v>1531.4000000000026</v>
      </c>
      <c r="F494" s="405">
        <f t="shared" ref="F494" si="1256">T276</f>
        <v>88074.181613917404</v>
      </c>
      <c r="G494" s="413"/>
      <c r="H494" s="404" t="str">
        <f t="shared" ref="H494" si="1257">C89</f>
        <v>CREPIN</v>
      </c>
      <c r="I494" s="407" t="str">
        <f t="shared" ref="I494" si="1258">D89</f>
        <v>Lucie</v>
      </c>
      <c r="J494" s="407" t="str">
        <f>E276</f>
        <v>Doctorat - Biotechnologie, microbilogie - Université Montpellier II</v>
      </c>
      <c r="K494" s="407" t="str">
        <f>D276</f>
        <v>Lead Scientist</v>
      </c>
      <c r="L494" s="349"/>
      <c r="M494" s="349"/>
      <c r="N494" s="349"/>
      <c r="O494" s="349" t="s">
        <v>770</v>
      </c>
      <c r="P494" s="349"/>
      <c r="Q494" s="349"/>
      <c r="R494" s="349"/>
      <c r="S494" s="349"/>
      <c r="T494" s="349"/>
    </row>
    <row r="495" spans="1:20" s="111" customFormat="1" ht="24.75" thickBot="1" x14ac:dyDescent="0.3">
      <c r="A495" s="111" t="s">
        <v>813</v>
      </c>
      <c r="B495" s="362">
        <f>B276</f>
        <v>4</v>
      </c>
      <c r="C495" s="404" t="str">
        <f>C276</f>
        <v>CREPIN Lucie</v>
      </c>
      <c r="D495" s="405">
        <f t="shared" ref="D495" si="1259">R276</f>
        <v>57.512199042651993</v>
      </c>
      <c r="E495" s="406">
        <f t="shared" ref="E495" si="1260">S276</f>
        <v>1531.4000000000026</v>
      </c>
      <c r="F495" s="405">
        <f t="shared" ref="F495" si="1261">T276</f>
        <v>88074.181613917404</v>
      </c>
      <c r="G495" s="413"/>
      <c r="H495" s="404" t="str">
        <f t="shared" ref="H495" si="1262">C89</f>
        <v>CREPIN</v>
      </c>
      <c r="I495" s="407" t="str">
        <f t="shared" ref="I495" si="1263">D89</f>
        <v>Lucie</v>
      </c>
      <c r="J495" s="407" t="str">
        <f>E276</f>
        <v>Doctorat - Biotechnologie, microbilogie - Université Montpellier II</v>
      </c>
      <c r="K495" s="407" t="str">
        <f>D276</f>
        <v>Lead Scientist</v>
      </c>
      <c r="L495" s="349"/>
      <c r="M495" s="349"/>
      <c r="N495" s="349"/>
      <c r="O495" s="349" t="s">
        <v>770</v>
      </c>
      <c r="P495" s="349"/>
      <c r="Q495" s="349"/>
      <c r="R495" s="349"/>
      <c r="S495" s="349"/>
      <c r="T495" s="349"/>
    </row>
    <row r="496" spans="1:20" s="111" customFormat="1" ht="24.75" thickBot="1" x14ac:dyDescent="0.3">
      <c r="A496" s="111" t="s">
        <v>813</v>
      </c>
      <c r="B496" s="362">
        <f>B276</f>
        <v>4</v>
      </c>
      <c r="C496" s="404" t="str">
        <f>C276</f>
        <v>CREPIN Lucie</v>
      </c>
      <c r="D496" s="405">
        <f t="shared" ref="D496" si="1264">R276</f>
        <v>57.512199042651993</v>
      </c>
      <c r="E496" s="406">
        <f t="shared" ref="E496" si="1265">S276</f>
        <v>1531.4000000000026</v>
      </c>
      <c r="F496" s="405">
        <f t="shared" ref="F496" si="1266">T276</f>
        <v>88074.181613917404</v>
      </c>
      <c r="G496" s="413"/>
      <c r="H496" s="404" t="str">
        <f t="shared" ref="H496" si="1267">C89</f>
        <v>CREPIN</v>
      </c>
      <c r="I496" s="407" t="str">
        <f t="shared" ref="I496" si="1268">D89</f>
        <v>Lucie</v>
      </c>
      <c r="J496" s="407" t="str">
        <f>E276</f>
        <v>Doctorat - Biotechnologie, microbilogie - Université Montpellier II</v>
      </c>
      <c r="K496" s="407" t="str">
        <f>D276</f>
        <v>Lead Scientist</v>
      </c>
      <c r="L496" s="349"/>
      <c r="M496" s="349"/>
      <c r="N496" s="349"/>
      <c r="O496" s="349" t="s">
        <v>770</v>
      </c>
      <c r="P496" s="349"/>
      <c r="Q496" s="349"/>
      <c r="R496" s="349"/>
      <c r="S496" s="349"/>
      <c r="T496" s="349"/>
    </row>
    <row r="497" spans="1:20" s="111" customFormat="1" ht="24.75" thickBot="1" x14ac:dyDescent="0.3">
      <c r="A497" s="111" t="s">
        <v>813</v>
      </c>
      <c r="B497" s="362">
        <f>B276</f>
        <v>4</v>
      </c>
      <c r="C497" s="404" t="str">
        <f>C276</f>
        <v>CREPIN Lucie</v>
      </c>
      <c r="D497" s="405">
        <f t="shared" ref="D497" si="1269">R276</f>
        <v>57.512199042651993</v>
      </c>
      <c r="E497" s="406">
        <f t="shared" ref="E497" si="1270">S276</f>
        <v>1531.4000000000026</v>
      </c>
      <c r="F497" s="405">
        <f t="shared" ref="F497" si="1271">T276</f>
        <v>88074.181613917404</v>
      </c>
      <c r="G497" s="413"/>
      <c r="H497" s="404" t="str">
        <f t="shared" ref="H497" si="1272">C89</f>
        <v>CREPIN</v>
      </c>
      <c r="I497" s="407" t="str">
        <f t="shared" ref="I497" si="1273">D89</f>
        <v>Lucie</v>
      </c>
      <c r="J497" s="407" t="str">
        <f>E276</f>
        <v>Doctorat - Biotechnologie, microbilogie - Université Montpellier II</v>
      </c>
      <c r="K497" s="407" t="str">
        <f>D276</f>
        <v>Lead Scientist</v>
      </c>
      <c r="L497" s="349"/>
      <c r="M497" s="349"/>
      <c r="N497" s="349"/>
      <c r="O497" s="349" t="s">
        <v>770</v>
      </c>
      <c r="P497" s="349"/>
      <c r="Q497" s="349"/>
      <c r="R497" s="349"/>
      <c r="S497" s="349"/>
      <c r="T497" s="349"/>
    </row>
    <row r="498" spans="1:20" s="111" customFormat="1" ht="24.75" thickBot="1" x14ac:dyDescent="0.3">
      <c r="A498" s="111" t="s">
        <v>813</v>
      </c>
      <c r="B498" s="362">
        <f>B276</f>
        <v>4</v>
      </c>
      <c r="C498" s="404" t="str">
        <f>C276</f>
        <v>CREPIN Lucie</v>
      </c>
      <c r="D498" s="405">
        <f t="shared" ref="D498" si="1274">R276</f>
        <v>57.512199042651993</v>
      </c>
      <c r="E498" s="406">
        <f t="shared" ref="E498" si="1275">S276</f>
        <v>1531.4000000000026</v>
      </c>
      <c r="F498" s="405">
        <f t="shared" ref="F498" si="1276">T276</f>
        <v>88074.181613917404</v>
      </c>
      <c r="G498" s="413"/>
      <c r="H498" s="404" t="str">
        <f t="shared" ref="H498" si="1277">C89</f>
        <v>CREPIN</v>
      </c>
      <c r="I498" s="407" t="str">
        <f t="shared" ref="I498" si="1278">D89</f>
        <v>Lucie</v>
      </c>
      <c r="J498" s="407" t="str">
        <f>E276</f>
        <v>Doctorat - Biotechnologie, microbilogie - Université Montpellier II</v>
      </c>
      <c r="K498" s="407" t="str">
        <f>D276</f>
        <v>Lead Scientist</v>
      </c>
      <c r="L498" s="349"/>
      <c r="M498" s="349"/>
      <c r="N498" s="349"/>
      <c r="O498" s="349" t="s">
        <v>770</v>
      </c>
      <c r="P498" s="349"/>
      <c r="Q498" s="349"/>
      <c r="R498" s="349"/>
      <c r="S498" s="349"/>
      <c r="T498" s="349"/>
    </row>
    <row r="499" spans="1:20" s="111" customFormat="1" ht="24.75" thickBot="1" x14ac:dyDescent="0.3">
      <c r="A499" s="111" t="s">
        <v>813</v>
      </c>
      <c r="B499" s="362">
        <f>B276</f>
        <v>4</v>
      </c>
      <c r="C499" s="404" t="str">
        <f>C276</f>
        <v>CREPIN Lucie</v>
      </c>
      <c r="D499" s="405">
        <f t="shared" ref="D499" si="1279">R276</f>
        <v>57.512199042651993</v>
      </c>
      <c r="E499" s="406">
        <f t="shared" ref="E499" si="1280">S276</f>
        <v>1531.4000000000026</v>
      </c>
      <c r="F499" s="405">
        <f t="shared" ref="F499" si="1281">T276</f>
        <v>88074.181613917404</v>
      </c>
      <c r="G499" s="413"/>
      <c r="H499" s="404" t="str">
        <f t="shared" ref="H499" si="1282">C89</f>
        <v>CREPIN</v>
      </c>
      <c r="I499" s="407" t="str">
        <f t="shared" ref="I499" si="1283">D89</f>
        <v>Lucie</v>
      </c>
      <c r="J499" s="407" t="str">
        <f>E276</f>
        <v>Doctorat - Biotechnologie, microbilogie - Université Montpellier II</v>
      </c>
      <c r="K499" s="407" t="str">
        <f>D276</f>
        <v>Lead Scientist</v>
      </c>
      <c r="L499" s="349"/>
      <c r="M499" s="349"/>
      <c r="N499" s="349"/>
      <c r="O499" s="349" t="s">
        <v>770</v>
      </c>
      <c r="P499" s="349"/>
      <c r="Q499" s="349"/>
      <c r="R499" s="349"/>
      <c r="S499" s="349"/>
      <c r="T499" s="349"/>
    </row>
    <row r="500" spans="1:20" s="111" customFormat="1" ht="24.75" thickBot="1" x14ac:dyDescent="0.3">
      <c r="A500" s="111" t="s">
        <v>813</v>
      </c>
      <c r="B500" s="362">
        <f>B276</f>
        <v>4</v>
      </c>
      <c r="C500" s="404" t="str">
        <f>C276</f>
        <v>CREPIN Lucie</v>
      </c>
      <c r="D500" s="405">
        <f t="shared" ref="D500" si="1284">R276</f>
        <v>57.512199042651993</v>
      </c>
      <c r="E500" s="406">
        <f t="shared" ref="E500" si="1285">S276</f>
        <v>1531.4000000000026</v>
      </c>
      <c r="F500" s="405">
        <f t="shared" ref="F500" si="1286">T276</f>
        <v>88074.181613917404</v>
      </c>
      <c r="G500" s="413"/>
      <c r="H500" s="404" t="str">
        <f t="shared" ref="H500" si="1287">C89</f>
        <v>CREPIN</v>
      </c>
      <c r="I500" s="407" t="str">
        <f t="shared" ref="I500" si="1288">D89</f>
        <v>Lucie</v>
      </c>
      <c r="J500" s="407" t="str">
        <f>E276</f>
        <v>Doctorat - Biotechnologie, microbilogie - Université Montpellier II</v>
      </c>
      <c r="K500" s="407" t="str">
        <f>D276</f>
        <v>Lead Scientist</v>
      </c>
      <c r="L500" s="349"/>
      <c r="M500" s="349"/>
      <c r="N500" s="349"/>
      <c r="O500" s="349" t="s">
        <v>770</v>
      </c>
      <c r="P500" s="349"/>
      <c r="Q500" s="349"/>
      <c r="R500" s="349"/>
      <c r="S500" s="349"/>
      <c r="T500" s="349"/>
    </row>
    <row r="501" spans="1:20" s="111" customFormat="1" ht="24.75" thickBot="1" x14ac:dyDescent="0.3">
      <c r="A501" s="111" t="s">
        <v>813</v>
      </c>
      <c r="B501" s="362">
        <f>B276</f>
        <v>4</v>
      </c>
      <c r="C501" s="404" t="str">
        <f>C276</f>
        <v>CREPIN Lucie</v>
      </c>
      <c r="D501" s="405">
        <f t="shared" ref="D501" si="1289">R276</f>
        <v>57.512199042651993</v>
      </c>
      <c r="E501" s="406">
        <f t="shared" ref="E501" si="1290">S276</f>
        <v>1531.4000000000026</v>
      </c>
      <c r="F501" s="405">
        <f t="shared" ref="F501" si="1291">T276</f>
        <v>88074.181613917404</v>
      </c>
      <c r="G501" s="413"/>
      <c r="H501" s="404" t="str">
        <f t="shared" ref="H501" si="1292">C89</f>
        <v>CREPIN</v>
      </c>
      <c r="I501" s="407" t="str">
        <f t="shared" ref="I501" si="1293">D89</f>
        <v>Lucie</v>
      </c>
      <c r="J501" s="407" t="str">
        <f>E276</f>
        <v>Doctorat - Biotechnologie, microbilogie - Université Montpellier II</v>
      </c>
      <c r="K501" s="407" t="str">
        <f>D276</f>
        <v>Lead Scientist</v>
      </c>
      <c r="L501" s="349"/>
      <c r="M501" s="349"/>
      <c r="N501" s="349"/>
      <c r="O501" s="349" t="s">
        <v>770</v>
      </c>
      <c r="P501" s="349"/>
      <c r="Q501" s="349"/>
      <c r="R501" s="349"/>
      <c r="S501" s="349"/>
      <c r="T501" s="349"/>
    </row>
    <row r="502" spans="1:20" s="111" customFormat="1" ht="24.75" thickBot="1" x14ac:dyDescent="0.3">
      <c r="A502" s="111" t="s">
        <v>813</v>
      </c>
      <c r="B502" s="362">
        <f>B276</f>
        <v>4</v>
      </c>
      <c r="C502" s="404" t="str">
        <f>C276</f>
        <v>CREPIN Lucie</v>
      </c>
      <c r="D502" s="405">
        <f t="shared" ref="D502" si="1294">R276</f>
        <v>57.512199042651993</v>
      </c>
      <c r="E502" s="406">
        <f t="shared" ref="E502" si="1295">S276</f>
        <v>1531.4000000000026</v>
      </c>
      <c r="F502" s="405">
        <f t="shared" ref="F502" si="1296">T276</f>
        <v>88074.181613917404</v>
      </c>
      <c r="G502" s="413"/>
      <c r="H502" s="404" t="str">
        <f t="shared" ref="H502" si="1297">C89</f>
        <v>CREPIN</v>
      </c>
      <c r="I502" s="407" t="str">
        <f t="shared" ref="I502" si="1298">D89</f>
        <v>Lucie</v>
      </c>
      <c r="J502" s="407" t="str">
        <f>E276</f>
        <v>Doctorat - Biotechnologie, microbilogie - Université Montpellier II</v>
      </c>
      <c r="K502" s="407" t="str">
        <f>D276</f>
        <v>Lead Scientist</v>
      </c>
      <c r="L502" s="349"/>
      <c r="M502" s="349"/>
      <c r="N502" s="349"/>
      <c r="O502" s="349" t="s">
        <v>770</v>
      </c>
      <c r="P502" s="349"/>
      <c r="Q502" s="349"/>
      <c r="R502" s="349"/>
      <c r="S502" s="349"/>
      <c r="T502" s="349"/>
    </row>
    <row r="503" spans="1:20" s="111" customFormat="1" ht="24.75" thickBot="1" x14ac:dyDescent="0.3">
      <c r="A503" s="111" t="s">
        <v>813</v>
      </c>
      <c r="B503" s="362">
        <f>B276</f>
        <v>4</v>
      </c>
      <c r="C503" s="404" t="str">
        <f>C276</f>
        <v>CREPIN Lucie</v>
      </c>
      <c r="D503" s="405">
        <f t="shared" ref="D503" si="1299">R276</f>
        <v>57.512199042651993</v>
      </c>
      <c r="E503" s="406">
        <f t="shared" ref="E503" si="1300">S276</f>
        <v>1531.4000000000026</v>
      </c>
      <c r="F503" s="405">
        <f t="shared" ref="F503" si="1301">T276</f>
        <v>88074.181613917404</v>
      </c>
      <c r="G503" s="413"/>
      <c r="H503" s="404" t="str">
        <f t="shared" ref="H503" si="1302">C89</f>
        <v>CREPIN</v>
      </c>
      <c r="I503" s="407" t="str">
        <f t="shared" ref="I503" si="1303">D89</f>
        <v>Lucie</v>
      </c>
      <c r="J503" s="407" t="str">
        <f>E276</f>
        <v>Doctorat - Biotechnologie, microbilogie - Université Montpellier II</v>
      </c>
      <c r="K503" s="407" t="str">
        <f>D276</f>
        <v>Lead Scientist</v>
      </c>
      <c r="L503" s="349"/>
      <c r="M503" s="349"/>
      <c r="N503" s="349"/>
      <c r="O503" s="349" t="s">
        <v>770</v>
      </c>
      <c r="P503" s="349"/>
      <c r="Q503" s="349"/>
      <c r="R503" s="349"/>
      <c r="S503" s="349"/>
      <c r="T503" s="349"/>
    </row>
    <row r="504" spans="1:20" s="111" customFormat="1" ht="24.75" thickBot="1" x14ac:dyDescent="0.3">
      <c r="A504" s="111" t="s">
        <v>813</v>
      </c>
      <c r="B504" s="362">
        <f>B276</f>
        <v>4</v>
      </c>
      <c r="C504" s="404" t="str">
        <f>C276</f>
        <v>CREPIN Lucie</v>
      </c>
      <c r="D504" s="405">
        <f t="shared" ref="D504" si="1304">R276</f>
        <v>57.512199042651993</v>
      </c>
      <c r="E504" s="406">
        <f t="shared" ref="E504" si="1305">S276</f>
        <v>1531.4000000000026</v>
      </c>
      <c r="F504" s="405">
        <f t="shared" ref="F504" si="1306">T276</f>
        <v>88074.181613917404</v>
      </c>
      <c r="G504" s="413"/>
      <c r="H504" s="404" t="str">
        <f t="shared" ref="H504" si="1307">C89</f>
        <v>CREPIN</v>
      </c>
      <c r="I504" s="407" t="str">
        <f t="shared" ref="I504" si="1308">D89</f>
        <v>Lucie</v>
      </c>
      <c r="J504" s="407" t="str">
        <f>E276</f>
        <v>Doctorat - Biotechnologie, microbilogie - Université Montpellier II</v>
      </c>
      <c r="K504" s="407" t="str">
        <f>D276</f>
        <v>Lead Scientist</v>
      </c>
      <c r="L504" s="349"/>
      <c r="M504" s="349"/>
      <c r="N504" s="349"/>
      <c r="O504" s="349" t="s">
        <v>770</v>
      </c>
      <c r="P504" s="349"/>
      <c r="Q504" s="349"/>
      <c r="R504" s="349"/>
      <c r="S504" s="349"/>
      <c r="T504" s="349"/>
    </row>
    <row r="505" spans="1:20" s="111" customFormat="1" ht="24.75" thickBot="1" x14ac:dyDescent="0.3">
      <c r="A505" s="111" t="s">
        <v>813</v>
      </c>
      <c r="B505" s="362">
        <f>B276</f>
        <v>4</v>
      </c>
      <c r="C505" s="404" t="str">
        <f>C276</f>
        <v>CREPIN Lucie</v>
      </c>
      <c r="D505" s="405">
        <f t="shared" ref="D505" si="1309">R276</f>
        <v>57.512199042651993</v>
      </c>
      <c r="E505" s="406">
        <f t="shared" ref="E505" si="1310">S276</f>
        <v>1531.4000000000026</v>
      </c>
      <c r="F505" s="405">
        <f t="shared" ref="F505" si="1311">T276</f>
        <v>88074.181613917404</v>
      </c>
      <c r="G505" s="413"/>
      <c r="H505" s="404" t="str">
        <f t="shared" ref="H505" si="1312">C89</f>
        <v>CREPIN</v>
      </c>
      <c r="I505" s="407" t="str">
        <f t="shared" ref="I505" si="1313">D89</f>
        <v>Lucie</v>
      </c>
      <c r="J505" s="407" t="str">
        <f>E276</f>
        <v>Doctorat - Biotechnologie, microbilogie - Université Montpellier II</v>
      </c>
      <c r="K505" s="407" t="str">
        <f>D276</f>
        <v>Lead Scientist</v>
      </c>
      <c r="L505" s="349"/>
      <c r="M505" s="349"/>
      <c r="N505" s="349"/>
      <c r="O505" s="349" t="s">
        <v>770</v>
      </c>
      <c r="P505" s="349"/>
      <c r="Q505" s="349"/>
      <c r="R505" s="349"/>
      <c r="S505" s="349"/>
      <c r="T505" s="349"/>
    </row>
    <row r="506" spans="1:20" s="111" customFormat="1" ht="24.75" thickBot="1" x14ac:dyDescent="0.3">
      <c r="A506" s="111" t="s">
        <v>813</v>
      </c>
      <c r="B506" s="362">
        <f>B276</f>
        <v>4</v>
      </c>
      <c r="C506" s="404" t="str">
        <f>C276</f>
        <v>CREPIN Lucie</v>
      </c>
      <c r="D506" s="405">
        <f t="shared" ref="D506" si="1314">R276</f>
        <v>57.512199042651993</v>
      </c>
      <c r="E506" s="406">
        <f t="shared" ref="E506" si="1315">S276</f>
        <v>1531.4000000000026</v>
      </c>
      <c r="F506" s="405">
        <f t="shared" ref="F506" si="1316">T276</f>
        <v>88074.181613917404</v>
      </c>
      <c r="G506" s="413"/>
      <c r="H506" s="404" t="str">
        <f t="shared" ref="H506" si="1317">C89</f>
        <v>CREPIN</v>
      </c>
      <c r="I506" s="407" t="str">
        <f t="shared" ref="I506" si="1318">D89</f>
        <v>Lucie</v>
      </c>
      <c r="J506" s="407" t="str">
        <f>E276</f>
        <v>Doctorat - Biotechnologie, microbilogie - Université Montpellier II</v>
      </c>
      <c r="K506" s="407" t="str">
        <f>D276</f>
        <v>Lead Scientist</v>
      </c>
      <c r="L506" s="349"/>
      <c r="M506" s="349"/>
      <c r="N506" s="349"/>
      <c r="O506" s="349" t="s">
        <v>770</v>
      </c>
      <c r="P506" s="349"/>
      <c r="Q506" s="349"/>
      <c r="R506" s="349"/>
      <c r="S506" s="349"/>
      <c r="T506" s="349"/>
    </row>
    <row r="507" spans="1:20" s="111" customFormat="1" ht="24.75" thickBot="1" x14ac:dyDescent="0.3">
      <c r="A507" s="111" t="s">
        <v>813</v>
      </c>
      <c r="B507" s="362">
        <f>B276</f>
        <v>4</v>
      </c>
      <c r="C507" s="404" t="str">
        <f>C276</f>
        <v>CREPIN Lucie</v>
      </c>
      <c r="D507" s="405">
        <f t="shared" ref="D507" si="1319">R276</f>
        <v>57.512199042651993</v>
      </c>
      <c r="E507" s="406">
        <f t="shared" ref="E507" si="1320">S276</f>
        <v>1531.4000000000026</v>
      </c>
      <c r="F507" s="405">
        <f t="shared" ref="F507" si="1321">T276</f>
        <v>88074.181613917404</v>
      </c>
      <c r="G507" s="413"/>
      <c r="H507" s="404" t="str">
        <f t="shared" ref="H507" si="1322">C89</f>
        <v>CREPIN</v>
      </c>
      <c r="I507" s="407" t="str">
        <f t="shared" ref="I507" si="1323">D89</f>
        <v>Lucie</v>
      </c>
      <c r="J507" s="407" t="str">
        <f>E276</f>
        <v>Doctorat - Biotechnologie, microbilogie - Université Montpellier II</v>
      </c>
      <c r="K507" s="407" t="str">
        <f>D276</f>
        <v>Lead Scientist</v>
      </c>
      <c r="L507" s="349"/>
      <c r="M507" s="349"/>
      <c r="N507" s="349"/>
      <c r="O507" s="349" t="s">
        <v>770</v>
      </c>
      <c r="P507" s="349"/>
      <c r="Q507" s="349"/>
      <c r="R507" s="349"/>
      <c r="S507" s="349"/>
      <c r="T507" s="349"/>
    </row>
    <row r="508" spans="1:20" s="111" customFormat="1" ht="24.75" thickBot="1" x14ac:dyDescent="0.3">
      <c r="A508" s="111" t="s">
        <v>813</v>
      </c>
      <c r="B508" s="362">
        <f>B276</f>
        <v>4</v>
      </c>
      <c r="C508" s="404" t="str">
        <f>C276</f>
        <v>CREPIN Lucie</v>
      </c>
      <c r="D508" s="405">
        <f t="shared" ref="D508" si="1324">R276</f>
        <v>57.512199042651993</v>
      </c>
      <c r="E508" s="406">
        <f t="shared" ref="E508" si="1325">S276</f>
        <v>1531.4000000000026</v>
      </c>
      <c r="F508" s="405">
        <f t="shared" ref="F508" si="1326">T276</f>
        <v>88074.181613917404</v>
      </c>
      <c r="G508" s="413"/>
      <c r="H508" s="404" t="str">
        <f t="shared" ref="H508" si="1327">C89</f>
        <v>CREPIN</v>
      </c>
      <c r="I508" s="407" t="str">
        <f t="shared" ref="I508" si="1328">D89</f>
        <v>Lucie</v>
      </c>
      <c r="J508" s="407" t="str">
        <f>E276</f>
        <v>Doctorat - Biotechnologie, microbilogie - Université Montpellier II</v>
      </c>
      <c r="K508" s="407" t="str">
        <f>D276</f>
        <v>Lead Scientist</v>
      </c>
      <c r="L508" s="349"/>
      <c r="M508" s="349"/>
      <c r="N508" s="349"/>
      <c r="O508" s="349" t="s">
        <v>770</v>
      </c>
      <c r="P508" s="349"/>
      <c r="Q508" s="349"/>
      <c r="R508" s="349"/>
      <c r="S508" s="349"/>
      <c r="T508" s="349"/>
    </row>
    <row r="509" spans="1:20" s="111" customFormat="1" ht="24.75" thickBot="1" x14ac:dyDescent="0.3">
      <c r="A509" s="111" t="s">
        <v>813</v>
      </c>
      <c r="B509" s="362">
        <f>B276</f>
        <v>4</v>
      </c>
      <c r="C509" s="404" t="str">
        <f>C276</f>
        <v>CREPIN Lucie</v>
      </c>
      <c r="D509" s="405">
        <f t="shared" ref="D509" si="1329">R276</f>
        <v>57.512199042651993</v>
      </c>
      <c r="E509" s="406">
        <f t="shared" ref="E509" si="1330">S276</f>
        <v>1531.4000000000026</v>
      </c>
      <c r="F509" s="405">
        <f t="shared" ref="F509" si="1331">T276</f>
        <v>88074.181613917404</v>
      </c>
      <c r="G509" s="413"/>
      <c r="H509" s="404" t="str">
        <f t="shared" ref="H509" si="1332">C89</f>
        <v>CREPIN</v>
      </c>
      <c r="I509" s="407" t="str">
        <f t="shared" ref="I509" si="1333">D89</f>
        <v>Lucie</v>
      </c>
      <c r="J509" s="407" t="str">
        <f>E276</f>
        <v>Doctorat - Biotechnologie, microbilogie - Université Montpellier II</v>
      </c>
      <c r="K509" s="407" t="str">
        <f>D276</f>
        <v>Lead Scientist</v>
      </c>
      <c r="L509" s="349"/>
      <c r="M509" s="349"/>
      <c r="N509" s="349"/>
      <c r="O509" s="349" t="s">
        <v>770</v>
      </c>
      <c r="P509" s="349"/>
      <c r="Q509" s="349"/>
      <c r="R509" s="349"/>
      <c r="S509" s="349"/>
      <c r="T509" s="349"/>
    </row>
    <row r="510" spans="1:20" s="111" customFormat="1" ht="24.75" thickBot="1" x14ac:dyDescent="0.3">
      <c r="A510" s="111" t="s">
        <v>813</v>
      </c>
      <c r="B510" s="362">
        <f>B276</f>
        <v>4</v>
      </c>
      <c r="C510" s="404" t="str">
        <f>C276</f>
        <v>CREPIN Lucie</v>
      </c>
      <c r="D510" s="405">
        <f t="shared" ref="D510" si="1334">R276</f>
        <v>57.512199042651993</v>
      </c>
      <c r="E510" s="406">
        <f t="shared" ref="E510" si="1335">S276</f>
        <v>1531.4000000000026</v>
      </c>
      <c r="F510" s="405">
        <f t="shared" ref="F510" si="1336">T276</f>
        <v>88074.181613917404</v>
      </c>
      <c r="G510" s="413"/>
      <c r="H510" s="404" t="str">
        <f t="shared" ref="H510" si="1337">C89</f>
        <v>CREPIN</v>
      </c>
      <c r="I510" s="407" t="str">
        <f t="shared" ref="I510" si="1338">D89</f>
        <v>Lucie</v>
      </c>
      <c r="J510" s="407" t="str">
        <f>E276</f>
        <v>Doctorat - Biotechnologie, microbilogie - Université Montpellier II</v>
      </c>
      <c r="K510" s="407" t="str">
        <f>D276</f>
        <v>Lead Scientist</v>
      </c>
      <c r="L510" s="349"/>
      <c r="M510" s="349"/>
      <c r="N510" s="349"/>
      <c r="O510" s="349" t="s">
        <v>770</v>
      </c>
      <c r="P510" s="349"/>
      <c r="Q510" s="349"/>
      <c r="R510" s="349"/>
      <c r="S510" s="349"/>
      <c r="T510" s="349"/>
    </row>
    <row r="511" spans="1:20" s="111" customFormat="1" ht="24.75" thickBot="1" x14ac:dyDescent="0.3">
      <c r="A511" s="111" t="s">
        <v>813</v>
      </c>
      <c r="B511" s="362">
        <f>B276</f>
        <v>4</v>
      </c>
      <c r="C511" s="404" t="str">
        <f>C276</f>
        <v>CREPIN Lucie</v>
      </c>
      <c r="D511" s="405">
        <f t="shared" ref="D511" si="1339">R276</f>
        <v>57.512199042651993</v>
      </c>
      <c r="E511" s="406">
        <f t="shared" ref="E511" si="1340">S276</f>
        <v>1531.4000000000026</v>
      </c>
      <c r="F511" s="405">
        <f t="shared" ref="F511" si="1341">T276</f>
        <v>88074.181613917404</v>
      </c>
      <c r="G511" s="413"/>
      <c r="H511" s="404" t="str">
        <f t="shared" ref="H511" si="1342">C89</f>
        <v>CREPIN</v>
      </c>
      <c r="I511" s="407" t="str">
        <f t="shared" ref="I511" si="1343">D89</f>
        <v>Lucie</v>
      </c>
      <c r="J511" s="407" t="str">
        <f>E276</f>
        <v>Doctorat - Biotechnologie, microbilogie - Université Montpellier II</v>
      </c>
      <c r="K511" s="407" t="str">
        <f>D276</f>
        <v>Lead Scientist</v>
      </c>
      <c r="L511" s="349"/>
      <c r="M511" s="349"/>
      <c r="N511" s="349"/>
      <c r="O511" s="349" t="s">
        <v>770</v>
      </c>
      <c r="P511" s="349"/>
      <c r="Q511" s="349"/>
      <c r="R511" s="349"/>
      <c r="S511" s="349"/>
      <c r="T511" s="349"/>
    </row>
    <row r="512" spans="1:20" s="111" customFormat="1" ht="24.75" thickBot="1" x14ac:dyDescent="0.3">
      <c r="A512" s="111" t="s">
        <v>813</v>
      </c>
      <c r="B512" s="362">
        <f>B276</f>
        <v>4</v>
      </c>
      <c r="C512" s="404" t="str">
        <f>C276</f>
        <v>CREPIN Lucie</v>
      </c>
      <c r="D512" s="405">
        <f t="shared" ref="D512" si="1344">R276</f>
        <v>57.512199042651993</v>
      </c>
      <c r="E512" s="406">
        <f t="shared" ref="E512" si="1345">S276</f>
        <v>1531.4000000000026</v>
      </c>
      <c r="F512" s="405">
        <f t="shared" ref="F512" si="1346">T276</f>
        <v>88074.181613917404</v>
      </c>
      <c r="G512" s="413"/>
      <c r="H512" s="404" t="str">
        <f t="shared" ref="H512" si="1347">C89</f>
        <v>CREPIN</v>
      </c>
      <c r="I512" s="407" t="str">
        <f t="shared" ref="I512" si="1348">D89</f>
        <v>Lucie</v>
      </c>
      <c r="J512" s="407" t="str">
        <f>E276</f>
        <v>Doctorat - Biotechnologie, microbilogie - Université Montpellier II</v>
      </c>
      <c r="K512" s="407" t="str">
        <f>D276</f>
        <v>Lead Scientist</v>
      </c>
      <c r="L512" s="349"/>
      <c r="M512" s="349"/>
      <c r="N512" s="349"/>
      <c r="O512" s="349" t="s">
        <v>770</v>
      </c>
      <c r="P512" s="349"/>
      <c r="Q512" s="349"/>
      <c r="R512" s="349"/>
      <c r="S512" s="349"/>
      <c r="T512" s="349"/>
    </row>
    <row r="513" spans="1:20" s="111" customFormat="1" ht="24.75" thickBot="1" x14ac:dyDescent="0.3">
      <c r="A513" s="111" t="s">
        <v>813</v>
      </c>
      <c r="B513" s="362">
        <f>B276</f>
        <v>4</v>
      </c>
      <c r="C513" s="404" t="str">
        <f>C276</f>
        <v>CREPIN Lucie</v>
      </c>
      <c r="D513" s="405">
        <f t="shared" ref="D513" si="1349">R276</f>
        <v>57.512199042651993</v>
      </c>
      <c r="E513" s="406">
        <f t="shared" ref="E513" si="1350">S276</f>
        <v>1531.4000000000026</v>
      </c>
      <c r="F513" s="405">
        <f t="shared" ref="F513" si="1351">T276</f>
        <v>88074.181613917404</v>
      </c>
      <c r="G513" s="413"/>
      <c r="H513" s="404" t="str">
        <f t="shared" ref="H513" si="1352">C89</f>
        <v>CREPIN</v>
      </c>
      <c r="I513" s="407" t="str">
        <f t="shared" ref="I513" si="1353">D89</f>
        <v>Lucie</v>
      </c>
      <c r="J513" s="407" t="str">
        <f>E276</f>
        <v>Doctorat - Biotechnologie, microbilogie - Université Montpellier II</v>
      </c>
      <c r="K513" s="407" t="str">
        <f>D276</f>
        <v>Lead Scientist</v>
      </c>
      <c r="L513" s="349"/>
      <c r="M513" s="349"/>
      <c r="N513" s="349"/>
      <c r="O513" s="349" t="s">
        <v>770</v>
      </c>
      <c r="P513" s="349"/>
      <c r="Q513" s="349"/>
      <c r="R513" s="349"/>
      <c r="S513" s="349"/>
      <c r="T513" s="349"/>
    </row>
    <row r="514" spans="1:20" s="111" customFormat="1" ht="24.75" thickBot="1" x14ac:dyDescent="0.3">
      <c r="A514" s="111" t="s">
        <v>813</v>
      </c>
      <c r="B514" s="362">
        <f>B276</f>
        <v>4</v>
      </c>
      <c r="C514" s="404" t="str">
        <f>C276</f>
        <v>CREPIN Lucie</v>
      </c>
      <c r="D514" s="405">
        <f t="shared" ref="D514" si="1354">R276</f>
        <v>57.512199042651993</v>
      </c>
      <c r="E514" s="406">
        <f t="shared" ref="E514" si="1355">S276</f>
        <v>1531.4000000000026</v>
      </c>
      <c r="F514" s="405">
        <f t="shared" ref="F514" si="1356">T276</f>
        <v>88074.181613917404</v>
      </c>
      <c r="G514" s="413"/>
      <c r="H514" s="404" t="str">
        <f t="shared" ref="H514" si="1357">C89</f>
        <v>CREPIN</v>
      </c>
      <c r="I514" s="407" t="str">
        <f t="shared" ref="I514" si="1358">D89</f>
        <v>Lucie</v>
      </c>
      <c r="J514" s="407" t="str">
        <f>E276</f>
        <v>Doctorat - Biotechnologie, microbilogie - Université Montpellier II</v>
      </c>
      <c r="K514" s="407" t="str">
        <f>D276</f>
        <v>Lead Scientist</v>
      </c>
      <c r="L514" s="349"/>
      <c r="M514" s="349"/>
      <c r="N514" s="349"/>
      <c r="O514" s="349" t="s">
        <v>770</v>
      </c>
      <c r="P514" s="349"/>
      <c r="Q514" s="349"/>
      <c r="R514" s="349"/>
      <c r="S514" s="349"/>
      <c r="T514" s="349"/>
    </row>
    <row r="515" spans="1:20" s="111" customFormat="1" ht="24.75" thickBot="1" x14ac:dyDescent="0.3">
      <c r="A515" s="111" t="s">
        <v>813</v>
      </c>
      <c r="B515" s="362">
        <f>B276</f>
        <v>4</v>
      </c>
      <c r="C515" s="404" t="str">
        <f>C276</f>
        <v>CREPIN Lucie</v>
      </c>
      <c r="D515" s="405">
        <f t="shared" ref="D515" si="1359">R276</f>
        <v>57.512199042651993</v>
      </c>
      <c r="E515" s="406">
        <f t="shared" ref="E515" si="1360">S276</f>
        <v>1531.4000000000026</v>
      </c>
      <c r="F515" s="405">
        <f t="shared" ref="F515" si="1361">T276</f>
        <v>88074.181613917404</v>
      </c>
      <c r="G515" s="413"/>
      <c r="H515" s="404" t="str">
        <f t="shared" ref="H515" si="1362">C89</f>
        <v>CREPIN</v>
      </c>
      <c r="I515" s="407" t="str">
        <f t="shared" ref="I515" si="1363">D89</f>
        <v>Lucie</v>
      </c>
      <c r="J515" s="407" t="str">
        <f>E276</f>
        <v>Doctorat - Biotechnologie, microbilogie - Université Montpellier II</v>
      </c>
      <c r="K515" s="407" t="str">
        <f>D276</f>
        <v>Lead Scientist</v>
      </c>
      <c r="L515" s="349"/>
      <c r="M515" s="349"/>
      <c r="N515" s="349"/>
      <c r="O515" s="349" t="s">
        <v>770</v>
      </c>
      <c r="P515" s="349"/>
      <c r="Q515" s="349"/>
      <c r="R515" s="349"/>
      <c r="S515" s="349"/>
      <c r="T515" s="349"/>
    </row>
    <row r="516" spans="1:20" s="111" customFormat="1" ht="24.75" thickBot="1" x14ac:dyDescent="0.3">
      <c r="A516" s="111" t="s">
        <v>813</v>
      </c>
      <c r="B516" s="362">
        <f>B276</f>
        <v>4</v>
      </c>
      <c r="C516" s="404" t="str">
        <f>C276</f>
        <v>CREPIN Lucie</v>
      </c>
      <c r="D516" s="405">
        <f t="shared" ref="D516" si="1364">R276</f>
        <v>57.512199042651993</v>
      </c>
      <c r="E516" s="406">
        <f t="shared" ref="E516" si="1365">S276</f>
        <v>1531.4000000000026</v>
      </c>
      <c r="F516" s="405">
        <f t="shared" ref="F516" si="1366">T276</f>
        <v>88074.181613917404</v>
      </c>
      <c r="G516" s="413"/>
      <c r="H516" s="404" t="str">
        <f t="shared" ref="H516" si="1367">C89</f>
        <v>CREPIN</v>
      </c>
      <c r="I516" s="407" t="str">
        <f t="shared" ref="I516" si="1368">D89</f>
        <v>Lucie</v>
      </c>
      <c r="J516" s="407" t="str">
        <f>E276</f>
        <v>Doctorat - Biotechnologie, microbilogie - Université Montpellier II</v>
      </c>
      <c r="K516" s="407" t="str">
        <f>D276</f>
        <v>Lead Scientist</v>
      </c>
      <c r="L516" s="349"/>
      <c r="M516" s="349"/>
      <c r="N516" s="349"/>
      <c r="O516" s="349" t="s">
        <v>770</v>
      </c>
      <c r="P516" s="349"/>
      <c r="Q516" s="349"/>
      <c r="R516" s="349"/>
      <c r="S516" s="349"/>
      <c r="T516" s="349"/>
    </row>
    <row r="517" spans="1:20" s="111" customFormat="1" ht="24.75" thickBot="1" x14ac:dyDescent="0.3">
      <c r="A517" s="111" t="s">
        <v>813</v>
      </c>
      <c r="B517" s="362">
        <f>B276</f>
        <v>4</v>
      </c>
      <c r="C517" s="404" t="str">
        <f>C276</f>
        <v>CREPIN Lucie</v>
      </c>
      <c r="D517" s="405">
        <f t="shared" ref="D517" si="1369">R276</f>
        <v>57.512199042651993</v>
      </c>
      <c r="E517" s="406">
        <f t="shared" ref="E517" si="1370">S276</f>
        <v>1531.4000000000026</v>
      </c>
      <c r="F517" s="405">
        <f t="shared" ref="F517" si="1371">T276</f>
        <v>88074.181613917404</v>
      </c>
      <c r="G517" s="413"/>
      <c r="H517" s="404" t="str">
        <f t="shared" ref="H517" si="1372">C89</f>
        <v>CREPIN</v>
      </c>
      <c r="I517" s="407" t="str">
        <f t="shared" ref="I517" si="1373">D89</f>
        <v>Lucie</v>
      </c>
      <c r="J517" s="407" t="str">
        <f>E276</f>
        <v>Doctorat - Biotechnologie, microbilogie - Université Montpellier II</v>
      </c>
      <c r="K517" s="407" t="str">
        <f>D276</f>
        <v>Lead Scientist</v>
      </c>
      <c r="L517" s="349"/>
      <c r="M517" s="349"/>
      <c r="N517" s="349"/>
      <c r="O517" s="349" t="s">
        <v>770</v>
      </c>
      <c r="P517" s="349"/>
      <c r="Q517" s="349"/>
      <c r="R517" s="349"/>
      <c r="S517" s="349"/>
      <c r="T517" s="349"/>
    </row>
    <row r="518" spans="1:20" s="111" customFormat="1" ht="24.75" thickBot="1" x14ac:dyDescent="0.3">
      <c r="A518" s="111" t="s">
        <v>813</v>
      </c>
      <c r="B518" s="362">
        <f>B276</f>
        <v>4</v>
      </c>
      <c r="C518" s="404" t="str">
        <f>C276</f>
        <v>CREPIN Lucie</v>
      </c>
      <c r="D518" s="405">
        <f t="shared" ref="D518" si="1374">R276</f>
        <v>57.512199042651993</v>
      </c>
      <c r="E518" s="406">
        <f t="shared" ref="E518" si="1375">S276</f>
        <v>1531.4000000000026</v>
      </c>
      <c r="F518" s="405">
        <f t="shared" ref="F518" si="1376">T276</f>
        <v>88074.181613917404</v>
      </c>
      <c r="G518" s="413"/>
      <c r="H518" s="404" t="str">
        <f t="shared" ref="H518" si="1377">C89</f>
        <v>CREPIN</v>
      </c>
      <c r="I518" s="407" t="str">
        <f t="shared" ref="I518" si="1378">D89</f>
        <v>Lucie</v>
      </c>
      <c r="J518" s="407" t="str">
        <f>E276</f>
        <v>Doctorat - Biotechnologie, microbilogie - Université Montpellier II</v>
      </c>
      <c r="K518" s="407" t="str">
        <f>D276</f>
        <v>Lead Scientist</v>
      </c>
      <c r="L518" s="349"/>
      <c r="M518" s="349"/>
      <c r="N518" s="349"/>
      <c r="O518" s="349" t="s">
        <v>770</v>
      </c>
      <c r="P518" s="349"/>
      <c r="Q518" s="349"/>
      <c r="R518" s="349"/>
      <c r="S518" s="349"/>
      <c r="T518" s="349"/>
    </row>
    <row r="519" spans="1:20" s="111" customFormat="1" ht="24.75" thickBot="1" x14ac:dyDescent="0.3">
      <c r="A519" s="111" t="s">
        <v>813</v>
      </c>
      <c r="B519" s="362">
        <f>B276</f>
        <v>4</v>
      </c>
      <c r="C519" s="404" t="str">
        <f>C276</f>
        <v>CREPIN Lucie</v>
      </c>
      <c r="D519" s="405">
        <f t="shared" ref="D519" si="1379">R276</f>
        <v>57.512199042651993</v>
      </c>
      <c r="E519" s="406">
        <f t="shared" ref="E519" si="1380">S276</f>
        <v>1531.4000000000026</v>
      </c>
      <c r="F519" s="405">
        <f t="shared" ref="F519" si="1381">T276</f>
        <v>88074.181613917404</v>
      </c>
      <c r="G519" s="413"/>
      <c r="H519" s="404" t="str">
        <f t="shared" ref="H519" si="1382">C89</f>
        <v>CREPIN</v>
      </c>
      <c r="I519" s="407" t="str">
        <f t="shared" ref="I519" si="1383">D89</f>
        <v>Lucie</v>
      </c>
      <c r="J519" s="407" t="str">
        <f>E276</f>
        <v>Doctorat - Biotechnologie, microbilogie - Université Montpellier II</v>
      </c>
      <c r="K519" s="407" t="str">
        <f>D276</f>
        <v>Lead Scientist</v>
      </c>
      <c r="L519" s="349"/>
      <c r="M519" s="349"/>
      <c r="N519" s="349"/>
      <c r="O519" s="349" t="s">
        <v>770</v>
      </c>
      <c r="P519" s="349"/>
      <c r="Q519" s="349"/>
      <c r="R519" s="349"/>
      <c r="S519" s="349"/>
      <c r="T519" s="349"/>
    </row>
    <row r="520" spans="1:20" s="111" customFormat="1" ht="24.75" thickBot="1" x14ac:dyDescent="0.3">
      <c r="A520" s="111" t="s">
        <v>813</v>
      </c>
      <c r="B520" s="362">
        <f>B276</f>
        <v>4</v>
      </c>
      <c r="C520" s="404" t="str">
        <f>C276</f>
        <v>CREPIN Lucie</v>
      </c>
      <c r="D520" s="405">
        <f t="shared" ref="D520" si="1384">R276</f>
        <v>57.512199042651993</v>
      </c>
      <c r="E520" s="406">
        <f t="shared" ref="E520" si="1385">S276</f>
        <v>1531.4000000000026</v>
      </c>
      <c r="F520" s="405">
        <f t="shared" ref="F520" si="1386">T276</f>
        <v>88074.181613917404</v>
      </c>
      <c r="G520" s="413"/>
      <c r="H520" s="404" t="str">
        <f t="shared" ref="H520" si="1387">C89</f>
        <v>CREPIN</v>
      </c>
      <c r="I520" s="407" t="str">
        <f t="shared" ref="I520" si="1388">D89</f>
        <v>Lucie</v>
      </c>
      <c r="J520" s="407" t="str">
        <f>E276</f>
        <v>Doctorat - Biotechnologie, microbilogie - Université Montpellier II</v>
      </c>
      <c r="K520" s="407" t="str">
        <f>D276</f>
        <v>Lead Scientist</v>
      </c>
      <c r="L520" s="349"/>
      <c r="M520" s="349"/>
      <c r="N520" s="349"/>
      <c r="O520" s="349" t="s">
        <v>770</v>
      </c>
      <c r="P520" s="349"/>
      <c r="Q520" s="349"/>
      <c r="R520" s="349"/>
      <c r="S520" s="349"/>
      <c r="T520" s="349"/>
    </row>
    <row r="521" spans="1:20" s="111" customFormat="1" ht="24.75" thickBot="1" x14ac:dyDescent="0.3">
      <c r="A521" s="111" t="s">
        <v>813</v>
      </c>
      <c r="B521" s="362">
        <f>B276</f>
        <v>4</v>
      </c>
      <c r="C521" s="404" t="str">
        <f>C276</f>
        <v>CREPIN Lucie</v>
      </c>
      <c r="D521" s="405">
        <f t="shared" ref="D521" si="1389">R276</f>
        <v>57.512199042651993</v>
      </c>
      <c r="E521" s="406">
        <f t="shared" ref="E521" si="1390">S276</f>
        <v>1531.4000000000026</v>
      </c>
      <c r="F521" s="405">
        <f t="shared" ref="F521" si="1391">T276</f>
        <v>88074.181613917404</v>
      </c>
      <c r="G521" s="413"/>
      <c r="H521" s="404" t="str">
        <f t="shared" ref="H521" si="1392">C89</f>
        <v>CREPIN</v>
      </c>
      <c r="I521" s="407" t="str">
        <f t="shared" ref="I521" si="1393">D89</f>
        <v>Lucie</v>
      </c>
      <c r="J521" s="407" t="str">
        <f>E276</f>
        <v>Doctorat - Biotechnologie, microbilogie - Université Montpellier II</v>
      </c>
      <c r="K521" s="407" t="str">
        <f>D276</f>
        <v>Lead Scientist</v>
      </c>
      <c r="L521" s="349"/>
      <c r="M521" s="349"/>
      <c r="N521" s="349"/>
      <c r="O521" s="349" t="s">
        <v>770</v>
      </c>
      <c r="P521" s="349"/>
      <c r="Q521" s="349"/>
      <c r="R521" s="349"/>
      <c r="S521" s="349"/>
      <c r="T521" s="349"/>
    </row>
    <row r="522" spans="1:20" s="111" customFormat="1" ht="24.75" thickBot="1" x14ac:dyDescent="0.3">
      <c r="A522" s="111" t="s">
        <v>813</v>
      </c>
      <c r="B522" s="362">
        <f>B276</f>
        <v>4</v>
      </c>
      <c r="C522" s="404" t="str">
        <f>C276</f>
        <v>CREPIN Lucie</v>
      </c>
      <c r="D522" s="405">
        <f t="shared" ref="D522" si="1394">R276</f>
        <v>57.512199042651993</v>
      </c>
      <c r="E522" s="406">
        <f t="shared" ref="E522" si="1395">S276</f>
        <v>1531.4000000000026</v>
      </c>
      <c r="F522" s="405">
        <f t="shared" ref="F522" si="1396">T276</f>
        <v>88074.181613917404</v>
      </c>
      <c r="G522" s="413"/>
      <c r="H522" s="404" t="str">
        <f t="shared" ref="H522" si="1397">C89</f>
        <v>CREPIN</v>
      </c>
      <c r="I522" s="407" t="str">
        <f t="shared" ref="I522" si="1398">D89</f>
        <v>Lucie</v>
      </c>
      <c r="J522" s="407" t="str">
        <f>E276</f>
        <v>Doctorat - Biotechnologie, microbilogie - Université Montpellier II</v>
      </c>
      <c r="K522" s="407" t="str">
        <f>D276</f>
        <v>Lead Scientist</v>
      </c>
      <c r="L522" s="349"/>
      <c r="M522" s="349"/>
      <c r="N522" s="349"/>
      <c r="O522" s="349" t="s">
        <v>770</v>
      </c>
      <c r="P522" s="349"/>
      <c r="Q522" s="349"/>
      <c r="R522" s="349"/>
      <c r="S522" s="349"/>
      <c r="T522" s="349"/>
    </row>
    <row r="523" spans="1:20" s="111" customFormat="1" ht="24.75" thickBot="1" x14ac:dyDescent="0.3">
      <c r="A523" s="111" t="s">
        <v>813</v>
      </c>
      <c r="B523" s="362">
        <f>B276</f>
        <v>4</v>
      </c>
      <c r="C523" s="404" t="str">
        <f>C276</f>
        <v>CREPIN Lucie</v>
      </c>
      <c r="D523" s="405">
        <f t="shared" ref="D523" si="1399">R276</f>
        <v>57.512199042651993</v>
      </c>
      <c r="E523" s="406">
        <f t="shared" ref="E523" si="1400">S276</f>
        <v>1531.4000000000026</v>
      </c>
      <c r="F523" s="405">
        <f t="shared" ref="F523" si="1401">T276</f>
        <v>88074.181613917404</v>
      </c>
      <c r="G523" s="413"/>
      <c r="H523" s="404" t="str">
        <f t="shared" ref="H523" si="1402">C89</f>
        <v>CREPIN</v>
      </c>
      <c r="I523" s="407" t="str">
        <f t="shared" ref="I523" si="1403">D89</f>
        <v>Lucie</v>
      </c>
      <c r="J523" s="407" t="str">
        <f>E276</f>
        <v>Doctorat - Biotechnologie, microbilogie - Université Montpellier II</v>
      </c>
      <c r="K523" s="407" t="str">
        <f>D276</f>
        <v>Lead Scientist</v>
      </c>
      <c r="L523" s="349"/>
      <c r="M523" s="349"/>
      <c r="N523" s="349"/>
      <c r="O523" s="349" t="s">
        <v>770</v>
      </c>
      <c r="P523" s="349"/>
      <c r="Q523" s="349"/>
      <c r="R523" s="349"/>
      <c r="S523" s="349"/>
      <c r="T523" s="349"/>
    </row>
    <row r="524" spans="1:20" s="111" customFormat="1" ht="24.75" thickBot="1" x14ac:dyDescent="0.3">
      <c r="A524" s="111" t="s">
        <v>813</v>
      </c>
      <c r="B524" s="362">
        <f>B276</f>
        <v>4</v>
      </c>
      <c r="C524" s="404" t="str">
        <f>C276</f>
        <v>CREPIN Lucie</v>
      </c>
      <c r="D524" s="405">
        <f t="shared" ref="D524" si="1404">R276</f>
        <v>57.512199042651993</v>
      </c>
      <c r="E524" s="406">
        <f t="shared" ref="E524" si="1405">S276</f>
        <v>1531.4000000000026</v>
      </c>
      <c r="F524" s="405">
        <f t="shared" ref="F524" si="1406">T276</f>
        <v>88074.181613917404</v>
      </c>
      <c r="G524" s="413"/>
      <c r="H524" s="404" t="str">
        <f t="shared" ref="H524" si="1407">C89</f>
        <v>CREPIN</v>
      </c>
      <c r="I524" s="407" t="str">
        <f t="shared" ref="I524" si="1408">D89</f>
        <v>Lucie</v>
      </c>
      <c r="J524" s="407" t="str">
        <f>E276</f>
        <v>Doctorat - Biotechnologie, microbilogie - Université Montpellier II</v>
      </c>
      <c r="K524" s="407" t="str">
        <f>D276</f>
        <v>Lead Scientist</v>
      </c>
      <c r="L524" s="349"/>
      <c r="M524" s="349"/>
      <c r="N524" s="349"/>
      <c r="O524" s="349" t="s">
        <v>770</v>
      </c>
      <c r="P524" s="349"/>
      <c r="Q524" s="349"/>
      <c r="R524" s="349"/>
      <c r="S524" s="349"/>
      <c r="T524" s="349"/>
    </row>
    <row r="525" spans="1:20" s="111" customFormat="1" ht="24.75" thickBot="1" x14ac:dyDescent="0.3">
      <c r="A525" s="111" t="s">
        <v>813</v>
      </c>
      <c r="B525" s="362">
        <f>B276</f>
        <v>4</v>
      </c>
      <c r="C525" s="404" t="str">
        <f>C276</f>
        <v>CREPIN Lucie</v>
      </c>
      <c r="D525" s="405">
        <f>R276</f>
        <v>57.512199042651993</v>
      </c>
      <c r="E525" s="406">
        <f>S276</f>
        <v>1531.4000000000026</v>
      </c>
      <c r="F525" s="405">
        <f>T276</f>
        <v>88074.181613917404</v>
      </c>
      <c r="G525" s="413"/>
      <c r="H525" s="404" t="str">
        <f t="shared" ref="H525" si="1409">C89</f>
        <v>CREPIN</v>
      </c>
      <c r="I525" s="407" t="str">
        <f t="shared" ref="I525" si="1410">D89</f>
        <v>Lucie</v>
      </c>
      <c r="J525" s="407" t="str">
        <f>E276</f>
        <v>Doctorat - Biotechnologie, microbilogie - Université Montpellier II</v>
      </c>
      <c r="K525" s="407" t="str">
        <f>D276</f>
        <v>Lead Scientist</v>
      </c>
      <c r="L525" s="349"/>
      <c r="M525" s="349"/>
      <c r="N525" s="349"/>
      <c r="O525" s="349" t="s">
        <v>770</v>
      </c>
      <c r="P525" s="349"/>
      <c r="Q525" s="349"/>
      <c r="R525" s="349"/>
      <c r="S525" s="349"/>
      <c r="T525" s="349"/>
    </row>
    <row r="526" spans="1:20" s="111" customFormat="1" ht="24.75" thickBot="1" x14ac:dyDescent="0.3">
      <c r="A526" s="111" t="s">
        <v>813</v>
      </c>
      <c r="B526" s="362">
        <f>B277</f>
        <v>5</v>
      </c>
      <c r="C526" s="404" t="str">
        <f>C277</f>
        <v>BOISSONNAT Guillaume</v>
      </c>
      <c r="D526" s="405">
        <f t="shared" ref="D526" si="1411">R277</f>
        <v>118.72911717220083</v>
      </c>
      <c r="E526" s="406">
        <f t="shared" ref="E526" si="1412">S277</f>
        <v>651.58800000000019</v>
      </c>
      <c r="F526" s="405">
        <f t="shared" ref="F526" si="1413">T277</f>
        <v>77362.468000000023</v>
      </c>
      <c r="G526" s="413"/>
      <c r="H526" s="404" t="str">
        <f t="shared" ref="H526" si="1414">C90</f>
        <v>BOISSONNAT</v>
      </c>
      <c r="I526" s="407" t="str">
        <f t="shared" ref="I526" si="1415">D90</f>
        <v>Guillaume</v>
      </c>
      <c r="J526" s="407" t="str">
        <f>E277</f>
        <v>Doctorat Chimie moleculaire- Université Paris VI</v>
      </c>
      <c r="K526" s="407" t="str">
        <f>D277</f>
        <v>Ingénieur Recherche</v>
      </c>
      <c r="L526" s="349"/>
      <c r="M526" s="349"/>
      <c r="N526" s="349"/>
      <c r="O526" s="349" t="s">
        <v>770</v>
      </c>
      <c r="P526" s="349"/>
      <c r="Q526" s="349"/>
      <c r="R526" s="349"/>
      <c r="S526" s="349"/>
      <c r="T526" s="349"/>
    </row>
    <row r="527" spans="1:20" s="111" customFormat="1" ht="24.75" thickBot="1" x14ac:dyDescent="0.3">
      <c r="A527" s="111" t="s">
        <v>813</v>
      </c>
      <c r="B527" s="362">
        <f>B277</f>
        <v>5</v>
      </c>
      <c r="C527" s="404" t="str">
        <f>C277</f>
        <v>BOISSONNAT Guillaume</v>
      </c>
      <c r="D527" s="405">
        <f t="shared" ref="D527" si="1416">R277</f>
        <v>118.72911717220083</v>
      </c>
      <c r="E527" s="406">
        <f t="shared" ref="E527" si="1417">S277</f>
        <v>651.58800000000019</v>
      </c>
      <c r="F527" s="405">
        <f t="shared" ref="F527" si="1418">T277</f>
        <v>77362.468000000023</v>
      </c>
      <c r="G527" s="413"/>
      <c r="H527" s="404" t="str">
        <f t="shared" ref="H527" si="1419">C90</f>
        <v>BOISSONNAT</v>
      </c>
      <c r="I527" s="407" t="str">
        <f t="shared" ref="I527" si="1420">D90</f>
        <v>Guillaume</v>
      </c>
      <c r="J527" s="407" t="str">
        <f>E277</f>
        <v>Doctorat Chimie moleculaire- Université Paris VI</v>
      </c>
      <c r="K527" s="407" t="str">
        <f>D277</f>
        <v>Ingénieur Recherche</v>
      </c>
      <c r="L527" s="349"/>
      <c r="M527" s="349"/>
      <c r="N527" s="349"/>
      <c r="O527" s="349" t="s">
        <v>770</v>
      </c>
      <c r="P527" s="349"/>
      <c r="Q527" s="349"/>
      <c r="R527" s="349"/>
      <c r="S527" s="349"/>
      <c r="T527" s="349"/>
    </row>
    <row r="528" spans="1:20" s="111" customFormat="1" ht="24.75" thickBot="1" x14ac:dyDescent="0.3">
      <c r="A528" s="111" t="s">
        <v>813</v>
      </c>
      <c r="B528" s="362">
        <f>B277</f>
        <v>5</v>
      </c>
      <c r="C528" s="404" t="str">
        <f>C277</f>
        <v>BOISSONNAT Guillaume</v>
      </c>
      <c r="D528" s="405">
        <f t="shared" ref="D528" si="1421">R277</f>
        <v>118.72911717220083</v>
      </c>
      <c r="E528" s="406">
        <f t="shared" ref="E528" si="1422">S277</f>
        <v>651.58800000000019</v>
      </c>
      <c r="F528" s="405">
        <f t="shared" ref="F528" si="1423">T277</f>
        <v>77362.468000000023</v>
      </c>
      <c r="G528" s="413"/>
      <c r="H528" s="404" t="str">
        <f t="shared" ref="H528" si="1424">C90</f>
        <v>BOISSONNAT</v>
      </c>
      <c r="I528" s="407" t="str">
        <f t="shared" ref="I528" si="1425">D90</f>
        <v>Guillaume</v>
      </c>
      <c r="J528" s="407" t="str">
        <f>E277</f>
        <v>Doctorat Chimie moleculaire- Université Paris VI</v>
      </c>
      <c r="K528" s="407" t="str">
        <f>D277</f>
        <v>Ingénieur Recherche</v>
      </c>
      <c r="L528" s="349"/>
      <c r="M528" s="349"/>
      <c r="N528" s="349"/>
      <c r="O528" s="349" t="s">
        <v>770</v>
      </c>
      <c r="P528" s="349"/>
      <c r="Q528" s="349"/>
      <c r="R528" s="349"/>
      <c r="S528" s="349"/>
      <c r="T528" s="349"/>
    </row>
    <row r="529" spans="1:20" s="111" customFormat="1" ht="24.75" thickBot="1" x14ac:dyDescent="0.3">
      <c r="A529" s="111" t="s">
        <v>813</v>
      </c>
      <c r="B529" s="362">
        <f>B277</f>
        <v>5</v>
      </c>
      <c r="C529" s="404" t="str">
        <f>C277</f>
        <v>BOISSONNAT Guillaume</v>
      </c>
      <c r="D529" s="405">
        <f t="shared" ref="D529" si="1426">R277</f>
        <v>118.72911717220083</v>
      </c>
      <c r="E529" s="406">
        <f t="shared" ref="E529" si="1427">S277</f>
        <v>651.58800000000019</v>
      </c>
      <c r="F529" s="405">
        <f t="shared" ref="F529" si="1428">T277</f>
        <v>77362.468000000023</v>
      </c>
      <c r="G529" s="413"/>
      <c r="H529" s="404" t="str">
        <f t="shared" ref="H529" si="1429">C90</f>
        <v>BOISSONNAT</v>
      </c>
      <c r="I529" s="407" t="str">
        <f t="shared" ref="I529" si="1430">D90</f>
        <v>Guillaume</v>
      </c>
      <c r="J529" s="407" t="str">
        <f>E277</f>
        <v>Doctorat Chimie moleculaire- Université Paris VI</v>
      </c>
      <c r="K529" s="407" t="str">
        <f>D277</f>
        <v>Ingénieur Recherche</v>
      </c>
      <c r="L529" s="349"/>
      <c r="M529" s="349"/>
      <c r="N529" s="349"/>
      <c r="O529" s="349" t="s">
        <v>770</v>
      </c>
      <c r="P529" s="349"/>
      <c r="Q529" s="349"/>
      <c r="R529" s="349"/>
      <c r="S529" s="349"/>
      <c r="T529" s="349"/>
    </row>
    <row r="530" spans="1:20" s="111" customFormat="1" ht="24.75" thickBot="1" x14ac:dyDescent="0.3">
      <c r="A530" s="111" t="s">
        <v>813</v>
      </c>
      <c r="B530" s="362">
        <f>B277</f>
        <v>5</v>
      </c>
      <c r="C530" s="404" t="str">
        <f>C277</f>
        <v>BOISSONNAT Guillaume</v>
      </c>
      <c r="D530" s="405">
        <f t="shared" ref="D530" si="1431">R277</f>
        <v>118.72911717220083</v>
      </c>
      <c r="E530" s="406">
        <f t="shared" ref="E530" si="1432">S277</f>
        <v>651.58800000000019</v>
      </c>
      <c r="F530" s="405">
        <f t="shared" ref="F530" si="1433">T277</f>
        <v>77362.468000000023</v>
      </c>
      <c r="G530" s="413"/>
      <c r="H530" s="404" t="str">
        <f t="shared" ref="H530" si="1434">C90</f>
        <v>BOISSONNAT</v>
      </c>
      <c r="I530" s="407" t="str">
        <f t="shared" ref="I530" si="1435">D90</f>
        <v>Guillaume</v>
      </c>
      <c r="J530" s="407" t="str">
        <f>E277</f>
        <v>Doctorat Chimie moleculaire- Université Paris VI</v>
      </c>
      <c r="K530" s="407" t="str">
        <f>D277</f>
        <v>Ingénieur Recherche</v>
      </c>
      <c r="L530" s="349"/>
      <c r="M530" s="349"/>
      <c r="N530" s="349"/>
      <c r="O530" s="349" t="s">
        <v>770</v>
      </c>
      <c r="P530" s="349"/>
      <c r="Q530" s="349"/>
      <c r="R530" s="349"/>
      <c r="S530" s="349"/>
      <c r="T530" s="349"/>
    </row>
    <row r="531" spans="1:20" s="111" customFormat="1" ht="24.75" thickBot="1" x14ac:dyDescent="0.3">
      <c r="A531" s="111" t="s">
        <v>813</v>
      </c>
      <c r="B531" s="362">
        <f>B277</f>
        <v>5</v>
      </c>
      <c r="C531" s="404" t="str">
        <f>C277</f>
        <v>BOISSONNAT Guillaume</v>
      </c>
      <c r="D531" s="405">
        <f t="shared" ref="D531" si="1436">R277</f>
        <v>118.72911717220083</v>
      </c>
      <c r="E531" s="406">
        <f t="shared" ref="E531" si="1437">S277</f>
        <v>651.58800000000019</v>
      </c>
      <c r="F531" s="405">
        <f t="shared" ref="F531" si="1438">T277</f>
        <v>77362.468000000023</v>
      </c>
      <c r="G531" s="413"/>
      <c r="H531" s="404" t="str">
        <f t="shared" ref="H531" si="1439">C90</f>
        <v>BOISSONNAT</v>
      </c>
      <c r="I531" s="407" t="str">
        <f t="shared" ref="I531" si="1440">D90</f>
        <v>Guillaume</v>
      </c>
      <c r="J531" s="407" t="str">
        <f>E277</f>
        <v>Doctorat Chimie moleculaire- Université Paris VI</v>
      </c>
      <c r="K531" s="407" t="str">
        <f>D277</f>
        <v>Ingénieur Recherche</v>
      </c>
      <c r="L531" s="349"/>
      <c r="M531" s="349"/>
      <c r="N531" s="349"/>
      <c r="O531" s="349" t="s">
        <v>770</v>
      </c>
      <c r="P531" s="349"/>
      <c r="Q531" s="349"/>
      <c r="R531" s="349"/>
      <c r="S531" s="349"/>
      <c r="T531" s="349"/>
    </row>
    <row r="532" spans="1:20" s="111" customFormat="1" ht="24.75" thickBot="1" x14ac:dyDescent="0.3">
      <c r="A532" s="111" t="s">
        <v>813</v>
      </c>
      <c r="B532" s="362">
        <f>B277</f>
        <v>5</v>
      </c>
      <c r="C532" s="404" t="str">
        <f>C277</f>
        <v>BOISSONNAT Guillaume</v>
      </c>
      <c r="D532" s="405">
        <f t="shared" ref="D532" si="1441">R277</f>
        <v>118.72911717220083</v>
      </c>
      <c r="E532" s="406">
        <f t="shared" ref="E532" si="1442">S277</f>
        <v>651.58800000000019</v>
      </c>
      <c r="F532" s="405">
        <f t="shared" ref="F532" si="1443">T277</f>
        <v>77362.468000000023</v>
      </c>
      <c r="G532" s="413"/>
      <c r="H532" s="404" t="str">
        <f t="shared" ref="H532" si="1444">C90</f>
        <v>BOISSONNAT</v>
      </c>
      <c r="I532" s="407" t="str">
        <f t="shared" ref="I532" si="1445">D90</f>
        <v>Guillaume</v>
      </c>
      <c r="J532" s="407" t="str">
        <f>E277</f>
        <v>Doctorat Chimie moleculaire- Université Paris VI</v>
      </c>
      <c r="K532" s="407" t="str">
        <f>D277</f>
        <v>Ingénieur Recherche</v>
      </c>
      <c r="L532" s="349"/>
      <c r="M532" s="349"/>
      <c r="N532" s="349"/>
      <c r="O532" s="349" t="s">
        <v>770</v>
      </c>
      <c r="P532" s="349"/>
      <c r="Q532" s="349"/>
      <c r="R532" s="349"/>
      <c r="S532" s="349"/>
      <c r="T532" s="349"/>
    </row>
    <row r="533" spans="1:20" s="111" customFormat="1" ht="24.75" thickBot="1" x14ac:dyDescent="0.3">
      <c r="A533" s="111" t="s">
        <v>813</v>
      </c>
      <c r="B533" s="362">
        <f>B277</f>
        <v>5</v>
      </c>
      <c r="C533" s="404" t="str">
        <f>C277</f>
        <v>BOISSONNAT Guillaume</v>
      </c>
      <c r="D533" s="405">
        <f t="shared" ref="D533" si="1446">R277</f>
        <v>118.72911717220083</v>
      </c>
      <c r="E533" s="406">
        <f t="shared" ref="E533" si="1447">S277</f>
        <v>651.58800000000019</v>
      </c>
      <c r="F533" s="405">
        <f t="shared" ref="F533" si="1448">T277</f>
        <v>77362.468000000023</v>
      </c>
      <c r="G533" s="413"/>
      <c r="H533" s="404" t="str">
        <f t="shared" ref="H533" si="1449">C90</f>
        <v>BOISSONNAT</v>
      </c>
      <c r="I533" s="407" t="str">
        <f t="shared" ref="I533" si="1450">D90</f>
        <v>Guillaume</v>
      </c>
      <c r="J533" s="407" t="str">
        <f>E277</f>
        <v>Doctorat Chimie moleculaire- Université Paris VI</v>
      </c>
      <c r="K533" s="407" t="str">
        <f>D277</f>
        <v>Ingénieur Recherche</v>
      </c>
      <c r="L533" s="349"/>
      <c r="M533" s="349"/>
      <c r="N533" s="349"/>
      <c r="O533" s="349" t="s">
        <v>770</v>
      </c>
      <c r="P533" s="349"/>
      <c r="Q533" s="349"/>
      <c r="R533" s="349"/>
      <c r="S533" s="349"/>
      <c r="T533" s="349"/>
    </row>
    <row r="534" spans="1:20" s="111" customFormat="1" ht="24.75" thickBot="1" x14ac:dyDescent="0.3">
      <c r="A534" s="111" t="s">
        <v>813</v>
      </c>
      <c r="B534" s="362">
        <f>B277</f>
        <v>5</v>
      </c>
      <c r="C534" s="404" t="str">
        <f>C277</f>
        <v>BOISSONNAT Guillaume</v>
      </c>
      <c r="D534" s="405">
        <f t="shared" ref="D534" si="1451">R277</f>
        <v>118.72911717220083</v>
      </c>
      <c r="E534" s="406">
        <f t="shared" ref="E534" si="1452">S277</f>
        <v>651.58800000000019</v>
      </c>
      <c r="F534" s="405">
        <f t="shared" ref="F534" si="1453">T277</f>
        <v>77362.468000000023</v>
      </c>
      <c r="G534" s="413"/>
      <c r="H534" s="404" t="str">
        <f t="shared" ref="H534" si="1454">C90</f>
        <v>BOISSONNAT</v>
      </c>
      <c r="I534" s="407" t="str">
        <f t="shared" ref="I534" si="1455">D90</f>
        <v>Guillaume</v>
      </c>
      <c r="J534" s="407" t="str">
        <f>E277</f>
        <v>Doctorat Chimie moleculaire- Université Paris VI</v>
      </c>
      <c r="K534" s="407" t="str">
        <f>D277</f>
        <v>Ingénieur Recherche</v>
      </c>
      <c r="L534" s="349"/>
      <c r="M534" s="349"/>
      <c r="N534" s="349"/>
      <c r="O534" s="349" t="s">
        <v>770</v>
      </c>
      <c r="P534" s="349"/>
      <c r="Q534" s="349"/>
      <c r="R534" s="349"/>
      <c r="S534" s="349"/>
      <c r="T534" s="349"/>
    </row>
    <row r="535" spans="1:20" s="111" customFormat="1" ht="24.75" thickBot="1" x14ac:dyDescent="0.3">
      <c r="A535" s="111" t="s">
        <v>813</v>
      </c>
      <c r="B535" s="362">
        <f>B277</f>
        <v>5</v>
      </c>
      <c r="C535" s="404" t="str">
        <f>C277</f>
        <v>BOISSONNAT Guillaume</v>
      </c>
      <c r="D535" s="405">
        <f t="shared" ref="D535" si="1456">R277</f>
        <v>118.72911717220083</v>
      </c>
      <c r="E535" s="406">
        <f t="shared" ref="E535" si="1457">S277</f>
        <v>651.58800000000019</v>
      </c>
      <c r="F535" s="405">
        <f t="shared" ref="F535" si="1458">T277</f>
        <v>77362.468000000023</v>
      </c>
      <c r="G535" s="413"/>
      <c r="H535" s="404" t="str">
        <f t="shared" ref="H535" si="1459">C90</f>
        <v>BOISSONNAT</v>
      </c>
      <c r="I535" s="407" t="str">
        <f t="shared" ref="I535" si="1460">D90</f>
        <v>Guillaume</v>
      </c>
      <c r="J535" s="407" t="str">
        <f>E277</f>
        <v>Doctorat Chimie moleculaire- Université Paris VI</v>
      </c>
      <c r="K535" s="407" t="str">
        <f>D277</f>
        <v>Ingénieur Recherche</v>
      </c>
      <c r="L535" s="349"/>
      <c r="M535" s="349"/>
      <c r="N535" s="349"/>
      <c r="O535" s="349" t="s">
        <v>770</v>
      </c>
      <c r="P535" s="349"/>
      <c r="Q535" s="349"/>
      <c r="R535" s="349"/>
      <c r="S535" s="349"/>
      <c r="T535" s="349"/>
    </row>
    <row r="536" spans="1:20" s="111" customFormat="1" ht="24.75" thickBot="1" x14ac:dyDescent="0.3">
      <c r="A536" s="111" t="s">
        <v>813</v>
      </c>
      <c r="B536" s="362">
        <f>B277</f>
        <v>5</v>
      </c>
      <c r="C536" s="404" t="str">
        <f>C277</f>
        <v>BOISSONNAT Guillaume</v>
      </c>
      <c r="D536" s="405">
        <f t="shared" ref="D536" si="1461">R277</f>
        <v>118.72911717220083</v>
      </c>
      <c r="E536" s="406">
        <f t="shared" ref="E536" si="1462">S277</f>
        <v>651.58800000000019</v>
      </c>
      <c r="F536" s="405">
        <f t="shared" ref="F536" si="1463">T277</f>
        <v>77362.468000000023</v>
      </c>
      <c r="G536" s="413"/>
      <c r="H536" s="404" t="str">
        <f t="shared" ref="H536" si="1464">C90</f>
        <v>BOISSONNAT</v>
      </c>
      <c r="I536" s="407" t="str">
        <f t="shared" ref="I536" si="1465">D90</f>
        <v>Guillaume</v>
      </c>
      <c r="J536" s="407" t="str">
        <f>E277</f>
        <v>Doctorat Chimie moleculaire- Université Paris VI</v>
      </c>
      <c r="K536" s="407" t="str">
        <f>D277</f>
        <v>Ingénieur Recherche</v>
      </c>
      <c r="L536" s="349"/>
      <c r="M536" s="349"/>
      <c r="N536" s="349"/>
      <c r="O536" s="349" t="s">
        <v>770</v>
      </c>
      <c r="P536" s="349"/>
      <c r="Q536" s="349"/>
      <c r="R536" s="349"/>
      <c r="S536" s="349"/>
      <c r="T536" s="349"/>
    </row>
    <row r="537" spans="1:20" s="111" customFormat="1" ht="24.75" thickBot="1" x14ac:dyDescent="0.3">
      <c r="A537" s="111" t="s">
        <v>813</v>
      </c>
      <c r="B537" s="362">
        <f>B277</f>
        <v>5</v>
      </c>
      <c r="C537" s="404" t="str">
        <f>C277</f>
        <v>BOISSONNAT Guillaume</v>
      </c>
      <c r="D537" s="405">
        <f t="shared" ref="D537" si="1466">R277</f>
        <v>118.72911717220083</v>
      </c>
      <c r="E537" s="406">
        <f t="shared" ref="E537" si="1467">S277</f>
        <v>651.58800000000019</v>
      </c>
      <c r="F537" s="405">
        <f t="shared" ref="F537" si="1468">T277</f>
        <v>77362.468000000023</v>
      </c>
      <c r="G537" s="413"/>
      <c r="H537" s="404" t="str">
        <f t="shared" ref="H537" si="1469">C90</f>
        <v>BOISSONNAT</v>
      </c>
      <c r="I537" s="407" t="str">
        <f t="shared" ref="I537" si="1470">D90</f>
        <v>Guillaume</v>
      </c>
      <c r="J537" s="407" t="str">
        <f>E277</f>
        <v>Doctorat Chimie moleculaire- Université Paris VI</v>
      </c>
      <c r="K537" s="407" t="str">
        <f>D277</f>
        <v>Ingénieur Recherche</v>
      </c>
      <c r="L537" s="349"/>
      <c r="M537" s="349"/>
      <c r="N537" s="349"/>
      <c r="O537" s="349" t="s">
        <v>770</v>
      </c>
      <c r="P537" s="349"/>
      <c r="Q537" s="349"/>
      <c r="R537" s="349"/>
      <c r="S537" s="349"/>
      <c r="T537" s="349"/>
    </row>
    <row r="538" spans="1:20" s="111" customFormat="1" ht="24.75" thickBot="1" x14ac:dyDescent="0.3">
      <c r="A538" s="111" t="s">
        <v>813</v>
      </c>
      <c r="B538" s="362">
        <f>B277</f>
        <v>5</v>
      </c>
      <c r="C538" s="404" t="str">
        <f>C277</f>
        <v>BOISSONNAT Guillaume</v>
      </c>
      <c r="D538" s="405">
        <f t="shared" ref="D538" si="1471">R277</f>
        <v>118.72911717220083</v>
      </c>
      <c r="E538" s="406">
        <f t="shared" ref="E538" si="1472">S277</f>
        <v>651.58800000000019</v>
      </c>
      <c r="F538" s="405">
        <f t="shared" ref="F538" si="1473">T277</f>
        <v>77362.468000000023</v>
      </c>
      <c r="G538" s="413"/>
      <c r="H538" s="404" t="str">
        <f t="shared" ref="H538" si="1474">C90</f>
        <v>BOISSONNAT</v>
      </c>
      <c r="I538" s="407" t="str">
        <f t="shared" ref="I538" si="1475">D90</f>
        <v>Guillaume</v>
      </c>
      <c r="J538" s="407" t="str">
        <f>E277</f>
        <v>Doctorat Chimie moleculaire- Université Paris VI</v>
      </c>
      <c r="K538" s="407" t="str">
        <f>D277</f>
        <v>Ingénieur Recherche</v>
      </c>
      <c r="L538" s="349"/>
      <c r="M538" s="349"/>
      <c r="N538" s="349"/>
      <c r="O538" s="349" t="s">
        <v>770</v>
      </c>
      <c r="P538" s="349"/>
      <c r="Q538" s="349"/>
      <c r="R538" s="349"/>
      <c r="S538" s="349"/>
      <c r="T538" s="349"/>
    </row>
    <row r="539" spans="1:20" s="111" customFormat="1" ht="24.75" thickBot="1" x14ac:dyDescent="0.3">
      <c r="A539" s="111" t="s">
        <v>813</v>
      </c>
      <c r="B539" s="362">
        <f>B277</f>
        <v>5</v>
      </c>
      <c r="C539" s="404" t="str">
        <f>C277</f>
        <v>BOISSONNAT Guillaume</v>
      </c>
      <c r="D539" s="405">
        <f t="shared" ref="D539" si="1476">R277</f>
        <v>118.72911717220083</v>
      </c>
      <c r="E539" s="406">
        <f t="shared" ref="E539" si="1477">S277</f>
        <v>651.58800000000019</v>
      </c>
      <c r="F539" s="405">
        <f t="shared" ref="F539" si="1478">T277</f>
        <v>77362.468000000023</v>
      </c>
      <c r="G539" s="413"/>
      <c r="H539" s="404" t="str">
        <f t="shared" ref="H539" si="1479">C90</f>
        <v>BOISSONNAT</v>
      </c>
      <c r="I539" s="407" t="str">
        <f t="shared" ref="I539" si="1480">D90</f>
        <v>Guillaume</v>
      </c>
      <c r="J539" s="407" t="str">
        <f>E277</f>
        <v>Doctorat Chimie moleculaire- Université Paris VI</v>
      </c>
      <c r="K539" s="407" t="str">
        <f>D277</f>
        <v>Ingénieur Recherche</v>
      </c>
      <c r="L539" s="349"/>
      <c r="M539" s="349"/>
      <c r="N539" s="349"/>
      <c r="O539" s="349" t="s">
        <v>770</v>
      </c>
      <c r="P539" s="349"/>
      <c r="Q539" s="349"/>
      <c r="R539" s="349"/>
      <c r="S539" s="349"/>
      <c r="T539" s="349"/>
    </row>
    <row r="540" spans="1:20" s="111" customFormat="1" ht="24.75" thickBot="1" x14ac:dyDescent="0.3">
      <c r="A540" s="111" t="s">
        <v>813</v>
      </c>
      <c r="B540" s="362">
        <f>B277</f>
        <v>5</v>
      </c>
      <c r="C540" s="404" t="str">
        <f>C277</f>
        <v>BOISSONNAT Guillaume</v>
      </c>
      <c r="D540" s="405">
        <f t="shared" ref="D540" si="1481">R277</f>
        <v>118.72911717220083</v>
      </c>
      <c r="E540" s="406">
        <f t="shared" ref="E540" si="1482">S277</f>
        <v>651.58800000000019</v>
      </c>
      <c r="F540" s="405">
        <f t="shared" ref="F540" si="1483">T277</f>
        <v>77362.468000000023</v>
      </c>
      <c r="G540" s="413"/>
      <c r="H540" s="404" t="str">
        <f t="shared" ref="H540" si="1484">C90</f>
        <v>BOISSONNAT</v>
      </c>
      <c r="I540" s="407" t="str">
        <f t="shared" ref="I540" si="1485">D90</f>
        <v>Guillaume</v>
      </c>
      <c r="J540" s="407" t="str">
        <f>E277</f>
        <v>Doctorat Chimie moleculaire- Université Paris VI</v>
      </c>
      <c r="K540" s="407" t="str">
        <f>D277</f>
        <v>Ingénieur Recherche</v>
      </c>
      <c r="L540" s="349"/>
      <c r="M540" s="349"/>
      <c r="N540" s="349"/>
      <c r="O540" s="349" t="s">
        <v>770</v>
      </c>
      <c r="P540" s="349"/>
      <c r="Q540" s="349"/>
      <c r="R540" s="349"/>
      <c r="S540" s="349"/>
      <c r="T540" s="349"/>
    </row>
    <row r="541" spans="1:20" s="111" customFormat="1" ht="24.75" thickBot="1" x14ac:dyDescent="0.3">
      <c r="A541" s="111" t="s">
        <v>813</v>
      </c>
      <c r="B541" s="362">
        <f>B277</f>
        <v>5</v>
      </c>
      <c r="C541" s="404" t="str">
        <f>C277</f>
        <v>BOISSONNAT Guillaume</v>
      </c>
      <c r="D541" s="405">
        <f t="shared" ref="D541" si="1486">R277</f>
        <v>118.72911717220083</v>
      </c>
      <c r="E541" s="406">
        <f t="shared" ref="E541" si="1487">S277</f>
        <v>651.58800000000019</v>
      </c>
      <c r="F541" s="405">
        <f t="shared" ref="F541" si="1488">T277</f>
        <v>77362.468000000023</v>
      </c>
      <c r="G541" s="413"/>
      <c r="H541" s="404" t="str">
        <f t="shared" ref="H541" si="1489">C90</f>
        <v>BOISSONNAT</v>
      </c>
      <c r="I541" s="407" t="str">
        <f t="shared" ref="I541" si="1490">D90</f>
        <v>Guillaume</v>
      </c>
      <c r="J541" s="407" t="str">
        <f>E277</f>
        <v>Doctorat Chimie moleculaire- Université Paris VI</v>
      </c>
      <c r="K541" s="407" t="str">
        <f>D277</f>
        <v>Ingénieur Recherche</v>
      </c>
      <c r="L541" s="349"/>
      <c r="M541" s="349"/>
      <c r="N541" s="349"/>
      <c r="O541" s="349" t="s">
        <v>770</v>
      </c>
      <c r="P541" s="349"/>
      <c r="Q541" s="349"/>
      <c r="R541" s="349"/>
      <c r="S541" s="349"/>
      <c r="T541" s="349"/>
    </row>
    <row r="542" spans="1:20" s="111" customFormat="1" ht="24.75" thickBot="1" x14ac:dyDescent="0.3">
      <c r="A542" s="111" t="s">
        <v>813</v>
      </c>
      <c r="B542" s="362">
        <f>B277</f>
        <v>5</v>
      </c>
      <c r="C542" s="404" t="str">
        <f>C277</f>
        <v>BOISSONNAT Guillaume</v>
      </c>
      <c r="D542" s="405">
        <f t="shared" ref="D542" si="1491">R277</f>
        <v>118.72911717220083</v>
      </c>
      <c r="E542" s="406">
        <f t="shared" ref="E542" si="1492">S277</f>
        <v>651.58800000000019</v>
      </c>
      <c r="F542" s="405">
        <f t="shared" ref="F542" si="1493">T277</f>
        <v>77362.468000000023</v>
      </c>
      <c r="G542" s="413"/>
      <c r="H542" s="404" t="str">
        <f t="shared" ref="H542" si="1494">C90</f>
        <v>BOISSONNAT</v>
      </c>
      <c r="I542" s="407" t="str">
        <f t="shared" ref="I542" si="1495">D90</f>
        <v>Guillaume</v>
      </c>
      <c r="J542" s="407" t="str">
        <f>E277</f>
        <v>Doctorat Chimie moleculaire- Université Paris VI</v>
      </c>
      <c r="K542" s="407" t="str">
        <f>D277</f>
        <v>Ingénieur Recherche</v>
      </c>
      <c r="L542" s="349"/>
      <c r="M542" s="349"/>
      <c r="N542" s="349"/>
      <c r="O542" s="349" t="s">
        <v>770</v>
      </c>
      <c r="P542" s="349"/>
      <c r="Q542" s="349"/>
      <c r="R542" s="349"/>
      <c r="S542" s="349"/>
      <c r="T542" s="349"/>
    </row>
    <row r="543" spans="1:20" s="111" customFormat="1" ht="24.75" thickBot="1" x14ac:dyDescent="0.3">
      <c r="A543" s="111" t="s">
        <v>813</v>
      </c>
      <c r="B543" s="362">
        <f>B277</f>
        <v>5</v>
      </c>
      <c r="C543" s="404" t="str">
        <f>C277</f>
        <v>BOISSONNAT Guillaume</v>
      </c>
      <c r="D543" s="405">
        <f t="shared" ref="D543" si="1496">R277</f>
        <v>118.72911717220083</v>
      </c>
      <c r="E543" s="406">
        <f t="shared" ref="E543" si="1497">S277</f>
        <v>651.58800000000019</v>
      </c>
      <c r="F543" s="405">
        <f t="shared" ref="F543" si="1498">T277</f>
        <v>77362.468000000023</v>
      </c>
      <c r="G543" s="413"/>
      <c r="H543" s="404" t="str">
        <f t="shared" ref="H543" si="1499">C90</f>
        <v>BOISSONNAT</v>
      </c>
      <c r="I543" s="407" t="str">
        <f t="shared" ref="I543" si="1500">D90</f>
        <v>Guillaume</v>
      </c>
      <c r="J543" s="407" t="str">
        <f>E277</f>
        <v>Doctorat Chimie moleculaire- Université Paris VI</v>
      </c>
      <c r="K543" s="407" t="str">
        <f>D277</f>
        <v>Ingénieur Recherche</v>
      </c>
      <c r="L543" s="349"/>
      <c r="M543" s="349"/>
      <c r="N543" s="349"/>
      <c r="O543" s="349" t="s">
        <v>770</v>
      </c>
      <c r="P543" s="349"/>
      <c r="Q543" s="349"/>
      <c r="R543" s="349"/>
      <c r="S543" s="349"/>
      <c r="T543" s="349"/>
    </row>
    <row r="544" spans="1:20" s="111" customFormat="1" ht="24.75" thickBot="1" x14ac:dyDescent="0.3">
      <c r="A544" s="111" t="s">
        <v>813</v>
      </c>
      <c r="B544" s="362">
        <f>B277</f>
        <v>5</v>
      </c>
      <c r="C544" s="404" t="str">
        <f>C277</f>
        <v>BOISSONNAT Guillaume</v>
      </c>
      <c r="D544" s="405">
        <f t="shared" ref="D544" si="1501">R277</f>
        <v>118.72911717220083</v>
      </c>
      <c r="E544" s="406">
        <f t="shared" ref="E544" si="1502">S277</f>
        <v>651.58800000000019</v>
      </c>
      <c r="F544" s="405">
        <f t="shared" ref="F544" si="1503">T277</f>
        <v>77362.468000000023</v>
      </c>
      <c r="G544" s="413"/>
      <c r="H544" s="404" t="str">
        <f t="shared" ref="H544" si="1504">C90</f>
        <v>BOISSONNAT</v>
      </c>
      <c r="I544" s="407" t="str">
        <f t="shared" ref="I544" si="1505">D90</f>
        <v>Guillaume</v>
      </c>
      <c r="J544" s="407" t="str">
        <f>E277</f>
        <v>Doctorat Chimie moleculaire- Université Paris VI</v>
      </c>
      <c r="K544" s="407" t="str">
        <f>D277</f>
        <v>Ingénieur Recherche</v>
      </c>
      <c r="L544" s="349"/>
      <c r="M544" s="349"/>
      <c r="N544" s="349"/>
      <c r="O544" s="349" t="s">
        <v>770</v>
      </c>
      <c r="P544" s="349"/>
      <c r="Q544" s="349"/>
      <c r="R544" s="349"/>
      <c r="S544" s="349"/>
      <c r="T544" s="349"/>
    </row>
    <row r="545" spans="1:20" s="111" customFormat="1" ht="24.75" thickBot="1" x14ac:dyDescent="0.3">
      <c r="A545" s="111" t="s">
        <v>813</v>
      </c>
      <c r="B545" s="362">
        <f>B277</f>
        <v>5</v>
      </c>
      <c r="C545" s="404" t="str">
        <f>C277</f>
        <v>BOISSONNAT Guillaume</v>
      </c>
      <c r="D545" s="405">
        <f t="shared" ref="D545" si="1506">R277</f>
        <v>118.72911717220083</v>
      </c>
      <c r="E545" s="406">
        <f t="shared" ref="E545" si="1507">S277</f>
        <v>651.58800000000019</v>
      </c>
      <c r="F545" s="405">
        <f t="shared" ref="F545" si="1508">T277</f>
        <v>77362.468000000023</v>
      </c>
      <c r="G545" s="413"/>
      <c r="H545" s="404" t="str">
        <f t="shared" ref="H545" si="1509">C90</f>
        <v>BOISSONNAT</v>
      </c>
      <c r="I545" s="407" t="str">
        <f t="shared" ref="I545" si="1510">D90</f>
        <v>Guillaume</v>
      </c>
      <c r="J545" s="407" t="str">
        <f>E277</f>
        <v>Doctorat Chimie moleculaire- Université Paris VI</v>
      </c>
      <c r="K545" s="407" t="str">
        <f>D277</f>
        <v>Ingénieur Recherche</v>
      </c>
      <c r="L545" s="349"/>
      <c r="M545" s="349"/>
      <c r="N545" s="349"/>
      <c r="O545" s="349" t="s">
        <v>770</v>
      </c>
      <c r="P545" s="349"/>
      <c r="Q545" s="349"/>
      <c r="R545" s="349"/>
      <c r="S545" s="349"/>
      <c r="T545" s="349"/>
    </row>
    <row r="546" spans="1:20" s="111" customFormat="1" ht="24.75" thickBot="1" x14ac:dyDescent="0.3">
      <c r="A546" s="111" t="s">
        <v>813</v>
      </c>
      <c r="B546" s="362">
        <f>B277</f>
        <v>5</v>
      </c>
      <c r="C546" s="404" t="str">
        <f>C277</f>
        <v>BOISSONNAT Guillaume</v>
      </c>
      <c r="D546" s="405">
        <f t="shared" ref="D546" si="1511">R277</f>
        <v>118.72911717220083</v>
      </c>
      <c r="E546" s="406">
        <f t="shared" ref="E546" si="1512">S277</f>
        <v>651.58800000000019</v>
      </c>
      <c r="F546" s="405">
        <f t="shared" ref="F546" si="1513">T277</f>
        <v>77362.468000000023</v>
      </c>
      <c r="G546" s="413"/>
      <c r="H546" s="404" t="str">
        <f t="shared" ref="H546" si="1514">C90</f>
        <v>BOISSONNAT</v>
      </c>
      <c r="I546" s="407" t="str">
        <f t="shared" ref="I546" si="1515">D90</f>
        <v>Guillaume</v>
      </c>
      <c r="J546" s="407" t="str">
        <f>E277</f>
        <v>Doctorat Chimie moleculaire- Université Paris VI</v>
      </c>
      <c r="K546" s="407" t="str">
        <f>D277</f>
        <v>Ingénieur Recherche</v>
      </c>
      <c r="L546" s="349"/>
      <c r="M546" s="349"/>
      <c r="N546" s="349"/>
      <c r="O546" s="349" t="s">
        <v>770</v>
      </c>
      <c r="P546" s="349"/>
      <c r="Q546" s="349"/>
      <c r="R546" s="349"/>
      <c r="S546" s="349"/>
      <c r="T546" s="349"/>
    </row>
    <row r="547" spans="1:20" s="111" customFormat="1" ht="24.75" thickBot="1" x14ac:dyDescent="0.3">
      <c r="A547" s="111" t="s">
        <v>813</v>
      </c>
      <c r="B547" s="362">
        <f>B277</f>
        <v>5</v>
      </c>
      <c r="C547" s="404" t="str">
        <f>C277</f>
        <v>BOISSONNAT Guillaume</v>
      </c>
      <c r="D547" s="405">
        <f t="shared" ref="D547" si="1516">R277</f>
        <v>118.72911717220083</v>
      </c>
      <c r="E547" s="406">
        <f t="shared" ref="E547" si="1517">S277</f>
        <v>651.58800000000019</v>
      </c>
      <c r="F547" s="405">
        <f t="shared" ref="F547" si="1518">T277</f>
        <v>77362.468000000023</v>
      </c>
      <c r="G547" s="413"/>
      <c r="H547" s="404" t="str">
        <f t="shared" ref="H547" si="1519">C90</f>
        <v>BOISSONNAT</v>
      </c>
      <c r="I547" s="407" t="str">
        <f t="shared" ref="I547" si="1520">D90</f>
        <v>Guillaume</v>
      </c>
      <c r="J547" s="407" t="str">
        <f>E277</f>
        <v>Doctorat Chimie moleculaire- Université Paris VI</v>
      </c>
      <c r="K547" s="407" t="str">
        <f>D277</f>
        <v>Ingénieur Recherche</v>
      </c>
      <c r="L547" s="349"/>
      <c r="M547" s="349"/>
      <c r="N547" s="349"/>
      <c r="O547" s="349" t="s">
        <v>770</v>
      </c>
      <c r="P547" s="349"/>
      <c r="Q547" s="349"/>
      <c r="R547" s="349"/>
      <c r="S547" s="349"/>
      <c r="T547" s="349"/>
    </row>
    <row r="548" spans="1:20" s="111" customFormat="1" ht="24.75" thickBot="1" x14ac:dyDescent="0.3">
      <c r="A548" s="111" t="s">
        <v>813</v>
      </c>
      <c r="B548" s="362">
        <f>B277</f>
        <v>5</v>
      </c>
      <c r="C548" s="404" t="str">
        <f>C277</f>
        <v>BOISSONNAT Guillaume</v>
      </c>
      <c r="D548" s="405">
        <f t="shared" ref="D548" si="1521">R277</f>
        <v>118.72911717220083</v>
      </c>
      <c r="E548" s="406">
        <f t="shared" ref="E548" si="1522">S277</f>
        <v>651.58800000000019</v>
      </c>
      <c r="F548" s="405">
        <f t="shared" ref="F548" si="1523">T277</f>
        <v>77362.468000000023</v>
      </c>
      <c r="G548" s="413"/>
      <c r="H548" s="404" t="str">
        <f t="shared" ref="H548" si="1524">C90</f>
        <v>BOISSONNAT</v>
      </c>
      <c r="I548" s="407" t="str">
        <f t="shared" ref="I548" si="1525">D90</f>
        <v>Guillaume</v>
      </c>
      <c r="J548" s="407" t="str">
        <f>E277</f>
        <v>Doctorat Chimie moleculaire- Université Paris VI</v>
      </c>
      <c r="K548" s="407" t="str">
        <f>D277</f>
        <v>Ingénieur Recherche</v>
      </c>
      <c r="L548" s="349"/>
      <c r="M548" s="349"/>
      <c r="N548" s="349"/>
      <c r="O548" s="349" t="s">
        <v>770</v>
      </c>
      <c r="P548" s="349"/>
      <c r="Q548" s="349"/>
      <c r="R548" s="349"/>
      <c r="S548" s="349"/>
      <c r="T548" s="349"/>
    </row>
    <row r="549" spans="1:20" s="111" customFormat="1" ht="24.75" thickBot="1" x14ac:dyDescent="0.3">
      <c r="A549" s="111" t="s">
        <v>813</v>
      </c>
      <c r="B549" s="362">
        <f>B277</f>
        <v>5</v>
      </c>
      <c r="C549" s="404" t="str">
        <f>C277</f>
        <v>BOISSONNAT Guillaume</v>
      </c>
      <c r="D549" s="405">
        <f t="shared" ref="D549" si="1526">R277</f>
        <v>118.72911717220083</v>
      </c>
      <c r="E549" s="406">
        <f t="shared" ref="E549" si="1527">S277</f>
        <v>651.58800000000019</v>
      </c>
      <c r="F549" s="405">
        <f t="shared" ref="F549" si="1528">T277</f>
        <v>77362.468000000023</v>
      </c>
      <c r="G549" s="413"/>
      <c r="H549" s="404" t="str">
        <f t="shared" ref="H549" si="1529">C90</f>
        <v>BOISSONNAT</v>
      </c>
      <c r="I549" s="407" t="str">
        <f t="shared" ref="I549" si="1530">D90</f>
        <v>Guillaume</v>
      </c>
      <c r="J549" s="407" t="str">
        <f>E277</f>
        <v>Doctorat Chimie moleculaire- Université Paris VI</v>
      </c>
      <c r="K549" s="407" t="str">
        <f>D277</f>
        <v>Ingénieur Recherche</v>
      </c>
      <c r="L549" s="349"/>
      <c r="M549" s="349"/>
      <c r="N549" s="349"/>
      <c r="O549" s="349" t="s">
        <v>770</v>
      </c>
      <c r="P549" s="349"/>
      <c r="Q549" s="349"/>
      <c r="R549" s="349"/>
      <c r="S549" s="349"/>
      <c r="T549" s="349"/>
    </row>
    <row r="550" spans="1:20" s="111" customFormat="1" ht="24.75" thickBot="1" x14ac:dyDescent="0.3">
      <c r="A550" s="111" t="s">
        <v>813</v>
      </c>
      <c r="B550" s="362">
        <f>B277</f>
        <v>5</v>
      </c>
      <c r="C550" s="404" t="str">
        <f>C277</f>
        <v>BOISSONNAT Guillaume</v>
      </c>
      <c r="D550" s="405">
        <f t="shared" ref="D550" si="1531">R277</f>
        <v>118.72911717220083</v>
      </c>
      <c r="E550" s="406">
        <f t="shared" ref="E550" si="1532">S277</f>
        <v>651.58800000000019</v>
      </c>
      <c r="F550" s="405">
        <f t="shared" ref="F550" si="1533">T277</f>
        <v>77362.468000000023</v>
      </c>
      <c r="G550" s="413"/>
      <c r="H550" s="404" t="str">
        <f t="shared" ref="H550" si="1534">C90</f>
        <v>BOISSONNAT</v>
      </c>
      <c r="I550" s="407" t="str">
        <f t="shared" ref="I550" si="1535">D90</f>
        <v>Guillaume</v>
      </c>
      <c r="J550" s="407" t="str">
        <f>E277</f>
        <v>Doctorat Chimie moleculaire- Université Paris VI</v>
      </c>
      <c r="K550" s="407" t="str">
        <f>D277</f>
        <v>Ingénieur Recherche</v>
      </c>
      <c r="L550" s="349"/>
      <c r="M550" s="349"/>
      <c r="N550" s="349"/>
      <c r="O550" s="349" t="s">
        <v>770</v>
      </c>
      <c r="P550" s="349"/>
      <c r="Q550" s="349"/>
      <c r="R550" s="349"/>
      <c r="S550" s="349"/>
      <c r="T550" s="349"/>
    </row>
    <row r="551" spans="1:20" s="111" customFormat="1" ht="24.75" thickBot="1" x14ac:dyDescent="0.3">
      <c r="A551" s="111" t="s">
        <v>813</v>
      </c>
      <c r="B551" s="362">
        <f>B277</f>
        <v>5</v>
      </c>
      <c r="C551" s="404" t="str">
        <f>C277</f>
        <v>BOISSONNAT Guillaume</v>
      </c>
      <c r="D551" s="405">
        <f t="shared" ref="D551" si="1536">R277</f>
        <v>118.72911717220083</v>
      </c>
      <c r="E551" s="406">
        <f t="shared" ref="E551" si="1537">S277</f>
        <v>651.58800000000019</v>
      </c>
      <c r="F551" s="405">
        <f t="shared" ref="F551" si="1538">T277</f>
        <v>77362.468000000023</v>
      </c>
      <c r="G551" s="413"/>
      <c r="H551" s="404" t="str">
        <f t="shared" ref="H551" si="1539">C90</f>
        <v>BOISSONNAT</v>
      </c>
      <c r="I551" s="407" t="str">
        <f t="shared" ref="I551" si="1540">D90</f>
        <v>Guillaume</v>
      </c>
      <c r="J551" s="407" t="str">
        <f>E277</f>
        <v>Doctorat Chimie moleculaire- Université Paris VI</v>
      </c>
      <c r="K551" s="407" t="str">
        <f>D277</f>
        <v>Ingénieur Recherche</v>
      </c>
      <c r="L551" s="349"/>
      <c r="M551" s="349"/>
      <c r="N551" s="349"/>
      <c r="O551" s="349" t="s">
        <v>770</v>
      </c>
      <c r="P551" s="349"/>
      <c r="Q551" s="349"/>
      <c r="R551" s="349"/>
      <c r="S551" s="349"/>
      <c r="T551" s="349"/>
    </row>
    <row r="552" spans="1:20" s="111" customFormat="1" ht="24.75" thickBot="1" x14ac:dyDescent="0.3">
      <c r="A552" s="111" t="s">
        <v>813</v>
      </c>
      <c r="B552" s="362">
        <f>B277</f>
        <v>5</v>
      </c>
      <c r="C552" s="404" t="str">
        <f>C277</f>
        <v>BOISSONNAT Guillaume</v>
      </c>
      <c r="D552" s="405">
        <f t="shared" ref="D552" si="1541">R277</f>
        <v>118.72911717220083</v>
      </c>
      <c r="E552" s="406">
        <f t="shared" ref="E552" si="1542">S277</f>
        <v>651.58800000000019</v>
      </c>
      <c r="F552" s="405">
        <f t="shared" ref="F552" si="1543">T277</f>
        <v>77362.468000000023</v>
      </c>
      <c r="G552" s="413"/>
      <c r="H552" s="404" t="str">
        <f t="shared" ref="H552" si="1544">C90</f>
        <v>BOISSONNAT</v>
      </c>
      <c r="I552" s="407" t="str">
        <f t="shared" ref="I552" si="1545">D90</f>
        <v>Guillaume</v>
      </c>
      <c r="J552" s="407" t="str">
        <f>E277</f>
        <v>Doctorat Chimie moleculaire- Université Paris VI</v>
      </c>
      <c r="K552" s="407" t="str">
        <f>D277</f>
        <v>Ingénieur Recherche</v>
      </c>
      <c r="L552" s="349"/>
      <c r="M552" s="349"/>
      <c r="N552" s="349"/>
      <c r="O552" s="349" t="s">
        <v>770</v>
      </c>
      <c r="P552" s="349"/>
      <c r="Q552" s="349"/>
      <c r="R552" s="349"/>
      <c r="S552" s="349"/>
      <c r="T552" s="349"/>
    </row>
    <row r="553" spans="1:20" s="111" customFormat="1" ht="24.75" thickBot="1" x14ac:dyDescent="0.3">
      <c r="A553" s="111" t="s">
        <v>813</v>
      </c>
      <c r="B553" s="362">
        <f>B277</f>
        <v>5</v>
      </c>
      <c r="C553" s="404" t="str">
        <f>C277</f>
        <v>BOISSONNAT Guillaume</v>
      </c>
      <c r="D553" s="405">
        <f t="shared" ref="D553" si="1546">R277</f>
        <v>118.72911717220083</v>
      </c>
      <c r="E553" s="406">
        <f t="shared" ref="E553" si="1547">S277</f>
        <v>651.58800000000019</v>
      </c>
      <c r="F553" s="405">
        <f t="shared" ref="F553" si="1548">T277</f>
        <v>77362.468000000023</v>
      </c>
      <c r="G553" s="413"/>
      <c r="H553" s="404" t="str">
        <f t="shared" ref="H553" si="1549">C90</f>
        <v>BOISSONNAT</v>
      </c>
      <c r="I553" s="407" t="str">
        <f t="shared" ref="I553" si="1550">D90</f>
        <v>Guillaume</v>
      </c>
      <c r="J553" s="407" t="str">
        <f>E277</f>
        <v>Doctorat Chimie moleculaire- Université Paris VI</v>
      </c>
      <c r="K553" s="407" t="str">
        <f>D277</f>
        <v>Ingénieur Recherche</v>
      </c>
      <c r="L553" s="349"/>
      <c r="M553" s="349"/>
      <c r="N553" s="349"/>
      <c r="O553" s="349" t="s">
        <v>770</v>
      </c>
      <c r="P553" s="349"/>
      <c r="Q553" s="349"/>
      <c r="R553" s="349"/>
      <c r="S553" s="349"/>
      <c r="T553" s="349"/>
    </row>
    <row r="554" spans="1:20" s="111" customFormat="1" ht="24.75" thickBot="1" x14ac:dyDescent="0.3">
      <c r="A554" s="111" t="s">
        <v>813</v>
      </c>
      <c r="B554" s="362">
        <f>B277</f>
        <v>5</v>
      </c>
      <c r="C554" s="404" t="str">
        <f>C277</f>
        <v>BOISSONNAT Guillaume</v>
      </c>
      <c r="D554" s="405">
        <f t="shared" ref="D554" si="1551">R277</f>
        <v>118.72911717220083</v>
      </c>
      <c r="E554" s="406">
        <f t="shared" ref="E554" si="1552">S277</f>
        <v>651.58800000000019</v>
      </c>
      <c r="F554" s="405">
        <f t="shared" ref="F554" si="1553">T277</f>
        <v>77362.468000000023</v>
      </c>
      <c r="G554" s="413"/>
      <c r="H554" s="404" t="str">
        <f t="shared" ref="H554" si="1554">C90</f>
        <v>BOISSONNAT</v>
      </c>
      <c r="I554" s="407" t="str">
        <f t="shared" ref="I554" si="1555">D90</f>
        <v>Guillaume</v>
      </c>
      <c r="J554" s="407" t="str">
        <f>E277</f>
        <v>Doctorat Chimie moleculaire- Université Paris VI</v>
      </c>
      <c r="K554" s="407" t="str">
        <f>D277</f>
        <v>Ingénieur Recherche</v>
      </c>
      <c r="L554" s="349"/>
      <c r="M554" s="349"/>
      <c r="N554" s="349"/>
      <c r="O554" s="349" t="s">
        <v>770</v>
      </c>
      <c r="P554" s="349"/>
      <c r="Q554" s="349"/>
      <c r="R554" s="349"/>
      <c r="S554" s="349"/>
      <c r="T554" s="349"/>
    </row>
    <row r="555" spans="1:20" s="111" customFormat="1" ht="24.75" thickBot="1" x14ac:dyDescent="0.3">
      <c r="A555" s="111" t="s">
        <v>813</v>
      </c>
      <c r="B555" s="362">
        <f>B277</f>
        <v>5</v>
      </c>
      <c r="C555" s="404" t="str">
        <f>C277</f>
        <v>BOISSONNAT Guillaume</v>
      </c>
      <c r="D555" s="405">
        <f t="shared" ref="D555" si="1556">R277</f>
        <v>118.72911717220083</v>
      </c>
      <c r="E555" s="406">
        <f t="shared" ref="E555" si="1557">S277</f>
        <v>651.58800000000019</v>
      </c>
      <c r="F555" s="405">
        <f t="shared" ref="F555" si="1558">T277</f>
        <v>77362.468000000023</v>
      </c>
      <c r="G555" s="413"/>
      <c r="H555" s="404" t="str">
        <f t="shared" ref="H555" si="1559">C90</f>
        <v>BOISSONNAT</v>
      </c>
      <c r="I555" s="407" t="str">
        <f t="shared" ref="I555" si="1560">D90</f>
        <v>Guillaume</v>
      </c>
      <c r="J555" s="407" t="str">
        <f>E277</f>
        <v>Doctorat Chimie moleculaire- Université Paris VI</v>
      </c>
      <c r="K555" s="407" t="str">
        <f>D277</f>
        <v>Ingénieur Recherche</v>
      </c>
      <c r="L555" s="349"/>
      <c r="M555" s="349"/>
      <c r="N555" s="349"/>
      <c r="O555" s="349" t="s">
        <v>770</v>
      </c>
      <c r="P555" s="349"/>
      <c r="Q555" s="349"/>
      <c r="R555" s="349"/>
      <c r="S555" s="349"/>
      <c r="T555" s="349"/>
    </row>
    <row r="556" spans="1:20" s="111" customFormat="1" ht="24.75" thickBot="1" x14ac:dyDescent="0.3">
      <c r="A556" s="111" t="s">
        <v>813</v>
      </c>
      <c r="B556" s="362">
        <f>B277</f>
        <v>5</v>
      </c>
      <c r="C556" s="404" t="str">
        <f>C277</f>
        <v>BOISSONNAT Guillaume</v>
      </c>
      <c r="D556" s="405">
        <f t="shared" ref="D556" si="1561">R277</f>
        <v>118.72911717220083</v>
      </c>
      <c r="E556" s="406">
        <f t="shared" ref="E556" si="1562">S277</f>
        <v>651.58800000000019</v>
      </c>
      <c r="F556" s="405">
        <f t="shared" ref="F556" si="1563">T277</f>
        <v>77362.468000000023</v>
      </c>
      <c r="G556" s="413"/>
      <c r="H556" s="404" t="str">
        <f t="shared" ref="H556" si="1564">C90</f>
        <v>BOISSONNAT</v>
      </c>
      <c r="I556" s="407" t="str">
        <f t="shared" ref="I556" si="1565">D90</f>
        <v>Guillaume</v>
      </c>
      <c r="J556" s="407" t="str">
        <f>E277</f>
        <v>Doctorat Chimie moleculaire- Université Paris VI</v>
      </c>
      <c r="K556" s="407" t="str">
        <f>D277</f>
        <v>Ingénieur Recherche</v>
      </c>
      <c r="L556" s="349"/>
      <c r="M556" s="349"/>
      <c r="N556" s="349"/>
      <c r="O556" s="349" t="s">
        <v>770</v>
      </c>
      <c r="P556" s="349"/>
      <c r="Q556" s="349"/>
      <c r="R556" s="349"/>
      <c r="S556" s="349"/>
      <c r="T556" s="349"/>
    </row>
    <row r="557" spans="1:20" s="111" customFormat="1" ht="24.75" thickBot="1" x14ac:dyDescent="0.3">
      <c r="A557" s="111" t="s">
        <v>813</v>
      </c>
      <c r="B557" s="362">
        <f>B277</f>
        <v>5</v>
      </c>
      <c r="C557" s="404" t="str">
        <f>C277</f>
        <v>BOISSONNAT Guillaume</v>
      </c>
      <c r="D557" s="405">
        <f t="shared" ref="D557" si="1566">R277</f>
        <v>118.72911717220083</v>
      </c>
      <c r="E557" s="406">
        <f t="shared" ref="E557" si="1567">S277</f>
        <v>651.58800000000019</v>
      </c>
      <c r="F557" s="405">
        <f t="shared" ref="F557" si="1568">T277</f>
        <v>77362.468000000023</v>
      </c>
      <c r="G557" s="413"/>
      <c r="H557" s="404" t="str">
        <f t="shared" ref="H557" si="1569">C90</f>
        <v>BOISSONNAT</v>
      </c>
      <c r="I557" s="407" t="str">
        <f t="shared" ref="I557" si="1570">D90</f>
        <v>Guillaume</v>
      </c>
      <c r="J557" s="407" t="str">
        <f>E277</f>
        <v>Doctorat Chimie moleculaire- Université Paris VI</v>
      </c>
      <c r="K557" s="407" t="str">
        <f>D277</f>
        <v>Ingénieur Recherche</v>
      </c>
      <c r="L557" s="349"/>
      <c r="M557" s="349"/>
      <c r="N557" s="349"/>
      <c r="O557" s="349" t="s">
        <v>770</v>
      </c>
      <c r="P557" s="349"/>
      <c r="Q557" s="349"/>
      <c r="R557" s="349"/>
      <c r="S557" s="349"/>
      <c r="T557" s="349"/>
    </row>
    <row r="558" spans="1:20" s="111" customFormat="1" ht="24.75" thickBot="1" x14ac:dyDescent="0.3">
      <c r="A558" s="111" t="s">
        <v>813</v>
      </c>
      <c r="B558" s="362">
        <f>B277</f>
        <v>5</v>
      </c>
      <c r="C558" s="404" t="str">
        <f>C277</f>
        <v>BOISSONNAT Guillaume</v>
      </c>
      <c r="D558" s="405">
        <f t="shared" ref="D558" si="1571">R277</f>
        <v>118.72911717220083</v>
      </c>
      <c r="E558" s="406">
        <f t="shared" ref="E558" si="1572">S277</f>
        <v>651.58800000000019</v>
      </c>
      <c r="F558" s="405">
        <f t="shared" ref="F558" si="1573">T277</f>
        <v>77362.468000000023</v>
      </c>
      <c r="G558" s="413"/>
      <c r="H558" s="404" t="str">
        <f t="shared" ref="H558" si="1574">C90</f>
        <v>BOISSONNAT</v>
      </c>
      <c r="I558" s="407" t="str">
        <f t="shared" ref="I558" si="1575">D90</f>
        <v>Guillaume</v>
      </c>
      <c r="J558" s="407" t="str">
        <f>E277</f>
        <v>Doctorat Chimie moleculaire- Université Paris VI</v>
      </c>
      <c r="K558" s="407" t="str">
        <f>D277</f>
        <v>Ingénieur Recherche</v>
      </c>
      <c r="L558" s="349"/>
      <c r="M558" s="349"/>
      <c r="N558" s="349"/>
      <c r="O558" s="349" t="s">
        <v>770</v>
      </c>
      <c r="P558" s="349"/>
      <c r="Q558" s="349"/>
      <c r="R558" s="349"/>
      <c r="S558" s="349"/>
      <c r="T558" s="349"/>
    </row>
    <row r="559" spans="1:20" s="111" customFormat="1" ht="24.75" thickBot="1" x14ac:dyDescent="0.3">
      <c r="A559" s="111" t="s">
        <v>813</v>
      </c>
      <c r="B559" s="362">
        <f>B277</f>
        <v>5</v>
      </c>
      <c r="C559" s="404" t="str">
        <f>C277</f>
        <v>BOISSONNAT Guillaume</v>
      </c>
      <c r="D559" s="405">
        <f t="shared" ref="D559" si="1576">R277</f>
        <v>118.72911717220083</v>
      </c>
      <c r="E559" s="406">
        <f t="shared" ref="E559" si="1577">S277</f>
        <v>651.58800000000019</v>
      </c>
      <c r="F559" s="405">
        <f t="shared" ref="F559" si="1578">T277</f>
        <v>77362.468000000023</v>
      </c>
      <c r="G559" s="413"/>
      <c r="H559" s="404" t="str">
        <f t="shared" ref="H559" si="1579">C90</f>
        <v>BOISSONNAT</v>
      </c>
      <c r="I559" s="407" t="str">
        <f t="shared" ref="I559" si="1580">D90</f>
        <v>Guillaume</v>
      </c>
      <c r="J559" s="407" t="str">
        <f>E277</f>
        <v>Doctorat Chimie moleculaire- Université Paris VI</v>
      </c>
      <c r="K559" s="407" t="str">
        <f>D277</f>
        <v>Ingénieur Recherche</v>
      </c>
      <c r="L559" s="349"/>
      <c r="M559" s="349"/>
      <c r="N559" s="349"/>
      <c r="O559" s="349" t="s">
        <v>770</v>
      </c>
      <c r="P559" s="349"/>
      <c r="Q559" s="349"/>
      <c r="R559" s="349"/>
      <c r="S559" s="349"/>
      <c r="T559" s="349"/>
    </row>
    <row r="560" spans="1:20" s="111" customFormat="1" ht="24.75" thickBot="1" x14ac:dyDescent="0.3">
      <c r="A560" s="111" t="s">
        <v>813</v>
      </c>
      <c r="B560" s="362">
        <f>B277</f>
        <v>5</v>
      </c>
      <c r="C560" s="404" t="str">
        <f>C277</f>
        <v>BOISSONNAT Guillaume</v>
      </c>
      <c r="D560" s="405">
        <f t="shared" ref="D560" si="1581">R277</f>
        <v>118.72911717220083</v>
      </c>
      <c r="E560" s="406">
        <f t="shared" ref="E560" si="1582">S277</f>
        <v>651.58800000000019</v>
      </c>
      <c r="F560" s="405">
        <f t="shared" ref="F560" si="1583">T277</f>
        <v>77362.468000000023</v>
      </c>
      <c r="G560" s="413"/>
      <c r="H560" s="404" t="str">
        <f t="shared" ref="H560" si="1584">C90</f>
        <v>BOISSONNAT</v>
      </c>
      <c r="I560" s="407" t="str">
        <f t="shared" ref="I560" si="1585">D90</f>
        <v>Guillaume</v>
      </c>
      <c r="J560" s="407" t="str">
        <f>E277</f>
        <v>Doctorat Chimie moleculaire- Université Paris VI</v>
      </c>
      <c r="K560" s="407" t="str">
        <f>D277</f>
        <v>Ingénieur Recherche</v>
      </c>
      <c r="L560" s="349"/>
      <c r="M560" s="349"/>
      <c r="N560" s="349"/>
      <c r="O560" s="349" t="s">
        <v>770</v>
      </c>
      <c r="P560" s="349"/>
      <c r="Q560" s="349"/>
      <c r="R560" s="349"/>
      <c r="S560" s="349"/>
      <c r="T560" s="349"/>
    </row>
    <row r="561" spans="1:20" s="111" customFormat="1" ht="24.75" thickBot="1" x14ac:dyDescent="0.3">
      <c r="A561" s="111" t="s">
        <v>813</v>
      </c>
      <c r="B561" s="362">
        <f>B277</f>
        <v>5</v>
      </c>
      <c r="C561" s="404" t="str">
        <f>C277</f>
        <v>BOISSONNAT Guillaume</v>
      </c>
      <c r="D561" s="405">
        <f t="shared" ref="D561" si="1586">R277</f>
        <v>118.72911717220083</v>
      </c>
      <c r="E561" s="406">
        <f t="shared" ref="E561" si="1587">S277</f>
        <v>651.58800000000019</v>
      </c>
      <c r="F561" s="405">
        <f t="shared" ref="F561" si="1588">T277</f>
        <v>77362.468000000023</v>
      </c>
      <c r="G561" s="413"/>
      <c r="H561" s="404" t="str">
        <f t="shared" ref="H561" si="1589">C90</f>
        <v>BOISSONNAT</v>
      </c>
      <c r="I561" s="407" t="str">
        <f t="shared" ref="I561" si="1590">D90</f>
        <v>Guillaume</v>
      </c>
      <c r="J561" s="407" t="str">
        <f>E277</f>
        <v>Doctorat Chimie moleculaire- Université Paris VI</v>
      </c>
      <c r="K561" s="407" t="str">
        <f>D277</f>
        <v>Ingénieur Recherche</v>
      </c>
      <c r="L561" s="349"/>
      <c r="M561" s="349"/>
      <c r="N561" s="349"/>
      <c r="O561" s="349" t="s">
        <v>770</v>
      </c>
      <c r="P561" s="349"/>
      <c r="Q561" s="349"/>
      <c r="R561" s="349"/>
      <c r="S561" s="349"/>
      <c r="T561" s="349"/>
    </row>
    <row r="562" spans="1:20" s="111" customFormat="1" ht="24.75" thickBot="1" x14ac:dyDescent="0.3">
      <c r="A562" s="111" t="s">
        <v>813</v>
      </c>
      <c r="B562" s="362">
        <f>B277</f>
        <v>5</v>
      </c>
      <c r="C562" s="404" t="str">
        <f>C277</f>
        <v>BOISSONNAT Guillaume</v>
      </c>
      <c r="D562" s="405">
        <f t="shared" ref="D562" si="1591">R277</f>
        <v>118.72911717220083</v>
      </c>
      <c r="E562" s="406">
        <f t="shared" ref="E562" si="1592">S277</f>
        <v>651.58800000000019</v>
      </c>
      <c r="F562" s="405">
        <f t="shared" ref="F562" si="1593">T277</f>
        <v>77362.468000000023</v>
      </c>
      <c r="G562" s="413"/>
      <c r="H562" s="404" t="str">
        <f t="shared" ref="H562" si="1594">C90</f>
        <v>BOISSONNAT</v>
      </c>
      <c r="I562" s="407" t="str">
        <f t="shared" ref="I562" si="1595">D90</f>
        <v>Guillaume</v>
      </c>
      <c r="J562" s="407" t="str">
        <f>E277</f>
        <v>Doctorat Chimie moleculaire- Université Paris VI</v>
      </c>
      <c r="K562" s="407" t="str">
        <f>D277</f>
        <v>Ingénieur Recherche</v>
      </c>
      <c r="L562" s="349"/>
      <c r="M562" s="349"/>
      <c r="N562" s="349"/>
      <c r="O562" s="349" t="s">
        <v>770</v>
      </c>
      <c r="P562" s="349"/>
      <c r="Q562" s="349"/>
      <c r="R562" s="349"/>
      <c r="S562" s="349"/>
      <c r="T562" s="349"/>
    </row>
    <row r="563" spans="1:20" s="111" customFormat="1" ht="24.75" thickBot="1" x14ac:dyDescent="0.3">
      <c r="A563" s="111" t="s">
        <v>813</v>
      </c>
      <c r="B563" s="362">
        <f>B277</f>
        <v>5</v>
      </c>
      <c r="C563" s="404" t="str">
        <f>C277</f>
        <v>BOISSONNAT Guillaume</v>
      </c>
      <c r="D563" s="405">
        <f t="shared" ref="D563" si="1596">R277</f>
        <v>118.72911717220083</v>
      </c>
      <c r="E563" s="406">
        <f t="shared" ref="E563" si="1597">S277</f>
        <v>651.58800000000019</v>
      </c>
      <c r="F563" s="405">
        <f t="shared" ref="F563" si="1598">T277</f>
        <v>77362.468000000023</v>
      </c>
      <c r="G563" s="413"/>
      <c r="H563" s="404" t="str">
        <f t="shared" ref="H563" si="1599">C90</f>
        <v>BOISSONNAT</v>
      </c>
      <c r="I563" s="407" t="str">
        <f t="shared" ref="I563" si="1600">D90</f>
        <v>Guillaume</v>
      </c>
      <c r="J563" s="407" t="str">
        <f>E277</f>
        <v>Doctorat Chimie moleculaire- Université Paris VI</v>
      </c>
      <c r="K563" s="407" t="str">
        <f>D277</f>
        <v>Ingénieur Recherche</v>
      </c>
      <c r="L563" s="349"/>
      <c r="M563" s="349"/>
      <c r="N563" s="349"/>
      <c r="O563" s="349" t="s">
        <v>770</v>
      </c>
      <c r="P563" s="349"/>
      <c r="Q563" s="349"/>
      <c r="R563" s="349"/>
      <c r="S563" s="349"/>
      <c r="T563" s="349"/>
    </row>
    <row r="564" spans="1:20" s="111" customFormat="1" ht="24.75" thickBot="1" x14ac:dyDescent="0.3">
      <c r="A564" s="111" t="s">
        <v>813</v>
      </c>
      <c r="B564" s="362">
        <f>B274</f>
        <v>1</v>
      </c>
      <c r="C564" s="404" t="str">
        <f>C274</f>
        <v>AMILLASTRE Emilie</v>
      </c>
      <c r="D564" s="405">
        <f t="shared" ref="D564:F564" si="1601">R274</f>
        <v>51.165673195193484</v>
      </c>
      <c r="E564" s="406">
        <f t="shared" si="1601"/>
        <v>1481.320000000002</v>
      </c>
      <c r="F564" s="405">
        <f t="shared" si="1601"/>
        <v>75792.735017504121</v>
      </c>
      <c r="G564" s="413"/>
      <c r="H564" s="404" t="str">
        <f t="shared" ref="H564" si="1602">C87</f>
        <v>AMILLASTRE</v>
      </c>
      <c r="I564" s="407" t="str">
        <f t="shared" ref="I564" si="1603">D87</f>
        <v>Emilie</v>
      </c>
      <c r="J564" s="407" t="str">
        <f>E274</f>
        <v>Doctorat - INSA Toulouse</v>
      </c>
      <c r="K564" s="407" t="str">
        <f>D274</f>
        <v>Experte Bioprocédés</v>
      </c>
      <c r="L564" s="349"/>
      <c r="M564" s="349"/>
      <c r="N564" s="349"/>
      <c r="O564" s="349" t="s">
        <v>770</v>
      </c>
      <c r="P564" s="349"/>
      <c r="Q564" s="349"/>
      <c r="R564" s="349"/>
      <c r="S564" s="349"/>
      <c r="T564" s="349"/>
    </row>
    <row r="565" spans="1:20" s="111" customFormat="1" ht="15.75" thickBot="1" x14ac:dyDescent="0.3">
      <c r="A565" s="111" t="s">
        <v>813</v>
      </c>
      <c r="B565" s="362" t="e">
        <f>B275</f>
        <v>#REF!</v>
      </c>
      <c r="C565" s="404" t="e">
        <f>C275</f>
        <v>#REF!</v>
      </c>
      <c r="D565" s="405" t="e">
        <f t="shared" ref="D565" si="1604">R275</f>
        <v>#REF!</v>
      </c>
      <c r="E565" s="406" t="e">
        <f t="shared" ref="E565" si="1605">S275</f>
        <v>#REF!</v>
      </c>
      <c r="F565" s="405" t="e">
        <f t="shared" ref="F565" si="1606">T275</f>
        <v>#REF!</v>
      </c>
      <c r="G565" s="413"/>
      <c r="H565" s="404" t="e">
        <f t="shared" ref="H565" si="1607">C88</f>
        <v>#REF!</v>
      </c>
      <c r="I565" s="407" t="e">
        <f t="shared" ref="I565" si="1608">D88</f>
        <v>#REF!</v>
      </c>
      <c r="J565" s="407" t="e">
        <f>E275</f>
        <v>#REF!</v>
      </c>
      <c r="K565" s="407" t="e">
        <f>D275</f>
        <v>#REF!</v>
      </c>
      <c r="L565" s="349"/>
      <c r="M565" s="349"/>
      <c r="N565" s="349"/>
      <c r="O565" s="349" t="s">
        <v>770</v>
      </c>
      <c r="P565" s="349"/>
      <c r="Q565" s="349"/>
      <c r="R565" s="349"/>
      <c r="S565" s="349"/>
      <c r="T565" s="349"/>
    </row>
    <row r="566" spans="1:20" s="111" customFormat="1" ht="15.75" thickBot="1" x14ac:dyDescent="0.3">
      <c r="A566" s="111" t="s">
        <v>813</v>
      </c>
      <c r="B566" s="362" t="e">
        <f>B275</f>
        <v>#REF!</v>
      </c>
      <c r="C566" s="404" t="e">
        <f>C275</f>
        <v>#REF!</v>
      </c>
      <c r="D566" s="405" t="e">
        <f t="shared" ref="D566" si="1609">R275</f>
        <v>#REF!</v>
      </c>
      <c r="E566" s="406" t="e">
        <f t="shared" ref="E566" si="1610">S275</f>
        <v>#REF!</v>
      </c>
      <c r="F566" s="405" t="e">
        <f t="shared" ref="F566" si="1611">T275</f>
        <v>#REF!</v>
      </c>
      <c r="G566" s="413"/>
      <c r="H566" s="404" t="e">
        <f t="shared" ref="H566" si="1612">C88</f>
        <v>#REF!</v>
      </c>
      <c r="I566" s="407" t="e">
        <f t="shared" ref="I566" si="1613">D88</f>
        <v>#REF!</v>
      </c>
      <c r="J566" s="407" t="e">
        <f>E275</f>
        <v>#REF!</v>
      </c>
      <c r="K566" s="407" t="e">
        <f>D275</f>
        <v>#REF!</v>
      </c>
      <c r="L566" s="349"/>
      <c r="M566" s="349"/>
      <c r="N566" s="349"/>
      <c r="O566" s="349" t="s">
        <v>770</v>
      </c>
      <c r="P566" s="349"/>
      <c r="Q566" s="349"/>
      <c r="R566" s="349"/>
      <c r="S566" s="349"/>
      <c r="T566" s="349"/>
    </row>
    <row r="567" spans="1:20" s="111" customFormat="1" ht="15.75" thickBot="1" x14ac:dyDescent="0.3">
      <c r="A567" s="111" t="s">
        <v>813</v>
      </c>
      <c r="B567" s="362" t="e">
        <f>B275</f>
        <v>#REF!</v>
      </c>
      <c r="C567" s="404" t="e">
        <f>C275</f>
        <v>#REF!</v>
      </c>
      <c r="D567" s="405" t="e">
        <f t="shared" ref="D567" si="1614">R275</f>
        <v>#REF!</v>
      </c>
      <c r="E567" s="406" t="e">
        <f t="shared" ref="E567" si="1615">S275</f>
        <v>#REF!</v>
      </c>
      <c r="F567" s="405" t="e">
        <f t="shared" ref="F567" si="1616">T275</f>
        <v>#REF!</v>
      </c>
      <c r="G567" s="413"/>
      <c r="H567" s="404" t="e">
        <f t="shared" ref="H567" si="1617">C88</f>
        <v>#REF!</v>
      </c>
      <c r="I567" s="407" t="e">
        <f t="shared" ref="I567" si="1618">D88</f>
        <v>#REF!</v>
      </c>
      <c r="J567" s="407" t="e">
        <f>E275</f>
        <v>#REF!</v>
      </c>
      <c r="K567" s="407" t="e">
        <f>D275</f>
        <v>#REF!</v>
      </c>
      <c r="L567" s="349"/>
      <c r="M567" s="349"/>
      <c r="N567" s="349"/>
      <c r="O567" s="349" t="s">
        <v>770</v>
      </c>
      <c r="P567" s="349"/>
      <c r="Q567" s="349"/>
      <c r="R567" s="349"/>
      <c r="S567" s="349"/>
      <c r="T567" s="349"/>
    </row>
    <row r="568" spans="1:20" s="111" customFormat="1" ht="15.75" thickBot="1" x14ac:dyDescent="0.3">
      <c r="A568" s="111" t="s">
        <v>813</v>
      </c>
      <c r="B568" s="362" t="e">
        <f>B275</f>
        <v>#REF!</v>
      </c>
      <c r="C568" s="404" t="e">
        <f>C275</f>
        <v>#REF!</v>
      </c>
      <c r="D568" s="405" t="e">
        <f t="shared" ref="D568" si="1619">R275</f>
        <v>#REF!</v>
      </c>
      <c r="E568" s="406" t="e">
        <f t="shared" ref="E568" si="1620">S275</f>
        <v>#REF!</v>
      </c>
      <c r="F568" s="405" t="e">
        <f t="shared" ref="F568" si="1621">T275</f>
        <v>#REF!</v>
      </c>
      <c r="G568" s="413"/>
      <c r="H568" s="404" t="e">
        <f t="shared" ref="H568" si="1622">C88</f>
        <v>#REF!</v>
      </c>
      <c r="I568" s="407" t="e">
        <f t="shared" ref="I568" si="1623">D88</f>
        <v>#REF!</v>
      </c>
      <c r="J568" s="407" t="e">
        <f>E275</f>
        <v>#REF!</v>
      </c>
      <c r="K568" s="407" t="e">
        <f>D275</f>
        <v>#REF!</v>
      </c>
      <c r="L568" s="349"/>
      <c r="M568" s="349"/>
      <c r="N568" s="349"/>
      <c r="O568" s="349" t="s">
        <v>770</v>
      </c>
      <c r="P568" s="349"/>
      <c r="Q568" s="349"/>
      <c r="R568" s="349"/>
      <c r="S568" s="349"/>
      <c r="T568" s="349"/>
    </row>
    <row r="569" spans="1:20" s="111" customFormat="1" ht="15.75" thickBot="1" x14ac:dyDescent="0.3">
      <c r="A569" s="111" t="s">
        <v>813</v>
      </c>
      <c r="B569" s="362" t="e">
        <f>B275</f>
        <v>#REF!</v>
      </c>
      <c r="C569" s="404" t="e">
        <f>C275</f>
        <v>#REF!</v>
      </c>
      <c r="D569" s="405" t="e">
        <f t="shared" ref="D569" si="1624">R275</f>
        <v>#REF!</v>
      </c>
      <c r="E569" s="406" t="e">
        <f t="shared" ref="E569" si="1625">S275</f>
        <v>#REF!</v>
      </c>
      <c r="F569" s="405" t="e">
        <f t="shared" ref="F569" si="1626">T275</f>
        <v>#REF!</v>
      </c>
      <c r="G569" s="413"/>
      <c r="H569" s="404" t="e">
        <f t="shared" ref="H569" si="1627">C88</f>
        <v>#REF!</v>
      </c>
      <c r="I569" s="407" t="e">
        <f t="shared" ref="I569" si="1628">D88</f>
        <v>#REF!</v>
      </c>
      <c r="J569" s="407" t="e">
        <f>E275</f>
        <v>#REF!</v>
      </c>
      <c r="K569" s="407" t="e">
        <f>D275</f>
        <v>#REF!</v>
      </c>
      <c r="L569" s="349"/>
      <c r="M569" s="349"/>
      <c r="N569" s="349"/>
      <c r="O569" s="349" t="s">
        <v>770</v>
      </c>
      <c r="P569" s="349"/>
      <c r="Q569" s="349"/>
      <c r="R569" s="349"/>
      <c r="S569" s="349"/>
      <c r="T569" s="349"/>
    </row>
    <row r="570" spans="1:20" s="111" customFormat="1" ht="15.75" thickBot="1" x14ac:dyDescent="0.3">
      <c r="A570" s="111" t="s">
        <v>813</v>
      </c>
      <c r="B570" s="362" t="e">
        <f>B275</f>
        <v>#REF!</v>
      </c>
      <c r="C570" s="404" t="e">
        <f>C275</f>
        <v>#REF!</v>
      </c>
      <c r="D570" s="405" t="e">
        <f t="shared" ref="D570" si="1629">R275</f>
        <v>#REF!</v>
      </c>
      <c r="E570" s="406" t="e">
        <f t="shared" ref="E570" si="1630">S275</f>
        <v>#REF!</v>
      </c>
      <c r="F570" s="405" t="e">
        <f t="shared" ref="F570" si="1631">T275</f>
        <v>#REF!</v>
      </c>
      <c r="G570" s="413"/>
      <c r="H570" s="404" t="e">
        <f t="shared" ref="H570" si="1632">C88</f>
        <v>#REF!</v>
      </c>
      <c r="I570" s="407" t="e">
        <f t="shared" ref="I570" si="1633">D88</f>
        <v>#REF!</v>
      </c>
      <c r="J570" s="407" t="e">
        <f>E275</f>
        <v>#REF!</v>
      </c>
      <c r="K570" s="407" t="e">
        <f>D275</f>
        <v>#REF!</v>
      </c>
      <c r="L570" s="349"/>
      <c r="M570" s="349"/>
      <c r="N570" s="349"/>
      <c r="O570" s="349" t="s">
        <v>770</v>
      </c>
      <c r="P570" s="349"/>
      <c r="Q570" s="349"/>
      <c r="R570" s="349"/>
      <c r="S570" s="349"/>
      <c r="T570" s="349"/>
    </row>
    <row r="571" spans="1:20" s="111" customFormat="1" ht="15.75" thickBot="1" x14ac:dyDescent="0.3">
      <c r="A571" s="111" t="s">
        <v>813</v>
      </c>
      <c r="B571" s="362" t="e">
        <f>B275</f>
        <v>#REF!</v>
      </c>
      <c r="C571" s="404" t="e">
        <f>C275</f>
        <v>#REF!</v>
      </c>
      <c r="D571" s="405" t="e">
        <f t="shared" ref="D571" si="1634">R275</f>
        <v>#REF!</v>
      </c>
      <c r="E571" s="406" t="e">
        <f t="shared" ref="E571" si="1635">S275</f>
        <v>#REF!</v>
      </c>
      <c r="F571" s="405" t="e">
        <f t="shared" ref="F571" si="1636">T275</f>
        <v>#REF!</v>
      </c>
      <c r="G571" s="413"/>
      <c r="H571" s="404" t="e">
        <f t="shared" ref="H571" si="1637">C88</f>
        <v>#REF!</v>
      </c>
      <c r="I571" s="407" t="e">
        <f t="shared" ref="I571" si="1638">D88</f>
        <v>#REF!</v>
      </c>
      <c r="J571" s="407" t="e">
        <f>E275</f>
        <v>#REF!</v>
      </c>
      <c r="K571" s="407" t="e">
        <f>D275</f>
        <v>#REF!</v>
      </c>
      <c r="L571" s="349"/>
      <c r="M571" s="349"/>
      <c r="N571" s="349"/>
      <c r="O571" s="349" t="s">
        <v>770</v>
      </c>
      <c r="P571" s="349"/>
      <c r="Q571" s="349"/>
      <c r="R571" s="349"/>
      <c r="S571" s="349"/>
      <c r="T571" s="349"/>
    </row>
    <row r="572" spans="1:20" s="111" customFormat="1" ht="15.75" thickBot="1" x14ac:dyDescent="0.3">
      <c r="A572" s="111" t="s">
        <v>813</v>
      </c>
      <c r="B572" s="362" t="e">
        <f>B275</f>
        <v>#REF!</v>
      </c>
      <c r="C572" s="404" t="e">
        <f>C275</f>
        <v>#REF!</v>
      </c>
      <c r="D572" s="405" t="e">
        <f t="shared" ref="D572" si="1639">R275</f>
        <v>#REF!</v>
      </c>
      <c r="E572" s="406" t="e">
        <f t="shared" ref="E572" si="1640">S275</f>
        <v>#REF!</v>
      </c>
      <c r="F572" s="405" t="e">
        <f t="shared" ref="F572" si="1641">T275</f>
        <v>#REF!</v>
      </c>
      <c r="G572" s="413"/>
      <c r="H572" s="404" t="e">
        <f t="shared" ref="H572" si="1642">C88</f>
        <v>#REF!</v>
      </c>
      <c r="I572" s="407" t="e">
        <f t="shared" ref="I572" si="1643">D88</f>
        <v>#REF!</v>
      </c>
      <c r="J572" s="407" t="e">
        <f>E275</f>
        <v>#REF!</v>
      </c>
      <c r="K572" s="407" t="e">
        <f>D275</f>
        <v>#REF!</v>
      </c>
      <c r="L572" s="349"/>
      <c r="M572" s="349"/>
      <c r="N572" s="349"/>
      <c r="O572" s="349" t="s">
        <v>770</v>
      </c>
      <c r="P572" s="349"/>
      <c r="Q572" s="349"/>
      <c r="R572" s="349"/>
      <c r="S572" s="349"/>
      <c r="T572" s="349"/>
    </row>
    <row r="573" spans="1:20" s="111" customFormat="1" ht="15.75" thickBot="1" x14ac:dyDescent="0.3">
      <c r="A573" s="111" t="s">
        <v>813</v>
      </c>
      <c r="B573" s="362" t="e">
        <f>B275</f>
        <v>#REF!</v>
      </c>
      <c r="C573" s="404" t="e">
        <f>C275</f>
        <v>#REF!</v>
      </c>
      <c r="D573" s="405" t="e">
        <f t="shared" ref="D573" si="1644">R275</f>
        <v>#REF!</v>
      </c>
      <c r="E573" s="406" t="e">
        <f t="shared" ref="E573" si="1645">S275</f>
        <v>#REF!</v>
      </c>
      <c r="F573" s="405" t="e">
        <f t="shared" ref="F573" si="1646">T275</f>
        <v>#REF!</v>
      </c>
      <c r="G573" s="413"/>
      <c r="H573" s="404" t="e">
        <f t="shared" ref="H573" si="1647">C88</f>
        <v>#REF!</v>
      </c>
      <c r="I573" s="407" t="e">
        <f t="shared" ref="I573" si="1648">D88</f>
        <v>#REF!</v>
      </c>
      <c r="J573" s="407" t="e">
        <f>E275</f>
        <v>#REF!</v>
      </c>
      <c r="K573" s="407" t="e">
        <f>D275</f>
        <v>#REF!</v>
      </c>
      <c r="L573" s="349"/>
      <c r="M573" s="349"/>
      <c r="N573" s="349"/>
      <c r="O573" s="349" t="s">
        <v>770</v>
      </c>
      <c r="P573" s="349"/>
      <c r="Q573" s="349"/>
      <c r="R573" s="349"/>
      <c r="S573" s="349"/>
      <c r="T573" s="349"/>
    </row>
    <row r="574" spans="1:20" s="111" customFormat="1" ht="15.75" thickBot="1" x14ac:dyDescent="0.3">
      <c r="A574" s="111" t="s">
        <v>813</v>
      </c>
      <c r="B574" s="362" t="e">
        <f>B275</f>
        <v>#REF!</v>
      </c>
      <c r="C574" s="404" t="e">
        <f>C275</f>
        <v>#REF!</v>
      </c>
      <c r="D574" s="405" t="e">
        <f t="shared" ref="D574" si="1649">R275</f>
        <v>#REF!</v>
      </c>
      <c r="E574" s="406" t="e">
        <f t="shared" ref="E574" si="1650">S275</f>
        <v>#REF!</v>
      </c>
      <c r="F574" s="405" t="e">
        <f t="shared" ref="F574" si="1651">T275</f>
        <v>#REF!</v>
      </c>
      <c r="G574" s="413"/>
      <c r="H574" s="404" t="e">
        <f t="shared" ref="H574" si="1652">C88</f>
        <v>#REF!</v>
      </c>
      <c r="I574" s="407" t="e">
        <f t="shared" ref="I574" si="1653">D88</f>
        <v>#REF!</v>
      </c>
      <c r="J574" s="407" t="e">
        <f>E275</f>
        <v>#REF!</v>
      </c>
      <c r="K574" s="407" t="e">
        <f>D275</f>
        <v>#REF!</v>
      </c>
      <c r="L574" s="349"/>
      <c r="M574" s="349"/>
      <c r="N574" s="349"/>
      <c r="O574" s="349" t="s">
        <v>770</v>
      </c>
      <c r="P574" s="349"/>
      <c r="Q574" s="349"/>
      <c r="R574" s="349"/>
      <c r="S574" s="349"/>
      <c r="T574" s="349"/>
    </row>
    <row r="575" spans="1:20" s="111" customFormat="1" ht="15.75" thickBot="1" x14ac:dyDescent="0.3">
      <c r="A575" s="111" t="s">
        <v>813</v>
      </c>
      <c r="B575" s="362" t="e">
        <f>B275</f>
        <v>#REF!</v>
      </c>
      <c r="C575" s="404" t="e">
        <f>C275</f>
        <v>#REF!</v>
      </c>
      <c r="D575" s="405" t="e">
        <f t="shared" ref="D575" si="1654">R275</f>
        <v>#REF!</v>
      </c>
      <c r="E575" s="406" t="e">
        <f t="shared" ref="E575" si="1655">S275</f>
        <v>#REF!</v>
      </c>
      <c r="F575" s="405" t="e">
        <f t="shared" ref="F575" si="1656">T275</f>
        <v>#REF!</v>
      </c>
      <c r="G575" s="413"/>
      <c r="H575" s="404" t="e">
        <f t="shared" ref="H575" si="1657">C88</f>
        <v>#REF!</v>
      </c>
      <c r="I575" s="407" t="e">
        <f t="shared" ref="I575" si="1658">D88</f>
        <v>#REF!</v>
      </c>
      <c r="J575" s="407" t="e">
        <f>E275</f>
        <v>#REF!</v>
      </c>
      <c r="K575" s="407" t="e">
        <f>D275</f>
        <v>#REF!</v>
      </c>
      <c r="L575" s="349"/>
      <c r="M575" s="349"/>
      <c r="N575" s="349"/>
      <c r="O575" s="349" t="s">
        <v>770</v>
      </c>
      <c r="P575" s="349"/>
      <c r="Q575" s="349"/>
      <c r="R575" s="349"/>
      <c r="S575" s="349"/>
      <c r="T575" s="349"/>
    </row>
    <row r="576" spans="1:20" s="111" customFormat="1" ht="15.75" thickBot="1" x14ac:dyDescent="0.3">
      <c r="A576" s="111" t="s">
        <v>813</v>
      </c>
      <c r="B576" s="362" t="e">
        <f>B275</f>
        <v>#REF!</v>
      </c>
      <c r="C576" s="404" t="e">
        <f>C275</f>
        <v>#REF!</v>
      </c>
      <c r="D576" s="405" t="e">
        <f t="shared" ref="D576" si="1659">R275</f>
        <v>#REF!</v>
      </c>
      <c r="E576" s="406" t="e">
        <f t="shared" ref="E576" si="1660">S275</f>
        <v>#REF!</v>
      </c>
      <c r="F576" s="405" t="e">
        <f t="shared" ref="F576" si="1661">T275</f>
        <v>#REF!</v>
      </c>
      <c r="G576" s="413"/>
      <c r="H576" s="404" t="e">
        <f t="shared" ref="H576" si="1662">C88</f>
        <v>#REF!</v>
      </c>
      <c r="I576" s="407" t="e">
        <f t="shared" ref="I576" si="1663">D88</f>
        <v>#REF!</v>
      </c>
      <c r="J576" s="407" t="e">
        <f>E275</f>
        <v>#REF!</v>
      </c>
      <c r="K576" s="407" t="e">
        <f>D275</f>
        <v>#REF!</v>
      </c>
      <c r="L576" s="349"/>
      <c r="M576" s="349"/>
      <c r="N576" s="349"/>
      <c r="O576" s="349" t="s">
        <v>770</v>
      </c>
      <c r="P576" s="349"/>
      <c r="Q576" s="349"/>
      <c r="R576" s="349"/>
      <c r="S576" s="349"/>
      <c r="T576" s="349"/>
    </row>
    <row r="577" spans="1:20" s="111" customFormat="1" ht="15.75" thickBot="1" x14ac:dyDescent="0.3">
      <c r="A577" s="111" t="s">
        <v>813</v>
      </c>
      <c r="B577" s="362" t="e">
        <f>B275</f>
        <v>#REF!</v>
      </c>
      <c r="C577" s="404" t="e">
        <f>C275</f>
        <v>#REF!</v>
      </c>
      <c r="D577" s="405" t="e">
        <f t="shared" ref="D577" si="1664">R275</f>
        <v>#REF!</v>
      </c>
      <c r="E577" s="406" t="e">
        <f t="shared" ref="E577" si="1665">S275</f>
        <v>#REF!</v>
      </c>
      <c r="F577" s="405" t="e">
        <f t="shared" ref="F577" si="1666">T275</f>
        <v>#REF!</v>
      </c>
      <c r="G577" s="413"/>
      <c r="H577" s="404" t="e">
        <f t="shared" ref="H577" si="1667">C88</f>
        <v>#REF!</v>
      </c>
      <c r="I577" s="407" t="e">
        <f t="shared" ref="I577" si="1668">D88</f>
        <v>#REF!</v>
      </c>
      <c r="J577" s="407" t="e">
        <f>E275</f>
        <v>#REF!</v>
      </c>
      <c r="K577" s="407" t="e">
        <f>D275</f>
        <v>#REF!</v>
      </c>
      <c r="L577" s="349"/>
      <c r="M577" s="349"/>
      <c r="N577" s="349"/>
      <c r="O577" s="349" t="s">
        <v>770</v>
      </c>
      <c r="P577" s="349"/>
      <c r="Q577" s="349"/>
      <c r="R577" s="349"/>
      <c r="S577" s="349"/>
      <c r="T577" s="349"/>
    </row>
    <row r="578" spans="1:20" s="111" customFormat="1" ht="15.75" thickBot="1" x14ac:dyDescent="0.3">
      <c r="A578" s="111" t="s">
        <v>813</v>
      </c>
      <c r="B578" s="362" t="e">
        <f>B275</f>
        <v>#REF!</v>
      </c>
      <c r="C578" s="404" t="e">
        <f>C275</f>
        <v>#REF!</v>
      </c>
      <c r="D578" s="405" t="e">
        <f t="shared" ref="D578" si="1669">R275</f>
        <v>#REF!</v>
      </c>
      <c r="E578" s="406" t="e">
        <f t="shared" ref="E578" si="1670">S275</f>
        <v>#REF!</v>
      </c>
      <c r="F578" s="405" t="e">
        <f t="shared" ref="F578" si="1671">T275</f>
        <v>#REF!</v>
      </c>
      <c r="G578" s="413"/>
      <c r="H578" s="404" t="e">
        <f t="shared" ref="H578" si="1672">C88</f>
        <v>#REF!</v>
      </c>
      <c r="I578" s="407" t="e">
        <f t="shared" ref="I578" si="1673">D88</f>
        <v>#REF!</v>
      </c>
      <c r="J578" s="407" t="e">
        <f>E275</f>
        <v>#REF!</v>
      </c>
      <c r="K578" s="407" t="e">
        <f>D275</f>
        <v>#REF!</v>
      </c>
      <c r="L578" s="349"/>
      <c r="M578" s="349"/>
      <c r="N578" s="349"/>
      <c r="O578" s="349" t="s">
        <v>770</v>
      </c>
      <c r="P578" s="349"/>
      <c r="Q578" s="349"/>
      <c r="R578" s="349"/>
      <c r="S578" s="349"/>
      <c r="T578" s="349"/>
    </row>
    <row r="579" spans="1:20" s="111" customFormat="1" ht="15.75" thickBot="1" x14ac:dyDescent="0.3">
      <c r="A579" s="111" t="s">
        <v>813</v>
      </c>
      <c r="B579" s="362" t="e">
        <f>B275</f>
        <v>#REF!</v>
      </c>
      <c r="C579" s="404" t="e">
        <f>C275</f>
        <v>#REF!</v>
      </c>
      <c r="D579" s="405" t="e">
        <f t="shared" ref="D579" si="1674">R275</f>
        <v>#REF!</v>
      </c>
      <c r="E579" s="406" t="e">
        <f t="shared" ref="E579" si="1675">S275</f>
        <v>#REF!</v>
      </c>
      <c r="F579" s="405" t="e">
        <f t="shared" ref="F579" si="1676">T275</f>
        <v>#REF!</v>
      </c>
      <c r="G579" s="413"/>
      <c r="H579" s="404" t="e">
        <f t="shared" ref="H579" si="1677">C88</f>
        <v>#REF!</v>
      </c>
      <c r="I579" s="407" t="e">
        <f t="shared" ref="I579" si="1678">D88</f>
        <v>#REF!</v>
      </c>
      <c r="J579" s="407" t="e">
        <f>E275</f>
        <v>#REF!</v>
      </c>
      <c r="K579" s="407" t="e">
        <f>D275</f>
        <v>#REF!</v>
      </c>
      <c r="L579" s="349"/>
      <c r="M579" s="349"/>
      <c r="N579" s="349"/>
      <c r="O579" s="349" t="s">
        <v>770</v>
      </c>
      <c r="P579" s="349"/>
      <c r="Q579" s="349"/>
      <c r="R579" s="349"/>
      <c r="S579" s="349"/>
      <c r="T579" s="349"/>
    </row>
    <row r="580" spans="1:20" s="111" customFormat="1" ht="15.75" thickBot="1" x14ac:dyDescent="0.3">
      <c r="A580" s="111" t="s">
        <v>813</v>
      </c>
      <c r="B580" s="362" t="e">
        <f>B275</f>
        <v>#REF!</v>
      </c>
      <c r="C580" s="404" t="e">
        <f>C275</f>
        <v>#REF!</v>
      </c>
      <c r="D580" s="405" t="e">
        <f t="shared" ref="D580" si="1679">R275</f>
        <v>#REF!</v>
      </c>
      <c r="E580" s="406" t="e">
        <f t="shared" ref="E580" si="1680">S275</f>
        <v>#REF!</v>
      </c>
      <c r="F580" s="405" t="e">
        <f t="shared" ref="F580" si="1681">T275</f>
        <v>#REF!</v>
      </c>
      <c r="G580" s="413"/>
      <c r="H580" s="404" t="e">
        <f t="shared" ref="H580" si="1682">C88</f>
        <v>#REF!</v>
      </c>
      <c r="I580" s="407" t="e">
        <f t="shared" ref="I580" si="1683">D88</f>
        <v>#REF!</v>
      </c>
      <c r="J580" s="407" t="e">
        <f>E275</f>
        <v>#REF!</v>
      </c>
      <c r="K580" s="407" t="e">
        <f>D275</f>
        <v>#REF!</v>
      </c>
      <c r="L580" s="349"/>
      <c r="M580" s="349"/>
      <c r="N580" s="349"/>
      <c r="O580" s="349" t="s">
        <v>770</v>
      </c>
      <c r="P580" s="349"/>
      <c r="Q580" s="349"/>
      <c r="R580" s="349"/>
      <c r="S580" s="349"/>
      <c r="T580" s="349"/>
    </row>
    <row r="581" spans="1:20" s="111" customFormat="1" ht="15.75" thickBot="1" x14ac:dyDescent="0.3">
      <c r="A581" s="111" t="s">
        <v>813</v>
      </c>
      <c r="B581" s="362" t="e">
        <f>B275</f>
        <v>#REF!</v>
      </c>
      <c r="C581" s="404" t="e">
        <f>C275</f>
        <v>#REF!</v>
      </c>
      <c r="D581" s="405" t="e">
        <f t="shared" ref="D581" si="1684">R275</f>
        <v>#REF!</v>
      </c>
      <c r="E581" s="406" t="e">
        <f t="shared" ref="E581" si="1685">S275</f>
        <v>#REF!</v>
      </c>
      <c r="F581" s="405" t="e">
        <f t="shared" ref="F581" si="1686">T275</f>
        <v>#REF!</v>
      </c>
      <c r="G581" s="413"/>
      <c r="H581" s="404" t="e">
        <f t="shared" ref="H581" si="1687">C88</f>
        <v>#REF!</v>
      </c>
      <c r="I581" s="407" t="e">
        <f t="shared" ref="I581" si="1688">D88</f>
        <v>#REF!</v>
      </c>
      <c r="J581" s="407" t="e">
        <f>E275</f>
        <v>#REF!</v>
      </c>
      <c r="K581" s="407" t="e">
        <f>D275</f>
        <v>#REF!</v>
      </c>
      <c r="L581" s="349"/>
      <c r="M581" s="349"/>
      <c r="N581" s="349"/>
      <c r="O581" s="349" t="s">
        <v>770</v>
      </c>
      <c r="P581" s="349"/>
      <c r="Q581" s="349"/>
      <c r="R581" s="349"/>
      <c r="S581" s="349"/>
      <c r="T581" s="349"/>
    </row>
    <row r="582" spans="1:20" s="111" customFormat="1" ht="15.75" thickBot="1" x14ac:dyDescent="0.3">
      <c r="A582" s="111" t="s">
        <v>813</v>
      </c>
      <c r="B582" s="362" t="e">
        <f>B275</f>
        <v>#REF!</v>
      </c>
      <c r="C582" s="404" t="e">
        <f>C275</f>
        <v>#REF!</v>
      </c>
      <c r="D582" s="405" t="e">
        <f t="shared" ref="D582" si="1689">R275</f>
        <v>#REF!</v>
      </c>
      <c r="E582" s="406" t="e">
        <f t="shared" ref="E582" si="1690">S275</f>
        <v>#REF!</v>
      </c>
      <c r="F582" s="405" t="e">
        <f t="shared" ref="F582" si="1691">T275</f>
        <v>#REF!</v>
      </c>
      <c r="G582" s="413"/>
      <c r="H582" s="404" t="e">
        <f t="shared" ref="H582" si="1692">C88</f>
        <v>#REF!</v>
      </c>
      <c r="I582" s="407" t="e">
        <f t="shared" ref="I582" si="1693">D88</f>
        <v>#REF!</v>
      </c>
      <c r="J582" s="407" t="e">
        <f>E275</f>
        <v>#REF!</v>
      </c>
      <c r="K582" s="407" t="e">
        <f>D275</f>
        <v>#REF!</v>
      </c>
      <c r="L582" s="349"/>
      <c r="M582" s="349"/>
      <c r="N582" s="349"/>
      <c r="O582" s="349" t="s">
        <v>770</v>
      </c>
      <c r="P582" s="349"/>
      <c r="Q582" s="349"/>
      <c r="R582" s="349"/>
      <c r="S582" s="349"/>
      <c r="T582" s="349"/>
    </row>
    <row r="583" spans="1:20" s="111" customFormat="1" ht="15.75" thickBot="1" x14ac:dyDescent="0.3">
      <c r="A583" s="111" t="s">
        <v>813</v>
      </c>
      <c r="B583" s="362" t="e">
        <f>B275</f>
        <v>#REF!</v>
      </c>
      <c r="C583" s="404" t="e">
        <f>C275</f>
        <v>#REF!</v>
      </c>
      <c r="D583" s="405" t="e">
        <f t="shared" ref="D583" si="1694">R275</f>
        <v>#REF!</v>
      </c>
      <c r="E583" s="406" t="e">
        <f t="shared" ref="E583" si="1695">S275</f>
        <v>#REF!</v>
      </c>
      <c r="F583" s="405" t="e">
        <f t="shared" ref="F583" si="1696">T275</f>
        <v>#REF!</v>
      </c>
      <c r="G583" s="413"/>
      <c r="H583" s="404" t="e">
        <f t="shared" ref="H583" si="1697">C88</f>
        <v>#REF!</v>
      </c>
      <c r="I583" s="407" t="e">
        <f t="shared" ref="I583" si="1698">D88</f>
        <v>#REF!</v>
      </c>
      <c r="J583" s="407" t="e">
        <f>E275</f>
        <v>#REF!</v>
      </c>
      <c r="K583" s="407" t="e">
        <f>D275</f>
        <v>#REF!</v>
      </c>
      <c r="L583" s="349"/>
      <c r="M583" s="349"/>
      <c r="N583" s="349"/>
      <c r="O583" s="349" t="s">
        <v>770</v>
      </c>
      <c r="P583" s="349"/>
      <c r="Q583" s="349"/>
      <c r="R583" s="349"/>
      <c r="S583" s="349"/>
      <c r="T583" s="349"/>
    </row>
    <row r="584" spans="1:20" s="111" customFormat="1" ht="15.75" thickBot="1" x14ac:dyDescent="0.3">
      <c r="A584" s="111" t="s">
        <v>813</v>
      </c>
      <c r="B584" s="362" t="e">
        <f>B275</f>
        <v>#REF!</v>
      </c>
      <c r="C584" s="404" t="e">
        <f>C275</f>
        <v>#REF!</v>
      </c>
      <c r="D584" s="405" t="e">
        <f t="shared" ref="D584" si="1699">R275</f>
        <v>#REF!</v>
      </c>
      <c r="E584" s="406" t="e">
        <f t="shared" ref="E584" si="1700">S275</f>
        <v>#REF!</v>
      </c>
      <c r="F584" s="405" t="e">
        <f t="shared" ref="F584" si="1701">T275</f>
        <v>#REF!</v>
      </c>
      <c r="G584" s="413"/>
      <c r="H584" s="404" t="e">
        <f t="shared" ref="H584" si="1702">C88</f>
        <v>#REF!</v>
      </c>
      <c r="I584" s="407" t="e">
        <f t="shared" ref="I584" si="1703">D88</f>
        <v>#REF!</v>
      </c>
      <c r="J584" s="407" t="e">
        <f>E275</f>
        <v>#REF!</v>
      </c>
      <c r="K584" s="407" t="e">
        <f>D275</f>
        <v>#REF!</v>
      </c>
      <c r="L584" s="349"/>
      <c r="M584" s="349"/>
      <c r="N584" s="349"/>
      <c r="O584" s="349" t="s">
        <v>770</v>
      </c>
      <c r="P584" s="349"/>
      <c r="Q584" s="349"/>
      <c r="R584" s="349"/>
      <c r="S584" s="349"/>
      <c r="T584" s="349"/>
    </row>
    <row r="585" spans="1:20" s="111" customFormat="1" ht="15.75" thickBot="1" x14ac:dyDescent="0.3">
      <c r="A585" s="111" t="s">
        <v>813</v>
      </c>
      <c r="B585" s="362" t="e">
        <f>B275</f>
        <v>#REF!</v>
      </c>
      <c r="C585" s="404" t="e">
        <f>C275</f>
        <v>#REF!</v>
      </c>
      <c r="D585" s="405" t="e">
        <f t="shared" ref="D585" si="1704">R275</f>
        <v>#REF!</v>
      </c>
      <c r="E585" s="406" t="e">
        <f t="shared" ref="E585" si="1705">S275</f>
        <v>#REF!</v>
      </c>
      <c r="F585" s="405" t="e">
        <f t="shared" ref="F585" si="1706">T275</f>
        <v>#REF!</v>
      </c>
      <c r="G585" s="413"/>
      <c r="H585" s="404" t="e">
        <f t="shared" ref="H585" si="1707">C88</f>
        <v>#REF!</v>
      </c>
      <c r="I585" s="407" t="e">
        <f t="shared" ref="I585" si="1708">D88</f>
        <v>#REF!</v>
      </c>
      <c r="J585" s="407" t="e">
        <f>E275</f>
        <v>#REF!</v>
      </c>
      <c r="K585" s="407" t="e">
        <f>D275</f>
        <v>#REF!</v>
      </c>
      <c r="L585" s="349"/>
      <c r="M585" s="349"/>
      <c r="N585" s="349"/>
      <c r="O585" s="349" t="s">
        <v>770</v>
      </c>
      <c r="P585" s="349"/>
      <c r="Q585" s="349"/>
      <c r="R585" s="349"/>
      <c r="S585" s="349"/>
      <c r="T585" s="349"/>
    </row>
    <row r="586" spans="1:20" s="111" customFormat="1" ht="15.75" thickBot="1" x14ac:dyDescent="0.3">
      <c r="A586" s="111" t="s">
        <v>813</v>
      </c>
      <c r="B586" s="362" t="e">
        <f>B275</f>
        <v>#REF!</v>
      </c>
      <c r="C586" s="404" t="e">
        <f>C275</f>
        <v>#REF!</v>
      </c>
      <c r="D586" s="405" t="e">
        <f t="shared" ref="D586" si="1709">R275</f>
        <v>#REF!</v>
      </c>
      <c r="E586" s="406" t="e">
        <f t="shared" ref="E586" si="1710">S275</f>
        <v>#REF!</v>
      </c>
      <c r="F586" s="405" t="e">
        <f t="shared" ref="F586" si="1711">T275</f>
        <v>#REF!</v>
      </c>
      <c r="G586" s="413"/>
      <c r="H586" s="404" t="e">
        <f t="shared" ref="H586" si="1712">C88</f>
        <v>#REF!</v>
      </c>
      <c r="I586" s="407" t="e">
        <f t="shared" ref="I586" si="1713">D88</f>
        <v>#REF!</v>
      </c>
      <c r="J586" s="407" t="e">
        <f>E275</f>
        <v>#REF!</v>
      </c>
      <c r="K586" s="407" t="e">
        <f>D275</f>
        <v>#REF!</v>
      </c>
      <c r="L586" s="349"/>
      <c r="M586" s="349"/>
      <c r="N586" s="349"/>
      <c r="O586" s="349" t="s">
        <v>770</v>
      </c>
      <c r="P586" s="349"/>
      <c r="Q586" s="349"/>
      <c r="R586" s="349"/>
      <c r="S586" s="349"/>
      <c r="T586" s="349"/>
    </row>
    <row r="587" spans="1:20" s="111" customFormat="1" ht="15.75" thickBot="1" x14ac:dyDescent="0.3">
      <c r="A587" s="111" t="s">
        <v>813</v>
      </c>
      <c r="B587" s="362" t="e">
        <f>B275</f>
        <v>#REF!</v>
      </c>
      <c r="C587" s="404" t="e">
        <f>C275</f>
        <v>#REF!</v>
      </c>
      <c r="D587" s="405" t="e">
        <f t="shared" ref="D587" si="1714">R275</f>
        <v>#REF!</v>
      </c>
      <c r="E587" s="406" t="e">
        <f t="shared" ref="E587" si="1715">S275</f>
        <v>#REF!</v>
      </c>
      <c r="F587" s="405" t="e">
        <f t="shared" ref="F587" si="1716">T275</f>
        <v>#REF!</v>
      </c>
      <c r="G587" s="413"/>
      <c r="H587" s="404" t="e">
        <f t="shared" ref="H587" si="1717">C88</f>
        <v>#REF!</v>
      </c>
      <c r="I587" s="407" t="e">
        <f t="shared" ref="I587" si="1718">D88</f>
        <v>#REF!</v>
      </c>
      <c r="J587" s="407" t="e">
        <f>E275</f>
        <v>#REF!</v>
      </c>
      <c r="K587" s="407" t="e">
        <f>D275</f>
        <v>#REF!</v>
      </c>
      <c r="L587" s="349"/>
      <c r="M587" s="349"/>
      <c r="N587" s="349"/>
      <c r="O587" s="349" t="s">
        <v>770</v>
      </c>
      <c r="P587" s="349"/>
      <c r="Q587" s="349"/>
      <c r="R587" s="349"/>
      <c r="S587" s="349"/>
      <c r="T587" s="349"/>
    </row>
    <row r="588" spans="1:20" s="111" customFormat="1" ht="15.75" thickBot="1" x14ac:dyDescent="0.3">
      <c r="A588" s="111" t="s">
        <v>813</v>
      </c>
      <c r="B588" s="362" t="e">
        <f>B275</f>
        <v>#REF!</v>
      </c>
      <c r="C588" s="404" t="e">
        <f>C275</f>
        <v>#REF!</v>
      </c>
      <c r="D588" s="405" t="e">
        <f t="shared" ref="D588" si="1719">R275</f>
        <v>#REF!</v>
      </c>
      <c r="E588" s="406" t="e">
        <f t="shared" ref="E588" si="1720">S275</f>
        <v>#REF!</v>
      </c>
      <c r="F588" s="405" t="e">
        <f t="shared" ref="F588" si="1721">T275</f>
        <v>#REF!</v>
      </c>
      <c r="G588" s="413"/>
      <c r="H588" s="404" t="e">
        <f t="shared" ref="H588" si="1722">C88</f>
        <v>#REF!</v>
      </c>
      <c r="I588" s="407" t="e">
        <f t="shared" ref="I588" si="1723">D88</f>
        <v>#REF!</v>
      </c>
      <c r="J588" s="407" t="e">
        <f>E275</f>
        <v>#REF!</v>
      </c>
      <c r="K588" s="407" t="e">
        <f>D275</f>
        <v>#REF!</v>
      </c>
      <c r="L588" s="349"/>
      <c r="M588" s="349"/>
      <c r="N588" s="349"/>
      <c r="O588" s="349" t="s">
        <v>770</v>
      </c>
      <c r="P588" s="349"/>
      <c r="Q588" s="349"/>
      <c r="R588" s="349"/>
      <c r="S588" s="349"/>
      <c r="T588" s="349"/>
    </row>
    <row r="589" spans="1:20" s="111" customFormat="1" ht="15.75" thickBot="1" x14ac:dyDescent="0.3">
      <c r="A589" s="111" t="s">
        <v>813</v>
      </c>
      <c r="B589" s="362" t="e">
        <f>B275</f>
        <v>#REF!</v>
      </c>
      <c r="C589" s="404" t="e">
        <f>C275</f>
        <v>#REF!</v>
      </c>
      <c r="D589" s="405" t="e">
        <f t="shared" ref="D589" si="1724">R275</f>
        <v>#REF!</v>
      </c>
      <c r="E589" s="406" t="e">
        <f t="shared" ref="E589" si="1725">S275</f>
        <v>#REF!</v>
      </c>
      <c r="F589" s="405" t="e">
        <f t="shared" ref="F589" si="1726">T275</f>
        <v>#REF!</v>
      </c>
      <c r="G589" s="413"/>
      <c r="H589" s="404" t="e">
        <f t="shared" ref="H589" si="1727">C88</f>
        <v>#REF!</v>
      </c>
      <c r="I589" s="407" t="e">
        <f t="shared" ref="I589" si="1728">D88</f>
        <v>#REF!</v>
      </c>
      <c r="J589" s="407" t="e">
        <f>E275</f>
        <v>#REF!</v>
      </c>
      <c r="K589" s="407" t="e">
        <f>D275</f>
        <v>#REF!</v>
      </c>
      <c r="L589" s="349"/>
      <c r="M589" s="349"/>
      <c r="N589" s="349"/>
      <c r="O589" s="349" t="s">
        <v>770</v>
      </c>
      <c r="P589" s="349"/>
      <c r="Q589" s="349"/>
      <c r="R589" s="349"/>
      <c r="S589" s="349"/>
      <c r="T589" s="349"/>
    </row>
    <row r="590" spans="1:20" s="111" customFormat="1" ht="15.75" thickBot="1" x14ac:dyDescent="0.3">
      <c r="A590" s="111" t="s">
        <v>813</v>
      </c>
      <c r="B590" s="362" t="e">
        <f>B275</f>
        <v>#REF!</v>
      </c>
      <c r="C590" s="404" t="e">
        <f>C275</f>
        <v>#REF!</v>
      </c>
      <c r="D590" s="405" t="e">
        <f t="shared" ref="D590" si="1729">R275</f>
        <v>#REF!</v>
      </c>
      <c r="E590" s="406" t="e">
        <f t="shared" ref="E590" si="1730">S275</f>
        <v>#REF!</v>
      </c>
      <c r="F590" s="405" t="e">
        <f t="shared" ref="F590" si="1731">T275</f>
        <v>#REF!</v>
      </c>
      <c r="G590" s="413"/>
      <c r="H590" s="404" t="e">
        <f t="shared" ref="H590" si="1732">C88</f>
        <v>#REF!</v>
      </c>
      <c r="I590" s="407" t="e">
        <f t="shared" ref="I590" si="1733">D88</f>
        <v>#REF!</v>
      </c>
      <c r="J590" s="407" t="e">
        <f>E275</f>
        <v>#REF!</v>
      </c>
      <c r="K590" s="407" t="e">
        <f>D275</f>
        <v>#REF!</v>
      </c>
      <c r="L590" s="349"/>
      <c r="M590" s="349"/>
      <c r="N590" s="349"/>
      <c r="O590" s="349" t="s">
        <v>770</v>
      </c>
      <c r="P590" s="349"/>
      <c r="Q590" s="349"/>
      <c r="R590" s="349"/>
      <c r="S590" s="349"/>
      <c r="T590" s="349"/>
    </row>
    <row r="591" spans="1:20" s="111" customFormat="1" ht="15.75" thickBot="1" x14ac:dyDescent="0.3">
      <c r="A591" s="111" t="s">
        <v>813</v>
      </c>
      <c r="B591" s="362" t="e">
        <f>B275</f>
        <v>#REF!</v>
      </c>
      <c r="C591" s="404" t="e">
        <f>C275</f>
        <v>#REF!</v>
      </c>
      <c r="D591" s="405" t="e">
        <f t="shared" ref="D591" si="1734">R275</f>
        <v>#REF!</v>
      </c>
      <c r="E591" s="406" t="e">
        <f t="shared" ref="E591" si="1735">S275</f>
        <v>#REF!</v>
      </c>
      <c r="F591" s="405" t="e">
        <f t="shared" ref="F591" si="1736">T275</f>
        <v>#REF!</v>
      </c>
      <c r="G591" s="413"/>
      <c r="H591" s="404" t="e">
        <f t="shared" ref="H591" si="1737">C88</f>
        <v>#REF!</v>
      </c>
      <c r="I591" s="407" t="e">
        <f t="shared" ref="I591" si="1738">D88</f>
        <v>#REF!</v>
      </c>
      <c r="J591" s="407" t="e">
        <f>E275</f>
        <v>#REF!</v>
      </c>
      <c r="K591" s="407" t="e">
        <f>D275</f>
        <v>#REF!</v>
      </c>
      <c r="L591" s="349"/>
      <c r="M591" s="349"/>
      <c r="N591" s="349"/>
      <c r="O591" s="349" t="s">
        <v>770</v>
      </c>
      <c r="P591" s="349"/>
      <c r="Q591" s="349"/>
      <c r="R591" s="349"/>
      <c r="S591" s="349"/>
      <c r="T591" s="349"/>
    </row>
    <row r="592" spans="1:20" s="111" customFormat="1" ht="15.75" thickBot="1" x14ac:dyDescent="0.3">
      <c r="A592" s="111" t="s">
        <v>813</v>
      </c>
      <c r="B592" s="362" t="e">
        <f>B275</f>
        <v>#REF!</v>
      </c>
      <c r="C592" s="404" t="e">
        <f>C275</f>
        <v>#REF!</v>
      </c>
      <c r="D592" s="405" t="e">
        <f t="shared" ref="D592" si="1739">R275</f>
        <v>#REF!</v>
      </c>
      <c r="E592" s="406" t="e">
        <f t="shared" ref="E592" si="1740">S275</f>
        <v>#REF!</v>
      </c>
      <c r="F592" s="405" t="e">
        <f t="shared" ref="F592" si="1741">T275</f>
        <v>#REF!</v>
      </c>
      <c r="G592" s="413"/>
      <c r="H592" s="404" t="e">
        <f t="shared" ref="H592" si="1742">C88</f>
        <v>#REF!</v>
      </c>
      <c r="I592" s="407" t="e">
        <f t="shared" ref="I592" si="1743">D88</f>
        <v>#REF!</v>
      </c>
      <c r="J592" s="407" t="e">
        <f>E275</f>
        <v>#REF!</v>
      </c>
      <c r="K592" s="407" t="e">
        <f>D275</f>
        <v>#REF!</v>
      </c>
      <c r="L592" s="349"/>
      <c r="M592" s="349"/>
      <c r="N592" s="349"/>
      <c r="O592" s="349" t="s">
        <v>770</v>
      </c>
      <c r="P592" s="349"/>
      <c r="Q592" s="349"/>
      <c r="R592" s="349"/>
      <c r="S592" s="349"/>
      <c r="T592" s="349"/>
    </row>
    <row r="593" spans="1:20" s="111" customFormat="1" ht="15.75" thickBot="1" x14ac:dyDescent="0.3">
      <c r="A593" s="111" t="s">
        <v>813</v>
      </c>
      <c r="B593" s="362" t="e">
        <f>B275</f>
        <v>#REF!</v>
      </c>
      <c r="C593" s="404" t="e">
        <f>C275</f>
        <v>#REF!</v>
      </c>
      <c r="D593" s="405" t="e">
        <f t="shared" ref="D593" si="1744">R275</f>
        <v>#REF!</v>
      </c>
      <c r="E593" s="406" t="e">
        <f t="shared" ref="E593" si="1745">S275</f>
        <v>#REF!</v>
      </c>
      <c r="F593" s="405" t="e">
        <f t="shared" ref="F593" si="1746">T275</f>
        <v>#REF!</v>
      </c>
      <c r="G593" s="413"/>
      <c r="H593" s="404" t="e">
        <f t="shared" ref="H593" si="1747">C88</f>
        <v>#REF!</v>
      </c>
      <c r="I593" s="407" t="e">
        <f t="shared" ref="I593" si="1748">D88</f>
        <v>#REF!</v>
      </c>
      <c r="J593" s="407" t="e">
        <f>E275</f>
        <v>#REF!</v>
      </c>
      <c r="K593" s="407" t="e">
        <f>D275</f>
        <v>#REF!</v>
      </c>
      <c r="L593" s="349"/>
      <c r="M593" s="349"/>
      <c r="N593" s="349"/>
      <c r="O593" s="349" t="s">
        <v>770</v>
      </c>
      <c r="P593" s="349"/>
      <c r="Q593" s="349"/>
      <c r="R593" s="349"/>
      <c r="S593" s="349"/>
      <c r="T593" s="349"/>
    </row>
    <row r="594" spans="1:20" s="111" customFormat="1" ht="15.75" thickBot="1" x14ac:dyDescent="0.3">
      <c r="A594" s="111" t="s">
        <v>813</v>
      </c>
      <c r="B594" s="362" t="e">
        <f>B275</f>
        <v>#REF!</v>
      </c>
      <c r="C594" s="404" t="e">
        <f>C275</f>
        <v>#REF!</v>
      </c>
      <c r="D594" s="405" t="e">
        <f t="shared" ref="D594" si="1749">R275</f>
        <v>#REF!</v>
      </c>
      <c r="E594" s="406" t="e">
        <f t="shared" ref="E594" si="1750">S275</f>
        <v>#REF!</v>
      </c>
      <c r="F594" s="405" t="e">
        <f t="shared" ref="F594" si="1751">T275</f>
        <v>#REF!</v>
      </c>
      <c r="G594" s="413"/>
      <c r="H594" s="404" t="e">
        <f t="shared" ref="H594" si="1752">C88</f>
        <v>#REF!</v>
      </c>
      <c r="I594" s="407" t="e">
        <f t="shared" ref="I594" si="1753">D88</f>
        <v>#REF!</v>
      </c>
      <c r="J594" s="407" t="e">
        <f>E275</f>
        <v>#REF!</v>
      </c>
      <c r="K594" s="407" t="e">
        <f>D275</f>
        <v>#REF!</v>
      </c>
      <c r="L594" s="349"/>
      <c r="M594" s="349"/>
      <c r="N594" s="349"/>
      <c r="O594" s="349" t="s">
        <v>770</v>
      </c>
      <c r="P594" s="349"/>
      <c r="Q594" s="349"/>
      <c r="R594" s="349"/>
      <c r="S594" s="349"/>
      <c r="T594" s="349"/>
    </row>
    <row r="595" spans="1:20" s="111" customFormat="1" ht="15.75" thickBot="1" x14ac:dyDescent="0.3">
      <c r="A595" s="111" t="s">
        <v>813</v>
      </c>
      <c r="B595" s="362" t="e">
        <f>B275</f>
        <v>#REF!</v>
      </c>
      <c r="C595" s="404" t="e">
        <f>C275</f>
        <v>#REF!</v>
      </c>
      <c r="D595" s="405" t="e">
        <f t="shared" ref="D595" si="1754">R275</f>
        <v>#REF!</v>
      </c>
      <c r="E595" s="406" t="e">
        <f t="shared" ref="E595" si="1755">S275</f>
        <v>#REF!</v>
      </c>
      <c r="F595" s="405" t="e">
        <f t="shared" ref="F595" si="1756">T275</f>
        <v>#REF!</v>
      </c>
      <c r="G595" s="413"/>
      <c r="H595" s="404" t="e">
        <f t="shared" ref="H595" si="1757">C88</f>
        <v>#REF!</v>
      </c>
      <c r="I595" s="407" t="e">
        <f t="shared" ref="I595" si="1758">D88</f>
        <v>#REF!</v>
      </c>
      <c r="J595" s="407" t="e">
        <f>E275</f>
        <v>#REF!</v>
      </c>
      <c r="K595" s="407" t="e">
        <f>D275</f>
        <v>#REF!</v>
      </c>
      <c r="L595" s="349"/>
      <c r="M595" s="349"/>
      <c r="N595" s="349"/>
      <c r="O595" s="349" t="s">
        <v>770</v>
      </c>
      <c r="P595" s="349"/>
      <c r="Q595" s="349"/>
      <c r="R595" s="349"/>
      <c r="S595" s="349"/>
      <c r="T595" s="349"/>
    </row>
    <row r="596" spans="1:20" s="111" customFormat="1" ht="15.75" thickBot="1" x14ac:dyDescent="0.3">
      <c r="A596" s="111" t="s">
        <v>813</v>
      </c>
      <c r="B596" s="362" t="e">
        <f>B275</f>
        <v>#REF!</v>
      </c>
      <c r="C596" s="404" t="e">
        <f>C275</f>
        <v>#REF!</v>
      </c>
      <c r="D596" s="405" t="e">
        <f t="shared" ref="D596" si="1759">R275</f>
        <v>#REF!</v>
      </c>
      <c r="E596" s="406" t="e">
        <f t="shared" ref="E596" si="1760">S275</f>
        <v>#REF!</v>
      </c>
      <c r="F596" s="405" t="e">
        <f t="shared" ref="F596" si="1761">T275</f>
        <v>#REF!</v>
      </c>
      <c r="G596" s="413"/>
      <c r="H596" s="404" t="e">
        <f t="shared" ref="H596" si="1762">C88</f>
        <v>#REF!</v>
      </c>
      <c r="I596" s="407" t="e">
        <f t="shared" ref="I596" si="1763">D88</f>
        <v>#REF!</v>
      </c>
      <c r="J596" s="407" t="e">
        <f>E275</f>
        <v>#REF!</v>
      </c>
      <c r="K596" s="407" t="e">
        <f>D275</f>
        <v>#REF!</v>
      </c>
      <c r="L596" s="349"/>
      <c r="M596" s="349"/>
      <c r="N596" s="349"/>
      <c r="O596" s="349" t="s">
        <v>770</v>
      </c>
      <c r="P596" s="349"/>
      <c r="Q596" s="349"/>
      <c r="R596" s="349"/>
      <c r="S596" s="349"/>
      <c r="T596" s="349"/>
    </row>
    <row r="597" spans="1:20" s="111" customFormat="1" ht="15.75" thickBot="1" x14ac:dyDescent="0.3">
      <c r="A597" s="111" t="s">
        <v>813</v>
      </c>
      <c r="B597" s="362" t="e">
        <f>B275</f>
        <v>#REF!</v>
      </c>
      <c r="C597" s="404" t="e">
        <f>C275</f>
        <v>#REF!</v>
      </c>
      <c r="D597" s="405" t="e">
        <f t="shared" ref="D597" si="1764">R275</f>
        <v>#REF!</v>
      </c>
      <c r="E597" s="406" t="e">
        <f t="shared" ref="E597" si="1765">S275</f>
        <v>#REF!</v>
      </c>
      <c r="F597" s="405" t="e">
        <f t="shared" ref="F597" si="1766">T275</f>
        <v>#REF!</v>
      </c>
      <c r="G597" s="413"/>
      <c r="H597" s="404" t="e">
        <f t="shared" ref="H597" si="1767">C88</f>
        <v>#REF!</v>
      </c>
      <c r="I597" s="407" t="e">
        <f t="shared" ref="I597" si="1768">D88</f>
        <v>#REF!</v>
      </c>
      <c r="J597" s="407" t="e">
        <f>E275</f>
        <v>#REF!</v>
      </c>
      <c r="K597" s="407" t="e">
        <f>D275</f>
        <v>#REF!</v>
      </c>
      <c r="L597" s="349"/>
      <c r="M597" s="349"/>
      <c r="N597" s="349"/>
      <c r="O597" s="349" t="s">
        <v>770</v>
      </c>
      <c r="P597" s="349"/>
      <c r="Q597" s="349"/>
      <c r="R597" s="349"/>
      <c r="S597" s="349"/>
      <c r="T597" s="349"/>
    </row>
    <row r="598" spans="1:20" s="111" customFormat="1" ht="15.75" thickBot="1" x14ac:dyDescent="0.3">
      <c r="A598" s="111" t="s">
        <v>813</v>
      </c>
      <c r="B598" s="362" t="e">
        <f>B275</f>
        <v>#REF!</v>
      </c>
      <c r="C598" s="404" t="e">
        <f>C275</f>
        <v>#REF!</v>
      </c>
      <c r="D598" s="405" t="e">
        <f t="shared" ref="D598" si="1769">R275</f>
        <v>#REF!</v>
      </c>
      <c r="E598" s="406" t="e">
        <f t="shared" ref="E598" si="1770">S275</f>
        <v>#REF!</v>
      </c>
      <c r="F598" s="405" t="e">
        <f t="shared" ref="F598" si="1771">T275</f>
        <v>#REF!</v>
      </c>
      <c r="G598" s="413"/>
      <c r="H598" s="404" t="e">
        <f t="shared" ref="H598" si="1772">C88</f>
        <v>#REF!</v>
      </c>
      <c r="I598" s="407" t="e">
        <f t="shared" ref="I598" si="1773">D88</f>
        <v>#REF!</v>
      </c>
      <c r="J598" s="407" t="e">
        <f>E275</f>
        <v>#REF!</v>
      </c>
      <c r="K598" s="407" t="e">
        <f>D275</f>
        <v>#REF!</v>
      </c>
      <c r="L598" s="349"/>
      <c r="M598" s="349"/>
      <c r="N598" s="349"/>
      <c r="O598" s="349" t="s">
        <v>770</v>
      </c>
      <c r="P598" s="349"/>
      <c r="Q598" s="349"/>
      <c r="R598" s="349"/>
      <c r="S598" s="349"/>
      <c r="T598" s="349"/>
    </row>
    <row r="599" spans="1:20" s="111" customFormat="1" ht="15.75" thickBot="1" x14ac:dyDescent="0.3">
      <c r="A599" s="111" t="s">
        <v>813</v>
      </c>
      <c r="B599" s="362" t="e">
        <f>B275</f>
        <v>#REF!</v>
      </c>
      <c r="C599" s="404" t="e">
        <f>C275</f>
        <v>#REF!</v>
      </c>
      <c r="D599" s="405" t="e">
        <f t="shared" ref="D599" si="1774">R275</f>
        <v>#REF!</v>
      </c>
      <c r="E599" s="406" t="e">
        <f t="shared" ref="E599" si="1775">S275</f>
        <v>#REF!</v>
      </c>
      <c r="F599" s="405" t="e">
        <f t="shared" ref="F599" si="1776">T275</f>
        <v>#REF!</v>
      </c>
      <c r="G599" s="413"/>
      <c r="H599" s="404" t="e">
        <f t="shared" ref="H599" si="1777">C88</f>
        <v>#REF!</v>
      </c>
      <c r="I599" s="407" t="e">
        <f t="shared" ref="I599" si="1778">D88</f>
        <v>#REF!</v>
      </c>
      <c r="J599" s="407" t="e">
        <f>E275</f>
        <v>#REF!</v>
      </c>
      <c r="K599" s="407" t="e">
        <f>D275</f>
        <v>#REF!</v>
      </c>
      <c r="L599" s="349"/>
      <c r="M599" s="349"/>
      <c r="N599" s="349"/>
      <c r="O599" s="349" t="s">
        <v>770</v>
      </c>
      <c r="P599" s="349"/>
      <c r="Q599" s="349"/>
      <c r="R599" s="349"/>
      <c r="S599" s="349"/>
      <c r="T599" s="349"/>
    </row>
    <row r="600" spans="1:20" s="111" customFormat="1" ht="15.75" thickBot="1" x14ac:dyDescent="0.3">
      <c r="A600" s="111" t="s">
        <v>813</v>
      </c>
      <c r="B600" s="362" t="e">
        <f>B275</f>
        <v>#REF!</v>
      </c>
      <c r="C600" s="404" t="e">
        <f>C275</f>
        <v>#REF!</v>
      </c>
      <c r="D600" s="405" t="e">
        <f t="shared" ref="D600" si="1779">R275</f>
        <v>#REF!</v>
      </c>
      <c r="E600" s="406" t="e">
        <f t="shared" ref="E600" si="1780">S275</f>
        <v>#REF!</v>
      </c>
      <c r="F600" s="405" t="e">
        <f t="shared" ref="F600" si="1781">T275</f>
        <v>#REF!</v>
      </c>
      <c r="G600" s="413"/>
      <c r="H600" s="404" t="e">
        <f t="shared" ref="H600" si="1782">C88</f>
        <v>#REF!</v>
      </c>
      <c r="I600" s="407" t="e">
        <f t="shared" ref="I600" si="1783">D88</f>
        <v>#REF!</v>
      </c>
      <c r="J600" s="407" t="e">
        <f>E275</f>
        <v>#REF!</v>
      </c>
      <c r="K600" s="407" t="e">
        <f>D275</f>
        <v>#REF!</v>
      </c>
      <c r="L600" s="349"/>
      <c r="M600" s="349"/>
      <c r="N600" s="349"/>
      <c r="O600" s="349" t="s">
        <v>770</v>
      </c>
      <c r="P600" s="349"/>
      <c r="Q600" s="349"/>
      <c r="R600" s="349"/>
      <c r="S600" s="349"/>
      <c r="T600" s="349"/>
    </row>
    <row r="601" spans="1:20" s="111" customFormat="1" ht="15.75" thickBot="1" x14ac:dyDescent="0.3">
      <c r="A601" s="111" t="s">
        <v>813</v>
      </c>
      <c r="B601" s="362" t="e">
        <f>B275</f>
        <v>#REF!</v>
      </c>
      <c r="C601" s="404" t="e">
        <f>C275</f>
        <v>#REF!</v>
      </c>
      <c r="D601" s="405" t="e">
        <f t="shared" ref="D601" si="1784">R275</f>
        <v>#REF!</v>
      </c>
      <c r="E601" s="406" t="e">
        <f t="shared" ref="E601" si="1785">S275</f>
        <v>#REF!</v>
      </c>
      <c r="F601" s="405" t="e">
        <f t="shared" ref="F601" si="1786">T275</f>
        <v>#REF!</v>
      </c>
      <c r="G601" s="413"/>
      <c r="H601" s="404" t="e">
        <f t="shared" ref="H601" si="1787">C88</f>
        <v>#REF!</v>
      </c>
      <c r="I601" s="407" t="e">
        <f t="shared" ref="I601" si="1788">D88</f>
        <v>#REF!</v>
      </c>
      <c r="J601" s="407" t="e">
        <f>E275</f>
        <v>#REF!</v>
      </c>
      <c r="K601" s="407" t="e">
        <f>D275</f>
        <v>#REF!</v>
      </c>
      <c r="L601" s="349"/>
      <c r="M601" s="349"/>
      <c r="N601" s="349"/>
      <c r="O601" s="349" t="s">
        <v>770</v>
      </c>
      <c r="P601" s="349"/>
      <c r="Q601" s="349"/>
      <c r="R601" s="349"/>
      <c r="S601" s="349"/>
      <c r="T601" s="349"/>
    </row>
    <row r="602" spans="1:20" s="111" customFormat="1" ht="15.75" thickBot="1" x14ac:dyDescent="0.3">
      <c r="A602" s="111" t="s">
        <v>813</v>
      </c>
      <c r="B602" s="362" t="e">
        <f>B275</f>
        <v>#REF!</v>
      </c>
      <c r="C602" s="404" t="e">
        <f>C275</f>
        <v>#REF!</v>
      </c>
      <c r="D602" s="405" t="e">
        <f t="shared" ref="D602" si="1789">R275</f>
        <v>#REF!</v>
      </c>
      <c r="E602" s="406" t="e">
        <f t="shared" ref="E602" si="1790">S275</f>
        <v>#REF!</v>
      </c>
      <c r="F602" s="405" t="e">
        <f t="shared" ref="F602" si="1791">T275</f>
        <v>#REF!</v>
      </c>
      <c r="G602" s="413"/>
      <c r="H602" s="404" t="e">
        <f t="shared" ref="H602" si="1792">C88</f>
        <v>#REF!</v>
      </c>
      <c r="I602" s="407" t="e">
        <f t="shared" ref="I602" si="1793">D88</f>
        <v>#REF!</v>
      </c>
      <c r="J602" s="407" t="e">
        <f>E275</f>
        <v>#REF!</v>
      </c>
      <c r="K602" s="407" t="e">
        <f>D275</f>
        <v>#REF!</v>
      </c>
      <c r="L602" s="349"/>
      <c r="M602" s="349"/>
      <c r="N602" s="349"/>
      <c r="O602" s="349" t="s">
        <v>770</v>
      </c>
      <c r="P602" s="349"/>
      <c r="Q602" s="349"/>
      <c r="R602" s="349"/>
      <c r="S602" s="349"/>
      <c r="T602" s="349"/>
    </row>
    <row r="603" spans="1:20" s="111" customFormat="1" ht="15.75" thickBot="1" x14ac:dyDescent="0.3">
      <c r="A603" s="111" t="s">
        <v>813</v>
      </c>
      <c r="B603" s="362" t="e">
        <f>B275</f>
        <v>#REF!</v>
      </c>
      <c r="C603" s="404" t="e">
        <f>C275</f>
        <v>#REF!</v>
      </c>
      <c r="D603" s="405" t="e">
        <f>R275</f>
        <v>#REF!</v>
      </c>
      <c r="E603" s="406" t="e">
        <f>S275</f>
        <v>#REF!</v>
      </c>
      <c r="F603" s="405" t="e">
        <f>T275</f>
        <v>#REF!</v>
      </c>
      <c r="G603" s="413"/>
      <c r="H603" s="404" t="e">
        <f t="shared" ref="H603" si="1794">C88</f>
        <v>#REF!</v>
      </c>
      <c r="I603" s="407" t="e">
        <f t="shared" ref="I603" si="1795">D88</f>
        <v>#REF!</v>
      </c>
      <c r="J603" s="407" t="e">
        <f>E275</f>
        <v>#REF!</v>
      </c>
      <c r="K603" s="407" t="e">
        <f>D275</f>
        <v>#REF!</v>
      </c>
      <c r="L603" s="349"/>
      <c r="M603" s="349"/>
      <c r="N603" s="349"/>
      <c r="O603" s="349" t="s">
        <v>770</v>
      </c>
      <c r="P603" s="349"/>
      <c r="Q603" s="349"/>
      <c r="R603" s="349"/>
      <c r="S603" s="349"/>
      <c r="T603" s="349"/>
    </row>
    <row r="604" spans="1:20" s="111" customFormat="1" ht="24.75" thickBot="1" x14ac:dyDescent="0.3">
      <c r="A604" s="111" t="s">
        <v>813</v>
      </c>
      <c r="B604" s="362">
        <f>B276</f>
        <v>4</v>
      </c>
      <c r="C604" s="404" t="str">
        <f>C276</f>
        <v>CREPIN Lucie</v>
      </c>
      <c r="D604" s="405">
        <f t="shared" ref="D604" si="1796">R276</f>
        <v>57.512199042651993</v>
      </c>
      <c r="E604" s="406">
        <f t="shared" ref="E604" si="1797">S276</f>
        <v>1531.4000000000026</v>
      </c>
      <c r="F604" s="405">
        <f t="shared" ref="F604" si="1798">T276</f>
        <v>88074.181613917404</v>
      </c>
      <c r="G604" s="413"/>
      <c r="H604" s="404" t="str">
        <f t="shared" ref="H604" si="1799">C89</f>
        <v>CREPIN</v>
      </c>
      <c r="I604" s="407" t="str">
        <f t="shared" ref="I604" si="1800">D89</f>
        <v>Lucie</v>
      </c>
      <c r="J604" s="407" t="str">
        <f>E276</f>
        <v>Doctorat - Biotechnologie, microbilogie - Université Montpellier II</v>
      </c>
      <c r="K604" s="407" t="str">
        <f>D276</f>
        <v>Lead Scientist</v>
      </c>
      <c r="L604" s="349"/>
      <c r="M604" s="349"/>
      <c r="N604" s="349"/>
      <c r="O604" s="349" t="s">
        <v>770</v>
      </c>
      <c r="P604" s="349"/>
      <c r="Q604" s="349"/>
      <c r="R604" s="349"/>
      <c r="S604" s="349"/>
      <c r="T604" s="349"/>
    </row>
    <row r="605" spans="1:20" s="111" customFormat="1" ht="24.75" thickBot="1" x14ac:dyDescent="0.3">
      <c r="A605" s="111" t="s">
        <v>813</v>
      </c>
      <c r="B605" s="362">
        <f>B276</f>
        <v>4</v>
      </c>
      <c r="C605" s="404" t="str">
        <f>C276</f>
        <v>CREPIN Lucie</v>
      </c>
      <c r="D605" s="405">
        <f t="shared" ref="D605" si="1801">R276</f>
        <v>57.512199042651993</v>
      </c>
      <c r="E605" s="406">
        <f t="shared" ref="E605" si="1802">S276</f>
        <v>1531.4000000000026</v>
      </c>
      <c r="F605" s="405">
        <f t="shared" ref="F605" si="1803">T276</f>
        <v>88074.181613917404</v>
      </c>
      <c r="G605" s="413"/>
      <c r="H605" s="404" t="str">
        <f t="shared" ref="H605" si="1804">C89</f>
        <v>CREPIN</v>
      </c>
      <c r="I605" s="407" t="str">
        <f t="shared" ref="I605" si="1805">D89</f>
        <v>Lucie</v>
      </c>
      <c r="J605" s="407" t="str">
        <f>E276</f>
        <v>Doctorat - Biotechnologie, microbilogie - Université Montpellier II</v>
      </c>
      <c r="K605" s="407" t="str">
        <f>D276</f>
        <v>Lead Scientist</v>
      </c>
      <c r="L605" s="349"/>
      <c r="M605" s="349"/>
      <c r="N605" s="349"/>
      <c r="O605" s="349" t="s">
        <v>770</v>
      </c>
      <c r="P605" s="349"/>
      <c r="Q605" s="349"/>
      <c r="R605" s="349"/>
      <c r="S605" s="349"/>
      <c r="T605" s="349"/>
    </row>
    <row r="606" spans="1:20" s="111" customFormat="1" ht="24.75" thickBot="1" x14ac:dyDescent="0.3">
      <c r="A606" s="111" t="s">
        <v>813</v>
      </c>
      <c r="B606" s="362">
        <f>B276</f>
        <v>4</v>
      </c>
      <c r="C606" s="404" t="str">
        <f>C276</f>
        <v>CREPIN Lucie</v>
      </c>
      <c r="D606" s="405">
        <f t="shared" ref="D606" si="1806">R276</f>
        <v>57.512199042651993</v>
      </c>
      <c r="E606" s="406">
        <f t="shared" ref="E606" si="1807">S276</f>
        <v>1531.4000000000026</v>
      </c>
      <c r="F606" s="405">
        <f t="shared" ref="F606" si="1808">T276</f>
        <v>88074.181613917404</v>
      </c>
      <c r="G606" s="413"/>
      <c r="H606" s="404" t="str">
        <f t="shared" ref="H606" si="1809">C89</f>
        <v>CREPIN</v>
      </c>
      <c r="I606" s="407" t="str">
        <f t="shared" ref="I606" si="1810">D89</f>
        <v>Lucie</v>
      </c>
      <c r="J606" s="407" t="str">
        <f>E276</f>
        <v>Doctorat - Biotechnologie, microbilogie - Université Montpellier II</v>
      </c>
      <c r="K606" s="407" t="str">
        <f>D276</f>
        <v>Lead Scientist</v>
      </c>
      <c r="L606" s="349"/>
      <c r="M606" s="349"/>
      <c r="N606" s="349"/>
      <c r="O606" s="349" t="s">
        <v>770</v>
      </c>
      <c r="P606" s="349"/>
      <c r="Q606" s="349"/>
      <c r="R606" s="349"/>
      <c r="S606" s="349"/>
      <c r="T606" s="349"/>
    </row>
    <row r="607" spans="1:20" s="111" customFormat="1" ht="24.75" thickBot="1" x14ac:dyDescent="0.3">
      <c r="A607" s="111" t="s">
        <v>813</v>
      </c>
      <c r="B607" s="362">
        <f>B276</f>
        <v>4</v>
      </c>
      <c r="C607" s="404" t="str">
        <f>C276</f>
        <v>CREPIN Lucie</v>
      </c>
      <c r="D607" s="405">
        <f t="shared" ref="D607" si="1811">R276</f>
        <v>57.512199042651993</v>
      </c>
      <c r="E607" s="406">
        <f t="shared" ref="E607" si="1812">S276</f>
        <v>1531.4000000000026</v>
      </c>
      <c r="F607" s="405">
        <f t="shared" ref="F607" si="1813">T276</f>
        <v>88074.181613917404</v>
      </c>
      <c r="G607" s="413"/>
      <c r="H607" s="404" t="str">
        <f t="shared" ref="H607" si="1814">C89</f>
        <v>CREPIN</v>
      </c>
      <c r="I607" s="407" t="str">
        <f t="shared" ref="I607" si="1815">D89</f>
        <v>Lucie</v>
      </c>
      <c r="J607" s="407" t="str">
        <f>E276</f>
        <v>Doctorat - Biotechnologie, microbilogie - Université Montpellier II</v>
      </c>
      <c r="K607" s="407" t="str">
        <f>D276</f>
        <v>Lead Scientist</v>
      </c>
      <c r="L607" s="349"/>
      <c r="M607" s="349"/>
      <c r="N607" s="349"/>
      <c r="O607" s="349" t="s">
        <v>770</v>
      </c>
      <c r="P607" s="349"/>
      <c r="Q607" s="349"/>
      <c r="R607" s="349"/>
      <c r="S607" s="349"/>
      <c r="T607" s="349"/>
    </row>
    <row r="608" spans="1:20" s="111" customFormat="1" ht="24.75" thickBot="1" x14ac:dyDescent="0.3">
      <c r="A608" s="111" t="s">
        <v>813</v>
      </c>
      <c r="B608" s="362">
        <f>B276</f>
        <v>4</v>
      </c>
      <c r="C608" s="404" t="str">
        <f>C276</f>
        <v>CREPIN Lucie</v>
      </c>
      <c r="D608" s="405">
        <f t="shared" ref="D608" si="1816">R276</f>
        <v>57.512199042651993</v>
      </c>
      <c r="E608" s="406">
        <f t="shared" ref="E608" si="1817">S276</f>
        <v>1531.4000000000026</v>
      </c>
      <c r="F608" s="405">
        <f t="shared" ref="F608" si="1818">T276</f>
        <v>88074.181613917404</v>
      </c>
      <c r="G608" s="413"/>
      <c r="H608" s="404" t="str">
        <f t="shared" ref="H608" si="1819">C89</f>
        <v>CREPIN</v>
      </c>
      <c r="I608" s="407" t="str">
        <f t="shared" ref="I608" si="1820">D89</f>
        <v>Lucie</v>
      </c>
      <c r="J608" s="407" t="str">
        <f>E276</f>
        <v>Doctorat - Biotechnologie, microbilogie - Université Montpellier II</v>
      </c>
      <c r="K608" s="407" t="str">
        <f>D276</f>
        <v>Lead Scientist</v>
      </c>
      <c r="L608" s="349"/>
      <c r="M608" s="349"/>
      <c r="N608" s="349"/>
      <c r="O608" s="349" t="s">
        <v>770</v>
      </c>
      <c r="P608" s="349"/>
      <c r="Q608" s="349"/>
      <c r="R608" s="349"/>
      <c r="S608" s="349"/>
      <c r="T608" s="349"/>
    </row>
    <row r="609" spans="1:20" s="111" customFormat="1" ht="24.75" thickBot="1" x14ac:dyDescent="0.3">
      <c r="A609" s="111" t="s">
        <v>813</v>
      </c>
      <c r="B609" s="362">
        <f>B276</f>
        <v>4</v>
      </c>
      <c r="C609" s="404" t="str">
        <f>C276</f>
        <v>CREPIN Lucie</v>
      </c>
      <c r="D609" s="405">
        <f t="shared" ref="D609" si="1821">R276</f>
        <v>57.512199042651993</v>
      </c>
      <c r="E609" s="406">
        <f t="shared" ref="E609" si="1822">S276</f>
        <v>1531.4000000000026</v>
      </c>
      <c r="F609" s="405">
        <f t="shared" ref="F609" si="1823">T276</f>
        <v>88074.181613917404</v>
      </c>
      <c r="G609" s="413"/>
      <c r="H609" s="404" t="str">
        <f t="shared" ref="H609" si="1824">C89</f>
        <v>CREPIN</v>
      </c>
      <c r="I609" s="407" t="str">
        <f t="shared" ref="I609" si="1825">D89</f>
        <v>Lucie</v>
      </c>
      <c r="J609" s="407" t="str">
        <f>E276</f>
        <v>Doctorat - Biotechnologie, microbilogie - Université Montpellier II</v>
      </c>
      <c r="K609" s="407" t="str">
        <f>D276</f>
        <v>Lead Scientist</v>
      </c>
      <c r="L609" s="349"/>
      <c r="M609" s="349"/>
      <c r="N609" s="349"/>
      <c r="O609" s="349" t="s">
        <v>770</v>
      </c>
      <c r="P609" s="349"/>
      <c r="Q609" s="349"/>
      <c r="R609" s="349"/>
      <c r="S609" s="349"/>
      <c r="T609" s="349"/>
    </row>
    <row r="610" spans="1:20" s="111" customFormat="1" ht="24.75" thickBot="1" x14ac:dyDescent="0.3">
      <c r="A610" s="111" t="s">
        <v>813</v>
      </c>
      <c r="B610" s="362">
        <f>B276</f>
        <v>4</v>
      </c>
      <c r="C610" s="404" t="str">
        <f>C276</f>
        <v>CREPIN Lucie</v>
      </c>
      <c r="D610" s="405">
        <f t="shared" ref="D610" si="1826">R276</f>
        <v>57.512199042651993</v>
      </c>
      <c r="E610" s="406">
        <f t="shared" ref="E610" si="1827">S276</f>
        <v>1531.4000000000026</v>
      </c>
      <c r="F610" s="405">
        <f t="shared" ref="F610" si="1828">T276</f>
        <v>88074.181613917404</v>
      </c>
      <c r="G610" s="413"/>
      <c r="H610" s="404" t="str">
        <f t="shared" ref="H610" si="1829">C89</f>
        <v>CREPIN</v>
      </c>
      <c r="I610" s="407" t="str">
        <f t="shared" ref="I610" si="1830">D89</f>
        <v>Lucie</v>
      </c>
      <c r="J610" s="407" t="str">
        <f>E276</f>
        <v>Doctorat - Biotechnologie, microbilogie - Université Montpellier II</v>
      </c>
      <c r="K610" s="407" t="str">
        <f>D276</f>
        <v>Lead Scientist</v>
      </c>
      <c r="L610" s="349"/>
      <c r="M610" s="349"/>
      <c r="N610" s="349"/>
      <c r="O610" s="349" t="s">
        <v>770</v>
      </c>
      <c r="P610" s="349"/>
      <c r="Q610" s="349"/>
      <c r="R610" s="349"/>
      <c r="S610" s="349"/>
      <c r="T610" s="349"/>
    </row>
    <row r="611" spans="1:20" s="111" customFormat="1" ht="24.75" thickBot="1" x14ac:dyDescent="0.3">
      <c r="A611" s="111" t="s">
        <v>813</v>
      </c>
      <c r="B611" s="362">
        <f>B276</f>
        <v>4</v>
      </c>
      <c r="C611" s="404" t="str">
        <f>C276</f>
        <v>CREPIN Lucie</v>
      </c>
      <c r="D611" s="405">
        <f t="shared" ref="D611" si="1831">R276</f>
        <v>57.512199042651993</v>
      </c>
      <c r="E611" s="406">
        <f t="shared" ref="E611" si="1832">S276</f>
        <v>1531.4000000000026</v>
      </c>
      <c r="F611" s="405">
        <f t="shared" ref="F611" si="1833">T276</f>
        <v>88074.181613917404</v>
      </c>
      <c r="G611" s="413"/>
      <c r="H611" s="404" t="str">
        <f t="shared" ref="H611" si="1834">C89</f>
        <v>CREPIN</v>
      </c>
      <c r="I611" s="407" t="str">
        <f t="shared" ref="I611" si="1835">D89</f>
        <v>Lucie</v>
      </c>
      <c r="J611" s="407" t="str">
        <f>E276</f>
        <v>Doctorat - Biotechnologie, microbilogie - Université Montpellier II</v>
      </c>
      <c r="K611" s="407" t="str">
        <f>D276</f>
        <v>Lead Scientist</v>
      </c>
      <c r="L611" s="349"/>
      <c r="M611" s="349"/>
      <c r="N611" s="349"/>
      <c r="O611" s="349" t="s">
        <v>770</v>
      </c>
      <c r="P611" s="349"/>
      <c r="Q611" s="349"/>
      <c r="R611" s="349"/>
      <c r="S611" s="349"/>
      <c r="T611" s="349"/>
    </row>
    <row r="612" spans="1:20" s="111" customFormat="1" ht="24.75" thickBot="1" x14ac:dyDescent="0.3">
      <c r="A612" s="111" t="s">
        <v>813</v>
      </c>
      <c r="B612" s="362">
        <f>B276</f>
        <v>4</v>
      </c>
      <c r="C612" s="404" t="str">
        <f>C276</f>
        <v>CREPIN Lucie</v>
      </c>
      <c r="D612" s="405">
        <f t="shared" ref="D612" si="1836">R276</f>
        <v>57.512199042651993</v>
      </c>
      <c r="E612" s="406">
        <f t="shared" ref="E612" si="1837">S276</f>
        <v>1531.4000000000026</v>
      </c>
      <c r="F612" s="405">
        <f t="shared" ref="F612" si="1838">T276</f>
        <v>88074.181613917404</v>
      </c>
      <c r="G612" s="413"/>
      <c r="H612" s="404" t="str">
        <f t="shared" ref="H612" si="1839">C89</f>
        <v>CREPIN</v>
      </c>
      <c r="I612" s="407" t="str">
        <f t="shared" ref="I612" si="1840">D89</f>
        <v>Lucie</v>
      </c>
      <c r="J612" s="407" t="str">
        <f>E276</f>
        <v>Doctorat - Biotechnologie, microbilogie - Université Montpellier II</v>
      </c>
      <c r="K612" s="407" t="str">
        <f>D276</f>
        <v>Lead Scientist</v>
      </c>
      <c r="L612" s="349"/>
      <c r="M612" s="349"/>
      <c r="N612" s="349"/>
      <c r="O612" s="349" t="s">
        <v>770</v>
      </c>
      <c r="P612" s="349"/>
      <c r="Q612" s="349"/>
      <c r="R612" s="349"/>
      <c r="S612" s="349"/>
      <c r="T612" s="349"/>
    </row>
    <row r="613" spans="1:20" s="111" customFormat="1" ht="24.75" thickBot="1" x14ac:dyDescent="0.3">
      <c r="A613" s="111" t="s">
        <v>813</v>
      </c>
      <c r="B613" s="362">
        <f>B276</f>
        <v>4</v>
      </c>
      <c r="C613" s="404" t="str">
        <f>C276</f>
        <v>CREPIN Lucie</v>
      </c>
      <c r="D613" s="405">
        <f t="shared" ref="D613" si="1841">R276</f>
        <v>57.512199042651993</v>
      </c>
      <c r="E613" s="406">
        <f t="shared" ref="E613" si="1842">S276</f>
        <v>1531.4000000000026</v>
      </c>
      <c r="F613" s="405">
        <f t="shared" ref="F613" si="1843">T276</f>
        <v>88074.181613917404</v>
      </c>
      <c r="G613" s="413"/>
      <c r="H613" s="404" t="str">
        <f t="shared" ref="H613" si="1844">C89</f>
        <v>CREPIN</v>
      </c>
      <c r="I613" s="407" t="str">
        <f t="shared" ref="I613" si="1845">D89</f>
        <v>Lucie</v>
      </c>
      <c r="J613" s="407" t="str">
        <f>E276</f>
        <v>Doctorat - Biotechnologie, microbilogie - Université Montpellier II</v>
      </c>
      <c r="K613" s="407" t="str">
        <f>D276</f>
        <v>Lead Scientist</v>
      </c>
      <c r="L613" s="349"/>
      <c r="M613" s="349"/>
      <c r="N613" s="349"/>
      <c r="O613" s="349" t="s">
        <v>770</v>
      </c>
      <c r="P613" s="349"/>
      <c r="Q613" s="349"/>
      <c r="R613" s="349"/>
      <c r="S613" s="349"/>
      <c r="T613" s="349"/>
    </row>
    <row r="614" spans="1:20" s="111" customFormat="1" ht="24.75" thickBot="1" x14ac:dyDescent="0.3">
      <c r="A614" s="111" t="s">
        <v>813</v>
      </c>
      <c r="B614" s="362">
        <f>B276</f>
        <v>4</v>
      </c>
      <c r="C614" s="404" t="str">
        <f>C276</f>
        <v>CREPIN Lucie</v>
      </c>
      <c r="D614" s="405">
        <f t="shared" ref="D614" si="1846">R276</f>
        <v>57.512199042651993</v>
      </c>
      <c r="E614" s="406">
        <f t="shared" ref="E614" si="1847">S276</f>
        <v>1531.4000000000026</v>
      </c>
      <c r="F614" s="405">
        <f t="shared" ref="F614" si="1848">T276</f>
        <v>88074.181613917404</v>
      </c>
      <c r="G614" s="413"/>
      <c r="H614" s="404" t="str">
        <f t="shared" ref="H614" si="1849">C89</f>
        <v>CREPIN</v>
      </c>
      <c r="I614" s="407" t="str">
        <f t="shared" ref="I614" si="1850">D89</f>
        <v>Lucie</v>
      </c>
      <c r="J614" s="407" t="str">
        <f>E276</f>
        <v>Doctorat - Biotechnologie, microbilogie - Université Montpellier II</v>
      </c>
      <c r="K614" s="407" t="str">
        <f>D276</f>
        <v>Lead Scientist</v>
      </c>
      <c r="L614" s="349"/>
      <c r="M614" s="349"/>
      <c r="N614" s="349"/>
      <c r="O614" s="349" t="s">
        <v>770</v>
      </c>
      <c r="P614" s="349"/>
      <c r="Q614" s="349"/>
      <c r="R614" s="349"/>
      <c r="S614" s="349"/>
      <c r="T614" s="349"/>
    </row>
    <row r="615" spans="1:20" s="111" customFormat="1" ht="24.75" thickBot="1" x14ac:dyDescent="0.3">
      <c r="A615" s="111" t="s">
        <v>813</v>
      </c>
      <c r="B615" s="362">
        <f>B276</f>
        <v>4</v>
      </c>
      <c r="C615" s="404" t="str">
        <f>C276</f>
        <v>CREPIN Lucie</v>
      </c>
      <c r="D615" s="405">
        <f t="shared" ref="D615" si="1851">R276</f>
        <v>57.512199042651993</v>
      </c>
      <c r="E615" s="406">
        <f t="shared" ref="E615" si="1852">S276</f>
        <v>1531.4000000000026</v>
      </c>
      <c r="F615" s="405">
        <f t="shared" ref="F615" si="1853">T276</f>
        <v>88074.181613917404</v>
      </c>
      <c r="G615" s="413"/>
      <c r="H615" s="404" t="str">
        <f t="shared" ref="H615" si="1854">C89</f>
        <v>CREPIN</v>
      </c>
      <c r="I615" s="407" t="str">
        <f t="shared" ref="I615" si="1855">D89</f>
        <v>Lucie</v>
      </c>
      <c r="J615" s="407" t="str">
        <f>E276</f>
        <v>Doctorat - Biotechnologie, microbilogie - Université Montpellier II</v>
      </c>
      <c r="K615" s="407" t="str">
        <f>D276</f>
        <v>Lead Scientist</v>
      </c>
      <c r="L615" s="349"/>
      <c r="M615" s="349"/>
      <c r="N615" s="349"/>
      <c r="O615" s="349" t="s">
        <v>770</v>
      </c>
      <c r="P615" s="349"/>
      <c r="Q615" s="349"/>
      <c r="R615" s="349"/>
      <c r="S615" s="349"/>
      <c r="T615" s="349"/>
    </row>
    <row r="616" spans="1:20" s="111" customFormat="1" ht="24.75" thickBot="1" x14ac:dyDescent="0.3">
      <c r="A616" s="111" t="s">
        <v>813</v>
      </c>
      <c r="B616" s="362">
        <f>B276</f>
        <v>4</v>
      </c>
      <c r="C616" s="404" t="str">
        <f>C276</f>
        <v>CREPIN Lucie</v>
      </c>
      <c r="D616" s="405">
        <f t="shared" ref="D616" si="1856">R276</f>
        <v>57.512199042651993</v>
      </c>
      <c r="E616" s="406">
        <f t="shared" ref="E616" si="1857">S276</f>
        <v>1531.4000000000026</v>
      </c>
      <c r="F616" s="405">
        <f t="shared" ref="F616" si="1858">T276</f>
        <v>88074.181613917404</v>
      </c>
      <c r="G616" s="413"/>
      <c r="H616" s="404" t="str">
        <f t="shared" ref="H616" si="1859">C89</f>
        <v>CREPIN</v>
      </c>
      <c r="I616" s="407" t="str">
        <f t="shared" ref="I616" si="1860">D89</f>
        <v>Lucie</v>
      </c>
      <c r="J616" s="407" t="str">
        <f>E276</f>
        <v>Doctorat - Biotechnologie, microbilogie - Université Montpellier II</v>
      </c>
      <c r="K616" s="407" t="str">
        <f>D276</f>
        <v>Lead Scientist</v>
      </c>
      <c r="L616" s="349"/>
      <c r="M616" s="349"/>
      <c r="N616" s="349"/>
      <c r="O616" s="349" t="s">
        <v>770</v>
      </c>
      <c r="P616" s="349"/>
      <c r="Q616" s="349"/>
      <c r="R616" s="349"/>
      <c r="S616" s="349"/>
      <c r="T616" s="349"/>
    </row>
    <row r="617" spans="1:20" s="111" customFormat="1" ht="24.75" thickBot="1" x14ac:dyDescent="0.3">
      <c r="A617" s="111" t="s">
        <v>813</v>
      </c>
      <c r="B617" s="362">
        <f>B276</f>
        <v>4</v>
      </c>
      <c r="C617" s="404" t="str">
        <f>C276</f>
        <v>CREPIN Lucie</v>
      </c>
      <c r="D617" s="405">
        <f t="shared" ref="D617" si="1861">R276</f>
        <v>57.512199042651993</v>
      </c>
      <c r="E617" s="406">
        <f t="shared" ref="E617" si="1862">S276</f>
        <v>1531.4000000000026</v>
      </c>
      <c r="F617" s="405">
        <f t="shared" ref="F617" si="1863">T276</f>
        <v>88074.181613917404</v>
      </c>
      <c r="G617" s="413"/>
      <c r="H617" s="404" t="str">
        <f t="shared" ref="H617" si="1864">C89</f>
        <v>CREPIN</v>
      </c>
      <c r="I617" s="407" t="str">
        <f t="shared" ref="I617" si="1865">D89</f>
        <v>Lucie</v>
      </c>
      <c r="J617" s="407" t="str">
        <f>E276</f>
        <v>Doctorat - Biotechnologie, microbilogie - Université Montpellier II</v>
      </c>
      <c r="K617" s="407" t="str">
        <f>D276</f>
        <v>Lead Scientist</v>
      </c>
      <c r="L617" s="349"/>
      <c r="M617" s="349"/>
      <c r="N617" s="349"/>
      <c r="O617" s="349" t="s">
        <v>770</v>
      </c>
      <c r="P617" s="349"/>
      <c r="Q617" s="349"/>
      <c r="R617" s="349"/>
      <c r="S617" s="349"/>
      <c r="T617" s="349"/>
    </row>
    <row r="618" spans="1:20" s="111" customFormat="1" ht="24.75" thickBot="1" x14ac:dyDescent="0.3">
      <c r="A618" s="111" t="s">
        <v>813</v>
      </c>
      <c r="B618" s="362">
        <f>B276</f>
        <v>4</v>
      </c>
      <c r="C618" s="404" t="str">
        <f>C276</f>
        <v>CREPIN Lucie</v>
      </c>
      <c r="D618" s="405">
        <f t="shared" ref="D618" si="1866">R276</f>
        <v>57.512199042651993</v>
      </c>
      <c r="E618" s="406">
        <f t="shared" ref="E618" si="1867">S276</f>
        <v>1531.4000000000026</v>
      </c>
      <c r="F618" s="405">
        <f t="shared" ref="F618" si="1868">T276</f>
        <v>88074.181613917404</v>
      </c>
      <c r="G618" s="413"/>
      <c r="H618" s="404" t="str">
        <f t="shared" ref="H618" si="1869">C89</f>
        <v>CREPIN</v>
      </c>
      <c r="I618" s="407" t="str">
        <f t="shared" ref="I618" si="1870">D89</f>
        <v>Lucie</v>
      </c>
      <c r="J618" s="407" t="str">
        <f>E276</f>
        <v>Doctorat - Biotechnologie, microbilogie - Université Montpellier II</v>
      </c>
      <c r="K618" s="407" t="str">
        <f>D276</f>
        <v>Lead Scientist</v>
      </c>
      <c r="L618" s="349"/>
      <c r="M618" s="349"/>
      <c r="N618" s="349"/>
      <c r="O618" s="349" t="s">
        <v>770</v>
      </c>
      <c r="P618" s="349"/>
      <c r="Q618" s="349"/>
      <c r="R618" s="349"/>
      <c r="S618" s="349"/>
      <c r="T618" s="349"/>
    </row>
    <row r="619" spans="1:20" s="111" customFormat="1" ht="24.75" thickBot="1" x14ac:dyDescent="0.3">
      <c r="A619" s="111" t="s">
        <v>813</v>
      </c>
      <c r="B619" s="362">
        <f>B276</f>
        <v>4</v>
      </c>
      <c r="C619" s="404" t="str">
        <f>C276</f>
        <v>CREPIN Lucie</v>
      </c>
      <c r="D619" s="405">
        <f t="shared" ref="D619" si="1871">R276</f>
        <v>57.512199042651993</v>
      </c>
      <c r="E619" s="406">
        <f t="shared" ref="E619" si="1872">S276</f>
        <v>1531.4000000000026</v>
      </c>
      <c r="F619" s="405">
        <f t="shared" ref="F619" si="1873">T276</f>
        <v>88074.181613917404</v>
      </c>
      <c r="G619" s="413"/>
      <c r="H619" s="404" t="str">
        <f t="shared" ref="H619" si="1874">C89</f>
        <v>CREPIN</v>
      </c>
      <c r="I619" s="407" t="str">
        <f t="shared" ref="I619" si="1875">D89</f>
        <v>Lucie</v>
      </c>
      <c r="J619" s="407" t="str">
        <f>E276</f>
        <v>Doctorat - Biotechnologie, microbilogie - Université Montpellier II</v>
      </c>
      <c r="K619" s="407" t="str">
        <f>D276</f>
        <v>Lead Scientist</v>
      </c>
      <c r="L619" s="349"/>
      <c r="M619" s="349"/>
      <c r="N619" s="349"/>
      <c r="O619" s="349" t="s">
        <v>770</v>
      </c>
      <c r="P619" s="349"/>
      <c r="Q619" s="349"/>
      <c r="R619" s="349"/>
      <c r="S619" s="349"/>
      <c r="T619" s="349"/>
    </row>
    <row r="620" spans="1:20" s="111" customFormat="1" ht="24.75" thickBot="1" x14ac:dyDescent="0.3">
      <c r="A620" s="111" t="s">
        <v>813</v>
      </c>
      <c r="B620" s="362">
        <f>B276</f>
        <v>4</v>
      </c>
      <c r="C620" s="404" t="str">
        <f>C276</f>
        <v>CREPIN Lucie</v>
      </c>
      <c r="D620" s="405">
        <f t="shared" ref="D620" si="1876">R276</f>
        <v>57.512199042651993</v>
      </c>
      <c r="E620" s="406">
        <f t="shared" ref="E620" si="1877">S276</f>
        <v>1531.4000000000026</v>
      </c>
      <c r="F620" s="405">
        <f t="shared" ref="F620" si="1878">T276</f>
        <v>88074.181613917404</v>
      </c>
      <c r="G620" s="413"/>
      <c r="H620" s="404" t="str">
        <f t="shared" ref="H620" si="1879">C89</f>
        <v>CREPIN</v>
      </c>
      <c r="I620" s="407" t="str">
        <f t="shared" ref="I620" si="1880">D89</f>
        <v>Lucie</v>
      </c>
      <c r="J620" s="407" t="str">
        <f>E276</f>
        <v>Doctorat - Biotechnologie, microbilogie - Université Montpellier II</v>
      </c>
      <c r="K620" s="407" t="str">
        <f>D276</f>
        <v>Lead Scientist</v>
      </c>
      <c r="L620" s="349"/>
      <c r="M620" s="349"/>
      <c r="N620" s="349"/>
      <c r="O620" s="349" t="s">
        <v>770</v>
      </c>
      <c r="P620" s="349"/>
      <c r="Q620" s="349"/>
      <c r="R620" s="349"/>
      <c r="S620" s="349"/>
      <c r="T620" s="349"/>
    </row>
    <row r="621" spans="1:20" s="111" customFormat="1" ht="24.75" thickBot="1" x14ac:dyDescent="0.3">
      <c r="A621" s="111" t="s">
        <v>813</v>
      </c>
      <c r="B621" s="362">
        <f>B276</f>
        <v>4</v>
      </c>
      <c r="C621" s="404" t="str">
        <f>C276</f>
        <v>CREPIN Lucie</v>
      </c>
      <c r="D621" s="405">
        <f t="shared" ref="D621" si="1881">R276</f>
        <v>57.512199042651993</v>
      </c>
      <c r="E621" s="406">
        <f t="shared" ref="E621" si="1882">S276</f>
        <v>1531.4000000000026</v>
      </c>
      <c r="F621" s="405">
        <f t="shared" ref="F621" si="1883">T276</f>
        <v>88074.181613917404</v>
      </c>
      <c r="G621" s="413"/>
      <c r="H621" s="404" t="str">
        <f t="shared" ref="H621" si="1884">C89</f>
        <v>CREPIN</v>
      </c>
      <c r="I621" s="407" t="str">
        <f t="shared" ref="I621" si="1885">D89</f>
        <v>Lucie</v>
      </c>
      <c r="J621" s="407" t="str">
        <f>E276</f>
        <v>Doctorat - Biotechnologie, microbilogie - Université Montpellier II</v>
      </c>
      <c r="K621" s="407" t="str">
        <f>D276</f>
        <v>Lead Scientist</v>
      </c>
      <c r="L621" s="349"/>
      <c r="M621" s="349"/>
      <c r="N621" s="349"/>
      <c r="O621" s="349" t="s">
        <v>770</v>
      </c>
      <c r="P621" s="349"/>
      <c r="Q621" s="349"/>
      <c r="R621" s="349"/>
      <c r="S621" s="349"/>
      <c r="T621" s="349"/>
    </row>
    <row r="622" spans="1:20" s="111" customFormat="1" ht="24.75" thickBot="1" x14ac:dyDescent="0.3">
      <c r="A622" s="111" t="s">
        <v>813</v>
      </c>
      <c r="B622" s="362">
        <f>B276</f>
        <v>4</v>
      </c>
      <c r="C622" s="404" t="str">
        <f>C276</f>
        <v>CREPIN Lucie</v>
      </c>
      <c r="D622" s="405">
        <f t="shared" ref="D622" si="1886">R276</f>
        <v>57.512199042651993</v>
      </c>
      <c r="E622" s="406">
        <f t="shared" ref="E622" si="1887">S276</f>
        <v>1531.4000000000026</v>
      </c>
      <c r="F622" s="405">
        <f t="shared" ref="F622" si="1888">T276</f>
        <v>88074.181613917404</v>
      </c>
      <c r="G622" s="413"/>
      <c r="H622" s="404" t="str">
        <f t="shared" ref="H622" si="1889">C89</f>
        <v>CREPIN</v>
      </c>
      <c r="I622" s="407" t="str">
        <f t="shared" ref="I622" si="1890">D89</f>
        <v>Lucie</v>
      </c>
      <c r="J622" s="407" t="str">
        <f>E276</f>
        <v>Doctorat - Biotechnologie, microbilogie - Université Montpellier II</v>
      </c>
      <c r="K622" s="407" t="str">
        <f>D276</f>
        <v>Lead Scientist</v>
      </c>
      <c r="L622" s="349"/>
      <c r="M622" s="349"/>
      <c r="N622" s="349"/>
      <c r="O622" s="349" t="s">
        <v>770</v>
      </c>
      <c r="P622" s="349"/>
      <c r="Q622" s="349"/>
      <c r="R622" s="349"/>
      <c r="S622" s="349"/>
      <c r="T622" s="349"/>
    </row>
    <row r="623" spans="1:20" s="111" customFormat="1" ht="24.75" thickBot="1" x14ac:dyDescent="0.3">
      <c r="A623" s="111" t="s">
        <v>813</v>
      </c>
      <c r="B623" s="362">
        <f>B276</f>
        <v>4</v>
      </c>
      <c r="C623" s="404" t="str">
        <f>C276</f>
        <v>CREPIN Lucie</v>
      </c>
      <c r="D623" s="405">
        <f t="shared" ref="D623" si="1891">R276</f>
        <v>57.512199042651993</v>
      </c>
      <c r="E623" s="406">
        <f t="shared" ref="E623" si="1892">S276</f>
        <v>1531.4000000000026</v>
      </c>
      <c r="F623" s="405">
        <f t="shared" ref="F623" si="1893">T276</f>
        <v>88074.181613917404</v>
      </c>
      <c r="G623" s="413"/>
      <c r="H623" s="404" t="str">
        <f t="shared" ref="H623" si="1894">C89</f>
        <v>CREPIN</v>
      </c>
      <c r="I623" s="407" t="str">
        <f t="shared" ref="I623" si="1895">D89</f>
        <v>Lucie</v>
      </c>
      <c r="J623" s="407" t="str">
        <f>E276</f>
        <v>Doctorat - Biotechnologie, microbilogie - Université Montpellier II</v>
      </c>
      <c r="K623" s="407" t="str">
        <f>D276</f>
        <v>Lead Scientist</v>
      </c>
      <c r="L623" s="349"/>
      <c r="M623" s="349"/>
      <c r="N623" s="349"/>
      <c r="O623" s="349" t="s">
        <v>770</v>
      </c>
      <c r="P623" s="349"/>
      <c r="Q623" s="349"/>
      <c r="R623" s="349"/>
      <c r="S623" s="349"/>
      <c r="T623" s="349"/>
    </row>
    <row r="624" spans="1:20" s="111" customFormat="1" ht="24.75" thickBot="1" x14ac:dyDescent="0.3">
      <c r="A624" s="111" t="s">
        <v>813</v>
      </c>
      <c r="B624" s="362">
        <f>B276</f>
        <v>4</v>
      </c>
      <c r="C624" s="404" t="str">
        <f>C276</f>
        <v>CREPIN Lucie</v>
      </c>
      <c r="D624" s="405">
        <f t="shared" ref="D624" si="1896">R276</f>
        <v>57.512199042651993</v>
      </c>
      <c r="E624" s="406">
        <f t="shared" ref="E624" si="1897">S276</f>
        <v>1531.4000000000026</v>
      </c>
      <c r="F624" s="405">
        <f t="shared" ref="F624" si="1898">T276</f>
        <v>88074.181613917404</v>
      </c>
      <c r="G624" s="413"/>
      <c r="H624" s="404" t="str">
        <f t="shared" ref="H624" si="1899">C89</f>
        <v>CREPIN</v>
      </c>
      <c r="I624" s="407" t="str">
        <f t="shared" ref="I624" si="1900">D89</f>
        <v>Lucie</v>
      </c>
      <c r="J624" s="407" t="str">
        <f>E276</f>
        <v>Doctorat - Biotechnologie, microbilogie - Université Montpellier II</v>
      </c>
      <c r="K624" s="407" t="str">
        <f>D276</f>
        <v>Lead Scientist</v>
      </c>
      <c r="L624" s="349"/>
      <c r="M624" s="349"/>
      <c r="N624" s="349"/>
      <c r="O624" s="349" t="s">
        <v>770</v>
      </c>
      <c r="P624" s="349"/>
      <c r="Q624" s="349"/>
      <c r="R624" s="349"/>
      <c r="S624" s="349"/>
      <c r="T624" s="349"/>
    </row>
    <row r="625" spans="1:20" s="111" customFormat="1" ht="24.75" thickBot="1" x14ac:dyDescent="0.3">
      <c r="A625" s="111" t="s">
        <v>813</v>
      </c>
      <c r="B625" s="362">
        <f>B276</f>
        <v>4</v>
      </c>
      <c r="C625" s="404" t="str">
        <f>C276</f>
        <v>CREPIN Lucie</v>
      </c>
      <c r="D625" s="405">
        <f t="shared" ref="D625" si="1901">R276</f>
        <v>57.512199042651993</v>
      </c>
      <c r="E625" s="406">
        <f t="shared" ref="E625" si="1902">S276</f>
        <v>1531.4000000000026</v>
      </c>
      <c r="F625" s="405">
        <f t="shared" ref="F625" si="1903">T276</f>
        <v>88074.181613917404</v>
      </c>
      <c r="G625" s="413"/>
      <c r="H625" s="404" t="str">
        <f t="shared" ref="H625" si="1904">C89</f>
        <v>CREPIN</v>
      </c>
      <c r="I625" s="407" t="str">
        <f t="shared" ref="I625" si="1905">D89</f>
        <v>Lucie</v>
      </c>
      <c r="J625" s="407" t="str">
        <f>E276</f>
        <v>Doctorat - Biotechnologie, microbilogie - Université Montpellier II</v>
      </c>
      <c r="K625" s="407" t="str">
        <f>D276</f>
        <v>Lead Scientist</v>
      </c>
      <c r="L625" s="349"/>
      <c r="M625" s="349"/>
      <c r="N625" s="349"/>
      <c r="O625" s="349" t="s">
        <v>770</v>
      </c>
      <c r="P625" s="349"/>
      <c r="Q625" s="349"/>
      <c r="R625" s="349"/>
      <c r="S625" s="349"/>
      <c r="T625" s="349"/>
    </row>
    <row r="626" spans="1:20" s="111" customFormat="1" ht="24.75" thickBot="1" x14ac:dyDescent="0.3">
      <c r="A626" s="111" t="s">
        <v>813</v>
      </c>
      <c r="B626" s="362">
        <f>B276</f>
        <v>4</v>
      </c>
      <c r="C626" s="404" t="str">
        <f>C276</f>
        <v>CREPIN Lucie</v>
      </c>
      <c r="D626" s="405">
        <f t="shared" ref="D626" si="1906">R276</f>
        <v>57.512199042651993</v>
      </c>
      <c r="E626" s="406">
        <f t="shared" ref="E626" si="1907">S276</f>
        <v>1531.4000000000026</v>
      </c>
      <c r="F626" s="405">
        <f t="shared" ref="F626" si="1908">T276</f>
        <v>88074.181613917404</v>
      </c>
      <c r="G626" s="413"/>
      <c r="H626" s="404" t="str">
        <f t="shared" ref="H626" si="1909">C89</f>
        <v>CREPIN</v>
      </c>
      <c r="I626" s="407" t="str">
        <f t="shared" ref="I626" si="1910">D89</f>
        <v>Lucie</v>
      </c>
      <c r="J626" s="407" t="str">
        <f>E276</f>
        <v>Doctorat - Biotechnologie, microbilogie - Université Montpellier II</v>
      </c>
      <c r="K626" s="407" t="str">
        <f>D276</f>
        <v>Lead Scientist</v>
      </c>
      <c r="L626" s="349"/>
      <c r="M626" s="349"/>
      <c r="N626" s="349"/>
      <c r="O626" s="349" t="s">
        <v>770</v>
      </c>
      <c r="P626" s="349"/>
      <c r="Q626" s="349"/>
      <c r="R626" s="349"/>
      <c r="S626" s="349"/>
      <c r="T626" s="349"/>
    </row>
    <row r="627" spans="1:20" s="111" customFormat="1" ht="24.75" thickBot="1" x14ac:dyDescent="0.3">
      <c r="A627" s="111" t="s">
        <v>813</v>
      </c>
      <c r="B627" s="362">
        <f>B276</f>
        <v>4</v>
      </c>
      <c r="C627" s="404" t="str">
        <f>C276</f>
        <v>CREPIN Lucie</v>
      </c>
      <c r="D627" s="405">
        <f t="shared" ref="D627" si="1911">R276</f>
        <v>57.512199042651993</v>
      </c>
      <c r="E627" s="406">
        <f t="shared" ref="E627" si="1912">S276</f>
        <v>1531.4000000000026</v>
      </c>
      <c r="F627" s="405">
        <f t="shared" ref="F627" si="1913">T276</f>
        <v>88074.181613917404</v>
      </c>
      <c r="G627" s="413"/>
      <c r="H627" s="404" t="str">
        <f t="shared" ref="H627" si="1914">C89</f>
        <v>CREPIN</v>
      </c>
      <c r="I627" s="407" t="str">
        <f t="shared" ref="I627" si="1915">D89</f>
        <v>Lucie</v>
      </c>
      <c r="J627" s="407" t="str">
        <f>E276</f>
        <v>Doctorat - Biotechnologie, microbilogie - Université Montpellier II</v>
      </c>
      <c r="K627" s="407" t="str">
        <f>D276</f>
        <v>Lead Scientist</v>
      </c>
      <c r="L627" s="349"/>
      <c r="M627" s="349"/>
      <c r="N627" s="349"/>
      <c r="O627" s="349" t="s">
        <v>770</v>
      </c>
      <c r="P627" s="349"/>
      <c r="Q627" s="349"/>
      <c r="R627" s="349"/>
      <c r="S627" s="349"/>
      <c r="T627" s="349"/>
    </row>
    <row r="628" spans="1:20" s="111" customFormat="1" ht="24.75" thickBot="1" x14ac:dyDescent="0.3">
      <c r="A628" s="111" t="s">
        <v>813</v>
      </c>
      <c r="B628" s="362">
        <f>B276</f>
        <v>4</v>
      </c>
      <c r="C628" s="404" t="str">
        <f>C276</f>
        <v>CREPIN Lucie</v>
      </c>
      <c r="D628" s="405">
        <f t="shared" ref="D628" si="1916">R276</f>
        <v>57.512199042651993</v>
      </c>
      <c r="E628" s="406">
        <f t="shared" ref="E628" si="1917">S276</f>
        <v>1531.4000000000026</v>
      </c>
      <c r="F628" s="405">
        <f t="shared" ref="F628" si="1918">T276</f>
        <v>88074.181613917404</v>
      </c>
      <c r="G628" s="413"/>
      <c r="H628" s="404" t="str">
        <f t="shared" ref="H628" si="1919">C89</f>
        <v>CREPIN</v>
      </c>
      <c r="I628" s="407" t="str">
        <f t="shared" ref="I628" si="1920">D89</f>
        <v>Lucie</v>
      </c>
      <c r="J628" s="407" t="str">
        <f>E276</f>
        <v>Doctorat - Biotechnologie, microbilogie - Université Montpellier II</v>
      </c>
      <c r="K628" s="407" t="str">
        <f>D276</f>
        <v>Lead Scientist</v>
      </c>
      <c r="L628" s="349"/>
      <c r="M628" s="349"/>
      <c r="N628" s="349"/>
      <c r="O628" s="349" t="s">
        <v>770</v>
      </c>
      <c r="P628" s="349"/>
      <c r="Q628" s="349"/>
      <c r="R628" s="349"/>
      <c r="S628" s="349"/>
      <c r="T628" s="349"/>
    </row>
    <row r="629" spans="1:20" s="111" customFormat="1" ht="24.75" thickBot="1" x14ac:dyDescent="0.3">
      <c r="A629" s="111" t="s">
        <v>813</v>
      </c>
      <c r="B629" s="362">
        <f>B276</f>
        <v>4</v>
      </c>
      <c r="C629" s="404" t="str">
        <f>C276</f>
        <v>CREPIN Lucie</v>
      </c>
      <c r="D629" s="405">
        <f t="shared" ref="D629" si="1921">R276</f>
        <v>57.512199042651993</v>
      </c>
      <c r="E629" s="406">
        <f t="shared" ref="E629" si="1922">S276</f>
        <v>1531.4000000000026</v>
      </c>
      <c r="F629" s="405">
        <f t="shared" ref="F629" si="1923">T276</f>
        <v>88074.181613917404</v>
      </c>
      <c r="G629" s="413"/>
      <c r="H629" s="404" t="str">
        <f t="shared" ref="H629" si="1924">C89</f>
        <v>CREPIN</v>
      </c>
      <c r="I629" s="407" t="str">
        <f t="shared" ref="I629" si="1925">D89</f>
        <v>Lucie</v>
      </c>
      <c r="J629" s="407" t="str">
        <f>E276</f>
        <v>Doctorat - Biotechnologie, microbilogie - Université Montpellier II</v>
      </c>
      <c r="K629" s="407" t="str">
        <f>D276</f>
        <v>Lead Scientist</v>
      </c>
      <c r="L629" s="349"/>
      <c r="M629" s="349"/>
      <c r="N629" s="349"/>
      <c r="O629" s="349" t="s">
        <v>770</v>
      </c>
      <c r="P629" s="349"/>
      <c r="Q629" s="349"/>
      <c r="R629" s="349"/>
      <c r="S629" s="349"/>
      <c r="T629" s="349"/>
    </row>
    <row r="630" spans="1:20" s="111" customFormat="1" ht="24.75" thickBot="1" x14ac:dyDescent="0.3">
      <c r="A630" s="111" t="s">
        <v>813</v>
      </c>
      <c r="B630" s="362">
        <f>B276</f>
        <v>4</v>
      </c>
      <c r="C630" s="404" t="str">
        <f>C276</f>
        <v>CREPIN Lucie</v>
      </c>
      <c r="D630" s="405">
        <f t="shared" ref="D630" si="1926">R276</f>
        <v>57.512199042651993</v>
      </c>
      <c r="E630" s="406">
        <f t="shared" ref="E630" si="1927">S276</f>
        <v>1531.4000000000026</v>
      </c>
      <c r="F630" s="405">
        <f t="shared" ref="F630" si="1928">T276</f>
        <v>88074.181613917404</v>
      </c>
      <c r="G630" s="413"/>
      <c r="H630" s="404" t="str">
        <f t="shared" ref="H630" si="1929">C89</f>
        <v>CREPIN</v>
      </c>
      <c r="I630" s="407" t="str">
        <f t="shared" ref="I630" si="1930">D89</f>
        <v>Lucie</v>
      </c>
      <c r="J630" s="407" t="str">
        <f>E276</f>
        <v>Doctorat - Biotechnologie, microbilogie - Université Montpellier II</v>
      </c>
      <c r="K630" s="407" t="str">
        <f>D276</f>
        <v>Lead Scientist</v>
      </c>
      <c r="L630" s="349"/>
      <c r="M630" s="349"/>
      <c r="N630" s="349"/>
      <c r="O630" s="349" t="s">
        <v>770</v>
      </c>
      <c r="P630" s="349"/>
      <c r="Q630" s="349"/>
      <c r="R630" s="349"/>
      <c r="S630" s="349"/>
      <c r="T630" s="349"/>
    </row>
    <row r="631" spans="1:20" s="111" customFormat="1" ht="24.75" thickBot="1" x14ac:dyDescent="0.3">
      <c r="A631" s="111" t="s">
        <v>813</v>
      </c>
      <c r="B631" s="362">
        <f>B276</f>
        <v>4</v>
      </c>
      <c r="C631" s="404" t="str">
        <f>C276</f>
        <v>CREPIN Lucie</v>
      </c>
      <c r="D631" s="405">
        <f t="shared" ref="D631" si="1931">R276</f>
        <v>57.512199042651993</v>
      </c>
      <c r="E631" s="406">
        <f t="shared" ref="E631" si="1932">S276</f>
        <v>1531.4000000000026</v>
      </c>
      <c r="F631" s="405">
        <f t="shared" ref="F631" si="1933">T276</f>
        <v>88074.181613917404</v>
      </c>
      <c r="G631" s="413"/>
      <c r="H631" s="404" t="str">
        <f t="shared" ref="H631" si="1934">C89</f>
        <v>CREPIN</v>
      </c>
      <c r="I631" s="407" t="str">
        <f t="shared" ref="I631" si="1935">D89</f>
        <v>Lucie</v>
      </c>
      <c r="J631" s="407" t="str">
        <f>E276</f>
        <v>Doctorat - Biotechnologie, microbilogie - Université Montpellier II</v>
      </c>
      <c r="K631" s="407" t="str">
        <f>D276</f>
        <v>Lead Scientist</v>
      </c>
      <c r="L631" s="349"/>
      <c r="M631" s="349"/>
      <c r="N631" s="349"/>
      <c r="O631" s="349" t="s">
        <v>770</v>
      </c>
      <c r="P631" s="349"/>
      <c r="Q631" s="349"/>
      <c r="R631" s="349"/>
      <c r="S631" s="349"/>
      <c r="T631" s="349"/>
    </row>
    <row r="632" spans="1:20" s="111" customFormat="1" ht="24.75" thickBot="1" x14ac:dyDescent="0.3">
      <c r="A632" s="111" t="s">
        <v>813</v>
      </c>
      <c r="B632" s="362">
        <f>B276</f>
        <v>4</v>
      </c>
      <c r="C632" s="404" t="str">
        <f>C276</f>
        <v>CREPIN Lucie</v>
      </c>
      <c r="D632" s="405">
        <f t="shared" ref="D632" si="1936">R276</f>
        <v>57.512199042651993</v>
      </c>
      <c r="E632" s="406">
        <f t="shared" ref="E632" si="1937">S276</f>
        <v>1531.4000000000026</v>
      </c>
      <c r="F632" s="405">
        <f t="shared" ref="F632" si="1938">T276</f>
        <v>88074.181613917404</v>
      </c>
      <c r="G632" s="413"/>
      <c r="H632" s="404" t="str">
        <f t="shared" ref="H632" si="1939">C89</f>
        <v>CREPIN</v>
      </c>
      <c r="I632" s="407" t="str">
        <f t="shared" ref="I632" si="1940">D89</f>
        <v>Lucie</v>
      </c>
      <c r="J632" s="407" t="str">
        <f>E276</f>
        <v>Doctorat - Biotechnologie, microbilogie - Université Montpellier II</v>
      </c>
      <c r="K632" s="407" t="str">
        <f>D276</f>
        <v>Lead Scientist</v>
      </c>
      <c r="L632" s="349"/>
      <c r="M632" s="349"/>
      <c r="N632" s="349"/>
      <c r="O632" s="349" t="s">
        <v>770</v>
      </c>
      <c r="P632" s="349"/>
      <c r="Q632" s="349"/>
      <c r="R632" s="349"/>
      <c r="S632" s="349"/>
      <c r="T632" s="349"/>
    </row>
    <row r="633" spans="1:20" s="111" customFormat="1" ht="24.75" thickBot="1" x14ac:dyDescent="0.3">
      <c r="A633" s="111" t="s">
        <v>813</v>
      </c>
      <c r="B633" s="362">
        <f>B276</f>
        <v>4</v>
      </c>
      <c r="C633" s="404" t="str">
        <f>C276</f>
        <v>CREPIN Lucie</v>
      </c>
      <c r="D633" s="405">
        <f t="shared" ref="D633" si="1941">R276</f>
        <v>57.512199042651993</v>
      </c>
      <c r="E633" s="406">
        <f t="shared" ref="E633" si="1942">S276</f>
        <v>1531.4000000000026</v>
      </c>
      <c r="F633" s="405">
        <f t="shared" ref="F633" si="1943">T276</f>
        <v>88074.181613917404</v>
      </c>
      <c r="G633" s="413"/>
      <c r="H633" s="404" t="str">
        <f t="shared" ref="H633" si="1944">C89</f>
        <v>CREPIN</v>
      </c>
      <c r="I633" s="407" t="str">
        <f t="shared" ref="I633" si="1945">D89</f>
        <v>Lucie</v>
      </c>
      <c r="J633" s="407" t="str">
        <f>E276</f>
        <v>Doctorat - Biotechnologie, microbilogie - Université Montpellier II</v>
      </c>
      <c r="K633" s="407" t="str">
        <f>D276</f>
        <v>Lead Scientist</v>
      </c>
      <c r="L633" s="349"/>
      <c r="M633" s="349"/>
      <c r="N633" s="349"/>
      <c r="O633" s="349" t="s">
        <v>770</v>
      </c>
      <c r="P633" s="349"/>
      <c r="Q633" s="349"/>
      <c r="R633" s="349"/>
      <c r="S633" s="349"/>
      <c r="T633" s="349"/>
    </row>
    <row r="634" spans="1:20" s="111" customFormat="1" ht="24.75" thickBot="1" x14ac:dyDescent="0.3">
      <c r="A634" s="111" t="s">
        <v>813</v>
      </c>
      <c r="B634" s="362">
        <f>B276</f>
        <v>4</v>
      </c>
      <c r="C634" s="404" t="str">
        <f>C276</f>
        <v>CREPIN Lucie</v>
      </c>
      <c r="D634" s="405">
        <f t="shared" ref="D634" si="1946">R276</f>
        <v>57.512199042651993</v>
      </c>
      <c r="E634" s="406">
        <f t="shared" ref="E634" si="1947">S276</f>
        <v>1531.4000000000026</v>
      </c>
      <c r="F634" s="405">
        <f t="shared" ref="F634" si="1948">T276</f>
        <v>88074.181613917404</v>
      </c>
      <c r="G634" s="413"/>
      <c r="H634" s="404" t="str">
        <f t="shared" ref="H634" si="1949">C89</f>
        <v>CREPIN</v>
      </c>
      <c r="I634" s="407" t="str">
        <f t="shared" ref="I634" si="1950">D89</f>
        <v>Lucie</v>
      </c>
      <c r="J634" s="407" t="str">
        <f>E276</f>
        <v>Doctorat - Biotechnologie, microbilogie - Université Montpellier II</v>
      </c>
      <c r="K634" s="407" t="str">
        <f>D276</f>
        <v>Lead Scientist</v>
      </c>
      <c r="L634" s="349"/>
      <c r="M634" s="349"/>
      <c r="N634" s="349"/>
      <c r="O634" s="349" t="s">
        <v>770</v>
      </c>
      <c r="P634" s="349"/>
      <c r="Q634" s="349"/>
      <c r="R634" s="349"/>
      <c r="S634" s="349"/>
      <c r="T634" s="349"/>
    </row>
    <row r="635" spans="1:20" s="111" customFormat="1" ht="24.75" thickBot="1" x14ac:dyDescent="0.3">
      <c r="A635" s="111" t="s">
        <v>813</v>
      </c>
      <c r="B635" s="362">
        <f>B276</f>
        <v>4</v>
      </c>
      <c r="C635" s="404" t="str">
        <f>C276</f>
        <v>CREPIN Lucie</v>
      </c>
      <c r="D635" s="405">
        <f t="shared" ref="D635" si="1951">R276</f>
        <v>57.512199042651993</v>
      </c>
      <c r="E635" s="406">
        <f t="shared" ref="E635" si="1952">S276</f>
        <v>1531.4000000000026</v>
      </c>
      <c r="F635" s="405">
        <f t="shared" ref="F635" si="1953">T276</f>
        <v>88074.181613917404</v>
      </c>
      <c r="G635" s="413"/>
      <c r="H635" s="404" t="str">
        <f t="shared" ref="H635" si="1954">C89</f>
        <v>CREPIN</v>
      </c>
      <c r="I635" s="407" t="str">
        <f t="shared" ref="I635" si="1955">D89</f>
        <v>Lucie</v>
      </c>
      <c r="J635" s="407" t="str">
        <f>E276</f>
        <v>Doctorat - Biotechnologie, microbilogie - Université Montpellier II</v>
      </c>
      <c r="K635" s="407" t="str">
        <f>D276</f>
        <v>Lead Scientist</v>
      </c>
      <c r="L635" s="349"/>
      <c r="M635" s="349"/>
      <c r="N635" s="349"/>
      <c r="O635" s="349" t="s">
        <v>770</v>
      </c>
      <c r="P635" s="349"/>
      <c r="Q635" s="349"/>
      <c r="R635" s="349"/>
      <c r="S635" s="349"/>
      <c r="T635" s="349"/>
    </row>
    <row r="636" spans="1:20" s="111" customFormat="1" ht="24.75" thickBot="1" x14ac:dyDescent="0.3">
      <c r="A636" s="111" t="s">
        <v>813</v>
      </c>
      <c r="B636" s="362">
        <f>B276</f>
        <v>4</v>
      </c>
      <c r="C636" s="404" t="str">
        <f>C276</f>
        <v>CREPIN Lucie</v>
      </c>
      <c r="D636" s="405">
        <f t="shared" ref="D636" si="1956">R276</f>
        <v>57.512199042651993</v>
      </c>
      <c r="E636" s="406">
        <f t="shared" ref="E636" si="1957">S276</f>
        <v>1531.4000000000026</v>
      </c>
      <c r="F636" s="405">
        <f t="shared" ref="F636" si="1958">T276</f>
        <v>88074.181613917404</v>
      </c>
      <c r="G636" s="413"/>
      <c r="H636" s="404" t="str">
        <f t="shared" ref="H636" si="1959">C89</f>
        <v>CREPIN</v>
      </c>
      <c r="I636" s="407" t="str">
        <f t="shared" ref="I636" si="1960">D89</f>
        <v>Lucie</v>
      </c>
      <c r="J636" s="407" t="str">
        <f>E276</f>
        <v>Doctorat - Biotechnologie, microbilogie - Université Montpellier II</v>
      </c>
      <c r="K636" s="407" t="str">
        <f>D276</f>
        <v>Lead Scientist</v>
      </c>
      <c r="L636" s="349"/>
      <c r="M636" s="349"/>
      <c r="N636" s="349"/>
      <c r="O636" s="349" t="s">
        <v>770</v>
      </c>
      <c r="P636" s="349"/>
      <c r="Q636" s="349"/>
      <c r="R636" s="349"/>
      <c r="S636" s="349"/>
      <c r="T636" s="349"/>
    </row>
    <row r="637" spans="1:20" s="111" customFormat="1" ht="24.75" thickBot="1" x14ac:dyDescent="0.3">
      <c r="A637" s="111" t="s">
        <v>813</v>
      </c>
      <c r="B637" s="362">
        <f>B276</f>
        <v>4</v>
      </c>
      <c r="C637" s="404" t="str">
        <f>C276</f>
        <v>CREPIN Lucie</v>
      </c>
      <c r="D637" s="405">
        <f t="shared" ref="D637" si="1961">R276</f>
        <v>57.512199042651993</v>
      </c>
      <c r="E637" s="406">
        <f t="shared" ref="E637" si="1962">S276</f>
        <v>1531.4000000000026</v>
      </c>
      <c r="F637" s="405">
        <f t="shared" ref="F637" si="1963">T276</f>
        <v>88074.181613917404</v>
      </c>
      <c r="G637" s="413"/>
      <c r="H637" s="404" t="str">
        <f t="shared" ref="H637" si="1964">C89</f>
        <v>CREPIN</v>
      </c>
      <c r="I637" s="407" t="str">
        <f t="shared" ref="I637" si="1965">D89</f>
        <v>Lucie</v>
      </c>
      <c r="J637" s="407" t="str">
        <f>E276</f>
        <v>Doctorat - Biotechnologie, microbilogie - Université Montpellier II</v>
      </c>
      <c r="K637" s="407" t="str">
        <f>D276</f>
        <v>Lead Scientist</v>
      </c>
      <c r="L637" s="349"/>
      <c r="M637" s="349"/>
      <c r="N637" s="349"/>
      <c r="O637" s="349" t="s">
        <v>770</v>
      </c>
      <c r="P637" s="349"/>
      <c r="Q637" s="349"/>
      <c r="R637" s="349"/>
      <c r="S637" s="349"/>
      <c r="T637" s="349"/>
    </row>
    <row r="638" spans="1:20" s="111" customFormat="1" ht="24.75" thickBot="1" x14ac:dyDescent="0.3">
      <c r="A638" s="111" t="s">
        <v>813</v>
      </c>
      <c r="B638" s="362">
        <f>B276</f>
        <v>4</v>
      </c>
      <c r="C638" s="404" t="str">
        <f>C276</f>
        <v>CREPIN Lucie</v>
      </c>
      <c r="D638" s="405">
        <f t="shared" ref="D638" si="1966">R276</f>
        <v>57.512199042651993</v>
      </c>
      <c r="E638" s="406">
        <f t="shared" ref="E638" si="1967">S276</f>
        <v>1531.4000000000026</v>
      </c>
      <c r="F638" s="405">
        <f t="shared" ref="F638" si="1968">T276</f>
        <v>88074.181613917404</v>
      </c>
      <c r="G638" s="413"/>
      <c r="H638" s="404" t="str">
        <f t="shared" ref="H638" si="1969">C89</f>
        <v>CREPIN</v>
      </c>
      <c r="I638" s="407" t="str">
        <f t="shared" ref="I638" si="1970">D89</f>
        <v>Lucie</v>
      </c>
      <c r="J638" s="407" t="str">
        <f>E276</f>
        <v>Doctorat - Biotechnologie, microbilogie - Université Montpellier II</v>
      </c>
      <c r="K638" s="407" t="str">
        <f>D276</f>
        <v>Lead Scientist</v>
      </c>
      <c r="L638" s="349"/>
      <c r="M638" s="349"/>
      <c r="N638" s="349"/>
      <c r="O638" s="349" t="s">
        <v>770</v>
      </c>
      <c r="P638" s="349"/>
      <c r="Q638" s="349"/>
      <c r="R638" s="349"/>
      <c r="S638" s="349"/>
      <c r="T638" s="349"/>
    </row>
    <row r="639" spans="1:20" s="111" customFormat="1" ht="24.75" thickBot="1" x14ac:dyDescent="0.3">
      <c r="A639" s="111" t="s">
        <v>813</v>
      </c>
      <c r="B639" s="362">
        <f>B276</f>
        <v>4</v>
      </c>
      <c r="C639" s="404" t="str">
        <f>C276</f>
        <v>CREPIN Lucie</v>
      </c>
      <c r="D639" s="405">
        <f t="shared" ref="D639" si="1971">R276</f>
        <v>57.512199042651993</v>
      </c>
      <c r="E639" s="406">
        <f t="shared" ref="E639" si="1972">S276</f>
        <v>1531.4000000000026</v>
      </c>
      <c r="F639" s="405">
        <f t="shared" ref="F639" si="1973">T276</f>
        <v>88074.181613917404</v>
      </c>
      <c r="G639" s="413"/>
      <c r="H639" s="404" t="str">
        <f t="shared" ref="H639" si="1974">C89</f>
        <v>CREPIN</v>
      </c>
      <c r="I639" s="407" t="str">
        <f t="shared" ref="I639" si="1975">D89</f>
        <v>Lucie</v>
      </c>
      <c r="J639" s="407" t="str">
        <f>E276</f>
        <v>Doctorat - Biotechnologie, microbilogie - Université Montpellier II</v>
      </c>
      <c r="K639" s="407" t="str">
        <f>D276</f>
        <v>Lead Scientist</v>
      </c>
      <c r="L639" s="349"/>
      <c r="M639" s="349"/>
      <c r="N639" s="349"/>
      <c r="O639" s="349" t="s">
        <v>770</v>
      </c>
      <c r="P639" s="349"/>
      <c r="Q639" s="349"/>
      <c r="R639" s="349"/>
      <c r="S639" s="349"/>
      <c r="T639" s="349"/>
    </row>
    <row r="640" spans="1:20" s="111" customFormat="1" ht="24.75" thickBot="1" x14ac:dyDescent="0.3">
      <c r="A640" s="111" t="s">
        <v>813</v>
      </c>
      <c r="B640" s="362">
        <f>B276</f>
        <v>4</v>
      </c>
      <c r="C640" s="404" t="str">
        <f>C276</f>
        <v>CREPIN Lucie</v>
      </c>
      <c r="D640" s="405">
        <f t="shared" ref="D640" si="1976">R276</f>
        <v>57.512199042651993</v>
      </c>
      <c r="E640" s="406">
        <f t="shared" ref="E640" si="1977">S276</f>
        <v>1531.4000000000026</v>
      </c>
      <c r="F640" s="405">
        <f t="shared" ref="F640" si="1978">T276</f>
        <v>88074.181613917404</v>
      </c>
      <c r="G640" s="413"/>
      <c r="H640" s="404" t="str">
        <f t="shared" ref="H640" si="1979">C89</f>
        <v>CREPIN</v>
      </c>
      <c r="I640" s="407" t="str">
        <f t="shared" ref="I640" si="1980">D89</f>
        <v>Lucie</v>
      </c>
      <c r="J640" s="407" t="str">
        <f>E276</f>
        <v>Doctorat - Biotechnologie, microbilogie - Université Montpellier II</v>
      </c>
      <c r="K640" s="407" t="str">
        <f>D276</f>
        <v>Lead Scientist</v>
      </c>
      <c r="L640" s="349"/>
      <c r="M640" s="349"/>
      <c r="N640" s="349"/>
      <c r="O640" s="349" t="s">
        <v>770</v>
      </c>
      <c r="P640" s="349"/>
      <c r="Q640" s="349"/>
      <c r="R640" s="349"/>
      <c r="S640" s="349"/>
      <c r="T640" s="349"/>
    </row>
    <row r="641" spans="1:20" s="111" customFormat="1" ht="24.75" thickBot="1" x14ac:dyDescent="0.3">
      <c r="A641" s="111" t="s">
        <v>813</v>
      </c>
      <c r="B641" s="362">
        <f>B276</f>
        <v>4</v>
      </c>
      <c r="C641" s="404" t="str">
        <f>C276</f>
        <v>CREPIN Lucie</v>
      </c>
      <c r="D641" s="405">
        <f t="shared" ref="D641" si="1981">R276</f>
        <v>57.512199042651993</v>
      </c>
      <c r="E641" s="406">
        <f t="shared" ref="E641" si="1982">S276</f>
        <v>1531.4000000000026</v>
      </c>
      <c r="F641" s="405">
        <f t="shared" ref="F641" si="1983">T276</f>
        <v>88074.181613917404</v>
      </c>
      <c r="G641" s="413"/>
      <c r="H641" s="404" t="str">
        <f t="shared" ref="H641" si="1984">C89</f>
        <v>CREPIN</v>
      </c>
      <c r="I641" s="407" t="str">
        <f t="shared" ref="I641" si="1985">D89</f>
        <v>Lucie</v>
      </c>
      <c r="J641" s="407" t="str">
        <f>E276</f>
        <v>Doctorat - Biotechnologie, microbilogie - Université Montpellier II</v>
      </c>
      <c r="K641" s="407" t="str">
        <f>D276</f>
        <v>Lead Scientist</v>
      </c>
      <c r="L641" s="349"/>
      <c r="M641" s="349"/>
      <c r="N641" s="349"/>
      <c r="O641" s="349" t="s">
        <v>770</v>
      </c>
      <c r="P641" s="349"/>
      <c r="Q641" s="349"/>
      <c r="R641" s="349"/>
      <c r="S641" s="349"/>
      <c r="T641" s="349"/>
    </row>
    <row r="642" spans="1:20" s="111" customFormat="1" ht="15.75" thickBot="1" x14ac:dyDescent="0.3">
      <c r="A642" s="111" t="s">
        <v>813</v>
      </c>
      <c r="B642" s="362" t="e">
        <f>B275</f>
        <v>#REF!</v>
      </c>
      <c r="C642" s="404" t="e">
        <f>C275</f>
        <v>#REF!</v>
      </c>
      <c r="D642" s="405" t="e">
        <f t="shared" ref="D642:F642" si="1986">R275</f>
        <v>#REF!</v>
      </c>
      <c r="E642" s="406" t="e">
        <f t="shared" si="1986"/>
        <v>#REF!</v>
      </c>
      <c r="F642" s="405" t="e">
        <f t="shared" si="1986"/>
        <v>#REF!</v>
      </c>
      <c r="G642" s="413"/>
      <c r="H642" s="404" t="e">
        <f t="shared" ref="H642" si="1987">C88</f>
        <v>#REF!</v>
      </c>
      <c r="I642" s="407" t="e">
        <f t="shared" ref="I642" si="1988">D88</f>
        <v>#REF!</v>
      </c>
      <c r="J642" s="407" t="e">
        <f>E275</f>
        <v>#REF!</v>
      </c>
      <c r="K642" s="407" t="e">
        <f>D275</f>
        <v>#REF!</v>
      </c>
      <c r="L642" s="349"/>
      <c r="M642" s="349"/>
      <c r="N642" s="349"/>
      <c r="O642" s="349" t="s">
        <v>770</v>
      </c>
      <c r="P642" s="349"/>
      <c r="Q642" s="349"/>
      <c r="R642" s="349"/>
      <c r="S642" s="349"/>
      <c r="T642" s="349"/>
    </row>
    <row r="643" spans="1:20" s="111" customFormat="1" ht="24.75" thickBot="1" x14ac:dyDescent="0.3">
      <c r="A643" s="111" t="s">
        <v>813</v>
      </c>
      <c r="B643" s="362">
        <f>B276</f>
        <v>4</v>
      </c>
      <c r="C643" s="404" t="str">
        <f>C276</f>
        <v>CREPIN Lucie</v>
      </c>
      <c r="D643" s="405">
        <f t="shared" ref="D643" si="1989">R276</f>
        <v>57.512199042651993</v>
      </c>
      <c r="E643" s="406">
        <f t="shared" ref="E643" si="1990">S276</f>
        <v>1531.4000000000026</v>
      </c>
      <c r="F643" s="405">
        <f t="shared" ref="F643" si="1991">T276</f>
        <v>88074.181613917404</v>
      </c>
      <c r="G643" s="413"/>
      <c r="H643" s="404" t="str">
        <f t="shared" ref="H643" si="1992">C89</f>
        <v>CREPIN</v>
      </c>
      <c r="I643" s="407" t="str">
        <f t="shared" ref="I643" si="1993">D89</f>
        <v>Lucie</v>
      </c>
      <c r="J643" s="407" t="str">
        <f>E276</f>
        <v>Doctorat - Biotechnologie, microbilogie - Université Montpellier II</v>
      </c>
      <c r="K643" s="407" t="str">
        <f>D276</f>
        <v>Lead Scientist</v>
      </c>
      <c r="L643" s="349"/>
      <c r="M643" s="349"/>
      <c r="N643" s="349"/>
      <c r="O643" s="349" t="s">
        <v>770</v>
      </c>
      <c r="P643" s="349"/>
      <c r="Q643" s="349"/>
      <c r="R643" s="349"/>
      <c r="S643" s="349"/>
      <c r="T643" s="349"/>
    </row>
    <row r="644" spans="1:20" s="111" customFormat="1" ht="24.75" thickBot="1" x14ac:dyDescent="0.3">
      <c r="A644" s="111" t="s">
        <v>813</v>
      </c>
      <c r="B644" s="362">
        <f>B276</f>
        <v>4</v>
      </c>
      <c r="C644" s="404" t="str">
        <f>C276</f>
        <v>CREPIN Lucie</v>
      </c>
      <c r="D644" s="405">
        <f t="shared" ref="D644" si="1994">R276</f>
        <v>57.512199042651993</v>
      </c>
      <c r="E644" s="406">
        <f t="shared" ref="E644" si="1995">S276</f>
        <v>1531.4000000000026</v>
      </c>
      <c r="F644" s="405">
        <f t="shared" ref="F644" si="1996">T276</f>
        <v>88074.181613917404</v>
      </c>
      <c r="G644" s="413"/>
      <c r="H644" s="404" t="str">
        <f t="shared" ref="H644" si="1997">C89</f>
        <v>CREPIN</v>
      </c>
      <c r="I644" s="407" t="str">
        <f t="shared" ref="I644" si="1998">D89</f>
        <v>Lucie</v>
      </c>
      <c r="J644" s="407" t="str">
        <f>E276</f>
        <v>Doctorat - Biotechnologie, microbilogie - Université Montpellier II</v>
      </c>
      <c r="K644" s="407" t="str">
        <f>D276</f>
        <v>Lead Scientist</v>
      </c>
      <c r="L644" s="349"/>
      <c r="M644" s="349"/>
      <c r="N644" s="349"/>
      <c r="O644" s="349" t="s">
        <v>770</v>
      </c>
      <c r="P644" s="349"/>
      <c r="Q644" s="349"/>
      <c r="R644" s="349"/>
      <c r="S644" s="349"/>
      <c r="T644" s="349"/>
    </row>
    <row r="645" spans="1:20" s="111" customFormat="1" ht="24.75" thickBot="1" x14ac:dyDescent="0.3">
      <c r="A645" s="111" t="s">
        <v>813</v>
      </c>
      <c r="B645" s="362">
        <f>B276</f>
        <v>4</v>
      </c>
      <c r="C645" s="404" t="str">
        <f>C276</f>
        <v>CREPIN Lucie</v>
      </c>
      <c r="D645" s="405">
        <f t="shared" ref="D645" si="1999">R276</f>
        <v>57.512199042651993</v>
      </c>
      <c r="E645" s="406">
        <f t="shared" ref="E645" si="2000">S276</f>
        <v>1531.4000000000026</v>
      </c>
      <c r="F645" s="405">
        <f t="shared" ref="F645" si="2001">T276</f>
        <v>88074.181613917404</v>
      </c>
      <c r="G645" s="413"/>
      <c r="H645" s="404" t="str">
        <f t="shared" ref="H645" si="2002">C89</f>
        <v>CREPIN</v>
      </c>
      <c r="I645" s="407" t="str">
        <f t="shared" ref="I645" si="2003">D89</f>
        <v>Lucie</v>
      </c>
      <c r="J645" s="407" t="str">
        <f>E276</f>
        <v>Doctorat - Biotechnologie, microbilogie - Université Montpellier II</v>
      </c>
      <c r="K645" s="407" t="str">
        <f>D276</f>
        <v>Lead Scientist</v>
      </c>
      <c r="L645" s="349"/>
      <c r="M645" s="349"/>
      <c r="N645" s="349"/>
      <c r="O645" s="349" t="s">
        <v>770</v>
      </c>
      <c r="P645" s="349"/>
      <c r="Q645" s="349"/>
      <c r="R645" s="349"/>
      <c r="S645" s="349"/>
      <c r="T645" s="349"/>
    </row>
    <row r="646" spans="1:20" s="111" customFormat="1" ht="24.75" thickBot="1" x14ac:dyDescent="0.3">
      <c r="A646" s="111" t="s">
        <v>813</v>
      </c>
      <c r="B646" s="362">
        <f>B276</f>
        <v>4</v>
      </c>
      <c r="C646" s="404" t="str">
        <f>C276</f>
        <v>CREPIN Lucie</v>
      </c>
      <c r="D646" s="405">
        <f t="shared" ref="D646" si="2004">R276</f>
        <v>57.512199042651993</v>
      </c>
      <c r="E646" s="406">
        <f t="shared" ref="E646" si="2005">S276</f>
        <v>1531.4000000000026</v>
      </c>
      <c r="F646" s="405">
        <f t="shared" ref="F646" si="2006">T276</f>
        <v>88074.181613917404</v>
      </c>
      <c r="G646" s="413"/>
      <c r="H646" s="404" t="str">
        <f t="shared" ref="H646" si="2007">C89</f>
        <v>CREPIN</v>
      </c>
      <c r="I646" s="407" t="str">
        <f t="shared" ref="I646" si="2008">D89</f>
        <v>Lucie</v>
      </c>
      <c r="J646" s="407" t="str">
        <f>E276</f>
        <v>Doctorat - Biotechnologie, microbilogie - Université Montpellier II</v>
      </c>
      <c r="K646" s="407" t="str">
        <f>D276</f>
        <v>Lead Scientist</v>
      </c>
      <c r="L646" s="349"/>
      <c r="M646" s="349"/>
      <c r="N646" s="349"/>
      <c r="O646" s="349" t="s">
        <v>770</v>
      </c>
      <c r="P646" s="349"/>
      <c r="Q646" s="349"/>
      <c r="R646" s="349"/>
      <c r="S646" s="349"/>
      <c r="T646" s="349"/>
    </row>
    <row r="647" spans="1:20" s="111" customFormat="1" ht="24.75" thickBot="1" x14ac:dyDescent="0.3">
      <c r="A647" s="111" t="s">
        <v>813</v>
      </c>
      <c r="B647" s="362">
        <f>B276</f>
        <v>4</v>
      </c>
      <c r="C647" s="404" t="str">
        <f>C276</f>
        <v>CREPIN Lucie</v>
      </c>
      <c r="D647" s="405">
        <f t="shared" ref="D647" si="2009">R276</f>
        <v>57.512199042651993</v>
      </c>
      <c r="E647" s="406">
        <f t="shared" ref="E647" si="2010">S276</f>
        <v>1531.4000000000026</v>
      </c>
      <c r="F647" s="405">
        <f t="shared" ref="F647" si="2011">T276</f>
        <v>88074.181613917404</v>
      </c>
      <c r="G647" s="413"/>
      <c r="H647" s="404" t="str">
        <f t="shared" ref="H647" si="2012">C89</f>
        <v>CREPIN</v>
      </c>
      <c r="I647" s="407" t="str">
        <f t="shared" ref="I647" si="2013">D89</f>
        <v>Lucie</v>
      </c>
      <c r="J647" s="407" t="str">
        <f>E276</f>
        <v>Doctorat - Biotechnologie, microbilogie - Université Montpellier II</v>
      </c>
      <c r="K647" s="407" t="str">
        <f>D276</f>
        <v>Lead Scientist</v>
      </c>
      <c r="L647" s="349"/>
      <c r="M647" s="349"/>
      <c r="N647" s="349"/>
      <c r="O647" s="349" t="s">
        <v>770</v>
      </c>
      <c r="P647" s="349"/>
      <c r="Q647" s="349"/>
      <c r="R647" s="349"/>
      <c r="S647" s="349"/>
      <c r="T647" s="349"/>
    </row>
    <row r="648" spans="1:20" s="111" customFormat="1" ht="24.75" thickBot="1" x14ac:dyDescent="0.3">
      <c r="A648" s="111" t="s">
        <v>813</v>
      </c>
      <c r="B648" s="362">
        <f>B276</f>
        <v>4</v>
      </c>
      <c r="C648" s="404" t="str">
        <f>C276</f>
        <v>CREPIN Lucie</v>
      </c>
      <c r="D648" s="405">
        <f t="shared" ref="D648" si="2014">R276</f>
        <v>57.512199042651993</v>
      </c>
      <c r="E648" s="406">
        <f t="shared" ref="E648" si="2015">S276</f>
        <v>1531.4000000000026</v>
      </c>
      <c r="F648" s="405">
        <f t="shared" ref="F648" si="2016">T276</f>
        <v>88074.181613917404</v>
      </c>
      <c r="G648" s="413"/>
      <c r="H648" s="404" t="str">
        <f t="shared" ref="H648" si="2017">C89</f>
        <v>CREPIN</v>
      </c>
      <c r="I648" s="407" t="str">
        <f t="shared" ref="I648" si="2018">D89</f>
        <v>Lucie</v>
      </c>
      <c r="J648" s="407" t="str">
        <f>E276</f>
        <v>Doctorat - Biotechnologie, microbilogie - Université Montpellier II</v>
      </c>
      <c r="K648" s="407" t="str">
        <f>D276</f>
        <v>Lead Scientist</v>
      </c>
      <c r="L648" s="349"/>
      <c r="M648" s="349"/>
      <c r="N648" s="349"/>
      <c r="O648" s="349" t="s">
        <v>770</v>
      </c>
      <c r="P648" s="349"/>
      <c r="Q648" s="349"/>
      <c r="R648" s="349"/>
      <c r="S648" s="349"/>
      <c r="T648" s="349"/>
    </row>
    <row r="649" spans="1:20" s="111" customFormat="1" ht="24.75" thickBot="1" x14ac:dyDescent="0.3">
      <c r="A649" s="111" t="s">
        <v>813</v>
      </c>
      <c r="B649" s="362">
        <f>B276</f>
        <v>4</v>
      </c>
      <c r="C649" s="404" t="str">
        <f>C276</f>
        <v>CREPIN Lucie</v>
      </c>
      <c r="D649" s="405">
        <f t="shared" ref="D649" si="2019">R276</f>
        <v>57.512199042651993</v>
      </c>
      <c r="E649" s="406">
        <f t="shared" ref="E649" si="2020">S276</f>
        <v>1531.4000000000026</v>
      </c>
      <c r="F649" s="405">
        <f t="shared" ref="F649" si="2021">T276</f>
        <v>88074.181613917404</v>
      </c>
      <c r="G649" s="413"/>
      <c r="H649" s="404" t="str">
        <f t="shared" ref="H649" si="2022">C89</f>
        <v>CREPIN</v>
      </c>
      <c r="I649" s="407" t="str">
        <f t="shared" ref="I649" si="2023">D89</f>
        <v>Lucie</v>
      </c>
      <c r="J649" s="407" t="str">
        <f>E276</f>
        <v>Doctorat - Biotechnologie, microbilogie - Université Montpellier II</v>
      </c>
      <c r="K649" s="407" t="str">
        <f>D276</f>
        <v>Lead Scientist</v>
      </c>
      <c r="L649" s="349"/>
      <c r="M649" s="349"/>
      <c r="N649" s="349"/>
      <c r="O649" s="349" t="s">
        <v>770</v>
      </c>
      <c r="P649" s="349"/>
      <c r="Q649" s="349"/>
      <c r="R649" s="349"/>
      <c r="S649" s="349"/>
      <c r="T649" s="349"/>
    </row>
    <row r="650" spans="1:20" s="111" customFormat="1" ht="24.75" thickBot="1" x14ac:dyDescent="0.3">
      <c r="A650" s="111" t="s">
        <v>813</v>
      </c>
      <c r="B650" s="362">
        <f>B276</f>
        <v>4</v>
      </c>
      <c r="C650" s="404" t="str">
        <f>C276</f>
        <v>CREPIN Lucie</v>
      </c>
      <c r="D650" s="405">
        <f t="shared" ref="D650" si="2024">R276</f>
        <v>57.512199042651993</v>
      </c>
      <c r="E650" s="406">
        <f t="shared" ref="E650" si="2025">S276</f>
        <v>1531.4000000000026</v>
      </c>
      <c r="F650" s="405">
        <f t="shared" ref="F650" si="2026">T276</f>
        <v>88074.181613917404</v>
      </c>
      <c r="G650" s="413"/>
      <c r="H650" s="404" t="str">
        <f t="shared" ref="H650" si="2027">C89</f>
        <v>CREPIN</v>
      </c>
      <c r="I650" s="407" t="str">
        <f t="shared" ref="I650" si="2028">D89</f>
        <v>Lucie</v>
      </c>
      <c r="J650" s="407" t="str">
        <f>E276</f>
        <v>Doctorat - Biotechnologie, microbilogie - Université Montpellier II</v>
      </c>
      <c r="K650" s="407" t="str">
        <f>D276</f>
        <v>Lead Scientist</v>
      </c>
      <c r="L650" s="349"/>
      <c r="M650" s="349"/>
      <c r="N650" s="349"/>
      <c r="O650" s="349" t="s">
        <v>770</v>
      </c>
      <c r="P650" s="349"/>
      <c r="Q650" s="349"/>
      <c r="R650" s="349"/>
      <c r="S650" s="349"/>
      <c r="T650" s="349"/>
    </row>
    <row r="651" spans="1:20" s="111" customFormat="1" ht="24.75" thickBot="1" x14ac:dyDescent="0.3">
      <c r="A651" s="111" t="s">
        <v>813</v>
      </c>
      <c r="B651" s="362">
        <f>B276</f>
        <v>4</v>
      </c>
      <c r="C651" s="404" t="str">
        <f>C276</f>
        <v>CREPIN Lucie</v>
      </c>
      <c r="D651" s="405">
        <f t="shared" ref="D651" si="2029">R276</f>
        <v>57.512199042651993</v>
      </c>
      <c r="E651" s="406">
        <f t="shared" ref="E651" si="2030">S276</f>
        <v>1531.4000000000026</v>
      </c>
      <c r="F651" s="405">
        <f t="shared" ref="F651" si="2031">T276</f>
        <v>88074.181613917404</v>
      </c>
      <c r="G651" s="413"/>
      <c r="H651" s="404" t="str">
        <f t="shared" ref="H651" si="2032">C89</f>
        <v>CREPIN</v>
      </c>
      <c r="I651" s="407" t="str">
        <f t="shared" ref="I651" si="2033">D89</f>
        <v>Lucie</v>
      </c>
      <c r="J651" s="407" t="str">
        <f>E276</f>
        <v>Doctorat - Biotechnologie, microbilogie - Université Montpellier II</v>
      </c>
      <c r="K651" s="407" t="str">
        <f>D276</f>
        <v>Lead Scientist</v>
      </c>
      <c r="L651" s="349"/>
      <c r="M651" s="349"/>
      <c r="N651" s="349"/>
      <c r="O651" s="349" t="s">
        <v>770</v>
      </c>
      <c r="P651" s="349"/>
      <c r="Q651" s="349"/>
      <c r="R651" s="349"/>
      <c r="S651" s="349"/>
      <c r="T651" s="349"/>
    </row>
    <row r="652" spans="1:20" s="111" customFormat="1" ht="24.75" thickBot="1" x14ac:dyDescent="0.3">
      <c r="A652" s="111" t="s">
        <v>813</v>
      </c>
      <c r="B652" s="362">
        <f>B276</f>
        <v>4</v>
      </c>
      <c r="C652" s="404" t="str">
        <f>C276</f>
        <v>CREPIN Lucie</v>
      </c>
      <c r="D652" s="405">
        <f t="shared" ref="D652" si="2034">R276</f>
        <v>57.512199042651993</v>
      </c>
      <c r="E652" s="406">
        <f t="shared" ref="E652" si="2035">S276</f>
        <v>1531.4000000000026</v>
      </c>
      <c r="F652" s="405">
        <f t="shared" ref="F652" si="2036">T276</f>
        <v>88074.181613917404</v>
      </c>
      <c r="G652" s="413"/>
      <c r="H652" s="404" t="str">
        <f t="shared" ref="H652" si="2037">C89</f>
        <v>CREPIN</v>
      </c>
      <c r="I652" s="407" t="str">
        <f t="shared" ref="I652" si="2038">D89</f>
        <v>Lucie</v>
      </c>
      <c r="J652" s="407" t="str">
        <f>E276</f>
        <v>Doctorat - Biotechnologie, microbilogie - Université Montpellier II</v>
      </c>
      <c r="K652" s="407" t="str">
        <f>D276</f>
        <v>Lead Scientist</v>
      </c>
      <c r="L652" s="349"/>
      <c r="M652" s="349"/>
      <c r="N652" s="349"/>
      <c r="O652" s="349" t="s">
        <v>770</v>
      </c>
      <c r="P652" s="349"/>
      <c r="Q652" s="349"/>
      <c r="R652" s="349"/>
      <c r="S652" s="349"/>
      <c r="T652" s="349"/>
    </row>
    <row r="653" spans="1:20" s="111" customFormat="1" ht="24.75" thickBot="1" x14ac:dyDescent="0.3">
      <c r="A653" s="111" t="s">
        <v>813</v>
      </c>
      <c r="B653" s="362">
        <f>B276</f>
        <v>4</v>
      </c>
      <c r="C653" s="404" t="str">
        <f>C276</f>
        <v>CREPIN Lucie</v>
      </c>
      <c r="D653" s="405">
        <f t="shared" ref="D653" si="2039">R276</f>
        <v>57.512199042651993</v>
      </c>
      <c r="E653" s="406">
        <f t="shared" ref="E653" si="2040">S276</f>
        <v>1531.4000000000026</v>
      </c>
      <c r="F653" s="405">
        <f t="shared" ref="F653" si="2041">T276</f>
        <v>88074.181613917404</v>
      </c>
      <c r="G653" s="413"/>
      <c r="H653" s="404" t="str">
        <f t="shared" ref="H653" si="2042">C89</f>
        <v>CREPIN</v>
      </c>
      <c r="I653" s="407" t="str">
        <f t="shared" ref="I653" si="2043">D89</f>
        <v>Lucie</v>
      </c>
      <c r="J653" s="407" t="str">
        <f>E276</f>
        <v>Doctorat - Biotechnologie, microbilogie - Université Montpellier II</v>
      </c>
      <c r="K653" s="407" t="str">
        <f>D276</f>
        <v>Lead Scientist</v>
      </c>
      <c r="L653" s="349"/>
      <c r="M653" s="349"/>
      <c r="N653" s="349"/>
      <c r="O653" s="349" t="s">
        <v>770</v>
      </c>
      <c r="P653" s="349"/>
      <c r="Q653" s="349"/>
      <c r="R653" s="349"/>
      <c r="S653" s="349"/>
      <c r="T653" s="349"/>
    </row>
    <row r="654" spans="1:20" s="111" customFormat="1" ht="24.75" thickBot="1" x14ac:dyDescent="0.3">
      <c r="A654" s="111" t="s">
        <v>813</v>
      </c>
      <c r="B654" s="362">
        <f>B276</f>
        <v>4</v>
      </c>
      <c r="C654" s="404" t="str">
        <f>C276</f>
        <v>CREPIN Lucie</v>
      </c>
      <c r="D654" s="405">
        <f t="shared" ref="D654" si="2044">R276</f>
        <v>57.512199042651993</v>
      </c>
      <c r="E654" s="406">
        <f t="shared" ref="E654" si="2045">S276</f>
        <v>1531.4000000000026</v>
      </c>
      <c r="F654" s="405">
        <f t="shared" ref="F654" si="2046">T276</f>
        <v>88074.181613917404</v>
      </c>
      <c r="G654" s="413"/>
      <c r="H654" s="404" t="str">
        <f t="shared" ref="H654" si="2047">C89</f>
        <v>CREPIN</v>
      </c>
      <c r="I654" s="407" t="str">
        <f t="shared" ref="I654" si="2048">D89</f>
        <v>Lucie</v>
      </c>
      <c r="J654" s="407" t="str">
        <f>E276</f>
        <v>Doctorat - Biotechnologie, microbilogie - Université Montpellier II</v>
      </c>
      <c r="K654" s="407" t="str">
        <f>D276</f>
        <v>Lead Scientist</v>
      </c>
      <c r="L654" s="349"/>
      <c r="M654" s="349"/>
      <c r="N654" s="349"/>
      <c r="O654" s="349" t="s">
        <v>770</v>
      </c>
      <c r="P654" s="349"/>
      <c r="Q654" s="349"/>
      <c r="R654" s="349"/>
      <c r="S654" s="349"/>
      <c r="T654" s="349"/>
    </row>
    <row r="655" spans="1:20" s="111" customFormat="1" ht="24.75" thickBot="1" x14ac:dyDescent="0.3">
      <c r="A655" s="111" t="s">
        <v>813</v>
      </c>
      <c r="B655" s="362">
        <f>B276</f>
        <v>4</v>
      </c>
      <c r="C655" s="404" t="str">
        <f>C276</f>
        <v>CREPIN Lucie</v>
      </c>
      <c r="D655" s="405">
        <f t="shared" ref="D655" si="2049">R276</f>
        <v>57.512199042651993</v>
      </c>
      <c r="E655" s="406">
        <f t="shared" ref="E655" si="2050">S276</f>
        <v>1531.4000000000026</v>
      </c>
      <c r="F655" s="405">
        <f t="shared" ref="F655" si="2051">T276</f>
        <v>88074.181613917404</v>
      </c>
      <c r="G655" s="413"/>
      <c r="H655" s="404" t="str">
        <f t="shared" ref="H655" si="2052">C89</f>
        <v>CREPIN</v>
      </c>
      <c r="I655" s="407" t="str">
        <f t="shared" ref="I655" si="2053">D89</f>
        <v>Lucie</v>
      </c>
      <c r="J655" s="407" t="str">
        <f>E276</f>
        <v>Doctorat - Biotechnologie, microbilogie - Université Montpellier II</v>
      </c>
      <c r="K655" s="407" t="str">
        <f>D276</f>
        <v>Lead Scientist</v>
      </c>
      <c r="L655" s="349"/>
      <c r="M655" s="349"/>
      <c r="N655" s="349"/>
      <c r="O655" s="349" t="s">
        <v>770</v>
      </c>
      <c r="P655" s="349"/>
      <c r="Q655" s="349"/>
      <c r="R655" s="349"/>
      <c r="S655" s="349"/>
      <c r="T655" s="349"/>
    </row>
    <row r="656" spans="1:20" s="111" customFormat="1" ht="24.75" thickBot="1" x14ac:dyDescent="0.3">
      <c r="A656" s="111" t="s">
        <v>813</v>
      </c>
      <c r="B656" s="362">
        <f>B276</f>
        <v>4</v>
      </c>
      <c r="C656" s="404" t="str">
        <f>C276</f>
        <v>CREPIN Lucie</v>
      </c>
      <c r="D656" s="405">
        <f t="shared" ref="D656" si="2054">R276</f>
        <v>57.512199042651993</v>
      </c>
      <c r="E656" s="406">
        <f t="shared" ref="E656" si="2055">S276</f>
        <v>1531.4000000000026</v>
      </c>
      <c r="F656" s="405">
        <f t="shared" ref="F656" si="2056">T276</f>
        <v>88074.181613917404</v>
      </c>
      <c r="G656" s="413"/>
      <c r="H656" s="404" t="str">
        <f t="shared" ref="H656" si="2057">C89</f>
        <v>CREPIN</v>
      </c>
      <c r="I656" s="407" t="str">
        <f t="shared" ref="I656" si="2058">D89</f>
        <v>Lucie</v>
      </c>
      <c r="J656" s="407" t="str">
        <f>E276</f>
        <v>Doctorat - Biotechnologie, microbilogie - Université Montpellier II</v>
      </c>
      <c r="K656" s="407" t="str">
        <f>D276</f>
        <v>Lead Scientist</v>
      </c>
      <c r="L656" s="349"/>
      <c r="M656" s="349"/>
      <c r="N656" s="349"/>
      <c r="O656" s="349" t="s">
        <v>770</v>
      </c>
      <c r="P656" s="349"/>
      <c r="Q656" s="349"/>
      <c r="R656" s="349"/>
      <c r="S656" s="349"/>
      <c r="T656" s="349"/>
    </row>
    <row r="657" spans="1:20" s="111" customFormat="1" ht="24.75" thickBot="1" x14ac:dyDescent="0.3">
      <c r="A657" s="111" t="s">
        <v>813</v>
      </c>
      <c r="B657" s="362">
        <f>B276</f>
        <v>4</v>
      </c>
      <c r="C657" s="404" t="str">
        <f>C276</f>
        <v>CREPIN Lucie</v>
      </c>
      <c r="D657" s="405">
        <f t="shared" ref="D657" si="2059">R276</f>
        <v>57.512199042651993</v>
      </c>
      <c r="E657" s="406">
        <f t="shared" ref="E657" si="2060">S276</f>
        <v>1531.4000000000026</v>
      </c>
      <c r="F657" s="405">
        <f t="shared" ref="F657" si="2061">T276</f>
        <v>88074.181613917404</v>
      </c>
      <c r="G657" s="413"/>
      <c r="H657" s="404" t="str">
        <f t="shared" ref="H657" si="2062">C89</f>
        <v>CREPIN</v>
      </c>
      <c r="I657" s="407" t="str">
        <f t="shared" ref="I657" si="2063">D89</f>
        <v>Lucie</v>
      </c>
      <c r="J657" s="407" t="str">
        <f>E276</f>
        <v>Doctorat - Biotechnologie, microbilogie - Université Montpellier II</v>
      </c>
      <c r="K657" s="407" t="str">
        <f>D276</f>
        <v>Lead Scientist</v>
      </c>
      <c r="L657" s="349"/>
      <c r="M657" s="349"/>
      <c r="N657" s="349"/>
      <c r="O657" s="349" t="s">
        <v>770</v>
      </c>
      <c r="P657" s="349"/>
      <c r="Q657" s="349"/>
      <c r="R657" s="349"/>
      <c r="S657" s="349"/>
      <c r="T657" s="349"/>
    </row>
    <row r="658" spans="1:20" s="111" customFormat="1" ht="24.75" thickBot="1" x14ac:dyDescent="0.3">
      <c r="A658" s="111" t="s">
        <v>813</v>
      </c>
      <c r="B658" s="362">
        <f>B276</f>
        <v>4</v>
      </c>
      <c r="C658" s="404" t="str">
        <f>C276</f>
        <v>CREPIN Lucie</v>
      </c>
      <c r="D658" s="405">
        <f t="shared" ref="D658" si="2064">R276</f>
        <v>57.512199042651993</v>
      </c>
      <c r="E658" s="406">
        <f t="shared" ref="E658" si="2065">S276</f>
        <v>1531.4000000000026</v>
      </c>
      <c r="F658" s="405">
        <f t="shared" ref="F658" si="2066">T276</f>
        <v>88074.181613917404</v>
      </c>
      <c r="G658" s="413"/>
      <c r="H658" s="404" t="str">
        <f t="shared" ref="H658" si="2067">C89</f>
        <v>CREPIN</v>
      </c>
      <c r="I658" s="407" t="str">
        <f t="shared" ref="I658" si="2068">D89</f>
        <v>Lucie</v>
      </c>
      <c r="J658" s="407" t="str">
        <f>E276</f>
        <v>Doctorat - Biotechnologie, microbilogie - Université Montpellier II</v>
      </c>
      <c r="K658" s="407" t="str">
        <f>D276</f>
        <v>Lead Scientist</v>
      </c>
      <c r="L658" s="349"/>
      <c r="M658" s="349"/>
      <c r="N658" s="349"/>
      <c r="O658" s="349" t="s">
        <v>770</v>
      </c>
      <c r="P658" s="349"/>
      <c r="Q658" s="349"/>
      <c r="R658" s="349"/>
      <c r="S658" s="349"/>
      <c r="T658" s="349"/>
    </row>
    <row r="659" spans="1:20" s="111" customFormat="1" ht="24.75" thickBot="1" x14ac:dyDescent="0.3">
      <c r="A659" s="111" t="s">
        <v>813</v>
      </c>
      <c r="B659" s="362">
        <f>B276</f>
        <v>4</v>
      </c>
      <c r="C659" s="404" t="str">
        <f>C276</f>
        <v>CREPIN Lucie</v>
      </c>
      <c r="D659" s="405">
        <f t="shared" ref="D659" si="2069">R276</f>
        <v>57.512199042651993</v>
      </c>
      <c r="E659" s="406">
        <f t="shared" ref="E659" si="2070">S276</f>
        <v>1531.4000000000026</v>
      </c>
      <c r="F659" s="405">
        <f t="shared" ref="F659" si="2071">T276</f>
        <v>88074.181613917404</v>
      </c>
      <c r="G659" s="413"/>
      <c r="H659" s="404" t="str">
        <f t="shared" ref="H659" si="2072">C89</f>
        <v>CREPIN</v>
      </c>
      <c r="I659" s="407" t="str">
        <f t="shared" ref="I659" si="2073">D89</f>
        <v>Lucie</v>
      </c>
      <c r="J659" s="407" t="str">
        <f>E276</f>
        <v>Doctorat - Biotechnologie, microbilogie - Université Montpellier II</v>
      </c>
      <c r="K659" s="407" t="str">
        <f>D276</f>
        <v>Lead Scientist</v>
      </c>
      <c r="L659" s="349"/>
      <c r="M659" s="349"/>
      <c r="N659" s="349"/>
      <c r="O659" s="349" t="s">
        <v>770</v>
      </c>
      <c r="P659" s="349"/>
      <c r="Q659" s="349"/>
      <c r="R659" s="349"/>
      <c r="S659" s="349"/>
      <c r="T659" s="349"/>
    </row>
    <row r="660" spans="1:20" s="111" customFormat="1" ht="24.75" thickBot="1" x14ac:dyDescent="0.3">
      <c r="A660" s="111" t="s">
        <v>813</v>
      </c>
      <c r="B660" s="362">
        <f>B276</f>
        <v>4</v>
      </c>
      <c r="C660" s="404" t="str">
        <f>C276</f>
        <v>CREPIN Lucie</v>
      </c>
      <c r="D660" s="405">
        <f t="shared" ref="D660" si="2074">R276</f>
        <v>57.512199042651993</v>
      </c>
      <c r="E660" s="406">
        <f t="shared" ref="E660" si="2075">S276</f>
        <v>1531.4000000000026</v>
      </c>
      <c r="F660" s="405">
        <f t="shared" ref="F660" si="2076">T276</f>
        <v>88074.181613917404</v>
      </c>
      <c r="G660" s="413"/>
      <c r="H660" s="404" t="str">
        <f t="shared" ref="H660" si="2077">C89</f>
        <v>CREPIN</v>
      </c>
      <c r="I660" s="407" t="str">
        <f t="shared" ref="I660" si="2078">D89</f>
        <v>Lucie</v>
      </c>
      <c r="J660" s="407" t="str">
        <f>E276</f>
        <v>Doctorat - Biotechnologie, microbilogie - Université Montpellier II</v>
      </c>
      <c r="K660" s="407" t="str">
        <f>D276</f>
        <v>Lead Scientist</v>
      </c>
      <c r="L660" s="349"/>
      <c r="M660" s="349"/>
      <c r="N660" s="349"/>
      <c r="O660" s="349" t="s">
        <v>770</v>
      </c>
      <c r="P660" s="349"/>
      <c r="Q660" s="349"/>
      <c r="R660" s="349"/>
      <c r="S660" s="349"/>
      <c r="T660" s="349"/>
    </row>
    <row r="661" spans="1:20" s="111" customFormat="1" ht="24.75" thickBot="1" x14ac:dyDescent="0.3">
      <c r="A661" s="111" t="s">
        <v>813</v>
      </c>
      <c r="B661" s="362">
        <f>B276</f>
        <v>4</v>
      </c>
      <c r="C661" s="404" t="str">
        <f>C276</f>
        <v>CREPIN Lucie</v>
      </c>
      <c r="D661" s="405">
        <f t="shared" ref="D661" si="2079">R276</f>
        <v>57.512199042651993</v>
      </c>
      <c r="E661" s="406">
        <f t="shared" ref="E661" si="2080">S276</f>
        <v>1531.4000000000026</v>
      </c>
      <c r="F661" s="405">
        <f t="shared" ref="F661" si="2081">T276</f>
        <v>88074.181613917404</v>
      </c>
      <c r="G661" s="413"/>
      <c r="H661" s="404" t="str">
        <f t="shared" ref="H661" si="2082">C89</f>
        <v>CREPIN</v>
      </c>
      <c r="I661" s="407" t="str">
        <f t="shared" ref="I661" si="2083">D89</f>
        <v>Lucie</v>
      </c>
      <c r="J661" s="407" t="str">
        <f>E276</f>
        <v>Doctorat - Biotechnologie, microbilogie - Université Montpellier II</v>
      </c>
      <c r="K661" s="407" t="str">
        <f>D276</f>
        <v>Lead Scientist</v>
      </c>
      <c r="L661" s="349"/>
      <c r="M661" s="349"/>
      <c r="N661" s="349"/>
      <c r="O661" s="349" t="s">
        <v>770</v>
      </c>
      <c r="P661" s="349"/>
      <c r="Q661" s="349"/>
      <c r="R661" s="349"/>
      <c r="S661" s="349"/>
      <c r="T661" s="349"/>
    </row>
    <row r="662" spans="1:20" s="111" customFormat="1" ht="24.75" thickBot="1" x14ac:dyDescent="0.3">
      <c r="A662" s="111" t="s">
        <v>813</v>
      </c>
      <c r="B662" s="362">
        <f>B276</f>
        <v>4</v>
      </c>
      <c r="C662" s="404" t="str">
        <f>C276</f>
        <v>CREPIN Lucie</v>
      </c>
      <c r="D662" s="405">
        <f t="shared" ref="D662" si="2084">R276</f>
        <v>57.512199042651993</v>
      </c>
      <c r="E662" s="406">
        <f t="shared" ref="E662" si="2085">S276</f>
        <v>1531.4000000000026</v>
      </c>
      <c r="F662" s="405">
        <f t="shared" ref="F662" si="2086">T276</f>
        <v>88074.181613917404</v>
      </c>
      <c r="G662" s="413"/>
      <c r="H662" s="404" t="str">
        <f t="shared" ref="H662" si="2087">C89</f>
        <v>CREPIN</v>
      </c>
      <c r="I662" s="407" t="str">
        <f t="shared" ref="I662" si="2088">D89</f>
        <v>Lucie</v>
      </c>
      <c r="J662" s="407" t="str">
        <f>E276</f>
        <v>Doctorat - Biotechnologie, microbilogie - Université Montpellier II</v>
      </c>
      <c r="K662" s="407" t="str">
        <f>D276</f>
        <v>Lead Scientist</v>
      </c>
      <c r="L662" s="349"/>
      <c r="M662" s="349"/>
      <c r="N662" s="349"/>
      <c r="O662" s="349" t="s">
        <v>770</v>
      </c>
      <c r="P662" s="349"/>
      <c r="Q662" s="349"/>
      <c r="R662" s="349"/>
      <c r="S662" s="349"/>
      <c r="T662" s="349"/>
    </row>
    <row r="663" spans="1:20" s="111" customFormat="1" ht="24.75" thickBot="1" x14ac:dyDescent="0.3">
      <c r="A663" s="111" t="s">
        <v>813</v>
      </c>
      <c r="B663" s="362">
        <f>B276</f>
        <v>4</v>
      </c>
      <c r="C663" s="404" t="str">
        <f>C276</f>
        <v>CREPIN Lucie</v>
      </c>
      <c r="D663" s="405">
        <f t="shared" ref="D663" si="2089">R276</f>
        <v>57.512199042651993</v>
      </c>
      <c r="E663" s="406">
        <f t="shared" ref="E663" si="2090">S276</f>
        <v>1531.4000000000026</v>
      </c>
      <c r="F663" s="405">
        <f t="shared" ref="F663" si="2091">T276</f>
        <v>88074.181613917404</v>
      </c>
      <c r="G663" s="413"/>
      <c r="H663" s="404" t="str">
        <f t="shared" ref="H663" si="2092">C89</f>
        <v>CREPIN</v>
      </c>
      <c r="I663" s="407" t="str">
        <f t="shared" ref="I663" si="2093">D89</f>
        <v>Lucie</v>
      </c>
      <c r="J663" s="407" t="str">
        <f>E276</f>
        <v>Doctorat - Biotechnologie, microbilogie - Université Montpellier II</v>
      </c>
      <c r="K663" s="407" t="str">
        <f>D276</f>
        <v>Lead Scientist</v>
      </c>
      <c r="L663" s="349"/>
      <c r="M663" s="349"/>
      <c r="N663" s="349"/>
      <c r="O663" s="349" t="s">
        <v>770</v>
      </c>
      <c r="P663" s="349"/>
      <c r="Q663" s="349"/>
      <c r="R663" s="349"/>
      <c r="S663" s="349"/>
      <c r="T663" s="349"/>
    </row>
    <row r="664" spans="1:20" s="111" customFormat="1" ht="24.75" thickBot="1" x14ac:dyDescent="0.3">
      <c r="A664" s="111" t="s">
        <v>813</v>
      </c>
      <c r="B664" s="362">
        <f>B276</f>
        <v>4</v>
      </c>
      <c r="C664" s="404" t="str">
        <f>C276</f>
        <v>CREPIN Lucie</v>
      </c>
      <c r="D664" s="405">
        <f t="shared" ref="D664" si="2094">R276</f>
        <v>57.512199042651993</v>
      </c>
      <c r="E664" s="406">
        <f t="shared" ref="E664" si="2095">S276</f>
        <v>1531.4000000000026</v>
      </c>
      <c r="F664" s="405">
        <f t="shared" ref="F664" si="2096">T276</f>
        <v>88074.181613917404</v>
      </c>
      <c r="G664" s="413"/>
      <c r="H664" s="404" t="str">
        <f t="shared" ref="H664" si="2097">C89</f>
        <v>CREPIN</v>
      </c>
      <c r="I664" s="407" t="str">
        <f t="shared" ref="I664" si="2098">D89</f>
        <v>Lucie</v>
      </c>
      <c r="J664" s="407" t="str">
        <f>E276</f>
        <v>Doctorat - Biotechnologie, microbilogie - Université Montpellier II</v>
      </c>
      <c r="K664" s="407" t="str">
        <f>D276</f>
        <v>Lead Scientist</v>
      </c>
      <c r="L664" s="349"/>
      <c r="M664" s="349"/>
      <c r="N664" s="349"/>
      <c r="O664" s="349" t="s">
        <v>770</v>
      </c>
      <c r="P664" s="349"/>
      <c r="Q664" s="349"/>
      <c r="R664" s="349"/>
      <c r="S664" s="349"/>
      <c r="T664" s="349"/>
    </row>
    <row r="665" spans="1:20" s="111" customFormat="1" ht="24.75" thickBot="1" x14ac:dyDescent="0.3">
      <c r="A665" s="111" t="s">
        <v>813</v>
      </c>
      <c r="B665" s="362">
        <f>B276</f>
        <v>4</v>
      </c>
      <c r="C665" s="404" t="str">
        <f>C276</f>
        <v>CREPIN Lucie</v>
      </c>
      <c r="D665" s="405">
        <f t="shared" ref="D665" si="2099">R276</f>
        <v>57.512199042651993</v>
      </c>
      <c r="E665" s="406">
        <f t="shared" ref="E665" si="2100">S276</f>
        <v>1531.4000000000026</v>
      </c>
      <c r="F665" s="405">
        <f t="shared" ref="F665" si="2101">T276</f>
        <v>88074.181613917404</v>
      </c>
      <c r="G665" s="413"/>
      <c r="H665" s="404" t="str">
        <f t="shared" ref="H665" si="2102">C89</f>
        <v>CREPIN</v>
      </c>
      <c r="I665" s="407" t="str">
        <f t="shared" ref="I665" si="2103">D89</f>
        <v>Lucie</v>
      </c>
      <c r="J665" s="407" t="str">
        <f>E276</f>
        <v>Doctorat - Biotechnologie, microbilogie - Université Montpellier II</v>
      </c>
      <c r="K665" s="407" t="str">
        <f>D276</f>
        <v>Lead Scientist</v>
      </c>
      <c r="L665" s="349"/>
      <c r="M665" s="349"/>
      <c r="N665" s="349"/>
      <c r="O665" s="349" t="s">
        <v>770</v>
      </c>
      <c r="P665" s="349"/>
      <c r="Q665" s="349"/>
      <c r="R665" s="349"/>
      <c r="S665" s="349"/>
      <c r="T665" s="349"/>
    </row>
    <row r="666" spans="1:20" s="111" customFormat="1" ht="24.75" thickBot="1" x14ac:dyDescent="0.3">
      <c r="A666" s="111" t="s">
        <v>813</v>
      </c>
      <c r="B666" s="362">
        <f>B276</f>
        <v>4</v>
      </c>
      <c r="C666" s="404" t="str">
        <f>C276</f>
        <v>CREPIN Lucie</v>
      </c>
      <c r="D666" s="405">
        <f t="shared" ref="D666" si="2104">R276</f>
        <v>57.512199042651993</v>
      </c>
      <c r="E666" s="406">
        <f t="shared" ref="E666" si="2105">S276</f>
        <v>1531.4000000000026</v>
      </c>
      <c r="F666" s="405">
        <f t="shared" ref="F666" si="2106">T276</f>
        <v>88074.181613917404</v>
      </c>
      <c r="G666" s="413"/>
      <c r="H666" s="404" t="str">
        <f t="shared" ref="H666" si="2107">C89</f>
        <v>CREPIN</v>
      </c>
      <c r="I666" s="407" t="str">
        <f t="shared" ref="I666" si="2108">D89</f>
        <v>Lucie</v>
      </c>
      <c r="J666" s="407" t="str">
        <f>E276</f>
        <v>Doctorat - Biotechnologie, microbilogie - Université Montpellier II</v>
      </c>
      <c r="K666" s="407" t="str">
        <f>D276</f>
        <v>Lead Scientist</v>
      </c>
      <c r="L666" s="349"/>
      <c r="M666" s="349"/>
      <c r="N666" s="349"/>
      <c r="O666" s="349" t="s">
        <v>770</v>
      </c>
      <c r="P666" s="349"/>
      <c r="Q666" s="349"/>
      <c r="R666" s="349"/>
      <c r="S666" s="349"/>
      <c r="T666" s="349"/>
    </row>
    <row r="667" spans="1:20" s="111" customFormat="1" ht="24.75" thickBot="1" x14ac:dyDescent="0.3">
      <c r="A667" s="111" t="s">
        <v>813</v>
      </c>
      <c r="B667" s="362">
        <f>B276</f>
        <v>4</v>
      </c>
      <c r="C667" s="404" t="str">
        <f>C276</f>
        <v>CREPIN Lucie</v>
      </c>
      <c r="D667" s="405">
        <f t="shared" ref="D667" si="2109">R276</f>
        <v>57.512199042651993</v>
      </c>
      <c r="E667" s="406">
        <f t="shared" ref="E667" si="2110">S276</f>
        <v>1531.4000000000026</v>
      </c>
      <c r="F667" s="405">
        <f t="shared" ref="F667" si="2111">T276</f>
        <v>88074.181613917404</v>
      </c>
      <c r="G667" s="413"/>
      <c r="H667" s="404" t="str">
        <f t="shared" ref="H667" si="2112">C89</f>
        <v>CREPIN</v>
      </c>
      <c r="I667" s="407" t="str">
        <f t="shared" ref="I667" si="2113">D89</f>
        <v>Lucie</v>
      </c>
      <c r="J667" s="407" t="str">
        <f>E276</f>
        <v>Doctorat - Biotechnologie, microbilogie - Université Montpellier II</v>
      </c>
      <c r="K667" s="407" t="str">
        <f>D276</f>
        <v>Lead Scientist</v>
      </c>
      <c r="L667" s="349"/>
      <c r="M667" s="349"/>
      <c r="N667" s="349"/>
      <c r="O667" s="349" t="s">
        <v>770</v>
      </c>
      <c r="P667" s="349"/>
      <c r="Q667" s="349"/>
      <c r="R667" s="349"/>
      <c r="S667" s="349"/>
      <c r="T667" s="349"/>
    </row>
    <row r="668" spans="1:20" s="111" customFormat="1" ht="24.75" thickBot="1" x14ac:dyDescent="0.3">
      <c r="A668" s="111" t="s">
        <v>813</v>
      </c>
      <c r="B668" s="362">
        <f>B276</f>
        <v>4</v>
      </c>
      <c r="C668" s="404" t="str">
        <f>C276</f>
        <v>CREPIN Lucie</v>
      </c>
      <c r="D668" s="405">
        <f t="shared" ref="D668" si="2114">R276</f>
        <v>57.512199042651993</v>
      </c>
      <c r="E668" s="406">
        <f t="shared" ref="E668" si="2115">S276</f>
        <v>1531.4000000000026</v>
      </c>
      <c r="F668" s="405">
        <f t="shared" ref="F668" si="2116">T276</f>
        <v>88074.181613917404</v>
      </c>
      <c r="G668" s="413"/>
      <c r="H668" s="404" t="str">
        <f t="shared" ref="H668" si="2117">C89</f>
        <v>CREPIN</v>
      </c>
      <c r="I668" s="407" t="str">
        <f t="shared" ref="I668" si="2118">D89</f>
        <v>Lucie</v>
      </c>
      <c r="J668" s="407" t="str">
        <f>E276</f>
        <v>Doctorat - Biotechnologie, microbilogie - Université Montpellier II</v>
      </c>
      <c r="K668" s="407" t="str">
        <f>D276</f>
        <v>Lead Scientist</v>
      </c>
      <c r="L668" s="349"/>
      <c r="M668" s="349"/>
      <c r="N668" s="349"/>
      <c r="O668" s="349" t="s">
        <v>770</v>
      </c>
      <c r="P668" s="349"/>
      <c r="Q668" s="349"/>
      <c r="R668" s="349"/>
      <c r="S668" s="349"/>
      <c r="T668" s="349"/>
    </row>
    <row r="669" spans="1:20" s="111" customFormat="1" ht="24.75" thickBot="1" x14ac:dyDescent="0.3">
      <c r="A669" s="111" t="s">
        <v>813</v>
      </c>
      <c r="B669" s="362">
        <f>B276</f>
        <v>4</v>
      </c>
      <c r="C669" s="404" t="str">
        <f>C276</f>
        <v>CREPIN Lucie</v>
      </c>
      <c r="D669" s="405">
        <f t="shared" ref="D669" si="2119">R276</f>
        <v>57.512199042651993</v>
      </c>
      <c r="E669" s="406">
        <f t="shared" ref="E669" si="2120">S276</f>
        <v>1531.4000000000026</v>
      </c>
      <c r="F669" s="405">
        <f t="shared" ref="F669" si="2121">T276</f>
        <v>88074.181613917404</v>
      </c>
      <c r="G669" s="413"/>
      <c r="H669" s="404" t="str">
        <f t="shared" ref="H669" si="2122">C89</f>
        <v>CREPIN</v>
      </c>
      <c r="I669" s="407" t="str">
        <f t="shared" ref="I669" si="2123">D89</f>
        <v>Lucie</v>
      </c>
      <c r="J669" s="407" t="str">
        <f>E276</f>
        <v>Doctorat - Biotechnologie, microbilogie - Université Montpellier II</v>
      </c>
      <c r="K669" s="407" t="str">
        <f>D276</f>
        <v>Lead Scientist</v>
      </c>
      <c r="L669" s="349"/>
      <c r="M669" s="349"/>
      <c r="N669" s="349"/>
      <c r="O669" s="349" t="s">
        <v>770</v>
      </c>
      <c r="P669" s="349"/>
      <c r="Q669" s="349"/>
      <c r="R669" s="349"/>
      <c r="S669" s="349"/>
      <c r="T669" s="349"/>
    </row>
    <row r="670" spans="1:20" s="111" customFormat="1" ht="24.75" thickBot="1" x14ac:dyDescent="0.3">
      <c r="A670" s="111" t="s">
        <v>813</v>
      </c>
      <c r="B670" s="362">
        <f>B276</f>
        <v>4</v>
      </c>
      <c r="C670" s="404" t="str">
        <f>C276</f>
        <v>CREPIN Lucie</v>
      </c>
      <c r="D670" s="405">
        <f t="shared" ref="D670" si="2124">R276</f>
        <v>57.512199042651993</v>
      </c>
      <c r="E670" s="406">
        <f t="shared" ref="E670" si="2125">S276</f>
        <v>1531.4000000000026</v>
      </c>
      <c r="F670" s="405">
        <f t="shared" ref="F670" si="2126">T276</f>
        <v>88074.181613917404</v>
      </c>
      <c r="G670" s="413"/>
      <c r="H670" s="404" t="str">
        <f t="shared" ref="H670" si="2127">C89</f>
        <v>CREPIN</v>
      </c>
      <c r="I670" s="407" t="str">
        <f t="shared" ref="I670" si="2128">D89</f>
        <v>Lucie</v>
      </c>
      <c r="J670" s="407" t="str">
        <f>E276</f>
        <v>Doctorat - Biotechnologie, microbilogie - Université Montpellier II</v>
      </c>
      <c r="K670" s="407" t="str">
        <f>D276</f>
        <v>Lead Scientist</v>
      </c>
      <c r="L670" s="349"/>
      <c r="M670" s="349"/>
      <c r="N670" s="349"/>
      <c r="O670" s="349" t="s">
        <v>770</v>
      </c>
      <c r="P670" s="349"/>
      <c r="Q670" s="349"/>
      <c r="R670" s="349"/>
      <c r="S670" s="349"/>
      <c r="T670" s="349"/>
    </row>
    <row r="671" spans="1:20" s="111" customFormat="1" ht="24.75" thickBot="1" x14ac:dyDescent="0.3">
      <c r="A671" s="111" t="s">
        <v>813</v>
      </c>
      <c r="B671" s="362">
        <f>B276</f>
        <v>4</v>
      </c>
      <c r="C671" s="404" t="str">
        <f>C276</f>
        <v>CREPIN Lucie</v>
      </c>
      <c r="D671" s="405">
        <f t="shared" ref="D671" si="2129">R276</f>
        <v>57.512199042651993</v>
      </c>
      <c r="E671" s="406">
        <f t="shared" ref="E671" si="2130">S276</f>
        <v>1531.4000000000026</v>
      </c>
      <c r="F671" s="405">
        <f t="shared" ref="F671" si="2131">T276</f>
        <v>88074.181613917404</v>
      </c>
      <c r="G671" s="413"/>
      <c r="H671" s="404" t="str">
        <f t="shared" ref="H671" si="2132">C89</f>
        <v>CREPIN</v>
      </c>
      <c r="I671" s="407" t="str">
        <f t="shared" ref="I671" si="2133">D89</f>
        <v>Lucie</v>
      </c>
      <c r="J671" s="407" t="str">
        <f>E276</f>
        <v>Doctorat - Biotechnologie, microbilogie - Université Montpellier II</v>
      </c>
      <c r="K671" s="407" t="str">
        <f>D276</f>
        <v>Lead Scientist</v>
      </c>
      <c r="L671" s="349"/>
      <c r="M671" s="349"/>
      <c r="N671" s="349"/>
      <c r="O671" s="349" t="s">
        <v>770</v>
      </c>
      <c r="P671" s="349"/>
      <c r="Q671" s="349"/>
      <c r="R671" s="349"/>
      <c r="S671" s="349"/>
      <c r="T671" s="349"/>
    </row>
    <row r="672" spans="1:20" s="111" customFormat="1" ht="24.75" thickBot="1" x14ac:dyDescent="0.3">
      <c r="A672" s="111" t="s">
        <v>813</v>
      </c>
      <c r="B672" s="362">
        <f>B276</f>
        <v>4</v>
      </c>
      <c r="C672" s="404" t="str">
        <f>C276</f>
        <v>CREPIN Lucie</v>
      </c>
      <c r="D672" s="405">
        <f t="shared" ref="D672" si="2134">R276</f>
        <v>57.512199042651993</v>
      </c>
      <c r="E672" s="406">
        <f t="shared" ref="E672" si="2135">S276</f>
        <v>1531.4000000000026</v>
      </c>
      <c r="F672" s="405">
        <f t="shared" ref="F672" si="2136">T276</f>
        <v>88074.181613917404</v>
      </c>
      <c r="G672" s="413"/>
      <c r="H672" s="404" t="str">
        <f t="shared" ref="H672" si="2137">C89</f>
        <v>CREPIN</v>
      </c>
      <c r="I672" s="407" t="str">
        <f t="shared" ref="I672" si="2138">D89</f>
        <v>Lucie</v>
      </c>
      <c r="J672" s="407" t="str">
        <f>E276</f>
        <v>Doctorat - Biotechnologie, microbilogie - Université Montpellier II</v>
      </c>
      <c r="K672" s="407" t="str">
        <f>D276</f>
        <v>Lead Scientist</v>
      </c>
      <c r="L672" s="349"/>
      <c r="M672" s="349"/>
      <c r="N672" s="349"/>
      <c r="O672" s="349" t="s">
        <v>770</v>
      </c>
      <c r="P672" s="349"/>
      <c r="Q672" s="349"/>
      <c r="R672" s="349"/>
      <c r="S672" s="349"/>
      <c r="T672" s="349"/>
    </row>
    <row r="673" spans="1:20" s="111" customFormat="1" ht="24.75" thickBot="1" x14ac:dyDescent="0.3">
      <c r="A673" s="111" t="s">
        <v>813</v>
      </c>
      <c r="B673" s="362">
        <f>B276</f>
        <v>4</v>
      </c>
      <c r="C673" s="404" t="str">
        <f>C276</f>
        <v>CREPIN Lucie</v>
      </c>
      <c r="D673" s="405">
        <f t="shared" ref="D673" si="2139">R276</f>
        <v>57.512199042651993</v>
      </c>
      <c r="E673" s="406">
        <f t="shared" ref="E673" si="2140">S276</f>
        <v>1531.4000000000026</v>
      </c>
      <c r="F673" s="405">
        <f t="shared" ref="F673" si="2141">T276</f>
        <v>88074.181613917404</v>
      </c>
      <c r="G673" s="413"/>
      <c r="H673" s="404" t="str">
        <f t="shared" ref="H673" si="2142">C89</f>
        <v>CREPIN</v>
      </c>
      <c r="I673" s="407" t="str">
        <f t="shared" ref="I673" si="2143">D89</f>
        <v>Lucie</v>
      </c>
      <c r="J673" s="407" t="str">
        <f>E276</f>
        <v>Doctorat - Biotechnologie, microbilogie - Université Montpellier II</v>
      </c>
      <c r="K673" s="407" t="str">
        <f>D276</f>
        <v>Lead Scientist</v>
      </c>
      <c r="L673" s="349"/>
      <c r="M673" s="349"/>
      <c r="N673" s="349"/>
      <c r="O673" s="349" t="s">
        <v>770</v>
      </c>
      <c r="P673" s="349"/>
      <c r="Q673" s="349"/>
      <c r="R673" s="349"/>
      <c r="S673" s="349"/>
      <c r="T673" s="349"/>
    </row>
    <row r="674" spans="1:20" s="111" customFormat="1" ht="24.75" thickBot="1" x14ac:dyDescent="0.3">
      <c r="A674" s="111" t="s">
        <v>813</v>
      </c>
      <c r="B674" s="362">
        <f>B276</f>
        <v>4</v>
      </c>
      <c r="C674" s="404" t="str">
        <f>C276</f>
        <v>CREPIN Lucie</v>
      </c>
      <c r="D674" s="405">
        <f t="shared" ref="D674" si="2144">R276</f>
        <v>57.512199042651993</v>
      </c>
      <c r="E674" s="406">
        <f t="shared" ref="E674" si="2145">S276</f>
        <v>1531.4000000000026</v>
      </c>
      <c r="F674" s="405">
        <f t="shared" ref="F674" si="2146">T276</f>
        <v>88074.181613917404</v>
      </c>
      <c r="G674" s="413"/>
      <c r="H674" s="404" t="str">
        <f t="shared" ref="H674" si="2147">C89</f>
        <v>CREPIN</v>
      </c>
      <c r="I674" s="407" t="str">
        <f t="shared" ref="I674" si="2148">D89</f>
        <v>Lucie</v>
      </c>
      <c r="J674" s="407" t="str">
        <f>E276</f>
        <v>Doctorat - Biotechnologie, microbilogie - Université Montpellier II</v>
      </c>
      <c r="K674" s="407" t="str">
        <f>D276</f>
        <v>Lead Scientist</v>
      </c>
      <c r="L674" s="349"/>
      <c r="M674" s="349"/>
      <c r="N674" s="349"/>
      <c r="O674" s="349" t="s">
        <v>770</v>
      </c>
      <c r="P674" s="349"/>
      <c r="Q674" s="349"/>
      <c r="R674" s="349"/>
      <c r="S674" s="349"/>
      <c r="T674" s="349"/>
    </row>
    <row r="675" spans="1:20" s="111" customFormat="1" ht="24.75" thickBot="1" x14ac:dyDescent="0.3">
      <c r="A675" s="111" t="s">
        <v>813</v>
      </c>
      <c r="B675" s="362">
        <f>B276</f>
        <v>4</v>
      </c>
      <c r="C675" s="404" t="str">
        <f>C276</f>
        <v>CREPIN Lucie</v>
      </c>
      <c r="D675" s="405">
        <f t="shared" ref="D675" si="2149">R276</f>
        <v>57.512199042651993</v>
      </c>
      <c r="E675" s="406">
        <f t="shared" ref="E675" si="2150">S276</f>
        <v>1531.4000000000026</v>
      </c>
      <c r="F675" s="405">
        <f t="shared" ref="F675" si="2151">T276</f>
        <v>88074.181613917404</v>
      </c>
      <c r="G675" s="413"/>
      <c r="H675" s="404" t="str">
        <f t="shared" ref="H675" si="2152">C89</f>
        <v>CREPIN</v>
      </c>
      <c r="I675" s="407" t="str">
        <f t="shared" ref="I675" si="2153">D89</f>
        <v>Lucie</v>
      </c>
      <c r="J675" s="407" t="str">
        <f>E276</f>
        <v>Doctorat - Biotechnologie, microbilogie - Université Montpellier II</v>
      </c>
      <c r="K675" s="407" t="str">
        <f>D276</f>
        <v>Lead Scientist</v>
      </c>
      <c r="L675" s="349"/>
      <c r="M675" s="349"/>
      <c r="N675" s="349"/>
      <c r="O675" s="349" t="s">
        <v>770</v>
      </c>
      <c r="P675" s="349"/>
      <c r="Q675" s="349"/>
      <c r="R675" s="349"/>
      <c r="S675" s="349"/>
      <c r="T675" s="349"/>
    </row>
    <row r="676" spans="1:20" s="111" customFormat="1" ht="24.75" thickBot="1" x14ac:dyDescent="0.3">
      <c r="A676" s="111" t="s">
        <v>813</v>
      </c>
      <c r="B676" s="362">
        <f>B276</f>
        <v>4</v>
      </c>
      <c r="C676" s="404" t="str">
        <f>C276</f>
        <v>CREPIN Lucie</v>
      </c>
      <c r="D676" s="405">
        <f t="shared" ref="D676" si="2154">R276</f>
        <v>57.512199042651993</v>
      </c>
      <c r="E676" s="406">
        <f t="shared" ref="E676" si="2155">S276</f>
        <v>1531.4000000000026</v>
      </c>
      <c r="F676" s="405">
        <f t="shared" ref="F676" si="2156">T276</f>
        <v>88074.181613917404</v>
      </c>
      <c r="G676" s="413"/>
      <c r="H676" s="404" t="str">
        <f t="shared" ref="H676" si="2157">C89</f>
        <v>CREPIN</v>
      </c>
      <c r="I676" s="407" t="str">
        <f t="shared" ref="I676" si="2158">D89</f>
        <v>Lucie</v>
      </c>
      <c r="J676" s="407" t="str">
        <f>E276</f>
        <v>Doctorat - Biotechnologie, microbilogie - Université Montpellier II</v>
      </c>
      <c r="K676" s="407" t="str">
        <f>D276</f>
        <v>Lead Scientist</v>
      </c>
      <c r="L676" s="349"/>
      <c r="M676" s="349"/>
      <c r="N676" s="349"/>
      <c r="O676" s="349" t="s">
        <v>770</v>
      </c>
      <c r="P676" s="349"/>
      <c r="Q676" s="349"/>
      <c r="R676" s="349"/>
      <c r="S676" s="349"/>
      <c r="T676" s="349"/>
    </row>
    <row r="677" spans="1:20" s="111" customFormat="1" ht="24.75" thickBot="1" x14ac:dyDescent="0.3">
      <c r="A677" s="111" t="s">
        <v>813</v>
      </c>
      <c r="B677" s="362">
        <f>B276</f>
        <v>4</v>
      </c>
      <c r="C677" s="404" t="str">
        <f>C276</f>
        <v>CREPIN Lucie</v>
      </c>
      <c r="D677" s="405">
        <f t="shared" ref="D677" si="2159">R276</f>
        <v>57.512199042651993</v>
      </c>
      <c r="E677" s="406">
        <f t="shared" ref="E677" si="2160">S276</f>
        <v>1531.4000000000026</v>
      </c>
      <c r="F677" s="405">
        <f t="shared" ref="F677" si="2161">T276</f>
        <v>88074.181613917404</v>
      </c>
      <c r="G677" s="413"/>
      <c r="H677" s="404" t="str">
        <f t="shared" ref="H677" si="2162">C89</f>
        <v>CREPIN</v>
      </c>
      <c r="I677" s="407" t="str">
        <f t="shared" ref="I677" si="2163">D89</f>
        <v>Lucie</v>
      </c>
      <c r="J677" s="407" t="str">
        <f>E276</f>
        <v>Doctorat - Biotechnologie, microbilogie - Université Montpellier II</v>
      </c>
      <c r="K677" s="407" t="str">
        <f>D276</f>
        <v>Lead Scientist</v>
      </c>
      <c r="L677" s="349"/>
      <c r="M677" s="349"/>
      <c r="N677" s="349"/>
      <c r="O677" s="349" t="s">
        <v>770</v>
      </c>
      <c r="P677" s="349"/>
      <c r="Q677" s="349"/>
      <c r="R677" s="349"/>
      <c r="S677" s="349"/>
      <c r="T677" s="349"/>
    </row>
    <row r="678" spans="1:20" s="111" customFormat="1" ht="24.75" thickBot="1" x14ac:dyDescent="0.3">
      <c r="A678" s="111" t="s">
        <v>813</v>
      </c>
      <c r="B678" s="362">
        <f>B276</f>
        <v>4</v>
      </c>
      <c r="C678" s="404" t="str">
        <f>C276</f>
        <v>CREPIN Lucie</v>
      </c>
      <c r="D678" s="405">
        <f t="shared" ref="D678" si="2164">R276</f>
        <v>57.512199042651993</v>
      </c>
      <c r="E678" s="406">
        <f t="shared" ref="E678" si="2165">S276</f>
        <v>1531.4000000000026</v>
      </c>
      <c r="F678" s="405">
        <f t="shared" ref="F678" si="2166">T276</f>
        <v>88074.181613917404</v>
      </c>
      <c r="G678" s="413"/>
      <c r="H678" s="404" t="str">
        <f t="shared" ref="H678" si="2167">C89</f>
        <v>CREPIN</v>
      </c>
      <c r="I678" s="407" t="str">
        <f t="shared" ref="I678" si="2168">D89</f>
        <v>Lucie</v>
      </c>
      <c r="J678" s="407" t="str">
        <f>E276</f>
        <v>Doctorat - Biotechnologie, microbilogie - Université Montpellier II</v>
      </c>
      <c r="K678" s="407" t="str">
        <f>D276</f>
        <v>Lead Scientist</v>
      </c>
      <c r="L678" s="349"/>
      <c r="M678" s="349"/>
      <c r="N678" s="349"/>
      <c r="O678" s="349" t="s">
        <v>770</v>
      </c>
      <c r="P678" s="349"/>
      <c r="Q678" s="349"/>
      <c r="R678" s="349"/>
      <c r="S678" s="349"/>
      <c r="T678" s="349"/>
    </row>
    <row r="679" spans="1:20" s="111" customFormat="1" ht="24.75" thickBot="1" x14ac:dyDescent="0.3">
      <c r="A679" s="111" t="s">
        <v>813</v>
      </c>
      <c r="B679" s="362">
        <f>B276</f>
        <v>4</v>
      </c>
      <c r="C679" s="404" t="str">
        <f>C276</f>
        <v>CREPIN Lucie</v>
      </c>
      <c r="D679" s="405">
        <f t="shared" ref="D679" si="2169">R276</f>
        <v>57.512199042651993</v>
      </c>
      <c r="E679" s="406">
        <f t="shared" ref="E679" si="2170">S276</f>
        <v>1531.4000000000026</v>
      </c>
      <c r="F679" s="405">
        <f t="shared" ref="F679" si="2171">T276</f>
        <v>88074.181613917404</v>
      </c>
      <c r="G679" s="413"/>
      <c r="H679" s="404" t="str">
        <f t="shared" ref="H679" si="2172">C89</f>
        <v>CREPIN</v>
      </c>
      <c r="I679" s="407" t="str">
        <f t="shared" ref="I679" si="2173">D89</f>
        <v>Lucie</v>
      </c>
      <c r="J679" s="407" t="str">
        <f>E276</f>
        <v>Doctorat - Biotechnologie, microbilogie - Université Montpellier II</v>
      </c>
      <c r="K679" s="407" t="str">
        <f>D276</f>
        <v>Lead Scientist</v>
      </c>
      <c r="L679" s="349"/>
      <c r="M679" s="349"/>
      <c r="N679" s="349"/>
      <c r="O679" s="349" t="s">
        <v>770</v>
      </c>
      <c r="P679" s="349"/>
      <c r="Q679" s="349"/>
      <c r="R679" s="349"/>
      <c r="S679" s="349"/>
      <c r="T679" s="349"/>
    </row>
    <row r="680" spans="1:20" s="111" customFormat="1" ht="24.75" thickBot="1" x14ac:dyDescent="0.3">
      <c r="A680" s="111" t="s">
        <v>813</v>
      </c>
      <c r="B680" s="362">
        <f>B276</f>
        <v>4</v>
      </c>
      <c r="C680" s="404" t="str">
        <f>C276</f>
        <v>CREPIN Lucie</v>
      </c>
      <c r="D680" s="405">
        <f t="shared" ref="D680" si="2174">R276</f>
        <v>57.512199042651993</v>
      </c>
      <c r="E680" s="406">
        <f t="shared" ref="E680" si="2175">S276</f>
        <v>1531.4000000000026</v>
      </c>
      <c r="F680" s="405">
        <f t="shared" ref="F680" si="2176">T276</f>
        <v>88074.181613917404</v>
      </c>
      <c r="G680" s="413"/>
      <c r="H680" s="404" t="str">
        <f t="shared" ref="H680" si="2177">C89</f>
        <v>CREPIN</v>
      </c>
      <c r="I680" s="407" t="str">
        <f t="shared" ref="I680" si="2178">D89</f>
        <v>Lucie</v>
      </c>
      <c r="J680" s="407" t="str">
        <f>E276</f>
        <v>Doctorat - Biotechnologie, microbilogie - Université Montpellier II</v>
      </c>
      <c r="K680" s="407" t="str">
        <f>D276</f>
        <v>Lead Scientist</v>
      </c>
      <c r="L680" s="349"/>
      <c r="M680" s="349"/>
      <c r="N680" s="349"/>
      <c r="O680" s="349" t="s">
        <v>770</v>
      </c>
      <c r="P680" s="349"/>
      <c r="Q680" s="349"/>
      <c r="R680" s="349"/>
      <c r="S680" s="349"/>
      <c r="T680" s="349"/>
    </row>
    <row r="681" spans="1:20" s="111" customFormat="1" ht="24.75" thickBot="1" x14ac:dyDescent="0.3">
      <c r="A681" s="111" t="s">
        <v>813</v>
      </c>
      <c r="B681" s="362">
        <f>B276</f>
        <v>4</v>
      </c>
      <c r="C681" s="404" t="str">
        <f>C276</f>
        <v>CREPIN Lucie</v>
      </c>
      <c r="D681" s="405">
        <f>R276</f>
        <v>57.512199042651993</v>
      </c>
      <c r="E681" s="406">
        <f>S276</f>
        <v>1531.4000000000026</v>
      </c>
      <c r="F681" s="405">
        <f>T276</f>
        <v>88074.181613917404</v>
      </c>
      <c r="G681" s="413"/>
      <c r="H681" s="404" t="str">
        <f t="shared" ref="H681" si="2179">C89</f>
        <v>CREPIN</v>
      </c>
      <c r="I681" s="407" t="str">
        <f t="shared" ref="I681" si="2180">D89</f>
        <v>Lucie</v>
      </c>
      <c r="J681" s="407" t="str">
        <f>E276</f>
        <v>Doctorat - Biotechnologie, microbilogie - Université Montpellier II</v>
      </c>
      <c r="K681" s="407" t="str">
        <f>D276</f>
        <v>Lead Scientist</v>
      </c>
      <c r="L681" s="349"/>
      <c r="M681" s="349"/>
      <c r="N681" s="349"/>
      <c r="O681" s="349" t="s">
        <v>770</v>
      </c>
      <c r="P681" s="349"/>
      <c r="Q681" s="349"/>
      <c r="R681" s="349"/>
      <c r="S681" s="349"/>
      <c r="T681" s="349"/>
    </row>
    <row r="682" spans="1:20" s="111" customFormat="1" ht="24.75" thickBot="1" x14ac:dyDescent="0.3">
      <c r="A682" s="111" t="s">
        <v>813</v>
      </c>
      <c r="B682" s="362">
        <f>B277</f>
        <v>5</v>
      </c>
      <c r="C682" s="404" t="str">
        <f>C277</f>
        <v>BOISSONNAT Guillaume</v>
      </c>
      <c r="D682" s="405">
        <f t="shared" ref="D682" si="2181">R277</f>
        <v>118.72911717220083</v>
      </c>
      <c r="E682" s="406">
        <f t="shared" ref="E682" si="2182">S277</f>
        <v>651.58800000000019</v>
      </c>
      <c r="F682" s="405">
        <f t="shared" ref="F682" si="2183">T277</f>
        <v>77362.468000000023</v>
      </c>
      <c r="G682" s="413"/>
      <c r="H682" s="404" t="str">
        <f t="shared" ref="H682" si="2184">C90</f>
        <v>BOISSONNAT</v>
      </c>
      <c r="I682" s="407" t="str">
        <f t="shared" ref="I682" si="2185">D90</f>
        <v>Guillaume</v>
      </c>
      <c r="J682" s="407" t="str">
        <f>E277</f>
        <v>Doctorat Chimie moleculaire- Université Paris VI</v>
      </c>
      <c r="K682" s="407" t="str">
        <f>D277</f>
        <v>Ingénieur Recherche</v>
      </c>
      <c r="L682" s="349"/>
      <c r="M682" s="349"/>
      <c r="N682" s="349"/>
      <c r="O682" s="349" t="s">
        <v>770</v>
      </c>
      <c r="P682" s="349"/>
      <c r="Q682" s="349"/>
      <c r="R682" s="349"/>
      <c r="S682" s="349"/>
      <c r="T682" s="349"/>
    </row>
    <row r="683" spans="1:20" s="111" customFormat="1" ht="24.75" thickBot="1" x14ac:dyDescent="0.3">
      <c r="A683" s="111" t="s">
        <v>813</v>
      </c>
      <c r="B683" s="362">
        <f>B277</f>
        <v>5</v>
      </c>
      <c r="C683" s="404" t="str">
        <f>C277</f>
        <v>BOISSONNAT Guillaume</v>
      </c>
      <c r="D683" s="405">
        <f t="shared" ref="D683" si="2186">R277</f>
        <v>118.72911717220083</v>
      </c>
      <c r="E683" s="406">
        <f t="shared" ref="E683" si="2187">S277</f>
        <v>651.58800000000019</v>
      </c>
      <c r="F683" s="405">
        <f t="shared" ref="F683" si="2188">T277</f>
        <v>77362.468000000023</v>
      </c>
      <c r="G683" s="413"/>
      <c r="H683" s="404" t="str">
        <f t="shared" ref="H683" si="2189">C90</f>
        <v>BOISSONNAT</v>
      </c>
      <c r="I683" s="407" t="str">
        <f t="shared" ref="I683" si="2190">D90</f>
        <v>Guillaume</v>
      </c>
      <c r="J683" s="407" t="str">
        <f>E277</f>
        <v>Doctorat Chimie moleculaire- Université Paris VI</v>
      </c>
      <c r="K683" s="407" t="str">
        <f>D277</f>
        <v>Ingénieur Recherche</v>
      </c>
      <c r="L683" s="349"/>
      <c r="M683" s="349"/>
      <c r="N683" s="349"/>
      <c r="O683" s="349" t="s">
        <v>770</v>
      </c>
      <c r="P683" s="349"/>
      <c r="Q683" s="349"/>
      <c r="R683" s="349"/>
      <c r="S683" s="349"/>
      <c r="T683" s="349"/>
    </row>
    <row r="684" spans="1:20" s="111" customFormat="1" ht="24.75" thickBot="1" x14ac:dyDescent="0.3">
      <c r="A684" s="111" t="s">
        <v>813</v>
      </c>
      <c r="B684" s="362">
        <f>B277</f>
        <v>5</v>
      </c>
      <c r="C684" s="404" t="str">
        <f>C277</f>
        <v>BOISSONNAT Guillaume</v>
      </c>
      <c r="D684" s="405">
        <f t="shared" ref="D684" si="2191">R277</f>
        <v>118.72911717220083</v>
      </c>
      <c r="E684" s="406">
        <f t="shared" ref="E684" si="2192">S277</f>
        <v>651.58800000000019</v>
      </c>
      <c r="F684" s="405">
        <f t="shared" ref="F684" si="2193">T277</f>
        <v>77362.468000000023</v>
      </c>
      <c r="G684" s="413"/>
      <c r="H684" s="404" t="str">
        <f t="shared" ref="H684" si="2194">C90</f>
        <v>BOISSONNAT</v>
      </c>
      <c r="I684" s="407" t="str">
        <f t="shared" ref="I684" si="2195">D90</f>
        <v>Guillaume</v>
      </c>
      <c r="J684" s="407" t="str">
        <f>E277</f>
        <v>Doctorat Chimie moleculaire- Université Paris VI</v>
      </c>
      <c r="K684" s="407" t="str">
        <f>D277</f>
        <v>Ingénieur Recherche</v>
      </c>
      <c r="L684" s="349"/>
      <c r="M684" s="349"/>
      <c r="N684" s="349"/>
      <c r="O684" s="349" t="s">
        <v>770</v>
      </c>
      <c r="P684" s="349"/>
      <c r="Q684" s="349"/>
      <c r="R684" s="349"/>
      <c r="S684" s="349"/>
      <c r="T684" s="349"/>
    </row>
    <row r="685" spans="1:20" s="111" customFormat="1" ht="24.75" thickBot="1" x14ac:dyDescent="0.3">
      <c r="A685" s="111" t="s">
        <v>813</v>
      </c>
      <c r="B685" s="362">
        <f>B277</f>
        <v>5</v>
      </c>
      <c r="C685" s="404" t="str">
        <f>C277</f>
        <v>BOISSONNAT Guillaume</v>
      </c>
      <c r="D685" s="405">
        <f t="shared" ref="D685" si="2196">R277</f>
        <v>118.72911717220083</v>
      </c>
      <c r="E685" s="406">
        <f t="shared" ref="E685" si="2197">S277</f>
        <v>651.58800000000019</v>
      </c>
      <c r="F685" s="405">
        <f t="shared" ref="F685" si="2198">T277</f>
        <v>77362.468000000023</v>
      </c>
      <c r="G685" s="413"/>
      <c r="H685" s="404" t="str">
        <f t="shared" ref="H685" si="2199">C90</f>
        <v>BOISSONNAT</v>
      </c>
      <c r="I685" s="407" t="str">
        <f t="shared" ref="I685" si="2200">D90</f>
        <v>Guillaume</v>
      </c>
      <c r="J685" s="407" t="str">
        <f>E277</f>
        <v>Doctorat Chimie moleculaire- Université Paris VI</v>
      </c>
      <c r="K685" s="407" t="str">
        <f>D277</f>
        <v>Ingénieur Recherche</v>
      </c>
      <c r="L685" s="349"/>
      <c r="M685" s="349"/>
      <c r="N685" s="349"/>
      <c r="O685" s="349" t="s">
        <v>770</v>
      </c>
      <c r="P685" s="349"/>
      <c r="Q685" s="349"/>
      <c r="R685" s="349"/>
      <c r="S685" s="349"/>
      <c r="T685" s="349"/>
    </row>
    <row r="686" spans="1:20" s="111" customFormat="1" ht="24.75" thickBot="1" x14ac:dyDescent="0.3">
      <c r="A686" s="111" t="s">
        <v>813</v>
      </c>
      <c r="B686" s="362">
        <f>B277</f>
        <v>5</v>
      </c>
      <c r="C686" s="404" t="str">
        <f>C277</f>
        <v>BOISSONNAT Guillaume</v>
      </c>
      <c r="D686" s="405">
        <f t="shared" ref="D686" si="2201">R277</f>
        <v>118.72911717220083</v>
      </c>
      <c r="E686" s="406">
        <f t="shared" ref="E686" si="2202">S277</f>
        <v>651.58800000000019</v>
      </c>
      <c r="F686" s="405">
        <f t="shared" ref="F686" si="2203">T277</f>
        <v>77362.468000000023</v>
      </c>
      <c r="G686" s="413"/>
      <c r="H686" s="404" t="str">
        <f t="shared" ref="H686" si="2204">C90</f>
        <v>BOISSONNAT</v>
      </c>
      <c r="I686" s="407" t="str">
        <f t="shared" ref="I686" si="2205">D90</f>
        <v>Guillaume</v>
      </c>
      <c r="J686" s="407" t="str">
        <f>E277</f>
        <v>Doctorat Chimie moleculaire- Université Paris VI</v>
      </c>
      <c r="K686" s="407" t="str">
        <f>D277</f>
        <v>Ingénieur Recherche</v>
      </c>
      <c r="L686" s="349"/>
      <c r="M686" s="349"/>
      <c r="N686" s="349"/>
      <c r="O686" s="349" t="s">
        <v>770</v>
      </c>
      <c r="P686" s="349"/>
      <c r="Q686" s="349"/>
      <c r="R686" s="349"/>
      <c r="S686" s="349"/>
      <c r="T686" s="349"/>
    </row>
    <row r="687" spans="1:20" s="111" customFormat="1" ht="24.75" thickBot="1" x14ac:dyDescent="0.3">
      <c r="A687" s="111" t="s">
        <v>813</v>
      </c>
      <c r="B687" s="362">
        <f>B277</f>
        <v>5</v>
      </c>
      <c r="C687" s="404" t="str">
        <f>C277</f>
        <v>BOISSONNAT Guillaume</v>
      </c>
      <c r="D687" s="405">
        <f t="shared" ref="D687" si="2206">R277</f>
        <v>118.72911717220083</v>
      </c>
      <c r="E687" s="406">
        <f t="shared" ref="E687" si="2207">S277</f>
        <v>651.58800000000019</v>
      </c>
      <c r="F687" s="405">
        <f t="shared" ref="F687" si="2208">T277</f>
        <v>77362.468000000023</v>
      </c>
      <c r="G687" s="413"/>
      <c r="H687" s="404" t="str">
        <f t="shared" ref="H687" si="2209">C90</f>
        <v>BOISSONNAT</v>
      </c>
      <c r="I687" s="407" t="str">
        <f t="shared" ref="I687" si="2210">D90</f>
        <v>Guillaume</v>
      </c>
      <c r="J687" s="407" t="str">
        <f>E277</f>
        <v>Doctorat Chimie moleculaire- Université Paris VI</v>
      </c>
      <c r="K687" s="407" t="str">
        <f>D277</f>
        <v>Ingénieur Recherche</v>
      </c>
      <c r="L687" s="349"/>
      <c r="M687" s="349"/>
      <c r="N687" s="349"/>
      <c r="O687" s="349" t="s">
        <v>770</v>
      </c>
      <c r="P687" s="349"/>
      <c r="Q687" s="349"/>
      <c r="R687" s="349"/>
      <c r="S687" s="349"/>
      <c r="T687" s="349"/>
    </row>
    <row r="688" spans="1:20" s="111" customFormat="1" ht="24.75" thickBot="1" x14ac:dyDescent="0.3">
      <c r="A688" s="111" t="s">
        <v>813</v>
      </c>
      <c r="B688" s="362">
        <f>B277</f>
        <v>5</v>
      </c>
      <c r="C688" s="404" t="str">
        <f>C277</f>
        <v>BOISSONNAT Guillaume</v>
      </c>
      <c r="D688" s="405">
        <f t="shared" ref="D688" si="2211">R277</f>
        <v>118.72911717220083</v>
      </c>
      <c r="E688" s="406">
        <f t="shared" ref="E688" si="2212">S277</f>
        <v>651.58800000000019</v>
      </c>
      <c r="F688" s="405">
        <f t="shared" ref="F688" si="2213">T277</f>
        <v>77362.468000000023</v>
      </c>
      <c r="G688" s="413"/>
      <c r="H688" s="404" t="str">
        <f t="shared" ref="H688" si="2214">C90</f>
        <v>BOISSONNAT</v>
      </c>
      <c r="I688" s="407" t="str">
        <f t="shared" ref="I688" si="2215">D90</f>
        <v>Guillaume</v>
      </c>
      <c r="J688" s="407" t="str">
        <f>E277</f>
        <v>Doctorat Chimie moleculaire- Université Paris VI</v>
      </c>
      <c r="K688" s="407" t="str">
        <f>D277</f>
        <v>Ingénieur Recherche</v>
      </c>
      <c r="L688" s="349"/>
      <c r="M688" s="349"/>
      <c r="N688" s="349"/>
      <c r="O688" s="349" t="s">
        <v>770</v>
      </c>
      <c r="P688" s="349"/>
      <c r="Q688" s="349"/>
      <c r="R688" s="349"/>
      <c r="S688" s="349"/>
      <c r="T688" s="349"/>
    </row>
    <row r="689" spans="1:20" s="111" customFormat="1" ht="24.75" thickBot="1" x14ac:dyDescent="0.3">
      <c r="A689" s="111" t="s">
        <v>813</v>
      </c>
      <c r="B689" s="362">
        <f>B277</f>
        <v>5</v>
      </c>
      <c r="C689" s="404" t="str">
        <f>C277</f>
        <v>BOISSONNAT Guillaume</v>
      </c>
      <c r="D689" s="405">
        <f t="shared" ref="D689" si="2216">R277</f>
        <v>118.72911717220083</v>
      </c>
      <c r="E689" s="406">
        <f t="shared" ref="E689" si="2217">S277</f>
        <v>651.58800000000019</v>
      </c>
      <c r="F689" s="405">
        <f t="shared" ref="F689" si="2218">T277</f>
        <v>77362.468000000023</v>
      </c>
      <c r="G689" s="413"/>
      <c r="H689" s="404" t="str">
        <f t="shared" ref="H689" si="2219">C90</f>
        <v>BOISSONNAT</v>
      </c>
      <c r="I689" s="407" t="str">
        <f t="shared" ref="I689" si="2220">D90</f>
        <v>Guillaume</v>
      </c>
      <c r="J689" s="407" t="str">
        <f>E277</f>
        <v>Doctorat Chimie moleculaire- Université Paris VI</v>
      </c>
      <c r="K689" s="407" t="str">
        <f>D277</f>
        <v>Ingénieur Recherche</v>
      </c>
      <c r="L689" s="349"/>
      <c r="M689" s="349"/>
      <c r="N689" s="349"/>
      <c r="O689" s="349" t="s">
        <v>770</v>
      </c>
      <c r="P689" s="349"/>
      <c r="Q689" s="349"/>
      <c r="R689" s="349"/>
      <c r="S689" s="349"/>
      <c r="T689" s="349"/>
    </row>
    <row r="690" spans="1:20" s="111" customFormat="1" ht="24.75" thickBot="1" x14ac:dyDescent="0.3">
      <c r="A690" s="111" t="s">
        <v>813</v>
      </c>
      <c r="B690" s="362">
        <f>B277</f>
        <v>5</v>
      </c>
      <c r="C690" s="404" t="str">
        <f>C277</f>
        <v>BOISSONNAT Guillaume</v>
      </c>
      <c r="D690" s="405">
        <f t="shared" ref="D690" si="2221">R277</f>
        <v>118.72911717220083</v>
      </c>
      <c r="E690" s="406">
        <f t="shared" ref="E690" si="2222">S277</f>
        <v>651.58800000000019</v>
      </c>
      <c r="F690" s="405">
        <f t="shared" ref="F690" si="2223">T277</f>
        <v>77362.468000000023</v>
      </c>
      <c r="G690" s="413"/>
      <c r="H690" s="404" t="str">
        <f t="shared" ref="H690" si="2224">C90</f>
        <v>BOISSONNAT</v>
      </c>
      <c r="I690" s="407" t="str">
        <f t="shared" ref="I690" si="2225">D90</f>
        <v>Guillaume</v>
      </c>
      <c r="J690" s="407" t="str">
        <f>E277</f>
        <v>Doctorat Chimie moleculaire- Université Paris VI</v>
      </c>
      <c r="K690" s="407" t="str">
        <f>D277</f>
        <v>Ingénieur Recherche</v>
      </c>
      <c r="L690" s="349"/>
      <c r="M690" s="349"/>
      <c r="N690" s="349"/>
      <c r="O690" s="349" t="s">
        <v>770</v>
      </c>
      <c r="P690" s="349"/>
      <c r="Q690" s="349"/>
      <c r="R690" s="349"/>
      <c r="S690" s="349"/>
      <c r="T690" s="349"/>
    </row>
    <row r="691" spans="1:20" s="111" customFormat="1" ht="24.75" thickBot="1" x14ac:dyDescent="0.3">
      <c r="A691" s="111" t="s">
        <v>813</v>
      </c>
      <c r="B691" s="362">
        <f>B277</f>
        <v>5</v>
      </c>
      <c r="C691" s="404" t="str">
        <f>C277</f>
        <v>BOISSONNAT Guillaume</v>
      </c>
      <c r="D691" s="405">
        <f t="shared" ref="D691" si="2226">R277</f>
        <v>118.72911717220083</v>
      </c>
      <c r="E691" s="406">
        <f t="shared" ref="E691" si="2227">S277</f>
        <v>651.58800000000019</v>
      </c>
      <c r="F691" s="405">
        <f t="shared" ref="F691" si="2228">T277</f>
        <v>77362.468000000023</v>
      </c>
      <c r="G691" s="413"/>
      <c r="H691" s="404" t="str">
        <f t="shared" ref="H691" si="2229">C90</f>
        <v>BOISSONNAT</v>
      </c>
      <c r="I691" s="407" t="str">
        <f t="shared" ref="I691" si="2230">D90</f>
        <v>Guillaume</v>
      </c>
      <c r="J691" s="407" t="str">
        <f>E277</f>
        <v>Doctorat Chimie moleculaire- Université Paris VI</v>
      </c>
      <c r="K691" s="407" t="str">
        <f>D277</f>
        <v>Ingénieur Recherche</v>
      </c>
      <c r="L691" s="349"/>
      <c r="M691" s="349"/>
      <c r="N691" s="349"/>
      <c r="O691" s="349" t="s">
        <v>770</v>
      </c>
      <c r="P691" s="349"/>
      <c r="Q691" s="349"/>
      <c r="R691" s="349"/>
      <c r="S691" s="349"/>
      <c r="T691" s="349"/>
    </row>
    <row r="692" spans="1:20" s="111" customFormat="1" ht="24.75" thickBot="1" x14ac:dyDescent="0.3">
      <c r="A692" s="111" t="s">
        <v>813</v>
      </c>
      <c r="B692" s="362">
        <f>B277</f>
        <v>5</v>
      </c>
      <c r="C692" s="404" t="str">
        <f>C277</f>
        <v>BOISSONNAT Guillaume</v>
      </c>
      <c r="D692" s="405">
        <f t="shared" ref="D692" si="2231">R277</f>
        <v>118.72911717220083</v>
      </c>
      <c r="E692" s="406">
        <f t="shared" ref="E692" si="2232">S277</f>
        <v>651.58800000000019</v>
      </c>
      <c r="F692" s="405">
        <f t="shared" ref="F692" si="2233">T277</f>
        <v>77362.468000000023</v>
      </c>
      <c r="G692" s="413"/>
      <c r="H692" s="404" t="str">
        <f t="shared" ref="H692" si="2234">C90</f>
        <v>BOISSONNAT</v>
      </c>
      <c r="I692" s="407" t="str">
        <f t="shared" ref="I692" si="2235">D90</f>
        <v>Guillaume</v>
      </c>
      <c r="J692" s="407" t="str">
        <f>E277</f>
        <v>Doctorat Chimie moleculaire- Université Paris VI</v>
      </c>
      <c r="K692" s="407" t="str">
        <f>D277</f>
        <v>Ingénieur Recherche</v>
      </c>
      <c r="L692" s="349"/>
      <c r="M692" s="349"/>
      <c r="N692" s="349"/>
      <c r="O692" s="349" t="s">
        <v>770</v>
      </c>
      <c r="P692" s="349"/>
      <c r="Q692" s="349"/>
      <c r="R692" s="349"/>
      <c r="S692" s="349"/>
      <c r="T692" s="349"/>
    </row>
    <row r="693" spans="1:20" s="111" customFormat="1" ht="24.75" thickBot="1" x14ac:dyDescent="0.3">
      <c r="A693" s="111" t="s">
        <v>813</v>
      </c>
      <c r="B693" s="362">
        <f>B277</f>
        <v>5</v>
      </c>
      <c r="C693" s="404" t="str">
        <f>C277</f>
        <v>BOISSONNAT Guillaume</v>
      </c>
      <c r="D693" s="405">
        <f t="shared" ref="D693" si="2236">R277</f>
        <v>118.72911717220083</v>
      </c>
      <c r="E693" s="406">
        <f t="shared" ref="E693" si="2237">S277</f>
        <v>651.58800000000019</v>
      </c>
      <c r="F693" s="405">
        <f t="shared" ref="F693" si="2238">T277</f>
        <v>77362.468000000023</v>
      </c>
      <c r="G693" s="413"/>
      <c r="H693" s="404" t="str">
        <f t="shared" ref="H693" si="2239">C90</f>
        <v>BOISSONNAT</v>
      </c>
      <c r="I693" s="407" t="str">
        <f t="shared" ref="I693" si="2240">D90</f>
        <v>Guillaume</v>
      </c>
      <c r="J693" s="407" t="str">
        <f>E277</f>
        <v>Doctorat Chimie moleculaire- Université Paris VI</v>
      </c>
      <c r="K693" s="407" t="str">
        <f>D277</f>
        <v>Ingénieur Recherche</v>
      </c>
      <c r="L693" s="349"/>
      <c r="M693" s="349"/>
      <c r="N693" s="349"/>
      <c r="O693" s="349" t="s">
        <v>770</v>
      </c>
      <c r="P693" s="349"/>
      <c r="Q693" s="349"/>
      <c r="R693" s="349"/>
      <c r="S693" s="349"/>
      <c r="T693" s="349"/>
    </row>
    <row r="694" spans="1:20" s="111" customFormat="1" ht="24.75" thickBot="1" x14ac:dyDescent="0.3">
      <c r="A694" s="111" t="s">
        <v>813</v>
      </c>
      <c r="B694" s="362">
        <f>B277</f>
        <v>5</v>
      </c>
      <c r="C694" s="404" t="str">
        <f>C277</f>
        <v>BOISSONNAT Guillaume</v>
      </c>
      <c r="D694" s="405">
        <f t="shared" ref="D694" si="2241">R277</f>
        <v>118.72911717220083</v>
      </c>
      <c r="E694" s="406">
        <f t="shared" ref="E694" si="2242">S277</f>
        <v>651.58800000000019</v>
      </c>
      <c r="F694" s="405">
        <f t="shared" ref="F694" si="2243">T277</f>
        <v>77362.468000000023</v>
      </c>
      <c r="G694" s="413"/>
      <c r="H694" s="404" t="str">
        <f t="shared" ref="H694" si="2244">C90</f>
        <v>BOISSONNAT</v>
      </c>
      <c r="I694" s="407" t="str">
        <f t="shared" ref="I694" si="2245">D90</f>
        <v>Guillaume</v>
      </c>
      <c r="J694" s="407" t="str">
        <f>E277</f>
        <v>Doctorat Chimie moleculaire- Université Paris VI</v>
      </c>
      <c r="K694" s="407" t="str">
        <f>D277</f>
        <v>Ingénieur Recherche</v>
      </c>
      <c r="L694" s="349"/>
      <c r="M694" s="349"/>
      <c r="N694" s="349"/>
      <c r="O694" s="349" t="s">
        <v>770</v>
      </c>
      <c r="P694" s="349"/>
      <c r="Q694" s="349"/>
      <c r="R694" s="349"/>
      <c r="S694" s="349"/>
      <c r="T694" s="349"/>
    </row>
    <row r="695" spans="1:20" s="111" customFormat="1" ht="24.75" thickBot="1" x14ac:dyDescent="0.3">
      <c r="A695" s="111" t="s">
        <v>813</v>
      </c>
      <c r="B695" s="362">
        <f>B277</f>
        <v>5</v>
      </c>
      <c r="C695" s="404" t="str">
        <f>C277</f>
        <v>BOISSONNAT Guillaume</v>
      </c>
      <c r="D695" s="405">
        <f t="shared" ref="D695" si="2246">R277</f>
        <v>118.72911717220083</v>
      </c>
      <c r="E695" s="406">
        <f t="shared" ref="E695" si="2247">S277</f>
        <v>651.58800000000019</v>
      </c>
      <c r="F695" s="405">
        <f t="shared" ref="F695" si="2248">T277</f>
        <v>77362.468000000023</v>
      </c>
      <c r="G695" s="413"/>
      <c r="H695" s="404" t="str">
        <f t="shared" ref="H695" si="2249">C90</f>
        <v>BOISSONNAT</v>
      </c>
      <c r="I695" s="407" t="str">
        <f t="shared" ref="I695" si="2250">D90</f>
        <v>Guillaume</v>
      </c>
      <c r="J695" s="407" t="str">
        <f>E277</f>
        <v>Doctorat Chimie moleculaire- Université Paris VI</v>
      </c>
      <c r="K695" s="407" t="str">
        <f>D277</f>
        <v>Ingénieur Recherche</v>
      </c>
      <c r="L695" s="349"/>
      <c r="M695" s="349"/>
      <c r="N695" s="349"/>
      <c r="O695" s="349" t="s">
        <v>770</v>
      </c>
      <c r="P695" s="349"/>
      <c r="Q695" s="349"/>
      <c r="R695" s="349"/>
      <c r="S695" s="349"/>
      <c r="T695" s="349"/>
    </row>
    <row r="696" spans="1:20" s="111" customFormat="1" ht="24.75" thickBot="1" x14ac:dyDescent="0.3">
      <c r="A696" s="111" t="s">
        <v>813</v>
      </c>
      <c r="B696" s="362">
        <f>B277</f>
        <v>5</v>
      </c>
      <c r="C696" s="404" t="str">
        <f>C277</f>
        <v>BOISSONNAT Guillaume</v>
      </c>
      <c r="D696" s="405">
        <f t="shared" ref="D696" si="2251">R277</f>
        <v>118.72911717220083</v>
      </c>
      <c r="E696" s="406">
        <f t="shared" ref="E696" si="2252">S277</f>
        <v>651.58800000000019</v>
      </c>
      <c r="F696" s="405">
        <f t="shared" ref="F696" si="2253">T277</f>
        <v>77362.468000000023</v>
      </c>
      <c r="G696" s="413"/>
      <c r="H696" s="404" t="str">
        <f t="shared" ref="H696" si="2254">C90</f>
        <v>BOISSONNAT</v>
      </c>
      <c r="I696" s="407" t="str">
        <f t="shared" ref="I696" si="2255">D90</f>
        <v>Guillaume</v>
      </c>
      <c r="J696" s="407" t="str">
        <f>E277</f>
        <v>Doctorat Chimie moleculaire- Université Paris VI</v>
      </c>
      <c r="K696" s="407" t="str">
        <f>D277</f>
        <v>Ingénieur Recherche</v>
      </c>
      <c r="L696" s="349"/>
      <c r="M696" s="349"/>
      <c r="N696" s="349"/>
      <c r="O696" s="349" t="s">
        <v>770</v>
      </c>
      <c r="P696" s="349"/>
      <c r="Q696" s="349"/>
      <c r="R696" s="349"/>
      <c r="S696" s="349"/>
      <c r="T696" s="349"/>
    </row>
    <row r="697" spans="1:20" s="111" customFormat="1" ht="24.75" thickBot="1" x14ac:dyDescent="0.3">
      <c r="A697" s="111" t="s">
        <v>813</v>
      </c>
      <c r="B697" s="362">
        <f>B277</f>
        <v>5</v>
      </c>
      <c r="C697" s="404" t="str">
        <f>C277</f>
        <v>BOISSONNAT Guillaume</v>
      </c>
      <c r="D697" s="405">
        <f t="shared" ref="D697" si="2256">R277</f>
        <v>118.72911717220083</v>
      </c>
      <c r="E697" s="406">
        <f t="shared" ref="E697" si="2257">S277</f>
        <v>651.58800000000019</v>
      </c>
      <c r="F697" s="405">
        <f t="shared" ref="F697" si="2258">T277</f>
        <v>77362.468000000023</v>
      </c>
      <c r="G697" s="413"/>
      <c r="H697" s="404" t="str">
        <f t="shared" ref="H697" si="2259">C90</f>
        <v>BOISSONNAT</v>
      </c>
      <c r="I697" s="407" t="str">
        <f t="shared" ref="I697" si="2260">D90</f>
        <v>Guillaume</v>
      </c>
      <c r="J697" s="407" t="str">
        <f>E277</f>
        <v>Doctorat Chimie moleculaire- Université Paris VI</v>
      </c>
      <c r="K697" s="407" t="str">
        <f>D277</f>
        <v>Ingénieur Recherche</v>
      </c>
      <c r="L697" s="349"/>
      <c r="M697" s="349"/>
      <c r="N697" s="349"/>
      <c r="O697" s="349" t="s">
        <v>770</v>
      </c>
      <c r="P697" s="349"/>
      <c r="Q697" s="349"/>
      <c r="R697" s="349"/>
      <c r="S697" s="349"/>
      <c r="T697" s="349"/>
    </row>
    <row r="698" spans="1:20" s="111" customFormat="1" ht="24.75" thickBot="1" x14ac:dyDescent="0.3">
      <c r="A698" s="111" t="s">
        <v>813</v>
      </c>
      <c r="B698" s="362">
        <f>B277</f>
        <v>5</v>
      </c>
      <c r="C698" s="404" t="str">
        <f>C277</f>
        <v>BOISSONNAT Guillaume</v>
      </c>
      <c r="D698" s="405">
        <f t="shared" ref="D698" si="2261">R277</f>
        <v>118.72911717220083</v>
      </c>
      <c r="E698" s="406">
        <f t="shared" ref="E698" si="2262">S277</f>
        <v>651.58800000000019</v>
      </c>
      <c r="F698" s="405">
        <f t="shared" ref="F698" si="2263">T277</f>
        <v>77362.468000000023</v>
      </c>
      <c r="G698" s="413"/>
      <c r="H698" s="404" t="str">
        <f t="shared" ref="H698" si="2264">C90</f>
        <v>BOISSONNAT</v>
      </c>
      <c r="I698" s="407" t="str">
        <f t="shared" ref="I698" si="2265">D90</f>
        <v>Guillaume</v>
      </c>
      <c r="J698" s="407" t="str">
        <f>E277</f>
        <v>Doctorat Chimie moleculaire- Université Paris VI</v>
      </c>
      <c r="K698" s="407" t="str">
        <f>D277</f>
        <v>Ingénieur Recherche</v>
      </c>
      <c r="L698" s="349"/>
      <c r="M698" s="349"/>
      <c r="N698" s="349"/>
      <c r="O698" s="349" t="s">
        <v>770</v>
      </c>
      <c r="P698" s="349"/>
      <c r="Q698" s="349"/>
      <c r="R698" s="349"/>
      <c r="S698" s="349"/>
      <c r="T698" s="349"/>
    </row>
    <row r="699" spans="1:20" s="111" customFormat="1" ht="24.75" thickBot="1" x14ac:dyDescent="0.3">
      <c r="A699" s="111" t="s">
        <v>813</v>
      </c>
      <c r="B699" s="362">
        <f>B277</f>
        <v>5</v>
      </c>
      <c r="C699" s="404" t="str">
        <f>C277</f>
        <v>BOISSONNAT Guillaume</v>
      </c>
      <c r="D699" s="405">
        <f t="shared" ref="D699" si="2266">R277</f>
        <v>118.72911717220083</v>
      </c>
      <c r="E699" s="406">
        <f t="shared" ref="E699" si="2267">S277</f>
        <v>651.58800000000019</v>
      </c>
      <c r="F699" s="405">
        <f t="shared" ref="F699" si="2268">T277</f>
        <v>77362.468000000023</v>
      </c>
      <c r="G699" s="413"/>
      <c r="H699" s="404" t="str">
        <f t="shared" ref="H699" si="2269">C90</f>
        <v>BOISSONNAT</v>
      </c>
      <c r="I699" s="407" t="str">
        <f t="shared" ref="I699" si="2270">D90</f>
        <v>Guillaume</v>
      </c>
      <c r="J699" s="407" t="str">
        <f>E277</f>
        <v>Doctorat Chimie moleculaire- Université Paris VI</v>
      </c>
      <c r="K699" s="407" t="str">
        <f>D277</f>
        <v>Ingénieur Recherche</v>
      </c>
      <c r="L699" s="349"/>
      <c r="M699" s="349"/>
      <c r="N699" s="349"/>
      <c r="O699" s="349" t="s">
        <v>770</v>
      </c>
      <c r="P699" s="349"/>
      <c r="Q699" s="349"/>
      <c r="R699" s="349"/>
      <c r="S699" s="349"/>
      <c r="T699" s="349"/>
    </row>
    <row r="700" spans="1:20" s="111" customFormat="1" ht="24.75" thickBot="1" x14ac:dyDescent="0.3">
      <c r="A700" s="111" t="s">
        <v>813</v>
      </c>
      <c r="B700" s="362">
        <f>B277</f>
        <v>5</v>
      </c>
      <c r="C700" s="404" t="str">
        <f>C277</f>
        <v>BOISSONNAT Guillaume</v>
      </c>
      <c r="D700" s="405">
        <f t="shared" ref="D700" si="2271">R277</f>
        <v>118.72911717220083</v>
      </c>
      <c r="E700" s="406">
        <f t="shared" ref="E700" si="2272">S277</f>
        <v>651.58800000000019</v>
      </c>
      <c r="F700" s="405">
        <f t="shared" ref="F700" si="2273">T277</f>
        <v>77362.468000000023</v>
      </c>
      <c r="G700" s="413"/>
      <c r="H700" s="404" t="str">
        <f t="shared" ref="H700" si="2274">C90</f>
        <v>BOISSONNAT</v>
      </c>
      <c r="I700" s="407" t="str">
        <f t="shared" ref="I700" si="2275">D90</f>
        <v>Guillaume</v>
      </c>
      <c r="J700" s="407" t="str">
        <f>E277</f>
        <v>Doctorat Chimie moleculaire- Université Paris VI</v>
      </c>
      <c r="K700" s="407" t="str">
        <f>D277</f>
        <v>Ingénieur Recherche</v>
      </c>
      <c r="L700" s="349"/>
      <c r="M700" s="349"/>
      <c r="N700" s="349"/>
      <c r="O700" s="349" t="s">
        <v>770</v>
      </c>
      <c r="P700" s="349"/>
      <c r="Q700" s="349"/>
      <c r="R700" s="349"/>
      <c r="S700" s="349"/>
      <c r="T700" s="349"/>
    </row>
    <row r="701" spans="1:20" s="111" customFormat="1" ht="24.75" thickBot="1" x14ac:dyDescent="0.3">
      <c r="A701" s="111" t="s">
        <v>813</v>
      </c>
      <c r="B701" s="362">
        <f>B277</f>
        <v>5</v>
      </c>
      <c r="C701" s="404" t="str">
        <f>C277</f>
        <v>BOISSONNAT Guillaume</v>
      </c>
      <c r="D701" s="405">
        <f t="shared" ref="D701" si="2276">R277</f>
        <v>118.72911717220083</v>
      </c>
      <c r="E701" s="406">
        <f t="shared" ref="E701" si="2277">S277</f>
        <v>651.58800000000019</v>
      </c>
      <c r="F701" s="405">
        <f t="shared" ref="F701" si="2278">T277</f>
        <v>77362.468000000023</v>
      </c>
      <c r="G701" s="413"/>
      <c r="H701" s="404" t="str">
        <f t="shared" ref="H701" si="2279">C90</f>
        <v>BOISSONNAT</v>
      </c>
      <c r="I701" s="407" t="str">
        <f t="shared" ref="I701" si="2280">D90</f>
        <v>Guillaume</v>
      </c>
      <c r="J701" s="407" t="str">
        <f>E277</f>
        <v>Doctorat Chimie moleculaire- Université Paris VI</v>
      </c>
      <c r="K701" s="407" t="str">
        <f>D277</f>
        <v>Ingénieur Recherche</v>
      </c>
      <c r="L701" s="349"/>
      <c r="M701" s="349"/>
      <c r="N701" s="349"/>
      <c r="O701" s="349" t="s">
        <v>770</v>
      </c>
      <c r="P701" s="349"/>
      <c r="Q701" s="349"/>
      <c r="R701" s="349"/>
      <c r="S701" s="349"/>
      <c r="T701" s="349"/>
    </row>
    <row r="702" spans="1:20" s="111" customFormat="1" ht="24.75" thickBot="1" x14ac:dyDescent="0.3">
      <c r="A702" s="111" t="s">
        <v>813</v>
      </c>
      <c r="B702" s="362">
        <f>B277</f>
        <v>5</v>
      </c>
      <c r="C702" s="404" t="str">
        <f>C277</f>
        <v>BOISSONNAT Guillaume</v>
      </c>
      <c r="D702" s="405">
        <f t="shared" ref="D702" si="2281">R277</f>
        <v>118.72911717220083</v>
      </c>
      <c r="E702" s="406">
        <f t="shared" ref="E702" si="2282">S277</f>
        <v>651.58800000000019</v>
      </c>
      <c r="F702" s="405">
        <f t="shared" ref="F702" si="2283">T277</f>
        <v>77362.468000000023</v>
      </c>
      <c r="G702" s="413"/>
      <c r="H702" s="404" t="str">
        <f t="shared" ref="H702" si="2284">C90</f>
        <v>BOISSONNAT</v>
      </c>
      <c r="I702" s="407" t="str">
        <f t="shared" ref="I702" si="2285">D90</f>
        <v>Guillaume</v>
      </c>
      <c r="J702" s="407" t="str">
        <f>E277</f>
        <v>Doctorat Chimie moleculaire- Université Paris VI</v>
      </c>
      <c r="K702" s="407" t="str">
        <f>D277</f>
        <v>Ingénieur Recherche</v>
      </c>
      <c r="L702" s="349"/>
      <c r="M702" s="349"/>
      <c r="N702" s="349"/>
      <c r="O702" s="349" t="s">
        <v>770</v>
      </c>
      <c r="P702" s="349"/>
      <c r="Q702" s="349"/>
      <c r="R702" s="349"/>
      <c r="S702" s="349"/>
      <c r="T702" s="349"/>
    </row>
    <row r="703" spans="1:20" s="111" customFormat="1" ht="24.75" thickBot="1" x14ac:dyDescent="0.3">
      <c r="A703" s="111" t="s">
        <v>813</v>
      </c>
      <c r="B703" s="362">
        <f>B277</f>
        <v>5</v>
      </c>
      <c r="C703" s="404" t="str">
        <f>C277</f>
        <v>BOISSONNAT Guillaume</v>
      </c>
      <c r="D703" s="405">
        <f t="shared" ref="D703" si="2286">R277</f>
        <v>118.72911717220083</v>
      </c>
      <c r="E703" s="406">
        <f t="shared" ref="E703" si="2287">S277</f>
        <v>651.58800000000019</v>
      </c>
      <c r="F703" s="405">
        <f t="shared" ref="F703" si="2288">T277</f>
        <v>77362.468000000023</v>
      </c>
      <c r="G703" s="413"/>
      <c r="H703" s="404" t="str">
        <f t="shared" ref="H703" si="2289">C90</f>
        <v>BOISSONNAT</v>
      </c>
      <c r="I703" s="407" t="str">
        <f t="shared" ref="I703" si="2290">D90</f>
        <v>Guillaume</v>
      </c>
      <c r="J703" s="407" t="str">
        <f>E277</f>
        <v>Doctorat Chimie moleculaire- Université Paris VI</v>
      </c>
      <c r="K703" s="407" t="str">
        <f>D277</f>
        <v>Ingénieur Recherche</v>
      </c>
      <c r="L703" s="349"/>
      <c r="M703" s="349"/>
      <c r="N703" s="349"/>
      <c r="O703" s="349" t="s">
        <v>770</v>
      </c>
      <c r="P703" s="349"/>
      <c r="Q703" s="349"/>
      <c r="R703" s="349"/>
      <c r="S703" s="349"/>
      <c r="T703" s="349"/>
    </row>
    <row r="704" spans="1:20" s="111" customFormat="1" ht="24.75" thickBot="1" x14ac:dyDescent="0.3">
      <c r="A704" s="111" t="s">
        <v>813</v>
      </c>
      <c r="B704" s="362">
        <f>B277</f>
        <v>5</v>
      </c>
      <c r="C704" s="404" t="str">
        <f>C277</f>
        <v>BOISSONNAT Guillaume</v>
      </c>
      <c r="D704" s="405">
        <f t="shared" ref="D704" si="2291">R277</f>
        <v>118.72911717220083</v>
      </c>
      <c r="E704" s="406">
        <f t="shared" ref="E704" si="2292">S277</f>
        <v>651.58800000000019</v>
      </c>
      <c r="F704" s="405">
        <f t="shared" ref="F704" si="2293">T277</f>
        <v>77362.468000000023</v>
      </c>
      <c r="G704" s="413"/>
      <c r="H704" s="404" t="str">
        <f t="shared" ref="H704" si="2294">C90</f>
        <v>BOISSONNAT</v>
      </c>
      <c r="I704" s="407" t="str">
        <f t="shared" ref="I704" si="2295">D90</f>
        <v>Guillaume</v>
      </c>
      <c r="J704" s="407" t="str">
        <f>E277</f>
        <v>Doctorat Chimie moleculaire- Université Paris VI</v>
      </c>
      <c r="K704" s="407" t="str">
        <f>D277</f>
        <v>Ingénieur Recherche</v>
      </c>
      <c r="L704" s="349"/>
      <c r="M704" s="349"/>
      <c r="N704" s="349"/>
      <c r="O704" s="349" t="s">
        <v>770</v>
      </c>
      <c r="P704" s="349"/>
      <c r="Q704" s="349"/>
      <c r="R704" s="349"/>
      <c r="S704" s="349"/>
      <c r="T704" s="349"/>
    </row>
    <row r="705" spans="1:20" s="111" customFormat="1" ht="24.75" thickBot="1" x14ac:dyDescent="0.3">
      <c r="A705" s="111" t="s">
        <v>813</v>
      </c>
      <c r="B705" s="362">
        <f>B277</f>
        <v>5</v>
      </c>
      <c r="C705" s="404" t="str">
        <f>C277</f>
        <v>BOISSONNAT Guillaume</v>
      </c>
      <c r="D705" s="405">
        <f t="shared" ref="D705" si="2296">R277</f>
        <v>118.72911717220083</v>
      </c>
      <c r="E705" s="406">
        <f t="shared" ref="E705" si="2297">S277</f>
        <v>651.58800000000019</v>
      </c>
      <c r="F705" s="405">
        <f t="shared" ref="F705" si="2298">T277</f>
        <v>77362.468000000023</v>
      </c>
      <c r="G705" s="413"/>
      <c r="H705" s="404" t="str">
        <f t="shared" ref="H705" si="2299">C90</f>
        <v>BOISSONNAT</v>
      </c>
      <c r="I705" s="407" t="str">
        <f t="shared" ref="I705" si="2300">D90</f>
        <v>Guillaume</v>
      </c>
      <c r="J705" s="407" t="str">
        <f>E277</f>
        <v>Doctorat Chimie moleculaire- Université Paris VI</v>
      </c>
      <c r="K705" s="407" t="str">
        <f>D277</f>
        <v>Ingénieur Recherche</v>
      </c>
      <c r="L705" s="349"/>
      <c r="M705" s="349"/>
      <c r="N705" s="349"/>
      <c r="O705" s="349" t="s">
        <v>770</v>
      </c>
      <c r="P705" s="349"/>
      <c r="Q705" s="349"/>
      <c r="R705" s="349"/>
      <c r="S705" s="349"/>
      <c r="T705" s="349"/>
    </row>
    <row r="706" spans="1:20" s="111" customFormat="1" ht="24.75" thickBot="1" x14ac:dyDescent="0.3">
      <c r="A706" s="111" t="s">
        <v>813</v>
      </c>
      <c r="B706" s="362">
        <f>B277</f>
        <v>5</v>
      </c>
      <c r="C706" s="404" t="str">
        <f>C277</f>
        <v>BOISSONNAT Guillaume</v>
      </c>
      <c r="D706" s="405">
        <f t="shared" ref="D706" si="2301">R277</f>
        <v>118.72911717220083</v>
      </c>
      <c r="E706" s="406">
        <f t="shared" ref="E706" si="2302">S277</f>
        <v>651.58800000000019</v>
      </c>
      <c r="F706" s="405">
        <f t="shared" ref="F706" si="2303">T277</f>
        <v>77362.468000000023</v>
      </c>
      <c r="G706" s="413"/>
      <c r="H706" s="404" t="str">
        <f t="shared" ref="H706" si="2304">C90</f>
        <v>BOISSONNAT</v>
      </c>
      <c r="I706" s="407" t="str">
        <f t="shared" ref="I706" si="2305">D90</f>
        <v>Guillaume</v>
      </c>
      <c r="J706" s="407" t="str">
        <f>E277</f>
        <v>Doctorat Chimie moleculaire- Université Paris VI</v>
      </c>
      <c r="K706" s="407" t="str">
        <f>D277</f>
        <v>Ingénieur Recherche</v>
      </c>
      <c r="L706" s="349"/>
      <c r="M706" s="349"/>
      <c r="N706" s="349"/>
      <c r="O706" s="349" t="s">
        <v>770</v>
      </c>
      <c r="P706" s="349"/>
      <c r="Q706" s="349"/>
      <c r="R706" s="349"/>
      <c r="S706" s="349"/>
      <c r="T706" s="349"/>
    </row>
    <row r="707" spans="1:20" s="111" customFormat="1" ht="24.75" thickBot="1" x14ac:dyDescent="0.3">
      <c r="A707" s="111" t="s">
        <v>813</v>
      </c>
      <c r="B707" s="362">
        <f>B277</f>
        <v>5</v>
      </c>
      <c r="C707" s="404" t="str">
        <f>C277</f>
        <v>BOISSONNAT Guillaume</v>
      </c>
      <c r="D707" s="405">
        <f t="shared" ref="D707" si="2306">R277</f>
        <v>118.72911717220083</v>
      </c>
      <c r="E707" s="406">
        <f t="shared" ref="E707" si="2307">S277</f>
        <v>651.58800000000019</v>
      </c>
      <c r="F707" s="405">
        <f t="shared" ref="F707" si="2308">T277</f>
        <v>77362.468000000023</v>
      </c>
      <c r="G707" s="413"/>
      <c r="H707" s="404" t="str">
        <f t="shared" ref="H707" si="2309">C90</f>
        <v>BOISSONNAT</v>
      </c>
      <c r="I707" s="407" t="str">
        <f t="shared" ref="I707" si="2310">D90</f>
        <v>Guillaume</v>
      </c>
      <c r="J707" s="407" t="str">
        <f>E277</f>
        <v>Doctorat Chimie moleculaire- Université Paris VI</v>
      </c>
      <c r="K707" s="407" t="str">
        <f>D277</f>
        <v>Ingénieur Recherche</v>
      </c>
      <c r="L707" s="349"/>
      <c r="M707" s="349"/>
      <c r="N707" s="349"/>
      <c r="O707" s="349" t="s">
        <v>770</v>
      </c>
      <c r="P707" s="349"/>
      <c r="Q707" s="349"/>
      <c r="R707" s="349"/>
      <c r="S707" s="349"/>
      <c r="T707" s="349"/>
    </row>
    <row r="708" spans="1:20" s="111" customFormat="1" ht="24.75" thickBot="1" x14ac:dyDescent="0.3">
      <c r="A708" s="111" t="s">
        <v>813</v>
      </c>
      <c r="B708" s="362">
        <f>B277</f>
        <v>5</v>
      </c>
      <c r="C708" s="404" t="str">
        <f>C277</f>
        <v>BOISSONNAT Guillaume</v>
      </c>
      <c r="D708" s="405">
        <f t="shared" ref="D708" si="2311">R277</f>
        <v>118.72911717220083</v>
      </c>
      <c r="E708" s="406">
        <f t="shared" ref="E708" si="2312">S277</f>
        <v>651.58800000000019</v>
      </c>
      <c r="F708" s="405">
        <f t="shared" ref="F708" si="2313">T277</f>
        <v>77362.468000000023</v>
      </c>
      <c r="G708" s="413"/>
      <c r="H708" s="404" t="str">
        <f t="shared" ref="H708" si="2314">C90</f>
        <v>BOISSONNAT</v>
      </c>
      <c r="I708" s="407" t="str">
        <f t="shared" ref="I708" si="2315">D90</f>
        <v>Guillaume</v>
      </c>
      <c r="J708" s="407" t="str">
        <f>E277</f>
        <v>Doctorat Chimie moleculaire- Université Paris VI</v>
      </c>
      <c r="K708" s="407" t="str">
        <f>D277</f>
        <v>Ingénieur Recherche</v>
      </c>
      <c r="L708" s="349"/>
      <c r="M708" s="349"/>
      <c r="N708" s="349"/>
      <c r="O708" s="349" t="s">
        <v>770</v>
      </c>
      <c r="P708" s="349"/>
      <c r="Q708" s="349"/>
      <c r="R708" s="349"/>
      <c r="S708" s="349"/>
      <c r="T708" s="349"/>
    </row>
    <row r="709" spans="1:20" s="111" customFormat="1" ht="24.75" thickBot="1" x14ac:dyDescent="0.3">
      <c r="A709" s="111" t="s">
        <v>813</v>
      </c>
      <c r="B709" s="362">
        <f>B277</f>
        <v>5</v>
      </c>
      <c r="C709" s="404" t="str">
        <f>C277</f>
        <v>BOISSONNAT Guillaume</v>
      </c>
      <c r="D709" s="405">
        <f t="shared" ref="D709" si="2316">R277</f>
        <v>118.72911717220083</v>
      </c>
      <c r="E709" s="406">
        <f t="shared" ref="E709" si="2317">S277</f>
        <v>651.58800000000019</v>
      </c>
      <c r="F709" s="405">
        <f t="shared" ref="F709" si="2318">T277</f>
        <v>77362.468000000023</v>
      </c>
      <c r="G709" s="413"/>
      <c r="H709" s="404" t="str">
        <f t="shared" ref="H709" si="2319">C90</f>
        <v>BOISSONNAT</v>
      </c>
      <c r="I709" s="407" t="str">
        <f t="shared" ref="I709" si="2320">D90</f>
        <v>Guillaume</v>
      </c>
      <c r="J709" s="407" t="str">
        <f>E277</f>
        <v>Doctorat Chimie moleculaire- Université Paris VI</v>
      </c>
      <c r="K709" s="407" t="str">
        <f>D277</f>
        <v>Ingénieur Recherche</v>
      </c>
      <c r="L709" s="349"/>
      <c r="M709" s="349"/>
      <c r="N709" s="349"/>
      <c r="O709" s="349" t="s">
        <v>770</v>
      </c>
      <c r="P709" s="349"/>
      <c r="Q709" s="349"/>
      <c r="R709" s="349"/>
      <c r="S709" s="349"/>
      <c r="T709" s="349"/>
    </row>
    <row r="710" spans="1:20" s="111" customFormat="1" ht="24.75" thickBot="1" x14ac:dyDescent="0.3">
      <c r="A710" s="111" t="s">
        <v>813</v>
      </c>
      <c r="B710" s="362">
        <f>B277</f>
        <v>5</v>
      </c>
      <c r="C710" s="404" t="str">
        <f>C277</f>
        <v>BOISSONNAT Guillaume</v>
      </c>
      <c r="D710" s="405">
        <f t="shared" ref="D710" si="2321">R277</f>
        <v>118.72911717220083</v>
      </c>
      <c r="E710" s="406">
        <f t="shared" ref="E710" si="2322">S277</f>
        <v>651.58800000000019</v>
      </c>
      <c r="F710" s="405">
        <f t="shared" ref="F710" si="2323">T277</f>
        <v>77362.468000000023</v>
      </c>
      <c r="G710" s="413"/>
      <c r="H710" s="404" t="str">
        <f t="shared" ref="H710" si="2324">C90</f>
        <v>BOISSONNAT</v>
      </c>
      <c r="I710" s="407" t="str">
        <f t="shared" ref="I710" si="2325">D90</f>
        <v>Guillaume</v>
      </c>
      <c r="J710" s="407" t="str">
        <f>E277</f>
        <v>Doctorat Chimie moleculaire- Université Paris VI</v>
      </c>
      <c r="K710" s="407" t="str">
        <f>D277</f>
        <v>Ingénieur Recherche</v>
      </c>
      <c r="L710" s="349"/>
      <c r="M710" s="349"/>
      <c r="N710" s="349"/>
      <c r="O710" s="349" t="s">
        <v>770</v>
      </c>
      <c r="P710" s="349"/>
      <c r="Q710" s="349"/>
      <c r="R710" s="349"/>
      <c r="S710" s="349"/>
      <c r="T710" s="349"/>
    </row>
    <row r="711" spans="1:20" s="111" customFormat="1" ht="24.75" thickBot="1" x14ac:dyDescent="0.3">
      <c r="A711" s="111" t="s">
        <v>813</v>
      </c>
      <c r="B711" s="362">
        <f>B277</f>
        <v>5</v>
      </c>
      <c r="C711" s="404" t="str">
        <f>C277</f>
        <v>BOISSONNAT Guillaume</v>
      </c>
      <c r="D711" s="405">
        <f t="shared" ref="D711" si="2326">R277</f>
        <v>118.72911717220083</v>
      </c>
      <c r="E711" s="406">
        <f t="shared" ref="E711" si="2327">S277</f>
        <v>651.58800000000019</v>
      </c>
      <c r="F711" s="405">
        <f t="shared" ref="F711" si="2328">T277</f>
        <v>77362.468000000023</v>
      </c>
      <c r="G711" s="413"/>
      <c r="H711" s="404" t="str">
        <f t="shared" ref="H711" si="2329">C90</f>
        <v>BOISSONNAT</v>
      </c>
      <c r="I711" s="407" t="str">
        <f t="shared" ref="I711" si="2330">D90</f>
        <v>Guillaume</v>
      </c>
      <c r="J711" s="407" t="str">
        <f>E277</f>
        <v>Doctorat Chimie moleculaire- Université Paris VI</v>
      </c>
      <c r="K711" s="407" t="str">
        <f>D277</f>
        <v>Ingénieur Recherche</v>
      </c>
      <c r="L711" s="349"/>
      <c r="M711" s="349"/>
      <c r="N711" s="349"/>
      <c r="O711" s="349" t="s">
        <v>770</v>
      </c>
      <c r="P711" s="349"/>
      <c r="Q711" s="349"/>
      <c r="R711" s="349"/>
      <c r="S711" s="349"/>
      <c r="T711" s="349"/>
    </row>
    <row r="712" spans="1:20" s="111" customFormat="1" ht="24.75" thickBot="1" x14ac:dyDescent="0.3">
      <c r="A712" s="111" t="s">
        <v>813</v>
      </c>
      <c r="B712" s="362">
        <f>B277</f>
        <v>5</v>
      </c>
      <c r="C712" s="404" t="str">
        <f>C277</f>
        <v>BOISSONNAT Guillaume</v>
      </c>
      <c r="D712" s="405">
        <f t="shared" ref="D712" si="2331">R277</f>
        <v>118.72911717220083</v>
      </c>
      <c r="E712" s="406">
        <f t="shared" ref="E712" si="2332">S277</f>
        <v>651.58800000000019</v>
      </c>
      <c r="F712" s="405">
        <f t="shared" ref="F712" si="2333">T277</f>
        <v>77362.468000000023</v>
      </c>
      <c r="G712" s="413"/>
      <c r="H712" s="404" t="str">
        <f t="shared" ref="H712" si="2334">C90</f>
        <v>BOISSONNAT</v>
      </c>
      <c r="I712" s="407" t="str">
        <f t="shared" ref="I712" si="2335">D90</f>
        <v>Guillaume</v>
      </c>
      <c r="J712" s="407" t="str">
        <f>E277</f>
        <v>Doctorat Chimie moleculaire- Université Paris VI</v>
      </c>
      <c r="K712" s="407" t="str">
        <f>D277</f>
        <v>Ingénieur Recherche</v>
      </c>
      <c r="L712" s="349"/>
      <c r="M712" s="349"/>
      <c r="N712" s="349"/>
      <c r="O712" s="349" t="s">
        <v>770</v>
      </c>
      <c r="P712" s="349"/>
      <c r="Q712" s="349"/>
      <c r="R712" s="349"/>
      <c r="S712" s="349"/>
      <c r="T712" s="349"/>
    </row>
    <row r="713" spans="1:20" s="111" customFormat="1" ht="24.75" thickBot="1" x14ac:dyDescent="0.3">
      <c r="A713" s="111" t="s">
        <v>813</v>
      </c>
      <c r="B713" s="362">
        <f>B277</f>
        <v>5</v>
      </c>
      <c r="C713" s="404" t="str">
        <f>C277</f>
        <v>BOISSONNAT Guillaume</v>
      </c>
      <c r="D713" s="405">
        <f t="shared" ref="D713" si="2336">R277</f>
        <v>118.72911717220083</v>
      </c>
      <c r="E713" s="406">
        <f t="shared" ref="E713" si="2337">S277</f>
        <v>651.58800000000019</v>
      </c>
      <c r="F713" s="405">
        <f t="shared" ref="F713" si="2338">T277</f>
        <v>77362.468000000023</v>
      </c>
      <c r="G713" s="413"/>
      <c r="H713" s="404" t="str">
        <f t="shared" ref="H713" si="2339">C90</f>
        <v>BOISSONNAT</v>
      </c>
      <c r="I713" s="407" t="str">
        <f t="shared" ref="I713" si="2340">D90</f>
        <v>Guillaume</v>
      </c>
      <c r="J713" s="407" t="str">
        <f>E277</f>
        <v>Doctorat Chimie moleculaire- Université Paris VI</v>
      </c>
      <c r="K713" s="407" t="str">
        <f>D277</f>
        <v>Ingénieur Recherche</v>
      </c>
      <c r="L713" s="349"/>
      <c r="M713" s="349"/>
      <c r="N713" s="349"/>
      <c r="O713" s="349" t="s">
        <v>770</v>
      </c>
      <c r="P713" s="349"/>
      <c r="Q713" s="349"/>
      <c r="R713" s="349"/>
      <c r="S713" s="349"/>
      <c r="T713" s="349"/>
    </row>
    <row r="714" spans="1:20" s="111" customFormat="1" ht="24.75" thickBot="1" x14ac:dyDescent="0.3">
      <c r="A714" s="111" t="s">
        <v>813</v>
      </c>
      <c r="B714" s="362">
        <f>B277</f>
        <v>5</v>
      </c>
      <c r="C714" s="404" t="str">
        <f>C277</f>
        <v>BOISSONNAT Guillaume</v>
      </c>
      <c r="D714" s="405">
        <f t="shared" ref="D714" si="2341">R277</f>
        <v>118.72911717220083</v>
      </c>
      <c r="E714" s="406">
        <f t="shared" ref="E714" si="2342">S277</f>
        <v>651.58800000000019</v>
      </c>
      <c r="F714" s="405">
        <f t="shared" ref="F714" si="2343">T277</f>
        <v>77362.468000000023</v>
      </c>
      <c r="G714" s="413"/>
      <c r="H714" s="404" t="str">
        <f t="shared" ref="H714" si="2344">C90</f>
        <v>BOISSONNAT</v>
      </c>
      <c r="I714" s="407" t="str">
        <f t="shared" ref="I714" si="2345">D90</f>
        <v>Guillaume</v>
      </c>
      <c r="J714" s="407" t="str">
        <f>E277</f>
        <v>Doctorat Chimie moleculaire- Université Paris VI</v>
      </c>
      <c r="K714" s="407" t="str">
        <f>D277</f>
        <v>Ingénieur Recherche</v>
      </c>
      <c r="L714" s="349"/>
      <c r="M714" s="349"/>
      <c r="N714" s="349"/>
      <c r="O714" s="349" t="s">
        <v>770</v>
      </c>
      <c r="P714" s="349"/>
      <c r="Q714" s="349"/>
      <c r="R714" s="349"/>
      <c r="S714" s="349"/>
      <c r="T714" s="349"/>
    </row>
    <row r="715" spans="1:20" s="111" customFormat="1" ht="24.75" thickBot="1" x14ac:dyDescent="0.3">
      <c r="A715" s="111" t="s">
        <v>813</v>
      </c>
      <c r="B715" s="362">
        <f>B277</f>
        <v>5</v>
      </c>
      <c r="C715" s="404" t="str">
        <f>C277</f>
        <v>BOISSONNAT Guillaume</v>
      </c>
      <c r="D715" s="405">
        <f t="shared" ref="D715" si="2346">R277</f>
        <v>118.72911717220083</v>
      </c>
      <c r="E715" s="406">
        <f t="shared" ref="E715" si="2347">S277</f>
        <v>651.58800000000019</v>
      </c>
      <c r="F715" s="405">
        <f t="shared" ref="F715" si="2348">T277</f>
        <v>77362.468000000023</v>
      </c>
      <c r="G715" s="413"/>
      <c r="H715" s="404" t="str">
        <f t="shared" ref="H715" si="2349">C90</f>
        <v>BOISSONNAT</v>
      </c>
      <c r="I715" s="407" t="str">
        <f t="shared" ref="I715" si="2350">D90</f>
        <v>Guillaume</v>
      </c>
      <c r="J715" s="407" t="str">
        <f>E277</f>
        <v>Doctorat Chimie moleculaire- Université Paris VI</v>
      </c>
      <c r="K715" s="407" t="str">
        <f>D277</f>
        <v>Ingénieur Recherche</v>
      </c>
      <c r="L715" s="349"/>
      <c r="M715" s="349"/>
      <c r="N715" s="349"/>
      <c r="O715" s="349" t="s">
        <v>770</v>
      </c>
      <c r="P715" s="349"/>
      <c r="Q715" s="349"/>
      <c r="R715" s="349"/>
      <c r="S715" s="349"/>
      <c r="T715" s="349"/>
    </row>
    <row r="716" spans="1:20" s="111" customFormat="1" ht="24.75" thickBot="1" x14ac:dyDescent="0.3">
      <c r="A716" s="111" t="s">
        <v>813</v>
      </c>
      <c r="B716" s="362">
        <f>B277</f>
        <v>5</v>
      </c>
      <c r="C716" s="404" t="str">
        <f>C277</f>
        <v>BOISSONNAT Guillaume</v>
      </c>
      <c r="D716" s="405">
        <f t="shared" ref="D716" si="2351">R277</f>
        <v>118.72911717220083</v>
      </c>
      <c r="E716" s="406">
        <f t="shared" ref="E716" si="2352">S277</f>
        <v>651.58800000000019</v>
      </c>
      <c r="F716" s="405">
        <f t="shared" ref="F716" si="2353">T277</f>
        <v>77362.468000000023</v>
      </c>
      <c r="G716" s="413"/>
      <c r="H716" s="404" t="str">
        <f t="shared" ref="H716" si="2354">C90</f>
        <v>BOISSONNAT</v>
      </c>
      <c r="I716" s="407" t="str">
        <f t="shared" ref="I716" si="2355">D90</f>
        <v>Guillaume</v>
      </c>
      <c r="J716" s="407" t="str">
        <f>E277</f>
        <v>Doctorat Chimie moleculaire- Université Paris VI</v>
      </c>
      <c r="K716" s="407" t="str">
        <f>D277</f>
        <v>Ingénieur Recherche</v>
      </c>
      <c r="L716" s="349"/>
      <c r="M716" s="349"/>
      <c r="N716" s="349"/>
      <c r="O716" s="349" t="s">
        <v>770</v>
      </c>
      <c r="P716" s="349"/>
      <c r="Q716" s="349"/>
      <c r="R716" s="349"/>
      <c r="S716" s="349"/>
      <c r="T716" s="349"/>
    </row>
    <row r="717" spans="1:20" s="111" customFormat="1" ht="24.75" thickBot="1" x14ac:dyDescent="0.3">
      <c r="A717" s="111" t="s">
        <v>813</v>
      </c>
      <c r="B717" s="362">
        <f>B277</f>
        <v>5</v>
      </c>
      <c r="C717" s="404" t="str">
        <f>C277</f>
        <v>BOISSONNAT Guillaume</v>
      </c>
      <c r="D717" s="405">
        <f t="shared" ref="D717" si="2356">R277</f>
        <v>118.72911717220083</v>
      </c>
      <c r="E717" s="406">
        <f t="shared" ref="E717" si="2357">S277</f>
        <v>651.58800000000019</v>
      </c>
      <c r="F717" s="405">
        <f t="shared" ref="F717" si="2358">T277</f>
        <v>77362.468000000023</v>
      </c>
      <c r="G717" s="413"/>
      <c r="H717" s="404" t="str">
        <f t="shared" ref="H717" si="2359">C90</f>
        <v>BOISSONNAT</v>
      </c>
      <c r="I717" s="407" t="str">
        <f t="shared" ref="I717" si="2360">D90</f>
        <v>Guillaume</v>
      </c>
      <c r="J717" s="407" t="str">
        <f>E277</f>
        <v>Doctorat Chimie moleculaire- Université Paris VI</v>
      </c>
      <c r="K717" s="407" t="str">
        <f>D277</f>
        <v>Ingénieur Recherche</v>
      </c>
      <c r="L717" s="349"/>
      <c r="M717" s="349"/>
      <c r="N717" s="349"/>
      <c r="O717" s="349" t="s">
        <v>770</v>
      </c>
      <c r="P717" s="349"/>
      <c r="Q717" s="349"/>
      <c r="R717" s="349"/>
      <c r="S717" s="349"/>
      <c r="T717" s="349"/>
    </row>
    <row r="718" spans="1:20" s="111" customFormat="1" ht="24.75" thickBot="1" x14ac:dyDescent="0.3">
      <c r="A718" s="111" t="s">
        <v>813</v>
      </c>
      <c r="B718" s="362">
        <f>B277</f>
        <v>5</v>
      </c>
      <c r="C718" s="404" t="str">
        <f>C277</f>
        <v>BOISSONNAT Guillaume</v>
      </c>
      <c r="D718" s="405">
        <f t="shared" ref="D718" si="2361">R277</f>
        <v>118.72911717220083</v>
      </c>
      <c r="E718" s="406">
        <f t="shared" ref="E718" si="2362">S277</f>
        <v>651.58800000000019</v>
      </c>
      <c r="F718" s="405">
        <f t="shared" ref="F718" si="2363">T277</f>
        <v>77362.468000000023</v>
      </c>
      <c r="G718" s="413"/>
      <c r="H718" s="404" t="str">
        <f t="shared" ref="H718" si="2364">C90</f>
        <v>BOISSONNAT</v>
      </c>
      <c r="I718" s="407" t="str">
        <f t="shared" ref="I718" si="2365">D90</f>
        <v>Guillaume</v>
      </c>
      <c r="J718" s="407" t="str">
        <f>E277</f>
        <v>Doctorat Chimie moleculaire- Université Paris VI</v>
      </c>
      <c r="K718" s="407" t="str">
        <f>D277</f>
        <v>Ingénieur Recherche</v>
      </c>
      <c r="L718" s="349"/>
      <c r="M718" s="349"/>
      <c r="N718" s="349"/>
      <c r="O718" s="349" t="s">
        <v>770</v>
      </c>
      <c r="P718" s="349"/>
      <c r="Q718" s="349"/>
      <c r="R718" s="349"/>
      <c r="S718" s="349"/>
      <c r="T718" s="349"/>
    </row>
    <row r="719" spans="1:20" s="111" customFormat="1" ht="24.75" thickBot="1" x14ac:dyDescent="0.3">
      <c r="A719" s="111" t="s">
        <v>813</v>
      </c>
      <c r="B719" s="362">
        <f>B277</f>
        <v>5</v>
      </c>
      <c r="C719" s="404" t="str">
        <f>C277</f>
        <v>BOISSONNAT Guillaume</v>
      </c>
      <c r="D719" s="405">
        <f t="shared" ref="D719" si="2366">R277</f>
        <v>118.72911717220083</v>
      </c>
      <c r="E719" s="406">
        <f t="shared" ref="E719" si="2367">S277</f>
        <v>651.58800000000019</v>
      </c>
      <c r="F719" s="405">
        <f t="shared" ref="F719" si="2368">T277</f>
        <v>77362.468000000023</v>
      </c>
      <c r="G719" s="413"/>
      <c r="H719" s="404" t="str">
        <f t="shared" ref="H719" si="2369">C90</f>
        <v>BOISSONNAT</v>
      </c>
      <c r="I719" s="407" t="str">
        <f t="shared" ref="I719" si="2370">D90</f>
        <v>Guillaume</v>
      </c>
      <c r="J719" s="407" t="str">
        <f>E277</f>
        <v>Doctorat Chimie moleculaire- Université Paris VI</v>
      </c>
      <c r="K719" s="407" t="str">
        <f>D277</f>
        <v>Ingénieur Recherche</v>
      </c>
      <c r="L719" s="349"/>
      <c r="M719" s="349"/>
      <c r="N719" s="349"/>
      <c r="O719" s="349" t="s">
        <v>770</v>
      </c>
      <c r="P719" s="349"/>
      <c r="Q719" s="349"/>
      <c r="R719" s="349"/>
      <c r="S719" s="349"/>
      <c r="T719" s="349"/>
    </row>
    <row r="720" spans="1:20" s="111" customFormat="1" ht="24.75" thickBot="1" x14ac:dyDescent="0.3">
      <c r="A720" s="111" t="s">
        <v>813</v>
      </c>
      <c r="B720" s="362">
        <f>B274</f>
        <v>1</v>
      </c>
      <c r="C720" s="404" t="str">
        <f>C274</f>
        <v>AMILLASTRE Emilie</v>
      </c>
      <c r="D720" s="405">
        <f t="shared" ref="D720:F720" si="2371">R274</f>
        <v>51.165673195193484</v>
      </c>
      <c r="E720" s="406">
        <f t="shared" si="2371"/>
        <v>1481.320000000002</v>
      </c>
      <c r="F720" s="405">
        <f t="shared" si="2371"/>
        <v>75792.735017504121</v>
      </c>
      <c r="G720" s="413"/>
      <c r="H720" s="404" t="str">
        <f t="shared" ref="H720" si="2372">C87</f>
        <v>AMILLASTRE</v>
      </c>
      <c r="I720" s="407" t="str">
        <f t="shared" ref="I720" si="2373">D87</f>
        <v>Emilie</v>
      </c>
      <c r="J720" s="407" t="str">
        <f>E274</f>
        <v>Doctorat - INSA Toulouse</v>
      </c>
      <c r="K720" s="407" t="str">
        <f>D274</f>
        <v>Experte Bioprocédés</v>
      </c>
      <c r="L720" s="349"/>
      <c r="M720" s="349"/>
      <c r="N720" s="349"/>
      <c r="O720" s="349" t="s">
        <v>770</v>
      </c>
      <c r="P720" s="349"/>
      <c r="Q720" s="349"/>
      <c r="R720" s="349"/>
      <c r="S720" s="349"/>
      <c r="T720" s="349"/>
    </row>
    <row r="721" spans="1:20" s="111" customFormat="1" ht="15.75" thickBot="1" x14ac:dyDescent="0.3">
      <c r="A721" s="111" t="s">
        <v>813</v>
      </c>
      <c r="B721" s="362" t="e">
        <f>B275</f>
        <v>#REF!</v>
      </c>
      <c r="C721" s="404" t="e">
        <f>C275</f>
        <v>#REF!</v>
      </c>
      <c r="D721" s="405" t="e">
        <f t="shared" ref="D721" si="2374">R275</f>
        <v>#REF!</v>
      </c>
      <c r="E721" s="406" t="e">
        <f t="shared" ref="E721" si="2375">S275</f>
        <v>#REF!</v>
      </c>
      <c r="F721" s="405" t="e">
        <f t="shared" ref="F721" si="2376">T275</f>
        <v>#REF!</v>
      </c>
      <c r="G721" s="413"/>
      <c r="H721" s="404" t="e">
        <f t="shared" ref="H721" si="2377">C88</f>
        <v>#REF!</v>
      </c>
      <c r="I721" s="407" t="e">
        <f t="shared" ref="I721" si="2378">D88</f>
        <v>#REF!</v>
      </c>
      <c r="J721" s="407" t="e">
        <f>E275</f>
        <v>#REF!</v>
      </c>
      <c r="K721" s="407" t="e">
        <f>D275</f>
        <v>#REF!</v>
      </c>
      <c r="L721" s="349"/>
      <c r="M721" s="349"/>
      <c r="N721" s="349"/>
      <c r="O721" s="349" t="s">
        <v>770</v>
      </c>
      <c r="P721" s="349"/>
      <c r="Q721" s="349"/>
      <c r="R721" s="349"/>
      <c r="S721" s="349"/>
      <c r="T721" s="349"/>
    </row>
    <row r="722" spans="1:20" s="111" customFormat="1" ht="15.75" thickBot="1" x14ac:dyDescent="0.3">
      <c r="A722" s="111" t="s">
        <v>813</v>
      </c>
      <c r="B722" s="362" t="e">
        <f>B275</f>
        <v>#REF!</v>
      </c>
      <c r="C722" s="404" t="e">
        <f>C275</f>
        <v>#REF!</v>
      </c>
      <c r="D722" s="405" t="e">
        <f t="shared" ref="D722" si="2379">R275</f>
        <v>#REF!</v>
      </c>
      <c r="E722" s="406" t="e">
        <f t="shared" ref="E722" si="2380">S275</f>
        <v>#REF!</v>
      </c>
      <c r="F722" s="405" t="e">
        <f t="shared" ref="F722" si="2381">T275</f>
        <v>#REF!</v>
      </c>
      <c r="G722" s="413"/>
      <c r="H722" s="404" t="e">
        <f t="shared" ref="H722" si="2382">C88</f>
        <v>#REF!</v>
      </c>
      <c r="I722" s="407" t="e">
        <f t="shared" ref="I722" si="2383">D88</f>
        <v>#REF!</v>
      </c>
      <c r="J722" s="407" t="e">
        <f>E275</f>
        <v>#REF!</v>
      </c>
      <c r="K722" s="407" t="e">
        <f>D275</f>
        <v>#REF!</v>
      </c>
      <c r="L722" s="349"/>
      <c r="M722" s="349"/>
      <c r="N722" s="349"/>
      <c r="O722" s="349" t="s">
        <v>770</v>
      </c>
      <c r="P722" s="349"/>
      <c r="Q722" s="349"/>
      <c r="R722" s="349"/>
      <c r="S722" s="349"/>
      <c r="T722" s="349"/>
    </row>
    <row r="723" spans="1:20" s="111" customFormat="1" ht="15.75" thickBot="1" x14ac:dyDescent="0.3">
      <c r="A723" s="111" t="s">
        <v>813</v>
      </c>
      <c r="B723" s="362" t="e">
        <f>B275</f>
        <v>#REF!</v>
      </c>
      <c r="C723" s="404" t="e">
        <f>C275</f>
        <v>#REF!</v>
      </c>
      <c r="D723" s="405" t="e">
        <f t="shared" ref="D723" si="2384">R275</f>
        <v>#REF!</v>
      </c>
      <c r="E723" s="406" t="e">
        <f t="shared" ref="E723" si="2385">S275</f>
        <v>#REF!</v>
      </c>
      <c r="F723" s="405" t="e">
        <f t="shared" ref="F723" si="2386">T275</f>
        <v>#REF!</v>
      </c>
      <c r="G723" s="413"/>
      <c r="H723" s="404" t="e">
        <f t="shared" ref="H723" si="2387">C88</f>
        <v>#REF!</v>
      </c>
      <c r="I723" s="407" t="e">
        <f t="shared" ref="I723" si="2388">D88</f>
        <v>#REF!</v>
      </c>
      <c r="J723" s="407" t="e">
        <f>E275</f>
        <v>#REF!</v>
      </c>
      <c r="K723" s="407" t="e">
        <f>D275</f>
        <v>#REF!</v>
      </c>
      <c r="L723" s="349"/>
      <c r="M723" s="349"/>
      <c r="N723" s="349"/>
      <c r="O723" s="349" t="s">
        <v>770</v>
      </c>
      <c r="P723" s="349"/>
      <c r="Q723" s="349"/>
      <c r="R723" s="349"/>
      <c r="S723" s="349"/>
      <c r="T723" s="349"/>
    </row>
    <row r="724" spans="1:20" s="111" customFormat="1" ht="15.75" thickBot="1" x14ac:dyDescent="0.3">
      <c r="A724" s="111" t="s">
        <v>813</v>
      </c>
      <c r="B724" s="362" t="e">
        <f>B275</f>
        <v>#REF!</v>
      </c>
      <c r="C724" s="404" t="e">
        <f>C275</f>
        <v>#REF!</v>
      </c>
      <c r="D724" s="405" t="e">
        <f t="shared" ref="D724" si="2389">R275</f>
        <v>#REF!</v>
      </c>
      <c r="E724" s="406" t="e">
        <f t="shared" ref="E724" si="2390">S275</f>
        <v>#REF!</v>
      </c>
      <c r="F724" s="405" t="e">
        <f t="shared" ref="F724" si="2391">T275</f>
        <v>#REF!</v>
      </c>
      <c r="G724" s="413"/>
      <c r="H724" s="404" t="e">
        <f t="shared" ref="H724" si="2392">C88</f>
        <v>#REF!</v>
      </c>
      <c r="I724" s="407" t="e">
        <f t="shared" ref="I724" si="2393">D88</f>
        <v>#REF!</v>
      </c>
      <c r="J724" s="407" t="e">
        <f>E275</f>
        <v>#REF!</v>
      </c>
      <c r="K724" s="407" t="e">
        <f>D275</f>
        <v>#REF!</v>
      </c>
      <c r="L724" s="349"/>
      <c r="M724" s="349"/>
      <c r="N724" s="349"/>
      <c r="O724" s="349" t="s">
        <v>770</v>
      </c>
      <c r="P724" s="349"/>
      <c r="Q724" s="349"/>
      <c r="R724" s="349"/>
      <c r="S724" s="349"/>
      <c r="T724" s="349"/>
    </row>
    <row r="725" spans="1:20" s="111" customFormat="1" ht="15.75" thickBot="1" x14ac:dyDescent="0.3">
      <c r="A725" s="111" t="s">
        <v>813</v>
      </c>
      <c r="B725" s="362" t="e">
        <f>B275</f>
        <v>#REF!</v>
      </c>
      <c r="C725" s="404" t="e">
        <f>C275</f>
        <v>#REF!</v>
      </c>
      <c r="D725" s="405" t="e">
        <f t="shared" ref="D725" si="2394">R275</f>
        <v>#REF!</v>
      </c>
      <c r="E725" s="406" t="e">
        <f t="shared" ref="E725" si="2395">S275</f>
        <v>#REF!</v>
      </c>
      <c r="F725" s="405" t="e">
        <f t="shared" ref="F725" si="2396">T275</f>
        <v>#REF!</v>
      </c>
      <c r="G725" s="413"/>
      <c r="H725" s="404" t="e">
        <f t="shared" ref="H725" si="2397">C88</f>
        <v>#REF!</v>
      </c>
      <c r="I725" s="407" t="e">
        <f t="shared" ref="I725" si="2398">D88</f>
        <v>#REF!</v>
      </c>
      <c r="J725" s="407" t="e">
        <f>E275</f>
        <v>#REF!</v>
      </c>
      <c r="K725" s="407" t="e">
        <f>D275</f>
        <v>#REF!</v>
      </c>
      <c r="L725" s="349"/>
      <c r="M725" s="349"/>
      <c r="N725" s="349"/>
      <c r="O725" s="349" t="s">
        <v>770</v>
      </c>
      <c r="P725" s="349"/>
      <c r="Q725" s="349"/>
      <c r="R725" s="349"/>
      <c r="S725" s="349"/>
      <c r="T725" s="349"/>
    </row>
    <row r="726" spans="1:20" s="111" customFormat="1" ht="15.75" thickBot="1" x14ac:dyDescent="0.3">
      <c r="A726" s="111" t="s">
        <v>813</v>
      </c>
      <c r="B726" s="362" t="e">
        <f>B275</f>
        <v>#REF!</v>
      </c>
      <c r="C726" s="404" t="e">
        <f>C275</f>
        <v>#REF!</v>
      </c>
      <c r="D726" s="405" t="e">
        <f t="shared" ref="D726" si="2399">R275</f>
        <v>#REF!</v>
      </c>
      <c r="E726" s="406" t="e">
        <f t="shared" ref="E726" si="2400">S275</f>
        <v>#REF!</v>
      </c>
      <c r="F726" s="405" t="e">
        <f t="shared" ref="F726" si="2401">T275</f>
        <v>#REF!</v>
      </c>
      <c r="G726" s="413"/>
      <c r="H726" s="404" t="e">
        <f t="shared" ref="H726" si="2402">C88</f>
        <v>#REF!</v>
      </c>
      <c r="I726" s="407" t="e">
        <f t="shared" ref="I726" si="2403">D88</f>
        <v>#REF!</v>
      </c>
      <c r="J726" s="407" t="e">
        <f>E275</f>
        <v>#REF!</v>
      </c>
      <c r="K726" s="407" t="e">
        <f>D275</f>
        <v>#REF!</v>
      </c>
      <c r="L726" s="349"/>
      <c r="M726" s="349"/>
      <c r="N726" s="349"/>
      <c r="O726" s="349" t="s">
        <v>770</v>
      </c>
      <c r="P726" s="349"/>
      <c r="Q726" s="349"/>
      <c r="R726" s="349"/>
      <c r="S726" s="349"/>
      <c r="T726" s="349"/>
    </row>
    <row r="727" spans="1:20" s="111" customFormat="1" ht="15.75" thickBot="1" x14ac:dyDescent="0.3">
      <c r="A727" s="111" t="s">
        <v>813</v>
      </c>
      <c r="B727" s="362" t="e">
        <f>B275</f>
        <v>#REF!</v>
      </c>
      <c r="C727" s="404" t="e">
        <f>C275</f>
        <v>#REF!</v>
      </c>
      <c r="D727" s="405" t="e">
        <f t="shared" ref="D727" si="2404">R275</f>
        <v>#REF!</v>
      </c>
      <c r="E727" s="406" t="e">
        <f t="shared" ref="E727" si="2405">S275</f>
        <v>#REF!</v>
      </c>
      <c r="F727" s="405" t="e">
        <f t="shared" ref="F727" si="2406">T275</f>
        <v>#REF!</v>
      </c>
      <c r="G727" s="413"/>
      <c r="H727" s="404" t="e">
        <f t="shared" ref="H727" si="2407">C88</f>
        <v>#REF!</v>
      </c>
      <c r="I727" s="407" t="e">
        <f t="shared" ref="I727" si="2408">D88</f>
        <v>#REF!</v>
      </c>
      <c r="J727" s="407" t="e">
        <f>E275</f>
        <v>#REF!</v>
      </c>
      <c r="K727" s="407" t="e">
        <f>D275</f>
        <v>#REF!</v>
      </c>
      <c r="L727" s="349"/>
      <c r="M727" s="349"/>
      <c r="N727" s="349"/>
      <c r="O727" s="349" t="s">
        <v>770</v>
      </c>
      <c r="P727" s="349"/>
      <c r="Q727" s="349"/>
      <c r="R727" s="349"/>
      <c r="S727" s="349"/>
      <c r="T727" s="349"/>
    </row>
    <row r="728" spans="1:20" s="111" customFormat="1" ht="15.75" thickBot="1" x14ac:dyDescent="0.3">
      <c r="A728" s="111" t="s">
        <v>813</v>
      </c>
      <c r="B728" s="362" t="e">
        <f>B275</f>
        <v>#REF!</v>
      </c>
      <c r="C728" s="404" t="e">
        <f>C275</f>
        <v>#REF!</v>
      </c>
      <c r="D728" s="405" t="e">
        <f t="shared" ref="D728" si="2409">R275</f>
        <v>#REF!</v>
      </c>
      <c r="E728" s="406" t="e">
        <f t="shared" ref="E728" si="2410">S275</f>
        <v>#REF!</v>
      </c>
      <c r="F728" s="405" t="e">
        <f t="shared" ref="F728" si="2411">T275</f>
        <v>#REF!</v>
      </c>
      <c r="G728" s="413"/>
      <c r="H728" s="404" t="e">
        <f t="shared" ref="H728" si="2412">C88</f>
        <v>#REF!</v>
      </c>
      <c r="I728" s="407" t="e">
        <f t="shared" ref="I728" si="2413">D88</f>
        <v>#REF!</v>
      </c>
      <c r="J728" s="407" t="e">
        <f>E275</f>
        <v>#REF!</v>
      </c>
      <c r="K728" s="407" t="e">
        <f>D275</f>
        <v>#REF!</v>
      </c>
      <c r="L728" s="349"/>
      <c r="M728" s="349"/>
      <c r="N728" s="349"/>
      <c r="O728" s="349" t="s">
        <v>770</v>
      </c>
      <c r="P728" s="349"/>
      <c r="Q728" s="349"/>
      <c r="R728" s="349"/>
      <c r="S728" s="349"/>
      <c r="T728" s="349"/>
    </row>
    <row r="729" spans="1:20" s="111" customFormat="1" ht="15.75" thickBot="1" x14ac:dyDescent="0.3">
      <c r="A729" s="111" t="s">
        <v>813</v>
      </c>
      <c r="B729" s="362" t="e">
        <f>B275</f>
        <v>#REF!</v>
      </c>
      <c r="C729" s="404" t="e">
        <f>C275</f>
        <v>#REF!</v>
      </c>
      <c r="D729" s="405" t="e">
        <f t="shared" ref="D729" si="2414">R275</f>
        <v>#REF!</v>
      </c>
      <c r="E729" s="406" t="e">
        <f t="shared" ref="E729" si="2415">S275</f>
        <v>#REF!</v>
      </c>
      <c r="F729" s="405" t="e">
        <f t="shared" ref="F729" si="2416">T275</f>
        <v>#REF!</v>
      </c>
      <c r="G729" s="413"/>
      <c r="H729" s="404" t="e">
        <f t="shared" ref="H729" si="2417">C88</f>
        <v>#REF!</v>
      </c>
      <c r="I729" s="407" t="e">
        <f t="shared" ref="I729" si="2418">D88</f>
        <v>#REF!</v>
      </c>
      <c r="J729" s="407" t="e">
        <f>E275</f>
        <v>#REF!</v>
      </c>
      <c r="K729" s="407" t="e">
        <f>D275</f>
        <v>#REF!</v>
      </c>
      <c r="L729" s="349"/>
      <c r="M729" s="349"/>
      <c r="N729" s="349"/>
      <c r="O729" s="349" t="s">
        <v>770</v>
      </c>
      <c r="P729" s="349"/>
      <c r="Q729" s="349"/>
      <c r="R729" s="349"/>
      <c r="S729" s="349"/>
      <c r="T729" s="349"/>
    </row>
    <row r="730" spans="1:20" s="111" customFormat="1" ht="15.75" thickBot="1" x14ac:dyDescent="0.3">
      <c r="A730" s="111" t="s">
        <v>813</v>
      </c>
      <c r="B730" s="362" t="e">
        <f>B275</f>
        <v>#REF!</v>
      </c>
      <c r="C730" s="404" t="e">
        <f>C275</f>
        <v>#REF!</v>
      </c>
      <c r="D730" s="405" t="e">
        <f t="shared" ref="D730" si="2419">R275</f>
        <v>#REF!</v>
      </c>
      <c r="E730" s="406" t="e">
        <f t="shared" ref="E730" si="2420">S275</f>
        <v>#REF!</v>
      </c>
      <c r="F730" s="405" t="e">
        <f t="shared" ref="F730" si="2421">T275</f>
        <v>#REF!</v>
      </c>
      <c r="G730" s="413"/>
      <c r="H730" s="404" t="e">
        <f t="shared" ref="H730" si="2422">C88</f>
        <v>#REF!</v>
      </c>
      <c r="I730" s="407" t="e">
        <f t="shared" ref="I730" si="2423">D88</f>
        <v>#REF!</v>
      </c>
      <c r="J730" s="407" t="e">
        <f>E275</f>
        <v>#REF!</v>
      </c>
      <c r="K730" s="407" t="e">
        <f>D275</f>
        <v>#REF!</v>
      </c>
      <c r="L730" s="349"/>
      <c r="M730" s="349"/>
      <c r="N730" s="349"/>
      <c r="O730" s="349" t="s">
        <v>770</v>
      </c>
      <c r="P730" s="349"/>
      <c r="Q730" s="349"/>
      <c r="R730" s="349"/>
      <c r="S730" s="349"/>
      <c r="T730" s="349"/>
    </row>
    <row r="731" spans="1:20" s="111" customFormat="1" ht="15.75" thickBot="1" x14ac:dyDescent="0.3">
      <c r="A731" s="111" t="s">
        <v>813</v>
      </c>
      <c r="B731" s="362" t="e">
        <f>B275</f>
        <v>#REF!</v>
      </c>
      <c r="C731" s="404" t="e">
        <f>C275</f>
        <v>#REF!</v>
      </c>
      <c r="D731" s="405" t="e">
        <f t="shared" ref="D731" si="2424">R275</f>
        <v>#REF!</v>
      </c>
      <c r="E731" s="406" t="e">
        <f t="shared" ref="E731" si="2425">S275</f>
        <v>#REF!</v>
      </c>
      <c r="F731" s="405" t="e">
        <f t="shared" ref="F731" si="2426">T275</f>
        <v>#REF!</v>
      </c>
      <c r="G731" s="413"/>
      <c r="H731" s="404" t="e">
        <f t="shared" ref="H731" si="2427">C88</f>
        <v>#REF!</v>
      </c>
      <c r="I731" s="407" t="e">
        <f t="shared" ref="I731" si="2428">D88</f>
        <v>#REF!</v>
      </c>
      <c r="J731" s="407" t="e">
        <f>E275</f>
        <v>#REF!</v>
      </c>
      <c r="K731" s="407" t="e">
        <f>D275</f>
        <v>#REF!</v>
      </c>
      <c r="L731" s="349"/>
      <c r="M731" s="349"/>
      <c r="N731" s="349"/>
      <c r="O731" s="349" t="s">
        <v>770</v>
      </c>
      <c r="P731" s="349"/>
      <c r="Q731" s="349"/>
      <c r="R731" s="349"/>
      <c r="S731" s="349"/>
      <c r="T731" s="349"/>
    </row>
    <row r="732" spans="1:20" s="111" customFormat="1" ht="15.75" thickBot="1" x14ac:dyDescent="0.3">
      <c r="A732" s="111" t="s">
        <v>813</v>
      </c>
      <c r="B732" s="362" t="e">
        <f>B275</f>
        <v>#REF!</v>
      </c>
      <c r="C732" s="404" t="e">
        <f>C275</f>
        <v>#REF!</v>
      </c>
      <c r="D732" s="405" t="e">
        <f t="shared" ref="D732" si="2429">R275</f>
        <v>#REF!</v>
      </c>
      <c r="E732" s="406" t="e">
        <f t="shared" ref="E732" si="2430">S275</f>
        <v>#REF!</v>
      </c>
      <c r="F732" s="405" t="e">
        <f t="shared" ref="F732" si="2431">T275</f>
        <v>#REF!</v>
      </c>
      <c r="G732" s="413"/>
      <c r="H732" s="404" t="e">
        <f t="shared" ref="H732" si="2432">C88</f>
        <v>#REF!</v>
      </c>
      <c r="I732" s="407" t="e">
        <f t="shared" ref="I732" si="2433">D88</f>
        <v>#REF!</v>
      </c>
      <c r="J732" s="407" t="e">
        <f>E275</f>
        <v>#REF!</v>
      </c>
      <c r="K732" s="407" t="e">
        <f>D275</f>
        <v>#REF!</v>
      </c>
      <c r="L732" s="349"/>
      <c r="M732" s="349"/>
      <c r="N732" s="349"/>
      <c r="O732" s="349" t="s">
        <v>770</v>
      </c>
      <c r="P732" s="349"/>
      <c r="Q732" s="349"/>
      <c r="R732" s="349"/>
      <c r="S732" s="349"/>
      <c r="T732" s="349"/>
    </row>
    <row r="733" spans="1:20" s="111" customFormat="1" ht="15.75" thickBot="1" x14ac:dyDescent="0.3">
      <c r="A733" s="111" t="s">
        <v>813</v>
      </c>
      <c r="B733" s="362" t="e">
        <f>B275</f>
        <v>#REF!</v>
      </c>
      <c r="C733" s="404" t="e">
        <f>C275</f>
        <v>#REF!</v>
      </c>
      <c r="D733" s="405" t="e">
        <f t="shared" ref="D733" si="2434">R275</f>
        <v>#REF!</v>
      </c>
      <c r="E733" s="406" t="e">
        <f t="shared" ref="E733" si="2435">S275</f>
        <v>#REF!</v>
      </c>
      <c r="F733" s="405" t="e">
        <f t="shared" ref="F733" si="2436">T275</f>
        <v>#REF!</v>
      </c>
      <c r="G733" s="413"/>
      <c r="H733" s="404" t="e">
        <f t="shared" ref="H733" si="2437">C88</f>
        <v>#REF!</v>
      </c>
      <c r="I733" s="407" t="e">
        <f t="shared" ref="I733" si="2438">D88</f>
        <v>#REF!</v>
      </c>
      <c r="J733" s="407" t="e">
        <f>E275</f>
        <v>#REF!</v>
      </c>
      <c r="K733" s="407" t="e">
        <f>D275</f>
        <v>#REF!</v>
      </c>
      <c r="L733" s="349"/>
      <c r="M733" s="349"/>
      <c r="N733" s="349"/>
      <c r="O733" s="349" t="s">
        <v>770</v>
      </c>
      <c r="P733" s="349"/>
      <c r="Q733" s="349"/>
      <c r="R733" s="349"/>
      <c r="S733" s="349"/>
      <c r="T733" s="349"/>
    </row>
    <row r="734" spans="1:20" s="111" customFormat="1" ht="15.75" thickBot="1" x14ac:dyDescent="0.3">
      <c r="A734" s="111" t="s">
        <v>813</v>
      </c>
      <c r="B734" s="362" t="e">
        <f>B275</f>
        <v>#REF!</v>
      </c>
      <c r="C734" s="404" t="e">
        <f>C275</f>
        <v>#REF!</v>
      </c>
      <c r="D734" s="405" t="e">
        <f t="shared" ref="D734" si="2439">R275</f>
        <v>#REF!</v>
      </c>
      <c r="E734" s="406" t="e">
        <f t="shared" ref="E734" si="2440">S275</f>
        <v>#REF!</v>
      </c>
      <c r="F734" s="405" t="e">
        <f t="shared" ref="F734" si="2441">T275</f>
        <v>#REF!</v>
      </c>
      <c r="G734" s="413"/>
      <c r="H734" s="404" t="e">
        <f t="shared" ref="H734" si="2442">C88</f>
        <v>#REF!</v>
      </c>
      <c r="I734" s="407" t="e">
        <f t="shared" ref="I734" si="2443">D88</f>
        <v>#REF!</v>
      </c>
      <c r="J734" s="407" t="e">
        <f>E275</f>
        <v>#REF!</v>
      </c>
      <c r="K734" s="407" t="e">
        <f>D275</f>
        <v>#REF!</v>
      </c>
      <c r="L734" s="349"/>
      <c r="M734" s="349"/>
      <c r="N734" s="349"/>
      <c r="O734" s="349" t="s">
        <v>770</v>
      </c>
      <c r="P734" s="349"/>
      <c r="Q734" s="349"/>
      <c r="R734" s="349"/>
      <c r="S734" s="349"/>
      <c r="T734" s="349"/>
    </row>
    <row r="735" spans="1:20" s="111" customFormat="1" ht="15.75" thickBot="1" x14ac:dyDescent="0.3">
      <c r="A735" s="111" t="s">
        <v>813</v>
      </c>
      <c r="B735" s="362" t="e">
        <f>B275</f>
        <v>#REF!</v>
      </c>
      <c r="C735" s="404" t="e">
        <f>C275</f>
        <v>#REF!</v>
      </c>
      <c r="D735" s="405" t="e">
        <f t="shared" ref="D735" si="2444">R275</f>
        <v>#REF!</v>
      </c>
      <c r="E735" s="406" t="e">
        <f t="shared" ref="E735" si="2445">S275</f>
        <v>#REF!</v>
      </c>
      <c r="F735" s="405" t="e">
        <f t="shared" ref="F735" si="2446">T275</f>
        <v>#REF!</v>
      </c>
      <c r="G735" s="413"/>
      <c r="H735" s="404" t="e">
        <f t="shared" ref="H735" si="2447">C88</f>
        <v>#REF!</v>
      </c>
      <c r="I735" s="407" t="e">
        <f t="shared" ref="I735" si="2448">D88</f>
        <v>#REF!</v>
      </c>
      <c r="J735" s="407" t="e">
        <f>E275</f>
        <v>#REF!</v>
      </c>
      <c r="K735" s="407" t="e">
        <f>D275</f>
        <v>#REF!</v>
      </c>
      <c r="L735" s="349"/>
      <c r="M735" s="349"/>
      <c r="N735" s="349"/>
      <c r="O735" s="349" t="s">
        <v>770</v>
      </c>
      <c r="P735" s="349"/>
      <c r="Q735" s="349"/>
      <c r="R735" s="349"/>
      <c r="S735" s="349"/>
      <c r="T735" s="349"/>
    </row>
    <row r="736" spans="1:20" s="111" customFormat="1" ht="15.75" thickBot="1" x14ac:dyDescent="0.3">
      <c r="A736" s="111" t="s">
        <v>813</v>
      </c>
      <c r="B736" s="362" t="e">
        <f>B275</f>
        <v>#REF!</v>
      </c>
      <c r="C736" s="404" t="e">
        <f>C275</f>
        <v>#REF!</v>
      </c>
      <c r="D736" s="405" t="e">
        <f t="shared" ref="D736" si="2449">R275</f>
        <v>#REF!</v>
      </c>
      <c r="E736" s="406" t="e">
        <f t="shared" ref="E736" si="2450">S275</f>
        <v>#REF!</v>
      </c>
      <c r="F736" s="405" t="e">
        <f t="shared" ref="F736" si="2451">T275</f>
        <v>#REF!</v>
      </c>
      <c r="G736" s="413"/>
      <c r="H736" s="404" t="e">
        <f t="shared" ref="H736" si="2452">C88</f>
        <v>#REF!</v>
      </c>
      <c r="I736" s="407" t="e">
        <f t="shared" ref="I736" si="2453">D88</f>
        <v>#REF!</v>
      </c>
      <c r="J736" s="407" t="e">
        <f>E275</f>
        <v>#REF!</v>
      </c>
      <c r="K736" s="407" t="e">
        <f>D275</f>
        <v>#REF!</v>
      </c>
      <c r="L736" s="349"/>
      <c r="M736" s="349"/>
      <c r="N736" s="349"/>
      <c r="O736" s="349" t="s">
        <v>770</v>
      </c>
      <c r="P736" s="349"/>
      <c r="Q736" s="349"/>
      <c r="R736" s="349"/>
      <c r="S736" s="349"/>
      <c r="T736" s="349"/>
    </row>
    <row r="737" spans="1:20" s="111" customFormat="1" ht="15.75" thickBot="1" x14ac:dyDescent="0.3">
      <c r="A737" s="111" t="s">
        <v>813</v>
      </c>
      <c r="B737" s="362" t="e">
        <f>B275</f>
        <v>#REF!</v>
      </c>
      <c r="C737" s="404" t="e">
        <f>C275</f>
        <v>#REF!</v>
      </c>
      <c r="D737" s="405" t="e">
        <f t="shared" ref="D737" si="2454">R275</f>
        <v>#REF!</v>
      </c>
      <c r="E737" s="406" t="e">
        <f t="shared" ref="E737" si="2455">S275</f>
        <v>#REF!</v>
      </c>
      <c r="F737" s="405" t="e">
        <f t="shared" ref="F737" si="2456">T275</f>
        <v>#REF!</v>
      </c>
      <c r="G737" s="413"/>
      <c r="H737" s="404" t="e">
        <f t="shared" ref="H737" si="2457">C88</f>
        <v>#REF!</v>
      </c>
      <c r="I737" s="407" t="e">
        <f t="shared" ref="I737" si="2458">D88</f>
        <v>#REF!</v>
      </c>
      <c r="J737" s="407" t="e">
        <f>E275</f>
        <v>#REF!</v>
      </c>
      <c r="K737" s="407" t="e">
        <f>D275</f>
        <v>#REF!</v>
      </c>
      <c r="L737" s="349"/>
      <c r="M737" s="349"/>
      <c r="N737" s="349"/>
      <c r="O737" s="349" t="s">
        <v>770</v>
      </c>
      <c r="P737" s="349"/>
      <c r="Q737" s="349"/>
      <c r="R737" s="349"/>
      <c r="S737" s="349"/>
      <c r="T737" s="349"/>
    </row>
    <row r="738" spans="1:20" s="111" customFormat="1" ht="15.75" thickBot="1" x14ac:dyDescent="0.3">
      <c r="A738" s="111" t="s">
        <v>813</v>
      </c>
      <c r="B738" s="362" t="e">
        <f>B275</f>
        <v>#REF!</v>
      </c>
      <c r="C738" s="404" t="e">
        <f>C275</f>
        <v>#REF!</v>
      </c>
      <c r="D738" s="405" t="e">
        <f t="shared" ref="D738" si="2459">R275</f>
        <v>#REF!</v>
      </c>
      <c r="E738" s="406" t="e">
        <f t="shared" ref="E738" si="2460">S275</f>
        <v>#REF!</v>
      </c>
      <c r="F738" s="405" t="e">
        <f t="shared" ref="F738" si="2461">T275</f>
        <v>#REF!</v>
      </c>
      <c r="G738" s="413"/>
      <c r="H738" s="404" t="e">
        <f t="shared" ref="H738" si="2462">C88</f>
        <v>#REF!</v>
      </c>
      <c r="I738" s="407" t="e">
        <f t="shared" ref="I738" si="2463">D88</f>
        <v>#REF!</v>
      </c>
      <c r="J738" s="407" t="e">
        <f>E275</f>
        <v>#REF!</v>
      </c>
      <c r="K738" s="407" t="e">
        <f>D275</f>
        <v>#REF!</v>
      </c>
      <c r="L738" s="349"/>
      <c r="M738" s="349"/>
      <c r="N738" s="349"/>
      <c r="O738" s="349" t="s">
        <v>770</v>
      </c>
      <c r="P738" s="349"/>
      <c r="Q738" s="349"/>
      <c r="R738" s="349"/>
      <c r="S738" s="349"/>
      <c r="T738" s="349"/>
    </row>
    <row r="739" spans="1:20" s="111" customFormat="1" ht="15.75" thickBot="1" x14ac:dyDescent="0.3">
      <c r="A739" s="111" t="s">
        <v>813</v>
      </c>
      <c r="B739" s="362" t="e">
        <f>B275</f>
        <v>#REF!</v>
      </c>
      <c r="C739" s="404" t="e">
        <f>C275</f>
        <v>#REF!</v>
      </c>
      <c r="D739" s="405" t="e">
        <f t="shared" ref="D739" si="2464">R275</f>
        <v>#REF!</v>
      </c>
      <c r="E739" s="406" t="e">
        <f t="shared" ref="E739" si="2465">S275</f>
        <v>#REF!</v>
      </c>
      <c r="F739" s="405" t="e">
        <f t="shared" ref="F739" si="2466">T275</f>
        <v>#REF!</v>
      </c>
      <c r="G739" s="413"/>
      <c r="H739" s="404" t="e">
        <f t="shared" ref="H739" si="2467">C88</f>
        <v>#REF!</v>
      </c>
      <c r="I739" s="407" t="e">
        <f t="shared" ref="I739" si="2468">D88</f>
        <v>#REF!</v>
      </c>
      <c r="J739" s="407" t="e">
        <f>E275</f>
        <v>#REF!</v>
      </c>
      <c r="K739" s="407" t="e">
        <f>D275</f>
        <v>#REF!</v>
      </c>
      <c r="L739" s="349"/>
      <c r="M739" s="349"/>
      <c r="N739" s="349"/>
      <c r="O739" s="349" t="s">
        <v>770</v>
      </c>
      <c r="P739" s="349"/>
      <c r="Q739" s="349"/>
      <c r="R739" s="349"/>
      <c r="S739" s="349"/>
      <c r="T739" s="349"/>
    </row>
    <row r="740" spans="1:20" s="111" customFormat="1" ht="15.75" thickBot="1" x14ac:dyDescent="0.3">
      <c r="A740" s="111" t="s">
        <v>813</v>
      </c>
      <c r="B740" s="362" t="e">
        <f>B275</f>
        <v>#REF!</v>
      </c>
      <c r="C740" s="404" t="e">
        <f>C275</f>
        <v>#REF!</v>
      </c>
      <c r="D740" s="405" t="e">
        <f t="shared" ref="D740" si="2469">R275</f>
        <v>#REF!</v>
      </c>
      <c r="E740" s="406" t="e">
        <f t="shared" ref="E740" si="2470">S275</f>
        <v>#REF!</v>
      </c>
      <c r="F740" s="405" t="e">
        <f t="shared" ref="F740" si="2471">T275</f>
        <v>#REF!</v>
      </c>
      <c r="G740" s="413"/>
      <c r="H740" s="404" t="e">
        <f t="shared" ref="H740" si="2472">C88</f>
        <v>#REF!</v>
      </c>
      <c r="I740" s="407" t="e">
        <f t="shared" ref="I740" si="2473">D88</f>
        <v>#REF!</v>
      </c>
      <c r="J740" s="407" t="e">
        <f>E275</f>
        <v>#REF!</v>
      </c>
      <c r="K740" s="407" t="e">
        <f>D275</f>
        <v>#REF!</v>
      </c>
      <c r="L740" s="349"/>
      <c r="M740" s="349"/>
      <c r="N740" s="349"/>
      <c r="O740" s="349" t="s">
        <v>770</v>
      </c>
      <c r="P740" s="349"/>
      <c r="Q740" s="349"/>
      <c r="R740" s="349"/>
      <c r="S740" s="349"/>
      <c r="T740" s="349"/>
    </row>
    <row r="741" spans="1:20" s="111" customFormat="1" ht="15.75" thickBot="1" x14ac:dyDescent="0.3">
      <c r="A741" s="111" t="s">
        <v>813</v>
      </c>
      <c r="B741" s="362" t="e">
        <f>B275</f>
        <v>#REF!</v>
      </c>
      <c r="C741" s="404" t="e">
        <f>C275</f>
        <v>#REF!</v>
      </c>
      <c r="D741" s="405" t="e">
        <f t="shared" ref="D741" si="2474">R275</f>
        <v>#REF!</v>
      </c>
      <c r="E741" s="406" t="e">
        <f t="shared" ref="E741" si="2475">S275</f>
        <v>#REF!</v>
      </c>
      <c r="F741" s="405" t="e">
        <f t="shared" ref="F741" si="2476">T275</f>
        <v>#REF!</v>
      </c>
      <c r="G741" s="413"/>
      <c r="H741" s="404" t="e">
        <f t="shared" ref="H741" si="2477">C88</f>
        <v>#REF!</v>
      </c>
      <c r="I741" s="407" t="e">
        <f t="shared" ref="I741" si="2478">D88</f>
        <v>#REF!</v>
      </c>
      <c r="J741" s="407" t="e">
        <f>E275</f>
        <v>#REF!</v>
      </c>
      <c r="K741" s="407" t="e">
        <f>D275</f>
        <v>#REF!</v>
      </c>
      <c r="L741" s="349"/>
      <c r="M741" s="349"/>
      <c r="N741" s="349"/>
      <c r="O741" s="349" t="s">
        <v>770</v>
      </c>
      <c r="P741" s="349"/>
      <c r="Q741" s="349"/>
      <c r="R741" s="349"/>
      <c r="S741" s="349"/>
      <c r="T741" s="349"/>
    </row>
    <row r="742" spans="1:20" s="111" customFormat="1" ht="15.75" thickBot="1" x14ac:dyDescent="0.3">
      <c r="A742" s="111" t="s">
        <v>813</v>
      </c>
      <c r="B742" s="362" t="e">
        <f>B275</f>
        <v>#REF!</v>
      </c>
      <c r="C742" s="404" t="e">
        <f>C275</f>
        <v>#REF!</v>
      </c>
      <c r="D742" s="405" t="e">
        <f t="shared" ref="D742" si="2479">R275</f>
        <v>#REF!</v>
      </c>
      <c r="E742" s="406" t="e">
        <f t="shared" ref="E742" si="2480">S275</f>
        <v>#REF!</v>
      </c>
      <c r="F742" s="405" t="e">
        <f t="shared" ref="F742" si="2481">T275</f>
        <v>#REF!</v>
      </c>
      <c r="G742" s="413"/>
      <c r="H742" s="404" t="e">
        <f t="shared" ref="H742" si="2482">C88</f>
        <v>#REF!</v>
      </c>
      <c r="I742" s="407" t="e">
        <f t="shared" ref="I742" si="2483">D88</f>
        <v>#REF!</v>
      </c>
      <c r="J742" s="407" t="e">
        <f>E275</f>
        <v>#REF!</v>
      </c>
      <c r="K742" s="407" t="e">
        <f>D275</f>
        <v>#REF!</v>
      </c>
      <c r="L742" s="349"/>
      <c r="M742" s="349"/>
      <c r="N742" s="349"/>
      <c r="O742" s="349" t="s">
        <v>770</v>
      </c>
      <c r="P742" s="349"/>
      <c r="Q742" s="349"/>
      <c r="R742" s="349"/>
      <c r="S742" s="349"/>
      <c r="T742" s="349"/>
    </row>
    <row r="743" spans="1:20" s="111" customFormat="1" ht="15.75" thickBot="1" x14ac:dyDescent="0.3">
      <c r="A743" s="111" t="s">
        <v>813</v>
      </c>
      <c r="B743" s="362" t="e">
        <f>B275</f>
        <v>#REF!</v>
      </c>
      <c r="C743" s="404" t="e">
        <f>C275</f>
        <v>#REF!</v>
      </c>
      <c r="D743" s="405" t="e">
        <f t="shared" ref="D743" si="2484">R275</f>
        <v>#REF!</v>
      </c>
      <c r="E743" s="406" t="e">
        <f t="shared" ref="E743" si="2485">S275</f>
        <v>#REF!</v>
      </c>
      <c r="F743" s="405" t="e">
        <f t="shared" ref="F743" si="2486">T275</f>
        <v>#REF!</v>
      </c>
      <c r="G743" s="413"/>
      <c r="H743" s="404" t="e">
        <f t="shared" ref="H743" si="2487">C88</f>
        <v>#REF!</v>
      </c>
      <c r="I743" s="407" t="e">
        <f t="shared" ref="I743" si="2488">D88</f>
        <v>#REF!</v>
      </c>
      <c r="J743" s="407" t="e">
        <f>E275</f>
        <v>#REF!</v>
      </c>
      <c r="K743" s="407" t="e">
        <f>D275</f>
        <v>#REF!</v>
      </c>
      <c r="L743" s="349"/>
      <c r="M743" s="349"/>
      <c r="N743" s="349"/>
      <c r="O743" s="349" t="s">
        <v>770</v>
      </c>
      <c r="P743" s="349"/>
      <c r="Q743" s="349"/>
      <c r="R743" s="349"/>
      <c r="S743" s="349"/>
      <c r="T743" s="349"/>
    </row>
    <row r="744" spans="1:20" s="111" customFormat="1" ht="15.75" thickBot="1" x14ac:dyDescent="0.3">
      <c r="A744" s="111" t="s">
        <v>813</v>
      </c>
      <c r="B744" s="362" t="e">
        <f>B275</f>
        <v>#REF!</v>
      </c>
      <c r="C744" s="404" t="e">
        <f>C275</f>
        <v>#REF!</v>
      </c>
      <c r="D744" s="405" t="e">
        <f t="shared" ref="D744" si="2489">R275</f>
        <v>#REF!</v>
      </c>
      <c r="E744" s="406" t="e">
        <f t="shared" ref="E744" si="2490">S275</f>
        <v>#REF!</v>
      </c>
      <c r="F744" s="405" t="e">
        <f t="shared" ref="F744" si="2491">T275</f>
        <v>#REF!</v>
      </c>
      <c r="G744" s="413"/>
      <c r="H744" s="404" t="e">
        <f t="shared" ref="H744" si="2492">C88</f>
        <v>#REF!</v>
      </c>
      <c r="I744" s="407" t="e">
        <f t="shared" ref="I744" si="2493">D88</f>
        <v>#REF!</v>
      </c>
      <c r="J744" s="407" t="e">
        <f>E275</f>
        <v>#REF!</v>
      </c>
      <c r="K744" s="407" t="e">
        <f>D275</f>
        <v>#REF!</v>
      </c>
      <c r="L744" s="349"/>
      <c r="M744" s="349"/>
      <c r="N744" s="349"/>
      <c r="O744" s="349" t="s">
        <v>770</v>
      </c>
      <c r="P744" s="349"/>
      <c r="Q744" s="349"/>
      <c r="R744" s="349"/>
      <c r="S744" s="349"/>
      <c r="T744" s="349"/>
    </row>
    <row r="745" spans="1:20" s="111" customFormat="1" ht="15.75" thickBot="1" x14ac:dyDescent="0.3">
      <c r="A745" s="111" t="s">
        <v>813</v>
      </c>
      <c r="B745" s="362" t="e">
        <f>B275</f>
        <v>#REF!</v>
      </c>
      <c r="C745" s="404" t="e">
        <f>C275</f>
        <v>#REF!</v>
      </c>
      <c r="D745" s="405" t="e">
        <f t="shared" ref="D745" si="2494">R275</f>
        <v>#REF!</v>
      </c>
      <c r="E745" s="406" t="e">
        <f t="shared" ref="E745" si="2495">S275</f>
        <v>#REF!</v>
      </c>
      <c r="F745" s="405" t="e">
        <f t="shared" ref="F745" si="2496">T275</f>
        <v>#REF!</v>
      </c>
      <c r="G745" s="413"/>
      <c r="H745" s="404" t="e">
        <f t="shared" ref="H745" si="2497">C88</f>
        <v>#REF!</v>
      </c>
      <c r="I745" s="407" t="e">
        <f t="shared" ref="I745" si="2498">D88</f>
        <v>#REF!</v>
      </c>
      <c r="J745" s="407" t="e">
        <f>E275</f>
        <v>#REF!</v>
      </c>
      <c r="K745" s="407" t="e">
        <f>D275</f>
        <v>#REF!</v>
      </c>
      <c r="L745" s="349"/>
      <c r="M745" s="349"/>
      <c r="N745" s="349"/>
      <c r="O745" s="349" t="s">
        <v>770</v>
      </c>
      <c r="P745" s="349"/>
      <c r="Q745" s="349"/>
      <c r="R745" s="349"/>
      <c r="S745" s="349"/>
      <c r="T745" s="349"/>
    </row>
    <row r="746" spans="1:20" s="111" customFormat="1" ht="15.75" thickBot="1" x14ac:dyDescent="0.3">
      <c r="A746" s="111" t="s">
        <v>813</v>
      </c>
      <c r="B746" s="362" t="e">
        <f>B275</f>
        <v>#REF!</v>
      </c>
      <c r="C746" s="404" t="e">
        <f>C275</f>
        <v>#REF!</v>
      </c>
      <c r="D746" s="405" t="e">
        <f t="shared" ref="D746" si="2499">R275</f>
        <v>#REF!</v>
      </c>
      <c r="E746" s="406" t="e">
        <f t="shared" ref="E746" si="2500">S275</f>
        <v>#REF!</v>
      </c>
      <c r="F746" s="405" t="e">
        <f t="shared" ref="F746" si="2501">T275</f>
        <v>#REF!</v>
      </c>
      <c r="G746" s="413"/>
      <c r="H746" s="404" t="e">
        <f t="shared" ref="H746" si="2502">C88</f>
        <v>#REF!</v>
      </c>
      <c r="I746" s="407" t="e">
        <f t="shared" ref="I746" si="2503">D88</f>
        <v>#REF!</v>
      </c>
      <c r="J746" s="407" t="e">
        <f>E275</f>
        <v>#REF!</v>
      </c>
      <c r="K746" s="407" t="e">
        <f>D275</f>
        <v>#REF!</v>
      </c>
      <c r="L746" s="349"/>
      <c r="M746" s="349"/>
      <c r="N746" s="349"/>
      <c r="O746" s="349" t="s">
        <v>770</v>
      </c>
      <c r="P746" s="349"/>
      <c r="Q746" s="349"/>
      <c r="R746" s="349"/>
      <c r="S746" s="349"/>
      <c r="T746" s="349"/>
    </row>
    <row r="747" spans="1:20" s="111" customFormat="1" ht="15.75" thickBot="1" x14ac:dyDescent="0.3">
      <c r="A747" s="111" t="s">
        <v>813</v>
      </c>
      <c r="B747" s="362" t="e">
        <f>B275</f>
        <v>#REF!</v>
      </c>
      <c r="C747" s="404" t="e">
        <f>C275</f>
        <v>#REF!</v>
      </c>
      <c r="D747" s="405" t="e">
        <f t="shared" ref="D747" si="2504">R275</f>
        <v>#REF!</v>
      </c>
      <c r="E747" s="406" t="e">
        <f t="shared" ref="E747" si="2505">S275</f>
        <v>#REF!</v>
      </c>
      <c r="F747" s="405" t="e">
        <f t="shared" ref="F747" si="2506">T275</f>
        <v>#REF!</v>
      </c>
      <c r="G747" s="413"/>
      <c r="H747" s="404" t="e">
        <f t="shared" ref="H747" si="2507">C88</f>
        <v>#REF!</v>
      </c>
      <c r="I747" s="407" t="e">
        <f t="shared" ref="I747" si="2508">D88</f>
        <v>#REF!</v>
      </c>
      <c r="J747" s="407" t="e">
        <f>E275</f>
        <v>#REF!</v>
      </c>
      <c r="K747" s="407" t="e">
        <f>D275</f>
        <v>#REF!</v>
      </c>
      <c r="L747" s="349"/>
      <c r="M747" s="349"/>
      <c r="N747" s="349"/>
      <c r="O747" s="349" t="s">
        <v>770</v>
      </c>
      <c r="P747" s="349"/>
      <c r="Q747" s="349"/>
      <c r="R747" s="349"/>
      <c r="S747" s="349"/>
      <c r="T747" s="349"/>
    </row>
    <row r="748" spans="1:20" s="111" customFormat="1" ht="15.75" thickBot="1" x14ac:dyDescent="0.3">
      <c r="A748" s="111" t="s">
        <v>813</v>
      </c>
      <c r="B748" s="362" t="e">
        <f>B275</f>
        <v>#REF!</v>
      </c>
      <c r="C748" s="404" t="e">
        <f>C275</f>
        <v>#REF!</v>
      </c>
      <c r="D748" s="405" t="e">
        <f t="shared" ref="D748" si="2509">R275</f>
        <v>#REF!</v>
      </c>
      <c r="E748" s="406" t="e">
        <f t="shared" ref="E748" si="2510">S275</f>
        <v>#REF!</v>
      </c>
      <c r="F748" s="405" t="e">
        <f t="shared" ref="F748" si="2511">T275</f>
        <v>#REF!</v>
      </c>
      <c r="G748" s="413"/>
      <c r="H748" s="404" t="e">
        <f t="shared" ref="H748" si="2512">C88</f>
        <v>#REF!</v>
      </c>
      <c r="I748" s="407" t="e">
        <f t="shared" ref="I748" si="2513">D88</f>
        <v>#REF!</v>
      </c>
      <c r="J748" s="407" t="e">
        <f>E275</f>
        <v>#REF!</v>
      </c>
      <c r="K748" s="407" t="e">
        <f>D275</f>
        <v>#REF!</v>
      </c>
      <c r="L748" s="349"/>
      <c r="M748" s="349"/>
      <c r="N748" s="349"/>
      <c r="O748" s="349" t="s">
        <v>770</v>
      </c>
      <c r="P748" s="349"/>
      <c r="Q748" s="349"/>
      <c r="R748" s="349"/>
      <c r="S748" s="349"/>
      <c r="T748" s="349"/>
    </row>
    <row r="749" spans="1:20" s="111" customFormat="1" ht="15.75" thickBot="1" x14ac:dyDescent="0.3">
      <c r="A749" s="111" t="s">
        <v>813</v>
      </c>
      <c r="B749" s="362" t="e">
        <f>B275</f>
        <v>#REF!</v>
      </c>
      <c r="C749" s="404" t="e">
        <f>C275</f>
        <v>#REF!</v>
      </c>
      <c r="D749" s="405" t="e">
        <f t="shared" ref="D749" si="2514">R275</f>
        <v>#REF!</v>
      </c>
      <c r="E749" s="406" t="e">
        <f t="shared" ref="E749" si="2515">S275</f>
        <v>#REF!</v>
      </c>
      <c r="F749" s="405" t="e">
        <f t="shared" ref="F749" si="2516">T275</f>
        <v>#REF!</v>
      </c>
      <c r="G749" s="413"/>
      <c r="H749" s="404" t="e">
        <f t="shared" ref="H749" si="2517">C88</f>
        <v>#REF!</v>
      </c>
      <c r="I749" s="407" t="e">
        <f t="shared" ref="I749" si="2518">D88</f>
        <v>#REF!</v>
      </c>
      <c r="J749" s="407" t="e">
        <f>E275</f>
        <v>#REF!</v>
      </c>
      <c r="K749" s="407" t="e">
        <f>D275</f>
        <v>#REF!</v>
      </c>
      <c r="L749" s="349"/>
      <c r="M749" s="349"/>
      <c r="N749" s="349"/>
      <c r="O749" s="349" t="s">
        <v>770</v>
      </c>
      <c r="P749" s="349"/>
      <c r="Q749" s="349"/>
      <c r="R749" s="349"/>
      <c r="S749" s="349"/>
      <c r="T749" s="349"/>
    </row>
    <row r="750" spans="1:20" s="111" customFormat="1" ht="15.75" thickBot="1" x14ac:dyDescent="0.3">
      <c r="A750" s="111" t="s">
        <v>813</v>
      </c>
      <c r="B750" s="362" t="e">
        <f>B275</f>
        <v>#REF!</v>
      </c>
      <c r="C750" s="404" t="e">
        <f>C275</f>
        <v>#REF!</v>
      </c>
      <c r="D750" s="405" t="e">
        <f t="shared" ref="D750" si="2519">R275</f>
        <v>#REF!</v>
      </c>
      <c r="E750" s="406" t="e">
        <f t="shared" ref="E750" si="2520">S275</f>
        <v>#REF!</v>
      </c>
      <c r="F750" s="405" t="e">
        <f t="shared" ref="F750" si="2521">T275</f>
        <v>#REF!</v>
      </c>
      <c r="G750" s="413"/>
      <c r="H750" s="404" t="e">
        <f t="shared" ref="H750" si="2522">C88</f>
        <v>#REF!</v>
      </c>
      <c r="I750" s="407" t="e">
        <f t="shared" ref="I750" si="2523">D88</f>
        <v>#REF!</v>
      </c>
      <c r="J750" s="407" t="e">
        <f>E275</f>
        <v>#REF!</v>
      </c>
      <c r="K750" s="407" t="e">
        <f>D275</f>
        <v>#REF!</v>
      </c>
      <c r="L750" s="349"/>
      <c r="M750" s="349"/>
      <c r="N750" s="349"/>
      <c r="O750" s="349" t="s">
        <v>770</v>
      </c>
      <c r="P750" s="349"/>
      <c r="Q750" s="349"/>
      <c r="R750" s="349"/>
      <c r="S750" s="349"/>
      <c r="T750" s="349"/>
    </row>
    <row r="751" spans="1:20" s="111" customFormat="1" ht="15.75" thickBot="1" x14ac:dyDescent="0.3">
      <c r="A751" s="111" t="s">
        <v>813</v>
      </c>
      <c r="B751" s="362" t="e">
        <f>B275</f>
        <v>#REF!</v>
      </c>
      <c r="C751" s="404" t="e">
        <f>C275</f>
        <v>#REF!</v>
      </c>
      <c r="D751" s="405" t="e">
        <f t="shared" ref="D751" si="2524">R275</f>
        <v>#REF!</v>
      </c>
      <c r="E751" s="406" t="e">
        <f t="shared" ref="E751" si="2525">S275</f>
        <v>#REF!</v>
      </c>
      <c r="F751" s="405" t="e">
        <f t="shared" ref="F751" si="2526">T275</f>
        <v>#REF!</v>
      </c>
      <c r="G751" s="413"/>
      <c r="H751" s="404" t="e">
        <f t="shared" ref="H751" si="2527">C88</f>
        <v>#REF!</v>
      </c>
      <c r="I751" s="407" t="e">
        <f t="shared" ref="I751" si="2528">D88</f>
        <v>#REF!</v>
      </c>
      <c r="J751" s="407" t="e">
        <f>E275</f>
        <v>#REF!</v>
      </c>
      <c r="K751" s="407" t="e">
        <f>D275</f>
        <v>#REF!</v>
      </c>
      <c r="L751" s="349"/>
      <c r="M751" s="349"/>
      <c r="N751" s="349"/>
      <c r="O751" s="349" t="s">
        <v>770</v>
      </c>
      <c r="P751" s="349"/>
      <c r="Q751" s="349"/>
      <c r="R751" s="349"/>
      <c r="S751" s="349"/>
      <c r="T751" s="349"/>
    </row>
    <row r="752" spans="1:20" s="111" customFormat="1" ht="15.75" thickBot="1" x14ac:dyDescent="0.3">
      <c r="A752" s="111" t="s">
        <v>813</v>
      </c>
      <c r="B752" s="362" t="e">
        <f>B275</f>
        <v>#REF!</v>
      </c>
      <c r="C752" s="404" t="e">
        <f>C275</f>
        <v>#REF!</v>
      </c>
      <c r="D752" s="405" t="e">
        <f t="shared" ref="D752" si="2529">R275</f>
        <v>#REF!</v>
      </c>
      <c r="E752" s="406" t="e">
        <f t="shared" ref="E752" si="2530">S275</f>
        <v>#REF!</v>
      </c>
      <c r="F752" s="405" t="e">
        <f t="shared" ref="F752" si="2531">T275</f>
        <v>#REF!</v>
      </c>
      <c r="G752" s="413"/>
      <c r="H752" s="404" t="e">
        <f t="shared" ref="H752" si="2532">C88</f>
        <v>#REF!</v>
      </c>
      <c r="I752" s="407" t="e">
        <f t="shared" ref="I752" si="2533">D88</f>
        <v>#REF!</v>
      </c>
      <c r="J752" s="407" t="e">
        <f>E275</f>
        <v>#REF!</v>
      </c>
      <c r="K752" s="407" t="e">
        <f>D275</f>
        <v>#REF!</v>
      </c>
      <c r="L752" s="349"/>
      <c r="M752" s="349"/>
      <c r="N752" s="349"/>
      <c r="O752" s="349" t="s">
        <v>770</v>
      </c>
      <c r="P752" s="349"/>
      <c r="Q752" s="349"/>
      <c r="R752" s="349"/>
      <c r="S752" s="349"/>
      <c r="T752" s="349"/>
    </row>
    <row r="753" spans="1:20" s="111" customFormat="1" ht="15.75" thickBot="1" x14ac:dyDescent="0.3">
      <c r="A753" s="111" t="s">
        <v>813</v>
      </c>
      <c r="B753" s="362" t="e">
        <f>B275</f>
        <v>#REF!</v>
      </c>
      <c r="C753" s="404" t="e">
        <f>C275</f>
        <v>#REF!</v>
      </c>
      <c r="D753" s="405" t="e">
        <f t="shared" ref="D753" si="2534">R275</f>
        <v>#REF!</v>
      </c>
      <c r="E753" s="406" t="e">
        <f t="shared" ref="E753" si="2535">S275</f>
        <v>#REF!</v>
      </c>
      <c r="F753" s="405" t="e">
        <f t="shared" ref="F753" si="2536">T275</f>
        <v>#REF!</v>
      </c>
      <c r="G753" s="413"/>
      <c r="H753" s="404" t="e">
        <f t="shared" ref="H753" si="2537">C88</f>
        <v>#REF!</v>
      </c>
      <c r="I753" s="407" t="e">
        <f t="shared" ref="I753" si="2538">D88</f>
        <v>#REF!</v>
      </c>
      <c r="J753" s="407" t="e">
        <f>E275</f>
        <v>#REF!</v>
      </c>
      <c r="K753" s="407" t="e">
        <f>D275</f>
        <v>#REF!</v>
      </c>
      <c r="L753" s="349"/>
      <c r="M753" s="349"/>
      <c r="N753" s="349"/>
      <c r="O753" s="349" t="s">
        <v>770</v>
      </c>
      <c r="P753" s="349"/>
      <c r="Q753" s="349"/>
      <c r="R753" s="349"/>
      <c r="S753" s="349"/>
      <c r="T753" s="349"/>
    </row>
    <row r="754" spans="1:20" s="111" customFormat="1" ht="15.75" thickBot="1" x14ac:dyDescent="0.3">
      <c r="A754" s="111" t="s">
        <v>813</v>
      </c>
      <c r="B754" s="362" t="e">
        <f>B275</f>
        <v>#REF!</v>
      </c>
      <c r="C754" s="404" t="e">
        <f>C275</f>
        <v>#REF!</v>
      </c>
      <c r="D754" s="405" t="e">
        <f t="shared" ref="D754" si="2539">R275</f>
        <v>#REF!</v>
      </c>
      <c r="E754" s="406" t="e">
        <f t="shared" ref="E754" si="2540">S275</f>
        <v>#REF!</v>
      </c>
      <c r="F754" s="405" t="e">
        <f t="shared" ref="F754" si="2541">T275</f>
        <v>#REF!</v>
      </c>
      <c r="G754" s="413"/>
      <c r="H754" s="404" t="e">
        <f t="shared" ref="H754" si="2542">C88</f>
        <v>#REF!</v>
      </c>
      <c r="I754" s="407" t="e">
        <f t="shared" ref="I754" si="2543">D88</f>
        <v>#REF!</v>
      </c>
      <c r="J754" s="407" t="e">
        <f>E275</f>
        <v>#REF!</v>
      </c>
      <c r="K754" s="407" t="e">
        <f>D275</f>
        <v>#REF!</v>
      </c>
      <c r="L754" s="349"/>
      <c r="M754" s="349"/>
      <c r="N754" s="349"/>
      <c r="O754" s="349" t="s">
        <v>770</v>
      </c>
      <c r="P754" s="349"/>
      <c r="Q754" s="349"/>
      <c r="R754" s="349"/>
      <c r="S754" s="349"/>
      <c r="T754" s="349"/>
    </row>
    <row r="755" spans="1:20" s="111" customFormat="1" ht="15.75" thickBot="1" x14ac:dyDescent="0.3">
      <c r="A755" s="111" t="s">
        <v>813</v>
      </c>
      <c r="B755" s="362" t="e">
        <f>B275</f>
        <v>#REF!</v>
      </c>
      <c r="C755" s="404" t="e">
        <f>C275</f>
        <v>#REF!</v>
      </c>
      <c r="D755" s="405" t="e">
        <f t="shared" ref="D755" si="2544">R275</f>
        <v>#REF!</v>
      </c>
      <c r="E755" s="406" t="e">
        <f t="shared" ref="E755" si="2545">S275</f>
        <v>#REF!</v>
      </c>
      <c r="F755" s="405" t="e">
        <f t="shared" ref="F755" si="2546">T275</f>
        <v>#REF!</v>
      </c>
      <c r="G755" s="413"/>
      <c r="H755" s="404" t="e">
        <f t="shared" ref="H755" si="2547">C88</f>
        <v>#REF!</v>
      </c>
      <c r="I755" s="407" t="e">
        <f t="shared" ref="I755" si="2548">D88</f>
        <v>#REF!</v>
      </c>
      <c r="J755" s="407" t="e">
        <f>E275</f>
        <v>#REF!</v>
      </c>
      <c r="K755" s="407" t="e">
        <f>D275</f>
        <v>#REF!</v>
      </c>
      <c r="L755" s="349"/>
      <c r="M755" s="349"/>
      <c r="N755" s="349"/>
      <c r="O755" s="349" t="s">
        <v>770</v>
      </c>
      <c r="P755" s="349"/>
      <c r="Q755" s="349"/>
      <c r="R755" s="349"/>
      <c r="S755" s="349"/>
      <c r="T755" s="349"/>
    </row>
    <row r="756" spans="1:20" s="111" customFormat="1" ht="15.75" thickBot="1" x14ac:dyDescent="0.3">
      <c r="A756" s="111" t="s">
        <v>813</v>
      </c>
      <c r="B756" s="362" t="e">
        <f>B275</f>
        <v>#REF!</v>
      </c>
      <c r="C756" s="404" t="e">
        <f>C275</f>
        <v>#REF!</v>
      </c>
      <c r="D756" s="405" t="e">
        <f t="shared" ref="D756" si="2549">R275</f>
        <v>#REF!</v>
      </c>
      <c r="E756" s="406" t="e">
        <f t="shared" ref="E756" si="2550">S275</f>
        <v>#REF!</v>
      </c>
      <c r="F756" s="405" t="e">
        <f t="shared" ref="F756" si="2551">T275</f>
        <v>#REF!</v>
      </c>
      <c r="G756" s="413"/>
      <c r="H756" s="404" t="e">
        <f t="shared" ref="H756" si="2552">C88</f>
        <v>#REF!</v>
      </c>
      <c r="I756" s="407" t="e">
        <f t="shared" ref="I756" si="2553">D88</f>
        <v>#REF!</v>
      </c>
      <c r="J756" s="407" t="e">
        <f>E275</f>
        <v>#REF!</v>
      </c>
      <c r="K756" s="407" t="e">
        <f>D275</f>
        <v>#REF!</v>
      </c>
      <c r="L756" s="349"/>
      <c r="M756" s="349"/>
      <c r="N756" s="349"/>
      <c r="O756" s="349" t="s">
        <v>770</v>
      </c>
      <c r="P756" s="349"/>
      <c r="Q756" s="349"/>
      <c r="R756" s="349"/>
      <c r="S756" s="349"/>
      <c r="T756" s="349"/>
    </row>
    <row r="757" spans="1:20" s="111" customFormat="1" ht="15.75" thickBot="1" x14ac:dyDescent="0.3">
      <c r="A757" s="111" t="s">
        <v>813</v>
      </c>
      <c r="B757" s="362" t="e">
        <f>B275</f>
        <v>#REF!</v>
      </c>
      <c r="C757" s="404" t="e">
        <f>C275</f>
        <v>#REF!</v>
      </c>
      <c r="D757" s="405" t="e">
        <f t="shared" ref="D757" si="2554">R275</f>
        <v>#REF!</v>
      </c>
      <c r="E757" s="406" t="e">
        <f t="shared" ref="E757" si="2555">S275</f>
        <v>#REF!</v>
      </c>
      <c r="F757" s="405" t="e">
        <f t="shared" ref="F757" si="2556">T275</f>
        <v>#REF!</v>
      </c>
      <c r="G757" s="413"/>
      <c r="H757" s="404" t="e">
        <f t="shared" ref="H757" si="2557">C88</f>
        <v>#REF!</v>
      </c>
      <c r="I757" s="407" t="e">
        <f t="shared" ref="I757" si="2558">D88</f>
        <v>#REF!</v>
      </c>
      <c r="J757" s="407" t="e">
        <f>E275</f>
        <v>#REF!</v>
      </c>
      <c r="K757" s="407" t="e">
        <f>D275</f>
        <v>#REF!</v>
      </c>
      <c r="L757" s="349"/>
      <c r="M757" s="349"/>
      <c r="N757" s="349"/>
      <c r="O757" s="349" t="s">
        <v>770</v>
      </c>
      <c r="P757" s="349"/>
      <c r="Q757" s="349"/>
      <c r="R757" s="349"/>
      <c r="S757" s="349"/>
      <c r="T757" s="349"/>
    </row>
    <row r="758" spans="1:20" s="111" customFormat="1" ht="15.75" thickBot="1" x14ac:dyDescent="0.3">
      <c r="A758" s="111" t="s">
        <v>813</v>
      </c>
      <c r="B758" s="362" t="e">
        <f>B275</f>
        <v>#REF!</v>
      </c>
      <c r="C758" s="404" t="e">
        <f>C275</f>
        <v>#REF!</v>
      </c>
      <c r="D758" s="405" t="e">
        <f t="shared" ref="D758" si="2559">R275</f>
        <v>#REF!</v>
      </c>
      <c r="E758" s="406" t="e">
        <f t="shared" ref="E758" si="2560">S275</f>
        <v>#REF!</v>
      </c>
      <c r="F758" s="405" t="e">
        <f t="shared" ref="F758" si="2561">T275</f>
        <v>#REF!</v>
      </c>
      <c r="G758" s="413"/>
      <c r="H758" s="404" t="e">
        <f t="shared" ref="H758" si="2562">C88</f>
        <v>#REF!</v>
      </c>
      <c r="I758" s="407" t="e">
        <f t="shared" ref="I758" si="2563">D88</f>
        <v>#REF!</v>
      </c>
      <c r="J758" s="407" t="e">
        <f>E275</f>
        <v>#REF!</v>
      </c>
      <c r="K758" s="407" t="e">
        <f>D275</f>
        <v>#REF!</v>
      </c>
      <c r="L758" s="349"/>
      <c r="M758" s="349"/>
      <c r="N758" s="349"/>
      <c r="O758" s="349" t="s">
        <v>770</v>
      </c>
      <c r="P758" s="349"/>
      <c r="Q758" s="349"/>
      <c r="R758" s="349"/>
      <c r="S758" s="349"/>
      <c r="T758" s="349"/>
    </row>
    <row r="759" spans="1:20" s="111" customFormat="1" ht="15.75" thickBot="1" x14ac:dyDescent="0.3">
      <c r="A759" s="111" t="s">
        <v>813</v>
      </c>
      <c r="B759" s="362" t="e">
        <f>B275</f>
        <v>#REF!</v>
      </c>
      <c r="C759" s="404" t="e">
        <f>C275</f>
        <v>#REF!</v>
      </c>
      <c r="D759" s="405" t="e">
        <f>R275</f>
        <v>#REF!</v>
      </c>
      <c r="E759" s="406" t="e">
        <f>S275</f>
        <v>#REF!</v>
      </c>
      <c r="F759" s="405" t="e">
        <f>T275</f>
        <v>#REF!</v>
      </c>
      <c r="G759" s="413"/>
      <c r="H759" s="404" t="e">
        <f t="shared" ref="H759" si="2564">C88</f>
        <v>#REF!</v>
      </c>
      <c r="I759" s="407" t="e">
        <f t="shared" ref="I759" si="2565">D88</f>
        <v>#REF!</v>
      </c>
      <c r="J759" s="407" t="e">
        <f>E275</f>
        <v>#REF!</v>
      </c>
      <c r="K759" s="407" t="e">
        <f>D275</f>
        <v>#REF!</v>
      </c>
      <c r="L759" s="349"/>
      <c r="M759" s="349"/>
      <c r="N759" s="349"/>
      <c r="O759" s="349" t="s">
        <v>770</v>
      </c>
      <c r="P759" s="349"/>
      <c r="Q759" s="349"/>
      <c r="R759" s="349"/>
      <c r="S759" s="349"/>
      <c r="T759" s="349"/>
    </row>
    <row r="760" spans="1:20" s="111" customFormat="1" ht="24.75" thickBot="1" x14ac:dyDescent="0.3">
      <c r="A760" s="111" t="s">
        <v>813</v>
      </c>
      <c r="B760" s="362">
        <f>B276</f>
        <v>4</v>
      </c>
      <c r="C760" s="404" t="str">
        <f>C276</f>
        <v>CREPIN Lucie</v>
      </c>
      <c r="D760" s="405">
        <f t="shared" ref="D760" si="2566">R276</f>
        <v>57.512199042651993</v>
      </c>
      <c r="E760" s="406">
        <f t="shared" ref="E760" si="2567">S276</f>
        <v>1531.4000000000026</v>
      </c>
      <c r="F760" s="405">
        <f t="shared" ref="F760" si="2568">T276</f>
        <v>88074.181613917404</v>
      </c>
      <c r="G760" s="413"/>
      <c r="H760" s="404" t="str">
        <f t="shared" ref="H760" si="2569">C89</f>
        <v>CREPIN</v>
      </c>
      <c r="I760" s="407" t="str">
        <f t="shared" ref="I760" si="2570">D89</f>
        <v>Lucie</v>
      </c>
      <c r="J760" s="407" t="str">
        <f>E276</f>
        <v>Doctorat - Biotechnologie, microbilogie - Université Montpellier II</v>
      </c>
      <c r="K760" s="407" t="str">
        <f>D276</f>
        <v>Lead Scientist</v>
      </c>
      <c r="L760" s="349"/>
      <c r="M760" s="349"/>
      <c r="N760" s="349"/>
      <c r="O760" s="349" t="s">
        <v>770</v>
      </c>
      <c r="P760" s="349"/>
      <c r="Q760" s="349"/>
      <c r="R760" s="349"/>
      <c r="S760" s="349"/>
      <c r="T760" s="349"/>
    </row>
    <row r="761" spans="1:20" s="111" customFormat="1" ht="24.75" thickBot="1" x14ac:dyDescent="0.3">
      <c r="A761" s="111" t="s">
        <v>813</v>
      </c>
      <c r="B761" s="362">
        <f>B276</f>
        <v>4</v>
      </c>
      <c r="C761" s="404" t="str">
        <f>C276</f>
        <v>CREPIN Lucie</v>
      </c>
      <c r="D761" s="405">
        <f t="shared" ref="D761" si="2571">R276</f>
        <v>57.512199042651993</v>
      </c>
      <c r="E761" s="406">
        <f t="shared" ref="E761" si="2572">S276</f>
        <v>1531.4000000000026</v>
      </c>
      <c r="F761" s="405">
        <f t="shared" ref="F761" si="2573">T276</f>
        <v>88074.181613917404</v>
      </c>
      <c r="G761" s="413"/>
      <c r="H761" s="404" t="str">
        <f t="shared" ref="H761" si="2574">C89</f>
        <v>CREPIN</v>
      </c>
      <c r="I761" s="407" t="str">
        <f t="shared" ref="I761" si="2575">D89</f>
        <v>Lucie</v>
      </c>
      <c r="J761" s="407" t="str">
        <f>E276</f>
        <v>Doctorat - Biotechnologie, microbilogie - Université Montpellier II</v>
      </c>
      <c r="K761" s="407" t="str">
        <f>D276</f>
        <v>Lead Scientist</v>
      </c>
      <c r="L761" s="349"/>
      <c r="M761" s="349"/>
      <c r="N761" s="349"/>
      <c r="O761" s="349" t="s">
        <v>770</v>
      </c>
      <c r="P761" s="349"/>
      <c r="Q761" s="349"/>
      <c r="R761" s="349"/>
      <c r="S761" s="349"/>
      <c r="T761" s="349"/>
    </row>
    <row r="762" spans="1:20" s="111" customFormat="1" ht="24.75" thickBot="1" x14ac:dyDescent="0.3">
      <c r="A762" s="111" t="s">
        <v>813</v>
      </c>
      <c r="B762" s="362">
        <f>B276</f>
        <v>4</v>
      </c>
      <c r="C762" s="404" t="str">
        <f>C276</f>
        <v>CREPIN Lucie</v>
      </c>
      <c r="D762" s="405">
        <f t="shared" ref="D762" si="2576">R276</f>
        <v>57.512199042651993</v>
      </c>
      <c r="E762" s="406">
        <f t="shared" ref="E762" si="2577">S276</f>
        <v>1531.4000000000026</v>
      </c>
      <c r="F762" s="405">
        <f t="shared" ref="F762" si="2578">T276</f>
        <v>88074.181613917404</v>
      </c>
      <c r="G762" s="413"/>
      <c r="H762" s="404" t="str">
        <f t="shared" ref="H762" si="2579">C89</f>
        <v>CREPIN</v>
      </c>
      <c r="I762" s="407" t="str">
        <f t="shared" ref="I762" si="2580">D89</f>
        <v>Lucie</v>
      </c>
      <c r="J762" s="407" t="str">
        <f>E276</f>
        <v>Doctorat - Biotechnologie, microbilogie - Université Montpellier II</v>
      </c>
      <c r="K762" s="407" t="str">
        <f>D276</f>
        <v>Lead Scientist</v>
      </c>
      <c r="L762" s="349"/>
      <c r="M762" s="349"/>
      <c r="N762" s="349"/>
      <c r="O762" s="349" t="s">
        <v>770</v>
      </c>
      <c r="P762" s="349"/>
      <c r="Q762" s="349"/>
      <c r="R762" s="349"/>
      <c r="S762" s="349"/>
      <c r="T762" s="349"/>
    </row>
    <row r="763" spans="1:20" s="111" customFormat="1" ht="24.75" thickBot="1" x14ac:dyDescent="0.3">
      <c r="A763" s="111" t="s">
        <v>813</v>
      </c>
      <c r="B763" s="362">
        <f>B276</f>
        <v>4</v>
      </c>
      <c r="C763" s="404" t="str">
        <f>C276</f>
        <v>CREPIN Lucie</v>
      </c>
      <c r="D763" s="405">
        <f t="shared" ref="D763" si="2581">R276</f>
        <v>57.512199042651993</v>
      </c>
      <c r="E763" s="406">
        <f t="shared" ref="E763" si="2582">S276</f>
        <v>1531.4000000000026</v>
      </c>
      <c r="F763" s="405">
        <f t="shared" ref="F763" si="2583">T276</f>
        <v>88074.181613917404</v>
      </c>
      <c r="G763" s="413"/>
      <c r="H763" s="404" t="str">
        <f t="shared" ref="H763" si="2584">C89</f>
        <v>CREPIN</v>
      </c>
      <c r="I763" s="407" t="str">
        <f t="shared" ref="I763" si="2585">D89</f>
        <v>Lucie</v>
      </c>
      <c r="J763" s="407" t="str">
        <f>E276</f>
        <v>Doctorat - Biotechnologie, microbilogie - Université Montpellier II</v>
      </c>
      <c r="K763" s="407" t="str">
        <f>D276</f>
        <v>Lead Scientist</v>
      </c>
      <c r="L763" s="349"/>
      <c r="M763" s="349"/>
      <c r="N763" s="349"/>
      <c r="O763" s="349" t="s">
        <v>770</v>
      </c>
      <c r="P763" s="349"/>
      <c r="Q763" s="349"/>
      <c r="R763" s="349"/>
      <c r="S763" s="349"/>
      <c r="T763" s="349"/>
    </row>
    <row r="764" spans="1:20" s="111" customFormat="1" ht="24.75" thickBot="1" x14ac:dyDescent="0.3">
      <c r="A764" s="111" t="s">
        <v>813</v>
      </c>
      <c r="B764" s="362">
        <f>B276</f>
        <v>4</v>
      </c>
      <c r="C764" s="404" t="str">
        <f>C276</f>
        <v>CREPIN Lucie</v>
      </c>
      <c r="D764" s="405">
        <f t="shared" ref="D764" si="2586">R276</f>
        <v>57.512199042651993</v>
      </c>
      <c r="E764" s="406">
        <f t="shared" ref="E764" si="2587">S276</f>
        <v>1531.4000000000026</v>
      </c>
      <c r="F764" s="405">
        <f t="shared" ref="F764" si="2588">T276</f>
        <v>88074.181613917404</v>
      </c>
      <c r="G764" s="413"/>
      <c r="H764" s="404" t="str">
        <f t="shared" ref="H764" si="2589">C89</f>
        <v>CREPIN</v>
      </c>
      <c r="I764" s="407" t="str">
        <f t="shared" ref="I764" si="2590">D89</f>
        <v>Lucie</v>
      </c>
      <c r="J764" s="407" t="str">
        <f>E276</f>
        <v>Doctorat - Biotechnologie, microbilogie - Université Montpellier II</v>
      </c>
      <c r="K764" s="407" t="str">
        <f>D276</f>
        <v>Lead Scientist</v>
      </c>
      <c r="L764" s="349"/>
      <c r="M764" s="349"/>
      <c r="N764" s="349"/>
      <c r="O764" s="349" t="s">
        <v>770</v>
      </c>
      <c r="P764" s="349"/>
      <c r="Q764" s="349"/>
      <c r="R764" s="349"/>
      <c r="S764" s="349"/>
      <c r="T764" s="349"/>
    </row>
    <row r="765" spans="1:20" s="111" customFormat="1" ht="24.75" thickBot="1" x14ac:dyDescent="0.3">
      <c r="A765" s="111" t="s">
        <v>813</v>
      </c>
      <c r="B765" s="362">
        <f>B276</f>
        <v>4</v>
      </c>
      <c r="C765" s="404" t="str">
        <f>C276</f>
        <v>CREPIN Lucie</v>
      </c>
      <c r="D765" s="405">
        <f t="shared" ref="D765" si="2591">R276</f>
        <v>57.512199042651993</v>
      </c>
      <c r="E765" s="406">
        <f t="shared" ref="E765" si="2592">S276</f>
        <v>1531.4000000000026</v>
      </c>
      <c r="F765" s="405">
        <f t="shared" ref="F765" si="2593">T276</f>
        <v>88074.181613917404</v>
      </c>
      <c r="G765" s="413"/>
      <c r="H765" s="404" t="str">
        <f t="shared" ref="H765" si="2594">C89</f>
        <v>CREPIN</v>
      </c>
      <c r="I765" s="407" t="str">
        <f t="shared" ref="I765" si="2595">D89</f>
        <v>Lucie</v>
      </c>
      <c r="J765" s="407" t="str">
        <f>E276</f>
        <v>Doctorat - Biotechnologie, microbilogie - Université Montpellier II</v>
      </c>
      <c r="K765" s="407" t="str">
        <f>D276</f>
        <v>Lead Scientist</v>
      </c>
      <c r="L765" s="349"/>
      <c r="M765" s="349"/>
      <c r="N765" s="349"/>
      <c r="O765" s="349" t="s">
        <v>770</v>
      </c>
      <c r="P765" s="349"/>
      <c r="Q765" s="349"/>
      <c r="R765" s="349"/>
      <c r="S765" s="349"/>
      <c r="T765" s="349"/>
    </row>
    <row r="766" spans="1:20" s="111" customFormat="1" ht="24.75" thickBot="1" x14ac:dyDescent="0.3">
      <c r="A766" s="111" t="s">
        <v>813</v>
      </c>
      <c r="B766" s="362">
        <f>B276</f>
        <v>4</v>
      </c>
      <c r="C766" s="404" t="str">
        <f>C276</f>
        <v>CREPIN Lucie</v>
      </c>
      <c r="D766" s="405">
        <f t="shared" ref="D766" si="2596">R276</f>
        <v>57.512199042651993</v>
      </c>
      <c r="E766" s="406">
        <f t="shared" ref="E766" si="2597">S276</f>
        <v>1531.4000000000026</v>
      </c>
      <c r="F766" s="405">
        <f t="shared" ref="F766" si="2598">T276</f>
        <v>88074.181613917404</v>
      </c>
      <c r="G766" s="413"/>
      <c r="H766" s="404" t="str">
        <f t="shared" ref="H766" si="2599">C89</f>
        <v>CREPIN</v>
      </c>
      <c r="I766" s="407" t="str">
        <f t="shared" ref="I766" si="2600">D89</f>
        <v>Lucie</v>
      </c>
      <c r="J766" s="407" t="str">
        <f>E276</f>
        <v>Doctorat - Biotechnologie, microbilogie - Université Montpellier II</v>
      </c>
      <c r="K766" s="407" t="str">
        <f>D276</f>
        <v>Lead Scientist</v>
      </c>
      <c r="L766" s="349"/>
      <c r="M766" s="349"/>
      <c r="N766" s="349"/>
      <c r="O766" s="349" t="s">
        <v>770</v>
      </c>
      <c r="P766" s="349"/>
      <c r="Q766" s="349"/>
      <c r="R766" s="349"/>
      <c r="S766" s="349"/>
      <c r="T766" s="349"/>
    </row>
    <row r="767" spans="1:20" s="111" customFormat="1" ht="24.75" thickBot="1" x14ac:dyDescent="0.3">
      <c r="A767" s="111" t="s">
        <v>813</v>
      </c>
      <c r="B767" s="362">
        <f>B276</f>
        <v>4</v>
      </c>
      <c r="C767" s="404" t="str">
        <f>C276</f>
        <v>CREPIN Lucie</v>
      </c>
      <c r="D767" s="405">
        <f t="shared" ref="D767" si="2601">R276</f>
        <v>57.512199042651993</v>
      </c>
      <c r="E767" s="406">
        <f t="shared" ref="E767" si="2602">S276</f>
        <v>1531.4000000000026</v>
      </c>
      <c r="F767" s="405">
        <f t="shared" ref="F767" si="2603">T276</f>
        <v>88074.181613917404</v>
      </c>
      <c r="G767" s="413"/>
      <c r="H767" s="404" t="str">
        <f t="shared" ref="H767" si="2604">C89</f>
        <v>CREPIN</v>
      </c>
      <c r="I767" s="407" t="str">
        <f t="shared" ref="I767" si="2605">D89</f>
        <v>Lucie</v>
      </c>
      <c r="J767" s="407" t="str">
        <f>E276</f>
        <v>Doctorat - Biotechnologie, microbilogie - Université Montpellier II</v>
      </c>
      <c r="K767" s="407" t="str">
        <f>D276</f>
        <v>Lead Scientist</v>
      </c>
      <c r="L767" s="349"/>
      <c r="M767" s="349"/>
      <c r="N767" s="349"/>
      <c r="O767" s="349" t="s">
        <v>770</v>
      </c>
      <c r="P767" s="349"/>
      <c r="Q767" s="349"/>
      <c r="R767" s="349"/>
      <c r="S767" s="349"/>
      <c r="T767" s="349"/>
    </row>
    <row r="768" spans="1:20" s="111" customFormat="1" ht="24.75" thickBot="1" x14ac:dyDescent="0.3">
      <c r="A768" s="111" t="s">
        <v>813</v>
      </c>
      <c r="B768" s="362">
        <f>B276</f>
        <v>4</v>
      </c>
      <c r="C768" s="404" t="str">
        <f>C276</f>
        <v>CREPIN Lucie</v>
      </c>
      <c r="D768" s="405">
        <f t="shared" ref="D768" si="2606">R276</f>
        <v>57.512199042651993</v>
      </c>
      <c r="E768" s="406">
        <f t="shared" ref="E768" si="2607">S276</f>
        <v>1531.4000000000026</v>
      </c>
      <c r="F768" s="405">
        <f t="shared" ref="F768" si="2608">T276</f>
        <v>88074.181613917404</v>
      </c>
      <c r="G768" s="413"/>
      <c r="H768" s="404" t="str">
        <f t="shared" ref="H768" si="2609">C89</f>
        <v>CREPIN</v>
      </c>
      <c r="I768" s="407" t="str">
        <f t="shared" ref="I768" si="2610">D89</f>
        <v>Lucie</v>
      </c>
      <c r="J768" s="407" t="str">
        <f>E276</f>
        <v>Doctorat - Biotechnologie, microbilogie - Université Montpellier II</v>
      </c>
      <c r="K768" s="407" t="str">
        <f>D276</f>
        <v>Lead Scientist</v>
      </c>
      <c r="L768" s="349"/>
      <c r="M768" s="349"/>
      <c r="N768" s="349"/>
      <c r="O768" s="349" t="s">
        <v>770</v>
      </c>
      <c r="P768" s="349"/>
      <c r="Q768" s="349"/>
      <c r="R768" s="349"/>
      <c r="S768" s="349"/>
      <c r="T768" s="349"/>
    </row>
    <row r="769" spans="1:20" s="111" customFormat="1" ht="24.75" thickBot="1" x14ac:dyDescent="0.3">
      <c r="A769" s="111" t="s">
        <v>813</v>
      </c>
      <c r="B769" s="362">
        <f>B276</f>
        <v>4</v>
      </c>
      <c r="C769" s="404" t="str">
        <f>C276</f>
        <v>CREPIN Lucie</v>
      </c>
      <c r="D769" s="405">
        <f t="shared" ref="D769" si="2611">R276</f>
        <v>57.512199042651993</v>
      </c>
      <c r="E769" s="406">
        <f t="shared" ref="E769" si="2612">S276</f>
        <v>1531.4000000000026</v>
      </c>
      <c r="F769" s="405">
        <f t="shared" ref="F769" si="2613">T276</f>
        <v>88074.181613917404</v>
      </c>
      <c r="G769" s="413"/>
      <c r="H769" s="404" t="str">
        <f t="shared" ref="H769" si="2614">C89</f>
        <v>CREPIN</v>
      </c>
      <c r="I769" s="407" t="str">
        <f t="shared" ref="I769" si="2615">D89</f>
        <v>Lucie</v>
      </c>
      <c r="J769" s="407" t="str">
        <f>E276</f>
        <v>Doctorat - Biotechnologie, microbilogie - Université Montpellier II</v>
      </c>
      <c r="K769" s="407" t="str">
        <f>D276</f>
        <v>Lead Scientist</v>
      </c>
      <c r="L769" s="349"/>
      <c r="M769" s="349"/>
      <c r="N769" s="349"/>
      <c r="O769" s="349" t="s">
        <v>770</v>
      </c>
      <c r="P769" s="349"/>
      <c r="Q769" s="349"/>
      <c r="R769" s="349"/>
      <c r="S769" s="349"/>
      <c r="T769" s="349"/>
    </row>
    <row r="770" spans="1:20" s="111" customFormat="1" ht="24.75" thickBot="1" x14ac:dyDescent="0.3">
      <c r="A770" s="111" t="s">
        <v>813</v>
      </c>
      <c r="B770" s="362">
        <f>B276</f>
        <v>4</v>
      </c>
      <c r="C770" s="404" t="str">
        <f>C276</f>
        <v>CREPIN Lucie</v>
      </c>
      <c r="D770" s="405">
        <f t="shared" ref="D770" si="2616">R276</f>
        <v>57.512199042651993</v>
      </c>
      <c r="E770" s="406">
        <f t="shared" ref="E770" si="2617">S276</f>
        <v>1531.4000000000026</v>
      </c>
      <c r="F770" s="405">
        <f t="shared" ref="F770" si="2618">T276</f>
        <v>88074.181613917404</v>
      </c>
      <c r="G770" s="413"/>
      <c r="H770" s="404" t="str">
        <f t="shared" ref="H770" si="2619">C89</f>
        <v>CREPIN</v>
      </c>
      <c r="I770" s="407" t="str">
        <f t="shared" ref="I770" si="2620">D89</f>
        <v>Lucie</v>
      </c>
      <c r="J770" s="407" t="str">
        <f>E276</f>
        <v>Doctorat - Biotechnologie, microbilogie - Université Montpellier II</v>
      </c>
      <c r="K770" s="407" t="str">
        <f>D276</f>
        <v>Lead Scientist</v>
      </c>
      <c r="L770" s="349"/>
      <c r="M770" s="349"/>
      <c r="N770" s="349"/>
      <c r="O770" s="349" t="s">
        <v>770</v>
      </c>
      <c r="P770" s="349"/>
      <c r="Q770" s="349"/>
      <c r="R770" s="349"/>
      <c r="S770" s="349"/>
      <c r="T770" s="349"/>
    </row>
    <row r="771" spans="1:20" s="111" customFormat="1" ht="24.75" thickBot="1" x14ac:dyDescent="0.3">
      <c r="A771" s="111" t="s">
        <v>813</v>
      </c>
      <c r="B771" s="362">
        <f>B276</f>
        <v>4</v>
      </c>
      <c r="C771" s="404" t="str">
        <f>C276</f>
        <v>CREPIN Lucie</v>
      </c>
      <c r="D771" s="405">
        <f t="shared" ref="D771" si="2621">R276</f>
        <v>57.512199042651993</v>
      </c>
      <c r="E771" s="406">
        <f t="shared" ref="E771" si="2622">S276</f>
        <v>1531.4000000000026</v>
      </c>
      <c r="F771" s="405">
        <f t="shared" ref="F771" si="2623">T276</f>
        <v>88074.181613917404</v>
      </c>
      <c r="G771" s="413"/>
      <c r="H771" s="404" t="str">
        <f t="shared" ref="H771" si="2624">C89</f>
        <v>CREPIN</v>
      </c>
      <c r="I771" s="407" t="str">
        <f t="shared" ref="I771" si="2625">D89</f>
        <v>Lucie</v>
      </c>
      <c r="J771" s="407" t="str">
        <f>E276</f>
        <v>Doctorat - Biotechnologie, microbilogie - Université Montpellier II</v>
      </c>
      <c r="K771" s="407" t="str">
        <f>D276</f>
        <v>Lead Scientist</v>
      </c>
      <c r="L771" s="349"/>
      <c r="M771" s="349"/>
      <c r="N771" s="349"/>
      <c r="O771" s="349" t="s">
        <v>770</v>
      </c>
      <c r="P771" s="349"/>
      <c r="Q771" s="349"/>
      <c r="R771" s="349"/>
      <c r="S771" s="349"/>
      <c r="T771" s="349"/>
    </row>
    <row r="772" spans="1:20" s="111" customFormat="1" ht="24.75" thickBot="1" x14ac:dyDescent="0.3">
      <c r="A772" s="111" t="s">
        <v>813</v>
      </c>
      <c r="B772" s="362">
        <f>B276</f>
        <v>4</v>
      </c>
      <c r="C772" s="404" t="str">
        <f>C276</f>
        <v>CREPIN Lucie</v>
      </c>
      <c r="D772" s="405">
        <f t="shared" ref="D772" si="2626">R276</f>
        <v>57.512199042651993</v>
      </c>
      <c r="E772" s="406">
        <f t="shared" ref="E772" si="2627">S276</f>
        <v>1531.4000000000026</v>
      </c>
      <c r="F772" s="405">
        <f t="shared" ref="F772" si="2628">T276</f>
        <v>88074.181613917404</v>
      </c>
      <c r="G772" s="413"/>
      <c r="H772" s="404" t="str">
        <f t="shared" ref="H772" si="2629">C89</f>
        <v>CREPIN</v>
      </c>
      <c r="I772" s="407" t="str">
        <f t="shared" ref="I772" si="2630">D89</f>
        <v>Lucie</v>
      </c>
      <c r="J772" s="407" t="str">
        <f>E276</f>
        <v>Doctorat - Biotechnologie, microbilogie - Université Montpellier II</v>
      </c>
      <c r="K772" s="407" t="str">
        <f>D276</f>
        <v>Lead Scientist</v>
      </c>
      <c r="L772" s="349"/>
      <c r="M772" s="349"/>
      <c r="N772" s="349"/>
      <c r="O772" s="349" t="s">
        <v>770</v>
      </c>
      <c r="P772" s="349"/>
      <c r="Q772" s="349"/>
      <c r="R772" s="349"/>
      <c r="S772" s="349"/>
      <c r="T772" s="349"/>
    </row>
    <row r="773" spans="1:20" s="111" customFormat="1" ht="24.75" thickBot="1" x14ac:dyDescent="0.3">
      <c r="A773" s="111" t="s">
        <v>813</v>
      </c>
      <c r="B773" s="362">
        <f>B276</f>
        <v>4</v>
      </c>
      <c r="C773" s="404" t="str">
        <f>C276</f>
        <v>CREPIN Lucie</v>
      </c>
      <c r="D773" s="405">
        <f t="shared" ref="D773" si="2631">R276</f>
        <v>57.512199042651993</v>
      </c>
      <c r="E773" s="406">
        <f t="shared" ref="E773" si="2632">S276</f>
        <v>1531.4000000000026</v>
      </c>
      <c r="F773" s="405">
        <f t="shared" ref="F773" si="2633">T276</f>
        <v>88074.181613917404</v>
      </c>
      <c r="G773" s="413"/>
      <c r="H773" s="404" t="str">
        <f t="shared" ref="H773" si="2634">C89</f>
        <v>CREPIN</v>
      </c>
      <c r="I773" s="407" t="str">
        <f t="shared" ref="I773" si="2635">D89</f>
        <v>Lucie</v>
      </c>
      <c r="J773" s="407" t="str">
        <f>E276</f>
        <v>Doctorat - Biotechnologie, microbilogie - Université Montpellier II</v>
      </c>
      <c r="K773" s="407" t="str">
        <f>D276</f>
        <v>Lead Scientist</v>
      </c>
      <c r="L773" s="349"/>
      <c r="M773" s="349"/>
      <c r="N773" s="349"/>
      <c r="O773" s="349" t="s">
        <v>770</v>
      </c>
      <c r="P773" s="349"/>
      <c r="Q773" s="349"/>
      <c r="R773" s="349"/>
      <c r="S773" s="349"/>
      <c r="T773" s="349"/>
    </row>
    <row r="774" spans="1:20" s="111" customFormat="1" ht="24.75" thickBot="1" x14ac:dyDescent="0.3">
      <c r="A774" s="111" t="s">
        <v>813</v>
      </c>
      <c r="B774" s="362">
        <f>B276</f>
        <v>4</v>
      </c>
      <c r="C774" s="404" t="str">
        <f>C276</f>
        <v>CREPIN Lucie</v>
      </c>
      <c r="D774" s="405">
        <f t="shared" ref="D774" si="2636">R276</f>
        <v>57.512199042651993</v>
      </c>
      <c r="E774" s="406">
        <f t="shared" ref="E774" si="2637">S276</f>
        <v>1531.4000000000026</v>
      </c>
      <c r="F774" s="405">
        <f t="shared" ref="F774" si="2638">T276</f>
        <v>88074.181613917404</v>
      </c>
      <c r="G774" s="413"/>
      <c r="H774" s="404" t="str">
        <f t="shared" ref="H774" si="2639">C89</f>
        <v>CREPIN</v>
      </c>
      <c r="I774" s="407" t="str">
        <f t="shared" ref="I774" si="2640">D89</f>
        <v>Lucie</v>
      </c>
      <c r="J774" s="407" t="str">
        <f>E276</f>
        <v>Doctorat - Biotechnologie, microbilogie - Université Montpellier II</v>
      </c>
      <c r="K774" s="407" t="str">
        <f>D276</f>
        <v>Lead Scientist</v>
      </c>
      <c r="L774" s="349"/>
      <c r="M774" s="349"/>
      <c r="N774" s="349"/>
      <c r="O774" s="349" t="s">
        <v>770</v>
      </c>
      <c r="P774" s="349"/>
      <c r="Q774" s="349"/>
      <c r="R774" s="349"/>
      <c r="S774" s="349"/>
      <c r="T774" s="349"/>
    </row>
    <row r="775" spans="1:20" s="111" customFormat="1" ht="24.75" thickBot="1" x14ac:dyDescent="0.3">
      <c r="A775" s="111" t="s">
        <v>813</v>
      </c>
      <c r="B775" s="362">
        <f>B276</f>
        <v>4</v>
      </c>
      <c r="C775" s="404" t="str">
        <f>C276</f>
        <v>CREPIN Lucie</v>
      </c>
      <c r="D775" s="405">
        <f t="shared" ref="D775" si="2641">R276</f>
        <v>57.512199042651993</v>
      </c>
      <c r="E775" s="406">
        <f t="shared" ref="E775" si="2642">S276</f>
        <v>1531.4000000000026</v>
      </c>
      <c r="F775" s="405">
        <f t="shared" ref="F775" si="2643">T276</f>
        <v>88074.181613917404</v>
      </c>
      <c r="G775" s="413"/>
      <c r="H775" s="404" t="str">
        <f t="shared" ref="H775" si="2644">C89</f>
        <v>CREPIN</v>
      </c>
      <c r="I775" s="407" t="str">
        <f t="shared" ref="I775" si="2645">D89</f>
        <v>Lucie</v>
      </c>
      <c r="J775" s="407" t="str">
        <f>E276</f>
        <v>Doctorat - Biotechnologie, microbilogie - Université Montpellier II</v>
      </c>
      <c r="K775" s="407" t="str">
        <f>D276</f>
        <v>Lead Scientist</v>
      </c>
      <c r="L775" s="349"/>
      <c r="M775" s="349"/>
      <c r="N775" s="349"/>
      <c r="O775" s="349" t="s">
        <v>770</v>
      </c>
      <c r="P775" s="349"/>
      <c r="Q775" s="349"/>
      <c r="R775" s="349"/>
      <c r="S775" s="349"/>
      <c r="T775" s="349"/>
    </row>
    <row r="776" spans="1:20" s="111" customFormat="1" ht="24.75" thickBot="1" x14ac:dyDescent="0.3">
      <c r="A776" s="111" t="s">
        <v>813</v>
      </c>
      <c r="B776" s="362">
        <f>B276</f>
        <v>4</v>
      </c>
      <c r="C776" s="404" t="str">
        <f>C276</f>
        <v>CREPIN Lucie</v>
      </c>
      <c r="D776" s="405">
        <f t="shared" ref="D776" si="2646">R276</f>
        <v>57.512199042651993</v>
      </c>
      <c r="E776" s="406">
        <f t="shared" ref="E776" si="2647">S276</f>
        <v>1531.4000000000026</v>
      </c>
      <c r="F776" s="405">
        <f t="shared" ref="F776" si="2648">T276</f>
        <v>88074.181613917404</v>
      </c>
      <c r="G776" s="413"/>
      <c r="H776" s="404" t="str">
        <f t="shared" ref="H776" si="2649">C89</f>
        <v>CREPIN</v>
      </c>
      <c r="I776" s="407" t="str">
        <f t="shared" ref="I776" si="2650">D89</f>
        <v>Lucie</v>
      </c>
      <c r="J776" s="407" t="str">
        <f>E276</f>
        <v>Doctorat - Biotechnologie, microbilogie - Université Montpellier II</v>
      </c>
      <c r="K776" s="407" t="str">
        <f>D276</f>
        <v>Lead Scientist</v>
      </c>
      <c r="L776" s="349"/>
      <c r="M776" s="349"/>
      <c r="N776" s="349"/>
      <c r="O776" s="349" t="s">
        <v>770</v>
      </c>
      <c r="P776" s="349"/>
      <c r="Q776" s="349"/>
      <c r="R776" s="349"/>
      <c r="S776" s="349"/>
      <c r="T776" s="349"/>
    </row>
    <row r="777" spans="1:20" s="111" customFormat="1" ht="24.75" thickBot="1" x14ac:dyDescent="0.3">
      <c r="A777" s="111" t="s">
        <v>813</v>
      </c>
      <c r="B777" s="362">
        <f>B276</f>
        <v>4</v>
      </c>
      <c r="C777" s="404" t="str">
        <f>C276</f>
        <v>CREPIN Lucie</v>
      </c>
      <c r="D777" s="405">
        <f t="shared" ref="D777" si="2651">R276</f>
        <v>57.512199042651993</v>
      </c>
      <c r="E777" s="406">
        <f t="shared" ref="E777" si="2652">S276</f>
        <v>1531.4000000000026</v>
      </c>
      <c r="F777" s="405">
        <f t="shared" ref="F777" si="2653">T276</f>
        <v>88074.181613917404</v>
      </c>
      <c r="G777" s="413"/>
      <c r="H777" s="404" t="str">
        <f t="shared" ref="H777" si="2654">C89</f>
        <v>CREPIN</v>
      </c>
      <c r="I777" s="407" t="str">
        <f t="shared" ref="I777" si="2655">D89</f>
        <v>Lucie</v>
      </c>
      <c r="J777" s="407" t="str">
        <f>E276</f>
        <v>Doctorat - Biotechnologie, microbilogie - Université Montpellier II</v>
      </c>
      <c r="K777" s="407" t="str">
        <f>D276</f>
        <v>Lead Scientist</v>
      </c>
      <c r="L777" s="349"/>
      <c r="M777" s="349"/>
      <c r="N777" s="349"/>
      <c r="O777" s="349" t="s">
        <v>770</v>
      </c>
      <c r="P777" s="349"/>
      <c r="Q777" s="349"/>
      <c r="R777" s="349"/>
      <c r="S777" s="349"/>
      <c r="T777" s="349"/>
    </row>
    <row r="778" spans="1:20" s="111" customFormat="1" ht="24.75" thickBot="1" x14ac:dyDescent="0.3">
      <c r="A778" s="111" t="s">
        <v>813</v>
      </c>
      <c r="B778" s="362">
        <f>B276</f>
        <v>4</v>
      </c>
      <c r="C778" s="404" t="str">
        <f>C276</f>
        <v>CREPIN Lucie</v>
      </c>
      <c r="D778" s="405">
        <f t="shared" ref="D778" si="2656">R276</f>
        <v>57.512199042651993</v>
      </c>
      <c r="E778" s="406">
        <f t="shared" ref="E778" si="2657">S276</f>
        <v>1531.4000000000026</v>
      </c>
      <c r="F778" s="405">
        <f t="shared" ref="F778" si="2658">T276</f>
        <v>88074.181613917404</v>
      </c>
      <c r="G778" s="413"/>
      <c r="H778" s="404" t="str">
        <f t="shared" ref="H778" si="2659">C89</f>
        <v>CREPIN</v>
      </c>
      <c r="I778" s="407" t="str">
        <f t="shared" ref="I778" si="2660">D89</f>
        <v>Lucie</v>
      </c>
      <c r="J778" s="407" t="str">
        <f>E276</f>
        <v>Doctorat - Biotechnologie, microbilogie - Université Montpellier II</v>
      </c>
      <c r="K778" s="407" t="str">
        <f>D276</f>
        <v>Lead Scientist</v>
      </c>
      <c r="L778" s="349"/>
      <c r="M778" s="349"/>
      <c r="N778" s="349"/>
      <c r="O778" s="349" t="s">
        <v>770</v>
      </c>
      <c r="P778" s="349"/>
      <c r="Q778" s="349"/>
      <c r="R778" s="349"/>
      <c r="S778" s="349"/>
      <c r="T778" s="349"/>
    </row>
    <row r="779" spans="1:20" s="111" customFormat="1" ht="24.75" thickBot="1" x14ac:dyDescent="0.3">
      <c r="A779" s="111" t="s">
        <v>813</v>
      </c>
      <c r="B779" s="362">
        <f>B276</f>
        <v>4</v>
      </c>
      <c r="C779" s="404" t="str">
        <f>C276</f>
        <v>CREPIN Lucie</v>
      </c>
      <c r="D779" s="405">
        <f t="shared" ref="D779" si="2661">R276</f>
        <v>57.512199042651993</v>
      </c>
      <c r="E779" s="406">
        <f t="shared" ref="E779" si="2662">S276</f>
        <v>1531.4000000000026</v>
      </c>
      <c r="F779" s="405">
        <f t="shared" ref="F779" si="2663">T276</f>
        <v>88074.181613917404</v>
      </c>
      <c r="G779" s="413"/>
      <c r="H779" s="404" t="str">
        <f t="shared" ref="H779" si="2664">C89</f>
        <v>CREPIN</v>
      </c>
      <c r="I779" s="407" t="str">
        <f t="shared" ref="I779" si="2665">D89</f>
        <v>Lucie</v>
      </c>
      <c r="J779" s="407" t="str">
        <f>E276</f>
        <v>Doctorat - Biotechnologie, microbilogie - Université Montpellier II</v>
      </c>
      <c r="K779" s="407" t="str">
        <f>D276</f>
        <v>Lead Scientist</v>
      </c>
      <c r="L779" s="349"/>
      <c r="M779" s="349"/>
      <c r="N779" s="349"/>
      <c r="O779" s="349" t="s">
        <v>770</v>
      </c>
      <c r="P779" s="349"/>
      <c r="Q779" s="349"/>
      <c r="R779" s="349"/>
      <c r="S779" s="349"/>
      <c r="T779" s="349"/>
    </row>
    <row r="780" spans="1:20" s="111" customFormat="1" ht="24.75" thickBot="1" x14ac:dyDescent="0.3">
      <c r="A780" s="111" t="s">
        <v>813</v>
      </c>
      <c r="B780" s="362">
        <f>B276</f>
        <v>4</v>
      </c>
      <c r="C780" s="404" t="str">
        <f>C276</f>
        <v>CREPIN Lucie</v>
      </c>
      <c r="D780" s="405">
        <f t="shared" ref="D780" si="2666">R276</f>
        <v>57.512199042651993</v>
      </c>
      <c r="E780" s="406">
        <f t="shared" ref="E780" si="2667">S276</f>
        <v>1531.4000000000026</v>
      </c>
      <c r="F780" s="405">
        <f t="shared" ref="F780" si="2668">T276</f>
        <v>88074.181613917404</v>
      </c>
      <c r="G780" s="413"/>
      <c r="H780" s="404" t="str">
        <f t="shared" ref="H780" si="2669">C89</f>
        <v>CREPIN</v>
      </c>
      <c r="I780" s="407" t="str">
        <f t="shared" ref="I780" si="2670">D89</f>
        <v>Lucie</v>
      </c>
      <c r="J780" s="407" t="str">
        <f>E276</f>
        <v>Doctorat - Biotechnologie, microbilogie - Université Montpellier II</v>
      </c>
      <c r="K780" s="407" t="str">
        <f>D276</f>
        <v>Lead Scientist</v>
      </c>
      <c r="L780" s="349"/>
      <c r="M780" s="349"/>
      <c r="N780" s="349"/>
      <c r="O780" s="349" t="s">
        <v>770</v>
      </c>
      <c r="P780" s="349"/>
      <c r="Q780" s="349"/>
      <c r="R780" s="349"/>
      <c r="S780" s="349"/>
      <c r="T780" s="349"/>
    </row>
    <row r="781" spans="1:20" s="111" customFormat="1" ht="24.75" thickBot="1" x14ac:dyDescent="0.3">
      <c r="A781" s="111" t="s">
        <v>813</v>
      </c>
      <c r="B781" s="362">
        <f>B276</f>
        <v>4</v>
      </c>
      <c r="C781" s="404" t="str">
        <f>C276</f>
        <v>CREPIN Lucie</v>
      </c>
      <c r="D781" s="405">
        <f t="shared" ref="D781" si="2671">R276</f>
        <v>57.512199042651993</v>
      </c>
      <c r="E781" s="406">
        <f t="shared" ref="E781" si="2672">S276</f>
        <v>1531.4000000000026</v>
      </c>
      <c r="F781" s="405">
        <f t="shared" ref="F781" si="2673">T276</f>
        <v>88074.181613917404</v>
      </c>
      <c r="G781" s="413"/>
      <c r="H781" s="404" t="str">
        <f t="shared" ref="H781" si="2674">C89</f>
        <v>CREPIN</v>
      </c>
      <c r="I781" s="407" t="str">
        <f t="shared" ref="I781" si="2675">D89</f>
        <v>Lucie</v>
      </c>
      <c r="J781" s="407" t="str">
        <f>E276</f>
        <v>Doctorat - Biotechnologie, microbilogie - Université Montpellier II</v>
      </c>
      <c r="K781" s="407" t="str">
        <f>D276</f>
        <v>Lead Scientist</v>
      </c>
      <c r="L781" s="349"/>
      <c r="M781" s="349"/>
      <c r="N781" s="349"/>
      <c r="O781" s="349" t="s">
        <v>770</v>
      </c>
      <c r="P781" s="349"/>
      <c r="Q781" s="349"/>
      <c r="R781" s="349"/>
      <c r="S781" s="349"/>
      <c r="T781" s="349"/>
    </row>
    <row r="782" spans="1:20" s="111" customFormat="1" ht="24.75" thickBot="1" x14ac:dyDescent="0.3">
      <c r="A782" s="111" t="s">
        <v>813</v>
      </c>
      <c r="B782" s="362">
        <f>B276</f>
        <v>4</v>
      </c>
      <c r="C782" s="404" t="str">
        <f>C276</f>
        <v>CREPIN Lucie</v>
      </c>
      <c r="D782" s="405">
        <f t="shared" ref="D782" si="2676">R276</f>
        <v>57.512199042651993</v>
      </c>
      <c r="E782" s="406">
        <f t="shared" ref="E782" si="2677">S276</f>
        <v>1531.4000000000026</v>
      </c>
      <c r="F782" s="405">
        <f t="shared" ref="F782" si="2678">T276</f>
        <v>88074.181613917404</v>
      </c>
      <c r="G782" s="413"/>
      <c r="H782" s="404" t="str">
        <f t="shared" ref="H782" si="2679">C89</f>
        <v>CREPIN</v>
      </c>
      <c r="I782" s="407" t="str">
        <f t="shared" ref="I782" si="2680">D89</f>
        <v>Lucie</v>
      </c>
      <c r="J782" s="407" t="str">
        <f>E276</f>
        <v>Doctorat - Biotechnologie, microbilogie - Université Montpellier II</v>
      </c>
      <c r="K782" s="407" t="str">
        <f>D276</f>
        <v>Lead Scientist</v>
      </c>
      <c r="L782" s="349"/>
      <c r="M782" s="349"/>
      <c r="N782" s="349"/>
      <c r="O782" s="349" t="s">
        <v>770</v>
      </c>
      <c r="P782" s="349"/>
      <c r="Q782" s="349"/>
      <c r="R782" s="349"/>
      <c r="S782" s="349"/>
      <c r="T782" s="349"/>
    </row>
    <row r="783" spans="1:20" s="111" customFormat="1" ht="24.75" thickBot="1" x14ac:dyDescent="0.3">
      <c r="A783" s="111" t="s">
        <v>813</v>
      </c>
      <c r="B783" s="362">
        <f>B276</f>
        <v>4</v>
      </c>
      <c r="C783" s="404" t="str">
        <f>C276</f>
        <v>CREPIN Lucie</v>
      </c>
      <c r="D783" s="405">
        <f t="shared" ref="D783" si="2681">R276</f>
        <v>57.512199042651993</v>
      </c>
      <c r="E783" s="406">
        <f t="shared" ref="E783" si="2682">S276</f>
        <v>1531.4000000000026</v>
      </c>
      <c r="F783" s="405">
        <f t="shared" ref="F783" si="2683">T276</f>
        <v>88074.181613917404</v>
      </c>
      <c r="G783" s="413"/>
      <c r="H783" s="404" t="str">
        <f t="shared" ref="H783" si="2684">C89</f>
        <v>CREPIN</v>
      </c>
      <c r="I783" s="407" t="str">
        <f t="shared" ref="I783" si="2685">D89</f>
        <v>Lucie</v>
      </c>
      <c r="J783" s="407" t="str">
        <f>E276</f>
        <v>Doctorat - Biotechnologie, microbilogie - Université Montpellier II</v>
      </c>
      <c r="K783" s="407" t="str">
        <f>D276</f>
        <v>Lead Scientist</v>
      </c>
      <c r="L783" s="349"/>
      <c r="M783" s="349"/>
      <c r="N783" s="349"/>
      <c r="O783" s="349" t="s">
        <v>770</v>
      </c>
      <c r="P783" s="349"/>
      <c r="Q783" s="349"/>
      <c r="R783" s="349"/>
      <c r="S783" s="349"/>
      <c r="T783" s="349"/>
    </row>
    <row r="784" spans="1:20" s="111" customFormat="1" ht="24.75" thickBot="1" x14ac:dyDescent="0.3">
      <c r="A784" s="111" t="s">
        <v>813</v>
      </c>
      <c r="B784" s="362">
        <f>B276</f>
        <v>4</v>
      </c>
      <c r="C784" s="404" t="str">
        <f>C276</f>
        <v>CREPIN Lucie</v>
      </c>
      <c r="D784" s="405">
        <f t="shared" ref="D784" si="2686">R276</f>
        <v>57.512199042651993</v>
      </c>
      <c r="E784" s="406">
        <f t="shared" ref="E784" si="2687">S276</f>
        <v>1531.4000000000026</v>
      </c>
      <c r="F784" s="405">
        <f t="shared" ref="F784" si="2688">T276</f>
        <v>88074.181613917404</v>
      </c>
      <c r="G784" s="413"/>
      <c r="H784" s="404" t="str">
        <f t="shared" ref="H784" si="2689">C89</f>
        <v>CREPIN</v>
      </c>
      <c r="I784" s="407" t="str">
        <f t="shared" ref="I784" si="2690">D89</f>
        <v>Lucie</v>
      </c>
      <c r="J784" s="407" t="str">
        <f>E276</f>
        <v>Doctorat - Biotechnologie, microbilogie - Université Montpellier II</v>
      </c>
      <c r="K784" s="407" t="str">
        <f>D276</f>
        <v>Lead Scientist</v>
      </c>
      <c r="L784" s="349"/>
      <c r="M784" s="349"/>
      <c r="N784" s="349"/>
      <c r="O784" s="349" t="s">
        <v>770</v>
      </c>
      <c r="P784" s="349"/>
      <c r="Q784" s="349"/>
      <c r="R784" s="349"/>
      <c r="S784" s="349"/>
      <c r="T784" s="349"/>
    </row>
    <row r="785" spans="1:20" s="111" customFormat="1" ht="24.75" thickBot="1" x14ac:dyDescent="0.3">
      <c r="A785" s="111" t="s">
        <v>813</v>
      </c>
      <c r="B785" s="362">
        <f>B276</f>
        <v>4</v>
      </c>
      <c r="C785" s="404" t="str">
        <f>C276</f>
        <v>CREPIN Lucie</v>
      </c>
      <c r="D785" s="405">
        <f t="shared" ref="D785" si="2691">R276</f>
        <v>57.512199042651993</v>
      </c>
      <c r="E785" s="406">
        <f t="shared" ref="E785" si="2692">S276</f>
        <v>1531.4000000000026</v>
      </c>
      <c r="F785" s="405">
        <f t="shared" ref="F785" si="2693">T276</f>
        <v>88074.181613917404</v>
      </c>
      <c r="G785" s="413"/>
      <c r="H785" s="404" t="str">
        <f t="shared" ref="H785" si="2694">C89</f>
        <v>CREPIN</v>
      </c>
      <c r="I785" s="407" t="str">
        <f t="shared" ref="I785" si="2695">D89</f>
        <v>Lucie</v>
      </c>
      <c r="J785" s="407" t="str">
        <f>E276</f>
        <v>Doctorat - Biotechnologie, microbilogie - Université Montpellier II</v>
      </c>
      <c r="K785" s="407" t="str">
        <f>D276</f>
        <v>Lead Scientist</v>
      </c>
      <c r="L785" s="349"/>
      <c r="M785" s="349"/>
      <c r="N785" s="349"/>
      <c r="O785" s="349" t="s">
        <v>770</v>
      </c>
      <c r="P785" s="349"/>
      <c r="Q785" s="349"/>
      <c r="R785" s="349"/>
      <c r="S785" s="349"/>
      <c r="T785" s="349"/>
    </row>
    <row r="786" spans="1:20" s="111" customFormat="1" ht="24.75" thickBot="1" x14ac:dyDescent="0.3">
      <c r="A786" s="111" t="s">
        <v>813</v>
      </c>
      <c r="B786" s="362">
        <f>B276</f>
        <v>4</v>
      </c>
      <c r="C786" s="404" t="str">
        <f>C276</f>
        <v>CREPIN Lucie</v>
      </c>
      <c r="D786" s="405">
        <f t="shared" ref="D786" si="2696">R276</f>
        <v>57.512199042651993</v>
      </c>
      <c r="E786" s="406">
        <f t="shared" ref="E786" si="2697">S276</f>
        <v>1531.4000000000026</v>
      </c>
      <c r="F786" s="405">
        <f t="shared" ref="F786" si="2698">T276</f>
        <v>88074.181613917404</v>
      </c>
      <c r="G786" s="413"/>
      <c r="H786" s="404" t="str">
        <f t="shared" ref="H786" si="2699">C89</f>
        <v>CREPIN</v>
      </c>
      <c r="I786" s="407" t="str">
        <f t="shared" ref="I786" si="2700">D89</f>
        <v>Lucie</v>
      </c>
      <c r="J786" s="407" t="str">
        <f>E276</f>
        <v>Doctorat - Biotechnologie, microbilogie - Université Montpellier II</v>
      </c>
      <c r="K786" s="407" t="str">
        <f>D276</f>
        <v>Lead Scientist</v>
      </c>
      <c r="L786" s="349"/>
      <c r="M786" s="349"/>
      <c r="N786" s="349"/>
      <c r="O786" s="349" t="s">
        <v>770</v>
      </c>
      <c r="P786" s="349"/>
      <c r="Q786" s="349"/>
      <c r="R786" s="349"/>
      <c r="S786" s="349"/>
      <c r="T786" s="349"/>
    </row>
    <row r="787" spans="1:20" s="111" customFormat="1" ht="24.75" thickBot="1" x14ac:dyDescent="0.3">
      <c r="A787" s="111" t="s">
        <v>813</v>
      </c>
      <c r="B787" s="362">
        <f>B276</f>
        <v>4</v>
      </c>
      <c r="C787" s="404" t="str">
        <f>C276</f>
        <v>CREPIN Lucie</v>
      </c>
      <c r="D787" s="405">
        <f t="shared" ref="D787" si="2701">R276</f>
        <v>57.512199042651993</v>
      </c>
      <c r="E787" s="406">
        <f t="shared" ref="E787" si="2702">S276</f>
        <v>1531.4000000000026</v>
      </c>
      <c r="F787" s="405">
        <f t="shared" ref="F787" si="2703">T276</f>
        <v>88074.181613917404</v>
      </c>
      <c r="G787" s="413"/>
      <c r="H787" s="404" t="str">
        <f t="shared" ref="H787" si="2704">C89</f>
        <v>CREPIN</v>
      </c>
      <c r="I787" s="407" t="str">
        <f t="shared" ref="I787" si="2705">D89</f>
        <v>Lucie</v>
      </c>
      <c r="J787" s="407" t="str">
        <f>E276</f>
        <v>Doctorat - Biotechnologie, microbilogie - Université Montpellier II</v>
      </c>
      <c r="K787" s="407" t="str">
        <f>D276</f>
        <v>Lead Scientist</v>
      </c>
      <c r="L787" s="349"/>
      <c r="M787" s="349"/>
      <c r="N787" s="349"/>
      <c r="O787" s="349" t="s">
        <v>770</v>
      </c>
      <c r="P787" s="349"/>
      <c r="Q787" s="349"/>
      <c r="R787" s="349"/>
      <c r="S787" s="349"/>
      <c r="T787" s="349"/>
    </row>
    <row r="788" spans="1:20" s="111" customFormat="1" ht="24.75" thickBot="1" x14ac:dyDescent="0.3">
      <c r="A788" s="111" t="s">
        <v>813</v>
      </c>
      <c r="B788" s="362">
        <f>B276</f>
        <v>4</v>
      </c>
      <c r="C788" s="404" t="str">
        <f>C276</f>
        <v>CREPIN Lucie</v>
      </c>
      <c r="D788" s="405">
        <f t="shared" ref="D788" si="2706">R276</f>
        <v>57.512199042651993</v>
      </c>
      <c r="E788" s="406">
        <f t="shared" ref="E788" si="2707">S276</f>
        <v>1531.4000000000026</v>
      </c>
      <c r="F788" s="405">
        <f t="shared" ref="F788" si="2708">T276</f>
        <v>88074.181613917404</v>
      </c>
      <c r="G788" s="413"/>
      <c r="H788" s="404" t="str">
        <f t="shared" ref="H788" si="2709">C89</f>
        <v>CREPIN</v>
      </c>
      <c r="I788" s="407" t="str">
        <f t="shared" ref="I788" si="2710">D89</f>
        <v>Lucie</v>
      </c>
      <c r="J788" s="407" t="str">
        <f>E276</f>
        <v>Doctorat - Biotechnologie, microbilogie - Université Montpellier II</v>
      </c>
      <c r="K788" s="407" t="str">
        <f>D276</f>
        <v>Lead Scientist</v>
      </c>
      <c r="L788" s="349"/>
      <c r="M788" s="349"/>
      <c r="N788" s="349"/>
      <c r="O788" s="349" t="s">
        <v>770</v>
      </c>
      <c r="P788" s="349"/>
      <c r="Q788" s="349"/>
      <c r="R788" s="349"/>
      <c r="S788" s="349"/>
      <c r="T788" s="349"/>
    </row>
    <row r="789" spans="1:20" s="111" customFormat="1" ht="24.75" thickBot="1" x14ac:dyDescent="0.3">
      <c r="A789" s="111" t="s">
        <v>813</v>
      </c>
      <c r="B789" s="362">
        <f>B276</f>
        <v>4</v>
      </c>
      <c r="C789" s="404" t="str">
        <f>C276</f>
        <v>CREPIN Lucie</v>
      </c>
      <c r="D789" s="405">
        <f t="shared" ref="D789" si="2711">R276</f>
        <v>57.512199042651993</v>
      </c>
      <c r="E789" s="406">
        <f t="shared" ref="E789" si="2712">S276</f>
        <v>1531.4000000000026</v>
      </c>
      <c r="F789" s="405">
        <f t="shared" ref="F789" si="2713">T276</f>
        <v>88074.181613917404</v>
      </c>
      <c r="G789" s="413"/>
      <c r="H789" s="404" t="str">
        <f t="shared" ref="H789" si="2714">C89</f>
        <v>CREPIN</v>
      </c>
      <c r="I789" s="407" t="str">
        <f t="shared" ref="I789" si="2715">D89</f>
        <v>Lucie</v>
      </c>
      <c r="J789" s="407" t="str">
        <f>E276</f>
        <v>Doctorat - Biotechnologie, microbilogie - Université Montpellier II</v>
      </c>
      <c r="K789" s="407" t="str">
        <f>D276</f>
        <v>Lead Scientist</v>
      </c>
      <c r="L789" s="349"/>
      <c r="M789" s="349"/>
      <c r="N789" s="349"/>
      <c r="O789" s="349" t="s">
        <v>770</v>
      </c>
      <c r="P789" s="349"/>
      <c r="Q789" s="349"/>
      <c r="R789" s="349"/>
      <c r="S789" s="349"/>
      <c r="T789" s="349"/>
    </row>
    <row r="790" spans="1:20" s="111" customFormat="1" ht="24.75" thickBot="1" x14ac:dyDescent="0.3">
      <c r="A790" s="111" t="s">
        <v>813</v>
      </c>
      <c r="B790" s="362">
        <f>B276</f>
        <v>4</v>
      </c>
      <c r="C790" s="404" t="str">
        <f>C276</f>
        <v>CREPIN Lucie</v>
      </c>
      <c r="D790" s="405">
        <f t="shared" ref="D790" si="2716">R276</f>
        <v>57.512199042651993</v>
      </c>
      <c r="E790" s="406">
        <f t="shared" ref="E790" si="2717">S276</f>
        <v>1531.4000000000026</v>
      </c>
      <c r="F790" s="405">
        <f t="shared" ref="F790" si="2718">T276</f>
        <v>88074.181613917404</v>
      </c>
      <c r="G790" s="413"/>
      <c r="H790" s="404" t="str">
        <f t="shared" ref="H790" si="2719">C89</f>
        <v>CREPIN</v>
      </c>
      <c r="I790" s="407" t="str">
        <f t="shared" ref="I790" si="2720">D89</f>
        <v>Lucie</v>
      </c>
      <c r="J790" s="407" t="str">
        <f>E276</f>
        <v>Doctorat - Biotechnologie, microbilogie - Université Montpellier II</v>
      </c>
      <c r="K790" s="407" t="str">
        <f>D276</f>
        <v>Lead Scientist</v>
      </c>
      <c r="L790" s="349"/>
      <c r="M790" s="349"/>
      <c r="N790" s="349"/>
      <c r="O790" s="349" t="s">
        <v>770</v>
      </c>
      <c r="P790" s="349"/>
      <c r="Q790" s="349"/>
      <c r="R790" s="349"/>
      <c r="S790" s="349"/>
      <c r="T790" s="349"/>
    </row>
    <row r="791" spans="1:20" s="111" customFormat="1" ht="24.75" thickBot="1" x14ac:dyDescent="0.3">
      <c r="A791" s="111" t="s">
        <v>813</v>
      </c>
      <c r="B791" s="362">
        <f>B276</f>
        <v>4</v>
      </c>
      <c r="C791" s="404" t="str">
        <f>C276</f>
        <v>CREPIN Lucie</v>
      </c>
      <c r="D791" s="405">
        <f t="shared" ref="D791" si="2721">R276</f>
        <v>57.512199042651993</v>
      </c>
      <c r="E791" s="406">
        <f t="shared" ref="E791" si="2722">S276</f>
        <v>1531.4000000000026</v>
      </c>
      <c r="F791" s="405">
        <f t="shared" ref="F791" si="2723">T276</f>
        <v>88074.181613917404</v>
      </c>
      <c r="G791" s="413"/>
      <c r="H791" s="404" t="str">
        <f t="shared" ref="H791" si="2724">C89</f>
        <v>CREPIN</v>
      </c>
      <c r="I791" s="407" t="str">
        <f t="shared" ref="I791" si="2725">D89</f>
        <v>Lucie</v>
      </c>
      <c r="J791" s="407" t="str">
        <f>E276</f>
        <v>Doctorat - Biotechnologie, microbilogie - Université Montpellier II</v>
      </c>
      <c r="K791" s="407" t="str">
        <f>D276</f>
        <v>Lead Scientist</v>
      </c>
      <c r="L791" s="349"/>
      <c r="M791" s="349"/>
      <c r="N791" s="349"/>
      <c r="O791" s="349" t="s">
        <v>770</v>
      </c>
      <c r="P791" s="349"/>
      <c r="Q791" s="349"/>
      <c r="R791" s="349"/>
      <c r="S791" s="349"/>
      <c r="T791" s="349"/>
    </row>
    <row r="792" spans="1:20" s="111" customFormat="1" ht="24.75" thickBot="1" x14ac:dyDescent="0.3">
      <c r="A792" s="111" t="s">
        <v>813</v>
      </c>
      <c r="B792" s="362">
        <f>B276</f>
        <v>4</v>
      </c>
      <c r="C792" s="404" t="str">
        <f>C276</f>
        <v>CREPIN Lucie</v>
      </c>
      <c r="D792" s="405">
        <f t="shared" ref="D792" si="2726">R276</f>
        <v>57.512199042651993</v>
      </c>
      <c r="E792" s="406">
        <f t="shared" ref="E792" si="2727">S276</f>
        <v>1531.4000000000026</v>
      </c>
      <c r="F792" s="405">
        <f t="shared" ref="F792" si="2728">T276</f>
        <v>88074.181613917404</v>
      </c>
      <c r="G792" s="413"/>
      <c r="H792" s="404" t="str">
        <f t="shared" ref="H792" si="2729">C89</f>
        <v>CREPIN</v>
      </c>
      <c r="I792" s="407" t="str">
        <f t="shared" ref="I792" si="2730">D89</f>
        <v>Lucie</v>
      </c>
      <c r="J792" s="407" t="str">
        <f>E276</f>
        <v>Doctorat - Biotechnologie, microbilogie - Université Montpellier II</v>
      </c>
      <c r="K792" s="407" t="str">
        <f>D276</f>
        <v>Lead Scientist</v>
      </c>
      <c r="L792" s="349"/>
      <c r="M792" s="349"/>
      <c r="N792" s="349"/>
      <c r="O792" s="349" t="s">
        <v>770</v>
      </c>
      <c r="P792" s="349"/>
      <c r="Q792" s="349"/>
      <c r="R792" s="349"/>
      <c r="S792" s="349"/>
      <c r="T792" s="349"/>
    </row>
    <row r="793" spans="1:20" s="111" customFormat="1" ht="24.75" thickBot="1" x14ac:dyDescent="0.3">
      <c r="A793" s="111" t="s">
        <v>813</v>
      </c>
      <c r="B793" s="362">
        <f>B276</f>
        <v>4</v>
      </c>
      <c r="C793" s="404" t="str">
        <f>C276</f>
        <v>CREPIN Lucie</v>
      </c>
      <c r="D793" s="405">
        <f t="shared" ref="D793" si="2731">R276</f>
        <v>57.512199042651993</v>
      </c>
      <c r="E793" s="406">
        <f t="shared" ref="E793" si="2732">S276</f>
        <v>1531.4000000000026</v>
      </c>
      <c r="F793" s="405">
        <f t="shared" ref="F793" si="2733">T276</f>
        <v>88074.181613917404</v>
      </c>
      <c r="G793" s="413"/>
      <c r="H793" s="404" t="str">
        <f t="shared" ref="H793" si="2734">C89</f>
        <v>CREPIN</v>
      </c>
      <c r="I793" s="407" t="str">
        <f t="shared" ref="I793" si="2735">D89</f>
        <v>Lucie</v>
      </c>
      <c r="J793" s="407" t="str">
        <f>E276</f>
        <v>Doctorat - Biotechnologie, microbilogie - Université Montpellier II</v>
      </c>
      <c r="K793" s="407" t="str">
        <f>D276</f>
        <v>Lead Scientist</v>
      </c>
      <c r="L793" s="349"/>
      <c r="M793" s="349"/>
      <c r="N793" s="349"/>
      <c r="O793" s="349" t="s">
        <v>770</v>
      </c>
      <c r="P793" s="349"/>
      <c r="Q793" s="349"/>
      <c r="R793" s="349"/>
      <c r="S793" s="349"/>
      <c r="T793" s="349"/>
    </row>
    <row r="794" spans="1:20" s="111" customFormat="1" ht="24.75" thickBot="1" x14ac:dyDescent="0.3">
      <c r="A794" s="111" t="s">
        <v>813</v>
      </c>
      <c r="B794" s="362">
        <f>B276</f>
        <v>4</v>
      </c>
      <c r="C794" s="404" t="str">
        <f>C276</f>
        <v>CREPIN Lucie</v>
      </c>
      <c r="D794" s="405">
        <f t="shared" ref="D794" si="2736">R276</f>
        <v>57.512199042651993</v>
      </c>
      <c r="E794" s="406">
        <f t="shared" ref="E794" si="2737">S276</f>
        <v>1531.4000000000026</v>
      </c>
      <c r="F794" s="405">
        <f t="shared" ref="F794" si="2738">T276</f>
        <v>88074.181613917404</v>
      </c>
      <c r="G794" s="413"/>
      <c r="H794" s="404" t="str">
        <f t="shared" ref="H794" si="2739">C89</f>
        <v>CREPIN</v>
      </c>
      <c r="I794" s="407" t="str">
        <f t="shared" ref="I794" si="2740">D89</f>
        <v>Lucie</v>
      </c>
      <c r="J794" s="407" t="str">
        <f>E276</f>
        <v>Doctorat - Biotechnologie, microbilogie - Université Montpellier II</v>
      </c>
      <c r="K794" s="407" t="str">
        <f>D276</f>
        <v>Lead Scientist</v>
      </c>
      <c r="L794" s="349"/>
      <c r="M794" s="349"/>
      <c r="N794" s="349"/>
      <c r="O794" s="349" t="s">
        <v>770</v>
      </c>
      <c r="P794" s="349"/>
      <c r="Q794" s="349"/>
      <c r="R794" s="349"/>
      <c r="S794" s="349"/>
      <c r="T794" s="349"/>
    </row>
    <row r="795" spans="1:20" s="111" customFormat="1" ht="24.75" thickBot="1" x14ac:dyDescent="0.3">
      <c r="A795" s="111" t="s">
        <v>813</v>
      </c>
      <c r="B795" s="362">
        <f>B276</f>
        <v>4</v>
      </c>
      <c r="C795" s="404" t="str">
        <f>C276</f>
        <v>CREPIN Lucie</v>
      </c>
      <c r="D795" s="405">
        <f t="shared" ref="D795" si="2741">R276</f>
        <v>57.512199042651993</v>
      </c>
      <c r="E795" s="406">
        <f t="shared" ref="E795" si="2742">S276</f>
        <v>1531.4000000000026</v>
      </c>
      <c r="F795" s="405">
        <f t="shared" ref="F795" si="2743">T276</f>
        <v>88074.181613917404</v>
      </c>
      <c r="G795" s="413"/>
      <c r="H795" s="404" t="str">
        <f t="shared" ref="H795" si="2744">C89</f>
        <v>CREPIN</v>
      </c>
      <c r="I795" s="407" t="str">
        <f t="shared" ref="I795" si="2745">D89</f>
        <v>Lucie</v>
      </c>
      <c r="J795" s="407" t="str">
        <f>E276</f>
        <v>Doctorat - Biotechnologie, microbilogie - Université Montpellier II</v>
      </c>
      <c r="K795" s="407" t="str">
        <f>D276</f>
        <v>Lead Scientist</v>
      </c>
      <c r="L795" s="349"/>
      <c r="M795" s="349"/>
      <c r="N795" s="349"/>
      <c r="O795" s="349" t="s">
        <v>770</v>
      </c>
      <c r="P795" s="349"/>
      <c r="Q795" s="349"/>
      <c r="R795" s="349"/>
      <c r="S795" s="349"/>
      <c r="T795" s="349"/>
    </row>
    <row r="796" spans="1:20" s="111" customFormat="1" ht="24.75" thickBot="1" x14ac:dyDescent="0.3">
      <c r="A796" s="111" t="s">
        <v>813</v>
      </c>
      <c r="B796" s="362">
        <f>B276</f>
        <v>4</v>
      </c>
      <c r="C796" s="404" t="str">
        <f>C276</f>
        <v>CREPIN Lucie</v>
      </c>
      <c r="D796" s="405">
        <f t="shared" ref="D796" si="2746">R276</f>
        <v>57.512199042651993</v>
      </c>
      <c r="E796" s="406">
        <f t="shared" ref="E796" si="2747">S276</f>
        <v>1531.4000000000026</v>
      </c>
      <c r="F796" s="405">
        <f t="shared" ref="F796" si="2748">T276</f>
        <v>88074.181613917404</v>
      </c>
      <c r="G796" s="413"/>
      <c r="H796" s="404" t="str">
        <f t="shared" ref="H796" si="2749">C89</f>
        <v>CREPIN</v>
      </c>
      <c r="I796" s="407" t="str">
        <f t="shared" ref="I796" si="2750">D89</f>
        <v>Lucie</v>
      </c>
      <c r="J796" s="407" t="str">
        <f>E276</f>
        <v>Doctorat - Biotechnologie, microbilogie - Université Montpellier II</v>
      </c>
      <c r="K796" s="407" t="str">
        <f>D276</f>
        <v>Lead Scientist</v>
      </c>
      <c r="L796" s="349"/>
      <c r="M796" s="349"/>
      <c r="N796" s="349"/>
      <c r="O796" s="349" t="s">
        <v>770</v>
      </c>
      <c r="P796" s="349"/>
      <c r="Q796" s="349"/>
      <c r="R796" s="349"/>
      <c r="S796" s="349"/>
      <c r="T796" s="349"/>
    </row>
    <row r="797" spans="1:20" s="111" customFormat="1" ht="24.75" thickBot="1" x14ac:dyDescent="0.3">
      <c r="A797" s="111" t="s">
        <v>813</v>
      </c>
      <c r="B797" s="362">
        <f>B276</f>
        <v>4</v>
      </c>
      <c r="C797" s="404" t="str">
        <f>C276</f>
        <v>CREPIN Lucie</v>
      </c>
      <c r="D797" s="405">
        <f t="shared" ref="D797" si="2751">R276</f>
        <v>57.512199042651993</v>
      </c>
      <c r="E797" s="406">
        <f t="shared" ref="E797" si="2752">S276</f>
        <v>1531.4000000000026</v>
      </c>
      <c r="F797" s="405">
        <f t="shared" ref="F797" si="2753">T276</f>
        <v>88074.181613917404</v>
      </c>
      <c r="G797" s="413"/>
      <c r="H797" s="404" t="str">
        <f t="shared" ref="H797" si="2754">C89</f>
        <v>CREPIN</v>
      </c>
      <c r="I797" s="407" t="str">
        <f t="shared" ref="I797" si="2755">D89</f>
        <v>Lucie</v>
      </c>
      <c r="J797" s="407" t="str">
        <f>E276</f>
        <v>Doctorat - Biotechnologie, microbilogie - Université Montpellier II</v>
      </c>
      <c r="K797" s="407" t="str">
        <f>D276</f>
        <v>Lead Scientist</v>
      </c>
      <c r="L797" s="349"/>
      <c r="M797" s="349"/>
      <c r="N797" s="349"/>
      <c r="O797" s="349" t="s">
        <v>770</v>
      </c>
      <c r="P797" s="349"/>
      <c r="Q797" s="349"/>
      <c r="R797" s="349"/>
      <c r="S797" s="349"/>
      <c r="T797" s="349"/>
    </row>
    <row r="798" spans="1:20" s="111" customFormat="1" ht="15.75" thickBot="1" x14ac:dyDescent="0.3">
      <c r="A798" s="111" t="s">
        <v>813</v>
      </c>
      <c r="B798" s="362" t="e">
        <f>B275</f>
        <v>#REF!</v>
      </c>
      <c r="C798" s="404" t="e">
        <f>C275</f>
        <v>#REF!</v>
      </c>
      <c r="D798" s="405" t="e">
        <f t="shared" ref="D798:F798" si="2756">R275</f>
        <v>#REF!</v>
      </c>
      <c r="E798" s="406" t="e">
        <f t="shared" si="2756"/>
        <v>#REF!</v>
      </c>
      <c r="F798" s="405" t="e">
        <f t="shared" si="2756"/>
        <v>#REF!</v>
      </c>
      <c r="G798" s="413"/>
      <c r="H798" s="404" t="e">
        <f t="shared" ref="H798" si="2757">C88</f>
        <v>#REF!</v>
      </c>
      <c r="I798" s="407" t="e">
        <f t="shared" ref="I798" si="2758">D88</f>
        <v>#REF!</v>
      </c>
      <c r="J798" s="407" t="e">
        <f>E275</f>
        <v>#REF!</v>
      </c>
      <c r="K798" s="407" t="e">
        <f>D275</f>
        <v>#REF!</v>
      </c>
      <c r="L798" s="349"/>
      <c r="M798" s="349"/>
      <c r="N798" s="349"/>
      <c r="O798" s="349" t="s">
        <v>770</v>
      </c>
      <c r="P798" s="349"/>
      <c r="Q798" s="349"/>
      <c r="R798" s="349"/>
      <c r="S798" s="349"/>
      <c r="T798" s="349"/>
    </row>
    <row r="799" spans="1:20" s="111" customFormat="1" ht="24.75" thickBot="1" x14ac:dyDescent="0.3">
      <c r="A799" s="111" t="s">
        <v>813</v>
      </c>
      <c r="B799" s="362">
        <f>B276</f>
        <v>4</v>
      </c>
      <c r="C799" s="404" t="str">
        <f>C276</f>
        <v>CREPIN Lucie</v>
      </c>
      <c r="D799" s="405">
        <f t="shared" ref="D799" si="2759">R276</f>
        <v>57.512199042651993</v>
      </c>
      <c r="E799" s="406">
        <f t="shared" ref="E799" si="2760">S276</f>
        <v>1531.4000000000026</v>
      </c>
      <c r="F799" s="405">
        <f t="shared" ref="F799" si="2761">T276</f>
        <v>88074.181613917404</v>
      </c>
      <c r="G799" s="413"/>
      <c r="H799" s="404" t="str">
        <f t="shared" ref="H799" si="2762">C89</f>
        <v>CREPIN</v>
      </c>
      <c r="I799" s="407" t="str">
        <f t="shared" ref="I799" si="2763">D89</f>
        <v>Lucie</v>
      </c>
      <c r="J799" s="407" t="str">
        <f>E276</f>
        <v>Doctorat - Biotechnologie, microbilogie - Université Montpellier II</v>
      </c>
      <c r="K799" s="407" t="str">
        <f>D276</f>
        <v>Lead Scientist</v>
      </c>
      <c r="L799" s="349"/>
      <c r="M799" s="349"/>
      <c r="N799" s="349"/>
      <c r="O799" s="349" t="s">
        <v>770</v>
      </c>
      <c r="P799" s="349"/>
      <c r="Q799" s="349"/>
      <c r="R799" s="349"/>
      <c r="S799" s="349"/>
      <c r="T799" s="349"/>
    </row>
    <row r="800" spans="1:20" s="111" customFormat="1" ht="24.75" thickBot="1" x14ac:dyDescent="0.3">
      <c r="A800" s="111" t="s">
        <v>813</v>
      </c>
      <c r="B800" s="362">
        <f>B276</f>
        <v>4</v>
      </c>
      <c r="C800" s="404" t="str">
        <f>C276</f>
        <v>CREPIN Lucie</v>
      </c>
      <c r="D800" s="405">
        <f t="shared" ref="D800" si="2764">R276</f>
        <v>57.512199042651993</v>
      </c>
      <c r="E800" s="406">
        <f t="shared" ref="E800" si="2765">S276</f>
        <v>1531.4000000000026</v>
      </c>
      <c r="F800" s="405">
        <f t="shared" ref="F800" si="2766">T276</f>
        <v>88074.181613917404</v>
      </c>
      <c r="G800" s="413"/>
      <c r="H800" s="404" t="str">
        <f t="shared" ref="H800" si="2767">C89</f>
        <v>CREPIN</v>
      </c>
      <c r="I800" s="407" t="str">
        <f t="shared" ref="I800" si="2768">D89</f>
        <v>Lucie</v>
      </c>
      <c r="J800" s="407" t="str">
        <f>E276</f>
        <v>Doctorat - Biotechnologie, microbilogie - Université Montpellier II</v>
      </c>
      <c r="K800" s="407" t="str">
        <f>D276</f>
        <v>Lead Scientist</v>
      </c>
      <c r="L800" s="349"/>
      <c r="M800" s="349"/>
      <c r="N800" s="349"/>
      <c r="O800" s="349" t="s">
        <v>770</v>
      </c>
      <c r="P800" s="349"/>
      <c r="Q800" s="349"/>
      <c r="R800" s="349"/>
      <c r="S800" s="349"/>
      <c r="T800" s="349"/>
    </row>
    <row r="801" spans="1:20" s="111" customFormat="1" ht="24.75" thickBot="1" x14ac:dyDescent="0.3">
      <c r="A801" s="111" t="s">
        <v>813</v>
      </c>
      <c r="B801" s="362">
        <f>B276</f>
        <v>4</v>
      </c>
      <c r="C801" s="404" t="str">
        <f>C276</f>
        <v>CREPIN Lucie</v>
      </c>
      <c r="D801" s="405">
        <f t="shared" ref="D801" si="2769">R276</f>
        <v>57.512199042651993</v>
      </c>
      <c r="E801" s="406">
        <f t="shared" ref="E801" si="2770">S276</f>
        <v>1531.4000000000026</v>
      </c>
      <c r="F801" s="405">
        <f t="shared" ref="F801" si="2771">T276</f>
        <v>88074.181613917404</v>
      </c>
      <c r="G801" s="413"/>
      <c r="H801" s="404" t="str">
        <f t="shared" ref="H801" si="2772">C89</f>
        <v>CREPIN</v>
      </c>
      <c r="I801" s="407" t="str">
        <f t="shared" ref="I801" si="2773">D89</f>
        <v>Lucie</v>
      </c>
      <c r="J801" s="407" t="str">
        <f>E276</f>
        <v>Doctorat - Biotechnologie, microbilogie - Université Montpellier II</v>
      </c>
      <c r="K801" s="407" t="str">
        <f>D276</f>
        <v>Lead Scientist</v>
      </c>
      <c r="L801" s="349"/>
      <c r="M801" s="349"/>
      <c r="N801" s="349"/>
      <c r="O801" s="349" t="s">
        <v>770</v>
      </c>
      <c r="P801" s="349"/>
      <c r="Q801" s="349"/>
      <c r="R801" s="349"/>
      <c r="S801" s="349"/>
      <c r="T801" s="349"/>
    </row>
    <row r="802" spans="1:20" s="111" customFormat="1" ht="24.75" thickBot="1" x14ac:dyDescent="0.3">
      <c r="A802" s="111" t="s">
        <v>813</v>
      </c>
      <c r="B802" s="362">
        <f>B276</f>
        <v>4</v>
      </c>
      <c r="C802" s="404" t="str">
        <f>C276</f>
        <v>CREPIN Lucie</v>
      </c>
      <c r="D802" s="405">
        <f t="shared" ref="D802" si="2774">R276</f>
        <v>57.512199042651993</v>
      </c>
      <c r="E802" s="406">
        <f t="shared" ref="E802" si="2775">S276</f>
        <v>1531.4000000000026</v>
      </c>
      <c r="F802" s="405">
        <f t="shared" ref="F802" si="2776">T276</f>
        <v>88074.181613917404</v>
      </c>
      <c r="G802" s="413"/>
      <c r="H802" s="404" t="str">
        <f t="shared" ref="H802" si="2777">C89</f>
        <v>CREPIN</v>
      </c>
      <c r="I802" s="407" t="str">
        <f t="shared" ref="I802" si="2778">D89</f>
        <v>Lucie</v>
      </c>
      <c r="J802" s="407" t="str">
        <f>E276</f>
        <v>Doctorat - Biotechnologie, microbilogie - Université Montpellier II</v>
      </c>
      <c r="K802" s="407" t="str">
        <f>D276</f>
        <v>Lead Scientist</v>
      </c>
      <c r="L802" s="349"/>
      <c r="M802" s="349"/>
      <c r="N802" s="349"/>
      <c r="O802" s="349" t="s">
        <v>770</v>
      </c>
      <c r="P802" s="349"/>
      <c r="Q802" s="349"/>
      <c r="R802" s="349"/>
      <c r="S802" s="349"/>
      <c r="T802" s="349"/>
    </row>
    <row r="803" spans="1:20" s="111" customFormat="1" ht="24.75" thickBot="1" x14ac:dyDescent="0.3">
      <c r="A803" s="111" t="s">
        <v>813</v>
      </c>
      <c r="B803" s="362">
        <f>B276</f>
        <v>4</v>
      </c>
      <c r="C803" s="404" t="str">
        <f>C276</f>
        <v>CREPIN Lucie</v>
      </c>
      <c r="D803" s="405">
        <f t="shared" ref="D803" si="2779">R276</f>
        <v>57.512199042651993</v>
      </c>
      <c r="E803" s="406">
        <f t="shared" ref="E803" si="2780">S276</f>
        <v>1531.4000000000026</v>
      </c>
      <c r="F803" s="405">
        <f t="shared" ref="F803" si="2781">T276</f>
        <v>88074.181613917404</v>
      </c>
      <c r="G803" s="413"/>
      <c r="H803" s="404" t="str">
        <f t="shared" ref="H803" si="2782">C89</f>
        <v>CREPIN</v>
      </c>
      <c r="I803" s="407" t="str">
        <f t="shared" ref="I803" si="2783">D89</f>
        <v>Lucie</v>
      </c>
      <c r="J803" s="407" t="str">
        <f>E276</f>
        <v>Doctorat - Biotechnologie, microbilogie - Université Montpellier II</v>
      </c>
      <c r="K803" s="407" t="str">
        <f>D276</f>
        <v>Lead Scientist</v>
      </c>
      <c r="L803" s="349"/>
      <c r="M803" s="349"/>
      <c r="N803" s="349"/>
      <c r="O803" s="349" t="s">
        <v>770</v>
      </c>
      <c r="P803" s="349"/>
      <c r="Q803" s="349"/>
      <c r="R803" s="349"/>
      <c r="S803" s="349"/>
      <c r="T803" s="349"/>
    </row>
    <row r="804" spans="1:20" s="111" customFormat="1" ht="24.75" thickBot="1" x14ac:dyDescent="0.3">
      <c r="A804" s="111" t="s">
        <v>813</v>
      </c>
      <c r="B804" s="362">
        <f>B276</f>
        <v>4</v>
      </c>
      <c r="C804" s="404" t="str">
        <f>C276</f>
        <v>CREPIN Lucie</v>
      </c>
      <c r="D804" s="405">
        <f t="shared" ref="D804" si="2784">R276</f>
        <v>57.512199042651993</v>
      </c>
      <c r="E804" s="406">
        <f t="shared" ref="E804" si="2785">S276</f>
        <v>1531.4000000000026</v>
      </c>
      <c r="F804" s="405">
        <f t="shared" ref="F804" si="2786">T276</f>
        <v>88074.181613917404</v>
      </c>
      <c r="G804" s="413"/>
      <c r="H804" s="404" t="str">
        <f t="shared" ref="H804" si="2787">C89</f>
        <v>CREPIN</v>
      </c>
      <c r="I804" s="407" t="str">
        <f t="shared" ref="I804" si="2788">D89</f>
        <v>Lucie</v>
      </c>
      <c r="J804" s="407" t="str">
        <f>E276</f>
        <v>Doctorat - Biotechnologie, microbilogie - Université Montpellier II</v>
      </c>
      <c r="K804" s="407" t="str">
        <f>D276</f>
        <v>Lead Scientist</v>
      </c>
      <c r="L804" s="349"/>
      <c r="M804" s="349"/>
      <c r="N804" s="349"/>
      <c r="O804" s="349" t="s">
        <v>770</v>
      </c>
      <c r="P804" s="349"/>
      <c r="Q804" s="349"/>
      <c r="R804" s="349"/>
      <c r="S804" s="349"/>
      <c r="T804" s="349"/>
    </row>
    <row r="805" spans="1:20" s="111" customFormat="1" ht="24.75" thickBot="1" x14ac:dyDescent="0.3">
      <c r="A805" s="111" t="s">
        <v>813</v>
      </c>
      <c r="B805" s="362">
        <f>B276</f>
        <v>4</v>
      </c>
      <c r="C805" s="404" t="str">
        <f>C276</f>
        <v>CREPIN Lucie</v>
      </c>
      <c r="D805" s="405">
        <f t="shared" ref="D805" si="2789">R276</f>
        <v>57.512199042651993</v>
      </c>
      <c r="E805" s="406">
        <f t="shared" ref="E805" si="2790">S276</f>
        <v>1531.4000000000026</v>
      </c>
      <c r="F805" s="405">
        <f t="shared" ref="F805" si="2791">T276</f>
        <v>88074.181613917404</v>
      </c>
      <c r="G805" s="413"/>
      <c r="H805" s="404" t="str">
        <f t="shared" ref="H805" si="2792">C89</f>
        <v>CREPIN</v>
      </c>
      <c r="I805" s="407" t="str">
        <f t="shared" ref="I805" si="2793">D89</f>
        <v>Lucie</v>
      </c>
      <c r="J805" s="407" t="str">
        <f>E276</f>
        <v>Doctorat - Biotechnologie, microbilogie - Université Montpellier II</v>
      </c>
      <c r="K805" s="407" t="str">
        <f>D276</f>
        <v>Lead Scientist</v>
      </c>
      <c r="L805" s="349"/>
      <c r="M805" s="349"/>
      <c r="N805" s="349"/>
      <c r="O805" s="349" t="s">
        <v>770</v>
      </c>
      <c r="P805" s="349"/>
      <c r="Q805" s="349"/>
      <c r="R805" s="349"/>
      <c r="S805" s="349"/>
      <c r="T805" s="349"/>
    </row>
    <row r="806" spans="1:20" s="111" customFormat="1" ht="24.75" thickBot="1" x14ac:dyDescent="0.3">
      <c r="A806" s="111" t="s">
        <v>813</v>
      </c>
      <c r="B806" s="362">
        <f>B276</f>
        <v>4</v>
      </c>
      <c r="C806" s="404" t="str">
        <f>C276</f>
        <v>CREPIN Lucie</v>
      </c>
      <c r="D806" s="405">
        <f t="shared" ref="D806" si="2794">R276</f>
        <v>57.512199042651993</v>
      </c>
      <c r="E806" s="406">
        <f t="shared" ref="E806" si="2795">S276</f>
        <v>1531.4000000000026</v>
      </c>
      <c r="F806" s="405">
        <f t="shared" ref="F806" si="2796">T276</f>
        <v>88074.181613917404</v>
      </c>
      <c r="G806" s="413"/>
      <c r="H806" s="404" t="str">
        <f t="shared" ref="H806" si="2797">C89</f>
        <v>CREPIN</v>
      </c>
      <c r="I806" s="407" t="str">
        <f t="shared" ref="I806" si="2798">D89</f>
        <v>Lucie</v>
      </c>
      <c r="J806" s="407" t="str">
        <f>E276</f>
        <v>Doctorat - Biotechnologie, microbilogie - Université Montpellier II</v>
      </c>
      <c r="K806" s="407" t="str">
        <f>D276</f>
        <v>Lead Scientist</v>
      </c>
      <c r="L806" s="349"/>
      <c r="M806" s="349"/>
      <c r="N806" s="349"/>
      <c r="O806" s="349" t="s">
        <v>770</v>
      </c>
      <c r="P806" s="349"/>
      <c r="Q806" s="349"/>
      <c r="R806" s="349"/>
      <c r="S806" s="349"/>
      <c r="T806" s="349"/>
    </row>
    <row r="807" spans="1:20" s="111" customFormat="1" ht="24.75" thickBot="1" x14ac:dyDescent="0.3">
      <c r="A807" s="111" t="s">
        <v>813</v>
      </c>
      <c r="B807" s="362">
        <f>B276</f>
        <v>4</v>
      </c>
      <c r="C807" s="404" t="str">
        <f>C276</f>
        <v>CREPIN Lucie</v>
      </c>
      <c r="D807" s="405">
        <f t="shared" ref="D807" si="2799">R276</f>
        <v>57.512199042651993</v>
      </c>
      <c r="E807" s="406">
        <f t="shared" ref="E807" si="2800">S276</f>
        <v>1531.4000000000026</v>
      </c>
      <c r="F807" s="405">
        <f t="shared" ref="F807" si="2801">T276</f>
        <v>88074.181613917404</v>
      </c>
      <c r="G807" s="413"/>
      <c r="H807" s="404" t="str">
        <f t="shared" ref="H807" si="2802">C89</f>
        <v>CREPIN</v>
      </c>
      <c r="I807" s="407" t="str">
        <f t="shared" ref="I807" si="2803">D89</f>
        <v>Lucie</v>
      </c>
      <c r="J807" s="407" t="str">
        <f>E276</f>
        <v>Doctorat - Biotechnologie, microbilogie - Université Montpellier II</v>
      </c>
      <c r="K807" s="407" t="str">
        <f>D276</f>
        <v>Lead Scientist</v>
      </c>
      <c r="L807" s="349"/>
      <c r="M807" s="349"/>
      <c r="N807" s="349"/>
      <c r="O807" s="349" t="s">
        <v>770</v>
      </c>
      <c r="P807" s="349"/>
      <c r="Q807" s="349"/>
      <c r="R807" s="349"/>
      <c r="S807" s="349"/>
      <c r="T807" s="349"/>
    </row>
    <row r="808" spans="1:20" s="111" customFormat="1" ht="24.75" thickBot="1" x14ac:dyDescent="0.3">
      <c r="A808" s="111" t="s">
        <v>813</v>
      </c>
      <c r="B808" s="362">
        <f>B276</f>
        <v>4</v>
      </c>
      <c r="C808" s="404" t="str">
        <f>C276</f>
        <v>CREPIN Lucie</v>
      </c>
      <c r="D808" s="405">
        <f t="shared" ref="D808" si="2804">R276</f>
        <v>57.512199042651993</v>
      </c>
      <c r="E808" s="406">
        <f t="shared" ref="E808" si="2805">S276</f>
        <v>1531.4000000000026</v>
      </c>
      <c r="F808" s="405">
        <f t="shared" ref="F808" si="2806">T276</f>
        <v>88074.181613917404</v>
      </c>
      <c r="G808" s="413"/>
      <c r="H808" s="404" t="str">
        <f t="shared" ref="H808" si="2807">C89</f>
        <v>CREPIN</v>
      </c>
      <c r="I808" s="407" t="str">
        <f t="shared" ref="I808" si="2808">D89</f>
        <v>Lucie</v>
      </c>
      <c r="J808" s="407" t="str">
        <f>E276</f>
        <v>Doctorat - Biotechnologie, microbilogie - Université Montpellier II</v>
      </c>
      <c r="K808" s="407" t="str">
        <f>D276</f>
        <v>Lead Scientist</v>
      </c>
      <c r="L808" s="349"/>
      <c r="M808" s="349"/>
      <c r="N808" s="349"/>
      <c r="O808" s="349" t="s">
        <v>770</v>
      </c>
      <c r="P808" s="349"/>
      <c r="Q808" s="349"/>
      <c r="R808" s="349"/>
      <c r="S808" s="349"/>
      <c r="T808" s="349"/>
    </row>
    <row r="809" spans="1:20" s="111" customFormat="1" ht="24.75" thickBot="1" x14ac:dyDescent="0.3">
      <c r="A809" s="111" t="s">
        <v>813</v>
      </c>
      <c r="B809" s="362">
        <f>B276</f>
        <v>4</v>
      </c>
      <c r="C809" s="404" t="str">
        <f>C276</f>
        <v>CREPIN Lucie</v>
      </c>
      <c r="D809" s="405">
        <f t="shared" ref="D809" si="2809">R276</f>
        <v>57.512199042651993</v>
      </c>
      <c r="E809" s="406">
        <f t="shared" ref="E809" si="2810">S276</f>
        <v>1531.4000000000026</v>
      </c>
      <c r="F809" s="405">
        <f t="shared" ref="F809" si="2811">T276</f>
        <v>88074.181613917404</v>
      </c>
      <c r="G809" s="413"/>
      <c r="H809" s="404" t="str">
        <f t="shared" ref="H809" si="2812">C89</f>
        <v>CREPIN</v>
      </c>
      <c r="I809" s="407" t="str">
        <f t="shared" ref="I809" si="2813">D89</f>
        <v>Lucie</v>
      </c>
      <c r="J809" s="407" t="str">
        <f>E276</f>
        <v>Doctorat - Biotechnologie, microbilogie - Université Montpellier II</v>
      </c>
      <c r="K809" s="407" t="str">
        <f>D276</f>
        <v>Lead Scientist</v>
      </c>
      <c r="L809" s="349"/>
      <c r="M809" s="349"/>
      <c r="N809" s="349"/>
      <c r="O809" s="349" t="s">
        <v>770</v>
      </c>
      <c r="P809" s="349"/>
      <c r="Q809" s="349"/>
      <c r="R809" s="349"/>
      <c r="S809" s="349"/>
      <c r="T809" s="349"/>
    </row>
    <row r="810" spans="1:20" s="111" customFormat="1" ht="24.75" thickBot="1" x14ac:dyDescent="0.3">
      <c r="A810" s="111" t="s">
        <v>813</v>
      </c>
      <c r="B810" s="362">
        <f>B276</f>
        <v>4</v>
      </c>
      <c r="C810" s="404" t="str">
        <f>C276</f>
        <v>CREPIN Lucie</v>
      </c>
      <c r="D810" s="405">
        <f t="shared" ref="D810" si="2814">R276</f>
        <v>57.512199042651993</v>
      </c>
      <c r="E810" s="406">
        <f t="shared" ref="E810" si="2815">S276</f>
        <v>1531.4000000000026</v>
      </c>
      <c r="F810" s="405">
        <f t="shared" ref="F810" si="2816">T276</f>
        <v>88074.181613917404</v>
      </c>
      <c r="G810" s="413"/>
      <c r="H810" s="404" t="str">
        <f t="shared" ref="H810" si="2817">C89</f>
        <v>CREPIN</v>
      </c>
      <c r="I810" s="407" t="str">
        <f t="shared" ref="I810" si="2818">D89</f>
        <v>Lucie</v>
      </c>
      <c r="J810" s="407" t="str">
        <f>E276</f>
        <v>Doctorat - Biotechnologie, microbilogie - Université Montpellier II</v>
      </c>
      <c r="K810" s="407" t="str">
        <f>D276</f>
        <v>Lead Scientist</v>
      </c>
      <c r="L810" s="349"/>
      <c r="M810" s="349"/>
      <c r="N810" s="349"/>
      <c r="O810" s="349" t="s">
        <v>770</v>
      </c>
      <c r="P810" s="349"/>
      <c r="Q810" s="349"/>
      <c r="R810" s="349"/>
      <c r="S810" s="349"/>
      <c r="T810" s="349"/>
    </row>
    <row r="811" spans="1:20" s="111" customFormat="1" ht="24.75" thickBot="1" x14ac:dyDescent="0.3">
      <c r="A811" s="111" t="s">
        <v>813</v>
      </c>
      <c r="B811" s="362">
        <f>B276</f>
        <v>4</v>
      </c>
      <c r="C811" s="404" t="str">
        <f>C276</f>
        <v>CREPIN Lucie</v>
      </c>
      <c r="D811" s="405">
        <f t="shared" ref="D811" si="2819">R276</f>
        <v>57.512199042651993</v>
      </c>
      <c r="E811" s="406">
        <f t="shared" ref="E811" si="2820">S276</f>
        <v>1531.4000000000026</v>
      </c>
      <c r="F811" s="405">
        <f t="shared" ref="F811" si="2821">T276</f>
        <v>88074.181613917404</v>
      </c>
      <c r="G811" s="413"/>
      <c r="H811" s="404" t="str">
        <f t="shared" ref="H811" si="2822">C89</f>
        <v>CREPIN</v>
      </c>
      <c r="I811" s="407" t="str">
        <f t="shared" ref="I811" si="2823">D89</f>
        <v>Lucie</v>
      </c>
      <c r="J811" s="407" t="str">
        <f>E276</f>
        <v>Doctorat - Biotechnologie, microbilogie - Université Montpellier II</v>
      </c>
      <c r="K811" s="407" t="str">
        <f>D276</f>
        <v>Lead Scientist</v>
      </c>
      <c r="L811" s="349"/>
      <c r="M811" s="349"/>
      <c r="N811" s="349"/>
      <c r="O811" s="349" t="s">
        <v>770</v>
      </c>
      <c r="P811" s="349"/>
      <c r="Q811" s="349"/>
      <c r="R811" s="349"/>
      <c r="S811" s="349"/>
      <c r="T811" s="349"/>
    </row>
    <row r="812" spans="1:20" s="111" customFormat="1" ht="24.75" thickBot="1" x14ac:dyDescent="0.3">
      <c r="A812" s="111" t="s">
        <v>813</v>
      </c>
      <c r="B812" s="362">
        <f>B276</f>
        <v>4</v>
      </c>
      <c r="C812" s="404" t="str">
        <f>C276</f>
        <v>CREPIN Lucie</v>
      </c>
      <c r="D812" s="405">
        <f t="shared" ref="D812" si="2824">R276</f>
        <v>57.512199042651993</v>
      </c>
      <c r="E812" s="406">
        <f t="shared" ref="E812" si="2825">S276</f>
        <v>1531.4000000000026</v>
      </c>
      <c r="F812" s="405">
        <f t="shared" ref="F812" si="2826">T276</f>
        <v>88074.181613917404</v>
      </c>
      <c r="G812" s="413"/>
      <c r="H812" s="404" t="str">
        <f t="shared" ref="H812" si="2827">C89</f>
        <v>CREPIN</v>
      </c>
      <c r="I812" s="407" t="str">
        <f t="shared" ref="I812" si="2828">D89</f>
        <v>Lucie</v>
      </c>
      <c r="J812" s="407" t="str">
        <f>E276</f>
        <v>Doctorat - Biotechnologie, microbilogie - Université Montpellier II</v>
      </c>
      <c r="K812" s="407" t="str">
        <f>D276</f>
        <v>Lead Scientist</v>
      </c>
      <c r="L812" s="349"/>
      <c r="M812" s="349"/>
      <c r="N812" s="349"/>
      <c r="O812" s="349" t="s">
        <v>770</v>
      </c>
      <c r="P812" s="349"/>
      <c r="Q812" s="349"/>
      <c r="R812" s="349"/>
      <c r="S812" s="349"/>
      <c r="T812" s="349"/>
    </row>
    <row r="813" spans="1:20" s="111" customFormat="1" ht="24.75" thickBot="1" x14ac:dyDescent="0.3">
      <c r="A813" s="111" t="s">
        <v>813</v>
      </c>
      <c r="B813" s="362">
        <f>B276</f>
        <v>4</v>
      </c>
      <c r="C813" s="404" t="str">
        <f>C276</f>
        <v>CREPIN Lucie</v>
      </c>
      <c r="D813" s="405">
        <f t="shared" ref="D813" si="2829">R276</f>
        <v>57.512199042651993</v>
      </c>
      <c r="E813" s="406">
        <f t="shared" ref="E813" si="2830">S276</f>
        <v>1531.4000000000026</v>
      </c>
      <c r="F813" s="405">
        <f t="shared" ref="F813" si="2831">T276</f>
        <v>88074.181613917404</v>
      </c>
      <c r="G813" s="413"/>
      <c r="H813" s="404" t="str">
        <f t="shared" ref="H813" si="2832">C89</f>
        <v>CREPIN</v>
      </c>
      <c r="I813" s="407" t="str">
        <f t="shared" ref="I813" si="2833">D89</f>
        <v>Lucie</v>
      </c>
      <c r="J813" s="407" t="str">
        <f>E276</f>
        <v>Doctorat - Biotechnologie, microbilogie - Université Montpellier II</v>
      </c>
      <c r="K813" s="407" t="str">
        <f>D276</f>
        <v>Lead Scientist</v>
      </c>
      <c r="L813" s="349"/>
      <c r="M813" s="349"/>
      <c r="N813" s="349"/>
      <c r="O813" s="349" t="s">
        <v>770</v>
      </c>
      <c r="P813" s="349"/>
      <c r="Q813" s="349"/>
      <c r="R813" s="349"/>
      <c r="S813" s="349"/>
      <c r="T813" s="349"/>
    </row>
    <row r="814" spans="1:20" s="111" customFormat="1" ht="24.75" thickBot="1" x14ac:dyDescent="0.3">
      <c r="A814" s="111" t="s">
        <v>813</v>
      </c>
      <c r="B814" s="362">
        <f>B276</f>
        <v>4</v>
      </c>
      <c r="C814" s="404" t="str">
        <f>C276</f>
        <v>CREPIN Lucie</v>
      </c>
      <c r="D814" s="405">
        <f t="shared" ref="D814" si="2834">R276</f>
        <v>57.512199042651993</v>
      </c>
      <c r="E814" s="406">
        <f t="shared" ref="E814" si="2835">S276</f>
        <v>1531.4000000000026</v>
      </c>
      <c r="F814" s="405">
        <f t="shared" ref="F814" si="2836">T276</f>
        <v>88074.181613917404</v>
      </c>
      <c r="G814" s="413"/>
      <c r="H814" s="404" t="str">
        <f t="shared" ref="H814" si="2837">C89</f>
        <v>CREPIN</v>
      </c>
      <c r="I814" s="407" t="str">
        <f t="shared" ref="I814" si="2838">D89</f>
        <v>Lucie</v>
      </c>
      <c r="J814" s="407" t="str">
        <f>E276</f>
        <v>Doctorat - Biotechnologie, microbilogie - Université Montpellier II</v>
      </c>
      <c r="K814" s="407" t="str">
        <f>D276</f>
        <v>Lead Scientist</v>
      </c>
      <c r="L814" s="349"/>
      <c r="M814" s="349"/>
      <c r="N814" s="349"/>
      <c r="O814" s="349" t="s">
        <v>770</v>
      </c>
      <c r="P814" s="349"/>
      <c r="Q814" s="349"/>
      <c r="R814" s="349"/>
      <c r="S814" s="349"/>
      <c r="T814" s="349"/>
    </row>
    <row r="815" spans="1:20" s="111" customFormat="1" ht="24.75" thickBot="1" x14ac:dyDescent="0.3">
      <c r="A815" s="111" t="s">
        <v>813</v>
      </c>
      <c r="B815" s="362">
        <f>B276</f>
        <v>4</v>
      </c>
      <c r="C815" s="404" t="str">
        <f>C276</f>
        <v>CREPIN Lucie</v>
      </c>
      <c r="D815" s="405">
        <f t="shared" ref="D815" si="2839">R276</f>
        <v>57.512199042651993</v>
      </c>
      <c r="E815" s="406">
        <f t="shared" ref="E815" si="2840">S276</f>
        <v>1531.4000000000026</v>
      </c>
      <c r="F815" s="405">
        <f t="shared" ref="F815" si="2841">T276</f>
        <v>88074.181613917404</v>
      </c>
      <c r="G815" s="413"/>
      <c r="H815" s="404" t="str">
        <f t="shared" ref="H815" si="2842">C89</f>
        <v>CREPIN</v>
      </c>
      <c r="I815" s="407" t="str">
        <f t="shared" ref="I815" si="2843">D89</f>
        <v>Lucie</v>
      </c>
      <c r="J815" s="407" t="str">
        <f>E276</f>
        <v>Doctorat - Biotechnologie, microbilogie - Université Montpellier II</v>
      </c>
      <c r="K815" s="407" t="str">
        <f>D276</f>
        <v>Lead Scientist</v>
      </c>
      <c r="L815" s="349"/>
      <c r="M815" s="349"/>
      <c r="N815" s="349"/>
      <c r="O815" s="349" t="s">
        <v>770</v>
      </c>
      <c r="P815" s="349"/>
      <c r="Q815" s="349"/>
      <c r="R815" s="349"/>
      <c r="S815" s="349"/>
      <c r="T815" s="349"/>
    </row>
    <row r="816" spans="1:20" s="111" customFormat="1" ht="24.75" thickBot="1" x14ac:dyDescent="0.3">
      <c r="A816" s="111" t="s">
        <v>813</v>
      </c>
      <c r="B816" s="362">
        <f>B276</f>
        <v>4</v>
      </c>
      <c r="C816" s="404" t="str">
        <f>C276</f>
        <v>CREPIN Lucie</v>
      </c>
      <c r="D816" s="405">
        <f t="shared" ref="D816" si="2844">R276</f>
        <v>57.512199042651993</v>
      </c>
      <c r="E816" s="406">
        <f t="shared" ref="E816" si="2845">S276</f>
        <v>1531.4000000000026</v>
      </c>
      <c r="F816" s="405">
        <f t="shared" ref="F816" si="2846">T276</f>
        <v>88074.181613917404</v>
      </c>
      <c r="G816" s="413"/>
      <c r="H816" s="404" t="str">
        <f t="shared" ref="H816" si="2847">C89</f>
        <v>CREPIN</v>
      </c>
      <c r="I816" s="407" t="str">
        <f t="shared" ref="I816" si="2848">D89</f>
        <v>Lucie</v>
      </c>
      <c r="J816" s="407" t="str">
        <f>E276</f>
        <v>Doctorat - Biotechnologie, microbilogie - Université Montpellier II</v>
      </c>
      <c r="K816" s="407" t="str">
        <f>D276</f>
        <v>Lead Scientist</v>
      </c>
      <c r="L816" s="349"/>
      <c r="M816" s="349"/>
      <c r="N816" s="349"/>
      <c r="O816" s="349" t="s">
        <v>770</v>
      </c>
      <c r="P816" s="349"/>
      <c r="Q816" s="349"/>
      <c r="R816" s="349"/>
      <c r="S816" s="349"/>
      <c r="T816" s="349"/>
    </row>
    <row r="817" spans="1:20" s="111" customFormat="1" ht="24.75" thickBot="1" x14ac:dyDescent="0.3">
      <c r="A817" s="111" t="s">
        <v>813</v>
      </c>
      <c r="B817" s="362">
        <f>B276</f>
        <v>4</v>
      </c>
      <c r="C817" s="404" t="str">
        <f>C276</f>
        <v>CREPIN Lucie</v>
      </c>
      <c r="D817" s="405">
        <f t="shared" ref="D817" si="2849">R276</f>
        <v>57.512199042651993</v>
      </c>
      <c r="E817" s="406">
        <f t="shared" ref="E817" si="2850">S276</f>
        <v>1531.4000000000026</v>
      </c>
      <c r="F817" s="405">
        <f t="shared" ref="F817" si="2851">T276</f>
        <v>88074.181613917404</v>
      </c>
      <c r="G817" s="413"/>
      <c r="H817" s="404" t="str">
        <f t="shared" ref="H817" si="2852">C89</f>
        <v>CREPIN</v>
      </c>
      <c r="I817" s="407" t="str">
        <f t="shared" ref="I817" si="2853">D89</f>
        <v>Lucie</v>
      </c>
      <c r="J817" s="407" t="str">
        <f>E276</f>
        <v>Doctorat - Biotechnologie, microbilogie - Université Montpellier II</v>
      </c>
      <c r="K817" s="407" t="str">
        <f>D276</f>
        <v>Lead Scientist</v>
      </c>
      <c r="L817" s="349"/>
      <c r="M817" s="349"/>
      <c r="N817" s="349"/>
      <c r="O817" s="349" t="s">
        <v>770</v>
      </c>
      <c r="P817" s="349"/>
      <c r="Q817" s="349"/>
      <c r="R817" s="349"/>
      <c r="S817" s="349"/>
      <c r="T817" s="349"/>
    </row>
    <row r="818" spans="1:20" s="111" customFormat="1" ht="24.75" thickBot="1" x14ac:dyDescent="0.3">
      <c r="A818" s="111" t="s">
        <v>813</v>
      </c>
      <c r="B818" s="362">
        <f>B276</f>
        <v>4</v>
      </c>
      <c r="C818" s="404" t="str">
        <f>C276</f>
        <v>CREPIN Lucie</v>
      </c>
      <c r="D818" s="405">
        <f t="shared" ref="D818" si="2854">R276</f>
        <v>57.512199042651993</v>
      </c>
      <c r="E818" s="406">
        <f t="shared" ref="E818" si="2855">S276</f>
        <v>1531.4000000000026</v>
      </c>
      <c r="F818" s="405">
        <f t="shared" ref="F818" si="2856">T276</f>
        <v>88074.181613917404</v>
      </c>
      <c r="G818" s="413"/>
      <c r="H818" s="404" t="str">
        <f t="shared" ref="H818" si="2857">C89</f>
        <v>CREPIN</v>
      </c>
      <c r="I818" s="407" t="str">
        <f t="shared" ref="I818" si="2858">D89</f>
        <v>Lucie</v>
      </c>
      <c r="J818" s="407" t="str">
        <f>E276</f>
        <v>Doctorat - Biotechnologie, microbilogie - Université Montpellier II</v>
      </c>
      <c r="K818" s="407" t="str">
        <f>D276</f>
        <v>Lead Scientist</v>
      </c>
      <c r="L818" s="349"/>
      <c r="M818" s="349"/>
      <c r="N818" s="349"/>
      <c r="O818" s="349" t="s">
        <v>770</v>
      </c>
      <c r="P818" s="349"/>
      <c r="Q818" s="349"/>
      <c r="R818" s="349"/>
      <c r="S818" s="349"/>
      <c r="T818" s="349"/>
    </row>
    <row r="819" spans="1:20" s="111" customFormat="1" ht="24.75" thickBot="1" x14ac:dyDescent="0.3">
      <c r="A819" s="111" t="s">
        <v>813</v>
      </c>
      <c r="B819" s="362">
        <f>B276</f>
        <v>4</v>
      </c>
      <c r="C819" s="404" t="str">
        <f>C276</f>
        <v>CREPIN Lucie</v>
      </c>
      <c r="D819" s="405">
        <f t="shared" ref="D819" si="2859">R276</f>
        <v>57.512199042651993</v>
      </c>
      <c r="E819" s="406">
        <f t="shared" ref="E819" si="2860">S276</f>
        <v>1531.4000000000026</v>
      </c>
      <c r="F819" s="405">
        <f t="shared" ref="F819" si="2861">T276</f>
        <v>88074.181613917404</v>
      </c>
      <c r="G819" s="413"/>
      <c r="H819" s="404" t="str">
        <f t="shared" ref="H819" si="2862">C89</f>
        <v>CREPIN</v>
      </c>
      <c r="I819" s="407" t="str">
        <f t="shared" ref="I819" si="2863">D89</f>
        <v>Lucie</v>
      </c>
      <c r="J819" s="407" t="str">
        <f>E276</f>
        <v>Doctorat - Biotechnologie, microbilogie - Université Montpellier II</v>
      </c>
      <c r="K819" s="407" t="str">
        <f>D276</f>
        <v>Lead Scientist</v>
      </c>
      <c r="L819" s="349"/>
      <c r="M819" s="349"/>
      <c r="N819" s="349"/>
      <c r="O819" s="349" t="s">
        <v>770</v>
      </c>
      <c r="P819" s="349"/>
      <c r="Q819" s="349"/>
      <c r="R819" s="349"/>
      <c r="S819" s="349"/>
      <c r="T819" s="349"/>
    </row>
    <row r="820" spans="1:20" s="111" customFormat="1" ht="24.75" thickBot="1" x14ac:dyDescent="0.3">
      <c r="A820" s="111" t="s">
        <v>813</v>
      </c>
      <c r="B820" s="362">
        <f>B276</f>
        <v>4</v>
      </c>
      <c r="C820" s="404" t="str">
        <f>C276</f>
        <v>CREPIN Lucie</v>
      </c>
      <c r="D820" s="405">
        <f t="shared" ref="D820" si="2864">R276</f>
        <v>57.512199042651993</v>
      </c>
      <c r="E820" s="406">
        <f t="shared" ref="E820" si="2865">S276</f>
        <v>1531.4000000000026</v>
      </c>
      <c r="F820" s="405">
        <f t="shared" ref="F820" si="2866">T276</f>
        <v>88074.181613917404</v>
      </c>
      <c r="G820" s="413"/>
      <c r="H820" s="404" t="str">
        <f t="shared" ref="H820" si="2867">C89</f>
        <v>CREPIN</v>
      </c>
      <c r="I820" s="407" t="str">
        <f t="shared" ref="I820" si="2868">D89</f>
        <v>Lucie</v>
      </c>
      <c r="J820" s="407" t="str">
        <f>E276</f>
        <v>Doctorat - Biotechnologie, microbilogie - Université Montpellier II</v>
      </c>
      <c r="K820" s="407" t="str">
        <f>D276</f>
        <v>Lead Scientist</v>
      </c>
      <c r="L820" s="349"/>
      <c r="M820" s="349"/>
      <c r="N820" s="349"/>
      <c r="O820" s="349" t="s">
        <v>770</v>
      </c>
      <c r="P820" s="349"/>
      <c r="Q820" s="349"/>
      <c r="R820" s="349"/>
      <c r="S820" s="349"/>
      <c r="T820" s="349"/>
    </row>
    <row r="821" spans="1:20" s="111" customFormat="1" ht="24.75" thickBot="1" x14ac:dyDescent="0.3">
      <c r="A821" s="111" t="s">
        <v>813</v>
      </c>
      <c r="B821" s="362">
        <f>B276</f>
        <v>4</v>
      </c>
      <c r="C821" s="404" t="str">
        <f>C276</f>
        <v>CREPIN Lucie</v>
      </c>
      <c r="D821" s="405">
        <f t="shared" ref="D821" si="2869">R276</f>
        <v>57.512199042651993</v>
      </c>
      <c r="E821" s="406">
        <f t="shared" ref="E821" si="2870">S276</f>
        <v>1531.4000000000026</v>
      </c>
      <c r="F821" s="405">
        <f t="shared" ref="F821" si="2871">T276</f>
        <v>88074.181613917404</v>
      </c>
      <c r="G821" s="413"/>
      <c r="H821" s="404" t="str">
        <f t="shared" ref="H821" si="2872">C89</f>
        <v>CREPIN</v>
      </c>
      <c r="I821" s="407" t="str">
        <f t="shared" ref="I821" si="2873">D89</f>
        <v>Lucie</v>
      </c>
      <c r="J821" s="407" t="str">
        <f>E276</f>
        <v>Doctorat - Biotechnologie, microbilogie - Université Montpellier II</v>
      </c>
      <c r="K821" s="407" t="str">
        <f>D276</f>
        <v>Lead Scientist</v>
      </c>
      <c r="L821" s="349"/>
      <c r="M821" s="349"/>
      <c r="N821" s="349"/>
      <c r="O821" s="349" t="s">
        <v>770</v>
      </c>
      <c r="P821" s="349"/>
      <c r="Q821" s="349"/>
      <c r="R821" s="349"/>
      <c r="S821" s="349"/>
      <c r="T821" s="349"/>
    </row>
    <row r="822" spans="1:20" s="111" customFormat="1" ht="24.75" thickBot="1" x14ac:dyDescent="0.3">
      <c r="A822" s="111" t="s">
        <v>813</v>
      </c>
      <c r="B822" s="362">
        <f>B276</f>
        <v>4</v>
      </c>
      <c r="C822" s="404" t="str">
        <f>C276</f>
        <v>CREPIN Lucie</v>
      </c>
      <c r="D822" s="405">
        <f t="shared" ref="D822" si="2874">R276</f>
        <v>57.512199042651993</v>
      </c>
      <c r="E822" s="406">
        <f t="shared" ref="E822" si="2875">S276</f>
        <v>1531.4000000000026</v>
      </c>
      <c r="F822" s="405">
        <f t="shared" ref="F822" si="2876">T276</f>
        <v>88074.181613917404</v>
      </c>
      <c r="G822" s="413"/>
      <c r="H822" s="404" t="str">
        <f t="shared" ref="H822" si="2877">C89</f>
        <v>CREPIN</v>
      </c>
      <c r="I822" s="407" t="str">
        <f t="shared" ref="I822" si="2878">D89</f>
        <v>Lucie</v>
      </c>
      <c r="J822" s="407" t="str">
        <f>E276</f>
        <v>Doctorat - Biotechnologie, microbilogie - Université Montpellier II</v>
      </c>
      <c r="K822" s="407" t="str">
        <f>D276</f>
        <v>Lead Scientist</v>
      </c>
      <c r="L822" s="349"/>
      <c r="M822" s="349"/>
      <c r="N822" s="349"/>
      <c r="O822" s="349" t="s">
        <v>770</v>
      </c>
      <c r="P822" s="349"/>
      <c r="Q822" s="349"/>
      <c r="R822" s="349"/>
      <c r="S822" s="349"/>
      <c r="T822" s="349"/>
    </row>
    <row r="823" spans="1:20" s="111" customFormat="1" ht="24.75" thickBot="1" x14ac:dyDescent="0.3">
      <c r="A823" s="111" t="s">
        <v>813</v>
      </c>
      <c r="B823" s="362">
        <f>B276</f>
        <v>4</v>
      </c>
      <c r="C823" s="404" t="str">
        <f>C276</f>
        <v>CREPIN Lucie</v>
      </c>
      <c r="D823" s="405">
        <f t="shared" ref="D823" si="2879">R276</f>
        <v>57.512199042651993</v>
      </c>
      <c r="E823" s="406">
        <f t="shared" ref="E823" si="2880">S276</f>
        <v>1531.4000000000026</v>
      </c>
      <c r="F823" s="405">
        <f t="shared" ref="F823" si="2881">T276</f>
        <v>88074.181613917404</v>
      </c>
      <c r="G823" s="413"/>
      <c r="H823" s="404" t="str">
        <f t="shared" ref="H823" si="2882">C89</f>
        <v>CREPIN</v>
      </c>
      <c r="I823" s="407" t="str">
        <f t="shared" ref="I823" si="2883">D89</f>
        <v>Lucie</v>
      </c>
      <c r="J823" s="407" t="str">
        <f>E276</f>
        <v>Doctorat - Biotechnologie, microbilogie - Université Montpellier II</v>
      </c>
      <c r="K823" s="407" t="str">
        <f>D276</f>
        <v>Lead Scientist</v>
      </c>
      <c r="L823" s="349"/>
      <c r="M823" s="349"/>
      <c r="N823" s="349"/>
      <c r="O823" s="349" t="s">
        <v>770</v>
      </c>
      <c r="P823" s="349"/>
      <c r="Q823" s="349"/>
      <c r="R823" s="349"/>
      <c r="S823" s="349"/>
      <c r="T823" s="349"/>
    </row>
    <row r="824" spans="1:20" s="111" customFormat="1" ht="24.75" thickBot="1" x14ac:dyDescent="0.3">
      <c r="A824" s="111" t="s">
        <v>813</v>
      </c>
      <c r="B824" s="362">
        <f>B276</f>
        <v>4</v>
      </c>
      <c r="C824" s="404" t="str">
        <f>C276</f>
        <v>CREPIN Lucie</v>
      </c>
      <c r="D824" s="405">
        <f t="shared" ref="D824" si="2884">R276</f>
        <v>57.512199042651993</v>
      </c>
      <c r="E824" s="406">
        <f t="shared" ref="E824" si="2885">S276</f>
        <v>1531.4000000000026</v>
      </c>
      <c r="F824" s="405">
        <f t="shared" ref="F824" si="2886">T276</f>
        <v>88074.181613917404</v>
      </c>
      <c r="G824" s="413"/>
      <c r="H824" s="404" t="str">
        <f t="shared" ref="H824" si="2887">C89</f>
        <v>CREPIN</v>
      </c>
      <c r="I824" s="407" t="str">
        <f t="shared" ref="I824" si="2888">D89</f>
        <v>Lucie</v>
      </c>
      <c r="J824" s="407" t="str">
        <f>E276</f>
        <v>Doctorat - Biotechnologie, microbilogie - Université Montpellier II</v>
      </c>
      <c r="K824" s="407" t="str">
        <f>D276</f>
        <v>Lead Scientist</v>
      </c>
      <c r="L824" s="349"/>
      <c r="M824" s="349"/>
      <c r="N824" s="349"/>
      <c r="O824" s="349" t="s">
        <v>770</v>
      </c>
      <c r="P824" s="349"/>
      <c r="Q824" s="349"/>
      <c r="R824" s="349"/>
      <c r="S824" s="349"/>
      <c r="T824" s="349"/>
    </row>
    <row r="825" spans="1:20" s="111" customFormat="1" ht="24.75" thickBot="1" x14ac:dyDescent="0.3">
      <c r="A825" s="111" t="s">
        <v>813</v>
      </c>
      <c r="B825" s="362">
        <f>B276</f>
        <v>4</v>
      </c>
      <c r="C825" s="404" t="str">
        <f>C276</f>
        <v>CREPIN Lucie</v>
      </c>
      <c r="D825" s="405">
        <f t="shared" ref="D825" si="2889">R276</f>
        <v>57.512199042651993</v>
      </c>
      <c r="E825" s="406">
        <f t="shared" ref="E825" si="2890">S276</f>
        <v>1531.4000000000026</v>
      </c>
      <c r="F825" s="405">
        <f t="shared" ref="F825" si="2891">T276</f>
        <v>88074.181613917404</v>
      </c>
      <c r="G825" s="413"/>
      <c r="H825" s="404" t="str">
        <f t="shared" ref="H825" si="2892">C89</f>
        <v>CREPIN</v>
      </c>
      <c r="I825" s="407" t="str">
        <f t="shared" ref="I825" si="2893">D89</f>
        <v>Lucie</v>
      </c>
      <c r="J825" s="407" t="str">
        <f>E276</f>
        <v>Doctorat - Biotechnologie, microbilogie - Université Montpellier II</v>
      </c>
      <c r="K825" s="407" t="str">
        <f>D276</f>
        <v>Lead Scientist</v>
      </c>
      <c r="L825" s="349"/>
      <c r="M825" s="349"/>
      <c r="N825" s="349"/>
      <c r="O825" s="349" t="s">
        <v>770</v>
      </c>
      <c r="P825" s="349"/>
      <c r="Q825" s="349"/>
      <c r="R825" s="349"/>
      <c r="S825" s="349"/>
      <c r="T825" s="349"/>
    </row>
    <row r="826" spans="1:20" s="111" customFormat="1" ht="24.75" thickBot="1" x14ac:dyDescent="0.3">
      <c r="A826" s="111" t="s">
        <v>813</v>
      </c>
      <c r="B826" s="362">
        <f>B276</f>
        <v>4</v>
      </c>
      <c r="C826" s="404" t="str">
        <f>C276</f>
        <v>CREPIN Lucie</v>
      </c>
      <c r="D826" s="405">
        <f t="shared" ref="D826" si="2894">R276</f>
        <v>57.512199042651993</v>
      </c>
      <c r="E826" s="406">
        <f t="shared" ref="E826" si="2895">S276</f>
        <v>1531.4000000000026</v>
      </c>
      <c r="F826" s="405">
        <f t="shared" ref="F826" si="2896">T276</f>
        <v>88074.181613917404</v>
      </c>
      <c r="G826" s="413"/>
      <c r="H826" s="404" t="str">
        <f t="shared" ref="H826" si="2897">C89</f>
        <v>CREPIN</v>
      </c>
      <c r="I826" s="407" t="str">
        <f t="shared" ref="I826" si="2898">D89</f>
        <v>Lucie</v>
      </c>
      <c r="J826" s="407" t="str">
        <f>E276</f>
        <v>Doctorat - Biotechnologie, microbilogie - Université Montpellier II</v>
      </c>
      <c r="K826" s="407" t="str">
        <f>D276</f>
        <v>Lead Scientist</v>
      </c>
      <c r="L826" s="349"/>
      <c r="M826" s="349"/>
      <c r="N826" s="349"/>
      <c r="O826" s="349" t="s">
        <v>770</v>
      </c>
      <c r="P826" s="349"/>
      <c r="Q826" s="349"/>
      <c r="R826" s="349"/>
      <c r="S826" s="349"/>
      <c r="T826" s="349"/>
    </row>
    <row r="827" spans="1:20" s="111" customFormat="1" ht="24.75" thickBot="1" x14ac:dyDescent="0.3">
      <c r="A827" s="111" t="s">
        <v>813</v>
      </c>
      <c r="B827" s="362">
        <f>B276</f>
        <v>4</v>
      </c>
      <c r="C827" s="404" t="str">
        <f>C276</f>
        <v>CREPIN Lucie</v>
      </c>
      <c r="D827" s="405">
        <f t="shared" ref="D827" si="2899">R276</f>
        <v>57.512199042651993</v>
      </c>
      <c r="E827" s="406">
        <f t="shared" ref="E827" si="2900">S276</f>
        <v>1531.4000000000026</v>
      </c>
      <c r="F827" s="405">
        <f t="shared" ref="F827" si="2901">T276</f>
        <v>88074.181613917404</v>
      </c>
      <c r="G827" s="413"/>
      <c r="H827" s="404" t="str">
        <f t="shared" ref="H827" si="2902">C89</f>
        <v>CREPIN</v>
      </c>
      <c r="I827" s="407" t="str">
        <f t="shared" ref="I827" si="2903">D89</f>
        <v>Lucie</v>
      </c>
      <c r="J827" s="407" t="str">
        <f>E276</f>
        <v>Doctorat - Biotechnologie, microbilogie - Université Montpellier II</v>
      </c>
      <c r="K827" s="407" t="str">
        <f>D276</f>
        <v>Lead Scientist</v>
      </c>
      <c r="L827" s="349"/>
      <c r="M827" s="349"/>
      <c r="N827" s="349"/>
      <c r="O827" s="349" t="s">
        <v>770</v>
      </c>
      <c r="P827" s="349"/>
      <c r="Q827" s="349"/>
      <c r="R827" s="349"/>
      <c r="S827" s="349"/>
      <c r="T827" s="349"/>
    </row>
    <row r="828" spans="1:20" s="111" customFormat="1" ht="24.75" thickBot="1" x14ac:dyDescent="0.3">
      <c r="A828" s="111" t="s">
        <v>813</v>
      </c>
      <c r="B828" s="362">
        <f>B276</f>
        <v>4</v>
      </c>
      <c r="C828" s="404" t="str">
        <f>C276</f>
        <v>CREPIN Lucie</v>
      </c>
      <c r="D828" s="405">
        <f t="shared" ref="D828" si="2904">R276</f>
        <v>57.512199042651993</v>
      </c>
      <c r="E828" s="406">
        <f t="shared" ref="E828" si="2905">S276</f>
        <v>1531.4000000000026</v>
      </c>
      <c r="F828" s="405">
        <f t="shared" ref="F828" si="2906">T276</f>
        <v>88074.181613917404</v>
      </c>
      <c r="G828" s="413"/>
      <c r="H828" s="404" t="str">
        <f t="shared" ref="H828" si="2907">C89</f>
        <v>CREPIN</v>
      </c>
      <c r="I828" s="407" t="str">
        <f t="shared" ref="I828" si="2908">D89</f>
        <v>Lucie</v>
      </c>
      <c r="J828" s="407" t="str">
        <f>E276</f>
        <v>Doctorat - Biotechnologie, microbilogie - Université Montpellier II</v>
      </c>
      <c r="K828" s="407" t="str">
        <f>D276</f>
        <v>Lead Scientist</v>
      </c>
      <c r="L828" s="349"/>
      <c r="M828" s="349"/>
      <c r="N828" s="349"/>
      <c r="O828" s="349" t="s">
        <v>770</v>
      </c>
      <c r="P828" s="349"/>
      <c r="Q828" s="349"/>
      <c r="R828" s="349"/>
      <c r="S828" s="349"/>
      <c r="T828" s="349"/>
    </row>
    <row r="829" spans="1:20" s="111" customFormat="1" ht="24.75" thickBot="1" x14ac:dyDescent="0.3">
      <c r="A829" s="111" t="s">
        <v>813</v>
      </c>
      <c r="B829" s="362">
        <f>B276</f>
        <v>4</v>
      </c>
      <c r="C829" s="404" t="str">
        <f>C276</f>
        <v>CREPIN Lucie</v>
      </c>
      <c r="D829" s="405">
        <f t="shared" ref="D829" si="2909">R276</f>
        <v>57.512199042651993</v>
      </c>
      <c r="E829" s="406">
        <f t="shared" ref="E829" si="2910">S276</f>
        <v>1531.4000000000026</v>
      </c>
      <c r="F829" s="405">
        <f t="shared" ref="F829" si="2911">T276</f>
        <v>88074.181613917404</v>
      </c>
      <c r="G829" s="413"/>
      <c r="H829" s="404" t="str">
        <f t="shared" ref="H829" si="2912">C89</f>
        <v>CREPIN</v>
      </c>
      <c r="I829" s="407" t="str">
        <f t="shared" ref="I829" si="2913">D89</f>
        <v>Lucie</v>
      </c>
      <c r="J829" s="407" t="str">
        <f>E276</f>
        <v>Doctorat - Biotechnologie, microbilogie - Université Montpellier II</v>
      </c>
      <c r="K829" s="407" t="str">
        <f>D276</f>
        <v>Lead Scientist</v>
      </c>
      <c r="L829" s="349"/>
      <c r="M829" s="349"/>
      <c r="N829" s="349"/>
      <c r="O829" s="349" t="s">
        <v>770</v>
      </c>
      <c r="P829" s="349"/>
      <c r="Q829" s="349"/>
      <c r="R829" s="349"/>
      <c r="S829" s="349"/>
      <c r="T829" s="349"/>
    </row>
    <row r="830" spans="1:20" s="111" customFormat="1" ht="24.75" thickBot="1" x14ac:dyDescent="0.3">
      <c r="A830" s="111" t="s">
        <v>813</v>
      </c>
      <c r="B830" s="362">
        <f>B276</f>
        <v>4</v>
      </c>
      <c r="C830" s="404" t="str">
        <f>C276</f>
        <v>CREPIN Lucie</v>
      </c>
      <c r="D830" s="405">
        <f t="shared" ref="D830" si="2914">R276</f>
        <v>57.512199042651993</v>
      </c>
      <c r="E830" s="406">
        <f t="shared" ref="E830" si="2915">S276</f>
        <v>1531.4000000000026</v>
      </c>
      <c r="F830" s="405">
        <f t="shared" ref="F830" si="2916">T276</f>
        <v>88074.181613917404</v>
      </c>
      <c r="G830" s="413"/>
      <c r="H830" s="404" t="str">
        <f t="shared" ref="H830" si="2917">C89</f>
        <v>CREPIN</v>
      </c>
      <c r="I830" s="407" t="str">
        <f t="shared" ref="I830" si="2918">D89</f>
        <v>Lucie</v>
      </c>
      <c r="J830" s="407" t="str">
        <f>E276</f>
        <v>Doctorat - Biotechnologie, microbilogie - Université Montpellier II</v>
      </c>
      <c r="K830" s="407" t="str">
        <f>D276</f>
        <v>Lead Scientist</v>
      </c>
      <c r="L830" s="349"/>
      <c r="M830" s="349"/>
      <c r="N830" s="349"/>
      <c r="O830" s="349" t="s">
        <v>770</v>
      </c>
      <c r="P830" s="349"/>
      <c r="Q830" s="349"/>
      <c r="R830" s="349"/>
      <c r="S830" s="349"/>
      <c r="T830" s="349"/>
    </row>
    <row r="831" spans="1:20" s="111" customFormat="1" ht="24.75" thickBot="1" x14ac:dyDescent="0.3">
      <c r="A831" s="111" t="s">
        <v>813</v>
      </c>
      <c r="B831" s="362">
        <f>B276</f>
        <v>4</v>
      </c>
      <c r="C831" s="404" t="str">
        <f>C276</f>
        <v>CREPIN Lucie</v>
      </c>
      <c r="D831" s="405">
        <f t="shared" ref="D831" si="2919">R276</f>
        <v>57.512199042651993</v>
      </c>
      <c r="E831" s="406">
        <f t="shared" ref="E831" si="2920">S276</f>
        <v>1531.4000000000026</v>
      </c>
      <c r="F831" s="405">
        <f t="shared" ref="F831" si="2921">T276</f>
        <v>88074.181613917404</v>
      </c>
      <c r="G831" s="413"/>
      <c r="H831" s="404" t="str">
        <f t="shared" ref="H831" si="2922">C89</f>
        <v>CREPIN</v>
      </c>
      <c r="I831" s="407" t="str">
        <f t="shared" ref="I831" si="2923">D89</f>
        <v>Lucie</v>
      </c>
      <c r="J831" s="407" t="str">
        <f>E276</f>
        <v>Doctorat - Biotechnologie, microbilogie - Université Montpellier II</v>
      </c>
      <c r="K831" s="407" t="str">
        <f>D276</f>
        <v>Lead Scientist</v>
      </c>
      <c r="L831" s="349"/>
      <c r="M831" s="349"/>
      <c r="N831" s="349"/>
      <c r="O831" s="349" t="s">
        <v>770</v>
      </c>
      <c r="P831" s="349"/>
      <c r="Q831" s="349"/>
      <c r="R831" s="349"/>
      <c r="S831" s="349"/>
      <c r="T831" s="349"/>
    </row>
    <row r="832" spans="1:20" s="111" customFormat="1" ht="24.75" thickBot="1" x14ac:dyDescent="0.3">
      <c r="A832" s="111" t="s">
        <v>813</v>
      </c>
      <c r="B832" s="362">
        <f>B276</f>
        <v>4</v>
      </c>
      <c r="C832" s="404" t="str">
        <f>C276</f>
        <v>CREPIN Lucie</v>
      </c>
      <c r="D832" s="405">
        <f t="shared" ref="D832" si="2924">R276</f>
        <v>57.512199042651993</v>
      </c>
      <c r="E832" s="406">
        <f t="shared" ref="E832" si="2925">S276</f>
        <v>1531.4000000000026</v>
      </c>
      <c r="F832" s="405">
        <f t="shared" ref="F832" si="2926">T276</f>
        <v>88074.181613917404</v>
      </c>
      <c r="G832" s="413"/>
      <c r="H832" s="404" t="str">
        <f t="shared" ref="H832" si="2927">C89</f>
        <v>CREPIN</v>
      </c>
      <c r="I832" s="407" t="str">
        <f t="shared" ref="I832" si="2928">D89</f>
        <v>Lucie</v>
      </c>
      <c r="J832" s="407" t="str">
        <f>E276</f>
        <v>Doctorat - Biotechnologie, microbilogie - Université Montpellier II</v>
      </c>
      <c r="K832" s="407" t="str">
        <f>D276</f>
        <v>Lead Scientist</v>
      </c>
      <c r="L832" s="349"/>
      <c r="M832" s="349"/>
      <c r="N832" s="349"/>
      <c r="O832" s="349" t="s">
        <v>770</v>
      </c>
      <c r="P832" s="349"/>
      <c r="Q832" s="349"/>
      <c r="R832" s="349"/>
      <c r="S832" s="349"/>
      <c r="T832" s="349"/>
    </row>
    <row r="833" spans="1:20" s="111" customFormat="1" ht="24.75" thickBot="1" x14ac:dyDescent="0.3">
      <c r="A833" s="111" t="s">
        <v>813</v>
      </c>
      <c r="B833" s="362">
        <f>B276</f>
        <v>4</v>
      </c>
      <c r="C833" s="404" t="str">
        <f>C276</f>
        <v>CREPIN Lucie</v>
      </c>
      <c r="D833" s="405">
        <f t="shared" ref="D833" si="2929">R276</f>
        <v>57.512199042651993</v>
      </c>
      <c r="E833" s="406">
        <f t="shared" ref="E833" si="2930">S276</f>
        <v>1531.4000000000026</v>
      </c>
      <c r="F833" s="405">
        <f t="shared" ref="F833" si="2931">T276</f>
        <v>88074.181613917404</v>
      </c>
      <c r="G833" s="413"/>
      <c r="H833" s="404" t="str">
        <f t="shared" ref="H833" si="2932">C89</f>
        <v>CREPIN</v>
      </c>
      <c r="I833" s="407" t="str">
        <f t="shared" ref="I833" si="2933">D89</f>
        <v>Lucie</v>
      </c>
      <c r="J833" s="407" t="str">
        <f>E276</f>
        <v>Doctorat - Biotechnologie, microbilogie - Université Montpellier II</v>
      </c>
      <c r="K833" s="407" t="str">
        <f>D276</f>
        <v>Lead Scientist</v>
      </c>
      <c r="L833" s="349"/>
      <c r="M833" s="349"/>
      <c r="N833" s="349"/>
      <c r="O833" s="349" t="s">
        <v>770</v>
      </c>
      <c r="P833" s="349"/>
      <c r="Q833" s="349"/>
      <c r="R833" s="349"/>
      <c r="S833" s="349"/>
      <c r="T833" s="349"/>
    </row>
    <row r="834" spans="1:20" s="111" customFormat="1" ht="24.75" thickBot="1" x14ac:dyDescent="0.3">
      <c r="A834" s="111" t="s">
        <v>813</v>
      </c>
      <c r="B834" s="362">
        <f>B276</f>
        <v>4</v>
      </c>
      <c r="C834" s="404" t="str">
        <f>C276</f>
        <v>CREPIN Lucie</v>
      </c>
      <c r="D834" s="405">
        <f t="shared" ref="D834" si="2934">R276</f>
        <v>57.512199042651993</v>
      </c>
      <c r="E834" s="406">
        <f t="shared" ref="E834" si="2935">S276</f>
        <v>1531.4000000000026</v>
      </c>
      <c r="F834" s="405">
        <f t="shared" ref="F834" si="2936">T276</f>
        <v>88074.181613917404</v>
      </c>
      <c r="G834" s="413"/>
      <c r="H834" s="404" t="str">
        <f t="shared" ref="H834" si="2937">C89</f>
        <v>CREPIN</v>
      </c>
      <c r="I834" s="407" t="str">
        <f t="shared" ref="I834" si="2938">D89</f>
        <v>Lucie</v>
      </c>
      <c r="J834" s="407" t="str">
        <f>E276</f>
        <v>Doctorat - Biotechnologie, microbilogie - Université Montpellier II</v>
      </c>
      <c r="K834" s="407" t="str">
        <f>D276</f>
        <v>Lead Scientist</v>
      </c>
      <c r="L834" s="349"/>
      <c r="M834" s="349"/>
      <c r="N834" s="349"/>
      <c r="O834" s="349" t="s">
        <v>770</v>
      </c>
      <c r="P834" s="349"/>
      <c r="Q834" s="349"/>
      <c r="R834" s="349"/>
      <c r="S834" s="349"/>
      <c r="T834" s="349"/>
    </row>
    <row r="835" spans="1:20" s="111" customFormat="1" ht="24.75" thickBot="1" x14ac:dyDescent="0.3">
      <c r="A835" s="111" t="s">
        <v>813</v>
      </c>
      <c r="B835" s="362">
        <f>B276</f>
        <v>4</v>
      </c>
      <c r="C835" s="404" t="str">
        <f>C276</f>
        <v>CREPIN Lucie</v>
      </c>
      <c r="D835" s="405">
        <f t="shared" ref="D835" si="2939">R276</f>
        <v>57.512199042651993</v>
      </c>
      <c r="E835" s="406">
        <f t="shared" ref="E835" si="2940">S276</f>
        <v>1531.4000000000026</v>
      </c>
      <c r="F835" s="405">
        <f t="shared" ref="F835" si="2941">T276</f>
        <v>88074.181613917404</v>
      </c>
      <c r="G835" s="413"/>
      <c r="H835" s="404" t="str">
        <f t="shared" ref="H835" si="2942">C89</f>
        <v>CREPIN</v>
      </c>
      <c r="I835" s="407" t="str">
        <f t="shared" ref="I835" si="2943">D89</f>
        <v>Lucie</v>
      </c>
      <c r="J835" s="407" t="str">
        <f>E276</f>
        <v>Doctorat - Biotechnologie, microbilogie - Université Montpellier II</v>
      </c>
      <c r="K835" s="407" t="str">
        <f>D276</f>
        <v>Lead Scientist</v>
      </c>
      <c r="L835" s="349"/>
      <c r="M835" s="349"/>
      <c r="N835" s="349"/>
      <c r="O835" s="349" t="s">
        <v>770</v>
      </c>
      <c r="P835" s="349"/>
      <c r="Q835" s="349"/>
      <c r="R835" s="349"/>
      <c r="S835" s="349"/>
      <c r="T835" s="349"/>
    </row>
    <row r="836" spans="1:20" s="111" customFormat="1" ht="24.75" thickBot="1" x14ac:dyDescent="0.3">
      <c r="A836" s="111" t="s">
        <v>813</v>
      </c>
      <c r="B836" s="362">
        <f>B276</f>
        <v>4</v>
      </c>
      <c r="C836" s="404" t="str">
        <f>C276</f>
        <v>CREPIN Lucie</v>
      </c>
      <c r="D836" s="405">
        <f t="shared" ref="D836" si="2944">R276</f>
        <v>57.512199042651993</v>
      </c>
      <c r="E836" s="406">
        <f t="shared" ref="E836" si="2945">S276</f>
        <v>1531.4000000000026</v>
      </c>
      <c r="F836" s="405">
        <f t="shared" ref="F836" si="2946">T276</f>
        <v>88074.181613917404</v>
      </c>
      <c r="G836" s="413"/>
      <c r="H836" s="404" t="str">
        <f t="shared" ref="H836" si="2947">C89</f>
        <v>CREPIN</v>
      </c>
      <c r="I836" s="407" t="str">
        <f t="shared" ref="I836" si="2948">D89</f>
        <v>Lucie</v>
      </c>
      <c r="J836" s="407" t="str">
        <f>E276</f>
        <v>Doctorat - Biotechnologie, microbilogie - Université Montpellier II</v>
      </c>
      <c r="K836" s="407" t="str">
        <f>D276</f>
        <v>Lead Scientist</v>
      </c>
      <c r="L836" s="349"/>
      <c r="M836" s="349"/>
      <c r="N836" s="349"/>
      <c r="O836" s="349" t="s">
        <v>770</v>
      </c>
      <c r="P836" s="349"/>
      <c r="Q836" s="349"/>
      <c r="R836" s="349"/>
      <c r="S836" s="349"/>
      <c r="T836" s="349"/>
    </row>
    <row r="837" spans="1:20" s="111" customFormat="1" ht="24.75" thickBot="1" x14ac:dyDescent="0.3">
      <c r="A837" s="111" t="s">
        <v>813</v>
      </c>
      <c r="B837" s="362">
        <f>B276</f>
        <v>4</v>
      </c>
      <c r="C837" s="404" t="str">
        <f>C276</f>
        <v>CREPIN Lucie</v>
      </c>
      <c r="D837" s="405">
        <f>R276</f>
        <v>57.512199042651993</v>
      </c>
      <c r="E837" s="406">
        <f>S276</f>
        <v>1531.4000000000026</v>
      </c>
      <c r="F837" s="405">
        <f>T276</f>
        <v>88074.181613917404</v>
      </c>
      <c r="G837" s="413"/>
      <c r="H837" s="404" t="str">
        <f t="shared" ref="H837" si="2949">C89</f>
        <v>CREPIN</v>
      </c>
      <c r="I837" s="407" t="str">
        <f t="shared" ref="I837" si="2950">D89</f>
        <v>Lucie</v>
      </c>
      <c r="J837" s="407" t="str">
        <f>E276</f>
        <v>Doctorat - Biotechnologie, microbilogie - Université Montpellier II</v>
      </c>
      <c r="K837" s="407" t="str">
        <f>D276</f>
        <v>Lead Scientist</v>
      </c>
      <c r="L837" s="349"/>
      <c r="M837" s="349"/>
      <c r="N837" s="349"/>
      <c r="O837" s="349" t="s">
        <v>770</v>
      </c>
      <c r="P837" s="349"/>
      <c r="Q837" s="349"/>
      <c r="R837" s="349"/>
      <c r="S837" s="349"/>
      <c r="T837" s="349"/>
    </row>
    <row r="838" spans="1:20" s="111" customFormat="1" ht="24.75" thickBot="1" x14ac:dyDescent="0.3">
      <c r="A838" s="111" t="s">
        <v>813</v>
      </c>
      <c r="B838" s="362">
        <f>B277</f>
        <v>5</v>
      </c>
      <c r="C838" s="404" t="str">
        <f>C277</f>
        <v>BOISSONNAT Guillaume</v>
      </c>
      <c r="D838" s="405">
        <f t="shared" ref="D838" si="2951">R277</f>
        <v>118.72911717220083</v>
      </c>
      <c r="E838" s="406">
        <f t="shared" ref="E838" si="2952">S277</f>
        <v>651.58800000000019</v>
      </c>
      <c r="F838" s="405">
        <f t="shared" ref="F838" si="2953">T277</f>
        <v>77362.468000000023</v>
      </c>
      <c r="G838" s="413"/>
      <c r="H838" s="404" t="str">
        <f t="shared" ref="H838" si="2954">C90</f>
        <v>BOISSONNAT</v>
      </c>
      <c r="I838" s="407" t="str">
        <f t="shared" ref="I838" si="2955">D90</f>
        <v>Guillaume</v>
      </c>
      <c r="J838" s="407" t="str">
        <f>E277</f>
        <v>Doctorat Chimie moleculaire- Université Paris VI</v>
      </c>
      <c r="K838" s="407" t="str">
        <f>D277</f>
        <v>Ingénieur Recherche</v>
      </c>
      <c r="L838" s="349"/>
      <c r="M838" s="349"/>
      <c r="N838" s="349"/>
      <c r="O838" s="349" t="s">
        <v>770</v>
      </c>
      <c r="P838" s="349"/>
      <c r="Q838" s="349"/>
      <c r="R838" s="349"/>
      <c r="S838" s="349"/>
      <c r="T838" s="349"/>
    </row>
    <row r="839" spans="1:20" s="111" customFormat="1" ht="24.75" thickBot="1" x14ac:dyDescent="0.3">
      <c r="A839" s="111" t="s">
        <v>813</v>
      </c>
      <c r="B839" s="362">
        <f>B277</f>
        <v>5</v>
      </c>
      <c r="C839" s="404" t="str">
        <f>C277</f>
        <v>BOISSONNAT Guillaume</v>
      </c>
      <c r="D839" s="405">
        <f t="shared" ref="D839" si="2956">R277</f>
        <v>118.72911717220083</v>
      </c>
      <c r="E839" s="406">
        <f t="shared" ref="E839" si="2957">S277</f>
        <v>651.58800000000019</v>
      </c>
      <c r="F839" s="405">
        <f t="shared" ref="F839" si="2958">T277</f>
        <v>77362.468000000023</v>
      </c>
      <c r="G839" s="413"/>
      <c r="H839" s="404" t="str">
        <f t="shared" ref="H839" si="2959">C90</f>
        <v>BOISSONNAT</v>
      </c>
      <c r="I839" s="407" t="str">
        <f t="shared" ref="I839" si="2960">D90</f>
        <v>Guillaume</v>
      </c>
      <c r="J839" s="407" t="str">
        <f>E277</f>
        <v>Doctorat Chimie moleculaire- Université Paris VI</v>
      </c>
      <c r="K839" s="407" t="str">
        <f>D277</f>
        <v>Ingénieur Recherche</v>
      </c>
      <c r="L839" s="349"/>
      <c r="M839" s="349"/>
      <c r="N839" s="349"/>
      <c r="O839" s="349" t="s">
        <v>770</v>
      </c>
      <c r="P839" s="349"/>
      <c r="Q839" s="349"/>
      <c r="R839" s="349"/>
      <c r="S839" s="349"/>
      <c r="T839" s="349"/>
    </row>
    <row r="840" spans="1:20" s="111" customFormat="1" ht="24.75" thickBot="1" x14ac:dyDescent="0.3">
      <c r="A840" s="111" t="s">
        <v>813</v>
      </c>
      <c r="B840" s="362">
        <f>B277</f>
        <v>5</v>
      </c>
      <c r="C840" s="404" t="str">
        <f>C277</f>
        <v>BOISSONNAT Guillaume</v>
      </c>
      <c r="D840" s="405">
        <f t="shared" ref="D840" si="2961">R277</f>
        <v>118.72911717220083</v>
      </c>
      <c r="E840" s="406">
        <f t="shared" ref="E840" si="2962">S277</f>
        <v>651.58800000000019</v>
      </c>
      <c r="F840" s="405">
        <f t="shared" ref="F840" si="2963">T277</f>
        <v>77362.468000000023</v>
      </c>
      <c r="G840" s="413"/>
      <c r="H840" s="404" t="str">
        <f t="shared" ref="H840" si="2964">C90</f>
        <v>BOISSONNAT</v>
      </c>
      <c r="I840" s="407" t="str">
        <f t="shared" ref="I840" si="2965">D90</f>
        <v>Guillaume</v>
      </c>
      <c r="J840" s="407" t="str">
        <f>E277</f>
        <v>Doctorat Chimie moleculaire- Université Paris VI</v>
      </c>
      <c r="K840" s="407" t="str">
        <f>D277</f>
        <v>Ingénieur Recherche</v>
      </c>
      <c r="L840" s="349"/>
      <c r="M840" s="349"/>
      <c r="N840" s="349"/>
      <c r="O840" s="349" t="s">
        <v>770</v>
      </c>
      <c r="P840" s="349"/>
      <c r="Q840" s="349"/>
      <c r="R840" s="349"/>
      <c r="S840" s="349"/>
      <c r="T840" s="349"/>
    </row>
    <row r="841" spans="1:20" s="111" customFormat="1" ht="24.75" thickBot="1" x14ac:dyDescent="0.3">
      <c r="A841" s="111" t="s">
        <v>813</v>
      </c>
      <c r="B841" s="362">
        <f>B277</f>
        <v>5</v>
      </c>
      <c r="C841" s="404" t="str">
        <f>C277</f>
        <v>BOISSONNAT Guillaume</v>
      </c>
      <c r="D841" s="405">
        <f t="shared" ref="D841" si="2966">R277</f>
        <v>118.72911717220083</v>
      </c>
      <c r="E841" s="406">
        <f t="shared" ref="E841" si="2967">S277</f>
        <v>651.58800000000019</v>
      </c>
      <c r="F841" s="405">
        <f t="shared" ref="F841" si="2968">T277</f>
        <v>77362.468000000023</v>
      </c>
      <c r="G841" s="413"/>
      <c r="H841" s="404" t="str">
        <f t="shared" ref="H841" si="2969">C90</f>
        <v>BOISSONNAT</v>
      </c>
      <c r="I841" s="407" t="str">
        <f t="shared" ref="I841" si="2970">D90</f>
        <v>Guillaume</v>
      </c>
      <c r="J841" s="407" t="str">
        <f>E277</f>
        <v>Doctorat Chimie moleculaire- Université Paris VI</v>
      </c>
      <c r="K841" s="407" t="str">
        <f>D277</f>
        <v>Ingénieur Recherche</v>
      </c>
      <c r="L841" s="349"/>
      <c r="M841" s="349"/>
      <c r="N841" s="349"/>
      <c r="O841" s="349" t="s">
        <v>770</v>
      </c>
      <c r="P841" s="349"/>
      <c r="Q841" s="349"/>
      <c r="R841" s="349"/>
      <c r="S841" s="349"/>
      <c r="T841" s="349"/>
    </row>
    <row r="842" spans="1:20" s="111" customFormat="1" ht="24.75" thickBot="1" x14ac:dyDescent="0.3">
      <c r="A842" s="111" t="s">
        <v>813</v>
      </c>
      <c r="B842" s="362">
        <f>B277</f>
        <v>5</v>
      </c>
      <c r="C842" s="404" t="str">
        <f>C277</f>
        <v>BOISSONNAT Guillaume</v>
      </c>
      <c r="D842" s="405">
        <f t="shared" ref="D842" si="2971">R277</f>
        <v>118.72911717220083</v>
      </c>
      <c r="E842" s="406">
        <f t="shared" ref="E842" si="2972">S277</f>
        <v>651.58800000000019</v>
      </c>
      <c r="F842" s="405">
        <f t="shared" ref="F842" si="2973">T277</f>
        <v>77362.468000000023</v>
      </c>
      <c r="G842" s="413"/>
      <c r="H842" s="404" t="str">
        <f t="shared" ref="H842" si="2974">C90</f>
        <v>BOISSONNAT</v>
      </c>
      <c r="I842" s="407" t="str">
        <f t="shared" ref="I842" si="2975">D90</f>
        <v>Guillaume</v>
      </c>
      <c r="J842" s="407" t="str">
        <f>E277</f>
        <v>Doctorat Chimie moleculaire- Université Paris VI</v>
      </c>
      <c r="K842" s="407" t="str">
        <f>D277</f>
        <v>Ingénieur Recherche</v>
      </c>
      <c r="L842" s="349"/>
      <c r="M842" s="349"/>
      <c r="N842" s="349"/>
      <c r="O842" s="349" t="s">
        <v>770</v>
      </c>
      <c r="P842" s="349"/>
      <c r="Q842" s="349"/>
      <c r="R842" s="349"/>
      <c r="S842" s="349"/>
      <c r="T842" s="349"/>
    </row>
    <row r="843" spans="1:20" s="111" customFormat="1" ht="24.75" thickBot="1" x14ac:dyDescent="0.3">
      <c r="A843" s="111" t="s">
        <v>813</v>
      </c>
      <c r="B843" s="362">
        <f>B277</f>
        <v>5</v>
      </c>
      <c r="C843" s="404" t="str">
        <f>C277</f>
        <v>BOISSONNAT Guillaume</v>
      </c>
      <c r="D843" s="405">
        <f t="shared" ref="D843" si="2976">R277</f>
        <v>118.72911717220083</v>
      </c>
      <c r="E843" s="406">
        <f t="shared" ref="E843" si="2977">S277</f>
        <v>651.58800000000019</v>
      </c>
      <c r="F843" s="405">
        <f t="shared" ref="F843" si="2978">T277</f>
        <v>77362.468000000023</v>
      </c>
      <c r="G843" s="413"/>
      <c r="H843" s="404" t="str">
        <f t="shared" ref="H843" si="2979">C90</f>
        <v>BOISSONNAT</v>
      </c>
      <c r="I843" s="407" t="str">
        <f t="shared" ref="I843" si="2980">D90</f>
        <v>Guillaume</v>
      </c>
      <c r="J843" s="407" t="str">
        <f>E277</f>
        <v>Doctorat Chimie moleculaire- Université Paris VI</v>
      </c>
      <c r="K843" s="407" t="str">
        <f>D277</f>
        <v>Ingénieur Recherche</v>
      </c>
      <c r="L843" s="349"/>
      <c r="M843" s="349"/>
      <c r="N843" s="349"/>
      <c r="O843" s="349" t="s">
        <v>770</v>
      </c>
      <c r="P843" s="349"/>
      <c r="Q843" s="349"/>
      <c r="R843" s="349"/>
      <c r="S843" s="349"/>
      <c r="T843" s="349"/>
    </row>
    <row r="844" spans="1:20" s="111" customFormat="1" ht="24.75" thickBot="1" x14ac:dyDescent="0.3">
      <c r="A844" s="111" t="s">
        <v>813</v>
      </c>
      <c r="B844" s="362">
        <f>B277</f>
        <v>5</v>
      </c>
      <c r="C844" s="404" t="str">
        <f>C277</f>
        <v>BOISSONNAT Guillaume</v>
      </c>
      <c r="D844" s="405">
        <f t="shared" ref="D844" si="2981">R277</f>
        <v>118.72911717220083</v>
      </c>
      <c r="E844" s="406">
        <f t="shared" ref="E844" si="2982">S277</f>
        <v>651.58800000000019</v>
      </c>
      <c r="F844" s="405">
        <f t="shared" ref="F844" si="2983">T277</f>
        <v>77362.468000000023</v>
      </c>
      <c r="G844" s="413"/>
      <c r="H844" s="404" t="str">
        <f t="shared" ref="H844" si="2984">C90</f>
        <v>BOISSONNAT</v>
      </c>
      <c r="I844" s="407" t="str">
        <f t="shared" ref="I844" si="2985">D90</f>
        <v>Guillaume</v>
      </c>
      <c r="J844" s="407" t="str">
        <f>E277</f>
        <v>Doctorat Chimie moleculaire- Université Paris VI</v>
      </c>
      <c r="K844" s="407" t="str">
        <f>D277</f>
        <v>Ingénieur Recherche</v>
      </c>
      <c r="L844" s="349"/>
      <c r="M844" s="349"/>
      <c r="N844" s="349"/>
      <c r="O844" s="349" t="s">
        <v>770</v>
      </c>
      <c r="P844" s="349"/>
      <c r="Q844" s="349"/>
      <c r="R844" s="349"/>
      <c r="S844" s="349"/>
      <c r="T844" s="349"/>
    </row>
    <row r="845" spans="1:20" s="111" customFormat="1" ht="24.75" thickBot="1" x14ac:dyDescent="0.3">
      <c r="A845" s="111" t="s">
        <v>813</v>
      </c>
      <c r="B845" s="362">
        <f>B277</f>
        <v>5</v>
      </c>
      <c r="C845" s="404" t="str">
        <f>C277</f>
        <v>BOISSONNAT Guillaume</v>
      </c>
      <c r="D845" s="405">
        <f t="shared" ref="D845" si="2986">R277</f>
        <v>118.72911717220083</v>
      </c>
      <c r="E845" s="406">
        <f t="shared" ref="E845" si="2987">S277</f>
        <v>651.58800000000019</v>
      </c>
      <c r="F845" s="405">
        <f t="shared" ref="F845" si="2988">T277</f>
        <v>77362.468000000023</v>
      </c>
      <c r="G845" s="413"/>
      <c r="H845" s="404" t="str">
        <f t="shared" ref="H845" si="2989">C90</f>
        <v>BOISSONNAT</v>
      </c>
      <c r="I845" s="407" t="str">
        <f t="shared" ref="I845" si="2990">D90</f>
        <v>Guillaume</v>
      </c>
      <c r="J845" s="407" t="str">
        <f>E277</f>
        <v>Doctorat Chimie moleculaire- Université Paris VI</v>
      </c>
      <c r="K845" s="407" t="str">
        <f>D277</f>
        <v>Ingénieur Recherche</v>
      </c>
      <c r="L845" s="349"/>
      <c r="M845" s="349"/>
      <c r="N845" s="349"/>
      <c r="O845" s="349" t="s">
        <v>770</v>
      </c>
      <c r="P845" s="349"/>
      <c r="Q845" s="349"/>
      <c r="R845" s="349"/>
      <c r="S845" s="349"/>
      <c r="T845" s="349"/>
    </row>
    <row r="846" spans="1:20" s="111" customFormat="1" ht="24.75" thickBot="1" x14ac:dyDescent="0.3">
      <c r="A846" s="111" t="s">
        <v>813</v>
      </c>
      <c r="B846" s="362">
        <f>B277</f>
        <v>5</v>
      </c>
      <c r="C846" s="404" t="str">
        <f>C277</f>
        <v>BOISSONNAT Guillaume</v>
      </c>
      <c r="D846" s="405">
        <f t="shared" ref="D846" si="2991">R277</f>
        <v>118.72911717220083</v>
      </c>
      <c r="E846" s="406">
        <f t="shared" ref="E846" si="2992">S277</f>
        <v>651.58800000000019</v>
      </c>
      <c r="F846" s="405">
        <f t="shared" ref="F846" si="2993">T277</f>
        <v>77362.468000000023</v>
      </c>
      <c r="G846" s="413"/>
      <c r="H846" s="404" t="str">
        <f t="shared" ref="H846" si="2994">C90</f>
        <v>BOISSONNAT</v>
      </c>
      <c r="I846" s="407" t="str">
        <f t="shared" ref="I846" si="2995">D90</f>
        <v>Guillaume</v>
      </c>
      <c r="J846" s="407" t="str">
        <f>E277</f>
        <v>Doctorat Chimie moleculaire- Université Paris VI</v>
      </c>
      <c r="K846" s="407" t="str">
        <f>D277</f>
        <v>Ingénieur Recherche</v>
      </c>
      <c r="L846" s="349"/>
      <c r="M846" s="349"/>
      <c r="N846" s="349"/>
      <c r="O846" s="349" t="s">
        <v>770</v>
      </c>
      <c r="P846" s="349"/>
      <c r="Q846" s="349"/>
      <c r="R846" s="349"/>
      <c r="S846" s="349"/>
      <c r="T846" s="349"/>
    </row>
    <row r="847" spans="1:20" s="111" customFormat="1" ht="24.75" thickBot="1" x14ac:dyDescent="0.3">
      <c r="A847" s="111" t="s">
        <v>813</v>
      </c>
      <c r="B847" s="362">
        <f>B277</f>
        <v>5</v>
      </c>
      <c r="C847" s="404" t="str">
        <f>C277</f>
        <v>BOISSONNAT Guillaume</v>
      </c>
      <c r="D847" s="405">
        <f t="shared" ref="D847" si="2996">R277</f>
        <v>118.72911717220083</v>
      </c>
      <c r="E847" s="406">
        <f t="shared" ref="E847" si="2997">S277</f>
        <v>651.58800000000019</v>
      </c>
      <c r="F847" s="405">
        <f t="shared" ref="F847" si="2998">T277</f>
        <v>77362.468000000023</v>
      </c>
      <c r="G847" s="413"/>
      <c r="H847" s="404" t="str">
        <f t="shared" ref="H847" si="2999">C90</f>
        <v>BOISSONNAT</v>
      </c>
      <c r="I847" s="407" t="str">
        <f t="shared" ref="I847" si="3000">D90</f>
        <v>Guillaume</v>
      </c>
      <c r="J847" s="407" t="str">
        <f>E277</f>
        <v>Doctorat Chimie moleculaire- Université Paris VI</v>
      </c>
      <c r="K847" s="407" t="str">
        <f>D277</f>
        <v>Ingénieur Recherche</v>
      </c>
      <c r="L847" s="349"/>
      <c r="M847" s="349"/>
      <c r="N847" s="349"/>
      <c r="O847" s="349" t="s">
        <v>770</v>
      </c>
      <c r="P847" s="349"/>
      <c r="Q847" s="349"/>
      <c r="R847" s="349"/>
      <c r="S847" s="349"/>
      <c r="T847" s="349"/>
    </row>
    <row r="848" spans="1:20" s="111" customFormat="1" ht="24.75" thickBot="1" x14ac:dyDescent="0.3">
      <c r="A848" s="111" t="s">
        <v>813</v>
      </c>
      <c r="B848" s="362">
        <f>B277</f>
        <v>5</v>
      </c>
      <c r="C848" s="404" t="str">
        <f>C277</f>
        <v>BOISSONNAT Guillaume</v>
      </c>
      <c r="D848" s="405">
        <f t="shared" ref="D848" si="3001">R277</f>
        <v>118.72911717220083</v>
      </c>
      <c r="E848" s="406">
        <f t="shared" ref="E848" si="3002">S277</f>
        <v>651.58800000000019</v>
      </c>
      <c r="F848" s="405">
        <f t="shared" ref="F848" si="3003">T277</f>
        <v>77362.468000000023</v>
      </c>
      <c r="G848" s="413"/>
      <c r="H848" s="404" t="str">
        <f t="shared" ref="H848" si="3004">C90</f>
        <v>BOISSONNAT</v>
      </c>
      <c r="I848" s="407" t="str">
        <f t="shared" ref="I848" si="3005">D90</f>
        <v>Guillaume</v>
      </c>
      <c r="J848" s="407" t="str">
        <f>E277</f>
        <v>Doctorat Chimie moleculaire- Université Paris VI</v>
      </c>
      <c r="K848" s="407" t="str">
        <f>D277</f>
        <v>Ingénieur Recherche</v>
      </c>
      <c r="L848" s="349"/>
      <c r="M848" s="349"/>
      <c r="N848" s="349"/>
      <c r="O848" s="349" t="s">
        <v>770</v>
      </c>
      <c r="P848" s="349"/>
      <c r="Q848" s="349"/>
      <c r="R848" s="349"/>
      <c r="S848" s="349"/>
      <c r="T848" s="349"/>
    </row>
    <row r="849" spans="1:20" s="111" customFormat="1" ht="24.75" thickBot="1" x14ac:dyDescent="0.3">
      <c r="A849" s="111" t="s">
        <v>813</v>
      </c>
      <c r="B849" s="362">
        <f>B277</f>
        <v>5</v>
      </c>
      <c r="C849" s="404" t="str">
        <f>C277</f>
        <v>BOISSONNAT Guillaume</v>
      </c>
      <c r="D849" s="405">
        <f t="shared" ref="D849" si="3006">R277</f>
        <v>118.72911717220083</v>
      </c>
      <c r="E849" s="406">
        <f t="shared" ref="E849" si="3007">S277</f>
        <v>651.58800000000019</v>
      </c>
      <c r="F849" s="405">
        <f t="shared" ref="F849" si="3008">T277</f>
        <v>77362.468000000023</v>
      </c>
      <c r="G849" s="413"/>
      <c r="H849" s="404" t="str">
        <f t="shared" ref="H849" si="3009">C90</f>
        <v>BOISSONNAT</v>
      </c>
      <c r="I849" s="407" t="str">
        <f t="shared" ref="I849" si="3010">D90</f>
        <v>Guillaume</v>
      </c>
      <c r="J849" s="407" t="str">
        <f>E277</f>
        <v>Doctorat Chimie moleculaire- Université Paris VI</v>
      </c>
      <c r="K849" s="407" t="str">
        <f>D277</f>
        <v>Ingénieur Recherche</v>
      </c>
      <c r="L849" s="349"/>
      <c r="M849" s="349"/>
      <c r="N849" s="349"/>
      <c r="O849" s="349" t="s">
        <v>770</v>
      </c>
      <c r="P849" s="349"/>
      <c r="Q849" s="349"/>
      <c r="R849" s="349"/>
      <c r="S849" s="349"/>
      <c r="T849" s="349"/>
    </row>
    <row r="850" spans="1:20" s="111" customFormat="1" ht="24.75" thickBot="1" x14ac:dyDescent="0.3">
      <c r="A850" s="111" t="s">
        <v>813</v>
      </c>
      <c r="B850" s="362">
        <f>B277</f>
        <v>5</v>
      </c>
      <c r="C850" s="404" t="str">
        <f>C277</f>
        <v>BOISSONNAT Guillaume</v>
      </c>
      <c r="D850" s="405">
        <f t="shared" ref="D850" si="3011">R277</f>
        <v>118.72911717220083</v>
      </c>
      <c r="E850" s="406">
        <f t="shared" ref="E850" si="3012">S277</f>
        <v>651.58800000000019</v>
      </c>
      <c r="F850" s="405">
        <f t="shared" ref="F850" si="3013">T277</f>
        <v>77362.468000000023</v>
      </c>
      <c r="G850" s="413"/>
      <c r="H850" s="404" t="str">
        <f t="shared" ref="H850" si="3014">C90</f>
        <v>BOISSONNAT</v>
      </c>
      <c r="I850" s="407" t="str">
        <f t="shared" ref="I850" si="3015">D90</f>
        <v>Guillaume</v>
      </c>
      <c r="J850" s="407" t="str">
        <f>E277</f>
        <v>Doctorat Chimie moleculaire- Université Paris VI</v>
      </c>
      <c r="K850" s="407" t="str">
        <f>D277</f>
        <v>Ingénieur Recherche</v>
      </c>
      <c r="L850" s="349"/>
      <c r="M850" s="349"/>
      <c r="N850" s="349"/>
      <c r="O850" s="349" t="s">
        <v>770</v>
      </c>
      <c r="P850" s="349"/>
      <c r="Q850" s="349"/>
      <c r="R850" s="349"/>
      <c r="S850" s="349"/>
      <c r="T850" s="349"/>
    </row>
    <row r="851" spans="1:20" s="111" customFormat="1" ht="24.75" thickBot="1" x14ac:dyDescent="0.3">
      <c r="A851" s="111" t="s">
        <v>813</v>
      </c>
      <c r="B851" s="362">
        <f>B277</f>
        <v>5</v>
      </c>
      <c r="C851" s="404" t="str">
        <f>C277</f>
        <v>BOISSONNAT Guillaume</v>
      </c>
      <c r="D851" s="405">
        <f t="shared" ref="D851" si="3016">R277</f>
        <v>118.72911717220083</v>
      </c>
      <c r="E851" s="406">
        <f t="shared" ref="E851" si="3017">S277</f>
        <v>651.58800000000019</v>
      </c>
      <c r="F851" s="405">
        <f t="shared" ref="F851" si="3018">T277</f>
        <v>77362.468000000023</v>
      </c>
      <c r="G851" s="413"/>
      <c r="H851" s="404" t="str">
        <f t="shared" ref="H851" si="3019">C90</f>
        <v>BOISSONNAT</v>
      </c>
      <c r="I851" s="407" t="str">
        <f t="shared" ref="I851" si="3020">D90</f>
        <v>Guillaume</v>
      </c>
      <c r="J851" s="407" t="str">
        <f>E277</f>
        <v>Doctorat Chimie moleculaire- Université Paris VI</v>
      </c>
      <c r="K851" s="407" t="str">
        <f>D277</f>
        <v>Ingénieur Recherche</v>
      </c>
      <c r="L851" s="349"/>
      <c r="M851" s="349"/>
      <c r="N851" s="349"/>
      <c r="O851" s="349" t="s">
        <v>770</v>
      </c>
      <c r="P851" s="349"/>
      <c r="Q851" s="349"/>
      <c r="R851" s="349"/>
      <c r="S851" s="349"/>
      <c r="T851" s="349"/>
    </row>
    <row r="852" spans="1:20" s="111" customFormat="1" ht="24.75" thickBot="1" x14ac:dyDescent="0.3">
      <c r="A852" s="111" t="s">
        <v>813</v>
      </c>
      <c r="B852" s="362">
        <f>B277</f>
        <v>5</v>
      </c>
      <c r="C852" s="404" t="str">
        <f>C277</f>
        <v>BOISSONNAT Guillaume</v>
      </c>
      <c r="D852" s="405">
        <f t="shared" ref="D852" si="3021">R277</f>
        <v>118.72911717220083</v>
      </c>
      <c r="E852" s="406">
        <f t="shared" ref="E852" si="3022">S277</f>
        <v>651.58800000000019</v>
      </c>
      <c r="F852" s="405">
        <f t="shared" ref="F852" si="3023">T277</f>
        <v>77362.468000000023</v>
      </c>
      <c r="G852" s="413"/>
      <c r="H852" s="404" t="str">
        <f t="shared" ref="H852" si="3024">C90</f>
        <v>BOISSONNAT</v>
      </c>
      <c r="I852" s="407" t="str">
        <f t="shared" ref="I852" si="3025">D90</f>
        <v>Guillaume</v>
      </c>
      <c r="J852" s="407" t="str">
        <f>E277</f>
        <v>Doctorat Chimie moleculaire- Université Paris VI</v>
      </c>
      <c r="K852" s="407" t="str">
        <f>D277</f>
        <v>Ingénieur Recherche</v>
      </c>
      <c r="L852" s="349"/>
      <c r="M852" s="349"/>
      <c r="N852" s="349"/>
      <c r="O852" s="349" t="s">
        <v>770</v>
      </c>
      <c r="P852" s="349"/>
      <c r="Q852" s="349"/>
      <c r="R852" s="349"/>
      <c r="S852" s="349"/>
      <c r="T852" s="349"/>
    </row>
    <row r="853" spans="1:20" s="111" customFormat="1" ht="24.75" thickBot="1" x14ac:dyDescent="0.3">
      <c r="A853" s="111" t="s">
        <v>813</v>
      </c>
      <c r="B853" s="362">
        <f>B277</f>
        <v>5</v>
      </c>
      <c r="C853" s="404" t="str">
        <f>C277</f>
        <v>BOISSONNAT Guillaume</v>
      </c>
      <c r="D853" s="405">
        <f t="shared" ref="D853" si="3026">R277</f>
        <v>118.72911717220083</v>
      </c>
      <c r="E853" s="406">
        <f t="shared" ref="E853" si="3027">S277</f>
        <v>651.58800000000019</v>
      </c>
      <c r="F853" s="405">
        <f t="shared" ref="F853" si="3028">T277</f>
        <v>77362.468000000023</v>
      </c>
      <c r="G853" s="413"/>
      <c r="H853" s="404" t="str">
        <f t="shared" ref="H853" si="3029">C90</f>
        <v>BOISSONNAT</v>
      </c>
      <c r="I853" s="407" t="str">
        <f t="shared" ref="I853" si="3030">D90</f>
        <v>Guillaume</v>
      </c>
      <c r="J853" s="407" t="str">
        <f>E277</f>
        <v>Doctorat Chimie moleculaire- Université Paris VI</v>
      </c>
      <c r="K853" s="407" t="str">
        <f>D277</f>
        <v>Ingénieur Recherche</v>
      </c>
      <c r="L853" s="349"/>
      <c r="M853" s="349"/>
      <c r="N853" s="349"/>
      <c r="O853" s="349" t="s">
        <v>770</v>
      </c>
      <c r="P853" s="349"/>
      <c r="Q853" s="349"/>
      <c r="R853" s="349"/>
      <c r="S853" s="349"/>
      <c r="T853" s="349"/>
    </row>
    <row r="854" spans="1:20" s="111" customFormat="1" ht="24.75" thickBot="1" x14ac:dyDescent="0.3">
      <c r="A854" s="111" t="s">
        <v>813</v>
      </c>
      <c r="B854" s="362">
        <f>B277</f>
        <v>5</v>
      </c>
      <c r="C854" s="404" t="str">
        <f>C277</f>
        <v>BOISSONNAT Guillaume</v>
      </c>
      <c r="D854" s="405">
        <f t="shared" ref="D854" si="3031">R277</f>
        <v>118.72911717220083</v>
      </c>
      <c r="E854" s="406">
        <f t="shared" ref="E854" si="3032">S277</f>
        <v>651.58800000000019</v>
      </c>
      <c r="F854" s="405">
        <f t="shared" ref="F854" si="3033">T277</f>
        <v>77362.468000000023</v>
      </c>
      <c r="G854" s="413"/>
      <c r="H854" s="404" t="str">
        <f t="shared" ref="H854" si="3034">C90</f>
        <v>BOISSONNAT</v>
      </c>
      <c r="I854" s="407" t="str">
        <f t="shared" ref="I854" si="3035">D90</f>
        <v>Guillaume</v>
      </c>
      <c r="J854" s="407" t="str">
        <f>E277</f>
        <v>Doctorat Chimie moleculaire- Université Paris VI</v>
      </c>
      <c r="K854" s="407" t="str">
        <f>D277</f>
        <v>Ingénieur Recherche</v>
      </c>
      <c r="L854" s="349"/>
      <c r="M854" s="349"/>
      <c r="N854" s="349"/>
      <c r="O854" s="349" t="s">
        <v>770</v>
      </c>
      <c r="P854" s="349"/>
      <c r="Q854" s="349"/>
      <c r="R854" s="349"/>
      <c r="S854" s="349"/>
      <c r="T854" s="349"/>
    </row>
    <row r="855" spans="1:20" s="111" customFormat="1" ht="24.75" thickBot="1" x14ac:dyDescent="0.3">
      <c r="A855" s="111" t="s">
        <v>813</v>
      </c>
      <c r="B855" s="362">
        <f>B277</f>
        <v>5</v>
      </c>
      <c r="C855" s="404" t="str">
        <f>C277</f>
        <v>BOISSONNAT Guillaume</v>
      </c>
      <c r="D855" s="405">
        <f t="shared" ref="D855" si="3036">R277</f>
        <v>118.72911717220083</v>
      </c>
      <c r="E855" s="406">
        <f t="shared" ref="E855" si="3037">S277</f>
        <v>651.58800000000019</v>
      </c>
      <c r="F855" s="405">
        <f t="shared" ref="F855" si="3038">T277</f>
        <v>77362.468000000023</v>
      </c>
      <c r="G855" s="413"/>
      <c r="H855" s="404" t="str">
        <f t="shared" ref="H855" si="3039">C90</f>
        <v>BOISSONNAT</v>
      </c>
      <c r="I855" s="407" t="str">
        <f t="shared" ref="I855" si="3040">D90</f>
        <v>Guillaume</v>
      </c>
      <c r="J855" s="407" t="str">
        <f>E277</f>
        <v>Doctorat Chimie moleculaire- Université Paris VI</v>
      </c>
      <c r="K855" s="407" t="str">
        <f>D277</f>
        <v>Ingénieur Recherche</v>
      </c>
      <c r="L855" s="349"/>
      <c r="M855" s="349"/>
      <c r="N855" s="349"/>
      <c r="O855" s="349" t="s">
        <v>770</v>
      </c>
      <c r="P855" s="349"/>
      <c r="Q855" s="349"/>
      <c r="R855" s="349"/>
      <c r="S855" s="349"/>
      <c r="T855" s="349"/>
    </row>
    <row r="856" spans="1:20" s="111" customFormat="1" ht="24.75" thickBot="1" x14ac:dyDescent="0.3">
      <c r="A856" s="111" t="s">
        <v>813</v>
      </c>
      <c r="B856" s="362">
        <f>B277</f>
        <v>5</v>
      </c>
      <c r="C856" s="404" t="str">
        <f>C277</f>
        <v>BOISSONNAT Guillaume</v>
      </c>
      <c r="D856" s="405">
        <f t="shared" ref="D856" si="3041">R277</f>
        <v>118.72911717220083</v>
      </c>
      <c r="E856" s="406">
        <f t="shared" ref="E856" si="3042">S277</f>
        <v>651.58800000000019</v>
      </c>
      <c r="F856" s="405">
        <f t="shared" ref="F856" si="3043">T277</f>
        <v>77362.468000000023</v>
      </c>
      <c r="G856" s="413"/>
      <c r="H856" s="404" t="str">
        <f t="shared" ref="H856" si="3044">C90</f>
        <v>BOISSONNAT</v>
      </c>
      <c r="I856" s="407" t="str">
        <f t="shared" ref="I856" si="3045">D90</f>
        <v>Guillaume</v>
      </c>
      <c r="J856" s="407" t="str">
        <f>E277</f>
        <v>Doctorat Chimie moleculaire- Université Paris VI</v>
      </c>
      <c r="K856" s="407" t="str">
        <f>D277</f>
        <v>Ingénieur Recherche</v>
      </c>
      <c r="L856" s="349"/>
      <c r="M856" s="349"/>
      <c r="N856" s="349"/>
      <c r="O856" s="349" t="s">
        <v>770</v>
      </c>
      <c r="P856" s="349"/>
      <c r="Q856" s="349"/>
      <c r="R856" s="349"/>
      <c r="S856" s="349"/>
      <c r="T856" s="349"/>
    </row>
    <row r="857" spans="1:20" s="111" customFormat="1" ht="24.75" thickBot="1" x14ac:dyDescent="0.3">
      <c r="A857" s="111" t="s">
        <v>813</v>
      </c>
      <c r="B857" s="362">
        <f>B277</f>
        <v>5</v>
      </c>
      <c r="C857" s="404" t="str">
        <f>C277</f>
        <v>BOISSONNAT Guillaume</v>
      </c>
      <c r="D857" s="405">
        <f t="shared" ref="D857" si="3046">R277</f>
        <v>118.72911717220083</v>
      </c>
      <c r="E857" s="406">
        <f t="shared" ref="E857" si="3047">S277</f>
        <v>651.58800000000019</v>
      </c>
      <c r="F857" s="405">
        <f t="shared" ref="F857" si="3048">T277</f>
        <v>77362.468000000023</v>
      </c>
      <c r="G857" s="413"/>
      <c r="H857" s="404" t="str">
        <f t="shared" ref="H857" si="3049">C90</f>
        <v>BOISSONNAT</v>
      </c>
      <c r="I857" s="407" t="str">
        <f t="shared" ref="I857" si="3050">D90</f>
        <v>Guillaume</v>
      </c>
      <c r="J857" s="407" t="str">
        <f>E277</f>
        <v>Doctorat Chimie moleculaire- Université Paris VI</v>
      </c>
      <c r="K857" s="407" t="str">
        <f>D277</f>
        <v>Ingénieur Recherche</v>
      </c>
      <c r="L857" s="349"/>
      <c r="M857" s="349"/>
      <c r="N857" s="349"/>
      <c r="O857" s="349" t="s">
        <v>770</v>
      </c>
      <c r="P857" s="349"/>
      <c r="Q857" s="349"/>
      <c r="R857" s="349"/>
      <c r="S857" s="349"/>
      <c r="T857" s="349"/>
    </row>
    <row r="858" spans="1:20" s="111" customFormat="1" ht="24.75" thickBot="1" x14ac:dyDescent="0.3">
      <c r="A858" s="111" t="s">
        <v>813</v>
      </c>
      <c r="B858" s="362">
        <f>B277</f>
        <v>5</v>
      </c>
      <c r="C858" s="404" t="str">
        <f>C277</f>
        <v>BOISSONNAT Guillaume</v>
      </c>
      <c r="D858" s="405">
        <f t="shared" ref="D858" si="3051">R277</f>
        <v>118.72911717220083</v>
      </c>
      <c r="E858" s="406">
        <f t="shared" ref="E858" si="3052">S277</f>
        <v>651.58800000000019</v>
      </c>
      <c r="F858" s="405">
        <f t="shared" ref="F858" si="3053">T277</f>
        <v>77362.468000000023</v>
      </c>
      <c r="G858" s="413"/>
      <c r="H858" s="404" t="str">
        <f t="shared" ref="H858" si="3054">C90</f>
        <v>BOISSONNAT</v>
      </c>
      <c r="I858" s="407" t="str">
        <f t="shared" ref="I858" si="3055">D90</f>
        <v>Guillaume</v>
      </c>
      <c r="J858" s="407" t="str">
        <f>E277</f>
        <v>Doctorat Chimie moleculaire- Université Paris VI</v>
      </c>
      <c r="K858" s="407" t="str">
        <f>D277</f>
        <v>Ingénieur Recherche</v>
      </c>
      <c r="L858" s="349"/>
      <c r="M858" s="349"/>
      <c r="N858" s="349"/>
      <c r="O858" s="349" t="s">
        <v>770</v>
      </c>
      <c r="P858" s="349"/>
      <c r="Q858" s="349"/>
      <c r="R858" s="349"/>
      <c r="S858" s="349"/>
      <c r="T858" s="349"/>
    </row>
    <row r="859" spans="1:20" s="111" customFormat="1" ht="24.75" thickBot="1" x14ac:dyDescent="0.3">
      <c r="A859" s="111" t="s">
        <v>813</v>
      </c>
      <c r="B859" s="362">
        <f>B277</f>
        <v>5</v>
      </c>
      <c r="C859" s="404" t="str">
        <f>C277</f>
        <v>BOISSONNAT Guillaume</v>
      </c>
      <c r="D859" s="405">
        <f t="shared" ref="D859" si="3056">R277</f>
        <v>118.72911717220083</v>
      </c>
      <c r="E859" s="406">
        <f t="shared" ref="E859" si="3057">S277</f>
        <v>651.58800000000019</v>
      </c>
      <c r="F859" s="405">
        <f t="shared" ref="F859" si="3058">T277</f>
        <v>77362.468000000023</v>
      </c>
      <c r="G859" s="413"/>
      <c r="H859" s="404" t="str">
        <f t="shared" ref="H859" si="3059">C90</f>
        <v>BOISSONNAT</v>
      </c>
      <c r="I859" s="407" t="str">
        <f t="shared" ref="I859" si="3060">D90</f>
        <v>Guillaume</v>
      </c>
      <c r="J859" s="407" t="str">
        <f>E277</f>
        <v>Doctorat Chimie moleculaire- Université Paris VI</v>
      </c>
      <c r="K859" s="407" t="str">
        <f>D277</f>
        <v>Ingénieur Recherche</v>
      </c>
      <c r="L859" s="349"/>
      <c r="M859" s="349"/>
      <c r="N859" s="349"/>
      <c r="O859" s="349" t="s">
        <v>770</v>
      </c>
      <c r="P859" s="349"/>
      <c r="Q859" s="349"/>
      <c r="R859" s="349"/>
      <c r="S859" s="349"/>
      <c r="T859" s="349"/>
    </row>
    <row r="860" spans="1:20" s="111" customFormat="1" ht="24.75" thickBot="1" x14ac:dyDescent="0.3">
      <c r="A860" s="111" t="s">
        <v>813</v>
      </c>
      <c r="B860" s="362">
        <f>B277</f>
        <v>5</v>
      </c>
      <c r="C860" s="404" t="str">
        <f>C277</f>
        <v>BOISSONNAT Guillaume</v>
      </c>
      <c r="D860" s="405">
        <f t="shared" ref="D860" si="3061">R277</f>
        <v>118.72911717220083</v>
      </c>
      <c r="E860" s="406">
        <f t="shared" ref="E860" si="3062">S277</f>
        <v>651.58800000000019</v>
      </c>
      <c r="F860" s="405">
        <f t="shared" ref="F860" si="3063">T277</f>
        <v>77362.468000000023</v>
      </c>
      <c r="G860" s="413"/>
      <c r="H860" s="404" t="str">
        <f t="shared" ref="H860" si="3064">C90</f>
        <v>BOISSONNAT</v>
      </c>
      <c r="I860" s="407" t="str">
        <f t="shared" ref="I860" si="3065">D90</f>
        <v>Guillaume</v>
      </c>
      <c r="J860" s="407" t="str">
        <f>E277</f>
        <v>Doctorat Chimie moleculaire- Université Paris VI</v>
      </c>
      <c r="K860" s="407" t="str">
        <f>D277</f>
        <v>Ingénieur Recherche</v>
      </c>
      <c r="L860" s="349"/>
      <c r="M860" s="349"/>
      <c r="N860" s="349"/>
      <c r="O860" s="349" t="s">
        <v>770</v>
      </c>
      <c r="P860" s="349"/>
      <c r="Q860" s="349"/>
      <c r="R860" s="349"/>
      <c r="S860" s="349"/>
      <c r="T860" s="349"/>
    </row>
    <row r="861" spans="1:20" s="111" customFormat="1" ht="24.75" thickBot="1" x14ac:dyDescent="0.3">
      <c r="A861" s="111" t="s">
        <v>813</v>
      </c>
      <c r="B861" s="362">
        <f>B277</f>
        <v>5</v>
      </c>
      <c r="C861" s="404" t="str">
        <f>C277</f>
        <v>BOISSONNAT Guillaume</v>
      </c>
      <c r="D861" s="405">
        <f t="shared" ref="D861" si="3066">R277</f>
        <v>118.72911717220083</v>
      </c>
      <c r="E861" s="406">
        <f t="shared" ref="E861" si="3067">S277</f>
        <v>651.58800000000019</v>
      </c>
      <c r="F861" s="405">
        <f t="shared" ref="F861" si="3068">T277</f>
        <v>77362.468000000023</v>
      </c>
      <c r="G861" s="413"/>
      <c r="H861" s="404" t="str">
        <f t="shared" ref="H861" si="3069">C90</f>
        <v>BOISSONNAT</v>
      </c>
      <c r="I861" s="407" t="str">
        <f t="shared" ref="I861" si="3070">D90</f>
        <v>Guillaume</v>
      </c>
      <c r="J861" s="407" t="str">
        <f>E277</f>
        <v>Doctorat Chimie moleculaire- Université Paris VI</v>
      </c>
      <c r="K861" s="407" t="str">
        <f>D277</f>
        <v>Ingénieur Recherche</v>
      </c>
      <c r="L861" s="349"/>
      <c r="M861" s="349"/>
      <c r="N861" s="349"/>
      <c r="O861" s="349" t="s">
        <v>770</v>
      </c>
      <c r="P861" s="349"/>
      <c r="Q861" s="349"/>
      <c r="R861" s="349"/>
      <c r="S861" s="349"/>
      <c r="T861" s="349"/>
    </row>
    <row r="862" spans="1:20" s="111" customFormat="1" ht="24.75" thickBot="1" x14ac:dyDescent="0.3">
      <c r="A862" s="111" t="s">
        <v>813</v>
      </c>
      <c r="B862" s="362">
        <f>B277</f>
        <v>5</v>
      </c>
      <c r="C862" s="404" t="str">
        <f>C277</f>
        <v>BOISSONNAT Guillaume</v>
      </c>
      <c r="D862" s="405">
        <f t="shared" ref="D862" si="3071">R277</f>
        <v>118.72911717220083</v>
      </c>
      <c r="E862" s="406">
        <f t="shared" ref="E862" si="3072">S277</f>
        <v>651.58800000000019</v>
      </c>
      <c r="F862" s="405">
        <f t="shared" ref="F862" si="3073">T277</f>
        <v>77362.468000000023</v>
      </c>
      <c r="G862" s="413"/>
      <c r="H862" s="404" t="str">
        <f t="shared" ref="H862" si="3074">C90</f>
        <v>BOISSONNAT</v>
      </c>
      <c r="I862" s="407" t="str">
        <f t="shared" ref="I862" si="3075">D90</f>
        <v>Guillaume</v>
      </c>
      <c r="J862" s="407" t="str">
        <f>E277</f>
        <v>Doctorat Chimie moleculaire- Université Paris VI</v>
      </c>
      <c r="K862" s="407" t="str">
        <f>D277</f>
        <v>Ingénieur Recherche</v>
      </c>
      <c r="L862" s="349"/>
      <c r="M862" s="349"/>
      <c r="N862" s="349"/>
      <c r="O862" s="349" t="s">
        <v>770</v>
      </c>
      <c r="P862" s="349"/>
      <c r="Q862" s="349"/>
      <c r="R862" s="349"/>
      <c r="S862" s="349"/>
      <c r="T862" s="349"/>
    </row>
    <row r="863" spans="1:20" s="111" customFormat="1" ht="24.75" thickBot="1" x14ac:dyDescent="0.3">
      <c r="A863" s="111" t="s">
        <v>813</v>
      </c>
      <c r="B863" s="362">
        <f>B277</f>
        <v>5</v>
      </c>
      <c r="C863" s="404" t="str">
        <f>C277</f>
        <v>BOISSONNAT Guillaume</v>
      </c>
      <c r="D863" s="405">
        <f t="shared" ref="D863" si="3076">R277</f>
        <v>118.72911717220083</v>
      </c>
      <c r="E863" s="406">
        <f t="shared" ref="E863" si="3077">S277</f>
        <v>651.58800000000019</v>
      </c>
      <c r="F863" s="405">
        <f t="shared" ref="F863" si="3078">T277</f>
        <v>77362.468000000023</v>
      </c>
      <c r="G863" s="413"/>
      <c r="H863" s="404" t="str">
        <f t="shared" ref="H863" si="3079">C90</f>
        <v>BOISSONNAT</v>
      </c>
      <c r="I863" s="407" t="str">
        <f t="shared" ref="I863" si="3080">D90</f>
        <v>Guillaume</v>
      </c>
      <c r="J863" s="407" t="str">
        <f>E277</f>
        <v>Doctorat Chimie moleculaire- Université Paris VI</v>
      </c>
      <c r="K863" s="407" t="str">
        <f>D277</f>
        <v>Ingénieur Recherche</v>
      </c>
      <c r="L863" s="349"/>
      <c r="M863" s="349"/>
      <c r="N863" s="349"/>
      <c r="O863" s="349" t="s">
        <v>770</v>
      </c>
      <c r="P863" s="349"/>
      <c r="Q863" s="349"/>
      <c r="R863" s="349"/>
      <c r="S863" s="349"/>
      <c r="T863" s="349"/>
    </row>
    <row r="864" spans="1:20" s="111" customFormat="1" ht="24.75" thickBot="1" x14ac:dyDescent="0.3">
      <c r="A864" s="111" t="s">
        <v>813</v>
      </c>
      <c r="B864" s="362">
        <f>B277</f>
        <v>5</v>
      </c>
      <c r="C864" s="404" t="str">
        <f>C277</f>
        <v>BOISSONNAT Guillaume</v>
      </c>
      <c r="D864" s="405">
        <f t="shared" ref="D864" si="3081">R277</f>
        <v>118.72911717220083</v>
      </c>
      <c r="E864" s="406">
        <f t="shared" ref="E864" si="3082">S277</f>
        <v>651.58800000000019</v>
      </c>
      <c r="F864" s="405">
        <f t="shared" ref="F864" si="3083">T277</f>
        <v>77362.468000000023</v>
      </c>
      <c r="G864" s="413"/>
      <c r="H864" s="404" t="str">
        <f t="shared" ref="H864" si="3084">C90</f>
        <v>BOISSONNAT</v>
      </c>
      <c r="I864" s="407" t="str">
        <f t="shared" ref="I864" si="3085">D90</f>
        <v>Guillaume</v>
      </c>
      <c r="J864" s="407" t="str">
        <f>E277</f>
        <v>Doctorat Chimie moleculaire- Université Paris VI</v>
      </c>
      <c r="K864" s="407" t="str">
        <f>D277</f>
        <v>Ingénieur Recherche</v>
      </c>
      <c r="L864" s="349"/>
      <c r="M864" s="349"/>
      <c r="N864" s="349"/>
      <c r="O864" s="349" t="s">
        <v>770</v>
      </c>
      <c r="P864" s="349"/>
      <c r="Q864" s="349"/>
      <c r="R864" s="349"/>
      <c r="S864" s="349"/>
      <c r="T864" s="349"/>
    </row>
    <row r="865" spans="1:20" s="111" customFormat="1" ht="24.75" thickBot="1" x14ac:dyDescent="0.3">
      <c r="A865" s="111" t="s">
        <v>813</v>
      </c>
      <c r="B865" s="362">
        <f>B277</f>
        <v>5</v>
      </c>
      <c r="C865" s="404" t="str">
        <f>C277</f>
        <v>BOISSONNAT Guillaume</v>
      </c>
      <c r="D865" s="405">
        <f t="shared" ref="D865" si="3086">R277</f>
        <v>118.72911717220083</v>
      </c>
      <c r="E865" s="406">
        <f t="shared" ref="E865" si="3087">S277</f>
        <v>651.58800000000019</v>
      </c>
      <c r="F865" s="405">
        <f t="shared" ref="F865" si="3088">T277</f>
        <v>77362.468000000023</v>
      </c>
      <c r="G865" s="413"/>
      <c r="H865" s="404" t="str">
        <f t="shared" ref="H865" si="3089">C90</f>
        <v>BOISSONNAT</v>
      </c>
      <c r="I865" s="407" t="str">
        <f t="shared" ref="I865" si="3090">D90</f>
        <v>Guillaume</v>
      </c>
      <c r="J865" s="407" t="str">
        <f>E277</f>
        <v>Doctorat Chimie moleculaire- Université Paris VI</v>
      </c>
      <c r="K865" s="407" t="str">
        <f>D277</f>
        <v>Ingénieur Recherche</v>
      </c>
      <c r="L865" s="349"/>
      <c r="M865" s="349"/>
      <c r="N865" s="349"/>
      <c r="O865" s="349" t="s">
        <v>770</v>
      </c>
      <c r="P865" s="349"/>
      <c r="Q865" s="349"/>
      <c r="R865" s="349"/>
      <c r="S865" s="349"/>
      <c r="T865" s="349"/>
    </row>
    <row r="866" spans="1:20" s="111" customFormat="1" ht="24.75" thickBot="1" x14ac:dyDescent="0.3">
      <c r="A866" s="111" t="s">
        <v>813</v>
      </c>
      <c r="B866" s="362">
        <f>B277</f>
        <v>5</v>
      </c>
      <c r="C866" s="404" t="str">
        <f>C277</f>
        <v>BOISSONNAT Guillaume</v>
      </c>
      <c r="D866" s="405">
        <f t="shared" ref="D866" si="3091">R277</f>
        <v>118.72911717220083</v>
      </c>
      <c r="E866" s="406">
        <f t="shared" ref="E866" si="3092">S277</f>
        <v>651.58800000000019</v>
      </c>
      <c r="F866" s="405">
        <f t="shared" ref="F866" si="3093">T277</f>
        <v>77362.468000000023</v>
      </c>
      <c r="G866" s="413"/>
      <c r="H866" s="404" t="str">
        <f t="shared" ref="H866" si="3094">C90</f>
        <v>BOISSONNAT</v>
      </c>
      <c r="I866" s="407" t="str">
        <f t="shared" ref="I866" si="3095">D90</f>
        <v>Guillaume</v>
      </c>
      <c r="J866" s="407" t="str">
        <f>E277</f>
        <v>Doctorat Chimie moleculaire- Université Paris VI</v>
      </c>
      <c r="K866" s="407" t="str">
        <f>D277</f>
        <v>Ingénieur Recherche</v>
      </c>
      <c r="L866" s="349"/>
      <c r="M866" s="349"/>
      <c r="N866" s="349"/>
      <c r="O866" s="349" t="s">
        <v>770</v>
      </c>
      <c r="P866" s="349"/>
      <c r="Q866" s="349"/>
      <c r="R866" s="349"/>
      <c r="S866" s="349"/>
      <c r="T866" s="349"/>
    </row>
    <row r="867" spans="1:20" s="111" customFormat="1" ht="24.75" thickBot="1" x14ac:dyDescent="0.3">
      <c r="A867" s="111" t="s">
        <v>813</v>
      </c>
      <c r="B867" s="362">
        <f>B277</f>
        <v>5</v>
      </c>
      <c r="C867" s="404" t="str">
        <f>C277</f>
        <v>BOISSONNAT Guillaume</v>
      </c>
      <c r="D867" s="405">
        <f t="shared" ref="D867" si="3096">R277</f>
        <v>118.72911717220083</v>
      </c>
      <c r="E867" s="406">
        <f t="shared" ref="E867" si="3097">S277</f>
        <v>651.58800000000019</v>
      </c>
      <c r="F867" s="405">
        <f t="shared" ref="F867" si="3098">T277</f>
        <v>77362.468000000023</v>
      </c>
      <c r="G867" s="413"/>
      <c r="H867" s="404" t="str">
        <f t="shared" ref="H867" si="3099">C90</f>
        <v>BOISSONNAT</v>
      </c>
      <c r="I867" s="407" t="str">
        <f t="shared" ref="I867" si="3100">D90</f>
        <v>Guillaume</v>
      </c>
      <c r="J867" s="407" t="str">
        <f>E277</f>
        <v>Doctorat Chimie moleculaire- Université Paris VI</v>
      </c>
      <c r="K867" s="407" t="str">
        <f>D277</f>
        <v>Ingénieur Recherche</v>
      </c>
      <c r="L867" s="349"/>
      <c r="M867" s="349"/>
      <c r="N867" s="349"/>
      <c r="O867" s="349" t="s">
        <v>770</v>
      </c>
      <c r="P867" s="349"/>
      <c r="Q867" s="349"/>
      <c r="R867" s="349"/>
      <c r="S867" s="349"/>
      <c r="T867" s="349"/>
    </row>
    <row r="868" spans="1:20" s="111" customFormat="1" ht="24.75" thickBot="1" x14ac:dyDescent="0.3">
      <c r="A868" s="111" t="s">
        <v>813</v>
      </c>
      <c r="B868" s="362">
        <f>B277</f>
        <v>5</v>
      </c>
      <c r="C868" s="404" t="str">
        <f>C277</f>
        <v>BOISSONNAT Guillaume</v>
      </c>
      <c r="D868" s="405">
        <f t="shared" ref="D868" si="3101">R277</f>
        <v>118.72911717220083</v>
      </c>
      <c r="E868" s="406">
        <f t="shared" ref="E868" si="3102">S277</f>
        <v>651.58800000000019</v>
      </c>
      <c r="F868" s="405">
        <f t="shared" ref="F868" si="3103">T277</f>
        <v>77362.468000000023</v>
      </c>
      <c r="G868" s="413"/>
      <c r="H868" s="404" t="str">
        <f t="shared" ref="H868" si="3104">C90</f>
        <v>BOISSONNAT</v>
      </c>
      <c r="I868" s="407" t="str">
        <f t="shared" ref="I868" si="3105">D90</f>
        <v>Guillaume</v>
      </c>
      <c r="J868" s="407" t="str">
        <f>E277</f>
        <v>Doctorat Chimie moleculaire- Université Paris VI</v>
      </c>
      <c r="K868" s="407" t="str">
        <f>D277</f>
        <v>Ingénieur Recherche</v>
      </c>
      <c r="L868" s="349"/>
      <c r="M868" s="349"/>
      <c r="N868" s="349"/>
      <c r="O868" s="349" t="s">
        <v>770</v>
      </c>
      <c r="P868" s="349"/>
      <c r="Q868" s="349"/>
      <c r="R868" s="349"/>
      <c r="S868" s="349"/>
      <c r="T868" s="349"/>
    </row>
    <row r="869" spans="1:20" s="111" customFormat="1" ht="24.75" thickBot="1" x14ac:dyDescent="0.3">
      <c r="A869" s="111" t="s">
        <v>813</v>
      </c>
      <c r="B869" s="362">
        <f>B277</f>
        <v>5</v>
      </c>
      <c r="C869" s="404" t="str">
        <f>C277</f>
        <v>BOISSONNAT Guillaume</v>
      </c>
      <c r="D869" s="405">
        <f t="shared" ref="D869" si="3106">R277</f>
        <v>118.72911717220083</v>
      </c>
      <c r="E869" s="406">
        <f t="shared" ref="E869" si="3107">S277</f>
        <v>651.58800000000019</v>
      </c>
      <c r="F869" s="405">
        <f t="shared" ref="F869" si="3108">T277</f>
        <v>77362.468000000023</v>
      </c>
      <c r="G869" s="413"/>
      <c r="H869" s="404" t="str">
        <f t="shared" ref="H869" si="3109">C90</f>
        <v>BOISSONNAT</v>
      </c>
      <c r="I869" s="407" t="str">
        <f t="shared" ref="I869" si="3110">D90</f>
        <v>Guillaume</v>
      </c>
      <c r="J869" s="407" t="str">
        <f>E277</f>
        <v>Doctorat Chimie moleculaire- Université Paris VI</v>
      </c>
      <c r="K869" s="407" t="str">
        <f>D277</f>
        <v>Ingénieur Recherche</v>
      </c>
      <c r="L869" s="349"/>
      <c r="M869" s="349"/>
      <c r="N869" s="349"/>
      <c r="O869" s="349" t="s">
        <v>770</v>
      </c>
      <c r="P869" s="349"/>
      <c r="Q869" s="349"/>
      <c r="R869" s="349"/>
      <c r="S869" s="349"/>
      <c r="T869" s="349"/>
    </row>
    <row r="870" spans="1:20" s="111" customFormat="1" ht="24.75" thickBot="1" x14ac:dyDescent="0.3">
      <c r="A870" s="111" t="s">
        <v>813</v>
      </c>
      <c r="B870" s="362">
        <f>B277</f>
        <v>5</v>
      </c>
      <c r="C870" s="404" t="str">
        <f>C277</f>
        <v>BOISSONNAT Guillaume</v>
      </c>
      <c r="D870" s="405">
        <f t="shared" ref="D870" si="3111">R277</f>
        <v>118.72911717220083</v>
      </c>
      <c r="E870" s="406">
        <f t="shared" ref="E870" si="3112">S277</f>
        <v>651.58800000000019</v>
      </c>
      <c r="F870" s="405">
        <f t="shared" ref="F870" si="3113">T277</f>
        <v>77362.468000000023</v>
      </c>
      <c r="G870" s="413"/>
      <c r="H870" s="404" t="str">
        <f t="shared" ref="H870" si="3114">C90</f>
        <v>BOISSONNAT</v>
      </c>
      <c r="I870" s="407" t="str">
        <f t="shared" ref="I870" si="3115">D90</f>
        <v>Guillaume</v>
      </c>
      <c r="J870" s="407" t="str">
        <f>E277</f>
        <v>Doctorat Chimie moleculaire- Université Paris VI</v>
      </c>
      <c r="K870" s="407" t="str">
        <f>D277</f>
        <v>Ingénieur Recherche</v>
      </c>
      <c r="L870" s="349"/>
      <c r="M870" s="349"/>
      <c r="N870" s="349"/>
      <c r="O870" s="349" t="s">
        <v>770</v>
      </c>
      <c r="P870" s="349"/>
      <c r="Q870" s="349"/>
      <c r="R870" s="349"/>
      <c r="S870" s="349"/>
      <c r="T870" s="349"/>
    </row>
    <row r="871" spans="1:20" s="111" customFormat="1" ht="24.75" thickBot="1" x14ac:dyDescent="0.3">
      <c r="A871" s="111" t="s">
        <v>813</v>
      </c>
      <c r="B871" s="362">
        <f>B277</f>
        <v>5</v>
      </c>
      <c r="C871" s="404" t="str">
        <f>C277</f>
        <v>BOISSONNAT Guillaume</v>
      </c>
      <c r="D871" s="405">
        <f t="shared" ref="D871" si="3116">R277</f>
        <v>118.72911717220083</v>
      </c>
      <c r="E871" s="406">
        <f t="shared" ref="E871" si="3117">S277</f>
        <v>651.58800000000019</v>
      </c>
      <c r="F871" s="405">
        <f t="shared" ref="F871" si="3118">T277</f>
        <v>77362.468000000023</v>
      </c>
      <c r="G871" s="413"/>
      <c r="H871" s="404" t="str">
        <f t="shared" ref="H871" si="3119">C90</f>
        <v>BOISSONNAT</v>
      </c>
      <c r="I871" s="407" t="str">
        <f t="shared" ref="I871" si="3120">D90</f>
        <v>Guillaume</v>
      </c>
      <c r="J871" s="407" t="str">
        <f>E277</f>
        <v>Doctorat Chimie moleculaire- Université Paris VI</v>
      </c>
      <c r="K871" s="407" t="str">
        <f>D277</f>
        <v>Ingénieur Recherche</v>
      </c>
      <c r="L871" s="349"/>
      <c r="M871" s="349"/>
      <c r="N871" s="349"/>
      <c r="O871" s="349" t="s">
        <v>770</v>
      </c>
      <c r="P871" s="349"/>
      <c r="Q871" s="349"/>
      <c r="R871" s="349"/>
      <c r="S871" s="349"/>
      <c r="T871" s="349"/>
    </row>
    <row r="872" spans="1:20" s="111" customFormat="1" ht="24.75" thickBot="1" x14ac:dyDescent="0.3">
      <c r="A872" s="111" t="s">
        <v>813</v>
      </c>
      <c r="B872" s="362">
        <f>B277</f>
        <v>5</v>
      </c>
      <c r="C872" s="404" t="str">
        <f>C277</f>
        <v>BOISSONNAT Guillaume</v>
      </c>
      <c r="D872" s="405">
        <f t="shared" ref="D872" si="3121">R277</f>
        <v>118.72911717220083</v>
      </c>
      <c r="E872" s="406">
        <f t="shared" ref="E872" si="3122">S277</f>
        <v>651.58800000000019</v>
      </c>
      <c r="F872" s="405">
        <f t="shared" ref="F872" si="3123">T277</f>
        <v>77362.468000000023</v>
      </c>
      <c r="G872" s="413"/>
      <c r="H872" s="404" t="str">
        <f t="shared" ref="H872" si="3124">C90</f>
        <v>BOISSONNAT</v>
      </c>
      <c r="I872" s="407" t="str">
        <f t="shared" ref="I872" si="3125">D90</f>
        <v>Guillaume</v>
      </c>
      <c r="J872" s="407" t="str">
        <f>E277</f>
        <v>Doctorat Chimie moleculaire- Université Paris VI</v>
      </c>
      <c r="K872" s="407" t="str">
        <f>D277</f>
        <v>Ingénieur Recherche</v>
      </c>
      <c r="L872" s="349"/>
      <c r="M872" s="349"/>
      <c r="N872" s="349"/>
      <c r="O872" s="349" t="s">
        <v>770</v>
      </c>
      <c r="P872" s="349"/>
      <c r="Q872" s="349"/>
      <c r="R872" s="349"/>
      <c r="S872" s="349"/>
      <c r="T872" s="349"/>
    </row>
    <row r="873" spans="1:20" s="111" customFormat="1" ht="24.75" thickBot="1" x14ac:dyDescent="0.3">
      <c r="A873" s="111" t="s">
        <v>813</v>
      </c>
      <c r="B873" s="362">
        <f>B277</f>
        <v>5</v>
      </c>
      <c r="C873" s="404" t="str">
        <f>C277</f>
        <v>BOISSONNAT Guillaume</v>
      </c>
      <c r="D873" s="405">
        <f t="shared" ref="D873" si="3126">R277</f>
        <v>118.72911717220083</v>
      </c>
      <c r="E873" s="406">
        <f t="shared" ref="E873" si="3127">S277</f>
        <v>651.58800000000019</v>
      </c>
      <c r="F873" s="405">
        <f t="shared" ref="F873" si="3128">T277</f>
        <v>77362.468000000023</v>
      </c>
      <c r="G873" s="413"/>
      <c r="H873" s="404" t="str">
        <f t="shared" ref="H873" si="3129">C90</f>
        <v>BOISSONNAT</v>
      </c>
      <c r="I873" s="407" t="str">
        <f t="shared" ref="I873" si="3130">D90</f>
        <v>Guillaume</v>
      </c>
      <c r="J873" s="407" t="str">
        <f>E277</f>
        <v>Doctorat Chimie moleculaire- Université Paris VI</v>
      </c>
      <c r="K873" s="407" t="str">
        <f>D277</f>
        <v>Ingénieur Recherche</v>
      </c>
      <c r="L873" s="349"/>
      <c r="M873" s="349"/>
      <c r="N873" s="349"/>
      <c r="O873" s="349" t="s">
        <v>770</v>
      </c>
      <c r="P873" s="349"/>
      <c r="Q873" s="349"/>
      <c r="R873" s="349"/>
      <c r="S873" s="349"/>
      <c r="T873" s="349"/>
    </row>
    <row r="874" spans="1:20" s="111" customFormat="1" ht="24.75" thickBot="1" x14ac:dyDescent="0.3">
      <c r="A874" s="111" t="s">
        <v>813</v>
      </c>
      <c r="B874" s="362">
        <f>B277</f>
        <v>5</v>
      </c>
      <c r="C874" s="404" t="str">
        <f>C277</f>
        <v>BOISSONNAT Guillaume</v>
      </c>
      <c r="D874" s="405">
        <f t="shared" ref="D874" si="3131">R277</f>
        <v>118.72911717220083</v>
      </c>
      <c r="E874" s="406">
        <f t="shared" ref="E874" si="3132">S277</f>
        <v>651.58800000000019</v>
      </c>
      <c r="F874" s="405">
        <f t="shared" ref="F874" si="3133">T277</f>
        <v>77362.468000000023</v>
      </c>
      <c r="G874" s="413"/>
      <c r="H874" s="404" t="str">
        <f t="shared" ref="H874" si="3134">C90</f>
        <v>BOISSONNAT</v>
      </c>
      <c r="I874" s="407" t="str">
        <f t="shared" ref="I874" si="3135">D90</f>
        <v>Guillaume</v>
      </c>
      <c r="J874" s="407" t="str">
        <f>E277</f>
        <v>Doctorat Chimie moleculaire- Université Paris VI</v>
      </c>
      <c r="K874" s="407" t="str">
        <f>D277</f>
        <v>Ingénieur Recherche</v>
      </c>
      <c r="L874" s="349"/>
      <c r="M874" s="349"/>
      <c r="N874" s="349"/>
      <c r="O874" s="349" t="s">
        <v>770</v>
      </c>
      <c r="P874" s="349"/>
      <c r="Q874" s="349"/>
      <c r="R874" s="349"/>
      <c r="S874" s="349"/>
      <c r="T874" s="349"/>
    </row>
    <row r="875" spans="1:20" s="111" customFormat="1" ht="24.75" thickBot="1" x14ac:dyDescent="0.3">
      <c r="A875" s="111" t="s">
        <v>813</v>
      </c>
      <c r="B875" s="362">
        <f>B277</f>
        <v>5</v>
      </c>
      <c r="C875" s="404" t="str">
        <f>C277</f>
        <v>BOISSONNAT Guillaume</v>
      </c>
      <c r="D875" s="405">
        <f t="shared" ref="D875" si="3136">R277</f>
        <v>118.72911717220083</v>
      </c>
      <c r="E875" s="406">
        <f t="shared" ref="E875" si="3137">S277</f>
        <v>651.58800000000019</v>
      </c>
      <c r="F875" s="405">
        <f t="shared" ref="F875" si="3138">T277</f>
        <v>77362.468000000023</v>
      </c>
      <c r="G875" s="413"/>
      <c r="H875" s="404" t="str">
        <f t="shared" ref="H875" si="3139">C90</f>
        <v>BOISSONNAT</v>
      </c>
      <c r="I875" s="407" t="str">
        <f t="shared" ref="I875" si="3140">D90</f>
        <v>Guillaume</v>
      </c>
      <c r="J875" s="407" t="str">
        <f>E277</f>
        <v>Doctorat Chimie moleculaire- Université Paris VI</v>
      </c>
      <c r="K875" s="407" t="str">
        <f>D277</f>
        <v>Ingénieur Recherche</v>
      </c>
      <c r="L875" s="349"/>
      <c r="M875" s="349"/>
      <c r="N875" s="349"/>
      <c r="O875" s="349" t="s">
        <v>770</v>
      </c>
      <c r="P875" s="349"/>
      <c r="Q875" s="349"/>
      <c r="R875" s="349"/>
      <c r="S875" s="349"/>
      <c r="T875" s="349"/>
    </row>
    <row r="876" spans="1:20" s="111" customFormat="1" ht="24.75" thickBot="1" x14ac:dyDescent="0.3">
      <c r="B876" s="362">
        <f t="shared" ref="B876:C883" si="3141">B274</f>
        <v>1</v>
      </c>
      <c r="C876" s="404" t="str">
        <f t="shared" si="3141"/>
        <v>AMILLASTRE Emilie</v>
      </c>
      <c r="D876" s="405">
        <f t="shared" ref="D876:F883" si="3142">R274</f>
        <v>51.165673195193484</v>
      </c>
      <c r="E876" s="406">
        <f t="shared" si="3142"/>
        <v>1481.320000000002</v>
      </c>
      <c r="F876" s="405">
        <f t="shared" si="3142"/>
        <v>75792.735017504121</v>
      </c>
      <c r="G876" s="413"/>
      <c r="H876" s="404" t="str">
        <f t="shared" ref="H876:I883" si="3143">C87</f>
        <v>AMILLASTRE</v>
      </c>
      <c r="I876" s="407" t="str">
        <f t="shared" si="3143"/>
        <v>Emilie</v>
      </c>
      <c r="J876" s="407" t="str">
        <f t="shared" ref="J876:J883" si="3144">E274</f>
        <v>Doctorat - INSA Toulouse</v>
      </c>
      <c r="K876" s="407" t="str">
        <f t="shared" ref="K876:K883" si="3145">D274</f>
        <v>Experte Bioprocédés</v>
      </c>
    </row>
    <row r="877" spans="1:20" s="111" customFormat="1" ht="15.75" thickBot="1" x14ac:dyDescent="0.3">
      <c r="B877" s="362" t="e">
        <f t="shared" si="3141"/>
        <v>#REF!</v>
      </c>
      <c r="C877" s="404" t="e">
        <f t="shared" si="3141"/>
        <v>#REF!</v>
      </c>
      <c r="D877" s="405" t="e">
        <f t="shared" si="3142"/>
        <v>#REF!</v>
      </c>
      <c r="E877" s="406" t="e">
        <f t="shared" si="3142"/>
        <v>#REF!</v>
      </c>
      <c r="F877" s="405" t="e">
        <f t="shared" si="3142"/>
        <v>#REF!</v>
      </c>
      <c r="G877" s="413"/>
      <c r="H877" s="404" t="e">
        <f t="shared" si="3143"/>
        <v>#REF!</v>
      </c>
      <c r="I877" s="407" t="e">
        <f t="shared" si="3143"/>
        <v>#REF!</v>
      </c>
      <c r="J877" s="407" t="e">
        <f t="shared" si="3144"/>
        <v>#REF!</v>
      </c>
      <c r="K877" s="407" t="e">
        <f t="shared" si="3145"/>
        <v>#REF!</v>
      </c>
    </row>
    <row r="878" spans="1:20" s="111" customFormat="1" ht="24.75" thickBot="1" x14ac:dyDescent="0.3">
      <c r="B878" s="362">
        <f t="shared" si="3141"/>
        <v>4</v>
      </c>
      <c r="C878" s="404" t="str">
        <f t="shared" si="3141"/>
        <v>CREPIN Lucie</v>
      </c>
      <c r="D878" s="405">
        <f t="shared" si="3142"/>
        <v>57.512199042651993</v>
      </c>
      <c r="E878" s="406">
        <f t="shared" si="3142"/>
        <v>1531.4000000000026</v>
      </c>
      <c r="F878" s="405">
        <f t="shared" si="3142"/>
        <v>88074.181613917404</v>
      </c>
      <c r="G878" s="413"/>
      <c r="H878" s="404" t="str">
        <f t="shared" si="3143"/>
        <v>CREPIN</v>
      </c>
      <c r="I878" s="407" t="str">
        <f t="shared" si="3143"/>
        <v>Lucie</v>
      </c>
      <c r="J878" s="407" t="str">
        <f t="shared" si="3144"/>
        <v>Doctorat - Biotechnologie, microbilogie - Université Montpellier II</v>
      </c>
      <c r="K878" s="407" t="str">
        <f t="shared" si="3145"/>
        <v>Lead Scientist</v>
      </c>
    </row>
    <row r="879" spans="1:20" s="111" customFormat="1" ht="24.75" thickBot="1" x14ac:dyDescent="0.3">
      <c r="B879" s="362">
        <f t="shared" si="3141"/>
        <v>5</v>
      </c>
      <c r="C879" s="404" t="str">
        <f t="shared" si="3141"/>
        <v>BOISSONNAT Guillaume</v>
      </c>
      <c r="D879" s="405">
        <f t="shared" si="3142"/>
        <v>118.72911717220083</v>
      </c>
      <c r="E879" s="406">
        <f t="shared" si="3142"/>
        <v>651.58800000000019</v>
      </c>
      <c r="F879" s="405">
        <f t="shared" si="3142"/>
        <v>77362.468000000023</v>
      </c>
      <c r="G879" s="413"/>
      <c r="H879" s="404" t="str">
        <f t="shared" si="3143"/>
        <v>BOISSONNAT</v>
      </c>
      <c r="I879" s="407" t="str">
        <f t="shared" si="3143"/>
        <v>Guillaume</v>
      </c>
      <c r="J879" s="407" t="str">
        <f t="shared" si="3144"/>
        <v>Doctorat Chimie moleculaire- Université Paris VI</v>
      </c>
      <c r="K879" s="407" t="str">
        <f t="shared" si="3145"/>
        <v>Ingénieur Recherche</v>
      </c>
    </row>
    <row r="880" spans="1:20" s="111" customFormat="1" ht="24.75" thickBot="1" x14ac:dyDescent="0.3">
      <c r="B880" s="362">
        <f t="shared" si="3141"/>
        <v>6</v>
      </c>
      <c r="C880" s="404" t="str">
        <f t="shared" si="3141"/>
        <v>COTTET Kevin</v>
      </c>
      <c r="D880" s="405">
        <f t="shared" si="3142"/>
        <v>54.60758923955553</v>
      </c>
      <c r="E880" s="406">
        <f t="shared" si="3142"/>
        <v>1166.600000000002</v>
      </c>
      <c r="F880" s="405">
        <f t="shared" si="3142"/>
        <v>63705.213606865589</v>
      </c>
      <c r="G880" s="413"/>
      <c r="H880" s="404" t="str">
        <f t="shared" si="3143"/>
        <v>COTTET</v>
      </c>
      <c r="I880" s="407" t="str">
        <f t="shared" si="3143"/>
        <v>Kevin</v>
      </c>
      <c r="J880" s="407" t="str">
        <f t="shared" si="3144"/>
        <v>Doctorat - Pharmacognosie - Université Paris Descartes</v>
      </c>
      <c r="K880" s="407" t="str">
        <f t="shared" si="3145"/>
        <v>Lead Scientist</v>
      </c>
    </row>
    <row r="881" spans="2:11" s="111" customFormat="1" ht="24.75" thickBot="1" x14ac:dyDescent="0.3">
      <c r="B881" s="362">
        <f t="shared" si="3141"/>
        <v>7</v>
      </c>
      <c r="C881" s="404" t="str">
        <f t="shared" si="3141"/>
        <v>BLANCHARD-SLOOTMAN Vincent</v>
      </c>
      <c r="D881" s="405">
        <f t="shared" si="3142"/>
        <v>53.650335912298999</v>
      </c>
      <c r="E881" s="406">
        <f t="shared" si="3142"/>
        <v>1109.6000000000017</v>
      </c>
      <c r="F881" s="405">
        <f t="shared" si="3142"/>
        <v>59530.412728287061</v>
      </c>
      <c r="G881" s="413"/>
      <c r="H881" s="404" t="str">
        <f t="shared" si="3143"/>
        <v>BLANCHARD-SLOOTMAN</v>
      </c>
      <c r="I881" s="407" t="str">
        <f t="shared" si="3143"/>
        <v>Vincent</v>
      </c>
      <c r="J881" s="407" t="str">
        <f t="shared" si="3144"/>
        <v>Doctorat - Ecole Nationale supérieure de chimie de Montpellier</v>
      </c>
      <c r="K881" s="407" t="str">
        <f t="shared" si="3145"/>
        <v>Ingénieur de Recherche</v>
      </c>
    </row>
    <row r="882" spans="2:11" s="111" customFormat="1" ht="24.75" thickBot="1" x14ac:dyDescent="0.3">
      <c r="B882" s="362">
        <f t="shared" si="3141"/>
        <v>8</v>
      </c>
      <c r="C882" s="404" t="str">
        <f t="shared" si="3141"/>
        <v>GOMES-DA-CRUZ Filipe</v>
      </c>
      <c r="D882" s="405">
        <f t="shared" si="3142"/>
        <v>51.948673476711079</v>
      </c>
      <c r="E882" s="406">
        <f t="shared" si="3142"/>
        <v>1550.3999999999987</v>
      </c>
      <c r="F882" s="405">
        <f t="shared" si="3142"/>
        <v>80541.223358292787</v>
      </c>
      <c r="G882" s="413"/>
      <c r="H882" s="404" t="str">
        <f t="shared" si="3143"/>
        <v>GOMES-DA-CRUZ</v>
      </c>
      <c r="I882" s="407" t="str">
        <f t="shared" si="3143"/>
        <v>Filipe</v>
      </c>
      <c r="J882" s="407" t="str">
        <f t="shared" si="3144"/>
        <v>Doctorat - Chimie - Université Paris Saclay</v>
      </c>
      <c r="K882" s="407" t="str">
        <f t="shared" si="3145"/>
        <v>Ingénieur de Recherche</v>
      </c>
    </row>
    <row r="883" spans="2:11" s="111" customFormat="1" ht="24.75" thickBot="1" x14ac:dyDescent="0.3">
      <c r="B883" s="362">
        <f t="shared" si="3141"/>
        <v>11</v>
      </c>
      <c r="C883" s="404" t="str">
        <f t="shared" si="3141"/>
        <v>BAYLAC Audrey</v>
      </c>
      <c r="D883" s="405">
        <f t="shared" si="3142"/>
        <v>62.396478586785989</v>
      </c>
      <c r="E883" s="406">
        <f t="shared" si="3142"/>
        <v>1037.4000000000021</v>
      </c>
      <c r="F883" s="405">
        <f t="shared" si="3142"/>
        <v>64730.10688593192</v>
      </c>
      <c r="G883" s="413"/>
      <c r="H883" s="404" t="str">
        <f t="shared" si="3143"/>
        <v>BAYLAC</v>
      </c>
      <c r="I883" s="407" t="str">
        <f t="shared" si="3143"/>
        <v>Audrey</v>
      </c>
      <c r="J883" s="407" t="str">
        <f t="shared" si="3144"/>
        <v>Master Biochimie et biotechnologies - Université de Toulouse III</v>
      </c>
      <c r="K883" s="407" t="str">
        <f t="shared" si="3145"/>
        <v>Ingénieur</v>
      </c>
    </row>
    <row r="884" spans="2:11" s="111" customFormat="1" ht="15.75" thickBot="1" x14ac:dyDescent="0.3">
      <c r="B884" s="402"/>
      <c r="C884" s="410" t="s">
        <v>446</v>
      </c>
      <c r="D884" s="411"/>
      <c r="E884" s="408" t="e">
        <f>SUM(E293:E883)</f>
        <v>#REF!</v>
      </c>
      <c r="F884" s="409" t="e">
        <f>SUM(F293:F883)</f>
        <v>#REF!</v>
      </c>
      <c r="G884" s="413"/>
      <c r="H884" s="402"/>
      <c r="I884" s="402"/>
      <c r="J884" s="402"/>
      <c r="K884" s="402"/>
    </row>
    <row r="885" spans="2:11" s="111" customFormat="1" x14ac:dyDescent="0.25"/>
    <row r="886" spans="2:11" s="111" customFormat="1" ht="14.45" customHeight="1" x14ac:dyDescent="0.4">
      <c r="B886" s="426"/>
      <c r="C886" s="560" t="s">
        <v>681</v>
      </c>
      <c r="D886" s="560"/>
      <c r="E886" s="560"/>
      <c r="F886" s="560"/>
      <c r="G886" s="560"/>
    </row>
    <row r="887" spans="2:11" s="111" customFormat="1" ht="14.45" customHeight="1" x14ac:dyDescent="0.4">
      <c r="B887" s="426"/>
      <c r="C887" s="560"/>
      <c r="D887" s="560"/>
      <c r="E887" s="560"/>
      <c r="F887" s="560"/>
      <c r="G887" s="560"/>
    </row>
    <row r="888" spans="2:11" s="111" customFormat="1" ht="15.75" thickBot="1" x14ac:dyDescent="0.3"/>
    <row r="889" spans="2:11" s="111" customFormat="1" ht="36.75" thickBot="1" x14ac:dyDescent="0.3">
      <c r="B889" s="367" t="s">
        <v>383</v>
      </c>
      <c r="C889" s="367" t="s">
        <v>384</v>
      </c>
      <c r="D889" s="367" t="s">
        <v>385</v>
      </c>
      <c r="E889" s="367" t="s">
        <v>386</v>
      </c>
      <c r="F889" s="367" t="s">
        <v>686</v>
      </c>
      <c r="G889" s="367" t="s">
        <v>687</v>
      </c>
    </row>
    <row r="890" spans="2:11" s="111" customFormat="1" ht="15.75" thickBot="1" x14ac:dyDescent="0.3">
      <c r="B890" s="362" t="str">
        <f>VALO_AMO!I4</f>
        <v>Dell Lattitude 3420 Core i5</v>
      </c>
      <c r="C890" s="363" t="str">
        <f>VALO_AMO!J4</f>
        <v>26/04/2022</v>
      </c>
      <c r="D890" s="364">
        <f>VALO_AMO!K4</f>
        <v>902.99</v>
      </c>
      <c r="E890" s="365" t="str">
        <f>VALO_AMO!L4</f>
        <v>36</v>
      </c>
      <c r="F890" s="366">
        <f>VALO_AMO!O4</f>
        <v>0.78676026857458303</v>
      </c>
      <c r="G890" s="366">
        <f>VALO_AMO!W4</f>
        <v>75.646999823446151</v>
      </c>
    </row>
    <row r="891" spans="2:11" s="111" customFormat="1" ht="15.75" thickBot="1" x14ac:dyDescent="0.3">
      <c r="B891" s="362" t="str">
        <f>VALO_AMO!I5</f>
        <v>PC Portable</v>
      </c>
      <c r="C891" s="363" t="str">
        <f>VALO_AMO!J5</f>
        <v>15/01/2023</v>
      </c>
      <c r="D891" s="364">
        <f>VALO_AMO!K5</f>
        <v>574.16999999999996</v>
      </c>
      <c r="E891" s="365" t="str">
        <f>VALO_AMO!L5</f>
        <v>36</v>
      </c>
      <c r="F891" s="366">
        <f>VALO_AMO!O5</f>
        <v>0.78676026857458303</v>
      </c>
      <c r="G891" s="366">
        <f>VALO_AMO!W5</f>
        <v>150.56298999770914</v>
      </c>
    </row>
    <row r="892" spans="2:11" s="111" customFormat="1" ht="24.75" thickBot="1" x14ac:dyDescent="0.3">
      <c r="B892" s="362" t="str">
        <f>VALO_AMO!I6</f>
        <v>BACK MARKET 5 ordi pour les no</v>
      </c>
      <c r="C892" s="363" t="str">
        <f>VALO_AMO!J6</f>
        <v>27/09/2023</v>
      </c>
      <c r="D892" s="364">
        <f>VALO_AMO!K6</f>
        <v>1295.45</v>
      </c>
      <c r="E892" s="365" t="str">
        <f>VALO_AMO!L6</f>
        <v>36</v>
      </c>
      <c r="F892" s="366">
        <f>VALO_AMO!O6</f>
        <v>0.78676026857458303</v>
      </c>
      <c r="G892" s="366">
        <f>VALO_AMO!W6</f>
        <v>339.70222302198368</v>
      </c>
    </row>
    <row r="893" spans="2:11" s="111" customFormat="1" ht="24.75" thickBot="1" x14ac:dyDescent="0.3">
      <c r="B893" s="362" t="str">
        <f>VALO_AMO!I7</f>
        <v>BACK MARKET HP Envy 14-EB1030N</v>
      </c>
      <c r="C893" s="363" t="str">
        <f>VALO_AMO!J7</f>
        <v>20/04/2023</v>
      </c>
      <c r="D893" s="364">
        <f>VALO_AMO!K7</f>
        <v>1805.99</v>
      </c>
      <c r="E893" s="365" t="str">
        <f>VALO_AMO!L7</f>
        <v>36</v>
      </c>
      <c r="F893" s="366">
        <f>VALO_AMO!O7</f>
        <v>0.78676026857458303</v>
      </c>
      <c r="G893" s="366">
        <f>VALO_AMO!W7</f>
        <v>473.57969644175563</v>
      </c>
    </row>
    <row r="894" spans="2:11" s="111" customFormat="1" ht="24.75" thickBot="1" x14ac:dyDescent="0.3">
      <c r="B894" s="362" t="str">
        <f>VALO_AMO!I8</f>
        <v>BACK MARKET DELL LATITUDE 5490</v>
      </c>
      <c r="C894" s="363" t="str">
        <f>VALO_AMO!J8</f>
        <v>18/12/2023</v>
      </c>
      <c r="D894" s="364">
        <f>VALO_AMO!K8</f>
        <v>449.23</v>
      </c>
      <c r="E894" s="365" t="str">
        <f>VALO_AMO!L8</f>
        <v>36</v>
      </c>
      <c r="F894" s="366">
        <f>VALO_AMO!O8</f>
        <v>0.78676026857458303</v>
      </c>
      <c r="G894" s="366">
        <f>VALO_AMO!W8</f>
        <v>117.80032394007158</v>
      </c>
    </row>
    <row r="895" spans="2:11" s="111" customFormat="1" ht="24.75" thickBot="1" x14ac:dyDescent="0.3">
      <c r="B895" s="362" t="str">
        <f>VALO_AMO!I9</f>
        <v>BACK MARKET DELL LATITUDE 5490</v>
      </c>
      <c r="C895" s="363" t="str">
        <f>VALO_AMO!J9</f>
        <v>18/12/2023</v>
      </c>
      <c r="D895" s="364">
        <f>VALO_AMO!K9</f>
        <v>449.23</v>
      </c>
      <c r="E895" s="365" t="str">
        <f>VALO_AMO!L9</f>
        <v>36</v>
      </c>
      <c r="F895" s="366">
        <f>VALO_AMO!O9</f>
        <v>0.78676026857458303</v>
      </c>
      <c r="G895" s="366">
        <f>VALO_AMO!W9</f>
        <v>117.80032394007158</v>
      </c>
    </row>
    <row r="896" spans="2:11" s="111" customFormat="1" ht="24.75" thickBot="1" x14ac:dyDescent="0.3">
      <c r="B896" s="362" t="str">
        <f>VALO_AMO!I10</f>
        <v>BACK MARKET DELL LATITUDE 5490</v>
      </c>
      <c r="C896" s="363" t="str">
        <f>VALO_AMO!J10</f>
        <v>18/12/2023</v>
      </c>
      <c r="D896" s="364">
        <f>VALO_AMO!K10</f>
        <v>449.24</v>
      </c>
      <c r="E896" s="365" t="str">
        <f>VALO_AMO!L10</f>
        <v>36</v>
      </c>
      <c r="F896" s="366">
        <f>VALO_AMO!O10</f>
        <v>0.78676026857458303</v>
      </c>
      <c r="G896" s="366">
        <f>VALO_AMO!W10</f>
        <v>117.80294621204676</v>
      </c>
    </row>
    <row r="897" spans="2:21" s="111" customFormat="1" ht="24.75" thickBot="1" x14ac:dyDescent="0.3">
      <c r="B897" s="362" t="str">
        <f>VALO_AMO!I11</f>
        <v>BACK MARKET Dell Latitude 5490</v>
      </c>
      <c r="C897" s="363" t="str">
        <f>VALO_AMO!J11</f>
        <v>27/03/2024</v>
      </c>
      <c r="D897" s="364">
        <f>VALO_AMO!K11</f>
        <v>1338.13</v>
      </c>
      <c r="E897" s="365" t="str">
        <f>VALO_AMO!L11</f>
        <v>60</v>
      </c>
      <c r="F897" s="366">
        <f>VALO_AMO!O11</f>
        <v>0.78676026857458303</v>
      </c>
      <c r="G897" s="366">
        <f>VALO_AMO!W11</f>
        <v>210.5575036375414</v>
      </c>
    </row>
    <row r="898" spans="2:21" s="111" customFormat="1" ht="15.75" thickBot="1" x14ac:dyDescent="0.3">
      <c r="B898" s="362" t="str">
        <f>VALO_AMO!I12</f>
        <v>Lenovo  ThinkBook 16 G6 IRL</v>
      </c>
      <c r="C898" s="363" t="str">
        <f>VALO_AMO!J12</f>
        <v>29/05/2024</v>
      </c>
      <c r="D898" s="364">
        <f>VALO_AMO!K12</f>
        <v>665.84</v>
      </c>
      <c r="E898" s="365" t="str">
        <f>VALO_AMO!L12</f>
        <v>60</v>
      </c>
      <c r="F898" s="366">
        <f>VALO_AMO!O12</f>
        <v>0.78676026857458303</v>
      </c>
      <c r="G898" s="366">
        <f>VALO_AMO!W12</f>
        <v>104.77129144554007</v>
      </c>
    </row>
    <row r="899" spans="2:21" s="111" customFormat="1" ht="15.75" thickBot="1" x14ac:dyDescent="0.3">
      <c r="B899" s="362" t="str">
        <f>VALO_AMO!I13</f>
        <v>Datacolor</v>
      </c>
      <c r="C899" s="363" t="str">
        <f>VALO_AMO!J13</f>
        <v>26/04/2019</v>
      </c>
      <c r="D899" s="364">
        <f>VALO_AMO!K13</f>
        <v>8100.4</v>
      </c>
      <c r="E899" s="365" t="str">
        <f>VALO_AMO!L13</f>
        <v>120</v>
      </c>
      <c r="F899" s="366">
        <f>VALO_AMO!O13</f>
        <v>1</v>
      </c>
      <c r="G899" s="366">
        <f>VALO_AMO!W13</f>
        <v>810.03999999999985</v>
      </c>
    </row>
    <row r="900" spans="2:21" s="111" customFormat="1" ht="24.75" thickBot="1" x14ac:dyDescent="0.3">
      <c r="B900" s="362" t="str">
        <f>VALO_AMO!I14</f>
        <v>PM 100 Broyeur 1218160114 N</v>
      </c>
      <c r="C900" s="363" t="str">
        <f>VALO_AMO!J14</f>
        <v>21/12/2020</v>
      </c>
      <c r="D900" s="364">
        <f>VALO_AMO!K14</f>
        <v>9908.3700000000008</v>
      </c>
      <c r="E900" s="365" t="str">
        <f>VALO_AMO!L14</f>
        <v>120</v>
      </c>
      <c r="F900" s="366">
        <f>VALO_AMO!O14</f>
        <v>1</v>
      </c>
      <c r="G900" s="366">
        <f>VALO_AMO!W14</f>
        <v>990.8370000000001</v>
      </c>
    </row>
    <row r="901" spans="2:21" s="111" customFormat="1" ht="24.75" thickBot="1" x14ac:dyDescent="0.3">
      <c r="B901" s="362" t="str">
        <f>VALO_AMO!I15</f>
        <v>Pilote Roussillon V2020 - 2022</v>
      </c>
      <c r="C901" s="363" t="str">
        <f>VALO_AMO!J15</f>
        <v>01/11/2022</v>
      </c>
      <c r="D901" s="364">
        <f>VALO_AMO!K15</f>
        <v>569271.62</v>
      </c>
      <c r="E901" s="365" t="str">
        <f>VALO_AMO!L15</f>
        <v>120</v>
      </c>
      <c r="F901" s="366">
        <f>VALO_AMO!O15</f>
        <v>1</v>
      </c>
      <c r="G901" s="366">
        <f>VALO_AMO!W15</f>
        <v>56927.162000000004</v>
      </c>
    </row>
    <row r="902" spans="2:21" s="111" customFormat="1" ht="24.75" thickBot="1" x14ac:dyDescent="0.3">
      <c r="B902" s="362" t="str">
        <f>VALO_AMO!I16</f>
        <v>MESTRELAB RESEARCH Licence</v>
      </c>
      <c r="C902" s="363" t="str">
        <f>VALO_AMO!J16</f>
        <v>15/11/2023</v>
      </c>
      <c r="D902" s="364">
        <f>VALO_AMO!K16</f>
        <v>9698.5</v>
      </c>
      <c r="E902" s="365" t="str">
        <f>VALO_AMO!L16</f>
        <v>36</v>
      </c>
      <c r="F902" s="366">
        <f>VALO_AMO!O16</f>
        <v>1</v>
      </c>
      <c r="G902" s="366">
        <f>VALO_AMO!W16</f>
        <v>3232.5100500000003</v>
      </c>
    </row>
    <row r="903" spans="2:21" s="111" customFormat="1" ht="15.75" thickBot="1" x14ac:dyDescent="0.3">
      <c r="B903" s="362" t="str">
        <f>VALO_AMO!I17</f>
        <v>Pilote Roussillon Ecart de DIE</v>
      </c>
      <c r="C903" s="363" t="str">
        <f>VALO_AMO!J17</f>
        <v>01/01/2023</v>
      </c>
      <c r="D903" s="364">
        <f>VALO_AMO!K17</f>
        <v>2503</v>
      </c>
      <c r="E903" s="365" t="str">
        <f>VALO_AMO!L17</f>
        <v>108</v>
      </c>
      <c r="F903" s="366">
        <f>VALO_AMO!O17</f>
        <v>1</v>
      </c>
      <c r="G903" s="366">
        <f>VALO_AMO!W17</f>
        <v>278.08330000000007</v>
      </c>
    </row>
    <row r="904" spans="2:21" s="111" customFormat="1" ht="15.75" thickBot="1" x14ac:dyDescent="0.3">
      <c r="B904" s="362" t="str">
        <f>VALO_AMO!I18</f>
        <v>Pilote Roussillon 2023</v>
      </c>
      <c r="C904" s="363" t="str">
        <f>VALO_AMO!J18</f>
        <v>31/12/2023</v>
      </c>
      <c r="D904" s="364">
        <f>VALO_AMO!K18</f>
        <v>580763</v>
      </c>
      <c r="E904" s="365" t="str">
        <f>VALO_AMO!L18</f>
        <v>120</v>
      </c>
      <c r="F904" s="366">
        <f>VALO_AMO!O18</f>
        <v>1</v>
      </c>
      <c r="G904" s="366">
        <f>VALO_AMO!W18</f>
        <v>58076.3</v>
      </c>
    </row>
    <row r="905" spans="2:21" s="111" customFormat="1" x14ac:dyDescent="0.25"/>
    <row r="906" spans="2:21" s="111" customFormat="1" ht="15.75" thickBot="1" x14ac:dyDescent="0.3"/>
    <row r="907" spans="2:21" s="111" customFormat="1" ht="24.75" thickBot="1" x14ac:dyDescent="0.3">
      <c r="B907" s="403" t="s">
        <v>771</v>
      </c>
      <c r="C907" s="403" t="s">
        <v>772</v>
      </c>
      <c r="D907" s="403" t="s">
        <v>773</v>
      </c>
      <c r="E907" s="403" t="s">
        <v>809</v>
      </c>
      <c r="F907" s="403" t="s">
        <v>774</v>
      </c>
      <c r="G907" s="403" t="s">
        <v>775</v>
      </c>
      <c r="H907" s="403" t="s">
        <v>392</v>
      </c>
      <c r="I907" s="403" t="s">
        <v>776</v>
      </c>
      <c r="J907" s="403" t="s">
        <v>777</v>
      </c>
      <c r="K907" s="403" t="s">
        <v>778</v>
      </c>
      <c r="L907" s="403" t="s">
        <v>779</v>
      </c>
      <c r="M907" s="403" t="s">
        <v>780</v>
      </c>
      <c r="N907" s="403" t="s">
        <v>781</v>
      </c>
      <c r="O907" s="403" t="s">
        <v>782</v>
      </c>
      <c r="P907" s="403" t="s">
        <v>783</v>
      </c>
      <c r="Q907" s="403" t="s">
        <v>784</v>
      </c>
      <c r="R907" s="403" t="s">
        <v>785</v>
      </c>
      <c r="S907" s="403" t="s">
        <v>786</v>
      </c>
      <c r="T907" s="403" t="s">
        <v>787</v>
      </c>
      <c r="U907" s="403" t="s">
        <v>788</v>
      </c>
    </row>
    <row r="908" spans="2:21" s="111" customFormat="1" ht="15.75" thickBot="1" x14ac:dyDescent="0.3">
      <c r="B908" s="389"/>
      <c r="C908" s="362">
        <f>VALO_AMO!G4</f>
        <v>18</v>
      </c>
      <c r="D908" s="362" t="str">
        <f>VALO_AMO!I4</f>
        <v>Dell Lattitude 3420 Core i5</v>
      </c>
      <c r="E908" s="362" t="e" cm="1">
        <f t="array" ref="E908">_xlfn.IFS(B908=205,"Concessions et droits similaires, brevets, licences, marques, procédés, logiciels, droits et valeurs similaires",B908=215,"Installations techniques et outillages industriels",B908=2183,"Matériel de bureau et matériel informatique",B908=2131,"Bâtiments",B908=612,"Redevance de crédit-bail")</f>
        <v>#N/A</v>
      </c>
      <c r="F908" s="363" t="str">
        <f>VALO_AMO!J4</f>
        <v>26/04/2022</v>
      </c>
      <c r="G908" s="363" t="str">
        <f t="shared" ref="G908:G916" si="3146">F908</f>
        <v>26/04/2022</v>
      </c>
      <c r="H908" s="362">
        <f>VALO_AMO!K4</f>
        <v>902.99</v>
      </c>
      <c r="I908" s="362" t="s">
        <v>789</v>
      </c>
      <c r="J908" s="362" t="str">
        <f>VALO_AMO!L4</f>
        <v>36</v>
      </c>
      <c r="K908" s="362"/>
      <c r="L908" s="362"/>
      <c r="M908" s="362"/>
      <c r="N908" s="362"/>
      <c r="O908" s="362"/>
      <c r="P908" s="362"/>
      <c r="Q908" s="362">
        <f>VALO_AMO!M4</f>
        <v>96.15</v>
      </c>
      <c r="R908" s="399">
        <f>VALO_AMO!O4</f>
        <v>0.78676026857458303</v>
      </c>
      <c r="S908" s="362">
        <f>VALO_AMO!W4</f>
        <v>75.646999823446151</v>
      </c>
      <c r="T908" s="362">
        <f t="shared" ref="T908:T916" si="3147">L908+Q908</f>
        <v>96.15</v>
      </c>
      <c r="U908" s="362">
        <f t="shared" ref="U908:U916" si="3148">H908-Q908-L908</f>
        <v>806.84</v>
      </c>
    </row>
    <row r="909" spans="2:21" s="111" customFormat="1" ht="15.75" thickBot="1" x14ac:dyDescent="0.3">
      <c r="B909" s="389"/>
      <c r="C909" s="362">
        <f>VALO_AMO!G5</f>
        <v>20</v>
      </c>
      <c r="D909" s="362" t="str">
        <f>VALO_AMO!I5</f>
        <v>PC Portable</v>
      </c>
      <c r="E909" s="362" t="e" cm="1">
        <f t="array" ref="E909">_xlfn.IFS(B909=205,"Concessions et droits similaires, brevets, licences, marques, procédés, logiciels, droits et valeurs similaires",B909=215,"Installations techniques et outillages industriels",B909=2183,"Matériel de bureau et matériel informatique",B909=2131,"Bâtiments",B909=612,"Redevance de crédit-bail")</f>
        <v>#N/A</v>
      </c>
      <c r="F909" s="363" t="str">
        <f>VALO_AMO!J5</f>
        <v>15/01/2023</v>
      </c>
      <c r="G909" s="363" t="str">
        <f t="shared" si="3146"/>
        <v>15/01/2023</v>
      </c>
      <c r="H909" s="362">
        <f>VALO_AMO!K5</f>
        <v>574.16999999999996</v>
      </c>
      <c r="I909" s="362" t="s">
        <v>789</v>
      </c>
      <c r="J909" s="362" t="str">
        <f>VALO_AMO!L5</f>
        <v>36</v>
      </c>
      <c r="K909" s="362"/>
      <c r="L909" s="362"/>
      <c r="M909" s="362"/>
      <c r="N909" s="362"/>
      <c r="O909" s="362"/>
      <c r="P909" s="362"/>
      <c r="Q909" s="362">
        <f>VALO_AMO!M5</f>
        <v>191.37086099999996</v>
      </c>
      <c r="R909" s="399">
        <f>VALO_AMO!O5</f>
        <v>0.78676026857458303</v>
      </c>
      <c r="S909" s="362">
        <f>VALO_AMO!W5</f>
        <v>150.56298999770914</v>
      </c>
      <c r="T909" s="362">
        <f t="shared" si="3147"/>
        <v>191.37086099999996</v>
      </c>
      <c r="U909" s="362">
        <f t="shared" si="3148"/>
        <v>382.79913899999997</v>
      </c>
    </row>
    <row r="910" spans="2:21" s="111" customFormat="1" ht="15.75" thickBot="1" x14ac:dyDescent="0.3">
      <c r="B910" s="389"/>
      <c r="C910" s="362">
        <f>VALO_AMO!G6</f>
        <v>22</v>
      </c>
      <c r="D910" s="362" t="str">
        <f>VALO_AMO!I6</f>
        <v>BACK MARKET 5 ordi pour les no</v>
      </c>
      <c r="E910" s="362" t="e" cm="1">
        <f t="array" ref="E910">_xlfn.IFS(B910=205,"Concessions et droits similaires, brevets, licences, marques, procédés, logiciels, droits et valeurs similaires",B910=215,"Installations techniques et outillages industriels",B910=2183,"Matériel de bureau et matériel informatique",B910=2131,"Bâtiments",B910=612,"Redevance de crédit-bail")</f>
        <v>#N/A</v>
      </c>
      <c r="F910" s="363" t="str">
        <f>VALO_AMO!J6</f>
        <v>27/09/2023</v>
      </c>
      <c r="G910" s="363" t="str">
        <f t="shared" si="3146"/>
        <v>27/09/2023</v>
      </c>
      <c r="H910" s="362">
        <f>VALO_AMO!K6</f>
        <v>1295.45</v>
      </c>
      <c r="I910" s="362" t="s">
        <v>789</v>
      </c>
      <c r="J910" s="362" t="str">
        <f>VALO_AMO!L6</f>
        <v>36</v>
      </c>
      <c r="K910" s="362"/>
      <c r="L910" s="362"/>
      <c r="M910" s="362"/>
      <c r="N910" s="362"/>
      <c r="O910" s="362"/>
      <c r="P910" s="362"/>
      <c r="Q910" s="362">
        <f>VALO_AMO!M6</f>
        <v>431.77348499999999</v>
      </c>
      <c r="R910" s="399">
        <f>VALO_AMO!O6</f>
        <v>0.78676026857458303</v>
      </c>
      <c r="S910" s="362">
        <f>VALO_AMO!W6</f>
        <v>339.70222302198368</v>
      </c>
      <c r="T910" s="362">
        <f t="shared" si="3147"/>
        <v>431.77348499999999</v>
      </c>
      <c r="U910" s="362">
        <f t="shared" si="3148"/>
        <v>863.67651500000011</v>
      </c>
    </row>
    <row r="911" spans="2:21" s="111" customFormat="1" ht="15.75" thickBot="1" x14ac:dyDescent="0.3">
      <c r="B911" s="389"/>
      <c r="C911" s="362">
        <f>VALO_AMO!G7</f>
        <v>23</v>
      </c>
      <c r="D911" s="362" t="str">
        <f>VALO_AMO!I7</f>
        <v>BACK MARKET HP Envy 14-EB1030N</v>
      </c>
      <c r="E911" s="362" t="e" cm="1">
        <f t="array" ref="E911">_xlfn.IFS(B911=205,"Concessions et droits similaires, brevets, licences, marques, procédés, logiciels, droits et valeurs similaires",B911=215,"Installations techniques et outillages industriels",B911=2183,"Matériel de bureau et matériel informatique",B911=2131,"Bâtiments",B911=612,"Redevance de crédit-bail")</f>
        <v>#N/A</v>
      </c>
      <c r="F911" s="363" t="str">
        <f>VALO_AMO!J7</f>
        <v>20/04/2023</v>
      </c>
      <c r="G911" s="363" t="str">
        <f t="shared" si="3146"/>
        <v>20/04/2023</v>
      </c>
      <c r="H911" s="362">
        <f>VALO_AMO!K7</f>
        <v>1805.99</v>
      </c>
      <c r="I911" s="362" t="s">
        <v>789</v>
      </c>
      <c r="J911" s="362" t="str">
        <f>VALO_AMO!L7</f>
        <v>36</v>
      </c>
      <c r="K911" s="362"/>
      <c r="L911" s="362"/>
      <c r="M911" s="362"/>
      <c r="N911" s="362"/>
      <c r="O911" s="362"/>
      <c r="P911" s="362"/>
      <c r="Q911" s="362">
        <f>VALO_AMO!M7</f>
        <v>601.93646699999999</v>
      </c>
      <c r="R911" s="399">
        <f>VALO_AMO!O7</f>
        <v>0.78676026857458303</v>
      </c>
      <c r="S911" s="362">
        <f>VALO_AMO!W7</f>
        <v>473.57969644175563</v>
      </c>
      <c r="T911" s="362">
        <f t="shared" si="3147"/>
        <v>601.93646699999999</v>
      </c>
      <c r="U911" s="362">
        <f t="shared" si="3148"/>
        <v>1204.053533</v>
      </c>
    </row>
    <row r="912" spans="2:21" s="111" customFormat="1" ht="15.75" thickBot="1" x14ac:dyDescent="0.3">
      <c r="B912" s="389"/>
      <c r="C912" s="362">
        <f>VALO_AMO!G8</f>
        <v>34</v>
      </c>
      <c r="D912" s="362" t="str">
        <f>VALO_AMO!I8</f>
        <v>BACK MARKET DELL LATITUDE 5490</v>
      </c>
      <c r="E912" s="362" t="e" cm="1">
        <f t="array" ref="E912">_xlfn.IFS(B912=205,"Concessions et droits similaires, brevets, licences, marques, procédés, logiciels, droits et valeurs similaires",B912=215,"Installations techniques et outillages industriels",B912=2183,"Matériel de bureau et matériel informatique",B912=2131,"Bâtiments",B912=612,"Redevance de crédit-bail")</f>
        <v>#N/A</v>
      </c>
      <c r="F912" s="363" t="str">
        <f>VALO_AMO!J8</f>
        <v>18/12/2023</v>
      </c>
      <c r="G912" s="363" t="str">
        <f t="shared" si="3146"/>
        <v>18/12/2023</v>
      </c>
      <c r="H912" s="362">
        <f>VALO_AMO!K8</f>
        <v>449.23</v>
      </c>
      <c r="I912" s="362" t="s">
        <v>789</v>
      </c>
      <c r="J912" s="362" t="str">
        <f>VALO_AMO!L8</f>
        <v>36</v>
      </c>
      <c r="K912" s="362"/>
      <c r="L912" s="362"/>
      <c r="M912" s="362"/>
      <c r="N912" s="362"/>
      <c r="O912" s="362"/>
      <c r="P912" s="362"/>
      <c r="Q912" s="362">
        <f>VALO_AMO!M8</f>
        <v>149.72835900000001</v>
      </c>
      <c r="R912" s="399">
        <f>VALO_AMO!O8</f>
        <v>0.78676026857458303</v>
      </c>
      <c r="S912" s="362">
        <f>VALO_AMO!W8</f>
        <v>117.80032394007158</v>
      </c>
      <c r="T912" s="362">
        <f t="shared" si="3147"/>
        <v>149.72835900000001</v>
      </c>
      <c r="U912" s="362">
        <f t="shared" si="3148"/>
        <v>299.50164100000001</v>
      </c>
    </row>
    <row r="913" spans="2:23" s="111" customFormat="1" ht="15.75" thickBot="1" x14ac:dyDescent="0.3">
      <c r="B913" s="389"/>
      <c r="C913" s="362">
        <f>VALO_AMO!G9</f>
        <v>35</v>
      </c>
      <c r="D913" s="362" t="str">
        <f>VALO_AMO!I9</f>
        <v>BACK MARKET DELL LATITUDE 5490</v>
      </c>
      <c r="E913" s="362" t="e" cm="1">
        <f t="array" ref="E913">_xlfn.IFS(B913=205,"Concessions et droits similaires, brevets, licences, marques, procédés, logiciels, droits et valeurs similaires",B913=215,"Installations techniques et outillages industriels",B913=2183,"Matériel de bureau et matériel informatique",B913=2131,"Bâtiments",B913=612,"Redevance de crédit-bail")</f>
        <v>#N/A</v>
      </c>
      <c r="F913" s="363" t="str">
        <f>VALO_AMO!J9</f>
        <v>18/12/2023</v>
      </c>
      <c r="G913" s="363" t="str">
        <f t="shared" si="3146"/>
        <v>18/12/2023</v>
      </c>
      <c r="H913" s="362">
        <f>VALO_AMO!K9</f>
        <v>449.23</v>
      </c>
      <c r="I913" s="362" t="s">
        <v>789</v>
      </c>
      <c r="J913" s="362" t="str">
        <f>VALO_AMO!L9</f>
        <v>36</v>
      </c>
      <c r="K913" s="362"/>
      <c r="L913" s="362"/>
      <c r="M913" s="362"/>
      <c r="N913" s="362"/>
      <c r="O913" s="362"/>
      <c r="P913" s="362"/>
      <c r="Q913" s="362">
        <f>VALO_AMO!M9</f>
        <v>149.72835900000001</v>
      </c>
      <c r="R913" s="399">
        <f>VALO_AMO!O9</f>
        <v>0.78676026857458303</v>
      </c>
      <c r="S913" s="362">
        <f>VALO_AMO!W9</f>
        <v>117.80032394007158</v>
      </c>
      <c r="T913" s="362">
        <f t="shared" si="3147"/>
        <v>149.72835900000001</v>
      </c>
      <c r="U913" s="362">
        <f t="shared" si="3148"/>
        <v>299.50164100000001</v>
      </c>
    </row>
    <row r="914" spans="2:23" s="111" customFormat="1" ht="15.75" thickBot="1" x14ac:dyDescent="0.3">
      <c r="B914" s="389"/>
      <c r="C914" s="362">
        <f>VALO_AMO!G10</f>
        <v>36</v>
      </c>
      <c r="D914" s="362" t="str">
        <f>VALO_AMO!I10</f>
        <v>BACK MARKET DELL LATITUDE 5490</v>
      </c>
      <c r="E914" s="362" t="e" cm="1">
        <f t="array" ref="E914">_xlfn.IFS(B914=205,"Concessions et droits similaires, brevets, licences, marques, procédés, logiciels, droits et valeurs similaires",B914=215,"Installations techniques et outillages industriels",B914=2183,"Matériel de bureau et matériel informatique",B914=2131,"Bâtiments",B914=612,"Redevance de crédit-bail")</f>
        <v>#N/A</v>
      </c>
      <c r="F914" s="363" t="str">
        <f>VALO_AMO!J10</f>
        <v>18/12/2023</v>
      </c>
      <c r="G914" s="363" t="str">
        <f t="shared" si="3146"/>
        <v>18/12/2023</v>
      </c>
      <c r="H914" s="362">
        <f>VALO_AMO!K10</f>
        <v>449.24</v>
      </c>
      <c r="I914" s="362" t="s">
        <v>789</v>
      </c>
      <c r="J914" s="362" t="str">
        <f>VALO_AMO!L10</f>
        <v>36</v>
      </c>
      <c r="K914" s="362"/>
      <c r="L914" s="362"/>
      <c r="M914" s="362"/>
      <c r="N914" s="362"/>
      <c r="O914" s="362"/>
      <c r="P914" s="362"/>
      <c r="Q914" s="362">
        <f>VALO_AMO!M10</f>
        <v>149.73169200000001</v>
      </c>
      <c r="R914" s="399">
        <f>VALO_AMO!O10</f>
        <v>0.78676026857458303</v>
      </c>
      <c r="S914" s="362">
        <f>VALO_AMO!W10</f>
        <v>117.80294621204676</v>
      </c>
      <c r="T914" s="362">
        <f t="shared" si="3147"/>
        <v>149.73169200000001</v>
      </c>
      <c r="U914" s="362">
        <f t="shared" si="3148"/>
        <v>299.508308</v>
      </c>
    </row>
    <row r="915" spans="2:23" s="111" customFormat="1" ht="15.75" thickBot="1" x14ac:dyDescent="0.3">
      <c r="B915" s="389"/>
      <c r="C915" s="362">
        <f>VALO_AMO!G11</f>
        <v>47</v>
      </c>
      <c r="D915" s="362" t="str">
        <f>VALO_AMO!I11</f>
        <v>BACK MARKET Dell Latitude 5490</v>
      </c>
      <c r="E915" s="362" t="e" cm="1">
        <f t="array" ref="E915">_xlfn.IFS(B915=205,"Concessions et droits similaires, brevets, licences, marques, procédés, logiciels, droits et valeurs similaires",B915=215,"Installations techniques et outillages industriels",B915=2183,"Matériel de bureau et matériel informatique",B915=2131,"Bâtiments",B915=612,"Redevance de crédit-bail")</f>
        <v>#N/A</v>
      </c>
      <c r="F915" s="363" t="str">
        <f>VALO_AMO!J11</f>
        <v>27/03/2024</v>
      </c>
      <c r="G915" s="363" t="str">
        <f t="shared" si="3146"/>
        <v>27/03/2024</v>
      </c>
      <c r="H915" s="362">
        <f>VALO_AMO!K11</f>
        <v>1338.13</v>
      </c>
      <c r="I915" s="362" t="s">
        <v>789</v>
      </c>
      <c r="J915" s="362" t="str">
        <f>VALO_AMO!L11</f>
        <v>60</v>
      </c>
      <c r="K915" s="362"/>
      <c r="L915" s="362"/>
      <c r="M915" s="362"/>
      <c r="N915" s="362"/>
      <c r="O915" s="362"/>
      <c r="P915" s="362"/>
      <c r="Q915" s="362">
        <f>VALO_AMO!M11</f>
        <v>267.62600000000003</v>
      </c>
      <c r="R915" s="399">
        <f>VALO_AMO!O11</f>
        <v>0.78676026857458303</v>
      </c>
      <c r="S915" s="362">
        <f>VALO_AMO!W11</f>
        <v>210.5575036375414</v>
      </c>
      <c r="T915" s="362">
        <f t="shared" si="3147"/>
        <v>267.62600000000003</v>
      </c>
      <c r="U915" s="362">
        <f t="shared" si="3148"/>
        <v>1070.5040000000001</v>
      </c>
    </row>
    <row r="916" spans="2:23" s="111" customFormat="1" ht="15.75" thickBot="1" x14ac:dyDescent="0.3">
      <c r="B916" s="389"/>
      <c r="C916" s="362">
        <f>VALO_AMO!G12</f>
        <v>54</v>
      </c>
      <c r="D916" s="362" t="str">
        <f>VALO_AMO!I12</f>
        <v>Lenovo  ThinkBook 16 G6 IRL</v>
      </c>
      <c r="E916" s="362" t="e" cm="1">
        <f t="array" ref="E916">_xlfn.IFS(B916=205,"Concessions et droits similaires, brevets, licences, marques, procédés, logiciels, droits et valeurs similaires",B916=215,"Installations techniques et outillages industriels",B916=2183,"Matériel de bureau et matériel informatique",B916=2131,"Bâtiments",B916=612,"Redevance de crédit-bail")</f>
        <v>#N/A</v>
      </c>
      <c r="F916" s="363" t="str">
        <f>VALO_AMO!J12</f>
        <v>29/05/2024</v>
      </c>
      <c r="G916" s="363" t="str">
        <f t="shared" si="3146"/>
        <v>29/05/2024</v>
      </c>
      <c r="H916" s="362">
        <f>VALO_AMO!K12</f>
        <v>665.84</v>
      </c>
      <c r="I916" s="362" t="s">
        <v>789</v>
      </c>
      <c r="J916" s="362" t="str">
        <f>VALO_AMO!L12</f>
        <v>60</v>
      </c>
      <c r="K916" s="362"/>
      <c r="L916" s="362"/>
      <c r="M916" s="362"/>
      <c r="N916" s="362"/>
      <c r="O916" s="362"/>
      <c r="P916" s="362"/>
      <c r="Q916" s="362">
        <f>VALO_AMO!M12</f>
        <v>133.16800000000001</v>
      </c>
      <c r="R916" s="399">
        <f>VALO_AMO!O12</f>
        <v>0.78676026857458303</v>
      </c>
      <c r="S916" s="362">
        <f>VALO_AMO!W12</f>
        <v>104.77129144554007</v>
      </c>
      <c r="T916" s="362">
        <f t="shared" si="3147"/>
        <v>133.16800000000001</v>
      </c>
      <c r="U916" s="362">
        <f t="shared" si="3148"/>
        <v>532.67200000000003</v>
      </c>
    </row>
    <row r="917" spans="2:23" s="111" customFormat="1" ht="24.75" thickBot="1" x14ac:dyDescent="0.3">
      <c r="B917" s="385" t="s">
        <v>790</v>
      </c>
      <c r="C917" s="390"/>
      <c r="D917" s="390"/>
      <c r="E917" s="390"/>
      <c r="F917" s="391"/>
      <c r="G917" s="390"/>
      <c r="H917" s="390"/>
      <c r="I917" s="390"/>
      <c r="J917" s="390"/>
      <c r="K917" s="390"/>
      <c r="L917" s="390"/>
      <c r="M917" s="390"/>
      <c r="N917" s="390"/>
      <c r="O917" s="390"/>
      <c r="P917" s="390"/>
      <c r="Q917" s="390"/>
      <c r="R917" s="390"/>
      <c r="S917" s="390"/>
      <c r="T917" s="390"/>
      <c r="U917" s="390"/>
    </row>
    <row r="918" spans="2:23" s="111" customFormat="1" ht="15.75" thickBot="1" x14ac:dyDescent="0.3">
      <c r="B918" s="395"/>
      <c r="C918" s="395"/>
      <c r="D918" s="395"/>
      <c r="E918" s="395"/>
      <c r="F918" s="396"/>
      <c r="G918" s="395"/>
      <c r="H918" s="395"/>
      <c r="I918" s="395"/>
      <c r="J918" s="395"/>
      <c r="K918" s="395"/>
      <c r="L918" s="395"/>
      <c r="M918" s="395"/>
      <c r="N918" s="395"/>
      <c r="O918" s="395"/>
      <c r="P918" s="395"/>
      <c r="Q918" s="395"/>
      <c r="R918" s="395"/>
      <c r="S918" s="395"/>
      <c r="T918" s="395"/>
      <c r="U918" s="395"/>
    </row>
    <row r="919" spans="2:23" s="111" customFormat="1" ht="15.75" thickBot="1" x14ac:dyDescent="0.3">
      <c r="B919" s="395"/>
      <c r="C919" s="395"/>
      <c r="D919" s="395"/>
      <c r="E919" s="395"/>
      <c r="F919" s="396"/>
      <c r="G919" s="395"/>
      <c r="H919" s="395"/>
      <c r="I919" s="395"/>
      <c r="J919" s="395"/>
      <c r="K919" s="395"/>
      <c r="L919" s="395"/>
      <c r="M919" s="395"/>
      <c r="N919" s="395"/>
      <c r="O919" s="395"/>
      <c r="P919" s="395"/>
      <c r="Q919" s="395"/>
      <c r="R919" s="395"/>
      <c r="S919" s="395"/>
      <c r="T919" s="395"/>
      <c r="U919" s="395"/>
    </row>
    <row r="920" spans="2:23" s="111" customFormat="1" ht="15.75" thickBot="1" x14ac:dyDescent="0.3">
      <c r="B920" s="395"/>
      <c r="C920" s="395"/>
      <c r="D920" s="395"/>
      <c r="E920" s="395"/>
      <c r="F920" s="396"/>
      <c r="G920" s="395"/>
      <c r="H920" s="395"/>
      <c r="I920" s="395"/>
      <c r="J920" s="395"/>
      <c r="K920" s="395"/>
      <c r="L920" s="395"/>
      <c r="M920" s="395"/>
      <c r="N920" s="395"/>
      <c r="O920" s="395"/>
      <c r="P920" s="395"/>
      <c r="Q920" s="395"/>
      <c r="R920" s="395"/>
      <c r="S920" s="395"/>
      <c r="T920" s="395"/>
      <c r="U920" s="395"/>
    </row>
    <row r="921" spans="2:23" s="111" customFormat="1" ht="15.75" thickBot="1" x14ac:dyDescent="0.3">
      <c r="B921" s="395"/>
      <c r="C921" s="395"/>
      <c r="D921" s="395"/>
      <c r="E921" s="395"/>
      <c r="F921" s="396"/>
      <c r="G921" s="395"/>
      <c r="H921" s="395"/>
      <c r="I921" s="395"/>
      <c r="J921" s="395"/>
      <c r="K921" s="395"/>
      <c r="L921" s="395"/>
      <c r="M921" s="395"/>
      <c r="N921" s="395"/>
      <c r="O921" s="395"/>
      <c r="P921" s="395"/>
      <c r="Q921" s="395"/>
      <c r="R921" s="395"/>
      <c r="S921" s="395"/>
      <c r="T921" s="395"/>
      <c r="U921" s="395"/>
    </row>
    <row r="922" spans="2:23" s="111" customFormat="1" ht="15.75" thickBot="1" x14ac:dyDescent="0.3">
      <c r="B922" s="395"/>
      <c r="C922" s="395"/>
      <c r="D922" s="395"/>
      <c r="E922" s="395"/>
      <c r="F922" s="396"/>
      <c r="G922" s="395"/>
      <c r="H922" s="395"/>
      <c r="I922" s="395"/>
      <c r="J922" s="395"/>
      <c r="K922" s="395"/>
      <c r="L922" s="395"/>
      <c r="M922" s="395"/>
      <c r="N922" s="395"/>
      <c r="O922" s="395"/>
      <c r="P922" s="395"/>
      <c r="Q922" s="395"/>
      <c r="R922" s="395"/>
      <c r="S922" s="395"/>
      <c r="T922" s="395"/>
      <c r="U922" s="395"/>
    </row>
    <row r="923" spans="2:23" s="111" customFormat="1" ht="15.75" thickBot="1" x14ac:dyDescent="0.3">
      <c r="B923" s="395"/>
      <c r="C923" s="395"/>
      <c r="D923" s="395"/>
      <c r="E923" s="395"/>
      <c r="F923" s="396"/>
      <c r="G923" s="395"/>
      <c r="H923" s="395"/>
      <c r="I923" s="395"/>
      <c r="J923" s="395"/>
      <c r="K923" s="395"/>
      <c r="L923" s="395"/>
      <c r="M923" s="395"/>
      <c r="N923" s="395"/>
      <c r="O923" s="395"/>
      <c r="P923" s="395"/>
      <c r="Q923" s="395"/>
      <c r="R923" s="395"/>
      <c r="S923" s="395"/>
      <c r="T923" s="395"/>
      <c r="U923" s="395"/>
    </row>
    <row r="924" spans="2:23" s="111" customFormat="1" ht="15.75" thickBot="1" x14ac:dyDescent="0.3">
      <c r="D924" s="381"/>
      <c r="E924" s="381"/>
      <c r="F924" s="381"/>
      <c r="G924" s="381"/>
      <c r="H924" s="381">
        <f>SUM(H908:H923)</f>
        <v>7930.2699999999995</v>
      </c>
      <c r="I924" s="381"/>
      <c r="J924" s="381"/>
      <c r="K924" s="381"/>
      <c r="L924" s="381">
        <f>SUM(L908:L923)</f>
        <v>0</v>
      </c>
      <c r="M924" s="381">
        <f>SUM(M908:M923)</f>
        <v>0</v>
      </c>
      <c r="N924" s="381" t="e">
        <f>AVERAGE(N908:N923)</f>
        <v>#DIV/0!</v>
      </c>
      <c r="O924" s="381">
        <f>SUM(O908:O923)</f>
        <v>0</v>
      </c>
      <c r="P924" s="381"/>
      <c r="Q924" s="381">
        <f>SUM(Q908:Q923)</f>
        <v>2171.2132229999997</v>
      </c>
      <c r="R924" s="423">
        <f>AVERAGE(R908:R923)</f>
        <v>0.78676026857458303</v>
      </c>
      <c r="S924" s="381">
        <f>SUM(S908:S923)</f>
        <v>1708.224298460166</v>
      </c>
      <c r="T924" s="381">
        <f t="shared" ref="T924:U924" si="3149">SUM(T908:T923)</f>
        <v>2171.2132229999997</v>
      </c>
      <c r="U924" s="381">
        <f t="shared" si="3149"/>
        <v>5759.0567769999998</v>
      </c>
      <c r="V924" s="422"/>
      <c r="W924" s="422"/>
    </row>
    <row r="925" spans="2:23" s="111" customFormat="1" ht="15.75" thickBot="1" x14ac:dyDescent="0.3"/>
    <row r="926" spans="2:23" s="111" customFormat="1" ht="43.5" thickBot="1" x14ac:dyDescent="0.3">
      <c r="B926" s="375" t="s">
        <v>710</v>
      </c>
      <c r="C926" s="376" t="s">
        <v>711</v>
      </c>
      <c r="D926" s="376" t="s">
        <v>712</v>
      </c>
      <c r="E926" s="376" t="s">
        <v>713</v>
      </c>
      <c r="F926" s="376" t="s">
        <v>687</v>
      </c>
      <c r="K926" s="111" t="s">
        <v>771</v>
      </c>
    </row>
    <row r="927" spans="2:23" s="111" customFormat="1" ht="43.5" thickBot="1" x14ac:dyDescent="0.3">
      <c r="B927" s="370" t="s">
        <v>720</v>
      </c>
      <c r="C927" s="371">
        <f>SUMIF(E908:E916,"Bâtiments",H908:H916)</f>
        <v>0</v>
      </c>
      <c r="D927" s="371">
        <f>SUMIF(E908:E916,"Bâtiments",Q908:Q916)</f>
        <v>0</v>
      </c>
      <c r="E927" s="371">
        <f>SUMIF(E908:E916,"Bâtiments",R908:R916)</f>
        <v>0</v>
      </c>
      <c r="F927" s="371">
        <f>SUMIF(E908:E916,"Bâtiments",S908:S916)</f>
        <v>0</v>
      </c>
      <c r="K927" s="111">
        <v>2131</v>
      </c>
    </row>
    <row r="928" spans="2:23" s="111" customFormat="1" ht="29.25" thickBot="1" x14ac:dyDescent="0.3">
      <c r="B928" s="370" t="s">
        <v>721</v>
      </c>
      <c r="C928" s="371">
        <f>C930+C932+C934+C936</f>
        <v>0</v>
      </c>
      <c r="D928" s="371">
        <f>D930+D932+D934+D936</f>
        <v>0</v>
      </c>
      <c r="E928" s="371">
        <f>(E929+E936)/2</f>
        <v>0</v>
      </c>
      <c r="F928" s="371">
        <f>F929+F936</f>
        <v>0</v>
      </c>
    </row>
    <row r="929" spans="2:11" s="111" customFormat="1" ht="43.5" thickBot="1" x14ac:dyDescent="0.3">
      <c r="B929" s="372" t="s">
        <v>724</v>
      </c>
      <c r="C929" s="371">
        <f>C930+C932+C934</f>
        <v>0</v>
      </c>
      <c r="D929" s="371">
        <f>D930+D932+D934</f>
        <v>0</v>
      </c>
      <c r="E929" s="371">
        <f>(E930+E932+E934)/3</f>
        <v>0</v>
      </c>
      <c r="F929" s="371">
        <f>(F930+F932+F934)</f>
        <v>0</v>
      </c>
    </row>
    <row r="930" spans="2:11" s="111" customFormat="1" ht="72.75" thickBot="1" x14ac:dyDescent="0.3">
      <c r="B930" s="372" t="s">
        <v>810</v>
      </c>
      <c r="C930" s="371">
        <f>SUMIF(E908:E916,"Concessions et droits similaires, brevets, licences, marques, procédés, logiciels, droits et valeurs similaires",H908:H916)</f>
        <v>0</v>
      </c>
      <c r="D930" s="371">
        <f>SUMIF(E908:E916,"Concessions et droits similaires, brevets, licences, marques, procédés, logiciels, droits et valeurs similaires",Q908:Q916)</f>
        <v>0</v>
      </c>
      <c r="E930" s="371">
        <f>SUMIF(E908:E916,"Concessions et droits similaires, brevets, licences, marques, procédés, logiciels, droits et valeurs similaires",R908:R916)</f>
        <v>0</v>
      </c>
      <c r="F930" s="371">
        <f>SUMIF(E908:E916,"Concessions et droits similaires, brevets, licences, marques, procédés, logiciels, droits et valeurs similaires",S908:S916)</f>
        <v>0</v>
      </c>
      <c r="K930" s="111">
        <v>205</v>
      </c>
    </row>
    <row r="931" spans="2:11" s="111" customFormat="1" ht="24.75" thickBot="1" x14ac:dyDescent="0.3">
      <c r="B931" s="373" t="s">
        <v>727</v>
      </c>
      <c r="C931" s="374">
        <f>SUMIFS(H908:H916,E908:E916,"Concessions et droits similaires, brevets, licences, marques, procédés, logiciels, droits et valeurs similaires",F908:F916,"&gt;=01/01/2024",F908:F916,"&lt;=31/12/2024")</f>
        <v>0</v>
      </c>
      <c r="D931" s="374">
        <f>SUMIFS(Q908:Q916,E908:E916,"Concessions et droits similaires, brevets, licences, marques, procédés, logiciels, droits et valeurs similaires",F908:F916,"&gt;=01/01/2024",F908:F916,"&lt;=31/12/2024")</f>
        <v>0</v>
      </c>
      <c r="E931" s="374">
        <f>SUMIFS(R908:R916,E908:E916,"Concessions et droits similaires, brevets, licences, marques, procédés, logiciels, droits et valeurs similaires",F908:F916,"&gt;=01/01/2024",F908:F916,"&lt;=31/12/2024")</f>
        <v>0</v>
      </c>
      <c r="F931" s="374">
        <f>SUMIFS(S908:S916,E908:E916,"Concessions et droits similaires, brevets, licences, marques, procédés, logiciels, droits et valeurs similaires",F908:F916,"&gt;=01/01/2024",F908:F916,"&lt;=31/12/2024")</f>
        <v>0</v>
      </c>
    </row>
    <row r="932" spans="2:11" s="111" customFormat="1" ht="48.75" thickBot="1" x14ac:dyDescent="0.3">
      <c r="B932" s="372" t="s">
        <v>811</v>
      </c>
      <c r="C932" s="371">
        <f>SUMIF(E908:E916,"Installations techniques et outillages industriels",H908:H916)</f>
        <v>0</v>
      </c>
      <c r="D932" s="371">
        <f>SUMIF(E908:E916,"Installations techniques et outillages industriels",Q908:Q916)</f>
        <v>0</v>
      </c>
      <c r="E932" s="371">
        <f>SUMIF(E908:E916,"Installations techniques et outillages industriels",R908:R916)</f>
        <v>0</v>
      </c>
      <c r="F932" s="371">
        <f>SUMIF(E908:E916,"Installations techniques et outillages industriels",S908:S916)</f>
        <v>0</v>
      </c>
      <c r="K932" s="111">
        <v>215</v>
      </c>
    </row>
    <row r="933" spans="2:11" s="111" customFormat="1" ht="24.75" thickBot="1" x14ac:dyDescent="0.3">
      <c r="B933" s="373" t="s">
        <v>727</v>
      </c>
      <c r="C933" s="374">
        <f>SUMIFS(H908:H916,E908:E916,"Installations techniques et outillages industriels",F908:F916,"&gt;=01/01/2024",F908:F916,"&lt;=31/12/2024")</f>
        <v>0</v>
      </c>
      <c r="D933" s="374">
        <f>SUMIFS(Q908:Q916,E908:E916,"Installations techniques et outillages industriels",F908:F916,"&gt;=01/01/2024",F908:F916,"&lt;=31/12/2024")</f>
        <v>0</v>
      </c>
      <c r="E933" s="374">
        <f>SUMIFS(R908:R916,E908:E916,"Installations techniques et outillages industriels",F908:F916,"&gt;=01/01/2024",F908:F916,"&lt;=31/12/2024")</f>
        <v>0</v>
      </c>
      <c r="F933" s="374">
        <f>SUMIFS(S908:S916,E908:E916,"Installations techniques et outillages industriels",F908:F916,"&gt;=01/01/2024",F908:F916,"&lt;=31/12/2024")</f>
        <v>0</v>
      </c>
    </row>
    <row r="934" spans="2:11" s="111" customFormat="1" ht="36.75" thickBot="1" x14ac:dyDescent="0.3">
      <c r="B934" s="372" t="s">
        <v>812</v>
      </c>
      <c r="C934" s="371">
        <f>SUMIF(E908:E916,"Matériel de bureau et matériel informatique",H908:H916)</f>
        <v>0</v>
      </c>
      <c r="D934" s="371">
        <f>SUMIF(E908:E916,"Matériel de bureau et matériel informatique",Q908:Q916)</f>
        <v>0</v>
      </c>
      <c r="E934" s="371">
        <f>SUMIF(E908:E916,"Matériel de bureau et matériel informatique",R908:R916)</f>
        <v>0</v>
      </c>
      <c r="F934" s="371">
        <f>SUMIF(E908:E916,"Matériel de bureau et matériel informatique",S908:S916)</f>
        <v>0</v>
      </c>
      <c r="K934" s="111">
        <v>2183</v>
      </c>
    </row>
    <row r="935" spans="2:11" s="111" customFormat="1" ht="24.75" thickBot="1" x14ac:dyDescent="0.3">
      <c r="B935" s="373" t="s">
        <v>727</v>
      </c>
      <c r="C935" s="374">
        <f>SUMIFS(H908:H916,E908:E916,"Matériel de bureau et matériel informatique",F908:F916,"&gt;=01/01/2024",F908:F916,"&lt;=31/12/2024")</f>
        <v>0</v>
      </c>
      <c r="D935" s="374">
        <f>SUMIFS(Q908:Q916,E908:E916,"Matériel de bureau et matériel informatique",F908:F916,"&gt;=01/01/2024",F908:F916,"&lt;=31/12/2024")</f>
        <v>0</v>
      </c>
      <c r="E935" s="374">
        <f>SUMIFS(R908:R916,E908:E916,"Matériel de bureau et matériel informatique",F908:F916,"&gt;=01/01/2024",F908:F916,"&lt;=31/12/2024")</f>
        <v>0</v>
      </c>
      <c r="F935" s="374">
        <f>SUMIFS(S908:S916,E908:E916,"Matériel de bureau et matériel informatique",F908:F916,"&gt;=01/01/2024",F908:F916,"&lt;=31/12/2024")</f>
        <v>0</v>
      </c>
    </row>
    <row r="936" spans="2:11" s="111" customFormat="1" ht="29.25" thickBot="1" x14ac:dyDescent="0.3">
      <c r="B936" s="372" t="s">
        <v>732</v>
      </c>
      <c r="C936" s="371">
        <f>SUMIF(E908:E916,"Redevance de crédit-bail",H908:H916)</f>
        <v>0</v>
      </c>
      <c r="D936" s="371">
        <f>SUMIF(E908:E916,"Redevance de crédit-bail",Q908:Q916)</f>
        <v>0</v>
      </c>
      <c r="E936" s="371">
        <f>SUMIF(E908:E916,"Redevance de crédit-bail",R908:R916)</f>
        <v>0</v>
      </c>
      <c r="F936" s="371">
        <f>SUMIF(E908:E916,"Redevance de crédit-bail",S908:S916)</f>
        <v>0</v>
      </c>
      <c r="K936" s="111">
        <v>612</v>
      </c>
    </row>
    <row r="937" spans="2:11" s="111" customFormat="1" x14ac:dyDescent="0.25"/>
    <row r="938" spans="2:11" s="111" customFormat="1" x14ac:dyDescent="0.25"/>
    <row r="939" spans="2:11" s="111" customFormat="1" x14ac:dyDescent="0.25"/>
    <row r="940" spans="2:11" s="111" customFormat="1" x14ac:dyDescent="0.25"/>
    <row r="941" spans="2:11" s="111" customFormat="1" x14ac:dyDescent="0.25"/>
    <row r="942" spans="2:11" s="111" customFormat="1" x14ac:dyDescent="0.25"/>
    <row r="943" spans="2:11" s="111" customFormat="1" x14ac:dyDescent="0.25"/>
    <row r="944" spans="2:11" s="111" customFormat="1" x14ac:dyDescent="0.25"/>
    <row r="945" s="111" customFormat="1" x14ac:dyDescent="0.25"/>
    <row r="946" s="111" customFormat="1" x14ac:dyDescent="0.25"/>
    <row r="947" s="111" customFormat="1" x14ac:dyDescent="0.25"/>
    <row r="948" s="111" customFormat="1" x14ac:dyDescent="0.25"/>
    <row r="949" s="111" customFormat="1" x14ac:dyDescent="0.25"/>
    <row r="950" s="111" customFormat="1" x14ac:dyDescent="0.25"/>
    <row r="951" s="111" customFormat="1" x14ac:dyDescent="0.25"/>
    <row r="952" s="111" customFormat="1" x14ac:dyDescent="0.25"/>
    <row r="953" s="111" customFormat="1" x14ac:dyDescent="0.25"/>
    <row r="954" s="111" customFormat="1" x14ac:dyDescent="0.25"/>
    <row r="955" s="111" customFormat="1" x14ac:dyDescent="0.25"/>
    <row r="956" s="111" customFormat="1" x14ac:dyDescent="0.25"/>
    <row r="957" s="111" customFormat="1" x14ac:dyDescent="0.25"/>
    <row r="958" s="111" customFormat="1" x14ac:dyDescent="0.25"/>
    <row r="959" s="111" customFormat="1" x14ac:dyDescent="0.25"/>
    <row r="960" s="111" customFormat="1" x14ac:dyDescent="0.25"/>
    <row r="961" s="111" customFormat="1" x14ac:dyDescent="0.25"/>
    <row r="962" s="111" customFormat="1" x14ac:dyDescent="0.25"/>
    <row r="963" s="111" customFormat="1" x14ac:dyDescent="0.25"/>
    <row r="964" s="111" customFormat="1" x14ac:dyDescent="0.25"/>
    <row r="965" s="111" customFormat="1" x14ac:dyDescent="0.25"/>
    <row r="966" s="111" customFormat="1" x14ac:dyDescent="0.25"/>
    <row r="967" s="111" customFormat="1" x14ac:dyDescent="0.25"/>
    <row r="968" s="111" customFormat="1" x14ac:dyDescent="0.25"/>
    <row r="969" s="111" customFormat="1" x14ac:dyDescent="0.25"/>
    <row r="970" s="111" customFormat="1" x14ac:dyDescent="0.25"/>
    <row r="971" s="111" customFormat="1" x14ac:dyDescent="0.25"/>
    <row r="972" s="111" customFormat="1" x14ac:dyDescent="0.25"/>
    <row r="973" s="111" customFormat="1" x14ac:dyDescent="0.25"/>
    <row r="974" s="111" customFormat="1" x14ac:dyDescent="0.25"/>
    <row r="975" s="111" customFormat="1" x14ac:dyDescent="0.25"/>
    <row r="976" s="111" customFormat="1" x14ac:dyDescent="0.25"/>
    <row r="977" spans="5:5" s="111" customFormat="1" x14ac:dyDescent="0.25"/>
    <row r="978" spans="5:5" s="111" customFormat="1" x14ac:dyDescent="0.25"/>
    <row r="979" spans="5:5" s="111" customFormat="1" x14ac:dyDescent="0.25"/>
    <row r="980" spans="5:5" s="111" customFormat="1" x14ac:dyDescent="0.25"/>
    <row r="981" spans="5:5" s="111" customFormat="1" x14ac:dyDescent="0.25"/>
    <row r="982" spans="5:5" s="111" customFormat="1" x14ac:dyDescent="0.25"/>
    <row r="983" spans="5:5" s="111" customFormat="1" x14ac:dyDescent="0.25"/>
    <row r="984" spans="5:5" s="111" customFormat="1" x14ac:dyDescent="0.25"/>
    <row r="985" spans="5:5" s="111" customFormat="1" x14ac:dyDescent="0.25">
      <c r="E985" s="306"/>
    </row>
    <row r="986" spans="5:5" s="111" customFormat="1" x14ac:dyDescent="0.25"/>
    <row r="987" spans="5:5" s="111" customFormat="1" x14ac:dyDescent="0.25"/>
    <row r="988" spans="5:5" s="111" customFormat="1" x14ac:dyDescent="0.25"/>
    <row r="989" spans="5:5" s="111" customFormat="1" x14ac:dyDescent="0.25"/>
    <row r="990" spans="5:5" s="111" customFormat="1" x14ac:dyDescent="0.25"/>
    <row r="991" spans="5:5" s="111" customFormat="1" x14ac:dyDescent="0.25"/>
    <row r="992" spans="5:5" s="111" customFormat="1" x14ac:dyDescent="0.25"/>
    <row r="993" s="111" customFormat="1" x14ac:dyDescent="0.25"/>
    <row r="994" s="111" customFormat="1" x14ac:dyDescent="0.25"/>
    <row r="995" s="111" customFormat="1" x14ac:dyDescent="0.25"/>
    <row r="996" s="111" customFormat="1" x14ac:dyDescent="0.25"/>
    <row r="997" s="111" customFormat="1" x14ac:dyDescent="0.25"/>
    <row r="998" s="111" customFormat="1" x14ac:dyDescent="0.25"/>
    <row r="999" s="111" customFormat="1" x14ac:dyDescent="0.25"/>
    <row r="1000" s="111" customFormat="1" x14ac:dyDescent="0.25"/>
    <row r="1001" s="111" customFormat="1" x14ac:dyDescent="0.25"/>
    <row r="1002" s="111" customFormat="1" x14ac:dyDescent="0.25"/>
    <row r="1003" s="111" customFormat="1" x14ac:dyDescent="0.25"/>
    <row r="1004" s="111" customFormat="1" x14ac:dyDescent="0.25"/>
    <row r="1005" s="111" customFormat="1" x14ac:dyDescent="0.25"/>
    <row r="1006" s="111" customFormat="1" x14ac:dyDescent="0.25"/>
    <row r="1007" s="111" customFormat="1" x14ac:dyDescent="0.25"/>
    <row r="1008" s="111" customFormat="1" x14ac:dyDescent="0.25"/>
    <row r="1009" s="111" customFormat="1" x14ac:dyDescent="0.25"/>
    <row r="1010" s="111" customFormat="1" x14ac:dyDescent="0.25"/>
    <row r="1011" s="111" customFormat="1" x14ac:dyDescent="0.25"/>
    <row r="1012" s="111" customFormat="1" x14ac:dyDescent="0.25"/>
    <row r="1013" s="111" customFormat="1" x14ac:dyDescent="0.25"/>
    <row r="1014" s="111" customFormat="1" x14ac:dyDescent="0.25"/>
    <row r="1015" s="111" customFormat="1" x14ac:dyDescent="0.25"/>
    <row r="1016" s="111" customFormat="1" x14ac:dyDescent="0.25"/>
    <row r="1017" s="111" customFormat="1" x14ac:dyDescent="0.25"/>
    <row r="1018" s="111" customFormat="1" x14ac:dyDescent="0.25"/>
    <row r="1019" s="111" customFormat="1" x14ac:dyDescent="0.25"/>
    <row r="1020" s="111" customFormat="1" x14ac:dyDescent="0.25"/>
    <row r="1021" s="111" customFormat="1" x14ac:dyDescent="0.25"/>
    <row r="1022" s="111" customFormat="1" x14ac:dyDescent="0.25"/>
    <row r="1023" s="111" customFormat="1" x14ac:dyDescent="0.25"/>
    <row r="1024" s="111" customFormat="1" x14ac:dyDescent="0.25"/>
    <row r="1025" s="111" customFormat="1" x14ac:dyDescent="0.25"/>
    <row r="1026" s="111" customFormat="1" x14ac:dyDescent="0.25"/>
    <row r="1027" s="111" customFormat="1" x14ac:dyDescent="0.25"/>
    <row r="1028" s="111" customFormat="1" x14ac:dyDescent="0.25"/>
    <row r="1029" s="111" customFormat="1" x14ac:dyDescent="0.25"/>
    <row r="1030" s="111" customFormat="1" x14ac:dyDescent="0.25"/>
    <row r="1031" s="111" customFormat="1" x14ac:dyDescent="0.25"/>
    <row r="1032" s="111" customFormat="1" x14ac:dyDescent="0.25"/>
    <row r="1033" s="111" customFormat="1" x14ac:dyDescent="0.25"/>
    <row r="1034" s="111" customFormat="1" x14ac:dyDescent="0.25"/>
    <row r="1035" s="111" customFormat="1" x14ac:dyDescent="0.25"/>
    <row r="1036" s="111" customFormat="1" x14ac:dyDescent="0.25"/>
    <row r="1037" s="111" customFormat="1" x14ac:dyDescent="0.25"/>
    <row r="1038" s="111" customFormat="1" x14ac:dyDescent="0.25"/>
    <row r="1039" s="111" customFormat="1" x14ac:dyDescent="0.25"/>
    <row r="1040" s="111" customFormat="1" x14ac:dyDescent="0.25"/>
    <row r="1041" s="111" customFormat="1" x14ac:dyDescent="0.25"/>
    <row r="1042" s="111" customFormat="1" x14ac:dyDescent="0.25"/>
    <row r="1043" s="111" customFormat="1" x14ac:dyDescent="0.25"/>
    <row r="1044" s="111" customFormat="1" x14ac:dyDescent="0.25"/>
    <row r="1045" s="111" customFormat="1" x14ac:dyDescent="0.25"/>
    <row r="1046" s="111" customFormat="1" x14ac:dyDescent="0.25"/>
    <row r="1047" s="111" customFormat="1" x14ac:dyDescent="0.25"/>
    <row r="1048" s="111" customFormat="1" x14ac:dyDescent="0.25"/>
    <row r="1049" s="111" customFormat="1" x14ac:dyDescent="0.25"/>
    <row r="1050" s="111" customFormat="1" x14ac:dyDescent="0.25"/>
    <row r="1051" s="111" customFormat="1" x14ac:dyDescent="0.25"/>
    <row r="1052" s="111" customFormat="1" x14ac:dyDescent="0.25"/>
    <row r="1053" s="111" customFormat="1" x14ac:dyDescent="0.25"/>
    <row r="1054" s="111" customFormat="1" x14ac:dyDescent="0.25"/>
    <row r="1055" s="111" customFormat="1" x14ac:dyDescent="0.25"/>
    <row r="1056" s="111" customFormat="1" x14ac:dyDescent="0.25"/>
    <row r="1057" s="111" customFormat="1" x14ac:dyDescent="0.25"/>
    <row r="1058" s="111" customFormat="1" x14ac:dyDescent="0.25"/>
    <row r="1059" s="111" customFormat="1" x14ac:dyDescent="0.25"/>
    <row r="1060" s="111" customFormat="1" x14ac:dyDescent="0.25"/>
    <row r="1061" s="111" customFormat="1" x14ac:dyDescent="0.25"/>
    <row r="1062" s="111" customFormat="1" x14ac:dyDescent="0.25"/>
    <row r="1063" s="111" customFormat="1" x14ac:dyDescent="0.25"/>
    <row r="1064" s="111" customFormat="1" x14ac:dyDescent="0.25"/>
    <row r="1065" s="111" customFormat="1" x14ac:dyDescent="0.25"/>
    <row r="1066" s="111" customFormat="1" x14ac:dyDescent="0.25"/>
    <row r="1067" s="111" customFormat="1" x14ac:dyDescent="0.25"/>
    <row r="1068" s="111" customFormat="1" x14ac:dyDescent="0.25"/>
    <row r="1069" s="111" customFormat="1" x14ac:dyDescent="0.25"/>
    <row r="1070" s="111" customFormat="1" x14ac:dyDescent="0.25"/>
    <row r="1071" s="111" customFormat="1" x14ac:dyDescent="0.25"/>
    <row r="1072" s="111" customFormat="1" x14ac:dyDescent="0.25"/>
    <row r="1073" s="111" customFormat="1" x14ac:dyDescent="0.25"/>
    <row r="1074" s="111" customFormat="1" x14ac:dyDescent="0.25"/>
    <row r="1075" s="111" customFormat="1" x14ac:dyDescent="0.25"/>
    <row r="1076" s="111" customFormat="1" x14ac:dyDescent="0.25"/>
    <row r="1077" s="111" customFormat="1" x14ac:dyDescent="0.25"/>
    <row r="1078" s="111" customFormat="1" x14ac:dyDescent="0.25"/>
    <row r="1079" s="111" customFormat="1" x14ac:dyDescent="0.25"/>
    <row r="1080" s="111" customFormat="1" x14ac:dyDescent="0.25"/>
    <row r="1081" s="111" customFormat="1" x14ac:dyDescent="0.25"/>
    <row r="1082" s="111" customFormat="1" x14ac:dyDescent="0.25"/>
    <row r="1083" s="111" customFormat="1" x14ac:dyDescent="0.25"/>
    <row r="1084" s="111" customFormat="1" x14ac:dyDescent="0.25"/>
    <row r="1085" s="111" customFormat="1" x14ac:dyDescent="0.25"/>
    <row r="1086" s="111" customFormat="1" x14ac:dyDescent="0.25"/>
    <row r="1087" s="111" customFormat="1" x14ac:dyDescent="0.25"/>
    <row r="1088" s="111" customFormat="1" x14ac:dyDescent="0.25"/>
    <row r="1089" s="111" customFormat="1" x14ac:dyDescent="0.25"/>
    <row r="1090" s="111" customFormat="1" x14ac:dyDescent="0.25"/>
    <row r="1091" s="111" customFormat="1" x14ac:dyDescent="0.25"/>
    <row r="1092" s="111" customFormat="1" x14ac:dyDescent="0.25"/>
    <row r="1093" s="111" customFormat="1" x14ac:dyDescent="0.25"/>
    <row r="1094" s="111" customFormat="1" x14ac:dyDescent="0.25"/>
    <row r="1095" s="111" customFormat="1" x14ac:dyDescent="0.25"/>
    <row r="1096" s="111" customFormat="1" x14ac:dyDescent="0.25"/>
    <row r="1097" s="111" customFormat="1" x14ac:dyDescent="0.25"/>
    <row r="1098" s="111" customFormat="1" x14ac:dyDescent="0.25"/>
    <row r="1099" s="111" customFormat="1" x14ac:dyDescent="0.25"/>
    <row r="1100" s="111" customFormat="1" x14ac:dyDescent="0.25"/>
    <row r="1101" s="111" customFormat="1" x14ac:dyDescent="0.25"/>
    <row r="1102" s="111" customFormat="1" x14ac:dyDescent="0.25"/>
    <row r="1103" s="111" customFormat="1" x14ac:dyDescent="0.25"/>
    <row r="1104" s="111" customFormat="1" x14ac:dyDescent="0.25"/>
    <row r="1105" s="111" customFormat="1" x14ac:dyDescent="0.25"/>
    <row r="1106" s="111" customFormat="1" x14ac:dyDescent="0.25"/>
    <row r="1107" s="111" customFormat="1" x14ac:dyDescent="0.25"/>
    <row r="1108" s="111" customFormat="1" x14ac:dyDescent="0.25"/>
    <row r="1109" s="111" customFormat="1" x14ac:dyDescent="0.25"/>
    <row r="1110" s="111" customFormat="1" x14ac:dyDescent="0.25"/>
    <row r="1111" s="111" customFormat="1" x14ac:dyDescent="0.25"/>
    <row r="1112" s="111" customFormat="1" x14ac:dyDescent="0.25"/>
    <row r="1113" s="111" customFormat="1" x14ac:dyDescent="0.25"/>
    <row r="1114" s="111" customFormat="1" x14ac:dyDescent="0.25"/>
    <row r="1115" s="111" customFormat="1" x14ac:dyDescent="0.25"/>
    <row r="1116" s="111" customFormat="1" x14ac:dyDescent="0.25"/>
    <row r="1117" s="111" customFormat="1" x14ac:dyDescent="0.25"/>
    <row r="1118" s="111" customFormat="1" x14ac:dyDescent="0.25"/>
    <row r="1119" s="111" customFormat="1" x14ac:dyDescent="0.25"/>
    <row r="1120" s="111" customFormat="1" x14ac:dyDescent="0.25"/>
    <row r="1121" s="111" customFormat="1" x14ac:dyDescent="0.25"/>
    <row r="1122" s="111" customFormat="1" x14ac:dyDescent="0.25"/>
    <row r="1123" s="111" customFormat="1" x14ac:dyDescent="0.25"/>
    <row r="1124" s="111" customFormat="1" x14ac:dyDescent="0.25"/>
    <row r="1125" s="111" customFormat="1" x14ac:dyDescent="0.25"/>
    <row r="1126" s="111" customFormat="1" x14ac:dyDescent="0.25"/>
    <row r="1127" s="111" customFormat="1" x14ac:dyDescent="0.25"/>
    <row r="1128" s="111" customFormat="1" x14ac:dyDescent="0.25"/>
    <row r="1129" s="111" customFormat="1" x14ac:dyDescent="0.25"/>
    <row r="1130" s="111" customFormat="1" x14ac:dyDescent="0.25"/>
    <row r="1131" s="111" customFormat="1" x14ac:dyDescent="0.25"/>
    <row r="1132" s="111" customFormat="1" x14ac:dyDescent="0.25"/>
    <row r="1133" s="111" customFormat="1" x14ac:dyDescent="0.25"/>
    <row r="1134" s="111" customFormat="1" x14ac:dyDescent="0.25"/>
    <row r="1135" s="111" customFormat="1" x14ac:dyDescent="0.25"/>
    <row r="1136" s="111" customFormat="1" x14ac:dyDescent="0.25"/>
    <row r="1137" s="111" customFormat="1" x14ac:dyDescent="0.25"/>
    <row r="1138" s="111" customFormat="1" x14ac:dyDescent="0.25"/>
    <row r="1139" s="111" customFormat="1" x14ac:dyDescent="0.25"/>
    <row r="1140" s="111" customFormat="1" x14ac:dyDescent="0.25"/>
    <row r="1141" s="111" customFormat="1" x14ac:dyDescent="0.25"/>
    <row r="1142" s="111" customFormat="1" x14ac:dyDescent="0.25"/>
    <row r="1143" s="111" customFormat="1" x14ac:dyDescent="0.25"/>
    <row r="1144" s="111" customFormat="1" x14ac:dyDescent="0.25"/>
    <row r="1145" s="111" customFormat="1" x14ac:dyDescent="0.25"/>
    <row r="1146" s="111" customFormat="1" x14ac:dyDescent="0.25"/>
    <row r="1147" s="111" customFormat="1" x14ac:dyDescent="0.25"/>
    <row r="1148" s="111" customFormat="1" x14ac:dyDescent="0.25"/>
    <row r="1149" s="111" customFormat="1" x14ac:dyDescent="0.25"/>
    <row r="1150" s="111" customFormat="1" x14ac:dyDescent="0.25"/>
    <row r="1151" s="111" customFormat="1" x14ac:dyDescent="0.25"/>
    <row r="1152" s="111" customFormat="1" x14ac:dyDescent="0.25"/>
    <row r="1153" s="111" customFormat="1" x14ac:dyDescent="0.25"/>
    <row r="1154" s="111" customFormat="1" x14ac:dyDescent="0.25"/>
    <row r="1155" s="111" customFormat="1" x14ac:dyDescent="0.25"/>
    <row r="1156" s="111" customFormat="1" x14ac:dyDescent="0.25"/>
    <row r="1157" s="111" customFormat="1" x14ac:dyDescent="0.25"/>
    <row r="1158" s="111" customFormat="1" x14ac:dyDescent="0.25"/>
    <row r="1159" s="111" customFormat="1" x14ac:dyDescent="0.25"/>
    <row r="1160" s="111" customFormat="1" x14ac:dyDescent="0.25"/>
    <row r="1161" s="111" customFormat="1" x14ac:dyDescent="0.25"/>
    <row r="1162" s="111" customFormat="1" x14ac:dyDescent="0.25"/>
    <row r="1163" s="111" customFormat="1" x14ac:dyDescent="0.25"/>
    <row r="1164" s="111" customFormat="1" x14ac:dyDescent="0.25"/>
    <row r="1165" s="111" customFormat="1" x14ac:dyDescent="0.25"/>
    <row r="1166" s="111" customFormat="1" x14ac:dyDescent="0.25"/>
    <row r="1167" s="111" customFormat="1" x14ac:dyDescent="0.25"/>
    <row r="1168" s="111" customFormat="1" x14ac:dyDescent="0.25"/>
    <row r="1169" s="111" customFormat="1" x14ac:dyDescent="0.25"/>
    <row r="1170" s="111" customFormat="1" x14ac:dyDescent="0.25"/>
    <row r="1171" s="111" customFormat="1" x14ac:dyDescent="0.25"/>
    <row r="1172" s="111" customFormat="1" x14ac:dyDescent="0.25"/>
    <row r="1173" s="111" customFormat="1" x14ac:dyDescent="0.25"/>
    <row r="1174" s="111" customFormat="1" x14ac:dyDescent="0.25"/>
    <row r="1175" s="111" customFormat="1" x14ac:dyDescent="0.25"/>
    <row r="1176" s="111" customFormat="1" x14ac:dyDescent="0.25"/>
    <row r="1177" s="111" customFormat="1" x14ac:dyDescent="0.25"/>
    <row r="1178" s="111" customFormat="1" x14ac:dyDescent="0.25"/>
    <row r="1179" s="111" customFormat="1" x14ac:dyDescent="0.25"/>
    <row r="1180" s="111" customFormat="1" x14ac:dyDescent="0.25"/>
    <row r="1181" s="111" customFormat="1" x14ac:dyDescent="0.25"/>
    <row r="1182" s="111" customFormat="1" x14ac:dyDescent="0.25"/>
    <row r="1183" s="111" customFormat="1" x14ac:dyDescent="0.25"/>
    <row r="1184" s="111" customFormat="1" x14ac:dyDescent="0.25"/>
    <row r="1185" s="111" customFormat="1" x14ac:dyDescent="0.25"/>
    <row r="1186" s="111" customFormat="1" x14ac:dyDescent="0.25"/>
    <row r="1187" s="111" customFormat="1" x14ac:dyDescent="0.25"/>
    <row r="1188" s="111" customFormat="1" x14ac:dyDescent="0.25"/>
    <row r="1189" s="111" customFormat="1" x14ac:dyDescent="0.25"/>
    <row r="1190" s="111" customFormat="1" x14ac:dyDescent="0.25"/>
    <row r="1191" s="111" customFormat="1" x14ac:dyDescent="0.25"/>
    <row r="1192" s="111" customFormat="1" x14ac:dyDescent="0.25"/>
    <row r="1193" s="111" customFormat="1" x14ac:dyDescent="0.25"/>
    <row r="1194" s="111" customFormat="1" x14ac:dyDescent="0.25"/>
    <row r="1195" s="111" customFormat="1" x14ac:dyDescent="0.25"/>
    <row r="1196" s="111" customFormat="1" x14ac:dyDescent="0.25"/>
    <row r="1197" s="111" customFormat="1" x14ac:dyDescent="0.25"/>
    <row r="1198" s="111" customFormat="1" x14ac:dyDescent="0.25"/>
    <row r="1199" s="111" customFormat="1" x14ac:dyDescent="0.25"/>
    <row r="1200" s="111" customFormat="1" x14ac:dyDescent="0.25"/>
    <row r="1201" s="111" customFormat="1" x14ac:dyDescent="0.25"/>
    <row r="1202" s="111" customFormat="1" x14ac:dyDescent="0.25"/>
    <row r="1203" s="111" customFormat="1" x14ac:dyDescent="0.25"/>
    <row r="1204" s="111" customFormat="1" x14ac:dyDescent="0.25"/>
    <row r="1205" s="111" customFormat="1" x14ac:dyDescent="0.25"/>
    <row r="1206" s="111" customFormat="1" x14ac:dyDescent="0.25"/>
    <row r="1207" s="111" customFormat="1" x14ac:dyDescent="0.25"/>
    <row r="1208" s="111" customFormat="1" x14ac:dyDescent="0.25"/>
    <row r="1209" s="111" customFormat="1" x14ac:dyDescent="0.25"/>
    <row r="1210" s="111" customFormat="1" x14ac:dyDescent="0.25"/>
    <row r="1211" s="111" customFormat="1" x14ac:dyDescent="0.25"/>
    <row r="1212" s="111" customFormat="1" x14ac:dyDescent="0.25"/>
    <row r="1213" s="111" customFormat="1" x14ac:dyDescent="0.25"/>
    <row r="1214" s="111" customFormat="1" x14ac:dyDescent="0.25"/>
    <row r="1215" s="111" customFormat="1" x14ac:dyDescent="0.25"/>
    <row r="1216" s="111" customFormat="1" x14ac:dyDescent="0.25"/>
    <row r="1217" s="111" customFormat="1" x14ac:dyDescent="0.25"/>
    <row r="1218" s="111" customFormat="1" x14ac:dyDescent="0.25"/>
    <row r="1219" s="111" customFormat="1" x14ac:dyDescent="0.25"/>
    <row r="1220" s="111" customFormat="1" x14ac:dyDescent="0.25"/>
  </sheetData>
  <mergeCells count="36">
    <mergeCell ref="C226:D226"/>
    <mergeCell ref="B289:J289"/>
    <mergeCell ref="C23:E23"/>
    <mergeCell ref="C24:E25"/>
    <mergeCell ref="F24:F25"/>
    <mergeCell ref="G24:G35"/>
    <mergeCell ref="C166:F166"/>
    <mergeCell ref="C103:F103"/>
    <mergeCell ref="C41:E41"/>
    <mergeCell ref="F10:F11"/>
    <mergeCell ref="C15:E16"/>
    <mergeCell ref="F15:F16"/>
    <mergeCell ref="G15:G16"/>
    <mergeCell ref="C17:E17"/>
    <mergeCell ref="G17:G23"/>
    <mergeCell ref="C18:E18"/>
    <mergeCell ref="C19:E19"/>
    <mergeCell ref="C20:E20"/>
    <mergeCell ref="C21:E21"/>
    <mergeCell ref="C22:E22"/>
    <mergeCell ref="C3:G3"/>
    <mergeCell ref="C37:E38"/>
    <mergeCell ref="C886:G887"/>
    <mergeCell ref="D10:E10"/>
    <mergeCell ref="G5:G9"/>
    <mergeCell ref="C7:D7"/>
    <mergeCell ref="C8:D8"/>
    <mergeCell ref="G10:G14"/>
    <mergeCell ref="C11:E11"/>
    <mergeCell ref="C14:D14"/>
    <mergeCell ref="C5:E6"/>
    <mergeCell ref="F5:F9"/>
    <mergeCell ref="C9:D9"/>
    <mergeCell ref="D12:E12"/>
    <mergeCell ref="F12:F13"/>
    <mergeCell ref="C13:E13"/>
  </mergeCells>
  <conditionalFormatting sqref="L6">
    <cfRule type="containsText" dxfId="1" priority="3" operator="containsText" text="Oui">
      <formula>NOT(ISERROR(SEARCH("Oui",L6)))</formula>
    </cfRule>
    <cfRule type="containsText" dxfId="0" priority="4" operator="containsText" text="Non">
      <formula>NOT(ISERROR(SEARCH("Non",L6)))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5" r:id="rId4" name="Button 9">
              <controlPr defaultSize="0" print="0" autoFill="0" autoPict="0" macro="[0]!CopieTableauxJEI_Evoluee">
                <anchor moveWithCells="1" sizeWithCells="1">
                  <from>
                    <xdr:col>2</xdr:col>
                    <xdr:colOff>971550</xdr:colOff>
                    <xdr:row>0</xdr:row>
                    <xdr:rowOff>152400</xdr:rowOff>
                  </from>
                  <to>
                    <xdr:col>2</xdr:col>
                    <xdr:colOff>3838575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9F5791-AF5E-4B51-B0E8-B9F9128FECCB}">
          <x14:formula1>
            <xm:f>parametrage!$E$2:$E$3</xm:f>
          </x14:formula1>
          <xm:sqref>F18:F23 F27:F29 F31:F32 F34:F35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5B38175-3FF6-43C3-A482-47912CABD3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37</vt:i4>
      </vt:variant>
    </vt:vector>
  </HeadingPairs>
  <TitlesOfParts>
    <vt:vector size="37" baseType="lpstr">
      <vt:lpstr>suivi évolution</vt:lpstr>
      <vt:lpstr>parametrage</vt:lpstr>
      <vt:lpstr>2069 A</vt:lpstr>
      <vt:lpstr>2069-A2-SD</vt:lpstr>
      <vt:lpstr>2069-A3-SD</vt:lpstr>
      <vt:lpstr>parametres chiffrage</vt:lpstr>
      <vt:lpstr>Verif VS 24</vt:lpstr>
      <vt:lpstr>SYNTHESE</vt:lpstr>
      <vt:lpstr>SYNTHESE final</vt:lpstr>
      <vt:lpstr>SYNTHESE_TS</vt:lpstr>
      <vt:lpstr>REP cout</vt:lpstr>
      <vt:lpstr>REP_cout_TS</vt:lpstr>
      <vt:lpstr>VALO_AMO</vt:lpstr>
      <vt:lpstr>AMO_TS</vt:lpstr>
      <vt:lpstr>VALO_PERSO</vt:lpstr>
      <vt:lpstr>Comparatif perso</vt:lpstr>
      <vt:lpstr>MAD</vt:lpstr>
      <vt:lpstr>HRECH BIOPIG SUB</vt:lpstr>
      <vt:lpstr>HRECH Phoenix SUB</vt:lpstr>
      <vt:lpstr>HRECH</vt:lpstr>
      <vt:lpstr>Fichier pour valo</vt:lpstr>
      <vt:lpstr>PERSO_TS</vt:lpstr>
      <vt:lpstr>HTRAV 2023</vt:lpstr>
      <vt:lpstr>FF</vt:lpstr>
      <vt:lpstr>Calcul FF</vt:lpstr>
      <vt:lpstr>VALO_BREVET</vt:lpstr>
      <vt:lpstr>BREVET_TS</vt:lpstr>
      <vt:lpstr>VALO_ST</vt:lpstr>
      <vt:lpstr>Sous-traitance_TS</vt:lpstr>
      <vt:lpstr>VALO-autres dépenses CIR</vt:lpstr>
      <vt:lpstr>VEILLE_TS</vt:lpstr>
      <vt:lpstr>VALO_SUBV</vt:lpstr>
      <vt:lpstr>PPT</vt:lpstr>
      <vt:lpstr>check list</vt:lpstr>
      <vt:lpstr>Amélioration Matrice</vt:lpstr>
      <vt:lpstr>JEI</vt:lpstr>
      <vt:lpstr>JEI Jules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Axel Lopez</dc:creator>
  <cp:keywords/>
  <dc:description/>
  <cp:lastModifiedBy>Eleonore MONTBARBON</cp:lastModifiedBy>
  <cp:revision/>
  <dcterms:created xsi:type="dcterms:W3CDTF">2024-05-22T04:29:16Z</dcterms:created>
  <dcterms:modified xsi:type="dcterms:W3CDTF">2026-03-20T16:09:31Z</dcterms:modified>
  <cp:category/>
  <cp:contentStatus/>
</cp:coreProperties>
</file>